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xls"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3.xml" ContentType="application/vnd.openxmlformats-officedocument.drawing+xml"/>
  <Override PartName="/xl/charts/chart21.xml" ContentType="application/vnd.openxmlformats-officedocument.drawingml.chart+xml"/>
  <Override PartName="/xl/drawings/drawing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5.xml" ContentType="application/vnd.openxmlformats-officedocument.drawing+xml"/>
  <Override PartName="/xl/charts/chart2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05" yWindow="645" windowWidth="18795" windowHeight="9555" tabRatio="883" activeTab="1"/>
  </bookViews>
  <sheets>
    <sheet name="Title Page" sheetId="17" r:id="rId1"/>
    <sheet name="Revision History" sheetId="18" r:id="rId2"/>
    <sheet name="Instructions" sheetId="19" r:id="rId3"/>
    <sheet name="Methodology" sheetId="24" r:id="rId4"/>
    <sheet name="# Yrs of Data" sheetId="16" r:id="rId5"/>
    <sheet name="Counties" sheetId="14" r:id="rId6"/>
    <sheet name="Ratings" sheetId="25" r:id="rId7"/>
    <sheet name="Database - Tornado Segments" sheetId="2" r:id="rId8"/>
    <sheet name="Summary - Tornado Segments" sheetId="1" r:id="rId9"/>
    <sheet name="Database - Whole Tornadoes" sheetId="21" r:id="rId10"/>
    <sheet name="Summary - Whole Tornadoes" sheetId="22" r:id="rId11"/>
    <sheet name="Graphs" sheetId="15" r:id="rId12"/>
    <sheet name="ONI" sheetId="35" r:id="rId13"/>
    <sheet name="Season" sheetId="23" r:id="rId14"/>
    <sheet name="First Tornado" sheetId="34" r:id="rId15"/>
    <sheet name="APC" sheetId="13" r:id="rId16"/>
    <sheet name="Tornado Segment Statistics" sheetId="20" r:id="rId17"/>
    <sheet name="Tornado Segment Distribution" sheetId="11" r:id="rId18"/>
    <sheet name="Adjustments to Data" sheetId="9" r:id="rId19"/>
    <sheet name="Tornado Model" sheetId="12" r:id="rId20"/>
    <sheet name="F0 - EF0" sheetId="3" r:id="rId21"/>
    <sheet name="F0 - EF0 Analysis" sheetId="26" r:id="rId22"/>
    <sheet name="F1 - EF1" sheetId="4" r:id="rId23"/>
    <sheet name="F1 - EF1 Analysis" sheetId="30" r:id="rId24"/>
    <sheet name="F2 - EF2" sheetId="5" r:id="rId25"/>
    <sheet name="F2 - EF2 Analysis" sheetId="31" r:id="rId26"/>
    <sheet name="F3 - EF3" sheetId="6" r:id="rId27"/>
    <sheet name="F3 - EF3 Analysis" sheetId="32" r:id="rId28"/>
    <sheet name="F4 - EF4" sheetId="7" r:id="rId29"/>
    <sheet name="F4 - EF4 Analysis" sheetId="33" r:id="rId30"/>
    <sheet name="EF5" sheetId="8" r:id="rId31"/>
  </sheets>
  <definedNames>
    <definedName name="_xlnm._FilterDatabase" localSheetId="7" hidden="1">'Database - Tornado Segments'!$D$6:$M$2008</definedName>
    <definedName name="_xlnm._FilterDatabase" localSheetId="9" hidden="1">'Database - Whole Tornadoes'!$C$4:$K$2005</definedName>
    <definedName name="counties">Counties!$B$6:$B$28</definedName>
    <definedName name="_xlnm.Print_Area" localSheetId="4">'# Yrs of Data'!$C$2:$D$79</definedName>
    <definedName name="_xlnm.Print_Area" localSheetId="18">'Adjustments to Data'!$A$1:$J$55</definedName>
    <definedName name="_xlnm.Print_Area" localSheetId="15">APC!$B$2:$J$31</definedName>
    <definedName name="_xlnm.Print_Area" localSheetId="5">Counties!$B$2:$I$26</definedName>
    <definedName name="_xlnm.Print_Area" localSheetId="7">'Database - Tornado Segments'!$A$1:$S$1135</definedName>
    <definedName name="_xlnm.Print_Area" localSheetId="9">'Database - Whole Tornadoes'!$A$1:$N$1074</definedName>
    <definedName name="_xlnm.Print_Area" localSheetId="20">'F0 - EF0'!$A$1:$M$686</definedName>
    <definedName name="_xlnm.Print_Area" localSheetId="11">Graphs!$A$535:$D$578</definedName>
    <definedName name="_xlnm.Print_Area" localSheetId="2">Instructions!$A$1:$D$359</definedName>
    <definedName name="_xlnm.Print_Area" localSheetId="3">Methodology!$B$2:$B$11</definedName>
    <definedName name="_xlnm.Print_Area" localSheetId="1">'Revision History'!$B$2:$D$32</definedName>
    <definedName name="_xlnm.Print_Area" localSheetId="13">Season!$2:$78</definedName>
    <definedName name="_xlnm.Print_Area" localSheetId="8">'Summary - Tornado Segments'!$B$1:$L$105</definedName>
    <definedName name="_xlnm.Print_Area" localSheetId="10">'Summary - Whole Tornadoes'!$B$1:$L$105</definedName>
    <definedName name="_xlnm.Print_Area" localSheetId="0">'Title Page'!$B$2:$E$14</definedName>
    <definedName name="_xlnm.Print_Area" localSheetId="19">'Tornado Model'!$B$2:$K$167</definedName>
    <definedName name="_xlnm.Print_Area" localSheetId="17">'Tornado Segment Distribution'!$B$2:$J$241</definedName>
    <definedName name="_xlnm.Print_Area">'Summary - Tornado Segments'!#REF!</definedName>
    <definedName name="_xlnm.Print_Titles" localSheetId="4">'# Yrs of Data'!$2:$3</definedName>
    <definedName name="_xlnm.Print_Titles" localSheetId="7">'Database - Tornado Segments'!$1:$6</definedName>
    <definedName name="_xlnm.Print_Titles" localSheetId="9">'Database - Whole Tornadoes'!$1:$4</definedName>
    <definedName name="_xlnm.Print_Titles" localSheetId="20">'F0 - EF0'!$1:$6</definedName>
    <definedName name="_xlnm.Print_Titles" localSheetId="22">'F1 - EF1'!$1:$6</definedName>
    <definedName name="_xlnm.Print_Titles" localSheetId="24">'F2 - EF2'!$1:$6</definedName>
    <definedName name="_xlnm.Print_Titles" localSheetId="26">'F3 - EF3'!$1:$6</definedName>
    <definedName name="_xlnm.Print_Titles" localSheetId="28">'F4 - EF4'!$1:$6</definedName>
    <definedName name="_xlnm.Print_Titles" localSheetId="2">Instructions!$2:$2</definedName>
    <definedName name="_xlnm.Print_Titles" localSheetId="3">Methodology!$2:$2</definedName>
    <definedName name="_xlnm.Print_Titles" localSheetId="8">'Summary - Tornado Segments'!$1:$10</definedName>
    <definedName name="_xlnm.Print_Titles" localSheetId="10">'Summary - Whole Tornadoes'!$1:$10</definedName>
    <definedName name="rating">Ratings!$C$6:$C$11</definedName>
    <definedName name="Z_CFA9FB8A_52FF_44B9_AE70_27339693E196_.wvu.PrintArea" localSheetId="18" hidden="1">'Adjustments to Data'!$A$1:$K$37</definedName>
    <definedName name="Z_CFA9FB8A_52FF_44B9_AE70_27339693E196_.wvu.PrintArea" localSheetId="15" hidden="1">APC!$A$1:$J$31</definedName>
    <definedName name="Z_CFA9FB8A_52FF_44B9_AE70_27339693E196_.wvu.PrintArea" localSheetId="5" hidden="1">Counties!$A$3:$I$27</definedName>
    <definedName name="Z_CFA9FB8A_52FF_44B9_AE70_27339693E196_.wvu.PrintArea" localSheetId="7" hidden="1">'Database - Tornado Segments'!$A$1:$S$1113</definedName>
    <definedName name="Z_CFA9FB8A_52FF_44B9_AE70_27339693E196_.wvu.PrintArea" localSheetId="8" hidden="1">'Summary - Tornado Segments'!$B$1:$L$103</definedName>
    <definedName name="Z_CFA9FB8A_52FF_44B9_AE70_27339693E196_.wvu.PrintArea" localSheetId="17" hidden="1">'Tornado Segment Distribution'!$A$1:$K$227</definedName>
    <definedName name="Z_CFA9FB8A_52FF_44B9_AE70_27339693E196_.wvu.PrintTitles" localSheetId="7" hidden="1">'Database - Tornado Segments'!$1:$6</definedName>
    <definedName name="Z_CFA9FB8A_52FF_44B9_AE70_27339693E196_.wvu.PrintTitles" localSheetId="8" hidden="1">'Summary - Tornado Segments'!$1:$10</definedName>
  </definedNames>
  <calcPr calcId="145621"/>
  <customWorkbookViews>
    <customWorkbookView name="Alan" guid="{CFA9FB8A-52FF-44B9-AE70-27339693E196}" includeHiddenRowCol="0" maximized="1" xWindow="1" yWindow="1" windowWidth="1061" windowHeight="624" tabRatio="836" activeSheetId="18"/>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 i="26" l="1"/>
  <c r="D3" i="26"/>
  <c r="D9" i="26" s="1"/>
  <c r="C3" i="26"/>
  <c r="C4" i="26" s="1"/>
  <c r="E9" i="26"/>
  <c r="C8" i="26"/>
  <c r="D8" i="26"/>
  <c r="E8" i="26"/>
  <c r="E7" i="26"/>
  <c r="D7" i="26"/>
  <c r="C7" i="26"/>
  <c r="C6" i="26"/>
  <c r="D6" i="26"/>
  <c r="E6" i="26"/>
  <c r="E5" i="26"/>
  <c r="D5" i="26"/>
  <c r="C5" i="26"/>
  <c r="E4" i="26"/>
  <c r="D4" i="26"/>
  <c r="I818" i="26"/>
  <c r="H818" i="26"/>
  <c r="G818" i="26"/>
  <c r="I817" i="26"/>
  <c r="H817" i="26"/>
  <c r="G817" i="26"/>
  <c r="E818" i="26"/>
  <c r="E817" i="26"/>
  <c r="E816" i="26"/>
  <c r="E815" i="26"/>
  <c r="E814" i="26"/>
  <c r="E813" i="26"/>
  <c r="E812" i="26"/>
  <c r="E811" i="26"/>
  <c r="E810" i="26"/>
  <c r="E809" i="26"/>
  <c r="E808" i="26"/>
  <c r="E807" i="26"/>
  <c r="E806" i="26"/>
  <c r="E805" i="26"/>
  <c r="E804" i="26"/>
  <c r="E803" i="26"/>
  <c r="E802" i="26"/>
  <c r="E801" i="26"/>
  <c r="E800" i="26"/>
  <c r="E799" i="26"/>
  <c r="E798" i="26"/>
  <c r="E797" i="26"/>
  <c r="E796" i="26"/>
  <c r="E795" i="26"/>
  <c r="E794" i="26"/>
  <c r="E793" i="26"/>
  <c r="E792" i="26"/>
  <c r="E791" i="26"/>
  <c r="E790" i="26"/>
  <c r="E789" i="26"/>
  <c r="E788" i="26"/>
  <c r="E787" i="26"/>
  <c r="E786" i="26"/>
  <c r="E785" i="26"/>
  <c r="E784" i="26"/>
  <c r="E783" i="26"/>
  <c r="E782" i="26"/>
  <c r="E781" i="26"/>
  <c r="E780" i="26"/>
  <c r="E779" i="26"/>
  <c r="E778" i="26"/>
  <c r="E777" i="26"/>
  <c r="E776" i="26"/>
  <c r="E775" i="26"/>
  <c r="E774" i="26"/>
  <c r="E773" i="26"/>
  <c r="E772" i="26"/>
  <c r="E771" i="26"/>
  <c r="E770" i="26"/>
  <c r="E769" i="26"/>
  <c r="E768" i="26"/>
  <c r="E767" i="26"/>
  <c r="E766" i="26"/>
  <c r="E765" i="26"/>
  <c r="E764" i="26"/>
  <c r="E763" i="26"/>
  <c r="E762" i="26"/>
  <c r="E761" i="26"/>
  <c r="E760" i="26"/>
  <c r="E759" i="26"/>
  <c r="E758" i="26"/>
  <c r="E757" i="26"/>
  <c r="E756" i="26"/>
  <c r="E755" i="26"/>
  <c r="E754" i="26"/>
  <c r="E753" i="26"/>
  <c r="E752" i="26"/>
  <c r="E751" i="26"/>
  <c r="E750" i="26"/>
  <c r="E749" i="26"/>
  <c r="E748" i="26"/>
  <c r="E747" i="26"/>
  <c r="E746" i="26"/>
  <c r="E745" i="26"/>
  <c r="E744" i="26"/>
  <c r="E743" i="26"/>
  <c r="E742" i="26"/>
  <c r="E741" i="26"/>
  <c r="E740" i="26"/>
  <c r="E739" i="26"/>
  <c r="E738" i="26"/>
  <c r="E737" i="26"/>
  <c r="E736" i="26"/>
  <c r="E735" i="26"/>
  <c r="E734" i="26"/>
  <c r="E733" i="26"/>
  <c r="E732" i="26"/>
  <c r="E731" i="26"/>
  <c r="E730" i="26"/>
  <c r="E729" i="26"/>
  <c r="E728" i="26"/>
  <c r="E727" i="26"/>
  <c r="E726" i="26"/>
  <c r="E725" i="26"/>
  <c r="E724" i="26"/>
  <c r="E723" i="26"/>
  <c r="E722" i="26"/>
  <c r="E721" i="26"/>
  <c r="E720" i="26"/>
  <c r="E719" i="26"/>
  <c r="E718" i="26"/>
  <c r="E717" i="26"/>
  <c r="E716" i="26"/>
  <c r="E715" i="26"/>
  <c r="E714" i="26"/>
  <c r="E713" i="26"/>
  <c r="E712" i="26"/>
  <c r="E711" i="26"/>
  <c r="E710" i="26"/>
  <c r="E709" i="26"/>
  <c r="E708" i="26"/>
  <c r="E707" i="26"/>
  <c r="E706" i="26"/>
  <c r="E705" i="26"/>
  <c r="E704" i="26"/>
  <c r="E703" i="26"/>
  <c r="E702" i="26"/>
  <c r="E701" i="26"/>
  <c r="E700" i="26"/>
  <c r="E699" i="26"/>
  <c r="E698" i="26"/>
  <c r="E697" i="26"/>
  <c r="E696" i="26"/>
  <c r="E695" i="26"/>
  <c r="E694" i="26"/>
  <c r="E693" i="26"/>
  <c r="E692" i="26"/>
  <c r="E691" i="26"/>
  <c r="E690" i="26"/>
  <c r="E689" i="26"/>
  <c r="E688" i="26"/>
  <c r="E687" i="26"/>
  <c r="E686" i="26"/>
  <c r="E685" i="26"/>
  <c r="E684" i="26"/>
  <c r="E683" i="26"/>
  <c r="E682" i="26"/>
  <c r="E681" i="26"/>
  <c r="E680" i="26"/>
  <c r="E679" i="26"/>
  <c r="E678" i="26"/>
  <c r="E677" i="26"/>
  <c r="E676" i="26"/>
  <c r="E675" i="26"/>
  <c r="E674" i="26"/>
  <c r="E673" i="26"/>
  <c r="E672" i="26"/>
  <c r="E671" i="26"/>
  <c r="E670" i="26"/>
  <c r="E669" i="26"/>
  <c r="E668" i="26"/>
  <c r="E667" i="26"/>
  <c r="E666" i="26"/>
  <c r="E665" i="26"/>
  <c r="E664" i="26"/>
  <c r="E663" i="26"/>
  <c r="E662" i="26"/>
  <c r="E661" i="26"/>
  <c r="E660" i="26"/>
  <c r="E659" i="26"/>
  <c r="E658" i="26"/>
  <c r="E657" i="26"/>
  <c r="E656" i="26"/>
  <c r="E655" i="26"/>
  <c r="E654" i="26"/>
  <c r="E653" i="26"/>
  <c r="E652" i="26"/>
  <c r="E651" i="26"/>
  <c r="E650" i="26"/>
  <c r="E649" i="26"/>
  <c r="E648" i="26"/>
  <c r="E647" i="26"/>
  <c r="E646" i="26"/>
  <c r="E645" i="26"/>
  <c r="E644" i="26"/>
  <c r="E643" i="26"/>
  <c r="E642" i="26"/>
  <c r="E641" i="26"/>
  <c r="E640" i="26"/>
  <c r="E639" i="26"/>
  <c r="E638" i="26"/>
  <c r="E637" i="26"/>
  <c r="E636" i="26"/>
  <c r="E635" i="26"/>
  <c r="E634" i="26"/>
  <c r="E633" i="26"/>
  <c r="E632" i="26"/>
  <c r="E631" i="26"/>
  <c r="E630" i="26"/>
  <c r="E629" i="26"/>
  <c r="E628" i="26"/>
  <c r="E627" i="26"/>
  <c r="E626" i="26"/>
  <c r="E625" i="26"/>
  <c r="E624" i="26"/>
  <c r="E623" i="26"/>
  <c r="E622" i="26"/>
  <c r="E621" i="26"/>
  <c r="E620" i="26"/>
  <c r="E619" i="26"/>
  <c r="E618" i="26"/>
  <c r="E617" i="26"/>
  <c r="E616" i="26"/>
  <c r="E615" i="26"/>
  <c r="E614" i="26"/>
  <c r="E613" i="26"/>
  <c r="E612" i="26"/>
  <c r="E611" i="26"/>
  <c r="E610" i="26"/>
  <c r="E609" i="26"/>
  <c r="E608" i="26"/>
  <c r="E607" i="26"/>
  <c r="E606" i="26"/>
  <c r="E605" i="26"/>
  <c r="E604" i="26"/>
  <c r="E603" i="26"/>
  <c r="E602" i="26"/>
  <c r="E601" i="26"/>
  <c r="E600" i="26"/>
  <c r="E599" i="26"/>
  <c r="E598" i="26"/>
  <c r="E597" i="26"/>
  <c r="E596" i="26"/>
  <c r="E595" i="26"/>
  <c r="E594" i="26"/>
  <c r="E593" i="26"/>
  <c r="E592" i="26"/>
  <c r="E591" i="26"/>
  <c r="E590" i="26"/>
  <c r="E589" i="26"/>
  <c r="E588" i="26"/>
  <c r="E587" i="26"/>
  <c r="E586" i="26"/>
  <c r="E585" i="26"/>
  <c r="E584" i="26"/>
  <c r="E583" i="26"/>
  <c r="E582" i="26"/>
  <c r="E581" i="26"/>
  <c r="E580" i="26"/>
  <c r="E579" i="26"/>
  <c r="E578" i="26"/>
  <c r="E577" i="26"/>
  <c r="E576" i="26"/>
  <c r="E575" i="26"/>
  <c r="E574" i="26"/>
  <c r="E573" i="26"/>
  <c r="E572" i="26"/>
  <c r="E571" i="26"/>
  <c r="E570" i="26"/>
  <c r="E569" i="26"/>
  <c r="E568" i="26"/>
  <c r="E567" i="26"/>
  <c r="E566" i="26"/>
  <c r="E565" i="26"/>
  <c r="E564" i="26"/>
  <c r="E563" i="26"/>
  <c r="E562" i="26"/>
  <c r="E561" i="26"/>
  <c r="E560" i="26"/>
  <c r="E559" i="26"/>
  <c r="E558" i="26"/>
  <c r="E557" i="26"/>
  <c r="E556" i="26"/>
  <c r="E555" i="26"/>
  <c r="E554" i="26"/>
  <c r="E553" i="26"/>
  <c r="E552" i="26"/>
  <c r="E551" i="26"/>
  <c r="E550" i="26"/>
  <c r="E549" i="26"/>
  <c r="E548" i="26"/>
  <c r="E547" i="26"/>
  <c r="E546" i="26"/>
  <c r="E545" i="26"/>
  <c r="E544" i="26"/>
  <c r="E543" i="26"/>
  <c r="E542" i="26"/>
  <c r="E541" i="26"/>
  <c r="E540" i="26"/>
  <c r="E539" i="26"/>
  <c r="E538" i="26"/>
  <c r="E537" i="26"/>
  <c r="E536" i="26"/>
  <c r="E535" i="26"/>
  <c r="E534" i="26"/>
  <c r="E533" i="26"/>
  <c r="E532" i="26"/>
  <c r="E531" i="26"/>
  <c r="E530" i="26"/>
  <c r="E529" i="26"/>
  <c r="E528" i="26"/>
  <c r="E527" i="26"/>
  <c r="E526" i="26"/>
  <c r="E525" i="26"/>
  <c r="E524" i="26"/>
  <c r="E523" i="26"/>
  <c r="E522" i="26"/>
  <c r="E521" i="26"/>
  <c r="E520" i="26"/>
  <c r="E519" i="26"/>
  <c r="E518" i="26"/>
  <c r="E517" i="26"/>
  <c r="E516" i="26"/>
  <c r="E515" i="26"/>
  <c r="E514" i="26"/>
  <c r="E513" i="26"/>
  <c r="E512" i="26"/>
  <c r="E511" i="26"/>
  <c r="E510" i="26"/>
  <c r="E509" i="26"/>
  <c r="E508" i="26"/>
  <c r="E507" i="26"/>
  <c r="E506" i="26"/>
  <c r="E505" i="26"/>
  <c r="E504" i="26"/>
  <c r="E503" i="26"/>
  <c r="E502" i="26"/>
  <c r="E501" i="26"/>
  <c r="E500" i="26"/>
  <c r="E499" i="26"/>
  <c r="E498" i="26"/>
  <c r="E497" i="26"/>
  <c r="E496" i="26"/>
  <c r="E495" i="26"/>
  <c r="E494" i="26"/>
  <c r="E493" i="26"/>
  <c r="E492" i="26"/>
  <c r="E491" i="26"/>
  <c r="E490" i="26"/>
  <c r="E489" i="26"/>
  <c r="E488" i="26"/>
  <c r="E487" i="26"/>
  <c r="E486" i="26"/>
  <c r="E485" i="26"/>
  <c r="E484" i="26"/>
  <c r="E483" i="26"/>
  <c r="E482" i="26"/>
  <c r="E481" i="26"/>
  <c r="E480" i="26"/>
  <c r="E479" i="26"/>
  <c r="E478" i="26"/>
  <c r="E477" i="26"/>
  <c r="E476" i="26"/>
  <c r="E475" i="26"/>
  <c r="E474" i="26"/>
  <c r="E473" i="26"/>
  <c r="E472" i="26"/>
  <c r="E471" i="26"/>
  <c r="E470" i="26"/>
  <c r="E469" i="26"/>
  <c r="E468" i="26"/>
  <c r="E467" i="26"/>
  <c r="E466" i="26"/>
  <c r="E465" i="26"/>
  <c r="E464" i="26"/>
  <c r="E463" i="26"/>
  <c r="E462" i="26"/>
  <c r="E461" i="26"/>
  <c r="E460" i="26"/>
  <c r="E459" i="26"/>
  <c r="E458" i="26"/>
  <c r="E457" i="26"/>
  <c r="E456" i="26"/>
  <c r="E455" i="26"/>
  <c r="E454" i="26"/>
  <c r="E453" i="26"/>
  <c r="E452" i="26"/>
  <c r="E451" i="26"/>
  <c r="E450" i="26"/>
  <c r="E449" i="26"/>
  <c r="E448" i="26"/>
  <c r="E447" i="26"/>
  <c r="E446" i="26"/>
  <c r="E445" i="26"/>
  <c r="E444" i="26"/>
  <c r="E443" i="26"/>
  <c r="E442" i="26"/>
  <c r="E441" i="26"/>
  <c r="E440" i="26"/>
  <c r="E439" i="26"/>
  <c r="E438" i="26"/>
  <c r="E437" i="26"/>
  <c r="E436" i="26"/>
  <c r="E435" i="26"/>
  <c r="E434" i="26"/>
  <c r="E433" i="26"/>
  <c r="E432" i="26"/>
  <c r="E431" i="26"/>
  <c r="E430" i="26"/>
  <c r="E429" i="26"/>
  <c r="E428" i="26"/>
  <c r="E427" i="26"/>
  <c r="E426" i="26"/>
  <c r="E425" i="26"/>
  <c r="E424" i="26"/>
  <c r="E423" i="26"/>
  <c r="E422" i="26"/>
  <c r="E421" i="26"/>
  <c r="E420" i="26"/>
  <c r="E419" i="26"/>
  <c r="E418" i="26"/>
  <c r="E417" i="26"/>
  <c r="E416" i="26"/>
  <c r="E415" i="26"/>
  <c r="E414" i="26"/>
  <c r="E413" i="26"/>
  <c r="E412" i="26"/>
  <c r="E411" i="26"/>
  <c r="E410" i="26"/>
  <c r="E409" i="26"/>
  <c r="E408" i="26"/>
  <c r="E407" i="26"/>
  <c r="E406" i="26"/>
  <c r="E405" i="26"/>
  <c r="E404" i="26"/>
  <c r="E403" i="26"/>
  <c r="E402" i="26"/>
  <c r="E401" i="26"/>
  <c r="E400" i="26"/>
  <c r="E399" i="26"/>
  <c r="E398" i="26"/>
  <c r="E397" i="26"/>
  <c r="E396" i="26"/>
  <c r="E395" i="26"/>
  <c r="E394" i="26"/>
  <c r="E393" i="26"/>
  <c r="E392" i="26"/>
  <c r="E391" i="26"/>
  <c r="E390" i="26"/>
  <c r="E389" i="26"/>
  <c r="E388" i="26"/>
  <c r="E387" i="26"/>
  <c r="E386" i="26"/>
  <c r="E385" i="26"/>
  <c r="E384" i="26"/>
  <c r="E383" i="26"/>
  <c r="E382" i="26"/>
  <c r="E381" i="26"/>
  <c r="E380" i="26"/>
  <c r="E379" i="26"/>
  <c r="E378" i="26"/>
  <c r="E377" i="26"/>
  <c r="E376" i="26"/>
  <c r="E375" i="26"/>
  <c r="E374" i="26"/>
  <c r="E373" i="26"/>
  <c r="E372" i="26"/>
  <c r="E371" i="26"/>
  <c r="E370" i="26"/>
  <c r="E369" i="26"/>
  <c r="E368" i="26"/>
  <c r="E367" i="26"/>
  <c r="E366" i="26"/>
  <c r="E365" i="26"/>
  <c r="E364" i="26"/>
  <c r="E363" i="26"/>
  <c r="E362" i="26"/>
  <c r="E361" i="26"/>
  <c r="E360" i="26"/>
  <c r="E359" i="26"/>
  <c r="E358" i="26"/>
  <c r="E357" i="26"/>
  <c r="E356" i="26"/>
  <c r="E355" i="26"/>
  <c r="E354" i="26"/>
  <c r="E353" i="26"/>
  <c r="E352" i="26"/>
  <c r="E351" i="26"/>
  <c r="E350" i="26"/>
  <c r="E349" i="26"/>
  <c r="E348" i="26"/>
  <c r="E347" i="26"/>
  <c r="E346" i="26"/>
  <c r="E345" i="26"/>
  <c r="E344" i="26"/>
  <c r="E343" i="26"/>
  <c r="E342" i="26"/>
  <c r="E341" i="26"/>
  <c r="E340" i="26"/>
  <c r="E339" i="26"/>
  <c r="E338" i="26"/>
  <c r="E337" i="26"/>
  <c r="E336" i="26"/>
  <c r="E335" i="26"/>
  <c r="E334" i="26"/>
  <c r="E333" i="26"/>
  <c r="E332" i="26"/>
  <c r="E331" i="26"/>
  <c r="E330" i="26"/>
  <c r="E329" i="26"/>
  <c r="E328" i="26"/>
  <c r="E327" i="26"/>
  <c r="E326" i="26"/>
  <c r="E325" i="26"/>
  <c r="E324" i="26"/>
  <c r="E323" i="26"/>
  <c r="E322" i="26"/>
  <c r="E321" i="26"/>
  <c r="E320" i="26"/>
  <c r="E319" i="26"/>
  <c r="E318" i="26"/>
  <c r="E317" i="26"/>
  <c r="E316" i="26"/>
  <c r="E315" i="26"/>
  <c r="E314" i="26"/>
  <c r="E313" i="26"/>
  <c r="E312" i="26"/>
  <c r="E311" i="26"/>
  <c r="E310" i="26"/>
  <c r="E309" i="26"/>
  <c r="E308" i="26"/>
  <c r="E307" i="26"/>
  <c r="E306" i="26"/>
  <c r="E305" i="26"/>
  <c r="E304" i="26"/>
  <c r="E303" i="26"/>
  <c r="E302" i="26"/>
  <c r="E301" i="26"/>
  <c r="E300" i="26"/>
  <c r="E299" i="26"/>
  <c r="E298" i="26"/>
  <c r="E297" i="26"/>
  <c r="E296" i="26"/>
  <c r="E295" i="26"/>
  <c r="E294" i="26"/>
  <c r="E293" i="26"/>
  <c r="E292" i="26"/>
  <c r="E291" i="26"/>
  <c r="E290" i="26"/>
  <c r="E289" i="26"/>
  <c r="E288" i="26"/>
  <c r="E287" i="26"/>
  <c r="E286" i="26"/>
  <c r="E285" i="26"/>
  <c r="E284" i="26"/>
  <c r="E283" i="26"/>
  <c r="E282" i="26"/>
  <c r="E281" i="26"/>
  <c r="E280" i="26"/>
  <c r="E279" i="26"/>
  <c r="E278" i="26"/>
  <c r="E277" i="26"/>
  <c r="E276" i="26"/>
  <c r="E275" i="26"/>
  <c r="E274" i="26"/>
  <c r="E273" i="26"/>
  <c r="E272" i="26"/>
  <c r="E271" i="26"/>
  <c r="E270" i="26"/>
  <c r="E269" i="26"/>
  <c r="E268" i="26"/>
  <c r="E267" i="26"/>
  <c r="E266" i="26"/>
  <c r="E265" i="26"/>
  <c r="E264" i="26"/>
  <c r="E263" i="26"/>
  <c r="E262" i="26"/>
  <c r="E261" i="26"/>
  <c r="E260" i="26"/>
  <c r="E259" i="26"/>
  <c r="E258" i="26"/>
  <c r="E257" i="26"/>
  <c r="E256" i="26"/>
  <c r="E255" i="26"/>
  <c r="E254" i="26"/>
  <c r="E253" i="26"/>
  <c r="E252" i="26"/>
  <c r="E251" i="26"/>
  <c r="E250" i="26"/>
  <c r="E249" i="26"/>
  <c r="E248" i="26"/>
  <c r="E247" i="26"/>
  <c r="E246" i="26"/>
  <c r="E245" i="26"/>
  <c r="E244" i="26"/>
  <c r="E243" i="26"/>
  <c r="E242" i="26"/>
  <c r="E241" i="26"/>
  <c r="E240" i="26"/>
  <c r="E239" i="26"/>
  <c r="E238" i="26"/>
  <c r="E237" i="26"/>
  <c r="E236" i="26"/>
  <c r="E235" i="26"/>
  <c r="E234" i="26"/>
  <c r="E233" i="26"/>
  <c r="E232" i="26"/>
  <c r="E231" i="26"/>
  <c r="E230" i="26"/>
  <c r="E229" i="26"/>
  <c r="E228" i="26"/>
  <c r="E227" i="26"/>
  <c r="E226" i="26"/>
  <c r="E225" i="26"/>
  <c r="E224" i="26"/>
  <c r="E223" i="26"/>
  <c r="E222" i="26"/>
  <c r="E221" i="26"/>
  <c r="E220" i="26"/>
  <c r="E219" i="26"/>
  <c r="E218" i="26"/>
  <c r="E217" i="26"/>
  <c r="E216" i="26"/>
  <c r="E215" i="26"/>
  <c r="E214" i="26"/>
  <c r="E213" i="26"/>
  <c r="E212" i="26"/>
  <c r="E211" i="26"/>
  <c r="E210" i="26"/>
  <c r="E209" i="26"/>
  <c r="E208" i="26"/>
  <c r="E207" i="26"/>
  <c r="E206" i="26"/>
  <c r="E205" i="26"/>
  <c r="E204" i="26"/>
  <c r="E203" i="26"/>
  <c r="E202" i="26"/>
  <c r="E201" i="26"/>
  <c r="E200" i="26"/>
  <c r="E199" i="26"/>
  <c r="E198" i="26"/>
  <c r="E197" i="26"/>
  <c r="E196" i="26"/>
  <c r="E195" i="26"/>
  <c r="E194" i="26"/>
  <c r="E193" i="26"/>
  <c r="E192" i="26"/>
  <c r="E191" i="26"/>
  <c r="E190" i="26"/>
  <c r="E189" i="26"/>
  <c r="E188" i="26"/>
  <c r="E187" i="26"/>
  <c r="E186" i="26"/>
  <c r="E185" i="26"/>
  <c r="E184" i="26"/>
  <c r="E183" i="26"/>
  <c r="E182" i="26"/>
  <c r="E181" i="26"/>
  <c r="E180" i="26"/>
  <c r="E179" i="26"/>
  <c r="E178" i="26"/>
  <c r="E177" i="26"/>
  <c r="E176" i="26"/>
  <c r="E175" i="26"/>
  <c r="E174" i="26"/>
  <c r="E173" i="26"/>
  <c r="E172" i="26"/>
  <c r="E171" i="26"/>
  <c r="E170" i="26"/>
  <c r="E169" i="26"/>
  <c r="E16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E108" i="26"/>
  <c r="E107" i="26"/>
  <c r="E106" i="26"/>
  <c r="E105" i="26"/>
  <c r="E104"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E19" i="26"/>
  <c r="E18" i="26"/>
  <c r="E17" i="26"/>
  <c r="E16" i="26"/>
  <c r="E15" i="26"/>
  <c r="E14" i="26"/>
  <c r="E13" i="26"/>
  <c r="E12" i="26"/>
  <c r="F818" i="26"/>
  <c r="F817" i="26"/>
  <c r="C26" i="20"/>
  <c r="C25" i="20"/>
  <c r="C24" i="20"/>
  <c r="C23" i="20"/>
  <c r="C22" i="20"/>
  <c r="C19" i="20"/>
  <c r="C18" i="20"/>
  <c r="C17" i="20"/>
  <c r="C16" i="20"/>
  <c r="C15" i="20"/>
  <c r="C12" i="20"/>
  <c r="C11" i="20"/>
  <c r="C10" i="20"/>
  <c r="C9" i="20"/>
  <c r="C8" i="20"/>
  <c r="K1227" i="21"/>
  <c r="K1226" i="21"/>
  <c r="D1227" i="21"/>
  <c r="D1226" i="21"/>
  <c r="C9" i="26" l="1"/>
  <c r="I816" i="26"/>
  <c r="H816" i="26"/>
  <c r="G816" i="26"/>
  <c r="F816" i="26"/>
  <c r="H809" i="3"/>
  <c r="I809" i="3"/>
  <c r="J809" i="3"/>
  <c r="K809" i="3"/>
  <c r="H810" i="3"/>
  <c r="I810" i="3"/>
  <c r="J810" i="3"/>
  <c r="K810" i="3"/>
  <c r="H811" i="3"/>
  <c r="I811" i="3"/>
  <c r="J811" i="3"/>
  <c r="K811" i="3"/>
  <c r="D1223" i="21"/>
  <c r="R1223" i="21" s="1"/>
  <c r="E1223" i="21"/>
  <c r="F1223" i="21"/>
  <c r="P1223" i="21" s="1"/>
  <c r="M1223" i="21"/>
  <c r="K1223" i="21" s="1"/>
  <c r="Q1223" i="21" s="1"/>
  <c r="D1224" i="21"/>
  <c r="R1224" i="21" s="1"/>
  <c r="E1224" i="21"/>
  <c r="F1224" i="21"/>
  <c r="P1224" i="21" s="1"/>
  <c r="M1224" i="21"/>
  <c r="K1224" i="21" s="1"/>
  <c r="Q1224" i="21" s="1"/>
  <c r="D1225" i="21"/>
  <c r="R1225" i="21" s="1"/>
  <c r="E1225" i="21"/>
  <c r="F1225" i="21"/>
  <c r="P1225" i="21" s="1"/>
  <c r="M1225" i="21"/>
  <c r="K1225" i="21" s="1"/>
  <c r="Q1225" i="21" s="1"/>
  <c r="D1275" i="2"/>
  <c r="E1275" i="2"/>
  <c r="F1275" i="2"/>
  <c r="K1275" i="2"/>
  <c r="O1275" i="2"/>
  <c r="Q1275" i="2" s="1"/>
  <c r="U1275" i="2"/>
  <c r="V1275" i="2"/>
  <c r="AA1275" i="2"/>
  <c r="AB1275" i="2"/>
  <c r="AC1275" i="2"/>
  <c r="D1276" i="2"/>
  <c r="E1276" i="2"/>
  <c r="F1276" i="2"/>
  <c r="K1276" i="2"/>
  <c r="O1276" i="2"/>
  <c r="Q1276" i="2" s="1"/>
  <c r="U1276" i="2"/>
  <c r="V1276" i="2"/>
  <c r="AA1276" i="2"/>
  <c r="AB1276" i="2"/>
  <c r="AC1276" i="2"/>
  <c r="D1277" i="2"/>
  <c r="E1277" i="2"/>
  <c r="F1277" i="2"/>
  <c r="V1277" i="2" s="1"/>
  <c r="K1277" i="2"/>
  <c r="M1277" i="2"/>
  <c r="O1277" i="2"/>
  <c r="Q1277" i="2"/>
  <c r="U1277" i="2"/>
  <c r="AA1277" i="2"/>
  <c r="AB1277" i="2"/>
  <c r="AC1277" i="2"/>
  <c r="AD1277" i="2"/>
  <c r="M1276" i="2" l="1"/>
  <c r="AD1276" i="2" s="1"/>
  <c r="M1275" i="2"/>
  <c r="AD1275" i="2" s="1"/>
  <c r="I815" i="26"/>
  <c r="H815" i="26"/>
  <c r="G815" i="26"/>
  <c r="F815" i="26"/>
  <c r="I814" i="26"/>
  <c r="H814" i="26"/>
  <c r="G814" i="26"/>
  <c r="F814" i="26"/>
  <c r="I813" i="26"/>
  <c r="H813" i="26"/>
  <c r="G813" i="26"/>
  <c r="F813" i="26"/>
  <c r="D1222" i="21"/>
  <c r="D8" i="30" l="1"/>
  <c r="C8" i="30"/>
  <c r="D8" i="31"/>
  <c r="C8" i="31"/>
  <c r="I148" i="31"/>
  <c r="H148" i="31"/>
  <c r="G148" i="31"/>
  <c r="I147" i="31"/>
  <c r="H147" i="31"/>
  <c r="G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A147" i="31"/>
  <c r="E147" i="31" s="1"/>
  <c r="F147" i="31" s="1"/>
  <c r="I273" i="30"/>
  <c r="H273" i="30"/>
  <c r="G273" i="30"/>
  <c r="I272" i="30"/>
  <c r="H272" i="30"/>
  <c r="G272" i="30"/>
  <c r="H271" i="30"/>
  <c r="G271" i="30"/>
  <c r="H270" i="30"/>
  <c r="G270" i="30"/>
  <c r="I269" i="30"/>
  <c r="H269" i="30"/>
  <c r="G269" i="30"/>
  <c r="E268" i="30"/>
  <c r="E267" i="30"/>
  <c r="E266" i="30"/>
  <c r="E265" i="30"/>
  <c r="E264" i="30"/>
  <c r="E263" i="30"/>
  <c r="E262" i="30"/>
  <c r="E261" i="30"/>
  <c r="E260" i="30"/>
  <c r="E259" i="30"/>
  <c r="E258" i="30"/>
  <c r="E257" i="30"/>
  <c r="E256" i="30"/>
  <c r="E255" i="30"/>
  <c r="E254" i="30"/>
  <c r="E253" i="30"/>
  <c r="E252" i="30"/>
  <c r="E251" i="30"/>
  <c r="E250" i="30"/>
  <c r="E249" i="30"/>
  <c r="E248" i="30"/>
  <c r="E247" i="30"/>
  <c r="E246" i="30"/>
  <c r="E245" i="30"/>
  <c r="E244" i="30"/>
  <c r="E243" i="30"/>
  <c r="E242" i="30"/>
  <c r="E241" i="30"/>
  <c r="E240" i="30"/>
  <c r="E239" i="30"/>
  <c r="E238" i="30"/>
  <c r="E237" i="30"/>
  <c r="E236" i="30"/>
  <c r="E235" i="30"/>
  <c r="E234" i="30"/>
  <c r="E233" i="30"/>
  <c r="E232" i="30"/>
  <c r="E231" i="30"/>
  <c r="E230" i="30"/>
  <c r="E229" i="30"/>
  <c r="E228" i="30"/>
  <c r="E227" i="30"/>
  <c r="E226" i="30"/>
  <c r="E225" i="30"/>
  <c r="E224" i="30"/>
  <c r="E223" i="30"/>
  <c r="E222" i="30"/>
  <c r="E221" i="30"/>
  <c r="E220" i="30"/>
  <c r="E219" i="30"/>
  <c r="E218" i="30"/>
  <c r="E217" i="30"/>
  <c r="E216" i="30"/>
  <c r="E215" i="30"/>
  <c r="E214" i="30"/>
  <c r="E213" i="30"/>
  <c r="E212" i="30"/>
  <c r="E211" i="30"/>
  <c r="E210" i="30"/>
  <c r="E209" i="30"/>
  <c r="E208" i="30"/>
  <c r="E207" i="30"/>
  <c r="E206" i="30"/>
  <c r="E205" i="30"/>
  <c r="E204" i="30"/>
  <c r="E203" i="30"/>
  <c r="E202" i="30"/>
  <c r="E201" i="30"/>
  <c r="E200" i="30"/>
  <c r="E199" i="30"/>
  <c r="E198" i="30"/>
  <c r="E197" i="30"/>
  <c r="E196" i="30"/>
  <c r="E195" i="30"/>
  <c r="E194"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A269" i="30"/>
  <c r="E269" i="30" s="1"/>
  <c r="D273" i="30"/>
  <c r="D272" i="30"/>
  <c r="D271" i="30"/>
  <c r="I271" i="30" s="1"/>
  <c r="D270" i="30"/>
  <c r="I270" i="30" s="1"/>
  <c r="D269" i="30"/>
  <c r="I812" i="26"/>
  <c r="H812" i="26"/>
  <c r="G812" i="26"/>
  <c r="H811" i="26"/>
  <c r="G811" i="26"/>
  <c r="I810" i="26"/>
  <c r="H810" i="26"/>
  <c r="G810" i="26"/>
  <c r="I809" i="26"/>
  <c r="H809" i="26"/>
  <c r="G809" i="26"/>
  <c r="I808" i="26"/>
  <c r="H808" i="26"/>
  <c r="G808" i="26"/>
  <c r="I807" i="26"/>
  <c r="H807" i="26"/>
  <c r="G807" i="26"/>
  <c r="I806" i="26"/>
  <c r="H806" i="26"/>
  <c r="G806" i="26"/>
  <c r="I805" i="26"/>
  <c r="H805" i="26"/>
  <c r="G805" i="26"/>
  <c r="I804" i="26"/>
  <c r="H804" i="26"/>
  <c r="G804" i="26"/>
  <c r="I803" i="26"/>
  <c r="H803" i="26"/>
  <c r="G803" i="26"/>
  <c r="I802" i="26"/>
  <c r="H802" i="26"/>
  <c r="G802" i="26"/>
  <c r="H801" i="26"/>
  <c r="G801" i="26"/>
  <c r="H800" i="26"/>
  <c r="G800" i="26"/>
  <c r="H799" i="26"/>
  <c r="G799" i="26"/>
  <c r="H798" i="26"/>
  <c r="G798" i="26"/>
  <c r="H797" i="26"/>
  <c r="G797" i="26"/>
  <c r="I796" i="26"/>
  <c r="H796" i="26"/>
  <c r="G796" i="26"/>
  <c r="I795" i="26"/>
  <c r="H795" i="26"/>
  <c r="G795" i="26"/>
  <c r="I794" i="26"/>
  <c r="H794" i="26"/>
  <c r="G794" i="26"/>
  <c r="I793" i="26"/>
  <c r="H793" i="26"/>
  <c r="G793" i="26"/>
  <c r="I792" i="26"/>
  <c r="H792" i="26"/>
  <c r="G792" i="26"/>
  <c r="I791" i="26"/>
  <c r="H791" i="26"/>
  <c r="G791" i="26"/>
  <c r="I790" i="26"/>
  <c r="H790" i="26"/>
  <c r="G790" i="26"/>
  <c r="I789" i="26"/>
  <c r="H789" i="26"/>
  <c r="G789" i="26"/>
  <c r="A789" i="26"/>
  <c r="F789" i="26" s="1"/>
  <c r="H261" i="4"/>
  <c r="H260" i="4"/>
  <c r="H259" i="4"/>
  <c r="H258" i="4"/>
  <c r="H257" i="4"/>
  <c r="H256" i="4"/>
  <c r="H255" i="4"/>
  <c r="H254" i="4"/>
  <c r="H253" i="4"/>
  <c r="H252" i="4"/>
  <c r="H251" i="4"/>
  <c r="H250" i="4"/>
  <c r="H249" i="4"/>
  <c r="F269" i="30" l="1"/>
  <c r="A790" i="26"/>
  <c r="A270" i="30"/>
  <c r="A148" i="31"/>
  <c r="E148" i="31" s="1"/>
  <c r="F148" i="31" s="1"/>
  <c r="D1221" i="21"/>
  <c r="D1220" i="21"/>
  <c r="D1219" i="21"/>
  <c r="D1218" i="21"/>
  <c r="D1217" i="21"/>
  <c r="D1216" i="21"/>
  <c r="D1215" i="21"/>
  <c r="D1214" i="21"/>
  <c r="D1213" i="21"/>
  <c r="D1212" i="21"/>
  <c r="D1211" i="21"/>
  <c r="D1210" i="21"/>
  <c r="D1209" i="21"/>
  <c r="D1208" i="21"/>
  <c r="D1207" i="21"/>
  <c r="D1206" i="21"/>
  <c r="D1205" i="21"/>
  <c r="D1204" i="21"/>
  <c r="D1203" i="21"/>
  <c r="D1202" i="21"/>
  <c r="D1201" i="21"/>
  <c r="D1200" i="21"/>
  <c r="D1199" i="21"/>
  <c r="D1198" i="21"/>
  <c r="D1197" i="21"/>
  <c r="D1196" i="21"/>
  <c r="D1195" i="21"/>
  <c r="D1194" i="21"/>
  <c r="D1193" i="21"/>
  <c r="A271" i="30" l="1"/>
  <c r="E270" i="30"/>
  <c r="F270" i="30" s="1"/>
  <c r="A791" i="26"/>
  <c r="F790" i="26"/>
  <c r="B738" i="15"/>
  <c r="B737" i="15"/>
  <c r="B736" i="15"/>
  <c r="B735" i="15"/>
  <c r="B734" i="15"/>
  <c r="B733" i="15"/>
  <c r="B732" i="15"/>
  <c r="B731" i="15"/>
  <c r="A792" i="26" l="1"/>
  <c r="F791" i="26"/>
  <c r="A272" i="30"/>
  <c r="E271" i="30"/>
  <c r="F271" i="30" s="1"/>
  <c r="H268" i="30"/>
  <c r="G268" i="30"/>
  <c r="I788" i="26"/>
  <c r="H788" i="26"/>
  <c r="G788" i="26"/>
  <c r="H787" i="26"/>
  <c r="G787" i="26"/>
  <c r="H786" i="26"/>
  <c r="G786" i="26"/>
  <c r="I785" i="26"/>
  <c r="H785" i="26"/>
  <c r="G785" i="26"/>
  <c r="I784" i="26"/>
  <c r="H784" i="26"/>
  <c r="G784" i="26"/>
  <c r="H783" i="26"/>
  <c r="G783" i="26"/>
  <c r="I782" i="26"/>
  <c r="H782" i="26"/>
  <c r="G782" i="26"/>
  <c r="F788" i="26"/>
  <c r="F787" i="26"/>
  <c r="F786" i="26"/>
  <c r="F785" i="26"/>
  <c r="F784" i="26"/>
  <c r="F783" i="26"/>
  <c r="F782" i="26"/>
  <c r="H263" i="4"/>
  <c r="H783" i="3"/>
  <c r="H782" i="3"/>
  <c r="H781" i="3"/>
  <c r="H780" i="3"/>
  <c r="H779" i="3"/>
  <c r="H778" i="3"/>
  <c r="H777" i="3"/>
  <c r="AC1112" i="2"/>
  <c r="E272" i="30" l="1"/>
  <c r="F272" i="30" s="1"/>
  <c r="A273" i="30"/>
  <c r="A793" i="26"/>
  <c r="F792" i="26"/>
  <c r="K7" i="2"/>
  <c r="F1192" i="21"/>
  <c r="E1192" i="21"/>
  <c r="F1191" i="21"/>
  <c r="E1191" i="21"/>
  <c r="F1190" i="21"/>
  <c r="E1190" i="21"/>
  <c r="F1189" i="21"/>
  <c r="E1189" i="21"/>
  <c r="F1188" i="21"/>
  <c r="E1188" i="21"/>
  <c r="F1187" i="21"/>
  <c r="E1187" i="21"/>
  <c r="F1186" i="21"/>
  <c r="E1186" i="21"/>
  <c r="F1185" i="21"/>
  <c r="E1185" i="21"/>
  <c r="D1192" i="21"/>
  <c r="D1191" i="21"/>
  <c r="D1190" i="21"/>
  <c r="D1189" i="21"/>
  <c r="D1188" i="21"/>
  <c r="D1187" i="21"/>
  <c r="D1186" i="21"/>
  <c r="D1185" i="21"/>
  <c r="A794" i="26" l="1"/>
  <c r="F793" i="26"/>
  <c r="E273" i="30"/>
  <c r="F273" i="30" s="1"/>
  <c r="I781" i="26"/>
  <c r="H781" i="26"/>
  <c r="G781" i="26"/>
  <c r="F781" i="26"/>
  <c r="H766" i="3"/>
  <c r="K766" i="3" s="1"/>
  <c r="J766" i="3"/>
  <c r="I766" i="3"/>
  <c r="D1184" i="21"/>
  <c r="D1183" i="21"/>
  <c r="D1182" i="21"/>
  <c r="D1181" i="21"/>
  <c r="D1180" i="21"/>
  <c r="D1179" i="21"/>
  <c r="D1178" i="21"/>
  <c r="D1177" i="21"/>
  <c r="D1176" i="21"/>
  <c r="D1175" i="21"/>
  <c r="D1174" i="21"/>
  <c r="D1173" i="21"/>
  <c r="D1172" i="21"/>
  <c r="D1171" i="21"/>
  <c r="D1170" i="21"/>
  <c r="D1169" i="21"/>
  <c r="D1168" i="21"/>
  <c r="D1167" i="21"/>
  <c r="D1166" i="21"/>
  <c r="D1165" i="21"/>
  <c r="D1164" i="21"/>
  <c r="D1163" i="21"/>
  <c r="D1162" i="21"/>
  <c r="D1161" i="21"/>
  <c r="D1160" i="21"/>
  <c r="D1159" i="21"/>
  <c r="D1158" i="21"/>
  <c r="D1157" i="21"/>
  <c r="D1155" i="21"/>
  <c r="D1154" i="21"/>
  <c r="D1153" i="21"/>
  <c r="D1152" i="21"/>
  <c r="D1151" i="21"/>
  <c r="D1150" i="21"/>
  <c r="D1149" i="21"/>
  <c r="D1148" i="21"/>
  <c r="D1147" i="21"/>
  <c r="D1146" i="21"/>
  <c r="D1145" i="21"/>
  <c r="D1144" i="21"/>
  <c r="D1143" i="21"/>
  <c r="D1142" i="21"/>
  <c r="D1141" i="21"/>
  <c r="D1140" i="21"/>
  <c r="D1139" i="21"/>
  <c r="D1138" i="21"/>
  <c r="D1137" i="21"/>
  <c r="D1136" i="21"/>
  <c r="D1135" i="21"/>
  <c r="D1134" i="21"/>
  <c r="D1133" i="21"/>
  <c r="D1132" i="21"/>
  <c r="D1131" i="21"/>
  <c r="D1130" i="21"/>
  <c r="D1129" i="21"/>
  <c r="D1128" i="21"/>
  <c r="D1127" i="21"/>
  <c r="D1126" i="21"/>
  <c r="D1125" i="21"/>
  <c r="D1124" i="21"/>
  <c r="D1123" i="21"/>
  <c r="D1122" i="21"/>
  <c r="D1121" i="21"/>
  <c r="D1120" i="21"/>
  <c r="D1119" i="21"/>
  <c r="D1118" i="21"/>
  <c r="D1117" i="21"/>
  <c r="D1116" i="21"/>
  <c r="D1115" i="21"/>
  <c r="D1114" i="21"/>
  <c r="D1113" i="21"/>
  <c r="D1112" i="21"/>
  <c r="D1111" i="21"/>
  <c r="D1110" i="21"/>
  <c r="D1109" i="21"/>
  <c r="D1108" i="21"/>
  <c r="D1107" i="21"/>
  <c r="D1106" i="21"/>
  <c r="D1105" i="21"/>
  <c r="D1104" i="21"/>
  <c r="D1103" i="21"/>
  <c r="D1102" i="21"/>
  <c r="D1101" i="21"/>
  <c r="D1100" i="21"/>
  <c r="D1099" i="21"/>
  <c r="D1098" i="21"/>
  <c r="D1097" i="21"/>
  <c r="D1096" i="21"/>
  <c r="D1095" i="21"/>
  <c r="D1094" i="21"/>
  <c r="D1093" i="21"/>
  <c r="D1092" i="21"/>
  <c r="D1091" i="21"/>
  <c r="D1090" i="21"/>
  <c r="D1089" i="21"/>
  <c r="D1088" i="21"/>
  <c r="D1087" i="21"/>
  <c r="D1086" i="21"/>
  <c r="D1085" i="21"/>
  <c r="D1084" i="21"/>
  <c r="D1083" i="21"/>
  <c r="D1082" i="21"/>
  <c r="D1081" i="21"/>
  <c r="D1080" i="21"/>
  <c r="D1079" i="21"/>
  <c r="D1078" i="21"/>
  <c r="D1077" i="21"/>
  <c r="D1076" i="21"/>
  <c r="D1075" i="21"/>
  <c r="D1074" i="21"/>
  <c r="D1073" i="21"/>
  <c r="D1072" i="21"/>
  <c r="D1071" i="21"/>
  <c r="D1070" i="21"/>
  <c r="D1069" i="21"/>
  <c r="D1068" i="21"/>
  <c r="D1067" i="21"/>
  <c r="D1066" i="21"/>
  <c r="D1065" i="21"/>
  <c r="D1064" i="21"/>
  <c r="D1063" i="21"/>
  <c r="D1062" i="21"/>
  <c r="D1061" i="21"/>
  <c r="D1060" i="21"/>
  <c r="D1059" i="21"/>
  <c r="D1058" i="21"/>
  <c r="D1057" i="21"/>
  <c r="D1056" i="21"/>
  <c r="D1055" i="21"/>
  <c r="D1054" i="21"/>
  <c r="D1053" i="21"/>
  <c r="D1052" i="21"/>
  <c r="D1051" i="21"/>
  <c r="D1050" i="21"/>
  <c r="D1049" i="21"/>
  <c r="D1048" i="21"/>
  <c r="D1047" i="21"/>
  <c r="D1046" i="21"/>
  <c r="D1045" i="21"/>
  <c r="D1044" i="21"/>
  <c r="D1043" i="21"/>
  <c r="D1042" i="21"/>
  <c r="D1041" i="21"/>
  <c r="D1040" i="21"/>
  <c r="D1039" i="21"/>
  <c r="D1038" i="21"/>
  <c r="D1037" i="21"/>
  <c r="D1036" i="21"/>
  <c r="D1035" i="21"/>
  <c r="D1034" i="21"/>
  <c r="D1033" i="21"/>
  <c r="D1032" i="21"/>
  <c r="D1031" i="21"/>
  <c r="D1030" i="21"/>
  <c r="D1029" i="21"/>
  <c r="D1028" i="21"/>
  <c r="D1027" i="21"/>
  <c r="D1026" i="21"/>
  <c r="D1025" i="21"/>
  <c r="D1024" i="21"/>
  <c r="D1023" i="21"/>
  <c r="D1022" i="21"/>
  <c r="D1021" i="21"/>
  <c r="D1020" i="21"/>
  <c r="D1019" i="21"/>
  <c r="D1018" i="21"/>
  <c r="D1017" i="21"/>
  <c r="D1016" i="21"/>
  <c r="D1015" i="21"/>
  <c r="D1014" i="21"/>
  <c r="D1013" i="21"/>
  <c r="D1012" i="21"/>
  <c r="D1011" i="21"/>
  <c r="D1010" i="21"/>
  <c r="D1009" i="21"/>
  <c r="D1008" i="21"/>
  <c r="D1007" i="21"/>
  <c r="D1006" i="21"/>
  <c r="D1005" i="21"/>
  <c r="D1004" i="21"/>
  <c r="D1003" i="21"/>
  <c r="D1002" i="21"/>
  <c r="D1001" i="21"/>
  <c r="D1000" i="21"/>
  <c r="D999" i="21"/>
  <c r="D998" i="21"/>
  <c r="D997" i="21"/>
  <c r="D996" i="21"/>
  <c r="D995" i="21"/>
  <c r="D994" i="21"/>
  <c r="D993" i="21"/>
  <c r="D992" i="21"/>
  <c r="D991" i="21"/>
  <c r="D990" i="21"/>
  <c r="D989" i="21"/>
  <c r="D988" i="21"/>
  <c r="D987" i="21"/>
  <c r="D986" i="21"/>
  <c r="D985" i="21"/>
  <c r="D984" i="21"/>
  <c r="D983" i="21"/>
  <c r="D982" i="21"/>
  <c r="D981" i="21"/>
  <c r="D980" i="21"/>
  <c r="D979" i="21"/>
  <c r="D978" i="21"/>
  <c r="D977" i="21"/>
  <c r="D976" i="21"/>
  <c r="D975" i="21"/>
  <c r="D974" i="21"/>
  <c r="D973" i="21"/>
  <c r="D972" i="21"/>
  <c r="D971" i="21"/>
  <c r="D970" i="21"/>
  <c r="D969" i="21"/>
  <c r="D968" i="21"/>
  <c r="D967" i="21"/>
  <c r="D966" i="21"/>
  <c r="D965" i="21"/>
  <c r="D964" i="21"/>
  <c r="D963" i="21"/>
  <c r="D962" i="21"/>
  <c r="D961" i="21"/>
  <c r="D960" i="21"/>
  <c r="D959" i="21"/>
  <c r="D958" i="21"/>
  <c r="D957" i="21"/>
  <c r="D956" i="21"/>
  <c r="D955" i="21"/>
  <c r="D954" i="21"/>
  <c r="D953" i="21"/>
  <c r="D952" i="21"/>
  <c r="D951" i="21"/>
  <c r="D950" i="21"/>
  <c r="D949" i="21"/>
  <c r="D948" i="21"/>
  <c r="D947" i="21"/>
  <c r="D946" i="21"/>
  <c r="D945" i="21"/>
  <c r="D944" i="21"/>
  <c r="D943" i="21"/>
  <c r="D942" i="21"/>
  <c r="D941" i="21"/>
  <c r="D940" i="21"/>
  <c r="D939" i="21"/>
  <c r="D938" i="21"/>
  <c r="D937" i="21"/>
  <c r="D936" i="21"/>
  <c r="D935" i="21"/>
  <c r="D934" i="21"/>
  <c r="D933" i="21"/>
  <c r="D932" i="21"/>
  <c r="D931" i="21"/>
  <c r="D930" i="21"/>
  <c r="D929" i="21"/>
  <c r="D928" i="21"/>
  <c r="D927" i="21"/>
  <c r="D926" i="21"/>
  <c r="D925" i="21"/>
  <c r="D924" i="21"/>
  <c r="D923" i="21"/>
  <c r="D922" i="21"/>
  <c r="D921" i="21"/>
  <c r="D920" i="21"/>
  <c r="D919" i="21"/>
  <c r="D918" i="21"/>
  <c r="D917" i="21"/>
  <c r="D916" i="21"/>
  <c r="D915" i="21"/>
  <c r="D914" i="21"/>
  <c r="D913" i="21"/>
  <c r="D912" i="21"/>
  <c r="D911" i="21"/>
  <c r="D910" i="21"/>
  <c r="D909" i="21"/>
  <c r="D908" i="21"/>
  <c r="D907" i="21"/>
  <c r="D906" i="21"/>
  <c r="D905" i="21"/>
  <c r="D904" i="21"/>
  <c r="D903" i="21"/>
  <c r="D902" i="21"/>
  <c r="D901" i="21"/>
  <c r="D900" i="21"/>
  <c r="D899" i="21"/>
  <c r="D898" i="21"/>
  <c r="D897" i="21"/>
  <c r="D896" i="21"/>
  <c r="D895" i="21"/>
  <c r="D894" i="21"/>
  <c r="D893" i="21"/>
  <c r="D892" i="21"/>
  <c r="D891" i="21"/>
  <c r="D890" i="21"/>
  <c r="D889" i="21"/>
  <c r="D888" i="21"/>
  <c r="D887" i="21"/>
  <c r="D886" i="21"/>
  <c r="D885" i="21"/>
  <c r="D884" i="21"/>
  <c r="D883" i="21"/>
  <c r="D882" i="21"/>
  <c r="D881" i="21"/>
  <c r="D880" i="21"/>
  <c r="D879" i="21"/>
  <c r="D878" i="21"/>
  <c r="D877" i="21"/>
  <c r="D876" i="21"/>
  <c r="D875" i="21"/>
  <c r="D874" i="21"/>
  <c r="D873" i="21"/>
  <c r="D872" i="21"/>
  <c r="D871" i="21"/>
  <c r="D870" i="21"/>
  <c r="D869" i="21"/>
  <c r="D868" i="21"/>
  <c r="D867" i="21"/>
  <c r="D866" i="21"/>
  <c r="D865" i="21"/>
  <c r="D864" i="21"/>
  <c r="D863" i="21"/>
  <c r="D862" i="21"/>
  <c r="D861" i="21"/>
  <c r="D860" i="21"/>
  <c r="D859" i="21"/>
  <c r="D858" i="21"/>
  <c r="D857" i="21"/>
  <c r="D856" i="21"/>
  <c r="D855" i="21"/>
  <c r="D854" i="21"/>
  <c r="D853" i="21"/>
  <c r="D852" i="21"/>
  <c r="D851" i="21"/>
  <c r="D850" i="21"/>
  <c r="D849" i="21"/>
  <c r="D848" i="21"/>
  <c r="D847" i="21"/>
  <c r="D846" i="21"/>
  <c r="D845" i="21"/>
  <c r="D844" i="21"/>
  <c r="D843" i="21"/>
  <c r="D842" i="21"/>
  <c r="D841" i="21"/>
  <c r="D840" i="21"/>
  <c r="D839" i="21"/>
  <c r="D838" i="21"/>
  <c r="D837" i="21"/>
  <c r="D836" i="21"/>
  <c r="D835" i="21"/>
  <c r="D834" i="21"/>
  <c r="D833" i="21"/>
  <c r="D832" i="21"/>
  <c r="D831" i="21"/>
  <c r="D830" i="21"/>
  <c r="D829" i="21"/>
  <c r="D828" i="21"/>
  <c r="D827" i="21"/>
  <c r="D826" i="21"/>
  <c r="D825" i="21"/>
  <c r="D824" i="21"/>
  <c r="D823" i="21"/>
  <c r="D822" i="21"/>
  <c r="D821" i="21"/>
  <c r="D820" i="21"/>
  <c r="D819" i="21"/>
  <c r="D818" i="21"/>
  <c r="D817" i="21"/>
  <c r="D816" i="21"/>
  <c r="D815" i="21"/>
  <c r="D814" i="21"/>
  <c r="D813" i="21"/>
  <c r="D812" i="21"/>
  <c r="D811" i="21"/>
  <c r="D810" i="21"/>
  <c r="D809" i="21"/>
  <c r="D808" i="21"/>
  <c r="D807" i="21"/>
  <c r="D806" i="21"/>
  <c r="D805" i="21"/>
  <c r="D804" i="21"/>
  <c r="D803" i="21"/>
  <c r="D802" i="21"/>
  <c r="D801" i="21"/>
  <c r="D800" i="21"/>
  <c r="D799" i="21"/>
  <c r="D798" i="21"/>
  <c r="D797" i="21"/>
  <c r="D796" i="21"/>
  <c r="D795" i="21"/>
  <c r="D794" i="21"/>
  <c r="D793" i="21"/>
  <c r="D792" i="21"/>
  <c r="D791" i="21"/>
  <c r="D790" i="21"/>
  <c r="D789" i="21"/>
  <c r="D788" i="21"/>
  <c r="D787" i="21"/>
  <c r="D786" i="21"/>
  <c r="D785" i="21"/>
  <c r="D784" i="21"/>
  <c r="D783" i="21"/>
  <c r="D782" i="21"/>
  <c r="D781" i="21"/>
  <c r="D780" i="21"/>
  <c r="D779" i="21"/>
  <c r="D778" i="21"/>
  <c r="D777" i="21"/>
  <c r="D776" i="21"/>
  <c r="D775" i="21"/>
  <c r="D774" i="21"/>
  <c r="D773" i="21"/>
  <c r="D772" i="21"/>
  <c r="D771" i="21"/>
  <c r="D770" i="21"/>
  <c r="D769" i="21"/>
  <c r="D768" i="21"/>
  <c r="D767" i="21"/>
  <c r="D766" i="21"/>
  <c r="D765" i="21"/>
  <c r="D764" i="21"/>
  <c r="D763" i="21"/>
  <c r="D762" i="21"/>
  <c r="D761" i="21"/>
  <c r="D760" i="21"/>
  <c r="D759" i="21"/>
  <c r="D758" i="21"/>
  <c r="D757" i="21"/>
  <c r="D756" i="21"/>
  <c r="D755" i="21"/>
  <c r="D754" i="21"/>
  <c r="D753" i="21"/>
  <c r="D752" i="21"/>
  <c r="D751" i="21"/>
  <c r="D750" i="21"/>
  <c r="D749" i="21"/>
  <c r="D748" i="21"/>
  <c r="D747" i="21"/>
  <c r="D746" i="21"/>
  <c r="D745" i="21"/>
  <c r="D744" i="21"/>
  <c r="D743" i="21"/>
  <c r="D742" i="21"/>
  <c r="D741" i="21"/>
  <c r="D740" i="21"/>
  <c r="D739" i="21"/>
  <c r="D738" i="21"/>
  <c r="D737" i="21"/>
  <c r="D736" i="21"/>
  <c r="D735" i="21"/>
  <c r="D734" i="21"/>
  <c r="D733" i="21"/>
  <c r="D732" i="21"/>
  <c r="D731" i="21"/>
  <c r="D730" i="21"/>
  <c r="D729" i="21"/>
  <c r="D728" i="21"/>
  <c r="D727" i="21"/>
  <c r="D726" i="21"/>
  <c r="D725" i="21"/>
  <c r="D724" i="21"/>
  <c r="D723" i="21"/>
  <c r="D722" i="21"/>
  <c r="D721" i="21"/>
  <c r="D720" i="21"/>
  <c r="D719" i="21"/>
  <c r="D718" i="21"/>
  <c r="D717" i="21"/>
  <c r="D716" i="21"/>
  <c r="D715" i="21"/>
  <c r="D714" i="21"/>
  <c r="D713" i="21"/>
  <c r="D712" i="21"/>
  <c r="D711" i="21"/>
  <c r="D710" i="21"/>
  <c r="D709" i="21"/>
  <c r="D708" i="21"/>
  <c r="D707" i="21"/>
  <c r="D706" i="21"/>
  <c r="D705" i="21"/>
  <c r="D704" i="21"/>
  <c r="D703" i="21"/>
  <c r="D702" i="21"/>
  <c r="D701" i="21"/>
  <c r="D700" i="21"/>
  <c r="D699" i="21"/>
  <c r="D698" i="21"/>
  <c r="D697" i="21"/>
  <c r="D696" i="21"/>
  <c r="D695" i="21"/>
  <c r="D694" i="21"/>
  <c r="D693" i="21"/>
  <c r="D692" i="21"/>
  <c r="D691" i="21"/>
  <c r="D690" i="21"/>
  <c r="D689" i="21"/>
  <c r="D688" i="21"/>
  <c r="D687" i="21"/>
  <c r="D686" i="21"/>
  <c r="D685" i="21"/>
  <c r="D684" i="21"/>
  <c r="D683" i="21"/>
  <c r="D682" i="21"/>
  <c r="D681" i="21"/>
  <c r="D680" i="21"/>
  <c r="D679" i="21"/>
  <c r="D678" i="21"/>
  <c r="D677" i="21"/>
  <c r="D676" i="21"/>
  <c r="D675" i="21"/>
  <c r="D674" i="21"/>
  <c r="D673" i="21"/>
  <c r="D672" i="21"/>
  <c r="D671" i="21"/>
  <c r="D670" i="21"/>
  <c r="D669" i="21"/>
  <c r="D668" i="21"/>
  <c r="D667" i="21"/>
  <c r="D666" i="21"/>
  <c r="D665" i="21"/>
  <c r="D664" i="21"/>
  <c r="D663" i="21"/>
  <c r="D662" i="21"/>
  <c r="D661" i="21"/>
  <c r="D660" i="21"/>
  <c r="D659" i="21"/>
  <c r="D658" i="21"/>
  <c r="D657" i="21"/>
  <c r="D656" i="21"/>
  <c r="D655" i="21"/>
  <c r="D654" i="21"/>
  <c r="D653" i="21"/>
  <c r="D652" i="21"/>
  <c r="D651" i="21"/>
  <c r="D650" i="21"/>
  <c r="D649" i="21"/>
  <c r="D648" i="21"/>
  <c r="D647" i="21"/>
  <c r="D646" i="21"/>
  <c r="D645" i="21"/>
  <c r="D644" i="21"/>
  <c r="D643" i="21"/>
  <c r="D642" i="21"/>
  <c r="D641" i="21"/>
  <c r="D640" i="21"/>
  <c r="D639" i="21"/>
  <c r="D638" i="21"/>
  <c r="D637" i="21"/>
  <c r="D636" i="21"/>
  <c r="D635" i="21"/>
  <c r="D634" i="21"/>
  <c r="D633" i="21"/>
  <c r="D632" i="21"/>
  <c r="D631" i="21"/>
  <c r="D630" i="21"/>
  <c r="D629" i="21"/>
  <c r="D628" i="21"/>
  <c r="D627" i="21"/>
  <c r="D626" i="21"/>
  <c r="D625" i="21"/>
  <c r="D624" i="21"/>
  <c r="D623" i="21"/>
  <c r="D622" i="21"/>
  <c r="D621" i="21"/>
  <c r="D620" i="21"/>
  <c r="D619" i="21"/>
  <c r="D618" i="21"/>
  <c r="D617" i="21"/>
  <c r="D616" i="21"/>
  <c r="D615" i="21"/>
  <c r="D614" i="21"/>
  <c r="D613" i="21"/>
  <c r="D612" i="21"/>
  <c r="D611" i="21"/>
  <c r="D610" i="21"/>
  <c r="D609" i="21"/>
  <c r="D608" i="21"/>
  <c r="D607" i="21"/>
  <c r="D606" i="21"/>
  <c r="D605" i="21"/>
  <c r="D604" i="21"/>
  <c r="D603" i="21"/>
  <c r="D602" i="21"/>
  <c r="D601" i="21"/>
  <c r="D600" i="21"/>
  <c r="D599" i="21"/>
  <c r="D598" i="21"/>
  <c r="D597" i="21"/>
  <c r="D596" i="21"/>
  <c r="D595" i="21"/>
  <c r="D594" i="21"/>
  <c r="D593" i="21"/>
  <c r="D592" i="21"/>
  <c r="D591" i="21"/>
  <c r="D590" i="21"/>
  <c r="D589" i="21"/>
  <c r="D588" i="21"/>
  <c r="D587" i="21"/>
  <c r="D586" i="21"/>
  <c r="D585" i="21"/>
  <c r="D584" i="21"/>
  <c r="D583" i="21"/>
  <c r="D582" i="21"/>
  <c r="D581" i="21"/>
  <c r="D580" i="21"/>
  <c r="D579" i="21"/>
  <c r="D578" i="21"/>
  <c r="D577" i="21"/>
  <c r="D576" i="21"/>
  <c r="D575" i="21"/>
  <c r="D574" i="21"/>
  <c r="D573" i="21"/>
  <c r="D572" i="21"/>
  <c r="D571" i="21"/>
  <c r="D570" i="21"/>
  <c r="D569" i="21"/>
  <c r="D568" i="21"/>
  <c r="D567" i="21"/>
  <c r="D566" i="21"/>
  <c r="D565" i="21"/>
  <c r="D564" i="21"/>
  <c r="D563" i="21"/>
  <c r="D562" i="21"/>
  <c r="D561" i="21"/>
  <c r="D560" i="21"/>
  <c r="D559" i="21"/>
  <c r="D558" i="21"/>
  <c r="D557" i="21"/>
  <c r="D556" i="21"/>
  <c r="D555" i="21"/>
  <c r="D554" i="21"/>
  <c r="D553" i="21"/>
  <c r="D552" i="21"/>
  <c r="D551" i="21"/>
  <c r="D550" i="21"/>
  <c r="D549" i="21"/>
  <c r="D548" i="21"/>
  <c r="D547" i="21"/>
  <c r="D546" i="21"/>
  <c r="D545" i="21"/>
  <c r="D544" i="21"/>
  <c r="D543" i="21"/>
  <c r="D542" i="21"/>
  <c r="D541" i="21"/>
  <c r="D540" i="21"/>
  <c r="D539" i="21"/>
  <c r="D538" i="21"/>
  <c r="D537" i="21"/>
  <c r="D536" i="21"/>
  <c r="D535" i="21"/>
  <c r="D534" i="21"/>
  <c r="D533" i="21"/>
  <c r="D532" i="21"/>
  <c r="D531" i="21"/>
  <c r="D530" i="21"/>
  <c r="D529" i="21"/>
  <c r="D528" i="21"/>
  <c r="D527" i="21"/>
  <c r="D526" i="21"/>
  <c r="D525" i="21"/>
  <c r="D524" i="21"/>
  <c r="D523" i="21"/>
  <c r="D522" i="21"/>
  <c r="D521" i="21"/>
  <c r="D520" i="21"/>
  <c r="D519" i="21"/>
  <c r="D518" i="21"/>
  <c r="D517" i="21"/>
  <c r="D516" i="21"/>
  <c r="D515" i="21"/>
  <c r="D514" i="21"/>
  <c r="D513" i="21"/>
  <c r="D512" i="21"/>
  <c r="D511" i="21"/>
  <c r="D510" i="21"/>
  <c r="D509" i="21"/>
  <c r="D508" i="21"/>
  <c r="D507" i="21"/>
  <c r="D506" i="21"/>
  <c r="D505" i="21"/>
  <c r="D504" i="21"/>
  <c r="D503" i="21"/>
  <c r="D502" i="21"/>
  <c r="D501" i="21"/>
  <c r="D500" i="21"/>
  <c r="D499" i="21"/>
  <c r="D498" i="21"/>
  <c r="D497" i="21"/>
  <c r="D496" i="21"/>
  <c r="D495" i="21"/>
  <c r="D494" i="21"/>
  <c r="D493" i="21"/>
  <c r="D492" i="21"/>
  <c r="D491" i="21"/>
  <c r="D490" i="21"/>
  <c r="D489" i="21"/>
  <c r="D488" i="21"/>
  <c r="D487" i="21"/>
  <c r="D486" i="21"/>
  <c r="D485" i="21"/>
  <c r="D484" i="21"/>
  <c r="D483" i="21"/>
  <c r="D482" i="21"/>
  <c r="D481" i="21"/>
  <c r="D480" i="21"/>
  <c r="D479" i="21"/>
  <c r="D478" i="21"/>
  <c r="D477" i="21"/>
  <c r="D476" i="21"/>
  <c r="D475" i="21"/>
  <c r="D474" i="21"/>
  <c r="D473" i="21"/>
  <c r="D472" i="21"/>
  <c r="D471" i="21"/>
  <c r="D470" i="21"/>
  <c r="D469" i="21"/>
  <c r="D468" i="21"/>
  <c r="D467" i="21"/>
  <c r="D466" i="21"/>
  <c r="D465" i="21"/>
  <c r="D464" i="21"/>
  <c r="D463" i="21"/>
  <c r="D462" i="21"/>
  <c r="D461" i="21"/>
  <c r="D460" i="21"/>
  <c r="D459" i="21"/>
  <c r="D458" i="21"/>
  <c r="D457" i="21"/>
  <c r="D456" i="21"/>
  <c r="D455" i="21"/>
  <c r="D454" i="21"/>
  <c r="D453" i="21"/>
  <c r="D452" i="21"/>
  <c r="D451" i="21"/>
  <c r="D450" i="21"/>
  <c r="D449" i="21"/>
  <c r="D448" i="21"/>
  <c r="D447" i="21"/>
  <c r="D446" i="21"/>
  <c r="D445" i="21"/>
  <c r="D444" i="21"/>
  <c r="D443" i="21"/>
  <c r="D442" i="21"/>
  <c r="D441" i="21"/>
  <c r="D440" i="21"/>
  <c r="D439" i="21"/>
  <c r="D438" i="21"/>
  <c r="D437" i="21"/>
  <c r="D436" i="21"/>
  <c r="D435" i="21"/>
  <c r="D434" i="21"/>
  <c r="D433" i="21"/>
  <c r="D432" i="21"/>
  <c r="D431" i="21"/>
  <c r="D430" i="21"/>
  <c r="D429" i="21"/>
  <c r="D428" i="21"/>
  <c r="D427" i="21"/>
  <c r="D426" i="21"/>
  <c r="D425" i="21"/>
  <c r="D424" i="21"/>
  <c r="D423" i="21"/>
  <c r="D422" i="21"/>
  <c r="D421" i="21"/>
  <c r="D420" i="21"/>
  <c r="D419" i="21"/>
  <c r="D418" i="21"/>
  <c r="D417" i="21"/>
  <c r="D416" i="21"/>
  <c r="D415" i="21"/>
  <c r="D414" i="21"/>
  <c r="D413" i="21"/>
  <c r="D412" i="21"/>
  <c r="D411" i="21"/>
  <c r="D410" i="21"/>
  <c r="D409" i="21"/>
  <c r="D408" i="21"/>
  <c r="D407" i="21"/>
  <c r="D406" i="21"/>
  <c r="D405" i="21"/>
  <c r="D404" i="21"/>
  <c r="D403" i="21"/>
  <c r="D402" i="21"/>
  <c r="D401" i="21"/>
  <c r="D400" i="21"/>
  <c r="D399" i="21"/>
  <c r="D398" i="21"/>
  <c r="D397" i="21"/>
  <c r="D396" i="21"/>
  <c r="D395" i="21"/>
  <c r="D394" i="21"/>
  <c r="D393" i="21"/>
  <c r="D392" i="21"/>
  <c r="D391" i="21"/>
  <c r="D390" i="21"/>
  <c r="D389" i="21"/>
  <c r="D388" i="21"/>
  <c r="D387" i="21"/>
  <c r="D386" i="21"/>
  <c r="D385" i="21"/>
  <c r="D384" i="21"/>
  <c r="D383" i="21"/>
  <c r="D382" i="21"/>
  <c r="D381" i="21"/>
  <c r="D380" i="21"/>
  <c r="D379" i="21"/>
  <c r="D378" i="21"/>
  <c r="D377" i="21"/>
  <c r="D376" i="21"/>
  <c r="D375" i="21"/>
  <c r="D374" i="21"/>
  <c r="D373" i="21"/>
  <c r="D372" i="21"/>
  <c r="D371" i="21"/>
  <c r="D370" i="21"/>
  <c r="D369" i="21"/>
  <c r="D368" i="21"/>
  <c r="D367" i="21"/>
  <c r="D366" i="21"/>
  <c r="D365" i="21"/>
  <c r="D364" i="21"/>
  <c r="D363" i="21"/>
  <c r="D362" i="21"/>
  <c r="D361" i="21"/>
  <c r="D360" i="21"/>
  <c r="D359" i="21"/>
  <c r="D358" i="21"/>
  <c r="D357" i="21"/>
  <c r="D356" i="21"/>
  <c r="D355" i="21"/>
  <c r="D354" i="21"/>
  <c r="D353" i="21"/>
  <c r="D352" i="21"/>
  <c r="D351" i="21"/>
  <c r="D350" i="21"/>
  <c r="D349" i="21"/>
  <c r="D348" i="21"/>
  <c r="D347" i="21"/>
  <c r="D346" i="21"/>
  <c r="D345" i="21"/>
  <c r="D344" i="21"/>
  <c r="D343" i="21"/>
  <c r="D342" i="21"/>
  <c r="D341" i="21"/>
  <c r="D340" i="21"/>
  <c r="D339" i="21"/>
  <c r="D338" i="21"/>
  <c r="D337" i="21"/>
  <c r="D336" i="21"/>
  <c r="D335" i="21"/>
  <c r="D334" i="21"/>
  <c r="D333" i="21"/>
  <c r="D332" i="21"/>
  <c r="D331" i="21"/>
  <c r="D330" i="21"/>
  <c r="D329" i="21"/>
  <c r="D328" i="21"/>
  <c r="D327" i="21"/>
  <c r="D326" i="21"/>
  <c r="D325" i="21"/>
  <c r="D324" i="21"/>
  <c r="D323" i="21"/>
  <c r="D322" i="21"/>
  <c r="D321" i="21"/>
  <c r="D320" i="21"/>
  <c r="D319" i="21"/>
  <c r="D318" i="21"/>
  <c r="D317" i="21"/>
  <c r="D316" i="21"/>
  <c r="D315" i="21"/>
  <c r="D314" i="21"/>
  <c r="D313" i="21"/>
  <c r="D312" i="21"/>
  <c r="D311" i="21"/>
  <c r="D310" i="21"/>
  <c r="D309" i="21"/>
  <c r="D308" i="21"/>
  <c r="D307" i="21"/>
  <c r="D306" i="21"/>
  <c r="D305" i="21"/>
  <c r="D304" i="21"/>
  <c r="D303" i="21"/>
  <c r="D302" i="21"/>
  <c r="D301" i="21"/>
  <c r="D300" i="21"/>
  <c r="D299" i="21"/>
  <c r="D298" i="21"/>
  <c r="D297" i="21"/>
  <c r="D296" i="21"/>
  <c r="D295" i="21"/>
  <c r="D294" i="21"/>
  <c r="D293" i="21"/>
  <c r="D292" i="21"/>
  <c r="D291" i="21"/>
  <c r="D290" i="21"/>
  <c r="D289" i="21"/>
  <c r="D288" i="21"/>
  <c r="D287" i="21"/>
  <c r="D286" i="21"/>
  <c r="D285" i="21"/>
  <c r="D284" i="21"/>
  <c r="D283" i="21"/>
  <c r="D282" i="21"/>
  <c r="D281" i="21"/>
  <c r="D280" i="21"/>
  <c r="D279" i="21"/>
  <c r="D278" i="21"/>
  <c r="D277" i="21"/>
  <c r="D276" i="21"/>
  <c r="D275" i="21"/>
  <c r="D274" i="21"/>
  <c r="D273" i="21"/>
  <c r="D272" i="21"/>
  <c r="D271" i="21"/>
  <c r="D270" i="21"/>
  <c r="D269" i="21"/>
  <c r="D268" i="21"/>
  <c r="D267" i="21"/>
  <c r="D266" i="21"/>
  <c r="D265" i="21"/>
  <c r="D264" i="21"/>
  <c r="D263" i="21"/>
  <c r="D262" i="21"/>
  <c r="D261" i="21"/>
  <c r="D260" i="21"/>
  <c r="D259" i="21"/>
  <c r="D258" i="21"/>
  <c r="D257" i="21"/>
  <c r="D256" i="21"/>
  <c r="D255" i="21"/>
  <c r="D254" i="21"/>
  <c r="D253" i="21"/>
  <c r="D252" i="21"/>
  <c r="D251" i="21"/>
  <c r="D250" i="21"/>
  <c r="D249" i="21"/>
  <c r="D248" i="21"/>
  <c r="D247" i="21"/>
  <c r="D246" i="21"/>
  <c r="D245" i="21"/>
  <c r="D244" i="21"/>
  <c r="D243" i="21"/>
  <c r="D242" i="21"/>
  <c r="D241" i="21"/>
  <c r="D240" i="21"/>
  <c r="D239" i="21"/>
  <c r="D238" i="21"/>
  <c r="D237" i="21"/>
  <c r="D236" i="21"/>
  <c r="D235" i="21"/>
  <c r="D234" i="21"/>
  <c r="D233" i="21"/>
  <c r="D232" i="21"/>
  <c r="D231" i="21"/>
  <c r="D230" i="21"/>
  <c r="D229" i="21"/>
  <c r="D228" i="21"/>
  <c r="D227" i="21"/>
  <c r="D226" i="21"/>
  <c r="D225" i="21"/>
  <c r="D224" i="21"/>
  <c r="D223" i="21"/>
  <c r="D222" i="21"/>
  <c r="D221" i="21"/>
  <c r="D220" i="21"/>
  <c r="D219" i="21"/>
  <c r="D218" i="21"/>
  <c r="D217" i="21"/>
  <c r="D216" i="21"/>
  <c r="D215" i="21"/>
  <c r="D214" i="21"/>
  <c r="D213" i="21"/>
  <c r="D212" i="21"/>
  <c r="D211" i="21"/>
  <c r="D210" i="21"/>
  <c r="D209" i="21"/>
  <c r="D208" i="21"/>
  <c r="D207" i="21"/>
  <c r="D206" i="21"/>
  <c r="D205" i="21"/>
  <c r="D204" i="21"/>
  <c r="D203" i="21"/>
  <c r="D202" i="21"/>
  <c r="D201" i="21"/>
  <c r="D200" i="21"/>
  <c r="D199" i="21"/>
  <c r="D198" i="21"/>
  <c r="D197" i="21"/>
  <c r="D196" i="21"/>
  <c r="D195" i="21"/>
  <c r="D194" i="21"/>
  <c r="D193" i="21"/>
  <c r="D192" i="21"/>
  <c r="D191" i="21"/>
  <c r="D190" i="21"/>
  <c r="D189" i="21"/>
  <c r="D188" i="21"/>
  <c r="D187" i="21"/>
  <c r="D186" i="21"/>
  <c r="D185" i="21"/>
  <c r="D184" i="21"/>
  <c r="D183" i="21"/>
  <c r="D182" i="21"/>
  <c r="D181" i="21"/>
  <c r="D180" i="21"/>
  <c r="D179" i="21"/>
  <c r="D178" i="21"/>
  <c r="D177" i="21"/>
  <c r="D176" i="21"/>
  <c r="D175" i="21"/>
  <c r="D174" i="21"/>
  <c r="D173" i="21"/>
  <c r="D172" i="21"/>
  <c r="D171" i="21"/>
  <c r="D170" i="21"/>
  <c r="D169" i="21"/>
  <c r="D168" i="21"/>
  <c r="D167" i="21"/>
  <c r="D166" i="21"/>
  <c r="D165" i="21"/>
  <c r="D164" i="21"/>
  <c r="D163" i="21"/>
  <c r="D162" i="21"/>
  <c r="D161" i="21"/>
  <c r="D160" i="21"/>
  <c r="D159" i="21"/>
  <c r="D158" i="21"/>
  <c r="D157" i="21"/>
  <c r="D156" i="21"/>
  <c r="D155" i="21"/>
  <c r="D154" i="21"/>
  <c r="D153" i="21"/>
  <c r="D152" i="21"/>
  <c r="D151" i="21"/>
  <c r="D150" i="21"/>
  <c r="D149" i="21"/>
  <c r="D148" i="21"/>
  <c r="D147" i="21"/>
  <c r="D146" i="21"/>
  <c r="D145" i="21"/>
  <c r="D144" i="21"/>
  <c r="D143" i="21"/>
  <c r="D142" i="21"/>
  <c r="D141" i="21"/>
  <c r="D140" i="21"/>
  <c r="D139" i="21"/>
  <c r="D138" i="21"/>
  <c r="D137" i="21"/>
  <c r="D136" i="21"/>
  <c r="D135" i="21"/>
  <c r="D134" i="21"/>
  <c r="D133" i="21"/>
  <c r="D132" i="21"/>
  <c r="D131" i="21"/>
  <c r="D130" i="21"/>
  <c r="D129" i="21"/>
  <c r="D128" i="21"/>
  <c r="D127" i="21"/>
  <c r="D126" i="21"/>
  <c r="D125" i="21"/>
  <c r="D124" i="21"/>
  <c r="D123" i="21"/>
  <c r="D122" i="21"/>
  <c r="D121" i="21"/>
  <c r="D120" i="21"/>
  <c r="D119" i="21"/>
  <c r="D118" i="21"/>
  <c r="D117" i="21"/>
  <c r="D116" i="21"/>
  <c r="D115" i="21"/>
  <c r="D114" i="21"/>
  <c r="D113" i="21"/>
  <c r="D112" i="21"/>
  <c r="D111" i="21"/>
  <c r="D110" i="21"/>
  <c r="D109" i="21"/>
  <c r="D108" i="21"/>
  <c r="D107" i="2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6" i="21"/>
  <c r="D5" i="21"/>
  <c r="A795" i="26" l="1"/>
  <c r="F794" i="26"/>
  <c r="M1174" i="21"/>
  <c r="K1174" i="21" s="1"/>
  <c r="F1174" i="21"/>
  <c r="E1174" i="21"/>
  <c r="AC1224" i="2"/>
  <c r="AB1224" i="2"/>
  <c r="AA1224" i="2"/>
  <c r="U1224" i="2"/>
  <c r="O1224" i="2"/>
  <c r="Q1224" i="2" s="1"/>
  <c r="K1224" i="2"/>
  <c r="F1224" i="2"/>
  <c r="V1224" i="2" s="1"/>
  <c r="E1224" i="2"/>
  <c r="D1224" i="2"/>
  <c r="A796" i="26" l="1"/>
  <c r="F795" i="26"/>
  <c r="M1224" i="2"/>
  <c r="AD1224" i="2" s="1"/>
  <c r="D72" i="12"/>
  <c r="D21" i="20"/>
  <c r="D14" i="20"/>
  <c r="D7" i="20"/>
  <c r="C21" i="20"/>
  <c r="C14" i="20"/>
  <c r="C7" i="20"/>
  <c r="I146" i="31"/>
  <c r="H146" i="31"/>
  <c r="G146" i="31"/>
  <c r="H145" i="31"/>
  <c r="G145" i="31"/>
  <c r="I144" i="31"/>
  <c r="H144" i="31"/>
  <c r="G144" i="31"/>
  <c r="I143" i="31"/>
  <c r="H143" i="31"/>
  <c r="G143" i="31"/>
  <c r="I142" i="31"/>
  <c r="H142" i="31"/>
  <c r="G142" i="31"/>
  <c r="F144" i="31"/>
  <c r="F143" i="31"/>
  <c r="F146" i="31"/>
  <c r="F145" i="31"/>
  <c r="F142" i="31"/>
  <c r="H146" i="5"/>
  <c r="H145" i="5"/>
  <c r="H144" i="5"/>
  <c r="H143" i="5"/>
  <c r="H142" i="5"/>
  <c r="H267" i="30"/>
  <c r="G267" i="30"/>
  <c r="F267" i="30"/>
  <c r="I780" i="26"/>
  <c r="H780" i="26"/>
  <c r="G780" i="26"/>
  <c r="I779" i="26"/>
  <c r="H779" i="26"/>
  <c r="G779" i="26"/>
  <c r="I778" i="26"/>
  <c r="H778" i="26"/>
  <c r="G778" i="26"/>
  <c r="H777" i="26"/>
  <c r="G777" i="26"/>
  <c r="I776" i="26"/>
  <c r="H776" i="26"/>
  <c r="G776" i="26"/>
  <c r="H775" i="26"/>
  <c r="G775" i="26"/>
  <c r="H774" i="26"/>
  <c r="G774" i="26"/>
  <c r="H773" i="26"/>
  <c r="G773" i="26"/>
  <c r="H772" i="26"/>
  <c r="G772" i="26"/>
  <c r="I771" i="26"/>
  <c r="H771" i="26"/>
  <c r="G771" i="26"/>
  <c r="I770" i="26"/>
  <c r="H770" i="26"/>
  <c r="G770" i="26"/>
  <c r="H769" i="26"/>
  <c r="G769" i="26"/>
  <c r="H768" i="26"/>
  <c r="G768" i="26"/>
  <c r="H767" i="26"/>
  <c r="G767" i="26"/>
  <c r="H766" i="26"/>
  <c r="G766" i="26"/>
  <c r="H765" i="26"/>
  <c r="G765" i="26"/>
  <c r="H764" i="26"/>
  <c r="G764" i="26"/>
  <c r="H763" i="26"/>
  <c r="G763" i="26"/>
  <c r="H762" i="26"/>
  <c r="G762" i="26"/>
  <c r="H761" i="26"/>
  <c r="G761" i="26"/>
  <c r="I760" i="26"/>
  <c r="H760" i="26"/>
  <c r="G760" i="26"/>
  <c r="H759" i="26"/>
  <c r="G759" i="26"/>
  <c r="H758" i="26"/>
  <c r="G758" i="26"/>
  <c r="H757" i="26"/>
  <c r="G757" i="26"/>
  <c r="H756" i="26"/>
  <c r="G756" i="26"/>
  <c r="I755" i="26"/>
  <c r="H755" i="26"/>
  <c r="G755" i="26"/>
  <c r="I754" i="26"/>
  <c r="H754" i="26"/>
  <c r="G754" i="26"/>
  <c r="H753" i="26"/>
  <c r="G753" i="26"/>
  <c r="H752" i="26"/>
  <c r="G752" i="26"/>
  <c r="H751" i="26"/>
  <c r="G751" i="26"/>
  <c r="H750" i="26"/>
  <c r="G750" i="26"/>
  <c r="H749" i="26"/>
  <c r="G749" i="26"/>
  <c r="H748" i="26"/>
  <c r="G748" i="26"/>
  <c r="I747" i="26"/>
  <c r="H747" i="26"/>
  <c r="G747" i="26"/>
  <c r="F780" i="26"/>
  <c r="F779" i="26"/>
  <c r="F778" i="26"/>
  <c r="F777" i="26"/>
  <c r="F776" i="26"/>
  <c r="F775" i="26"/>
  <c r="F774" i="26"/>
  <c r="F773" i="26"/>
  <c r="F772" i="26"/>
  <c r="F771" i="26"/>
  <c r="F770" i="26"/>
  <c r="F769" i="26"/>
  <c r="F768" i="26"/>
  <c r="F767" i="26"/>
  <c r="F766" i="26"/>
  <c r="F765" i="26"/>
  <c r="F764" i="26"/>
  <c r="F763" i="26"/>
  <c r="F762" i="26"/>
  <c r="F761" i="26"/>
  <c r="F760" i="26"/>
  <c r="F759" i="26"/>
  <c r="F758" i="26"/>
  <c r="F757" i="26"/>
  <c r="F756" i="26"/>
  <c r="F755" i="26"/>
  <c r="F754" i="26"/>
  <c r="F753" i="26"/>
  <c r="F752" i="26"/>
  <c r="F751" i="26"/>
  <c r="F750" i="26"/>
  <c r="F749" i="26"/>
  <c r="F748" i="26"/>
  <c r="F747" i="26"/>
  <c r="L1" i="4"/>
  <c r="L1" i="3"/>
  <c r="J350" i="4"/>
  <c r="I350" i="4"/>
  <c r="H350" i="4"/>
  <c r="K350" i="4" s="1"/>
  <c r="J349" i="4"/>
  <c r="I349" i="4"/>
  <c r="H349" i="4"/>
  <c r="K349" i="4" s="1"/>
  <c r="J348" i="4"/>
  <c r="I348" i="4"/>
  <c r="H348" i="4"/>
  <c r="K348" i="4" s="1"/>
  <c r="J347" i="4"/>
  <c r="I347" i="4"/>
  <c r="H347" i="4"/>
  <c r="K347" i="4" s="1"/>
  <c r="J346" i="4"/>
  <c r="I346" i="4"/>
  <c r="H346" i="4"/>
  <c r="K346" i="4" s="1"/>
  <c r="J345" i="4"/>
  <c r="I345" i="4"/>
  <c r="H345" i="4"/>
  <c r="K345" i="4" s="1"/>
  <c r="J344" i="4"/>
  <c r="I344" i="4"/>
  <c r="H344" i="4"/>
  <c r="K344" i="4" s="1"/>
  <c r="J343" i="4"/>
  <c r="I343" i="4"/>
  <c r="H343" i="4"/>
  <c r="K343" i="4" s="1"/>
  <c r="J342" i="4"/>
  <c r="I342" i="4"/>
  <c r="H342" i="4"/>
  <c r="K342" i="4" s="1"/>
  <c r="J341" i="4"/>
  <c r="I341" i="4"/>
  <c r="H341" i="4"/>
  <c r="K341" i="4" s="1"/>
  <c r="J340" i="4"/>
  <c r="I340" i="4"/>
  <c r="H340" i="4"/>
  <c r="K340" i="4" s="1"/>
  <c r="J339" i="4"/>
  <c r="I339" i="4"/>
  <c r="H339" i="4"/>
  <c r="K339" i="4" s="1"/>
  <c r="J338" i="4"/>
  <c r="I338" i="4"/>
  <c r="H338" i="4"/>
  <c r="K338" i="4" s="1"/>
  <c r="J337" i="4"/>
  <c r="I337" i="4"/>
  <c r="H337" i="4"/>
  <c r="K337" i="4" s="1"/>
  <c r="J336" i="4"/>
  <c r="I336" i="4"/>
  <c r="H336" i="4"/>
  <c r="K336" i="4" s="1"/>
  <c r="J335" i="4"/>
  <c r="I335" i="4"/>
  <c r="H335" i="4"/>
  <c r="K335" i="4" s="1"/>
  <c r="J334" i="4"/>
  <c r="I334" i="4"/>
  <c r="H334" i="4"/>
  <c r="K334" i="4" s="1"/>
  <c r="J333" i="4"/>
  <c r="I333" i="4"/>
  <c r="H333" i="4"/>
  <c r="K333" i="4" s="1"/>
  <c r="J332" i="4"/>
  <c r="I332" i="4"/>
  <c r="H332" i="4"/>
  <c r="K332" i="4" s="1"/>
  <c r="J331" i="4"/>
  <c r="I331" i="4"/>
  <c r="H331" i="4"/>
  <c r="K331" i="4" s="1"/>
  <c r="J330" i="4"/>
  <c r="I330" i="4"/>
  <c r="H330" i="4"/>
  <c r="K330" i="4" s="1"/>
  <c r="J329" i="4"/>
  <c r="I329" i="4"/>
  <c r="H329" i="4"/>
  <c r="K329" i="4" s="1"/>
  <c r="J328" i="4"/>
  <c r="I328" i="4"/>
  <c r="H328" i="4"/>
  <c r="K328" i="4" s="1"/>
  <c r="J327" i="4"/>
  <c r="I327" i="4"/>
  <c r="H327" i="4"/>
  <c r="K327" i="4" s="1"/>
  <c r="J326" i="4"/>
  <c r="I326" i="4"/>
  <c r="H326" i="4"/>
  <c r="K326" i="4" s="1"/>
  <c r="J325" i="4"/>
  <c r="I325" i="4"/>
  <c r="H325" i="4"/>
  <c r="K325" i="4" s="1"/>
  <c r="J324" i="4"/>
  <c r="I324" i="4"/>
  <c r="H324" i="4"/>
  <c r="K324" i="4" s="1"/>
  <c r="J323" i="4"/>
  <c r="I323" i="4"/>
  <c r="H323" i="4"/>
  <c r="K323" i="4" s="1"/>
  <c r="J322" i="4"/>
  <c r="I322" i="4"/>
  <c r="H322" i="4"/>
  <c r="K322" i="4" s="1"/>
  <c r="J321" i="4"/>
  <c r="I321" i="4"/>
  <c r="H321" i="4"/>
  <c r="K321" i="4" s="1"/>
  <c r="J320" i="4"/>
  <c r="I320" i="4"/>
  <c r="H320" i="4"/>
  <c r="K320" i="4" s="1"/>
  <c r="J319" i="4"/>
  <c r="I319" i="4"/>
  <c r="H319" i="4"/>
  <c r="K319" i="4" s="1"/>
  <c r="J318" i="4"/>
  <c r="I318" i="4"/>
  <c r="H318" i="4"/>
  <c r="K318" i="4" s="1"/>
  <c r="J317" i="4"/>
  <c r="I317" i="4"/>
  <c r="H317" i="4"/>
  <c r="K317" i="4" s="1"/>
  <c r="J316" i="4"/>
  <c r="I316" i="4"/>
  <c r="H316" i="4"/>
  <c r="K316" i="4" s="1"/>
  <c r="J315" i="4"/>
  <c r="I315" i="4"/>
  <c r="H315" i="4"/>
  <c r="K315" i="4" s="1"/>
  <c r="J314" i="4"/>
  <c r="I314" i="4"/>
  <c r="H314" i="4"/>
  <c r="K314" i="4" s="1"/>
  <c r="J313" i="4"/>
  <c r="I313" i="4"/>
  <c r="H313" i="4"/>
  <c r="K313" i="4" s="1"/>
  <c r="J312" i="4"/>
  <c r="I312" i="4"/>
  <c r="H312" i="4"/>
  <c r="K312" i="4" s="1"/>
  <c r="J311" i="4"/>
  <c r="I311" i="4"/>
  <c r="H311" i="4"/>
  <c r="K311" i="4" s="1"/>
  <c r="J310" i="4"/>
  <c r="I310" i="4"/>
  <c r="H310" i="4"/>
  <c r="K310" i="4" s="1"/>
  <c r="J309" i="4"/>
  <c r="I309" i="4"/>
  <c r="H309" i="4"/>
  <c r="K309" i="4" s="1"/>
  <c r="J308" i="4"/>
  <c r="I308" i="4"/>
  <c r="H308" i="4"/>
  <c r="K308" i="4" s="1"/>
  <c r="J307" i="4"/>
  <c r="I307" i="4"/>
  <c r="H307" i="4"/>
  <c r="K307" i="4" s="1"/>
  <c r="J306" i="4"/>
  <c r="I306" i="4"/>
  <c r="H306" i="4"/>
  <c r="K306" i="4" s="1"/>
  <c r="J305" i="4"/>
  <c r="I305" i="4"/>
  <c r="H305" i="4"/>
  <c r="K305" i="4" s="1"/>
  <c r="J304" i="4"/>
  <c r="I304" i="4"/>
  <c r="H304" i="4"/>
  <c r="K304" i="4" s="1"/>
  <c r="J303" i="4"/>
  <c r="I303" i="4"/>
  <c r="H303" i="4"/>
  <c r="K303" i="4" s="1"/>
  <c r="J302" i="4"/>
  <c r="I302" i="4"/>
  <c r="H302" i="4"/>
  <c r="K302" i="4" s="1"/>
  <c r="J301" i="4"/>
  <c r="I301" i="4"/>
  <c r="H301" i="4"/>
  <c r="K301" i="4" s="1"/>
  <c r="J1201" i="3"/>
  <c r="I1201" i="3"/>
  <c r="H1201" i="3"/>
  <c r="K1201" i="3" s="1"/>
  <c r="J1200" i="3"/>
  <c r="I1200" i="3"/>
  <c r="H1200" i="3"/>
  <c r="K1200" i="3" s="1"/>
  <c r="J1199" i="3"/>
  <c r="I1199" i="3"/>
  <c r="H1199" i="3"/>
  <c r="K1199" i="3" s="1"/>
  <c r="K1198" i="3"/>
  <c r="J1198" i="3"/>
  <c r="I1198" i="3"/>
  <c r="H1198" i="3"/>
  <c r="J1197" i="3"/>
  <c r="I1197" i="3"/>
  <c r="H1197" i="3"/>
  <c r="K1197" i="3" s="1"/>
  <c r="J1196" i="3"/>
  <c r="I1196" i="3"/>
  <c r="H1196" i="3"/>
  <c r="K1196" i="3" s="1"/>
  <c r="J1195" i="3"/>
  <c r="I1195" i="3"/>
  <c r="H1195" i="3"/>
  <c r="K1195" i="3" s="1"/>
  <c r="J1194" i="3"/>
  <c r="I1194" i="3"/>
  <c r="H1194" i="3"/>
  <c r="K1194" i="3" s="1"/>
  <c r="J1193" i="3"/>
  <c r="I1193" i="3"/>
  <c r="H1193" i="3"/>
  <c r="K1193" i="3" s="1"/>
  <c r="J1192" i="3"/>
  <c r="I1192" i="3"/>
  <c r="H1192" i="3"/>
  <c r="K1192" i="3" s="1"/>
  <c r="J1191" i="3"/>
  <c r="I1191" i="3"/>
  <c r="H1191" i="3"/>
  <c r="K1191" i="3" s="1"/>
  <c r="K1190" i="3"/>
  <c r="J1190" i="3"/>
  <c r="I1190" i="3"/>
  <c r="H1190" i="3"/>
  <c r="J1189" i="3"/>
  <c r="I1189" i="3"/>
  <c r="H1189" i="3"/>
  <c r="K1189" i="3" s="1"/>
  <c r="J1188" i="3"/>
  <c r="I1188" i="3"/>
  <c r="H1188" i="3"/>
  <c r="K1188" i="3" s="1"/>
  <c r="J1187" i="3"/>
  <c r="I1187" i="3"/>
  <c r="H1187" i="3"/>
  <c r="K1187" i="3" s="1"/>
  <c r="J1186" i="3"/>
  <c r="I1186" i="3"/>
  <c r="H1186" i="3"/>
  <c r="K1186" i="3" s="1"/>
  <c r="J1185" i="3"/>
  <c r="I1185" i="3"/>
  <c r="H1185" i="3"/>
  <c r="K1185" i="3" s="1"/>
  <c r="J1184" i="3"/>
  <c r="I1184" i="3"/>
  <c r="H1184" i="3"/>
  <c r="K1184" i="3" s="1"/>
  <c r="J1183" i="3"/>
  <c r="I1183" i="3"/>
  <c r="H1183" i="3"/>
  <c r="K1183" i="3" s="1"/>
  <c r="J1182" i="3"/>
  <c r="I1182" i="3"/>
  <c r="H1182" i="3"/>
  <c r="K1182" i="3" s="1"/>
  <c r="J1181" i="3"/>
  <c r="I1181" i="3"/>
  <c r="H1181" i="3"/>
  <c r="K1181" i="3" s="1"/>
  <c r="J1180" i="3"/>
  <c r="I1180" i="3"/>
  <c r="H1180" i="3"/>
  <c r="K1180" i="3" s="1"/>
  <c r="J1179" i="3"/>
  <c r="I1179" i="3"/>
  <c r="H1179" i="3"/>
  <c r="K1179" i="3" s="1"/>
  <c r="J1178" i="3"/>
  <c r="I1178" i="3"/>
  <c r="H1178" i="3"/>
  <c r="K1178" i="3" s="1"/>
  <c r="J1177" i="3"/>
  <c r="I1177" i="3"/>
  <c r="H1177" i="3"/>
  <c r="K1177" i="3" s="1"/>
  <c r="J1176" i="3"/>
  <c r="I1176" i="3"/>
  <c r="H1176" i="3"/>
  <c r="K1176" i="3" s="1"/>
  <c r="J1175" i="3"/>
  <c r="I1175" i="3"/>
  <c r="H1175" i="3"/>
  <c r="K1175" i="3" s="1"/>
  <c r="K1174" i="3"/>
  <c r="J1174" i="3"/>
  <c r="I1174" i="3"/>
  <c r="H1174" i="3"/>
  <c r="J1173" i="3"/>
  <c r="I1173" i="3"/>
  <c r="H1173" i="3"/>
  <c r="K1173" i="3" s="1"/>
  <c r="J1172" i="3"/>
  <c r="I1172" i="3"/>
  <c r="H1172" i="3"/>
  <c r="K1172" i="3" s="1"/>
  <c r="J1171" i="3"/>
  <c r="I1171" i="3"/>
  <c r="H1171" i="3"/>
  <c r="K1171" i="3" s="1"/>
  <c r="J1170" i="3"/>
  <c r="I1170" i="3"/>
  <c r="H1170" i="3"/>
  <c r="K1170" i="3" s="1"/>
  <c r="J1169" i="3"/>
  <c r="I1169" i="3"/>
  <c r="H1169" i="3"/>
  <c r="K1169" i="3" s="1"/>
  <c r="J1168" i="3"/>
  <c r="I1168" i="3"/>
  <c r="H1168" i="3"/>
  <c r="K1168" i="3" s="1"/>
  <c r="J1167" i="3"/>
  <c r="I1167" i="3"/>
  <c r="H1167" i="3"/>
  <c r="K1167" i="3" s="1"/>
  <c r="J1166" i="3"/>
  <c r="I1166" i="3"/>
  <c r="H1166" i="3"/>
  <c r="K1166" i="3" s="1"/>
  <c r="J1165" i="3"/>
  <c r="I1165" i="3"/>
  <c r="H1165" i="3"/>
  <c r="K1165" i="3" s="1"/>
  <c r="J1164" i="3"/>
  <c r="I1164" i="3"/>
  <c r="H1164" i="3"/>
  <c r="K1164" i="3" s="1"/>
  <c r="J1163" i="3"/>
  <c r="I1163" i="3"/>
  <c r="H1163" i="3"/>
  <c r="K1163" i="3" s="1"/>
  <c r="J1162" i="3"/>
  <c r="I1162" i="3"/>
  <c r="H1162" i="3"/>
  <c r="K1162" i="3" s="1"/>
  <c r="J1161" i="3"/>
  <c r="I1161" i="3"/>
  <c r="H1161" i="3"/>
  <c r="K1161" i="3" s="1"/>
  <c r="J1160" i="3"/>
  <c r="I1160" i="3"/>
  <c r="H1160" i="3"/>
  <c r="K1160" i="3" s="1"/>
  <c r="J1159" i="3"/>
  <c r="I1159" i="3"/>
  <c r="H1159" i="3"/>
  <c r="K1159" i="3" s="1"/>
  <c r="K1158" i="3"/>
  <c r="J1158" i="3"/>
  <c r="I1158" i="3"/>
  <c r="H1158" i="3"/>
  <c r="J1157" i="3"/>
  <c r="I1157" i="3"/>
  <c r="H1157" i="3"/>
  <c r="K1157" i="3" s="1"/>
  <c r="J1156" i="3"/>
  <c r="I1156" i="3"/>
  <c r="H1156" i="3"/>
  <c r="K1156" i="3" s="1"/>
  <c r="K1155" i="3"/>
  <c r="J1155" i="3"/>
  <c r="I1155" i="3"/>
  <c r="H1155" i="3"/>
  <c r="K1154" i="3"/>
  <c r="J1154" i="3"/>
  <c r="I1154" i="3"/>
  <c r="H1154" i="3"/>
  <c r="J1153" i="3"/>
  <c r="I1153" i="3"/>
  <c r="H1153" i="3"/>
  <c r="K1153" i="3" s="1"/>
  <c r="J1152" i="3"/>
  <c r="I1152" i="3"/>
  <c r="H1152" i="3"/>
  <c r="K1152" i="3" s="1"/>
  <c r="K1151" i="3"/>
  <c r="J1151" i="3"/>
  <c r="I1151" i="3"/>
  <c r="H1151" i="3"/>
  <c r="K1150" i="3"/>
  <c r="J1150" i="3"/>
  <c r="I1150" i="3"/>
  <c r="H1150" i="3"/>
  <c r="J1149" i="3"/>
  <c r="I1149" i="3"/>
  <c r="H1149" i="3"/>
  <c r="K1149" i="3" s="1"/>
  <c r="J1148" i="3"/>
  <c r="I1148" i="3"/>
  <c r="H1148" i="3"/>
  <c r="K1148" i="3" s="1"/>
  <c r="K1147" i="3"/>
  <c r="J1147" i="3"/>
  <c r="I1147" i="3"/>
  <c r="H1147" i="3"/>
  <c r="K1146" i="3"/>
  <c r="J1146" i="3"/>
  <c r="I1146" i="3"/>
  <c r="H1146" i="3"/>
  <c r="J1145" i="3"/>
  <c r="I1145" i="3"/>
  <c r="H1145" i="3"/>
  <c r="K1145" i="3" s="1"/>
  <c r="J1144" i="3"/>
  <c r="I1144" i="3"/>
  <c r="H1144" i="3"/>
  <c r="K1144" i="3" s="1"/>
  <c r="K1143" i="3"/>
  <c r="J1143" i="3"/>
  <c r="I1143" i="3"/>
  <c r="H1143" i="3"/>
  <c r="K1142" i="3"/>
  <c r="J1142" i="3"/>
  <c r="I1142" i="3"/>
  <c r="H1142" i="3"/>
  <c r="J1141" i="3"/>
  <c r="I1141" i="3"/>
  <c r="H1141" i="3"/>
  <c r="K1141" i="3" s="1"/>
  <c r="J1140" i="3"/>
  <c r="I1140" i="3"/>
  <c r="H1140" i="3"/>
  <c r="K1140" i="3" s="1"/>
  <c r="K1139" i="3"/>
  <c r="J1139" i="3"/>
  <c r="I1139" i="3"/>
  <c r="H1139" i="3"/>
  <c r="K1138" i="3"/>
  <c r="J1138" i="3"/>
  <c r="I1138" i="3"/>
  <c r="H1138" i="3"/>
  <c r="J1137" i="3"/>
  <c r="I1137" i="3"/>
  <c r="H1137" i="3"/>
  <c r="K1137" i="3" s="1"/>
  <c r="J1136" i="3"/>
  <c r="I1136" i="3"/>
  <c r="H1136" i="3"/>
  <c r="K1136" i="3" s="1"/>
  <c r="K1135" i="3"/>
  <c r="J1135" i="3"/>
  <c r="I1135" i="3"/>
  <c r="H1135" i="3"/>
  <c r="K1134" i="3"/>
  <c r="J1134" i="3"/>
  <c r="I1134" i="3"/>
  <c r="H1134" i="3"/>
  <c r="J1133" i="3"/>
  <c r="I1133" i="3"/>
  <c r="H1133" i="3"/>
  <c r="K1133" i="3" s="1"/>
  <c r="J1132" i="3"/>
  <c r="I1132" i="3"/>
  <c r="H1132" i="3"/>
  <c r="K1132" i="3" s="1"/>
  <c r="K1131" i="3"/>
  <c r="J1131" i="3"/>
  <c r="I1131" i="3"/>
  <c r="H1131" i="3"/>
  <c r="K1130" i="3"/>
  <c r="J1130" i="3"/>
  <c r="I1130" i="3"/>
  <c r="H1130" i="3"/>
  <c r="J1129" i="3"/>
  <c r="I1129" i="3"/>
  <c r="H1129" i="3"/>
  <c r="K1129" i="3" s="1"/>
  <c r="J1128" i="3"/>
  <c r="I1128" i="3"/>
  <c r="H1128" i="3"/>
  <c r="K1128" i="3" s="1"/>
  <c r="K1127" i="3"/>
  <c r="J1127" i="3"/>
  <c r="I1127" i="3"/>
  <c r="H1127" i="3"/>
  <c r="K1126" i="3"/>
  <c r="J1126" i="3"/>
  <c r="I1126" i="3"/>
  <c r="H1126" i="3"/>
  <c r="J1125" i="3"/>
  <c r="I1125" i="3"/>
  <c r="H1125" i="3"/>
  <c r="K1125" i="3" s="1"/>
  <c r="J1124" i="3"/>
  <c r="I1124" i="3"/>
  <c r="H1124" i="3"/>
  <c r="K1124" i="3" s="1"/>
  <c r="K1123" i="3"/>
  <c r="J1123" i="3"/>
  <c r="I1123" i="3"/>
  <c r="H1123" i="3"/>
  <c r="K1122" i="3"/>
  <c r="J1122" i="3"/>
  <c r="I1122" i="3"/>
  <c r="H1122" i="3"/>
  <c r="J1121" i="3"/>
  <c r="I1121" i="3"/>
  <c r="H1121" i="3"/>
  <c r="K1121" i="3" s="1"/>
  <c r="J1120" i="3"/>
  <c r="I1120" i="3"/>
  <c r="H1120" i="3"/>
  <c r="K1120" i="3" s="1"/>
  <c r="K1119" i="3"/>
  <c r="J1119" i="3"/>
  <c r="I1119" i="3"/>
  <c r="H1119" i="3"/>
  <c r="K1118" i="3"/>
  <c r="J1118" i="3"/>
  <c r="I1118" i="3"/>
  <c r="H1118" i="3"/>
  <c r="J1117" i="3"/>
  <c r="I1117" i="3"/>
  <c r="H1117" i="3"/>
  <c r="K1117" i="3" s="1"/>
  <c r="J1116" i="3"/>
  <c r="I1116" i="3"/>
  <c r="H1116" i="3"/>
  <c r="K1116" i="3" s="1"/>
  <c r="K1115" i="3"/>
  <c r="J1115" i="3"/>
  <c r="I1115" i="3"/>
  <c r="H1115" i="3"/>
  <c r="K1114" i="3"/>
  <c r="J1114" i="3"/>
  <c r="I1114" i="3"/>
  <c r="H1114" i="3"/>
  <c r="J1113" i="3"/>
  <c r="I1113" i="3"/>
  <c r="H1113" i="3"/>
  <c r="K1113" i="3" s="1"/>
  <c r="J1112" i="3"/>
  <c r="I1112" i="3"/>
  <c r="H1112" i="3"/>
  <c r="K1112" i="3" s="1"/>
  <c r="K1111" i="3"/>
  <c r="J1111" i="3"/>
  <c r="I1111" i="3"/>
  <c r="H1111" i="3"/>
  <c r="K1110" i="3"/>
  <c r="J1110" i="3"/>
  <c r="I1110" i="3"/>
  <c r="H1110" i="3"/>
  <c r="J1109" i="3"/>
  <c r="I1109" i="3"/>
  <c r="H1109" i="3"/>
  <c r="K1109" i="3" s="1"/>
  <c r="J1108" i="3"/>
  <c r="I1108" i="3"/>
  <c r="H1108" i="3"/>
  <c r="K1108" i="3" s="1"/>
  <c r="K1107" i="3"/>
  <c r="J1107" i="3"/>
  <c r="I1107" i="3"/>
  <c r="H1107" i="3"/>
  <c r="K1106" i="3"/>
  <c r="J1106" i="3"/>
  <c r="I1106" i="3"/>
  <c r="H1106" i="3"/>
  <c r="J1105" i="3"/>
  <c r="I1105" i="3"/>
  <c r="H1105" i="3"/>
  <c r="K1105" i="3" s="1"/>
  <c r="J1104" i="3"/>
  <c r="I1104" i="3"/>
  <c r="H1104" i="3"/>
  <c r="K1104" i="3" s="1"/>
  <c r="K1103" i="3"/>
  <c r="J1103" i="3"/>
  <c r="I1103" i="3"/>
  <c r="H1103" i="3"/>
  <c r="K1102" i="3"/>
  <c r="J1102" i="3"/>
  <c r="I1102" i="3"/>
  <c r="H1102" i="3"/>
  <c r="J1101" i="3"/>
  <c r="I1101" i="3"/>
  <c r="H1101" i="3"/>
  <c r="K1101" i="3" s="1"/>
  <c r="J1100" i="3"/>
  <c r="I1100" i="3"/>
  <c r="H1100" i="3"/>
  <c r="K1100" i="3" s="1"/>
  <c r="K1099" i="3"/>
  <c r="J1099" i="3"/>
  <c r="I1099" i="3"/>
  <c r="H1099" i="3"/>
  <c r="K1098" i="3"/>
  <c r="J1098" i="3"/>
  <c r="I1098" i="3"/>
  <c r="H1098" i="3"/>
  <c r="J1097" i="3"/>
  <c r="I1097" i="3"/>
  <c r="H1097" i="3"/>
  <c r="K1097" i="3" s="1"/>
  <c r="J1096" i="3"/>
  <c r="I1096" i="3"/>
  <c r="H1096" i="3"/>
  <c r="K1096" i="3" s="1"/>
  <c r="K1095" i="3"/>
  <c r="J1095" i="3"/>
  <c r="I1095" i="3"/>
  <c r="H1095" i="3"/>
  <c r="K1094" i="3"/>
  <c r="J1094" i="3"/>
  <c r="I1094" i="3"/>
  <c r="H1094" i="3"/>
  <c r="J1093" i="3"/>
  <c r="I1093" i="3"/>
  <c r="H1093" i="3"/>
  <c r="K1093" i="3" s="1"/>
  <c r="J1092" i="3"/>
  <c r="I1092" i="3"/>
  <c r="H1092" i="3"/>
  <c r="K1092" i="3" s="1"/>
  <c r="K1091" i="3"/>
  <c r="J1091" i="3"/>
  <c r="I1091" i="3"/>
  <c r="H1091" i="3"/>
  <c r="K1090" i="3"/>
  <c r="J1090" i="3"/>
  <c r="I1090" i="3"/>
  <c r="H1090" i="3"/>
  <c r="J1089" i="3"/>
  <c r="I1089" i="3"/>
  <c r="H1089" i="3"/>
  <c r="K1089" i="3" s="1"/>
  <c r="J1088" i="3"/>
  <c r="I1088" i="3"/>
  <c r="H1088" i="3"/>
  <c r="K1088" i="3" s="1"/>
  <c r="K1087" i="3"/>
  <c r="J1087" i="3"/>
  <c r="I1087" i="3"/>
  <c r="H1087" i="3"/>
  <c r="K1086" i="3"/>
  <c r="J1086" i="3"/>
  <c r="I1086" i="3"/>
  <c r="H1086" i="3"/>
  <c r="J1085" i="3"/>
  <c r="I1085" i="3"/>
  <c r="H1085" i="3"/>
  <c r="K1085" i="3" s="1"/>
  <c r="J1084" i="3"/>
  <c r="I1084" i="3"/>
  <c r="H1084" i="3"/>
  <c r="K1084" i="3" s="1"/>
  <c r="J1083" i="3"/>
  <c r="I1083" i="3"/>
  <c r="H1083" i="3"/>
  <c r="K1083" i="3" s="1"/>
  <c r="J1082" i="3"/>
  <c r="I1082" i="3"/>
  <c r="H1082" i="3"/>
  <c r="K1082" i="3" s="1"/>
  <c r="J1081" i="3"/>
  <c r="I1081" i="3"/>
  <c r="H1081" i="3"/>
  <c r="K1081" i="3" s="1"/>
  <c r="J1080" i="3"/>
  <c r="I1080" i="3"/>
  <c r="H1080" i="3"/>
  <c r="K1080" i="3" s="1"/>
  <c r="J1079" i="3"/>
  <c r="I1079" i="3"/>
  <c r="H1079" i="3"/>
  <c r="K1079" i="3" s="1"/>
  <c r="J1078" i="3"/>
  <c r="I1078" i="3"/>
  <c r="H1078" i="3"/>
  <c r="K1078" i="3" s="1"/>
  <c r="J1077" i="3"/>
  <c r="I1077" i="3"/>
  <c r="H1077" i="3"/>
  <c r="K1077" i="3" s="1"/>
  <c r="J1076" i="3"/>
  <c r="I1076" i="3"/>
  <c r="H1076" i="3"/>
  <c r="K1076" i="3" s="1"/>
  <c r="J1075" i="3"/>
  <c r="I1075" i="3"/>
  <c r="H1075" i="3"/>
  <c r="K1075" i="3" s="1"/>
  <c r="J1074" i="3"/>
  <c r="I1074" i="3"/>
  <c r="H1074" i="3"/>
  <c r="K1074" i="3" s="1"/>
  <c r="J1073" i="3"/>
  <c r="I1073" i="3"/>
  <c r="H1073" i="3"/>
  <c r="K1073" i="3" s="1"/>
  <c r="K1072" i="3"/>
  <c r="J1072" i="3"/>
  <c r="I1072" i="3"/>
  <c r="H1072" i="3"/>
  <c r="K1071" i="3"/>
  <c r="J1071" i="3"/>
  <c r="I1071" i="3"/>
  <c r="H1071" i="3"/>
  <c r="K1070" i="3"/>
  <c r="J1070" i="3"/>
  <c r="I1070" i="3"/>
  <c r="H1070" i="3"/>
  <c r="J1069" i="3"/>
  <c r="I1069" i="3"/>
  <c r="H1069" i="3"/>
  <c r="K1069" i="3" s="1"/>
  <c r="J1068" i="3"/>
  <c r="I1068" i="3"/>
  <c r="H1068" i="3"/>
  <c r="K1068" i="3" s="1"/>
  <c r="J1067" i="3"/>
  <c r="I1067" i="3"/>
  <c r="H1067" i="3"/>
  <c r="K1067" i="3" s="1"/>
  <c r="J1066" i="3"/>
  <c r="I1066" i="3"/>
  <c r="H1066" i="3"/>
  <c r="K1066" i="3" s="1"/>
  <c r="J1065" i="3"/>
  <c r="I1065" i="3"/>
  <c r="H1065" i="3"/>
  <c r="K1065" i="3" s="1"/>
  <c r="J1064" i="3"/>
  <c r="I1064" i="3"/>
  <c r="H1064" i="3"/>
  <c r="K1064" i="3" s="1"/>
  <c r="J1063" i="3"/>
  <c r="I1063" i="3"/>
  <c r="H1063" i="3"/>
  <c r="K1063" i="3" s="1"/>
  <c r="J1062" i="3"/>
  <c r="I1062" i="3"/>
  <c r="H1062" i="3"/>
  <c r="K1062" i="3" s="1"/>
  <c r="J1061" i="3"/>
  <c r="I1061" i="3"/>
  <c r="H1061" i="3"/>
  <c r="K1061" i="3" s="1"/>
  <c r="J1060" i="3"/>
  <c r="I1060" i="3"/>
  <c r="H1060" i="3"/>
  <c r="K1060" i="3" s="1"/>
  <c r="J1059" i="3"/>
  <c r="I1059" i="3"/>
  <c r="H1059" i="3"/>
  <c r="K1059" i="3" s="1"/>
  <c r="J1058" i="3"/>
  <c r="I1058" i="3"/>
  <c r="H1058" i="3"/>
  <c r="K1058" i="3" s="1"/>
  <c r="J1057" i="3"/>
  <c r="I1057" i="3"/>
  <c r="H1057" i="3"/>
  <c r="K1057" i="3" s="1"/>
  <c r="K1056" i="3"/>
  <c r="J1056" i="3"/>
  <c r="I1056" i="3"/>
  <c r="H1056" i="3"/>
  <c r="K1055" i="3"/>
  <c r="J1055" i="3"/>
  <c r="I1055" i="3"/>
  <c r="H1055" i="3"/>
  <c r="K1054" i="3"/>
  <c r="J1054" i="3"/>
  <c r="I1054" i="3"/>
  <c r="H1054" i="3"/>
  <c r="J1053" i="3"/>
  <c r="I1053" i="3"/>
  <c r="H1053" i="3"/>
  <c r="K1053" i="3" s="1"/>
  <c r="J1052" i="3"/>
  <c r="I1052" i="3"/>
  <c r="H1052" i="3"/>
  <c r="K1052" i="3" s="1"/>
  <c r="J1051" i="3"/>
  <c r="I1051" i="3"/>
  <c r="H1051" i="3"/>
  <c r="K1051" i="3" s="1"/>
  <c r="J1050" i="3"/>
  <c r="I1050" i="3"/>
  <c r="H1050" i="3"/>
  <c r="K1050" i="3" s="1"/>
  <c r="J1049" i="3"/>
  <c r="I1049" i="3"/>
  <c r="H1049" i="3"/>
  <c r="K1049" i="3" s="1"/>
  <c r="J1048" i="3"/>
  <c r="I1048" i="3"/>
  <c r="H1048" i="3"/>
  <c r="K1048" i="3" s="1"/>
  <c r="J1047" i="3"/>
  <c r="I1047" i="3"/>
  <c r="H1047" i="3"/>
  <c r="K1047" i="3" s="1"/>
  <c r="J1046" i="3"/>
  <c r="I1046" i="3"/>
  <c r="H1046" i="3"/>
  <c r="K1046" i="3" s="1"/>
  <c r="J1045" i="3"/>
  <c r="I1045" i="3"/>
  <c r="H1045" i="3"/>
  <c r="K1045" i="3" s="1"/>
  <c r="J1044" i="3"/>
  <c r="I1044" i="3"/>
  <c r="H1044" i="3"/>
  <c r="K1044" i="3" s="1"/>
  <c r="J1043" i="3"/>
  <c r="I1043" i="3"/>
  <c r="H1043" i="3"/>
  <c r="K1043" i="3" s="1"/>
  <c r="J1042" i="3"/>
  <c r="I1042" i="3"/>
  <c r="H1042" i="3"/>
  <c r="K1042" i="3" s="1"/>
  <c r="J1041" i="3"/>
  <c r="I1041" i="3"/>
  <c r="H1041" i="3"/>
  <c r="K1041" i="3" s="1"/>
  <c r="J1040" i="3"/>
  <c r="I1040" i="3"/>
  <c r="H1040" i="3"/>
  <c r="K1040" i="3" s="1"/>
  <c r="J1039" i="3"/>
  <c r="I1039" i="3"/>
  <c r="H1039" i="3"/>
  <c r="K1039" i="3" s="1"/>
  <c r="K1038" i="3"/>
  <c r="J1038" i="3"/>
  <c r="I1038" i="3"/>
  <c r="H1038" i="3"/>
  <c r="J1037" i="3"/>
  <c r="I1037" i="3"/>
  <c r="H1037" i="3"/>
  <c r="K1037" i="3" s="1"/>
  <c r="J1036" i="3"/>
  <c r="I1036" i="3"/>
  <c r="H1036" i="3"/>
  <c r="K1036" i="3" s="1"/>
  <c r="J1035" i="3"/>
  <c r="I1035" i="3"/>
  <c r="H1035" i="3"/>
  <c r="K1035" i="3" s="1"/>
  <c r="J1034" i="3"/>
  <c r="I1034" i="3"/>
  <c r="H1034" i="3"/>
  <c r="K1034" i="3" s="1"/>
  <c r="J1033" i="3"/>
  <c r="I1033" i="3"/>
  <c r="H1033" i="3"/>
  <c r="K1033" i="3" s="1"/>
  <c r="J1032" i="3"/>
  <c r="I1032" i="3"/>
  <c r="H1032" i="3"/>
  <c r="K1032" i="3" s="1"/>
  <c r="K1031" i="3"/>
  <c r="J1031" i="3"/>
  <c r="I1031" i="3"/>
  <c r="H1031" i="3"/>
  <c r="K1030" i="3"/>
  <c r="J1030" i="3"/>
  <c r="I1030" i="3"/>
  <c r="H1030" i="3"/>
  <c r="J1029" i="3"/>
  <c r="I1029" i="3"/>
  <c r="H1029" i="3"/>
  <c r="K1029" i="3" s="1"/>
  <c r="J1028" i="3"/>
  <c r="I1028" i="3"/>
  <c r="H1028" i="3"/>
  <c r="K1028" i="3" s="1"/>
  <c r="K1027" i="3"/>
  <c r="J1027" i="3"/>
  <c r="I1027" i="3"/>
  <c r="H1027" i="3"/>
  <c r="K1026" i="3"/>
  <c r="J1026" i="3"/>
  <c r="I1026" i="3"/>
  <c r="H1026" i="3"/>
  <c r="J1025" i="3"/>
  <c r="I1025" i="3"/>
  <c r="H1025" i="3"/>
  <c r="K1025" i="3" s="1"/>
  <c r="J1024" i="3"/>
  <c r="I1024" i="3"/>
  <c r="H1024" i="3"/>
  <c r="K1024" i="3" s="1"/>
  <c r="K1023" i="3"/>
  <c r="J1023" i="3"/>
  <c r="I1023" i="3"/>
  <c r="H1023" i="3"/>
  <c r="K1022" i="3"/>
  <c r="J1022" i="3"/>
  <c r="I1022" i="3"/>
  <c r="H1022" i="3"/>
  <c r="J1021" i="3"/>
  <c r="I1021" i="3"/>
  <c r="H1021" i="3"/>
  <c r="K1021" i="3" s="1"/>
  <c r="J1020" i="3"/>
  <c r="I1020" i="3"/>
  <c r="H1020" i="3"/>
  <c r="K1020" i="3" s="1"/>
  <c r="K1019" i="3"/>
  <c r="J1019" i="3"/>
  <c r="I1019" i="3"/>
  <c r="H1019" i="3"/>
  <c r="K1018" i="3"/>
  <c r="J1018" i="3"/>
  <c r="I1018" i="3"/>
  <c r="H1018" i="3"/>
  <c r="J1017" i="3"/>
  <c r="I1017" i="3"/>
  <c r="H1017" i="3"/>
  <c r="K1017" i="3" s="1"/>
  <c r="J1016" i="3"/>
  <c r="I1016" i="3"/>
  <c r="H1016" i="3"/>
  <c r="K1016" i="3" s="1"/>
  <c r="K1015" i="3"/>
  <c r="J1015" i="3"/>
  <c r="I1015" i="3"/>
  <c r="H1015" i="3"/>
  <c r="K1014" i="3"/>
  <c r="J1014" i="3"/>
  <c r="I1014" i="3"/>
  <c r="H1014" i="3"/>
  <c r="J1013" i="3"/>
  <c r="I1013" i="3"/>
  <c r="H1013" i="3"/>
  <c r="K1013" i="3" s="1"/>
  <c r="J1012" i="3"/>
  <c r="I1012" i="3"/>
  <c r="H1012" i="3"/>
  <c r="K1012" i="3" s="1"/>
  <c r="K1011" i="3"/>
  <c r="J1011" i="3"/>
  <c r="I1011" i="3"/>
  <c r="H1011" i="3"/>
  <c r="K1010" i="3"/>
  <c r="J1010" i="3"/>
  <c r="I1010" i="3"/>
  <c r="H1010" i="3"/>
  <c r="J1009" i="3"/>
  <c r="I1009" i="3"/>
  <c r="H1009" i="3"/>
  <c r="K1009" i="3" s="1"/>
  <c r="J1008" i="3"/>
  <c r="I1008" i="3"/>
  <c r="H1008" i="3"/>
  <c r="K1008" i="3" s="1"/>
  <c r="K1007" i="3"/>
  <c r="J1007" i="3"/>
  <c r="I1007" i="3"/>
  <c r="H1007" i="3"/>
  <c r="K1006" i="3"/>
  <c r="J1006" i="3"/>
  <c r="I1006" i="3"/>
  <c r="H1006" i="3"/>
  <c r="J1005" i="3"/>
  <c r="I1005" i="3"/>
  <c r="H1005" i="3"/>
  <c r="K1005" i="3" s="1"/>
  <c r="J1004" i="3"/>
  <c r="I1004" i="3"/>
  <c r="H1004" i="3"/>
  <c r="K1004" i="3" s="1"/>
  <c r="K1003" i="3"/>
  <c r="J1003" i="3"/>
  <c r="I1003" i="3"/>
  <c r="H1003" i="3"/>
  <c r="K1002" i="3"/>
  <c r="J1002" i="3"/>
  <c r="I1002" i="3"/>
  <c r="H1002" i="3"/>
  <c r="J1001" i="3"/>
  <c r="I1001" i="3"/>
  <c r="H1001" i="3"/>
  <c r="K1001" i="3" s="1"/>
  <c r="J1000" i="3"/>
  <c r="I1000" i="3"/>
  <c r="H1000" i="3"/>
  <c r="K1000" i="3" s="1"/>
  <c r="K999" i="3"/>
  <c r="J999" i="3"/>
  <c r="I999" i="3"/>
  <c r="H999" i="3"/>
  <c r="K998" i="3"/>
  <c r="J998" i="3"/>
  <c r="I998" i="3"/>
  <c r="H998" i="3"/>
  <c r="J997" i="3"/>
  <c r="I997" i="3"/>
  <c r="H997" i="3"/>
  <c r="K997" i="3" s="1"/>
  <c r="J996" i="3"/>
  <c r="I996" i="3"/>
  <c r="H996" i="3"/>
  <c r="K996" i="3" s="1"/>
  <c r="K995" i="3"/>
  <c r="J995" i="3"/>
  <c r="I995" i="3"/>
  <c r="H995" i="3"/>
  <c r="K994" i="3"/>
  <c r="J994" i="3"/>
  <c r="I994" i="3"/>
  <c r="H994" i="3"/>
  <c r="J993" i="3"/>
  <c r="I993" i="3"/>
  <c r="H993" i="3"/>
  <c r="K993" i="3" s="1"/>
  <c r="J992" i="3"/>
  <c r="I992" i="3"/>
  <c r="H992" i="3"/>
  <c r="K992" i="3" s="1"/>
  <c r="K991" i="3"/>
  <c r="J991" i="3"/>
  <c r="I991" i="3"/>
  <c r="H991" i="3"/>
  <c r="K990" i="3"/>
  <c r="J990" i="3"/>
  <c r="I990" i="3"/>
  <c r="H990" i="3"/>
  <c r="J989" i="3"/>
  <c r="I989" i="3"/>
  <c r="H989" i="3"/>
  <c r="K989" i="3" s="1"/>
  <c r="J988" i="3"/>
  <c r="I988" i="3"/>
  <c r="H988" i="3"/>
  <c r="K988" i="3" s="1"/>
  <c r="K987" i="3"/>
  <c r="J987" i="3"/>
  <c r="I987" i="3"/>
  <c r="H987" i="3"/>
  <c r="K986" i="3"/>
  <c r="J986" i="3"/>
  <c r="I986" i="3"/>
  <c r="H986" i="3"/>
  <c r="J985" i="3"/>
  <c r="I985" i="3"/>
  <c r="H985" i="3"/>
  <c r="K985" i="3" s="1"/>
  <c r="J984" i="3"/>
  <c r="I984" i="3"/>
  <c r="H984" i="3"/>
  <c r="K984" i="3" s="1"/>
  <c r="K983" i="3"/>
  <c r="J983" i="3"/>
  <c r="I983" i="3"/>
  <c r="H983" i="3"/>
  <c r="K982" i="3"/>
  <c r="J982" i="3"/>
  <c r="I982" i="3"/>
  <c r="H982" i="3"/>
  <c r="J981" i="3"/>
  <c r="I981" i="3"/>
  <c r="H981" i="3"/>
  <c r="K981" i="3" s="1"/>
  <c r="J980" i="3"/>
  <c r="I980" i="3"/>
  <c r="H980" i="3"/>
  <c r="K980" i="3" s="1"/>
  <c r="K979" i="3"/>
  <c r="J979" i="3"/>
  <c r="I979" i="3"/>
  <c r="H979" i="3"/>
  <c r="K978" i="3"/>
  <c r="J978" i="3"/>
  <c r="I978" i="3"/>
  <c r="H978" i="3"/>
  <c r="J977" i="3"/>
  <c r="I977" i="3"/>
  <c r="H977" i="3"/>
  <c r="K977" i="3" s="1"/>
  <c r="J976" i="3"/>
  <c r="I976" i="3"/>
  <c r="H976" i="3"/>
  <c r="K976" i="3" s="1"/>
  <c r="K975" i="3"/>
  <c r="J975" i="3"/>
  <c r="I975" i="3"/>
  <c r="H975" i="3"/>
  <c r="K974" i="3"/>
  <c r="J974" i="3"/>
  <c r="I974" i="3"/>
  <c r="H974" i="3"/>
  <c r="J973" i="3"/>
  <c r="I973" i="3"/>
  <c r="H973" i="3"/>
  <c r="K973" i="3" s="1"/>
  <c r="J972" i="3"/>
  <c r="I972" i="3"/>
  <c r="H972" i="3"/>
  <c r="K972" i="3" s="1"/>
  <c r="K971" i="3"/>
  <c r="J971" i="3"/>
  <c r="I971" i="3"/>
  <c r="H971" i="3"/>
  <c r="K970" i="3"/>
  <c r="J970" i="3"/>
  <c r="I970" i="3"/>
  <c r="H970" i="3"/>
  <c r="J969" i="3"/>
  <c r="I969" i="3"/>
  <c r="H969" i="3"/>
  <c r="K969" i="3" s="1"/>
  <c r="J968" i="3"/>
  <c r="I968" i="3"/>
  <c r="H968" i="3"/>
  <c r="K968" i="3" s="1"/>
  <c r="K967" i="3"/>
  <c r="J967" i="3"/>
  <c r="I967" i="3"/>
  <c r="H967" i="3"/>
  <c r="K966" i="3"/>
  <c r="J966" i="3"/>
  <c r="I966" i="3"/>
  <c r="H966" i="3"/>
  <c r="J965" i="3"/>
  <c r="I965" i="3"/>
  <c r="H965" i="3"/>
  <c r="K965" i="3" s="1"/>
  <c r="J964" i="3"/>
  <c r="I964" i="3"/>
  <c r="H964" i="3"/>
  <c r="K964" i="3" s="1"/>
  <c r="K963" i="3"/>
  <c r="J963" i="3"/>
  <c r="I963" i="3"/>
  <c r="H963" i="3"/>
  <c r="K962" i="3"/>
  <c r="J962" i="3"/>
  <c r="I962" i="3"/>
  <c r="H962" i="3"/>
  <c r="J961" i="3"/>
  <c r="I961" i="3"/>
  <c r="H961" i="3"/>
  <c r="K961" i="3" s="1"/>
  <c r="J960" i="3"/>
  <c r="I960" i="3"/>
  <c r="H960" i="3"/>
  <c r="K960" i="3" s="1"/>
  <c r="K959" i="3"/>
  <c r="J959" i="3"/>
  <c r="I959" i="3"/>
  <c r="H959" i="3"/>
  <c r="K958" i="3"/>
  <c r="J958" i="3"/>
  <c r="I958" i="3"/>
  <c r="H958" i="3"/>
  <c r="J957" i="3"/>
  <c r="I957" i="3"/>
  <c r="H957" i="3"/>
  <c r="K957" i="3" s="1"/>
  <c r="J956" i="3"/>
  <c r="I956" i="3"/>
  <c r="H956" i="3"/>
  <c r="K956" i="3" s="1"/>
  <c r="K955" i="3"/>
  <c r="J955" i="3"/>
  <c r="I955" i="3"/>
  <c r="H955" i="3"/>
  <c r="K954" i="3"/>
  <c r="J954" i="3"/>
  <c r="I954" i="3"/>
  <c r="H954" i="3"/>
  <c r="J953" i="3"/>
  <c r="I953" i="3"/>
  <c r="H953" i="3"/>
  <c r="K953" i="3" s="1"/>
  <c r="J952" i="3"/>
  <c r="I952" i="3"/>
  <c r="H952" i="3"/>
  <c r="K952" i="3" s="1"/>
  <c r="K951" i="3"/>
  <c r="J951" i="3"/>
  <c r="I951" i="3"/>
  <c r="H951" i="3"/>
  <c r="K950" i="3"/>
  <c r="J950" i="3"/>
  <c r="I950" i="3"/>
  <c r="H950" i="3"/>
  <c r="J949" i="3"/>
  <c r="I949" i="3"/>
  <c r="H949" i="3"/>
  <c r="K949" i="3" s="1"/>
  <c r="J948" i="3"/>
  <c r="I948" i="3"/>
  <c r="H948" i="3"/>
  <c r="K948" i="3" s="1"/>
  <c r="K947" i="3"/>
  <c r="J947" i="3"/>
  <c r="I947" i="3"/>
  <c r="H947" i="3"/>
  <c r="K946" i="3"/>
  <c r="J946" i="3"/>
  <c r="I946" i="3"/>
  <c r="H946" i="3"/>
  <c r="J945" i="3"/>
  <c r="I945" i="3"/>
  <c r="H945" i="3"/>
  <c r="K945" i="3" s="1"/>
  <c r="J944" i="3"/>
  <c r="I944" i="3"/>
  <c r="H944" i="3"/>
  <c r="K944" i="3" s="1"/>
  <c r="K943" i="3"/>
  <c r="J943" i="3"/>
  <c r="I943" i="3"/>
  <c r="H943" i="3"/>
  <c r="K942" i="3"/>
  <c r="J942" i="3"/>
  <c r="I942" i="3"/>
  <c r="H942" i="3"/>
  <c r="J941" i="3"/>
  <c r="I941" i="3"/>
  <c r="H941" i="3"/>
  <c r="K941" i="3" s="1"/>
  <c r="J940" i="3"/>
  <c r="I940" i="3"/>
  <c r="H940" i="3"/>
  <c r="K940" i="3" s="1"/>
  <c r="K939" i="3"/>
  <c r="J939" i="3"/>
  <c r="I939" i="3"/>
  <c r="H939" i="3"/>
  <c r="K938" i="3"/>
  <c r="J938" i="3"/>
  <c r="I938" i="3"/>
  <c r="H938" i="3"/>
  <c r="J937" i="3"/>
  <c r="I937" i="3"/>
  <c r="H937" i="3"/>
  <c r="K937" i="3" s="1"/>
  <c r="J936" i="3"/>
  <c r="I936" i="3"/>
  <c r="H936" i="3"/>
  <c r="K936" i="3" s="1"/>
  <c r="K935" i="3"/>
  <c r="J935" i="3"/>
  <c r="I935" i="3"/>
  <c r="H935" i="3"/>
  <c r="K934" i="3"/>
  <c r="J934" i="3"/>
  <c r="I934" i="3"/>
  <c r="H934" i="3"/>
  <c r="J933" i="3"/>
  <c r="I933" i="3"/>
  <c r="H933" i="3"/>
  <c r="K933" i="3" s="1"/>
  <c r="J932" i="3"/>
  <c r="I932" i="3"/>
  <c r="H932" i="3"/>
  <c r="K932" i="3" s="1"/>
  <c r="K931" i="3"/>
  <c r="J931" i="3"/>
  <c r="I931" i="3"/>
  <c r="H931" i="3"/>
  <c r="K930" i="3"/>
  <c r="J930" i="3"/>
  <c r="I930" i="3"/>
  <c r="H930" i="3"/>
  <c r="J929" i="3"/>
  <c r="I929" i="3"/>
  <c r="H929" i="3"/>
  <c r="K929" i="3" s="1"/>
  <c r="J928" i="3"/>
  <c r="I928" i="3"/>
  <c r="H928" i="3"/>
  <c r="K928" i="3" s="1"/>
  <c r="K927" i="3"/>
  <c r="J927" i="3"/>
  <c r="I927" i="3"/>
  <c r="H927" i="3"/>
  <c r="K926" i="3"/>
  <c r="J926" i="3"/>
  <c r="I926" i="3"/>
  <c r="H926" i="3"/>
  <c r="J925" i="3"/>
  <c r="I925" i="3"/>
  <c r="H925" i="3"/>
  <c r="K925" i="3" s="1"/>
  <c r="J924" i="3"/>
  <c r="I924" i="3"/>
  <c r="H924" i="3"/>
  <c r="K924" i="3" s="1"/>
  <c r="K923" i="3"/>
  <c r="J923" i="3"/>
  <c r="I923" i="3"/>
  <c r="H923" i="3"/>
  <c r="K922" i="3"/>
  <c r="J922" i="3"/>
  <c r="I922" i="3"/>
  <c r="H922" i="3"/>
  <c r="J921" i="3"/>
  <c r="I921" i="3"/>
  <c r="H921" i="3"/>
  <c r="K921" i="3" s="1"/>
  <c r="J920" i="3"/>
  <c r="I920" i="3"/>
  <c r="H920" i="3"/>
  <c r="K920" i="3" s="1"/>
  <c r="K919" i="3"/>
  <c r="J919" i="3"/>
  <c r="I919" i="3"/>
  <c r="H919" i="3"/>
  <c r="K918" i="3"/>
  <c r="J918" i="3"/>
  <c r="I918" i="3"/>
  <c r="H918" i="3"/>
  <c r="J917" i="3"/>
  <c r="I917" i="3"/>
  <c r="H917" i="3"/>
  <c r="K917" i="3" s="1"/>
  <c r="J916" i="3"/>
  <c r="I916" i="3"/>
  <c r="H916" i="3"/>
  <c r="K916" i="3" s="1"/>
  <c r="K915" i="3"/>
  <c r="J915" i="3"/>
  <c r="I915" i="3"/>
  <c r="H915" i="3"/>
  <c r="K914" i="3"/>
  <c r="J914" i="3"/>
  <c r="I914" i="3"/>
  <c r="H914" i="3"/>
  <c r="J913" i="3"/>
  <c r="I913" i="3"/>
  <c r="H913" i="3"/>
  <c r="K913" i="3" s="1"/>
  <c r="J912" i="3"/>
  <c r="I912" i="3"/>
  <c r="H912" i="3"/>
  <c r="K912" i="3" s="1"/>
  <c r="K911" i="3"/>
  <c r="J911" i="3"/>
  <c r="I911" i="3"/>
  <c r="H911" i="3"/>
  <c r="K910" i="3"/>
  <c r="J910" i="3"/>
  <c r="I910" i="3"/>
  <c r="H910" i="3"/>
  <c r="J909" i="3"/>
  <c r="I909" i="3"/>
  <c r="H909" i="3"/>
  <c r="K909" i="3" s="1"/>
  <c r="J908" i="3"/>
  <c r="I908" i="3"/>
  <c r="H908" i="3"/>
  <c r="K908" i="3" s="1"/>
  <c r="K907" i="3"/>
  <c r="J907" i="3"/>
  <c r="I907" i="3"/>
  <c r="H907" i="3"/>
  <c r="K906" i="3"/>
  <c r="J906" i="3"/>
  <c r="I906" i="3"/>
  <c r="H906" i="3"/>
  <c r="J905" i="3"/>
  <c r="I905" i="3"/>
  <c r="H905" i="3"/>
  <c r="K905" i="3" s="1"/>
  <c r="J904" i="3"/>
  <c r="I904" i="3"/>
  <c r="H904" i="3"/>
  <c r="K904" i="3" s="1"/>
  <c r="K903" i="3"/>
  <c r="J903" i="3"/>
  <c r="I903" i="3"/>
  <c r="H903" i="3"/>
  <c r="K902" i="3"/>
  <c r="J902" i="3"/>
  <c r="I902" i="3"/>
  <c r="H902" i="3"/>
  <c r="J901" i="3"/>
  <c r="I901" i="3"/>
  <c r="H901" i="3"/>
  <c r="K901" i="3" s="1"/>
  <c r="J900" i="3"/>
  <c r="I900" i="3"/>
  <c r="H900" i="3"/>
  <c r="K900" i="3" s="1"/>
  <c r="K899" i="3"/>
  <c r="J899" i="3"/>
  <c r="I899" i="3"/>
  <c r="H899" i="3"/>
  <c r="K898" i="3"/>
  <c r="J898" i="3"/>
  <c r="I898" i="3"/>
  <c r="H898" i="3"/>
  <c r="J897" i="3"/>
  <c r="I897" i="3"/>
  <c r="H897" i="3"/>
  <c r="K897" i="3" s="1"/>
  <c r="J896" i="3"/>
  <c r="I896" i="3"/>
  <c r="H896" i="3"/>
  <c r="K896" i="3" s="1"/>
  <c r="K895" i="3"/>
  <c r="J895" i="3"/>
  <c r="I895" i="3"/>
  <c r="H895" i="3"/>
  <c r="K894" i="3"/>
  <c r="J894" i="3"/>
  <c r="I894" i="3"/>
  <c r="H894" i="3"/>
  <c r="J893" i="3"/>
  <c r="I893" i="3"/>
  <c r="H893" i="3"/>
  <c r="K893" i="3" s="1"/>
  <c r="J892" i="3"/>
  <c r="I892" i="3"/>
  <c r="H892" i="3"/>
  <c r="K892" i="3" s="1"/>
  <c r="K891" i="3"/>
  <c r="J891" i="3"/>
  <c r="I891" i="3"/>
  <c r="H891" i="3"/>
  <c r="K890" i="3"/>
  <c r="J890" i="3"/>
  <c r="I890" i="3"/>
  <c r="H890" i="3"/>
  <c r="J889" i="3"/>
  <c r="I889" i="3"/>
  <c r="H889" i="3"/>
  <c r="K889" i="3" s="1"/>
  <c r="J888" i="3"/>
  <c r="I888" i="3"/>
  <c r="H888" i="3"/>
  <c r="K888" i="3" s="1"/>
  <c r="K887" i="3"/>
  <c r="J887" i="3"/>
  <c r="I887" i="3"/>
  <c r="H887" i="3"/>
  <c r="K886" i="3"/>
  <c r="J886" i="3"/>
  <c r="I886" i="3"/>
  <c r="H886" i="3"/>
  <c r="J885" i="3"/>
  <c r="I885" i="3"/>
  <c r="H885" i="3"/>
  <c r="K885" i="3" s="1"/>
  <c r="J884" i="3"/>
  <c r="I884" i="3"/>
  <c r="H884" i="3"/>
  <c r="K884" i="3" s="1"/>
  <c r="K883" i="3"/>
  <c r="J883" i="3"/>
  <c r="I883" i="3"/>
  <c r="H883" i="3"/>
  <c r="K882" i="3"/>
  <c r="J882" i="3"/>
  <c r="I882" i="3"/>
  <c r="H882" i="3"/>
  <c r="J881" i="3"/>
  <c r="I881" i="3"/>
  <c r="H881" i="3"/>
  <c r="K881" i="3" s="1"/>
  <c r="J880" i="3"/>
  <c r="I880" i="3"/>
  <c r="H880" i="3"/>
  <c r="K880" i="3" s="1"/>
  <c r="J879" i="3"/>
  <c r="I879" i="3"/>
  <c r="H879" i="3"/>
  <c r="K879" i="3" s="1"/>
  <c r="J878" i="3"/>
  <c r="I878" i="3"/>
  <c r="H878" i="3"/>
  <c r="K878" i="3" s="1"/>
  <c r="J877" i="3"/>
  <c r="I877" i="3"/>
  <c r="H877" i="3"/>
  <c r="K877" i="3" s="1"/>
  <c r="J876" i="3"/>
  <c r="I876" i="3"/>
  <c r="H876" i="3"/>
  <c r="K876" i="3" s="1"/>
  <c r="K875" i="3"/>
  <c r="J875" i="3"/>
  <c r="I875" i="3"/>
  <c r="H875" i="3"/>
  <c r="J874" i="3"/>
  <c r="I874" i="3"/>
  <c r="H874" i="3"/>
  <c r="K874" i="3" s="1"/>
  <c r="J873" i="3"/>
  <c r="I873" i="3"/>
  <c r="H873" i="3"/>
  <c r="K873" i="3" s="1"/>
  <c r="J872" i="3"/>
  <c r="I872" i="3"/>
  <c r="H872" i="3"/>
  <c r="K872" i="3" s="1"/>
  <c r="J871" i="3"/>
  <c r="I871" i="3"/>
  <c r="H871" i="3"/>
  <c r="K871" i="3" s="1"/>
  <c r="J870" i="3"/>
  <c r="I870" i="3"/>
  <c r="H870" i="3"/>
  <c r="K870" i="3" s="1"/>
  <c r="J869" i="3"/>
  <c r="I869" i="3"/>
  <c r="H869" i="3"/>
  <c r="K869" i="3" s="1"/>
  <c r="J868" i="3"/>
  <c r="I868" i="3"/>
  <c r="H868" i="3"/>
  <c r="K868" i="3" s="1"/>
  <c r="J867" i="3"/>
  <c r="I867" i="3"/>
  <c r="H867" i="3"/>
  <c r="K867" i="3" s="1"/>
  <c r="J866" i="3"/>
  <c r="I866" i="3"/>
  <c r="H866" i="3"/>
  <c r="K866" i="3" s="1"/>
  <c r="K865" i="3"/>
  <c r="J865" i="3"/>
  <c r="I865" i="3"/>
  <c r="H865" i="3"/>
  <c r="K864" i="3"/>
  <c r="J864" i="3"/>
  <c r="I864" i="3"/>
  <c r="H864" i="3"/>
  <c r="K863" i="3"/>
  <c r="J863" i="3"/>
  <c r="I863" i="3"/>
  <c r="H863" i="3"/>
  <c r="J862" i="3"/>
  <c r="I862" i="3"/>
  <c r="H862" i="3"/>
  <c r="K862" i="3" s="1"/>
  <c r="J861" i="3"/>
  <c r="I861" i="3"/>
  <c r="H861" i="3"/>
  <c r="K861" i="3" s="1"/>
  <c r="J860" i="3"/>
  <c r="I860" i="3"/>
  <c r="H860" i="3"/>
  <c r="K860" i="3" s="1"/>
  <c r="J859" i="3"/>
  <c r="I859" i="3"/>
  <c r="H859" i="3"/>
  <c r="K859" i="3" s="1"/>
  <c r="J858" i="3"/>
  <c r="I858" i="3"/>
  <c r="H858" i="3"/>
  <c r="K858" i="3" s="1"/>
  <c r="J857" i="3"/>
  <c r="I857" i="3"/>
  <c r="H857" i="3"/>
  <c r="K857" i="3" s="1"/>
  <c r="J856" i="3"/>
  <c r="I856" i="3"/>
  <c r="H856" i="3"/>
  <c r="K856" i="3" s="1"/>
  <c r="J855" i="3"/>
  <c r="I855" i="3"/>
  <c r="H855" i="3"/>
  <c r="K855" i="3" s="1"/>
  <c r="J854" i="3"/>
  <c r="I854" i="3"/>
  <c r="H854" i="3"/>
  <c r="K854" i="3" s="1"/>
  <c r="J853" i="3"/>
  <c r="I853" i="3"/>
  <c r="H853" i="3"/>
  <c r="K853" i="3" s="1"/>
  <c r="J852" i="3"/>
  <c r="I852" i="3"/>
  <c r="H852" i="3"/>
  <c r="K852" i="3" s="1"/>
  <c r="J851" i="3"/>
  <c r="I851" i="3"/>
  <c r="H851" i="3"/>
  <c r="K851" i="3" s="1"/>
  <c r="J850" i="3"/>
  <c r="I850" i="3"/>
  <c r="H850" i="3"/>
  <c r="K850" i="3" s="1"/>
  <c r="K849" i="3"/>
  <c r="J849" i="3"/>
  <c r="I849" i="3"/>
  <c r="H849" i="3"/>
  <c r="K848" i="3"/>
  <c r="J848" i="3"/>
  <c r="I848" i="3"/>
  <c r="H848" i="3"/>
  <c r="K847" i="3"/>
  <c r="J847" i="3"/>
  <c r="I847" i="3"/>
  <c r="H847" i="3"/>
  <c r="J846" i="3"/>
  <c r="I846" i="3"/>
  <c r="H846" i="3"/>
  <c r="K846" i="3" s="1"/>
  <c r="J845" i="3"/>
  <c r="I845" i="3"/>
  <c r="H845" i="3"/>
  <c r="K845" i="3" s="1"/>
  <c r="J844" i="3"/>
  <c r="I844" i="3"/>
  <c r="H844" i="3"/>
  <c r="K844" i="3" s="1"/>
  <c r="J843" i="3"/>
  <c r="I843" i="3"/>
  <c r="H843" i="3"/>
  <c r="K843" i="3" s="1"/>
  <c r="J842" i="3"/>
  <c r="I842" i="3"/>
  <c r="H842" i="3"/>
  <c r="K842" i="3" s="1"/>
  <c r="J841" i="3"/>
  <c r="I841" i="3"/>
  <c r="H841" i="3"/>
  <c r="K841" i="3" s="1"/>
  <c r="J840" i="3"/>
  <c r="I840" i="3"/>
  <c r="H840" i="3"/>
  <c r="K840" i="3" s="1"/>
  <c r="J839" i="3"/>
  <c r="I839" i="3"/>
  <c r="H839" i="3"/>
  <c r="K839" i="3" s="1"/>
  <c r="J838" i="3"/>
  <c r="I838" i="3"/>
  <c r="H838" i="3"/>
  <c r="K838" i="3" s="1"/>
  <c r="J837" i="3"/>
  <c r="I837" i="3"/>
  <c r="H837" i="3"/>
  <c r="K837" i="3" s="1"/>
  <c r="J836" i="3"/>
  <c r="I836" i="3"/>
  <c r="H836" i="3"/>
  <c r="K836" i="3" s="1"/>
  <c r="J835" i="3"/>
  <c r="I835" i="3"/>
  <c r="H835" i="3"/>
  <c r="K835" i="3" s="1"/>
  <c r="J834" i="3"/>
  <c r="I834" i="3"/>
  <c r="H834" i="3"/>
  <c r="K834" i="3" s="1"/>
  <c r="K833" i="3"/>
  <c r="J833" i="3"/>
  <c r="I833" i="3"/>
  <c r="H833" i="3"/>
  <c r="K832" i="3"/>
  <c r="J832" i="3"/>
  <c r="I832" i="3"/>
  <c r="H832" i="3"/>
  <c r="K831" i="3"/>
  <c r="J831" i="3"/>
  <c r="I831" i="3"/>
  <c r="H831" i="3"/>
  <c r="J830" i="3"/>
  <c r="I830" i="3"/>
  <c r="H830" i="3"/>
  <c r="K830" i="3" s="1"/>
  <c r="J829" i="3"/>
  <c r="I829" i="3"/>
  <c r="H829" i="3"/>
  <c r="K829" i="3" s="1"/>
  <c r="J828" i="3"/>
  <c r="I828" i="3"/>
  <c r="H828" i="3"/>
  <c r="K828" i="3" s="1"/>
  <c r="J827" i="3"/>
  <c r="I827" i="3"/>
  <c r="H827" i="3"/>
  <c r="K827" i="3" s="1"/>
  <c r="J826" i="3"/>
  <c r="I826" i="3"/>
  <c r="H826" i="3"/>
  <c r="K826" i="3" s="1"/>
  <c r="J825" i="3"/>
  <c r="I825" i="3"/>
  <c r="H825" i="3"/>
  <c r="K825" i="3" s="1"/>
  <c r="J824" i="3"/>
  <c r="I824" i="3"/>
  <c r="H824" i="3"/>
  <c r="K824" i="3" s="1"/>
  <c r="J823" i="3"/>
  <c r="I823" i="3"/>
  <c r="H823" i="3"/>
  <c r="K823" i="3" s="1"/>
  <c r="J822" i="3"/>
  <c r="I822" i="3"/>
  <c r="H822" i="3"/>
  <c r="K822" i="3" s="1"/>
  <c r="J821" i="3"/>
  <c r="I821" i="3"/>
  <c r="H821" i="3"/>
  <c r="K821" i="3" s="1"/>
  <c r="J820" i="3"/>
  <c r="I820" i="3"/>
  <c r="H820" i="3"/>
  <c r="K820" i="3" s="1"/>
  <c r="J819" i="3"/>
  <c r="I819" i="3"/>
  <c r="H819" i="3"/>
  <c r="K819" i="3" s="1"/>
  <c r="J818" i="3"/>
  <c r="I818" i="3"/>
  <c r="H818" i="3"/>
  <c r="K818" i="3" s="1"/>
  <c r="J817" i="3"/>
  <c r="I817" i="3"/>
  <c r="H817" i="3"/>
  <c r="K817" i="3" s="1"/>
  <c r="J816" i="3"/>
  <c r="I816" i="3"/>
  <c r="H816" i="3"/>
  <c r="K816" i="3" s="1"/>
  <c r="J815" i="3"/>
  <c r="I815" i="3"/>
  <c r="H815" i="3"/>
  <c r="K815" i="3" s="1"/>
  <c r="J814" i="3"/>
  <c r="I814" i="3"/>
  <c r="H814" i="3"/>
  <c r="K814" i="3" s="1"/>
  <c r="J813" i="3"/>
  <c r="I813" i="3"/>
  <c r="H813" i="3"/>
  <c r="K813" i="3" s="1"/>
  <c r="J812" i="3"/>
  <c r="I812" i="3"/>
  <c r="H812" i="3"/>
  <c r="K812" i="3" s="1"/>
  <c r="J808" i="3"/>
  <c r="I808" i="3"/>
  <c r="H808" i="3"/>
  <c r="K808" i="3" s="1"/>
  <c r="J807" i="3"/>
  <c r="I807" i="3"/>
  <c r="H807" i="3"/>
  <c r="K807" i="3" s="1"/>
  <c r="J806" i="3"/>
  <c r="I806" i="3"/>
  <c r="H806" i="3"/>
  <c r="K806" i="3" s="1"/>
  <c r="J805" i="3"/>
  <c r="I805" i="3"/>
  <c r="H805" i="3"/>
  <c r="K805" i="3" s="1"/>
  <c r="K804" i="3"/>
  <c r="J804" i="3"/>
  <c r="I804" i="3"/>
  <c r="H804" i="3"/>
  <c r="K803" i="3"/>
  <c r="J803" i="3"/>
  <c r="I803" i="3"/>
  <c r="H803" i="3"/>
  <c r="K802" i="3"/>
  <c r="J802" i="3"/>
  <c r="I802" i="3"/>
  <c r="H802" i="3"/>
  <c r="A797" i="26" l="1"/>
  <c r="F796" i="26"/>
  <c r="I204" i="15"/>
  <c r="I203" i="15"/>
  <c r="I202" i="15"/>
  <c r="I198" i="15"/>
  <c r="I197" i="15"/>
  <c r="I201" i="15"/>
  <c r="I200" i="15"/>
  <c r="I199" i="15"/>
  <c r="I195" i="15"/>
  <c r="I196" i="15"/>
  <c r="I194" i="15"/>
  <c r="I193" i="15"/>
  <c r="I192" i="15"/>
  <c r="I191" i="15"/>
  <c r="I190" i="15"/>
  <c r="I189" i="15"/>
  <c r="I188" i="15"/>
  <c r="I187" i="15"/>
  <c r="I186" i="15"/>
  <c r="I184" i="15"/>
  <c r="I185" i="15"/>
  <c r="I183" i="15"/>
  <c r="I182" i="15"/>
  <c r="F1175" i="21"/>
  <c r="E1175" i="21"/>
  <c r="M1175" i="21"/>
  <c r="K1175" i="21" s="1"/>
  <c r="F2005" i="21"/>
  <c r="P2005" i="21" s="1"/>
  <c r="E2005" i="21"/>
  <c r="F2004" i="21"/>
  <c r="E2004" i="21"/>
  <c r="F2003" i="21"/>
  <c r="P2003" i="21" s="1"/>
  <c r="E2003" i="21"/>
  <c r="F2002" i="21"/>
  <c r="E2002" i="21"/>
  <c r="F2001" i="21"/>
  <c r="P2001" i="21" s="1"/>
  <c r="E2001" i="21"/>
  <c r="F2000" i="21"/>
  <c r="E2000" i="21"/>
  <c r="F1999" i="21"/>
  <c r="P1999" i="21" s="1"/>
  <c r="E1999" i="21"/>
  <c r="F1998" i="21"/>
  <c r="E1998" i="21"/>
  <c r="F1997" i="21"/>
  <c r="P1997" i="21" s="1"/>
  <c r="E1997" i="21"/>
  <c r="F1996" i="21"/>
  <c r="E1996" i="21"/>
  <c r="F1995" i="21"/>
  <c r="P1995" i="21" s="1"/>
  <c r="E1995" i="21"/>
  <c r="F1994" i="21"/>
  <c r="E1994" i="21"/>
  <c r="F1993" i="21"/>
  <c r="P1993" i="21" s="1"/>
  <c r="E1993" i="21"/>
  <c r="F1992" i="21"/>
  <c r="E1992" i="21"/>
  <c r="F1991" i="21"/>
  <c r="P1991" i="21" s="1"/>
  <c r="E1991" i="21"/>
  <c r="F1990" i="21"/>
  <c r="E1990" i="21"/>
  <c r="F1989" i="21"/>
  <c r="P1989" i="21" s="1"/>
  <c r="E1989" i="21"/>
  <c r="F1988" i="21"/>
  <c r="E1988" i="21"/>
  <c r="F1987" i="21"/>
  <c r="P1987" i="21" s="1"/>
  <c r="E1987" i="21"/>
  <c r="F1986" i="21"/>
  <c r="E1986" i="21"/>
  <c r="F1985" i="21"/>
  <c r="P1985" i="21" s="1"/>
  <c r="E1985" i="21"/>
  <c r="F1984" i="21"/>
  <c r="E1984" i="21"/>
  <c r="F1983" i="21"/>
  <c r="P1983" i="21" s="1"/>
  <c r="E1983" i="21"/>
  <c r="F1982" i="21"/>
  <c r="E1982" i="21"/>
  <c r="F1981" i="21"/>
  <c r="P1981" i="21" s="1"/>
  <c r="E1981" i="21"/>
  <c r="F1980" i="21"/>
  <c r="E1980" i="21"/>
  <c r="F1979" i="21"/>
  <c r="P1979" i="21" s="1"/>
  <c r="E1979" i="21"/>
  <c r="F1978" i="21"/>
  <c r="E1978" i="21"/>
  <c r="F1977" i="21"/>
  <c r="P1977" i="21" s="1"/>
  <c r="E1977" i="21"/>
  <c r="F1976" i="21"/>
  <c r="E1976" i="21"/>
  <c r="F1975" i="21"/>
  <c r="P1975" i="21" s="1"/>
  <c r="E1975" i="21"/>
  <c r="F1974" i="21"/>
  <c r="E1974" i="21"/>
  <c r="F1973" i="21"/>
  <c r="P1973" i="21" s="1"/>
  <c r="E1973" i="21"/>
  <c r="F1972" i="21"/>
  <c r="E1972" i="21"/>
  <c r="F1971" i="21"/>
  <c r="P1971" i="21" s="1"/>
  <c r="E1971" i="21"/>
  <c r="F1970" i="21"/>
  <c r="E1970" i="21"/>
  <c r="F1969" i="21"/>
  <c r="P1969" i="21" s="1"/>
  <c r="E1969" i="21"/>
  <c r="F1968" i="21"/>
  <c r="E1968" i="21"/>
  <c r="F1967" i="21"/>
  <c r="P1967" i="21" s="1"/>
  <c r="E1967" i="21"/>
  <c r="F1966" i="21"/>
  <c r="E1966" i="21"/>
  <c r="F1965" i="21"/>
  <c r="P1965" i="21" s="1"/>
  <c r="E1965" i="21"/>
  <c r="F1964" i="21"/>
  <c r="E1964" i="21"/>
  <c r="F1963" i="21"/>
  <c r="P1963" i="21" s="1"/>
  <c r="E1963" i="21"/>
  <c r="F1962" i="21"/>
  <c r="E1962" i="21"/>
  <c r="F1961" i="21"/>
  <c r="P1961" i="21" s="1"/>
  <c r="E1961" i="21"/>
  <c r="F1960" i="21"/>
  <c r="E1960" i="21"/>
  <c r="F1959" i="21"/>
  <c r="P1959" i="21" s="1"/>
  <c r="E1959" i="21"/>
  <c r="F1958" i="21"/>
  <c r="E1958" i="21"/>
  <c r="F1957" i="21"/>
  <c r="P1957" i="21" s="1"/>
  <c r="E1957" i="21"/>
  <c r="F1956" i="21"/>
  <c r="E1956" i="21"/>
  <c r="F1955" i="21"/>
  <c r="P1955" i="21" s="1"/>
  <c r="E1955" i="21"/>
  <c r="F1954" i="21"/>
  <c r="E1954" i="21"/>
  <c r="F1953" i="21"/>
  <c r="P1953" i="21" s="1"/>
  <c r="E1953" i="21"/>
  <c r="F1952" i="21"/>
  <c r="E1952" i="21"/>
  <c r="F1951" i="21"/>
  <c r="P1951" i="21" s="1"/>
  <c r="E1951" i="21"/>
  <c r="F1950" i="21"/>
  <c r="E1950" i="21"/>
  <c r="F1949" i="21"/>
  <c r="P1949" i="21" s="1"/>
  <c r="E1949" i="21"/>
  <c r="F1948" i="21"/>
  <c r="E1948" i="21"/>
  <c r="F1947" i="21"/>
  <c r="P1947" i="21" s="1"/>
  <c r="E1947" i="21"/>
  <c r="F1946" i="21"/>
  <c r="E1946" i="21"/>
  <c r="F1945" i="21"/>
  <c r="P1945" i="21" s="1"/>
  <c r="E1945" i="21"/>
  <c r="F1944" i="21"/>
  <c r="E1944" i="21"/>
  <c r="F1943" i="21"/>
  <c r="P1943" i="21" s="1"/>
  <c r="E1943" i="21"/>
  <c r="F1942" i="21"/>
  <c r="E1942" i="21"/>
  <c r="F1941" i="21"/>
  <c r="E1941" i="21"/>
  <c r="F1940" i="21"/>
  <c r="E1940" i="21"/>
  <c r="F1939" i="21"/>
  <c r="P1939" i="21" s="1"/>
  <c r="E1939" i="21"/>
  <c r="F1938" i="21"/>
  <c r="E1938" i="21"/>
  <c r="F1937" i="21"/>
  <c r="P1937" i="21" s="1"/>
  <c r="E1937" i="21"/>
  <c r="F1936" i="21"/>
  <c r="E1936" i="21"/>
  <c r="F1935" i="21"/>
  <c r="P1935" i="21" s="1"/>
  <c r="E1935" i="21"/>
  <c r="F1934" i="21"/>
  <c r="E1934" i="21"/>
  <c r="F1933" i="21"/>
  <c r="P1933" i="21" s="1"/>
  <c r="E1933" i="21"/>
  <c r="F1932" i="21"/>
  <c r="E1932" i="21"/>
  <c r="F1931" i="21"/>
  <c r="P1931" i="21" s="1"/>
  <c r="E1931" i="21"/>
  <c r="F1930" i="21"/>
  <c r="E1930" i="21"/>
  <c r="F1929" i="21"/>
  <c r="P1929" i="21" s="1"/>
  <c r="E1929" i="21"/>
  <c r="F1928" i="21"/>
  <c r="E1928" i="21"/>
  <c r="F1927" i="21"/>
  <c r="P1927" i="21" s="1"/>
  <c r="E1927" i="21"/>
  <c r="F1926" i="21"/>
  <c r="E1926" i="21"/>
  <c r="F1925" i="21"/>
  <c r="P1925" i="21" s="1"/>
  <c r="E1925" i="21"/>
  <c r="F1924" i="21"/>
  <c r="E1924" i="21"/>
  <c r="F1923" i="21"/>
  <c r="P1923" i="21" s="1"/>
  <c r="E1923" i="21"/>
  <c r="F1922" i="21"/>
  <c r="E1922" i="21"/>
  <c r="F1921" i="21"/>
  <c r="P1921" i="21" s="1"/>
  <c r="E1921" i="21"/>
  <c r="F1920" i="21"/>
  <c r="E1920" i="21"/>
  <c r="F1919" i="21"/>
  <c r="P1919" i="21" s="1"/>
  <c r="E1919" i="21"/>
  <c r="F1918" i="21"/>
  <c r="E1918" i="21"/>
  <c r="F1917" i="21"/>
  <c r="P1917" i="21" s="1"/>
  <c r="E1917" i="21"/>
  <c r="F1916" i="21"/>
  <c r="E1916" i="21"/>
  <c r="F1915" i="21"/>
  <c r="P1915" i="21" s="1"/>
  <c r="E1915" i="21"/>
  <c r="F1914" i="21"/>
  <c r="E1914" i="21"/>
  <c r="F1913" i="21"/>
  <c r="E1913" i="21"/>
  <c r="F1912" i="21"/>
  <c r="E1912" i="21"/>
  <c r="F1911" i="21"/>
  <c r="P1911" i="21" s="1"/>
  <c r="E1911" i="21"/>
  <c r="F1910" i="21"/>
  <c r="E1910" i="21"/>
  <c r="F1909" i="21"/>
  <c r="P1909" i="21" s="1"/>
  <c r="E1909" i="21"/>
  <c r="F1908" i="21"/>
  <c r="E1908" i="21"/>
  <c r="F1907" i="21"/>
  <c r="P1907" i="21" s="1"/>
  <c r="E1907" i="21"/>
  <c r="F1906" i="21"/>
  <c r="E1906" i="21"/>
  <c r="F1905" i="21"/>
  <c r="P1905" i="21" s="1"/>
  <c r="E1905" i="21"/>
  <c r="F1904" i="21"/>
  <c r="E1904" i="21"/>
  <c r="F1903" i="21"/>
  <c r="P1903" i="21" s="1"/>
  <c r="E1903" i="21"/>
  <c r="F1902" i="21"/>
  <c r="E1902" i="21"/>
  <c r="F1901" i="21"/>
  <c r="P1901" i="21" s="1"/>
  <c r="E1901" i="21"/>
  <c r="F1900" i="21"/>
  <c r="E1900" i="21"/>
  <c r="F1899" i="21"/>
  <c r="P1899" i="21" s="1"/>
  <c r="E1899" i="21"/>
  <c r="F1898" i="21"/>
  <c r="E1898" i="21"/>
  <c r="F1897" i="21"/>
  <c r="P1897" i="21" s="1"/>
  <c r="E1897" i="21"/>
  <c r="F1896" i="21"/>
  <c r="E1896" i="21"/>
  <c r="F1895" i="21"/>
  <c r="P1895" i="21" s="1"/>
  <c r="E1895" i="21"/>
  <c r="F1894" i="21"/>
  <c r="E1894" i="21"/>
  <c r="F1893" i="21"/>
  <c r="E1893" i="21"/>
  <c r="F1892" i="21"/>
  <c r="E1892" i="21"/>
  <c r="F1891" i="21"/>
  <c r="P1891" i="21" s="1"/>
  <c r="E1891" i="21"/>
  <c r="F1890" i="21"/>
  <c r="E1890" i="21"/>
  <c r="F1889" i="21"/>
  <c r="P1889" i="21" s="1"/>
  <c r="E1889" i="21"/>
  <c r="F1888" i="21"/>
  <c r="E1888" i="21"/>
  <c r="F1887" i="21"/>
  <c r="P1887" i="21" s="1"/>
  <c r="E1887" i="21"/>
  <c r="F1886" i="21"/>
  <c r="E1886" i="21"/>
  <c r="F1885" i="21"/>
  <c r="P1885" i="21" s="1"/>
  <c r="E1885" i="21"/>
  <c r="F1884" i="21"/>
  <c r="E1884" i="21"/>
  <c r="F1883" i="21"/>
  <c r="P1883" i="21" s="1"/>
  <c r="E1883" i="21"/>
  <c r="F1882" i="21"/>
  <c r="E1882" i="21"/>
  <c r="F1881" i="21"/>
  <c r="P1881" i="21" s="1"/>
  <c r="E1881" i="21"/>
  <c r="F1880" i="21"/>
  <c r="E1880" i="21"/>
  <c r="F1879" i="21"/>
  <c r="P1879" i="21" s="1"/>
  <c r="E1879" i="21"/>
  <c r="F1878" i="21"/>
  <c r="E1878" i="21"/>
  <c r="F1877" i="21"/>
  <c r="P1877" i="21" s="1"/>
  <c r="E1877" i="21"/>
  <c r="F1876" i="21"/>
  <c r="E1876" i="21"/>
  <c r="F1875" i="21"/>
  <c r="P1875" i="21" s="1"/>
  <c r="E1875" i="21"/>
  <c r="F1874" i="21"/>
  <c r="E1874" i="21"/>
  <c r="F1873" i="21"/>
  <c r="P1873" i="21" s="1"/>
  <c r="E1873" i="21"/>
  <c r="F1872" i="21"/>
  <c r="E1872" i="21"/>
  <c r="F1871" i="21"/>
  <c r="P1871" i="21" s="1"/>
  <c r="E1871" i="21"/>
  <c r="F1870" i="21"/>
  <c r="E1870" i="21"/>
  <c r="F1869" i="21"/>
  <c r="P1869" i="21" s="1"/>
  <c r="E1869" i="21"/>
  <c r="F1868" i="21"/>
  <c r="E1868" i="21"/>
  <c r="F1867" i="21"/>
  <c r="P1867" i="21" s="1"/>
  <c r="E1867" i="21"/>
  <c r="F1866" i="21"/>
  <c r="E1866" i="21"/>
  <c r="F1865" i="21"/>
  <c r="P1865" i="21" s="1"/>
  <c r="E1865" i="21"/>
  <c r="F1864" i="21"/>
  <c r="E1864" i="21"/>
  <c r="F1863" i="21"/>
  <c r="P1863" i="21" s="1"/>
  <c r="E1863" i="21"/>
  <c r="F1862" i="21"/>
  <c r="E1862" i="21"/>
  <c r="F1861" i="21"/>
  <c r="P1861" i="21" s="1"/>
  <c r="E1861" i="21"/>
  <c r="F1860" i="21"/>
  <c r="E1860" i="21"/>
  <c r="F1859" i="21"/>
  <c r="P1859" i="21" s="1"/>
  <c r="E1859" i="21"/>
  <c r="F1858" i="21"/>
  <c r="E1858" i="21"/>
  <c r="F1857" i="21"/>
  <c r="P1857" i="21" s="1"/>
  <c r="E1857" i="21"/>
  <c r="F1856" i="21"/>
  <c r="E1856" i="21"/>
  <c r="F1855" i="21"/>
  <c r="P1855" i="21" s="1"/>
  <c r="E1855" i="21"/>
  <c r="F1854" i="21"/>
  <c r="E1854" i="21"/>
  <c r="F1853" i="21"/>
  <c r="P1853" i="21" s="1"/>
  <c r="E1853" i="21"/>
  <c r="F1852" i="21"/>
  <c r="E1852" i="21"/>
  <c r="F1851" i="21"/>
  <c r="P1851" i="21" s="1"/>
  <c r="E1851" i="21"/>
  <c r="F1850" i="21"/>
  <c r="E1850" i="21"/>
  <c r="F1849" i="21"/>
  <c r="P1849" i="21" s="1"/>
  <c r="E1849" i="21"/>
  <c r="F1848" i="21"/>
  <c r="E1848" i="21"/>
  <c r="F1847" i="21"/>
  <c r="P1847" i="21" s="1"/>
  <c r="E1847" i="21"/>
  <c r="F1846" i="21"/>
  <c r="E1846" i="21"/>
  <c r="F1845" i="21"/>
  <c r="P1845" i="21" s="1"/>
  <c r="E1845" i="21"/>
  <c r="F1844" i="21"/>
  <c r="E1844" i="21"/>
  <c r="F1843" i="21"/>
  <c r="P1843" i="21" s="1"/>
  <c r="E1843" i="21"/>
  <c r="F1842" i="21"/>
  <c r="E1842" i="21"/>
  <c r="F1841" i="21"/>
  <c r="P1841" i="21" s="1"/>
  <c r="E1841" i="21"/>
  <c r="F1840" i="21"/>
  <c r="E1840" i="21"/>
  <c r="F1839" i="21"/>
  <c r="P1839" i="21" s="1"/>
  <c r="E1839" i="21"/>
  <c r="F1838" i="21"/>
  <c r="E1838" i="21"/>
  <c r="F1837" i="21"/>
  <c r="P1837" i="21" s="1"/>
  <c r="E1837" i="21"/>
  <c r="F1836" i="21"/>
  <c r="E1836" i="21"/>
  <c r="F1835" i="21"/>
  <c r="P1835" i="21" s="1"/>
  <c r="E1835" i="21"/>
  <c r="F1834" i="21"/>
  <c r="E1834" i="21"/>
  <c r="F1833" i="21"/>
  <c r="P1833" i="21" s="1"/>
  <c r="E1833" i="21"/>
  <c r="F1832" i="21"/>
  <c r="E1832" i="21"/>
  <c r="F1831" i="21"/>
  <c r="P1831" i="21" s="1"/>
  <c r="E1831" i="21"/>
  <c r="F1830" i="21"/>
  <c r="E1830" i="21"/>
  <c r="F1829" i="21"/>
  <c r="P1829" i="21" s="1"/>
  <c r="E1829" i="21"/>
  <c r="F1828" i="21"/>
  <c r="E1828" i="21"/>
  <c r="F1827" i="21"/>
  <c r="P1827" i="21" s="1"/>
  <c r="E1827" i="21"/>
  <c r="F1826" i="21"/>
  <c r="E1826" i="21"/>
  <c r="F1825" i="21"/>
  <c r="P1825" i="21" s="1"/>
  <c r="E1825" i="21"/>
  <c r="F1824" i="21"/>
  <c r="E1824" i="21"/>
  <c r="F1823" i="21"/>
  <c r="P1823" i="21" s="1"/>
  <c r="E1823" i="21"/>
  <c r="F1822" i="21"/>
  <c r="E1822" i="21"/>
  <c r="F1821" i="21"/>
  <c r="P1821" i="21" s="1"/>
  <c r="E1821" i="21"/>
  <c r="F1820" i="21"/>
  <c r="E1820" i="21"/>
  <c r="F1819" i="21"/>
  <c r="P1819" i="21" s="1"/>
  <c r="E1819" i="21"/>
  <c r="F1818" i="21"/>
  <c r="E1818" i="21"/>
  <c r="F1817" i="21"/>
  <c r="P1817" i="21" s="1"/>
  <c r="E1817" i="21"/>
  <c r="F1816" i="21"/>
  <c r="E1816" i="21"/>
  <c r="F1815" i="21"/>
  <c r="P1815" i="21" s="1"/>
  <c r="E1815" i="21"/>
  <c r="F1814" i="21"/>
  <c r="E1814" i="21"/>
  <c r="F1813" i="21"/>
  <c r="E1813" i="21"/>
  <c r="F1812" i="21"/>
  <c r="E1812" i="21"/>
  <c r="F1811" i="21"/>
  <c r="P1811" i="21" s="1"/>
  <c r="E1811" i="21"/>
  <c r="F1810" i="21"/>
  <c r="E1810" i="21"/>
  <c r="F1809" i="21"/>
  <c r="P1809" i="21" s="1"/>
  <c r="E1809" i="21"/>
  <c r="F1808" i="21"/>
  <c r="E1808" i="21"/>
  <c r="F1807" i="21"/>
  <c r="P1807" i="21" s="1"/>
  <c r="E1807" i="21"/>
  <c r="F1806" i="21"/>
  <c r="E1806" i="21"/>
  <c r="F1805" i="21"/>
  <c r="P1805" i="21" s="1"/>
  <c r="E1805" i="21"/>
  <c r="F1804" i="21"/>
  <c r="E1804" i="21"/>
  <c r="F1803" i="21"/>
  <c r="P1803" i="21" s="1"/>
  <c r="E1803" i="21"/>
  <c r="F1802" i="21"/>
  <c r="E1802" i="21"/>
  <c r="F1801" i="21"/>
  <c r="P1801" i="21" s="1"/>
  <c r="E1801" i="21"/>
  <c r="F1800" i="21"/>
  <c r="E1800" i="21"/>
  <c r="F1799" i="21"/>
  <c r="P1799" i="21" s="1"/>
  <c r="E1799" i="21"/>
  <c r="F1798" i="21"/>
  <c r="E1798" i="21"/>
  <c r="F1797" i="21"/>
  <c r="P1797" i="21" s="1"/>
  <c r="E1797" i="21"/>
  <c r="F1796" i="21"/>
  <c r="E1796" i="21"/>
  <c r="F1795" i="21"/>
  <c r="P1795" i="21" s="1"/>
  <c r="E1795" i="21"/>
  <c r="F1794" i="21"/>
  <c r="E1794" i="21"/>
  <c r="F1793" i="21"/>
  <c r="P1793" i="21" s="1"/>
  <c r="E1793" i="21"/>
  <c r="F1792" i="21"/>
  <c r="E1792" i="21"/>
  <c r="F1791" i="21"/>
  <c r="P1791" i="21" s="1"/>
  <c r="E1791" i="21"/>
  <c r="F1790" i="21"/>
  <c r="E1790" i="21"/>
  <c r="F1789" i="21"/>
  <c r="P1789" i="21" s="1"/>
  <c r="E1789" i="21"/>
  <c r="F1788" i="21"/>
  <c r="E1788" i="21"/>
  <c r="F1787" i="21"/>
  <c r="P1787" i="21" s="1"/>
  <c r="E1787" i="21"/>
  <c r="F1786" i="21"/>
  <c r="E1786" i="21"/>
  <c r="F1785" i="21"/>
  <c r="E1785" i="21"/>
  <c r="F1784" i="21"/>
  <c r="E1784" i="21"/>
  <c r="F1783" i="21"/>
  <c r="P1783" i="21" s="1"/>
  <c r="E1783" i="21"/>
  <c r="F1782" i="21"/>
  <c r="E1782" i="21"/>
  <c r="F1781" i="21"/>
  <c r="P1781" i="21" s="1"/>
  <c r="E1781" i="21"/>
  <c r="F1780" i="21"/>
  <c r="E1780" i="21"/>
  <c r="F1779" i="21"/>
  <c r="P1779" i="21" s="1"/>
  <c r="E1779" i="21"/>
  <c r="F1778" i="21"/>
  <c r="E1778" i="21"/>
  <c r="F1777" i="21"/>
  <c r="P1777" i="21" s="1"/>
  <c r="E1777" i="21"/>
  <c r="F1776" i="21"/>
  <c r="E1776" i="21"/>
  <c r="F1775" i="21"/>
  <c r="P1775" i="21" s="1"/>
  <c r="E1775" i="21"/>
  <c r="F1774" i="21"/>
  <c r="E1774" i="21"/>
  <c r="F1773" i="21"/>
  <c r="P1773" i="21" s="1"/>
  <c r="E1773" i="21"/>
  <c r="F1772" i="21"/>
  <c r="E1772" i="21"/>
  <c r="F1771" i="21"/>
  <c r="P1771" i="21" s="1"/>
  <c r="E1771" i="21"/>
  <c r="F1770" i="21"/>
  <c r="E1770" i="21"/>
  <c r="F1769" i="21"/>
  <c r="P1769" i="21" s="1"/>
  <c r="E1769" i="21"/>
  <c r="F1768" i="21"/>
  <c r="E1768" i="21"/>
  <c r="F1767" i="21"/>
  <c r="P1767" i="21" s="1"/>
  <c r="E1767" i="21"/>
  <c r="F1766" i="21"/>
  <c r="E1766" i="21"/>
  <c r="F1765" i="21"/>
  <c r="E1765" i="21"/>
  <c r="F1764" i="21"/>
  <c r="E1764" i="21"/>
  <c r="F1763" i="21"/>
  <c r="P1763" i="21" s="1"/>
  <c r="E1763" i="21"/>
  <c r="F1762" i="21"/>
  <c r="E1762" i="21"/>
  <c r="F1761" i="21"/>
  <c r="P1761" i="21" s="1"/>
  <c r="E1761" i="21"/>
  <c r="F1760" i="21"/>
  <c r="E1760" i="21"/>
  <c r="F1759" i="21"/>
  <c r="P1759" i="21" s="1"/>
  <c r="E1759" i="21"/>
  <c r="F1758" i="21"/>
  <c r="E1758" i="21"/>
  <c r="F1757" i="21"/>
  <c r="P1757" i="21" s="1"/>
  <c r="E1757" i="21"/>
  <c r="F1756" i="21"/>
  <c r="E1756" i="21"/>
  <c r="F1755" i="21"/>
  <c r="P1755" i="21" s="1"/>
  <c r="E1755" i="21"/>
  <c r="F1754" i="21"/>
  <c r="E1754" i="21"/>
  <c r="F1753" i="21"/>
  <c r="P1753" i="21" s="1"/>
  <c r="E1753" i="21"/>
  <c r="F1752" i="21"/>
  <c r="E1752" i="21"/>
  <c r="F1751" i="21"/>
  <c r="P1751" i="21" s="1"/>
  <c r="E1751" i="21"/>
  <c r="F1750" i="21"/>
  <c r="E1750" i="21"/>
  <c r="F1749" i="21"/>
  <c r="P1749" i="21" s="1"/>
  <c r="E1749" i="21"/>
  <c r="F1748" i="21"/>
  <c r="E1748" i="21"/>
  <c r="F1747" i="21"/>
  <c r="P1747" i="21" s="1"/>
  <c r="E1747" i="21"/>
  <c r="F1746" i="21"/>
  <c r="E1746" i="21"/>
  <c r="F1745" i="21"/>
  <c r="P1745" i="21" s="1"/>
  <c r="E1745" i="21"/>
  <c r="F1744" i="21"/>
  <c r="E1744" i="21"/>
  <c r="F1743" i="21"/>
  <c r="P1743" i="21" s="1"/>
  <c r="E1743" i="21"/>
  <c r="F1742" i="21"/>
  <c r="E1742" i="21"/>
  <c r="F1741" i="21"/>
  <c r="P1741" i="21" s="1"/>
  <c r="E1741" i="21"/>
  <c r="F1740" i="21"/>
  <c r="E1740" i="21"/>
  <c r="F1739" i="21"/>
  <c r="P1739" i="21" s="1"/>
  <c r="E1739" i="21"/>
  <c r="F1738" i="21"/>
  <c r="E1738" i="21"/>
  <c r="F1737" i="21"/>
  <c r="P1737" i="21" s="1"/>
  <c r="E1737" i="21"/>
  <c r="F1736" i="21"/>
  <c r="E1736" i="21"/>
  <c r="F1735" i="21"/>
  <c r="P1735" i="21" s="1"/>
  <c r="E1735" i="21"/>
  <c r="F1734" i="21"/>
  <c r="E1734" i="21"/>
  <c r="F1733" i="21"/>
  <c r="P1733" i="21" s="1"/>
  <c r="E1733" i="21"/>
  <c r="F1732" i="21"/>
  <c r="E1732" i="21"/>
  <c r="F1731" i="21"/>
  <c r="P1731" i="21" s="1"/>
  <c r="E1731" i="21"/>
  <c r="F1730" i="21"/>
  <c r="E1730" i="21"/>
  <c r="F1729" i="21"/>
  <c r="P1729" i="21" s="1"/>
  <c r="E1729" i="21"/>
  <c r="F1728" i="21"/>
  <c r="E1728" i="21"/>
  <c r="F1727" i="21"/>
  <c r="P1727" i="21" s="1"/>
  <c r="E1727" i="21"/>
  <c r="F1726" i="21"/>
  <c r="E1726" i="21"/>
  <c r="F1725" i="21"/>
  <c r="P1725" i="21" s="1"/>
  <c r="E1725" i="21"/>
  <c r="F1724" i="21"/>
  <c r="E1724" i="21"/>
  <c r="F1723" i="21"/>
  <c r="P1723" i="21" s="1"/>
  <c r="E1723" i="21"/>
  <c r="F1722" i="21"/>
  <c r="E1722" i="21"/>
  <c r="F1721" i="21"/>
  <c r="P1721" i="21" s="1"/>
  <c r="E1721" i="21"/>
  <c r="F1720" i="21"/>
  <c r="E1720" i="21"/>
  <c r="F1719" i="21"/>
  <c r="P1719" i="21" s="1"/>
  <c r="E1719" i="21"/>
  <c r="F1718" i="21"/>
  <c r="E1718" i="21"/>
  <c r="F1717" i="21"/>
  <c r="P1717" i="21" s="1"/>
  <c r="E1717" i="21"/>
  <c r="F1716" i="21"/>
  <c r="E1716" i="21"/>
  <c r="F1715" i="21"/>
  <c r="P1715" i="21" s="1"/>
  <c r="E1715" i="21"/>
  <c r="F1714" i="21"/>
  <c r="E1714" i="21"/>
  <c r="F1713" i="21"/>
  <c r="P1713" i="21" s="1"/>
  <c r="E1713" i="21"/>
  <c r="F1712" i="21"/>
  <c r="E1712" i="21"/>
  <c r="F1711" i="21"/>
  <c r="P1711" i="21" s="1"/>
  <c r="E1711" i="21"/>
  <c r="F1710" i="21"/>
  <c r="E1710" i="21"/>
  <c r="F1709" i="21"/>
  <c r="P1709" i="21" s="1"/>
  <c r="E1709" i="21"/>
  <c r="F1708" i="21"/>
  <c r="E1708" i="21"/>
  <c r="F1707" i="21"/>
  <c r="P1707" i="21" s="1"/>
  <c r="E1707" i="21"/>
  <c r="F1706" i="21"/>
  <c r="E1706" i="21"/>
  <c r="F1705" i="21"/>
  <c r="P1705" i="21" s="1"/>
  <c r="E1705" i="21"/>
  <c r="F1704" i="21"/>
  <c r="E1704" i="21"/>
  <c r="F1703" i="21"/>
  <c r="P1703" i="21" s="1"/>
  <c r="E1703" i="21"/>
  <c r="F1702" i="21"/>
  <c r="E1702" i="21"/>
  <c r="F1701" i="21"/>
  <c r="P1701" i="21" s="1"/>
  <c r="E1701" i="21"/>
  <c r="F1700" i="21"/>
  <c r="E1700" i="21"/>
  <c r="F1699" i="21"/>
  <c r="P1699" i="21" s="1"/>
  <c r="E1699" i="21"/>
  <c r="F1698" i="21"/>
  <c r="E1698" i="21"/>
  <c r="F1697" i="21"/>
  <c r="P1697" i="21" s="1"/>
  <c r="E1697" i="21"/>
  <c r="F1696" i="21"/>
  <c r="E1696" i="21"/>
  <c r="F1695" i="21"/>
  <c r="P1695" i="21" s="1"/>
  <c r="E1695" i="21"/>
  <c r="F1694" i="21"/>
  <c r="E1694" i="21"/>
  <c r="F1693" i="21"/>
  <c r="P1693" i="21" s="1"/>
  <c r="E1693" i="21"/>
  <c r="F1692" i="21"/>
  <c r="E1692" i="21"/>
  <c r="F1691" i="21"/>
  <c r="P1691" i="21" s="1"/>
  <c r="E1691" i="21"/>
  <c r="F1690" i="21"/>
  <c r="E1690" i="21"/>
  <c r="F1689" i="21"/>
  <c r="P1689" i="21" s="1"/>
  <c r="E1689" i="21"/>
  <c r="F1688" i="21"/>
  <c r="E1688" i="21"/>
  <c r="F1687" i="21"/>
  <c r="P1687" i="21" s="1"/>
  <c r="E1687" i="21"/>
  <c r="F1686" i="21"/>
  <c r="E1686" i="21"/>
  <c r="F1685" i="21"/>
  <c r="E1685" i="21"/>
  <c r="F1684" i="21"/>
  <c r="E1684" i="21"/>
  <c r="F1683" i="21"/>
  <c r="P1683" i="21" s="1"/>
  <c r="E1683" i="21"/>
  <c r="F1682" i="21"/>
  <c r="E1682" i="21"/>
  <c r="F1681" i="21"/>
  <c r="P1681" i="21" s="1"/>
  <c r="E1681" i="21"/>
  <c r="F1680" i="21"/>
  <c r="E1680" i="21"/>
  <c r="F1679" i="21"/>
  <c r="P1679" i="21" s="1"/>
  <c r="E1679" i="21"/>
  <c r="F1678" i="21"/>
  <c r="E1678" i="21"/>
  <c r="F1677" i="21"/>
  <c r="P1677" i="21" s="1"/>
  <c r="E1677" i="21"/>
  <c r="F1676" i="21"/>
  <c r="E1676" i="21"/>
  <c r="F1675" i="21"/>
  <c r="P1675" i="21" s="1"/>
  <c r="E1675" i="21"/>
  <c r="F1674" i="21"/>
  <c r="E1674" i="21"/>
  <c r="F1673" i="21"/>
  <c r="P1673" i="21" s="1"/>
  <c r="E1673" i="21"/>
  <c r="F1672" i="21"/>
  <c r="E1672" i="21"/>
  <c r="F1671" i="21"/>
  <c r="P1671" i="21" s="1"/>
  <c r="E1671" i="21"/>
  <c r="F1670" i="21"/>
  <c r="E1670" i="21"/>
  <c r="F1669" i="21"/>
  <c r="P1669" i="21" s="1"/>
  <c r="E1669" i="21"/>
  <c r="F1668" i="21"/>
  <c r="E1668" i="21"/>
  <c r="F1667" i="21"/>
  <c r="P1667" i="21" s="1"/>
  <c r="E1667" i="21"/>
  <c r="F1666" i="21"/>
  <c r="E1666" i="21"/>
  <c r="F1665" i="21"/>
  <c r="P1665" i="21" s="1"/>
  <c r="E1665" i="21"/>
  <c r="F1664" i="21"/>
  <c r="E1664" i="21"/>
  <c r="F1663" i="21"/>
  <c r="P1663" i="21" s="1"/>
  <c r="E1663" i="21"/>
  <c r="F1662" i="21"/>
  <c r="E1662" i="21"/>
  <c r="F1661" i="21"/>
  <c r="P1661" i="21" s="1"/>
  <c r="E1661" i="21"/>
  <c r="F1660" i="21"/>
  <c r="E1660" i="21"/>
  <c r="F1659" i="21"/>
  <c r="E1659" i="21"/>
  <c r="F1658" i="21"/>
  <c r="E1658" i="21"/>
  <c r="F1657" i="21"/>
  <c r="P1657" i="21" s="1"/>
  <c r="E1657" i="21"/>
  <c r="F1656" i="21"/>
  <c r="E1656" i="21"/>
  <c r="F1655" i="21"/>
  <c r="P1655" i="21" s="1"/>
  <c r="E1655" i="21"/>
  <c r="F1654" i="21"/>
  <c r="E1654" i="21"/>
  <c r="F1653" i="21"/>
  <c r="P1653" i="21" s="1"/>
  <c r="E1653" i="21"/>
  <c r="F1652" i="21"/>
  <c r="E1652" i="21"/>
  <c r="F1651" i="21"/>
  <c r="P1651" i="21" s="1"/>
  <c r="E1651" i="21"/>
  <c r="F1650" i="21"/>
  <c r="E1650" i="21"/>
  <c r="F1649" i="21"/>
  <c r="P1649" i="21" s="1"/>
  <c r="E1649" i="21"/>
  <c r="F1648" i="21"/>
  <c r="E1648" i="21"/>
  <c r="F1647" i="21"/>
  <c r="E1647" i="21"/>
  <c r="F1646" i="21"/>
  <c r="E1646" i="21"/>
  <c r="F1645" i="21"/>
  <c r="P1645" i="21" s="1"/>
  <c r="E1645" i="21"/>
  <c r="F1644" i="21"/>
  <c r="E1644" i="21"/>
  <c r="F1643" i="21"/>
  <c r="P1643" i="21" s="1"/>
  <c r="E1643" i="21"/>
  <c r="F1642" i="21"/>
  <c r="E1642" i="21"/>
  <c r="F1641" i="21"/>
  <c r="P1641" i="21" s="1"/>
  <c r="E1641" i="21"/>
  <c r="F1640" i="21"/>
  <c r="E1640" i="21"/>
  <c r="F1639" i="21"/>
  <c r="P1639" i="21" s="1"/>
  <c r="E1639" i="21"/>
  <c r="F1638" i="21"/>
  <c r="E1638" i="21"/>
  <c r="F1637" i="21"/>
  <c r="P1637" i="21" s="1"/>
  <c r="E1637" i="21"/>
  <c r="F1636" i="21"/>
  <c r="E1636" i="21"/>
  <c r="F1635" i="21"/>
  <c r="P1635" i="21" s="1"/>
  <c r="E1635" i="21"/>
  <c r="F1634" i="21"/>
  <c r="E1634" i="21"/>
  <c r="F1633" i="21"/>
  <c r="P1633" i="21" s="1"/>
  <c r="E1633" i="21"/>
  <c r="F1632" i="21"/>
  <c r="E1632" i="21"/>
  <c r="F1631" i="21"/>
  <c r="P1631" i="21" s="1"/>
  <c r="E1631" i="21"/>
  <c r="F1630" i="21"/>
  <c r="E1630" i="21"/>
  <c r="F1629" i="21"/>
  <c r="P1629" i="21" s="1"/>
  <c r="E1629" i="21"/>
  <c r="F1628" i="21"/>
  <c r="E1628" i="21"/>
  <c r="F1627" i="21"/>
  <c r="P1627" i="21" s="1"/>
  <c r="E1627" i="21"/>
  <c r="F1626" i="21"/>
  <c r="E1626" i="21"/>
  <c r="F1625" i="21"/>
  <c r="P1625" i="21" s="1"/>
  <c r="E1625" i="21"/>
  <c r="F1624" i="21"/>
  <c r="E1624" i="21"/>
  <c r="F1623" i="21"/>
  <c r="P1623" i="21" s="1"/>
  <c r="E1623" i="21"/>
  <c r="F1622" i="21"/>
  <c r="E1622" i="21"/>
  <c r="F1621" i="21"/>
  <c r="P1621" i="21" s="1"/>
  <c r="E1621" i="21"/>
  <c r="F1620" i="21"/>
  <c r="E1620" i="21"/>
  <c r="F1619" i="21"/>
  <c r="P1619" i="21" s="1"/>
  <c r="E1619" i="21"/>
  <c r="F1618" i="21"/>
  <c r="E1618" i="21"/>
  <c r="F1617" i="21"/>
  <c r="P1617" i="21" s="1"/>
  <c r="E1617" i="21"/>
  <c r="F1616" i="21"/>
  <c r="E1616" i="21"/>
  <c r="F1615" i="21"/>
  <c r="P1615" i="21" s="1"/>
  <c r="E1615" i="21"/>
  <c r="F1614" i="21"/>
  <c r="E1614" i="21"/>
  <c r="F1613" i="21"/>
  <c r="P1613" i="21" s="1"/>
  <c r="E1613" i="21"/>
  <c r="F1612" i="21"/>
  <c r="E1612" i="21"/>
  <c r="F1611" i="21"/>
  <c r="E1611" i="21"/>
  <c r="F1610" i="21"/>
  <c r="E1610" i="21"/>
  <c r="F1609" i="21"/>
  <c r="P1609" i="21" s="1"/>
  <c r="E1609" i="21"/>
  <c r="F1608" i="21"/>
  <c r="E1608" i="21"/>
  <c r="F1607" i="21"/>
  <c r="P1607" i="21" s="1"/>
  <c r="E1607" i="21"/>
  <c r="F1606" i="21"/>
  <c r="E1606" i="21"/>
  <c r="F1605" i="21"/>
  <c r="P1605" i="21" s="1"/>
  <c r="E1605" i="21"/>
  <c r="F1604" i="21"/>
  <c r="E1604" i="21"/>
  <c r="F1603" i="21"/>
  <c r="P1603" i="21" s="1"/>
  <c r="E1603" i="21"/>
  <c r="F1602" i="21"/>
  <c r="E1602" i="21"/>
  <c r="F1601" i="21"/>
  <c r="P1601" i="21" s="1"/>
  <c r="E1601" i="21"/>
  <c r="F1600" i="21"/>
  <c r="E1600" i="21"/>
  <c r="F1599" i="21"/>
  <c r="P1599" i="21" s="1"/>
  <c r="E1599" i="21"/>
  <c r="F1598" i="21"/>
  <c r="E1598" i="21"/>
  <c r="F1597" i="21"/>
  <c r="P1597" i="21" s="1"/>
  <c r="E1597" i="21"/>
  <c r="F1596" i="21"/>
  <c r="E1596" i="21"/>
  <c r="F1595" i="21"/>
  <c r="P1595" i="21" s="1"/>
  <c r="E1595" i="21"/>
  <c r="F1594" i="21"/>
  <c r="E1594" i="21"/>
  <c r="F1593" i="21"/>
  <c r="P1593" i="21" s="1"/>
  <c r="E1593" i="21"/>
  <c r="F1592" i="21"/>
  <c r="E1592" i="21"/>
  <c r="F1591" i="21"/>
  <c r="P1591" i="21" s="1"/>
  <c r="E1591" i="21"/>
  <c r="F1590" i="21"/>
  <c r="E1590" i="21"/>
  <c r="F1589" i="21"/>
  <c r="P1589" i="21" s="1"/>
  <c r="E1589" i="21"/>
  <c r="F1588" i="21"/>
  <c r="E1588" i="21"/>
  <c r="F1587" i="21"/>
  <c r="P1587" i="21" s="1"/>
  <c r="E1587" i="21"/>
  <c r="F1586" i="21"/>
  <c r="E1586" i="21"/>
  <c r="F1585" i="21"/>
  <c r="P1585" i="21" s="1"/>
  <c r="E1585" i="21"/>
  <c r="F1584" i="21"/>
  <c r="E1584" i="21"/>
  <c r="F1583" i="21"/>
  <c r="P1583" i="21" s="1"/>
  <c r="E1583" i="21"/>
  <c r="F1582" i="21"/>
  <c r="E1582" i="21"/>
  <c r="F1581" i="21"/>
  <c r="P1581" i="21" s="1"/>
  <c r="E1581" i="21"/>
  <c r="F1580" i="21"/>
  <c r="E1580" i="21"/>
  <c r="F1579" i="21"/>
  <c r="E1579" i="21"/>
  <c r="F1578" i="21"/>
  <c r="E1578" i="21"/>
  <c r="F1577" i="21"/>
  <c r="P1577" i="21" s="1"/>
  <c r="E1577" i="21"/>
  <c r="F1576" i="21"/>
  <c r="E1576" i="21"/>
  <c r="F1575" i="21"/>
  <c r="P1575" i="21" s="1"/>
  <c r="E1575" i="21"/>
  <c r="F1574" i="21"/>
  <c r="E1574" i="21"/>
  <c r="F1573" i="21"/>
  <c r="P1573" i="21" s="1"/>
  <c r="E1573" i="21"/>
  <c r="F1572" i="21"/>
  <c r="E1572" i="21"/>
  <c r="F1571" i="21"/>
  <c r="P1571" i="21" s="1"/>
  <c r="E1571" i="21"/>
  <c r="F1570" i="21"/>
  <c r="E1570" i="21"/>
  <c r="F1569" i="21"/>
  <c r="P1569" i="21" s="1"/>
  <c r="E1569" i="21"/>
  <c r="F1568" i="21"/>
  <c r="E1568" i="21"/>
  <c r="F1567" i="21"/>
  <c r="P1567" i="21" s="1"/>
  <c r="E1567" i="21"/>
  <c r="F1566" i="21"/>
  <c r="E1566" i="21"/>
  <c r="F1565" i="21"/>
  <c r="P1565" i="21" s="1"/>
  <c r="E1565" i="21"/>
  <c r="F1564" i="21"/>
  <c r="E1564" i="21"/>
  <c r="F1563" i="21"/>
  <c r="P1563" i="21" s="1"/>
  <c r="E1563" i="21"/>
  <c r="F1562" i="21"/>
  <c r="E1562" i="21"/>
  <c r="F1561" i="21"/>
  <c r="P1561" i="21" s="1"/>
  <c r="E1561" i="21"/>
  <c r="F1560" i="21"/>
  <c r="E1560" i="21"/>
  <c r="F1559" i="21"/>
  <c r="P1559" i="21" s="1"/>
  <c r="E1559" i="21"/>
  <c r="F1558" i="21"/>
  <c r="E1558" i="21"/>
  <c r="F1557" i="21"/>
  <c r="P1557" i="21" s="1"/>
  <c r="E1557" i="21"/>
  <c r="F1556" i="21"/>
  <c r="E1556" i="21"/>
  <c r="F1555" i="21"/>
  <c r="P1555" i="21" s="1"/>
  <c r="E1555" i="21"/>
  <c r="F1554" i="21"/>
  <c r="E1554" i="21"/>
  <c r="F1553" i="21"/>
  <c r="P1553" i="21" s="1"/>
  <c r="E1553" i="21"/>
  <c r="F1552" i="21"/>
  <c r="E1552" i="21"/>
  <c r="F1551" i="21"/>
  <c r="P1551" i="21" s="1"/>
  <c r="E1551" i="21"/>
  <c r="F1550" i="21"/>
  <c r="E1550" i="21"/>
  <c r="F1549" i="21"/>
  <c r="P1549" i="21" s="1"/>
  <c r="E1549" i="21"/>
  <c r="F1548" i="21"/>
  <c r="E1548" i="21"/>
  <c r="F1547" i="21"/>
  <c r="E1547" i="21"/>
  <c r="F1546" i="21"/>
  <c r="E1546" i="21"/>
  <c r="F1545" i="21"/>
  <c r="P1545" i="21" s="1"/>
  <c r="E1545" i="21"/>
  <c r="F1544" i="21"/>
  <c r="E1544" i="21"/>
  <c r="F1543" i="21"/>
  <c r="P1543" i="21" s="1"/>
  <c r="E1543" i="21"/>
  <c r="F1542" i="21"/>
  <c r="E1542" i="21"/>
  <c r="F1541" i="21"/>
  <c r="P1541" i="21" s="1"/>
  <c r="E1541" i="21"/>
  <c r="F1540" i="21"/>
  <c r="E1540" i="21"/>
  <c r="F1539" i="21"/>
  <c r="P1539" i="21" s="1"/>
  <c r="E1539" i="21"/>
  <c r="F1538" i="21"/>
  <c r="E1538" i="21"/>
  <c r="F1537" i="21"/>
  <c r="P1537" i="21" s="1"/>
  <c r="E1537" i="21"/>
  <c r="F1536" i="21"/>
  <c r="E1536" i="21"/>
  <c r="F1535" i="21"/>
  <c r="P1535" i="21" s="1"/>
  <c r="E1535" i="21"/>
  <c r="F1534" i="21"/>
  <c r="E1534" i="21"/>
  <c r="F1533" i="21"/>
  <c r="P1533" i="21" s="1"/>
  <c r="E1533" i="21"/>
  <c r="F1532" i="21"/>
  <c r="E1532" i="21"/>
  <c r="F1531" i="21"/>
  <c r="P1531" i="21" s="1"/>
  <c r="E1531" i="21"/>
  <c r="F1530" i="21"/>
  <c r="E1530" i="21"/>
  <c r="F1529" i="21"/>
  <c r="P1529" i="21" s="1"/>
  <c r="E1529" i="21"/>
  <c r="F1528" i="21"/>
  <c r="E1528" i="21"/>
  <c r="F1527" i="21"/>
  <c r="P1527" i="21" s="1"/>
  <c r="E1527" i="21"/>
  <c r="F1526" i="21"/>
  <c r="E1526" i="21"/>
  <c r="F1525" i="21"/>
  <c r="P1525" i="21" s="1"/>
  <c r="E1525" i="21"/>
  <c r="F1524" i="21"/>
  <c r="E1524" i="21"/>
  <c r="F1523" i="21"/>
  <c r="P1523" i="21" s="1"/>
  <c r="E1523" i="21"/>
  <c r="F1522" i="21"/>
  <c r="E1522" i="21"/>
  <c r="F1521" i="21"/>
  <c r="P1521" i="21" s="1"/>
  <c r="E1521" i="21"/>
  <c r="F1520" i="21"/>
  <c r="E1520" i="21"/>
  <c r="F1519" i="21"/>
  <c r="P1519" i="21" s="1"/>
  <c r="E1519" i="21"/>
  <c r="F1518" i="21"/>
  <c r="E1518" i="21"/>
  <c r="F1517" i="21"/>
  <c r="P1517" i="21" s="1"/>
  <c r="E1517" i="21"/>
  <c r="F1516" i="21"/>
  <c r="E1516" i="21"/>
  <c r="F1515" i="21"/>
  <c r="E1515" i="21"/>
  <c r="F1514" i="21"/>
  <c r="E1514" i="21"/>
  <c r="F1513" i="21"/>
  <c r="P1513" i="21" s="1"/>
  <c r="E1513" i="21"/>
  <c r="F1512" i="21"/>
  <c r="E1512" i="21"/>
  <c r="F1511" i="21"/>
  <c r="P1511" i="21" s="1"/>
  <c r="E1511" i="21"/>
  <c r="F1510" i="21"/>
  <c r="E1510" i="21"/>
  <c r="F1509" i="21"/>
  <c r="P1509" i="21" s="1"/>
  <c r="E1509" i="21"/>
  <c r="F1508" i="21"/>
  <c r="E1508" i="21"/>
  <c r="F1507" i="21"/>
  <c r="P1507" i="21" s="1"/>
  <c r="E1507" i="21"/>
  <c r="F1506" i="21"/>
  <c r="E1506" i="21"/>
  <c r="F1505" i="21"/>
  <c r="P1505" i="21" s="1"/>
  <c r="E1505" i="21"/>
  <c r="F1504" i="21"/>
  <c r="E1504" i="21"/>
  <c r="F1503" i="21"/>
  <c r="P1503" i="21" s="1"/>
  <c r="E1503" i="21"/>
  <c r="F1502" i="21"/>
  <c r="E1502" i="21"/>
  <c r="F1501" i="21"/>
  <c r="P1501" i="21" s="1"/>
  <c r="E1501" i="21"/>
  <c r="F1500" i="21"/>
  <c r="E1500" i="21"/>
  <c r="F1499" i="21"/>
  <c r="P1499" i="21" s="1"/>
  <c r="E1499" i="21"/>
  <c r="F1498" i="21"/>
  <c r="E1498" i="21"/>
  <c r="F1497" i="21"/>
  <c r="P1497" i="21" s="1"/>
  <c r="E1497" i="21"/>
  <c r="F1496" i="21"/>
  <c r="E1496" i="21"/>
  <c r="F1495" i="21"/>
  <c r="P1495" i="21" s="1"/>
  <c r="E1495" i="21"/>
  <c r="F1494" i="21"/>
  <c r="E1494" i="21"/>
  <c r="F1493" i="21"/>
  <c r="P1493" i="21" s="1"/>
  <c r="E1493" i="21"/>
  <c r="F1492" i="21"/>
  <c r="E1492" i="21"/>
  <c r="F1491" i="21"/>
  <c r="P1491" i="21" s="1"/>
  <c r="E1491" i="21"/>
  <c r="F1490" i="21"/>
  <c r="E1490" i="21"/>
  <c r="F1489" i="21"/>
  <c r="P1489" i="21" s="1"/>
  <c r="E1489" i="21"/>
  <c r="F1488" i="21"/>
  <c r="E1488" i="21"/>
  <c r="F1487" i="21"/>
  <c r="P1487" i="21" s="1"/>
  <c r="E1487" i="21"/>
  <c r="F1486" i="21"/>
  <c r="E1486" i="21"/>
  <c r="F1485" i="21"/>
  <c r="P1485" i="21" s="1"/>
  <c r="E1485" i="21"/>
  <c r="F1484" i="21"/>
  <c r="E1484" i="21"/>
  <c r="F1483" i="21"/>
  <c r="P1483" i="21" s="1"/>
  <c r="E1483" i="21"/>
  <c r="F1482" i="21"/>
  <c r="E1482" i="21"/>
  <c r="F1481" i="21"/>
  <c r="P1481" i="21" s="1"/>
  <c r="E1481" i="21"/>
  <c r="F1480" i="21"/>
  <c r="E1480" i="21"/>
  <c r="F1479" i="21"/>
  <c r="P1479" i="21" s="1"/>
  <c r="E1479" i="21"/>
  <c r="F1478" i="21"/>
  <c r="E1478" i="21"/>
  <c r="F1477" i="21"/>
  <c r="P1477" i="21" s="1"/>
  <c r="E1477" i="21"/>
  <c r="F1476" i="21"/>
  <c r="E1476" i="21"/>
  <c r="F1475" i="21"/>
  <c r="P1475" i="21" s="1"/>
  <c r="E1475" i="21"/>
  <c r="F1474" i="21"/>
  <c r="E1474" i="21"/>
  <c r="F1473" i="21"/>
  <c r="P1473" i="21" s="1"/>
  <c r="E1473" i="21"/>
  <c r="F1472" i="21"/>
  <c r="E1472" i="21"/>
  <c r="F1471" i="21"/>
  <c r="P1471" i="21" s="1"/>
  <c r="E1471" i="21"/>
  <c r="F1470" i="21"/>
  <c r="E1470" i="21"/>
  <c r="F1469" i="21"/>
  <c r="P1469" i="21" s="1"/>
  <c r="E1469" i="21"/>
  <c r="F1468" i="21"/>
  <c r="E1468" i="21"/>
  <c r="F1467" i="21"/>
  <c r="P1467" i="21" s="1"/>
  <c r="E1467" i="21"/>
  <c r="F1466" i="21"/>
  <c r="E1466" i="21"/>
  <c r="F1465" i="21"/>
  <c r="P1465" i="21" s="1"/>
  <c r="E1465" i="21"/>
  <c r="F1464" i="21"/>
  <c r="E1464" i="21"/>
  <c r="F1463" i="21"/>
  <c r="E1463" i="21"/>
  <c r="F1462" i="21"/>
  <c r="E1462" i="21"/>
  <c r="F1461" i="21"/>
  <c r="P1461" i="21" s="1"/>
  <c r="E1461" i="21"/>
  <c r="F1460" i="21"/>
  <c r="E1460" i="21"/>
  <c r="F1459" i="21"/>
  <c r="P1459" i="21" s="1"/>
  <c r="E1459" i="21"/>
  <c r="F1458" i="21"/>
  <c r="E1458" i="21"/>
  <c r="F1457" i="21"/>
  <c r="P1457" i="21" s="1"/>
  <c r="E1457" i="21"/>
  <c r="F1456" i="21"/>
  <c r="E1456" i="21"/>
  <c r="F1455" i="21"/>
  <c r="P1455" i="21" s="1"/>
  <c r="E1455" i="21"/>
  <c r="F1454" i="21"/>
  <c r="E1454" i="21"/>
  <c r="F1453" i="21"/>
  <c r="P1453" i="21" s="1"/>
  <c r="E1453" i="21"/>
  <c r="F1452" i="21"/>
  <c r="E1452" i="21"/>
  <c r="F1451" i="21"/>
  <c r="P1451" i="21" s="1"/>
  <c r="E1451" i="21"/>
  <c r="F1450" i="21"/>
  <c r="E1450" i="21"/>
  <c r="F1449" i="21"/>
  <c r="P1449" i="21" s="1"/>
  <c r="E1449" i="21"/>
  <c r="F1448" i="21"/>
  <c r="E1448" i="21"/>
  <c r="F1447" i="21"/>
  <c r="P1447" i="21" s="1"/>
  <c r="E1447" i="21"/>
  <c r="F1446" i="21"/>
  <c r="E1446" i="21"/>
  <c r="F1445" i="21"/>
  <c r="P1445" i="21" s="1"/>
  <c r="E1445" i="21"/>
  <c r="F1444" i="21"/>
  <c r="E1444" i="21"/>
  <c r="F1443" i="21"/>
  <c r="P1443" i="21" s="1"/>
  <c r="E1443" i="21"/>
  <c r="F1442" i="21"/>
  <c r="E1442" i="21"/>
  <c r="F1441" i="21"/>
  <c r="P1441" i="21" s="1"/>
  <c r="E1441" i="21"/>
  <c r="F1440" i="21"/>
  <c r="E1440" i="21"/>
  <c r="F1439" i="21"/>
  <c r="P1439" i="21" s="1"/>
  <c r="E1439" i="21"/>
  <c r="F1438" i="21"/>
  <c r="E1438" i="21"/>
  <c r="F1437" i="21"/>
  <c r="P1437" i="21" s="1"/>
  <c r="E1437" i="21"/>
  <c r="F1436" i="21"/>
  <c r="E1436" i="21"/>
  <c r="F1435" i="21"/>
  <c r="E1435" i="21"/>
  <c r="F1434" i="21"/>
  <c r="E1434" i="21"/>
  <c r="F1433" i="21"/>
  <c r="P1433" i="21" s="1"/>
  <c r="E1433" i="21"/>
  <c r="F1432" i="21"/>
  <c r="E1432" i="21"/>
  <c r="F1431" i="21"/>
  <c r="P1431" i="21" s="1"/>
  <c r="E1431" i="21"/>
  <c r="F1430" i="21"/>
  <c r="E1430" i="21"/>
  <c r="F1429" i="21"/>
  <c r="P1429" i="21" s="1"/>
  <c r="E1429" i="21"/>
  <c r="F1428" i="21"/>
  <c r="E1428" i="21"/>
  <c r="F1427" i="21"/>
  <c r="P1427" i="21" s="1"/>
  <c r="E1427" i="21"/>
  <c r="F1426" i="21"/>
  <c r="E1426" i="21"/>
  <c r="F1425" i="21"/>
  <c r="P1425" i="21" s="1"/>
  <c r="E1425" i="21"/>
  <c r="F1424" i="21"/>
  <c r="E1424" i="21"/>
  <c r="F1423" i="21"/>
  <c r="P1423" i="21" s="1"/>
  <c r="E1423" i="21"/>
  <c r="F1422" i="21"/>
  <c r="E1422" i="21"/>
  <c r="F1421" i="21"/>
  <c r="P1421" i="21" s="1"/>
  <c r="E1421" i="21"/>
  <c r="F1420" i="21"/>
  <c r="E1420" i="21"/>
  <c r="F1419" i="21"/>
  <c r="P1419" i="21" s="1"/>
  <c r="E1419" i="21"/>
  <c r="F1418" i="21"/>
  <c r="E1418" i="21"/>
  <c r="F1417" i="21"/>
  <c r="E1417" i="21"/>
  <c r="F1416" i="21"/>
  <c r="E1416" i="21"/>
  <c r="F1415" i="21"/>
  <c r="P1415" i="21" s="1"/>
  <c r="E1415" i="21"/>
  <c r="F1414" i="21"/>
  <c r="E1414" i="21"/>
  <c r="F1413" i="21"/>
  <c r="P1413" i="21" s="1"/>
  <c r="E1413" i="21"/>
  <c r="F1412" i="21"/>
  <c r="E1412" i="21"/>
  <c r="F1411" i="21"/>
  <c r="P1411" i="21" s="1"/>
  <c r="E1411" i="21"/>
  <c r="F1410" i="21"/>
  <c r="E1410" i="21"/>
  <c r="F1409" i="21"/>
  <c r="P1409" i="21" s="1"/>
  <c r="E1409" i="21"/>
  <c r="F1408" i="21"/>
  <c r="E1408" i="21"/>
  <c r="F1407" i="21"/>
  <c r="P1407" i="21" s="1"/>
  <c r="E1407" i="21"/>
  <c r="F1406" i="21"/>
  <c r="E1406" i="21"/>
  <c r="F1405" i="21"/>
  <c r="E1405" i="21"/>
  <c r="F1404" i="21"/>
  <c r="E1404" i="21"/>
  <c r="F1403" i="21"/>
  <c r="P1403" i="21" s="1"/>
  <c r="E1403" i="21"/>
  <c r="F1402" i="21"/>
  <c r="E1402" i="21"/>
  <c r="F1401" i="21"/>
  <c r="P1401" i="21" s="1"/>
  <c r="E1401" i="21"/>
  <c r="F1400" i="21"/>
  <c r="E1400" i="21"/>
  <c r="F1399" i="21"/>
  <c r="P1399" i="21" s="1"/>
  <c r="E1399" i="21"/>
  <c r="F1398" i="21"/>
  <c r="E1398" i="21"/>
  <c r="F1397" i="21"/>
  <c r="P1397" i="21" s="1"/>
  <c r="E1397" i="21"/>
  <c r="F1396" i="21"/>
  <c r="E1396" i="21"/>
  <c r="F1395" i="21"/>
  <c r="P1395" i="21" s="1"/>
  <c r="E1395" i="21"/>
  <c r="F1394" i="21"/>
  <c r="E1394" i="21"/>
  <c r="F1393" i="21"/>
  <c r="P1393" i="21" s="1"/>
  <c r="E1393" i="21"/>
  <c r="F1392" i="21"/>
  <c r="E1392" i="21"/>
  <c r="F1391" i="21"/>
  <c r="P1391" i="21" s="1"/>
  <c r="E1391" i="21"/>
  <c r="F1390" i="21"/>
  <c r="E1390" i="21"/>
  <c r="F1389" i="21"/>
  <c r="E1389" i="21"/>
  <c r="F1388" i="21"/>
  <c r="E1388" i="21"/>
  <c r="F1387" i="21"/>
  <c r="P1387" i="21" s="1"/>
  <c r="E1387" i="21"/>
  <c r="F1386" i="21"/>
  <c r="E1386" i="21"/>
  <c r="F1385" i="21"/>
  <c r="P1385" i="21" s="1"/>
  <c r="E1385" i="21"/>
  <c r="F1384" i="21"/>
  <c r="E1384" i="21"/>
  <c r="F1383" i="21"/>
  <c r="P1383" i="21" s="1"/>
  <c r="E1383" i="21"/>
  <c r="F1382" i="21"/>
  <c r="E1382" i="21"/>
  <c r="F1381" i="21"/>
  <c r="P1381" i="21" s="1"/>
  <c r="E1381" i="21"/>
  <c r="F1380" i="21"/>
  <c r="E1380" i="21"/>
  <c r="F1379" i="21"/>
  <c r="P1379" i="21" s="1"/>
  <c r="E1379" i="21"/>
  <c r="F1378" i="21"/>
  <c r="E1378" i="21"/>
  <c r="F1377" i="21"/>
  <c r="P1377" i="21" s="1"/>
  <c r="E1377" i="21"/>
  <c r="F1376" i="21"/>
  <c r="E1376" i="21"/>
  <c r="F1375" i="21"/>
  <c r="P1375" i="21" s="1"/>
  <c r="E1375" i="21"/>
  <c r="F1374" i="21"/>
  <c r="E1374" i="21"/>
  <c r="F1373" i="21"/>
  <c r="E1373" i="21"/>
  <c r="F1372" i="21"/>
  <c r="E1372" i="21"/>
  <c r="F1371" i="21"/>
  <c r="P1371" i="21" s="1"/>
  <c r="E1371" i="21"/>
  <c r="F1370" i="21"/>
  <c r="E1370" i="21"/>
  <c r="F1369" i="21"/>
  <c r="P1369" i="21" s="1"/>
  <c r="E1369" i="21"/>
  <c r="F1368" i="21"/>
  <c r="E1368" i="21"/>
  <c r="F1367" i="21"/>
  <c r="P1367" i="21" s="1"/>
  <c r="E1367" i="21"/>
  <c r="F1366" i="21"/>
  <c r="E1366" i="21"/>
  <c r="F1365" i="21"/>
  <c r="P1365" i="21" s="1"/>
  <c r="E1365" i="21"/>
  <c r="F1364" i="21"/>
  <c r="E1364" i="21"/>
  <c r="F1363" i="21"/>
  <c r="P1363" i="21" s="1"/>
  <c r="E1363" i="21"/>
  <c r="F1362" i="21"/>
  <c r="E1362" i="21"/>
  <c r="F1361" i="21"/>
  <c r="P1361" i="21" s="1"/>
  <c r="E1361" i="21"/>
  <c r="F1360" i="21"/>
  <c r="E1360" i="21"/>
  <c r="F1359" i="21"/>
  <c r="P1359" i="21" s="1"/>
  <c r="E1359" i="21"/>
  <c r="F1358" i="21"/>
  <c r="E1358" i="21"/>
  <c r="F1357" i="21"/>
  <c r="E1357" i="21"/>
  <c r="F1356" i="21"/>
  <c r="E1356" i="21"/>
  <c r="F1355" i="21"/>
  <c r="P1355" i="21" s="1"/>
  <c r="E1355" i="21"/>
  <c r="F1354" i="21"/>
  <c r="E1354" i="21"/>
  <c r="F1353" i="21"/>
  <c r="P1353" i="21" s="1"/>
  <c r="E1353" i="21"/>
  <c r="F1352" i="21"/>
  <c r="E1352" i="21"/>
  <c r="F1351" i="21"/>
  <c r="P1351" i="21" s="1"/>
  <c r="E1351" i="21"/>
  <c r="F1350" i="21"/>
  <c r="E1350" i="21"/>
  <c r="F1349" i="21"/>
  <c r="P1349" i="21" s="1"/>
  <c r="E1349" i="21"/>
  <c r="F1348" i="21"/>
  <c r="E1348" i="21"/>
  <c r="F1347" i="21"/>
  <c r="P1347" i="21" s="1"/>
  <c r="E1347" i="21"/>
  <c r="F1346" i="21"/>
  <c r="E1346" i="21"/>
  <c r="F1345" i="21"/>
  <c r="P1345" i="21" s="1"/>
  <c r="E1345" i="21"/>
  <c r="F1344" i="21"/>
  <c r="E1344" i="21"/>
  <c r="F1343" i="21"/>
  <c r="P1343" i="21" s="1"/>
  <c r="E1343" i="21"/>
  <c r="F1342" i="21"/>
  <c r="E1342" i="21"/>
  <c r="F1341" i="21"/>
  <c r="E1341" i="21"/>
  <c r="F1340" i="21"/>
  <c r="E1340" i="21"/>
  <c r="F1339" i="21"/>
  <c r="P1339" i="21" s="1"/>
  <c r="E1339" i="21"/>
  <c r="F1338" i="21"/>
  <c r="E1338" i="21"/>
  <c r="F1337" i="21"/>
  <c r="P1337" i="21" s="1"/>
  <c r="E1337" i="21"/>
  <c r="F1336" i="21"/>
  <c r="E1336" i="21"/>
  <c r="F1335" i="21"/>
  <c r="P1335" i="21" s="1"/>
  <c r="E1335" i="21"/>
  <c r="F1334" i="21"/>
  <c r="E1334" i="21"/>
  <c r="F1333" i="21"/>
  <c r="P1333" i="21" s="1"/>
  <c r="E1333" i="21"/>
  <c r="F1332" i="21"/>
  <c r="E1332" i="21"/>
  <c r="F1331" i="21"/>
  <c r="P1331" i="21" s="1"/>
  <c r="E1331" i="21"/>
  <c r="F1330" i="21"/>
  <c r="E1330" i="21"/>
  <c r="F1329" i="21"/>
  <c r="P1329" i="21" s="1"/>
  <c r="E1329" i="21"/>
  <c r="F1328" i="21"/>
  <c r="E1328" i="21"/>
  <c r="F1327" i="21"/>
  <c r="P1327" i="21" s="1"/>
  <c r="E1327" i="21"/>
  <c r="F1326" i="21"/>
  <c r="E1326" i="21"/>
  <c r="F1325" i="21"/>
  <c r="P1325" i="21" s="1"/>
  <c r="E1325" i="21"/>
  <c r="F1324" i="21"/>
  <c r="E1324" i="21"/>
  <c r="F1323" i="21"/>
  <c r="P1323" i="21" s="1"/>
  <c r="E1323" i="21"/>
  <c r="F1322" i="21"/>
  <c r="E1322" i="21"/>
  <c r="F1321" i="21"/>
  <c r="P1321" i="21" s="1"/>
  <c r="E1321" i="21"/>
  <c r="F1320" i="21"/>
  <c r="E1320" i="21"/>
  <c r="F1319" i="21"/>
  <c r="P1319" i="21" s="1"/>
  <c r="E1319" i="21"/>
  <c r="F1318" i="21"/>
  <c r="E1318" i="21"/>
  <c r="F1317" i="21"/>
  <c r="P1317" i="21" s="1"/>
  <c r="E1317" i="21"/>
  <c r="F1316" i="21"/>
  <c r="E1316" i="21"/>
  <c r="F1315" i="21"/>
  <c r="P1315" i="21" s="1"/>
  <c r="E1315" i="21"/>
  <c r="F1314" i="21"/>
  <c r="E1314" i="21"/>
  <c r="F1313" i="21"/>
  <c r="P1313" i="21" s="1"/>
  <c r="E1313" i="21"/>
  <c r="F1312" i="21"/>
  <c r="E1312" i="21"/>
  <c r="F1311" i="21"/>
  <c r="P1311" i="21" s="1"/>
  <c r="E1311" i="21"/>
  <c r="F1310" i="21"/>
  <c r="E1310" i="21"/>
  <c r="F1309" i="21"/>
  <c r="P1309" i="21" s="1"/>
  <c r="E1309" i="21"/>
  <c r="F1308" i="21"/>
  <c r="E1308" i="21"/>
  <c r="F1307" i="21"/>
  <c r="P1307" i="21" s="1"/>
  <c r="E1307" i="21"/>
  <c r="F1306" i="21"/>
  <c r="E1306" i="21"/>
  <c r="F1305" i="21"/>
  <c r="P1305" i="21" s="1"/>
  <c r="E1305" i="21"/>
  <c r="F1304" i="21"/>
  <c r="E1304" i="21"/>
  <c r="F1303" i="21"/>
  <c r="P1303" i="21" s="1"/>
  <c r="E1303" i="21"/>
  <c r="F1302" i="21"/>
  <c r="E1302" i="21"/>
  <c r="F1301" i="21"/>
  <c r="E1301" i="21"/>
  <c r="F1300" i="21"/>
  <c r="E1300" i="21"/>
  <c r="F1299" i="21"/>
  <c r="P1299" i="21" s="1"/>
  <c r="E1299" i="21"/>
  <c r="F1298" i="21"/>
  <c r="E1298" i="21"/>
  <c r="F1297" i="21"/>
  <c r="P1297" i="21" s="1"/>
  <c r="E1297" i="21"/>
  <c r="F1296" i="21"/>
  <c r="E1296" i="21"/>
  <c r="F1295" i="21"/>
  <c r="P1295" i="21" s="1"/>
  <c r="E1295" i="21"/>
  <c r="F1294" i="21"/>
  <c r="E1294" i="21"/>
  <c r="F1293" i="21"/>
  <c r="P1293" i="21" s="1"/>
  <c r="E1293" i="21"/>
  <c r="F1292" i="21"/>
  <c r="E1292" i="21"/>
  <c r="F1291" i="21"/>
  <c r="P1291" i="21" s="1"/>
  <c r="E1291" i="21"/>
  <c r="F1290" i="21"/>
  <c r="E1290" i="21"/>
  <c r="F1289" i="21"/>
  <c r="E1289" i="21"/>
  <c r="F1288" i="21"/>
  <c r="E1288" i="21"/>
  <c r="F1287" i="21"/>
  <c r="P1287" i="21" s="1"/>
  <c r="E1287" i="21"/>
  <c r="F1286" i="21"/>
  <c r="E1286" i="21"/>
  <c r="F1285" i="21"/>
  <c r="P1285" i="21" s="1"/>
  <c r="E1285" i="21"/>
  <c r="F1284" i="21"/>
  <c r="E1284" i="21"/>
  <c r="F1283" i="21"/>
  <c r="P1283" i="21" s="1"/>
  <c r="E1283" i="21"/>
  <c r="F1282" i="21"/>
  <c r="E1282" i="21"/>
  <c r="F1281" i="21"/>
  <c r="P1281" i="21" s="1"/>
  <c r="E1281" i="21"/>
  <c r="F1280" i="21"/>
  <c r="E1280" i="21"/>
  <c r="F1279" i="21"/>
  <c r="P1279" i="21" s="1"/>
  <c r="E1279" i="21"/>
  <c r="F1278" i="21"/>
  <c r="E1278" i="21"/>
  <c r="F1277" i="21"/>
  <c r="E1277" i="21"/>
  <c r="F1276" i="21"/>
  <c r="E1276" i="21"/>
  <c r="F1275" i="21"/>
  <c r="P1275" i="21" s="1"/>
  <c r="E1275" i="21"/>
  <c r="F1274" i="21"/>
  <c r="E1274" i="21"/>
  <c r="F1273" i="21"/>
  <c r="P1273" i="21" s="1"/>
  <c r="E1273" i="21"/>
  <c r="F1272" i="21"/>
  <c r="E1272" i="21"/>
  <c r="F1271" i="21"/>
  <c r="P1271" i="21" s="1"/>
  <c r="E1271" i="21"/>
  <c r="F1270" i="21"/>
  <c r="E1270" i="21"/>
  <c r="F1269" i="21"/>
  <c r="P1269" i="21" s="1"/>
  <c r="E1269" i="21"/>
  <c r="F1268" i="21"/>
  <c r="E1268" i="21"/>
  <c r="F1267" i="21"/>
  <c r="P1267" i="21" s="1"/>
  <c r="E1267" i="21"/>
  <c r="F1266" i="21"/>
  <c r="E1266" i="21"/>
  <c r="F1265" i="21"/>
  <c r="P1265" i="21" s="1"/>
  <c r="E1265" i="21"/>
  <c r="F1264" i="21"/>
  <c r="E1264" i="21"/>
  <c r="F1263" i="21"/>
  <c r="P1263" i="21" s="1"/>
  <c r="E1263" i="21"/>
  <c r="F1262" i="21"/>
  <c r="E1262" i="21"/>
  <c r="F1261" i="21"/>
  <c r="E1261" i="21"/>
  <c r="F1260" i="21"/>
  <c r="E1260" i="21"/>
  <c r="F1259" i="21"/>
  <c r="P1259" i="21" s="1"/>
  <c r="E1259" i="21"/>
  <c r="F1258" i="21"/>
  <c r="E1258" i="21"/>
  <c r="F1257" i="21"/>
  <c r="P1257" i="21" s="1"/>
  <c r="E1257" i="21"/>
  <c r="F1256" i="21"/>
  <c r="E1256" i="21"/>
  <c r="F1255" i="21"/>
  <c r="P1255" i="21" s="1"/>
  <c r="E1255" i="21"/>
  <c r="F1254" i="21"/>
  <c r="E1254" i="21"/>
  <c r="F1253" i="21"/>
  <c r="P1253" i="21" s="1"/>
  <c r="E1253" i="21"/>
  <c r="F1252" i="21"/>
  <c r="E1252" i="21"/>
  <c r="F1251" i="21"/>
  <c r="P1251" i="21" s="1"/>
  <c r="E1251" i="21"/>
  <c r="F1250" i="21"/>
  <c r="E1250" i="21"/>
  <c r="F1249" i="21"/>
  <c r="P1249" i="21" s="1"/>
  <c r="E1249" i="21"/>
  <c r="F1248" i="21"/>
  <c r="E1248" i="21"/>
  <c r="F1247" i="21"/>
  <c r="P1247" i="21" s="1"/>
  <c r="E1247" i="21"/>
  <c r="F1246" i="21"/>
  <c r="E1246" i="21"/>
  <c r="F1245" i="21"/>
  <c r="E1245" i="21"/>
  <c r="F1244" i="21"/>
  <c r="E1244" i="21"/>
  <c r="F1243" i="21"/>
  <c r="P1243" i="21" s="1"/>
  <c r="E1243" i="21"/>
  <c r="F1242" i="21"/>
  <c r="E1242" i="21"/>
  <c r="F1241" i="21"/>
  <c r="P1241" i="21" s="1"/>
  <c r="E1241" i="21"/>
  <c r="F1240" i="21"/>
  <c r="E1240" i="21"/>
  <c r="F1239" i="21"/>
  <c r="P1239" i="21" s="1"/>
  <c r="E1239" i="21"/>
  <c r="F1238" i="21"/>
  <c r="E1238" i="21"/>
  <c r="F1237" i="21"/>
  <c r="P1237" i="21" s="1"/>
  <c r="E1237" i="21"/>
  <c r="F1236" i="21"/>
  <c r="E1236" i="21"/>
  <c r="F1235" i="21"/>
  <c r="P1235" i="21" s="1"/>
  <c r="E1235" i="21"/>
  <c r="F1234" i="21"/>
  <c r="E1234" i="21"/>
  <c r="F1233" i="21"/>
  <c r="P1233" i="21" s="1"/>
  <c r="E1233" i="21"/>
  <c r="F1232" i="21"/>
  <c r="E1232" i="21"/>
  <c r="F1231" i="21"/>
  <c r="P1231" i="21" s="1"/>
  <c r="E1231" i="21"/>
  <c r="F1230" i="21"/>
  <c r="E1230" i="21"/>
  <c r="F1229" i="21"/>
  <c r="P1229" i="21" s="1"/>
  <c r="E1229" i="21"/>
  <c r="F1228" i="21"/>
  <c r="E1228" i="21"/>
  <c r="F1227" i="21"/>
  <c r="P1227" i="21" s="1"/>
  <c r="E1227" i="21"/>
  <c r="F1226" i="21"/>
  <c r="P1226" i="21" s="1"/>
  <c r="E1226" i="21"/>
  <c r="F1222" i="21"/>
  <c r="P1222" i="21" s="1"/>
  <c r="E1222" i="21"/>
  <c r="F1221" i="21"/>
  <c r="P1221" i="21" s="1"/>
  <c r="E1221" i="21"/>
  <c r="F1220" i="21"/>
  <c r="E1220" i="21"/>
  <c r="F1219" i="21"/>
  <c r="P1219" i="21" s="1"/>
  <c r="E1219" i="21"/>
  <c r="F1218" i="21"/>
  <c r="P1218" i="21" s="1"/>
  <c r="E1218" i="21"/>
  <c r="F1217" i="21"/>
  <c r="P1217" i="21" s="1"/>
  <c r="E1217" i="21"/>
  <c r="F1216" i="21"/>
  <c r="P1216" i="21" s="1"/>
  <c r="E1216" i="21"/>
  <c r="F1215" i="21"/>
  <c r="P1215" i="21" s="1"/>
  <c r="E1215" i="21"/>
  <c r="F1214" i="21"/>
  <c r="P1214" i="21" s="1"/>
  <c r="E1214" i="21"/>
  <c r="F1213" i="21"/>
  <c r="P1213" i="21" s="1"/>
  <c r="E1213" i="21"/>
  <c r="F1212" i="21"/>
  <c r="E1212" i="21"/>
  <c r="F1211" i="21"/>
  <c r="P1211" i="21" s="1"/>
  <c r="E1211" i="21"/>
  <c r="F1210" i="21"/>
  <c r="P1210" i="21" s="1"/>
  <c r="E1210" i="21"/>
  <c r="F1209" i="21"/>
  <c r="P1209" i="21" s="1"/>
  <c r="E1209" i="21"/>
  <c r="F1208" i="21"/>
  <c r="P1208" i="21" s="1"/>
  <c r="E1208" i="21"/>
  <c r="F1207" i="21"/>
  <c r="P1207" i="21" s="1"/>
  <c r="E1207" i="21"/>
  <c r="F1206" i="21"/>
  <c r="P1206" i="21" s="1"/>
  <c r="E1206" i="21"/>
  <c r="F1205" i="21"/>
  <c r="P1205" i="21" s="1"/>
  <c r="E1205" i="21"/>
  <c r="F1204" i="21"/>
  <c r="E1204" i="21"/>
  <c r="F1203" i="21"/>
  <c r="P1203" i="21" s="1"/>
  <c r="E1203" i="21"/>
  <c r="F1202" i="21"/>
  <c r="P1202" i="21" s="1"/>
  <c r="E1202" i="21"/>
  <c r="F1201" i="21"/>
  <c r="P1201" i="21" s="1"/>
  <c r="E1201" i="21"/>
  <c r="F1200" i="21"/>
  <c r="P1200" i="21" s="1"/>
  <c r="E1200" i="21"/>
  <c r="F1199" i="21"/>
  <c r="P1199" i="21" s="1"/>
  <c r="E1199" i="21"/>
  <c r="R2005" i="21"/>
  <c r="Q2005" i="21"/>
  <c r="R2004" i="21"/>
  <c r="Q2004" i="21"/>
  <c r="P2004" i="21"/>
  <c r="R2003" i="21"/>
  <c r="Q2003" i="21"/>
  <c r="R2002" i="21"/>
  <c r="Q2002" i="21"/>
  <c r="P2002" i="21"/>
  <c r="R2001" i="21"/>
  <c r="Q2001" i="21"/>
  <c r="R2000" i="21"/>
  <c r="Q2000" i="21"/>
  <c r="P2000" i="21"/>
  <c r="R1999" i="21"/>
  <c r="Q1999" i="21"/>
  <c r="R1998" i="21"/>
  <c r="Q1998" i="21"/>
  <c r="P1998" i="21"/>
  <c r="R1997" i="21"/>
  <c r="Q1997" i="21"/>
  <c r="R1996" i="21"/>
  <c r="Q1996" i="21"/>
  <c r="P1996" i="21"/>
  <c r="R1995" i="21"/>
  <c r="Q1995" i="21"/>
  <c r="R1994" i="21"/>
  <c r="Q1994" i="21"/>
  <c r="P1994" i="21"/>
  <c r="R1993" i="21"/>
  <c r="Q1993" i="21"/>
  <c r="R1992" i="21"/>
  <c r="Q1992" i="21"/>
  <c r="P1992" i="21"/>
  <c r="R1991" i="21"/>
  <c r="Q1991" i="21"/>
  <c r="R1990" i="21"/>
  <c r="Q1990" i="21"/>
  <c r="P1990" i="21"/>
  <c r="R1989" i="21"/>
  <c r="Q1989" i="21"/>
  <c r="R1988" i="21"/>
  <c r="Q1988" i="21"/>
  <c r="P1988" i="21"/>
  <c r="R1987" i="21"/>
  <c r="Q1987" i="21"/>
  <c r="R1986" i="21"/>
  <c r="Q1986" i="21"/>
  <c r="P1986" i="21"/>
  <c r="R1985" i="21"/>
  <c r="Q1985" i="21"/>
  <c r="R1984" i="21"/>
  <c r="Q1984" i="21"/>
  <c r="P1984" i="21"/>
  <c r="R1983" i="21"/>
  <c r="Q1983" i="21"/>
  <c r="R1982" i="21"/>
  <c r="Q1982" i="21"/>
  <c r="P1982" i="21"/>
  <c r="R1981" i="21"/>
  <c r="Q1981" i="21"/>
  <c r="R1980" i="21"/>
  <c r="Q1980" i="21"/>
  <c r="P1980" i="21"/>
  <c r="R1979" i="21"/>
  <c r="Q1979" i="21"/>
  <c r="R1978" i="21"/>
  <c r="Q1978" i="21"/>
  <c r="P1978" i="21"/>
  <c r="R1977" i="21"/>
  <c r="Q1977" i="21"/>
  <c r="R1976" i="21"/>
  <c r="Q1976" i="21"/>
  <c r="P1976" i="21"/>
  <c r="R1975" i="21"/>
  <c r="Q1975" i="21"/>
  <c r="R1974" i="21"/>
  <c r="Q1974" i="21"/>
  <c r="P1974" i="21"/>
  <c r="R1973" i="21"/>
  <c r="Q1973" i="21"/>
  <c r="R1972" i="21"/>
  <c r="Q1972" i="21"/>
  <c r="P1972" i="21"/>
  <c r="R1971" i="21"/>
  <c r="Q1971" i="21"/>
  <c r="R1970" i="21"/>
  <c r="Q1970" i="21"/>
  <c r="P1970" i="21"/>
  <c r="R1969" i="21"/>
  <c r="Q1969" i="21"/>
  <c r="R1968" i="21"/>
  <c r="Q1968" i="21"/>
  <c r="P1968" i="21"/>
  <c r="R1967" i="21"/>
  <c r="Q1967" i="21"/>
  <c r="R1966" i="21"/>
  <c r="Q1966" i="21"/>
  <c r="P1966" i="21"/>
  <c r="R1965" i="21"/>
  <c r="Q1965" i="21"/>
  <c r="R1964" i="21"/>
  <c r="Q1964" i="21"/>
  <c r="P1964" i="21"/>
  <c r="R1963" i="21"/>
  <c r="Q1963" i="21"/>
  <c r="R1962" i="21"/>
  <c r="Q1962" i="21"/>
  <c r="P1962" i="21"/>
  <c r="R1961" i="21"/>
  <c r="Q1961" i="21"/>
  <c r="R1960" i="21"/>
  <c r="Q1960" i="21"/>
  <c r="P1960" i="21"/>
  <c r="R1959" i="21"/>
  <c r="Q1959" i="21"/>
  <c r="R1958" i="21"/>
  <c r="Q1958" i="21"/>
  <c r="P1958" i="21"/>
  <c r="R1957" i="21"/>
  <c r="Q1957" i="21"/>
  <c r="R1956" i="21"/>
  <c r="Q1956" i="21"/>
  <c r="P1956" i="21"/>
  <c r="R1955" i="21"/>
  <c r="Q1955" i="21"/>
  <c r="R1954" i="21"/>
  <c r="Q1954" i="21"/>
  <c r="P1954" i="21"/>
  <c r="R1953" i="21"/>
  <c r="Q1953" i="21"/>
  <c r="R1952" i="21"/>
  <c r="Q1952" i="21"/>
  <c r="P1952" i="21"/>
  <c r="R1951" i="21"/>
  <c r="Q1951" i="21"/>
  <c r="R1950" i="21"/>
  <c r="Q1950" i="21"/>
  <c r="P1950" i="21"/>
  <c r="R1949" i="21"/>
  <c r="Q1949" i="21"/>
  <c r="R1948" i="21"/>
  <c r="Q1948" i="21"/>
  <c r="P1948" i="21"/>
  <c r="R1947" i="21"/>
  <c r="Q1947" i="21"/>
  <c r="R1946" i="21"/>
  <c r="Q1946" i="21"/>
  <c r="P1946" i="21"/>
  <c r="R1945" i="21"/>
  <c r="Q1945" i="21"/>
  <c r="R1944" i="21"/>
  <c r="Q1944" i="21"/>
  <c r="P1944" i="21"/>
  <c r="R1943" i="21"/>
  <c r="Q1943" i="21"/>
  <c r="R1942" i="21"/>
  <c r="Q1942" i="21"/>
  <c r="P1942" i="21"/>
  <c r="R1941" i="21"/>
  <c r="Q1941" i="21"/>
  <c r="P1941" i="21"/>
  <c r="R1940" i="21"/>
  <c r="Q1940" i="21"/>
  <c r="P1940" i="21"/>
  <c r="R1939" i="21"/>
  <c r="Q1939" i="21"/>
  <c r="R1938" i="21"/>
  <c r="Q1938" i="21"/>
  <c r="P1938" i="21"/>
  <c r="R1937" i="21"/>
  <c r="Q1937" i="21"/>
  <c r="R1936" i="21"/>
  <c r="Q1936" i="21"/>
  <c r="P1936" i="21"/>
  <c r="R1935" i="21"/>
  <c r="Q1935" i="21"/>
  <c r="R1934" i="21"/>
  <c r="Q1934" i="21"/>
  <c r="P1934" i="21"/>
  <c r="R1933" i="21"/>
  <c r="Q1933" i="21"/>
  <c r="R1932" i="21"/>
  <c r="Q1932" i="21"/>
  <c r="P1932" i="21"/>
  <c r="R1931" i="21"/>
  <c r="Q1931" i="21"/>
  <c r="R1930" i="21"/>
  <c r="Q1930" i="21"/>
  <c r="P1930" i="21"/>
  <c r="R1929" i="21"/>
  <c r="Q1929" i="21"/>
  <c r="R1928" i="21"/>
  <c r="Q1928" i="21"/>
  <c r="P1928" i="21"/>
  <c r="R1927" i="21"/>
  <c r="Q1927" i="21"/>
  <c r="R1926" i="21"/>
  <c r="Q1926" i="21"/>
  <c r="P1926" i="21"/>
  <c r="R1925" i="21"/>
  <c r="Q1925" i="21"/>
  <c r="R1924" i="21"/>
  <c r="Q1924" i="21"/>
  <c r="P1924" i="21"/>
  <c r="R1923" i="21"/>
  <c r="Q1923" i="21"/>
  <c r="R1922" i="21"/>
  <c r="Q1922" i="21"/>
  <c r="P1922" i="21"/>
  <c r="R1921" i="21"/>
  <c r="Q1921" i="21"/>
  <c r="R1920" i="21"/>
  <c r="Q1920" i="21"/>
  <c r="P1920" i="21"/>
  <c r="R1919" i="21"/>
  <c r="Q1919" i="21"/>
  <c r="R1918" i="21"/>
  <c r="Q1918" i="21"/>
  <c r="P1918" i="21"/>
  <c r="R1917" i="21"/>
  <c r="Q1917" i="21"/>
  <c r="R1916" i="21"/>
  <c r="Q1916" i="21"/>
  <c r="P1916" i="21"/>
  <c r="R1915" i="21"/>
  <c r="Q1915" i="21"/>
  <c r="R1914" i="21"/>
  <c r="Q1914" i="21"/>
  <c r="P1914" i="21"/>
  <c r="R1913" i="21"/>
  <c r="Q1913" i="21"/>
  <c r="P1913" i="21"/>
  <c r="R1912" i="21"/>
  <c r="Q1912" i="21"/>
  <c r="P1912" i="21"/>
  <c r="R1911" i="21"/>
  <c r="Q1911" i="21"/>
  <c r="R1910" i="21"/>
  <c r="Q1910" i="21"/>
  <c r="P1910" i="21"/>
  <c r="R1909" i="21"/>
  <c r="Q1909" i="21"/>
  <c r="R1908" i="21"/>
  <c r="Q1908" i="21"/>
  <c r="P1908" i="21"/>
  <c r="R1907" i="21"/>
  <c r="Q1907" i="21"/>
  <c r="R1906" i="21"/>
  <c r="Q1906" i="21"/>
  <c r="P1906" i="21"/>
  <c r="R1905" i="21"/>
  <c r="Q1905" i="21"/>
  <c r="R1904" i="21"/>
  <c r="Q1904" i="21"/>
  <c r="P1904" i="21"/>
  <c r="R1903" i="21"/>
  <c r="Q1903" i="21"/>
  <c r="R1902" i="21"/>
  <c r="Q1902" i="21"/>
  <c r="P1902" i="21"/>
  <c r="R1901" i="21"/>
  <c r="Q1901" i="21"/>
  <c r="R1900" i="21"/>
  <c r="Q1900" i="21"/>
  <c r="P1900" i="21"/>
  <c r="R1899" i="21"/>
  <c r="Q1899" i="21"/>
  <c r="R1898" i="21"/>
  <c r="Q1898" i="21"/>
  <c r="P1898" i="21"/>
  <c r="R1897" i="21"/>
  <c r="Q1897" i="21"/>
  <c r="R1896" i="21"/>
  <c r="Q1896" i="21"/>
  <c r="P1896" i="21"/>
  <c r="R1895" i="21"/>
  <c r="Q1895" i="21"/>
  <c r="R1894" i="21"/>
  <c r="Q1894" i="21"/>
  <c r="P1894" i="21"/>
  <c r="R1893" i="21"/>
  <c r="Q1893" i="21"/>
  <c r="P1893" i="21"/>
  <c r="R1892" i="21"/>
  <c r="Q1892" i="21"/>
  <c r="P1892" i="21"/>
  <c r="R1891" i="21"/>
  <c r="Q1891" i="21"/>
  <c r="R1890" i="21"/>
  <c r="Q1890" i="21"/>
  <c r="P1890" i="21"/>
  <c r="R1889" i="21"/>
  <c r="Q1889" i="21"/>
  <c r="R1888" i="21"/>
  <c r="Q1888" i="21"/>
  <c r="P1888" i="21"/>
  <c r="R1887" i="21"/>
  <c r="Q1887" i="21"/>
  <c r="R1886" i="21"/>
  <c r="Q1886" i="21"/>
  <c r="P1886" i="21"/>
  <c r="R1885" i="21"/>
  <c r="Q1885" i="21"/>
  <c r="R1884" i="21"/>
  <c r="Q1884" i="21"/>
  <c r="P1884" i="21"/>
  <c r="R1883" i="21"/>
  <c r="Q1883" i="21"/>
  <c r="R1882" i="21"/>
  <c r="Q1882" i="21"/>
  <c r="P1882" i="21"/>
  <c r="R1881" i="21"/>
  <c r="Q1881" i="21"/>
  <c r="R1880" i="21"/>
  <c r="Q1880" i="21"/>
  <c r="P1880" i="21"/>
  <c r="R1879" i="21"/>
  <c r="Q1879" i="21"/>
  <c r="R1878" i="21"/>
  <c r="Q1878" i="21"/>
  <c r="P1878" i="21"/>
  <c r="R1877" i="21"/>
  <c r="Q1877" i="21"/>
  <c r="R1876" i="21"/>
  <c r="Q1876" i="21"/>
  <c r="P1876" i="21"/>
  <c r="R1875" i="21"/>
  <c r="Q1875" i="21"/>
  <c r="R1874" i="21"/>
  <c r="Q1874" i="21"/>
  <c r="P1874" i="21"/>
  <c r="R1873" i="21"/>
  <c r="Q1873" i="21"/>
  <c r="R1872" i="21"/>
  <c r="Q1872" i="21"/>
  <c r="P1872" i="21"/>
  <c r="R1871" i="21"/>
  <c r="Q1871" i="21"/>
  <c r="R1870" i="21"/>
  <c r="Q1870" i="21"/>
  <c r="P1870" i="21"/>
  <c r="R1869" i="21"/>
  <c r="Q1869" i="21"/>
  <c r="R1868" i="21"/>
  <c r="Q1868" i="21"/>
  <c r="P1868" i="21"/>
  <c r="R1867" i="21"/>
  <c r="Q1867" i="21"/>
  <c r="R1866" i="21"/>
  <c r="Q1866" i="21"/>
  <c r="P1866" i="21"/>
  <c r="R1865" i="21"/>
  <c r="Q1865" i="21"/>
  <c r="R1864" i="21"/>
  <c r="Q1864" i="21"/>
  <c r="P1864" i="21"/>
  <c r="R1863" i="21"/>
  <c r="Q1863" i="21"/>
  <c r="R1862" i="21"/>
  <c r="Q1862" i="21"/>
  <c r="P1862" i="21"/>
  <c r="R1861" i="21"/>
  <c r="Q1861" i="21"/>
  <c r="R1860" i="21"/>
  <c r="Q1860" i="21"/>
  <c r="P1860" i="21"/>
  <c r="R1859" i="21"/>
  <c r="Q1859" i="21"/>
  <c r="R1858" i="21"/>
  <c r="Q1858" i="21"/>
  <c r="P1858" i="21"/>
  <c r="R1857" i="21"/>
  <c r="Q1857" i="21"/>
  <c r="R1856" i="21"/>
  <c r="Q1856" i="21"/>
  <c r="P1856" i="21"/>
  <c r="R1855" i="21"/>
  <c r="Q1855" i="21"/>
  <c r="R1854" i="21"/>
  <c r="Q1854" i="21"/>
  <c r="P1854" i="21"/>
  <c r="R1853" i="21"/>
  <c r="Q1853" i="21"/>
  <c r="R1852" i="21"/>
  <c r="Q1852" i="21"/>
  <c r="P1852" i="21"/>
  <c r="R1851" i="21"/>
  <c r="Q1851" i="21"/>
  <c r="R1850" i="21"/>
  <c r="Q1850" i="21"/>
  <c r="P1850" i="21"/>
  <c r="R1849" i="21"/>
  <c r="Q1849" i="21"/>
  <c r="R1848" i="21"/>
  <c r="Q1848" i="21"/>
  <c r="P1848" i="21"/>
  <c r="R1847" i="21"/>
  <c r="Q1847" i="21"/>
  <c r="R1846" i="21"/>
  <c r="Q1846" i="21"/>
  <c r="P1846" i="21"/>
  <c r="R1845" i="21"/>
  <c r="Q1845" i="21"/>
  <c r="R1844" i="21"/>
  <c r="Q1844" i="21"/>
  <c r="P1844" i="21"/>
  <c r="R1843" i="21"/>
  <c r="Q1843" i="21"/>
  <c r="R1842" i="21"/>
  <c r="Q1842" i="21"/>
  <c r="P1842" i="21"/>
  <c r="R1841" i="21"/>
  <c r="Q1841" i="21"/>
  <c r="R1840" i="21"/>
  <c r="Q1840" i="21"/>
  <c r="P1840" i="21"/>
  <c r="R1839" i="21"/>
  <c r="Q1839" i="21"/>
  <c r="R1838" i="21"/>
  <c r="Q1838" i="21"/>
  <c r="P1838" i="21"/>
  <c r="R1837" i="21"/>
  <c r="Q1837" i="21"/>
  <c r="R1836" i="21"/>
  <c r="Q1836" i="21"/>
  <c r="P1836" i="21"/>
  <c r="R1835" i="21"/>
  <c r="Q1835" i="21"/>
  <c r="R1834" i="21"/>
  <c r="Q1834" i="21"/>
  <c r="P1834" i="21"/>
  <c r="R1833" i="21"/>
  <c r="Q1833" i="21"/>
  <c r="R1832" i="21"/>
  <c r="Q1832" i="21"/>
  <c r="P1832" i="21"/>
  <c r="R1831" i="21"/>
  <c r="Q1831" i="21"/>
  <c r="R1830" i="21"/>
  <c r="Q1830" i="21"/>
  <c r="P1830" i="21"/>
  <c r="R1829" i="21"/>
  <c r="Q1829" i="21"/>
  <c r="R1828" i="21"/>
  <c r="Q1828" i="21"/>
  <c r="P1828" i="21"/>
  <c r="R1827" i="21"/>
  <c r="Q1827" i="21"/>
  <c r="R1826" i="21"/>
  <c r="Q1826" i="21"/>
  <c r="P1826" i="21"/>
  <c r="R1825" i="21"/>
  <c r="Q1825" i="21"/>
  <c r="R1824" i="21"/>
  <c r="Q1824" i="21"/>
  <c r="P1824" i="21"/>
  <c r="R1823" i="21"/>
  <c r="Q1823" i="21"/>
  <c r="R1822" i="21"/>
  <c r="Q1822" i="21"/>
  <c r="P1822" i="21"/>
  <c r="R1821" i="21"/>
  <c r="Q1821" i="21"/>
  <c r="R1820" i="21"/>
  <c r="Q1820" i="21"/>
  <c r="P1820" i="21"/>
  <c r="R1819" i="21"/>
  <c r="Q1819" i="21"/>
  <c r="R1818" i="21"/>
  <c r="Q1818" i="21"/>
  <c r="P1818" i="21"/>
  <c r="R1817" i="21"/>
  <c r="Q1817" i="21"/>
  <c r="R1816" i="21"/>
  <c r="Q1816" i="21"/>
  <c r="P1816" i="21"/>
  <c r="R1815" i="21"/>
  <c r="Q1815" i="21"/>
  <c r="R1814" i="21"/>
  <c r="Q1814" i="21"/>
  <c r="P1814" i="21"/>
  <c r="R1813" i="21"/>
  <c r="Q1813" i="21"/>
  <c r="P1813" i="21"/>
  <c r="R1812" i="21"/>
  <c r="Q1812" i="21"/>
  <c r="P1812" i="21"/>
  <c r="R1811" i="21"/>
  <c r="Q1811" i="21"/>
  <c r="R1810" i="21"/>
  <c r="Q1810" i="21"/>
  <c r="P1810" i="21"/>
  <c r="R1809" i="21"/>
  <c r="Q1809" i="21"/>
  <c r="R1808" i="21"/>
  <c r="Q1808" i="21"/>
  <c r="P1808" i="21"/>
  <c r="R1807" i="21"/>
  <c r="Q1807" i="21"/>
  <c r="R1806" i="21"/>
  <c r="Q1806" i="21"/>
  <c r="P1806" i="21"/>
  <c r="R1805" i="21"/>
  <c r="Q1805" i="21"/>
  <c r="R1804" i="21"/>
  <c r="Q1804" i="21"/>
  <c r="P1804" i="21"/>
  <c r="R1803" i="21"/>
  <c r="Q1803" i="21"/>
  <c r="R1802" i="21"/>
  <c r="Q1802" i="21"/>
  <c r="P1802" i="21"/>
  <c r="R1801" i="21"/>
  <c r="Q1801" i="21"/>
  <c r="R1800" i="21"/>
  <c r="Q1800" i="21"/>
  <c r="P1800" i="21"/>
  <c r="R1799" i="21"/>
  <c r="Q1799" i="21"/>
  <c r="R1798" i="21"/>
  <c r="Q1798" i="21"/>
  <c r="P1798" i="21"/>
  <c r="R1797" i="21"/>
  <c r="Q1797" i="21"/>
  <c r="R1796" i="21"/>
  <c r="Q1796" i="21"/>
  <c r="P1796" i="21"/>
  <c r="R1795" i="21"/>
  <c r="Q1795" i="21"/>
  <c r="R1794" i="21"/>
  <c r="Q1794" i="21"/>
  <c r="P1794" i="21"/>
  <c r="R1793" i="21"/>
  <c r="Q1793" i="21"/>
  <c r="R1792" i="21"/>
  <c r="Q1792" i="21"/>
  <c r="P1792" i="21"/>
  <c r="R1791" i="21"/>
  <c r="Q1791" i="21"/>
  <c r="R1790" i="21"/>
  <c r="Q1790" i="21"/>
  <c r="P1790" i="21"/>
  <c r="R1789" i="21"/>
  <c r="Q1789" i="21"/>
  <c r="R1788" i="21"/>
  <c r="Q1788" i="21"/>
  <c r="P1788" i="21"/>
  <c r="R1787" i="21"/>
  <c r="Q1787" i="21"/>
  <c r="R1786" i="21"/>
  <c r="Q1786" i="21"/>
  <c r="P1786" i="21"/>
  <c r="R1785" i="21"/>
  <c r="Q1785" i="21"/>
  <c r="P1785" i="21"/>
  <c r="R1784" i="21"/>
  <c r="Q1784" i="21"/>
  <c r="P1784" i="21"/>
  <c r="R1783" i="21"/>
  <c r="Q1783" i="21"/>
  <c r="R1782" i="21"/>
  <c r="Q1782" i="21"/>
  <c r="P1782" i="21"/>
  <c r="R1781" i="21"/>
  <c r="Q1781" i="21"/>
  <c r="R1780" i="21"/>
  <c r="Q1780" i="21"/>
  <c r="P1780" i="21"/>
  <c r="R1779" i="21"/>
  <c r="Q1779" i="21"/>
  <c r="R1778" i="21"/>
  <c r="Q1778" i="21"/>
  <c r="P1778" i="21"/>
  <c r="R1777" i="21"/>
  <c r="Q1777" i="21"/>
  <c r="R1776" i="21"/>
  <c r="Q1776" i="21"/>
  <c r="P1776" i="21"/>
  <c r="R1775" i="21"/>
  <c r="Q1775" i="21"/>
  <c r="R1774" i="21"/>
  <c r="Q1774" i="21"/>
  <c r="P1774" i="21"/>
  <c r="R1773" i="21"/>
  <c r="Q1773" i="21"/>
  <c r="R1772" i="21"/>
  <c r="Q1772" i="21"/>
  <c r="P1772" i="21"/>
  <c r="R1771" i="21"/>
  <c r="Q1771" i="21"/>
  <c r="R1770" i="21"/>
  <c r="Q1770" i="21"/>
  <c r="P1770" i="21"/>
  <c r="R1769" i="21"/>
  <c r="Q1769" i="21"/>
  <c r="R1768" i="21"/>
  <c r="Q1768" i="21"/>
  <c r="P1768" i="21"/>
  <c r="R1767" i="21"/>
  <c r="Q1767" i="21"/>
  <c r="R1766" i="21"/>
  <c r="Q1766" i="21"/>
  <c r="P1766" i="21"/>
  <c r="R1765" i="21"/>
  <c r="Q1765" i="21"/>
  <c r="P1765" i="21"/>
  <c r="R1764" i="21"/>
  <c r="Q1764" i="21"/>
  <c r="P1764" i="21"/>
  <c r="R1763" i="21"/>
  <c r="Q1763" i="21"/>
  <c r="R1762" i="21"/>
  <c r="Q1762" i="21"/>
  <c r="P1762" i="21"/>
  <c r="R1761" i="21"/>
  <c r="Q1761" i="21"/>
  <c r="R1760" i="21"/>
  <c r="Q1760" i="21"/>
  <c r="P1760" i="21"/>
  <c r="R1759" i="21"/>
  <c r="Q1759" i="21"/>
  <c r="R1758" i="21"/>
  <c r="Q1758" i="21"/>
  <c r="P1758" i="21"/>
  <c r="R1757" i="21"/>
  <c r="Q1757" i="21"/>
  <c r="R1756" i="21"/>
  <c r="Q1756" i="21"/>
  <c r="P1756" i="21"/>
  <c r="R1755" i="21"/>
  <c r="Q1755" i="21"/>
  <c r="R1754" i="21"/>
  <c r="Q1754" i="21"/>
  <c r="P1754" i="21"/>
  <c r="R1753" i="21"/>
  <c r="Q1753" i="21"/>
  <c r="R1752" i="21"/>
  <c r="Q1752" i="21"/>
  <c r="P1752" i="21"/>
  <c r="R1751" i="21"/>
  <c r="Q1751" i="21"/>
  <c r="R1750" i="21"/>
  <c r="Q1750" i="21"/>
  <c r="P1750" i="21"/>
  <c r="R1749" i="21"/>
  <c r="Q1749" i="21"/>
  <c r="R1748" i="21"/>
  <c r="Q1748" i="21"/>
  <c r="P1748" i="21"/>
  <c r="R1747" i="21"/>
  <c r="Q1747" i="21"/>
  <c r="R1746" i="21"/>
  <c r="Q1746" i="21"/>
  <c r="P1746" i="21"/>
  <c r="R1745" i="21"/>
  <c r="Q1745" i="21"/>
  <c r="R1744" i="21"/>
  <c r="Q1744" i="21"/>
  <c r="P1744" i="21"/>
  <c r="R1743" i="21"/>
  <c r="Q1743" i="21"/>
  <c r="R1742" i="21"/>
  <c r="Q1742" i="21"/>
  <c r="P1742" i="21"/>
  <c r="R1741" i="21"/>
  <c r="Q1741" i="21"/>
  <c r="R1740" i="21"/>
  <c r="Q1740" i="21"/>
  <c r="P1740" i="21"/>
  <c r="R1739" i="21"/>
  <c r="Q1739" i="21"/>
  <c r="R1738" i="21"/>
  <c r="Q1738" i="21"/>
  <c r="P1738" i="21"/>
  <c r="R1737" i="21"/>
  <c r="Q1737" i="21"/>
  <c r="R1736" i="21"/>
  <c r="Q1736" i="21"/>
  <c r="P1736" i="21"/>
  <c r="R1735" i="21"/>
  <c r="Q1735" i="21"/>
  <c r="R1734" i="21"/>
  <c r="Q1734" i="21"/>
  <c r="P1734" i="21"/>
  <c r="R1733" i="21"/>
  <c r="Q1733" i="21"/>
  <c r="R1732" i="21"/>
  <c r="Q1732" i="21"/>
  <c r="P1732" i="21"/>
  <c r="R1731" i="21"/>
  <c r="Q1731" i="21"/>
  <c r="R1730" i="21"/>
  <c r="Q1730" i="21"/>
  <c r="P1730" i="21"/>
  <c r="R1729" i="21"/>
  <c r="Q1729" i="21"/>
  <c r="R1728" i="21"/>
  <c r="Q1728" i="21"/>
  <c r="P1728" i="21"/>
  <c r="R1727" i="21"/>
  <c r="Q1727" i="21"/>
  <c r="R1726" i="21"/>
  <c r="Q1726" i="21"/>
  <c r="P1726" i="21"/>
  <c r="R1725" i="21"/>
  <c r="Q1725" i="21"/>
  <c r="R1724" i="21"/>
  <c r="Q1724" i="21"/>
  <c r="P1724" i="21"/>
  <c r="R1723" i="21"/>
  <c r="Q1723" i="21"/>
  <c r="R1722" i="21"/>
  <c r="Q1722" i="21"/>
  <c r="P1722" i="21"/>
  <c r="R1721" i="21"/>
  <c r="Q1721" i="21"/>
  <c r="R1720" i="21"/>
  <c r="Q1720" i="21"/>
  <c r="P1720" i="21"/>
  <c r="R1719" i="21"/>
  <c r="Q1719" i="21"/>
  <c r="R1718" i="21"/>
  <c r="Q1718" i="21"/>
  <c r="P1718" i="21"/>
  <c r="R1717" i="21"/>
  <c r="Q1717" i="21"/>
  <c r="R1716" i="21"/>
  <c r="Q1716" i="21"/>
  <c r="P1716" i="21"/>
  <c r="R1715" i="21"/>
  <c r="Q1715" i="21"/>
  <c r="R1714" i="21"/>
  <c r="Q1714" i="21"/>
  <c r="P1714" i="21"/>
  <c r="R1713" i="21"/>
  <c r="Q1713" i="21"/>
  <c r="R1712" i="21"/>
  <c r="Q1712" i="21"/>
  <c r="P1712" i="21"/>
  <c r="R1711" i="21"/>
  <c r="Q1711" i="21"/>
  <c r="R1710" i="21"/>
  <c r="Q1710" i="21"/>
  <c r="P1710" i="21"/>
  <c r="R1709" i="21"/>
  <c r="Q1709" i="21"/>
  <c r="R1708" i="21"/>
  <c r="Q1708" i="21"/>
  <c r="P1708" i="21"/>
  <c r="R1707" i="21"/>
  <c r="Q1707" i="21"/>
  <c r="R1706" i="21"/>
  <c r="Q1706" i="21"/>
  <c r="P1706" i="21"/>
  <c r="R1705" i="21"/>
  <c r="Q1705" i="21"/>
  <c r="R1704" i="21"/>
  <c r="Q1704" i="21"/>
  <c r="P1704" i="21"/>
  <c r="R1703" i="21"/>
  <c r="Q1703" i="21"/>
  <c r="R1702" i="21"/>
  <c r="Q1702" i="21"/>
  <c r="P1702" i="21"/>
  <c r="R1701" i="21"/>
  <c r="Q1701" i="21"/>
  <c r="R1700" i="21"/>
  <c r="Q1700" i="21"/>
  <c r="P1700" i="21"/>
  <c r="R1699" i="21"/>
  <c r="Q1699" i="21"/>
  <c r="R1698" i="21"/>
  <c r="Q1698" i="21"/>
  <c r="P1698" i="21"/>
  <c r="R1697" i="21"/>
  <c r="Q1697" i="21"/>
  <c r="R1696" i="21"/>
  <c r="Q1696" i="21"/>
  <c r="P1696" i="21"/>
  <c r="R1695" i="21"/>
  <c r="Q1695" i="21"/>
  <c r="R1694" i="21"/>
  <c r="Q1694" i="21"/>
  <c r="P1694" i="21"/>
  <c r="R1693" i="21"/>
  <c r="Q1693" i="21"/>
  <c r="R1692" i="21"/>
  <c r="Q1692" i="21"/>
  <c r="P1692" i="21"/>
  <c r="R1691" i="21"/>
  <c r="Q1691" i="21"/>
  <c r="R1690" i="21"/>
  <c r="Q1690" i="21"/>
  <c r="P1690" i="21"/>
  <c r="R1689" i="21"/>
  <c r="Q1689" i="21"/>
  <c r="R1688" i="21"/>
  <c r="Q1688" i="21"/>
  <c r="P1688" i="21"/>
  <c r="R1687" i="21"/>
  <c r="Q1687" i="21"/>
  <c r="R1686" i="21"/>
  <c r="Q1686" i="21"/>
  <c r="P1686" i="21"/>
  <c r="R1685" i="21"/>
  <c r="Q1685" i="21"/>
  <c r="P1685" i="21"/>
  <c r="R1684" i="21"/>
  <c r="Q1684" i="21"/>
  <c r="P1684" i="21"/>
  <c r="R1683" i="21"/>
  <c r="Q1683" i="21"/>
  <c r="R1682" i="21"/>
  <c r="Q1682" i="21"/>
  <c r="P1682" i="21"/>
  <c r="R1681" i="21"/>
  <c r="Q1681" i="21"/>
  <c r="R1680" i="21"/>
  <c r="Q1680" i="21"/>
  <c r="P1680" i="21"/>
  <c r="R1679" i="21"/>
  <c r="Q1679" i="21"/>
  <c r="R1678" i="21"/>
  <c r="Q1678" i="21"/>
  <c r="P1678" i="21"/>
  <c r="R1677" i="21"/>
  <c r="Q1677" i="21"/>
  <c r="R1676" i="21"/>
  <c r="Q1676" i="21"/>
  <c r="P1676" i="21"/>
  <c r="R1675" i="21"/>
  <c r="Q1675" i="21"/>
  <c r="R1674" i="21"/>
  <c r="Q1674" i="21"/>
  <c r="P1674" i="21"/>
  <c r="R1673" i="21"/>
  <c r="Q1673" i="21"/>
  <c r="R1672" i="21"/>
  <c r="Q1672" i="21"/>
  <c r="P1672" i="21"/>
  <c r="R1671" i="21"/>
  <c r="Q1671" i="21"/>
  <c r="R1670" i="21"/>
  <c r="Q1670" i="21"/>
  <c r="P1670" i="21"/>
  <c r="R1669" i="21"/>
  <c r="Q1669" i="21"/>
  <c r="R1668" i="21"/>
  <c r="Q1668" i="21"/>
  <c r="P1668" i="21"/>
  <c r="R1667" i="21"/>
  <c r="Q1667" i="21"/>
  <c r="R1666" i="21"/>
  <c r="Q1666" i="21"/>
  <c r="P1666" i="21"/>
  <c r="R1665" i="21"/>
  <c r="Q1665" i="21"/>
  <c r="R1664" i="21"/>
  <c r="Q1664" i="21"/>
  <c r="P1664" i="21"/>
  <c r="R1663" i="21"/>
  <c r="Q1663" i="21"/>
  <c r="R1662" i="21"/>
  <c r="Q1662" i="21"/>
  <c r="P1662" i="21"/>
  <c r="R1661" i="21"/>
  <c r="Q1661" i="21"/>
  <c r="R1660" i="21"/>
  <c r="Q1660" i="21"/>
  <c r="P1660" i="21"/>
  <c r="R1659" i="21"/>
  <c r="Q1659" i="21"/>
  <c r="P1659" i="21"/>
  <c r="R1658" i="21"/>
  <c r="Q1658" i="21"/>
  <c r="P1658" i="21"/>
  <c r="R1657" i="21"/>
  <c r="Q1657" i="21"/>
  <c r="R1656" i="21"/>
  <c r="Q1656" i="21"/>
  <c r="P1656" i="21"/>
  <c r="R1655" i="21"/>
  <c r="Q1655" i="21"/>
  <c r="R1654" i="21"/>
  <c r="Q1654" i="21"/>
  <c r="P1654" i="21"/>
  <c r="R1653" i="21"/>
  <c r="Q1653" i="21"/>
  <c r="R1652" i="21"/>
  <c r="Q1652" i="21"/>
  <c r="P1652" i="21"/>
  <c r="R1651" i="21"/>
  <c r="Q1651" i="21"/>
  <c r="R1650" i="21"/>
  <c r="Q1650" i="21"/>
  <c r="P1650" i="21"/>
  <c r="R1649" i="21"/>
  <c r="Q1649" i="21"/>
  <c r="R1648" i="21"/>
  <c r="Q1648" i="21"/>
  <c r="P1648" i="21"/>
  <c r="R1647" i="21"/>
  <c r="Q1647" i="21"/>
  <c r="P1647" i="21"/>
  <c r="R1646" i="21"/>
  <c r="Q1646" i="21"/>
  <c r="P1646" i="21"/>
  <c r="R1645" i="21"/>
  <c r="Q1645" i="21"/>
  <c r="R1644" i="21"/>
  <c r="Q1644" i="21"/>
  <c r="P1644" i="21"/>
  <c r="R1643" i="21"/>
  <c r="Q1643" i="21"/>
  <c r="R1642" i="21"/>
  <c r="Q1642" i="21"/>
  <c r="P1642" i="21"/>
  <c r="R1641" i="21"/>
  <c r="Q1641" i="21"/>
  <c r="R1640" i="21"/>
  <c r="Q1640" i="21"/>
  <c r="P1640" i="21"/>
  <c r="R1639" i="21"/>
  <c r="Q1639" i="21"/>
  <c r="R1638" i="21"/>
  <c r="Q1638" i="21"/>
  <c r="P1638" i="21"/>
  <c r="R1637" i="21"/>
  <c r="Q1637" i="21"/>
  <c r="R1636" i="21"/>
  <c r="Q1636" i="21"/>
  <c r="P1636" i="21"/>
  <c r="R1635" i="21"/>
  <c r="Q1635" i="21"/>
  <c r="R1634" i="21"/>
  <c r="Q1634" i="21"/>
  <c r="P1634" i="21"/>
  <c r="R1633" i="21"/>
  <c r="Q1633" i="21"/>
  <c r="R1632" i="21"/>
  <c r="Q1632" i="21"/>
  <c r="P1632" i="21"/>
  <c r="R1631" i="21"/>
  <c r="Q1631" i="21"/>
  <c r="R1630" i="21"/>
  <c r="Q1630" i="21"/>
  <c r="P1630" i="21"/>
  <c r="R1629" i="21"/>
  <c r="Q1629" i="21"/>
  <c r="R1628" i="21"/>
  <c r="Q1628" i="21"/>
  <c r="P1628" i="21"/>
  <c r="R1627" i="21"/>
  <c r="Q1627" i="21"/>
  <c r="R1626" i="21"/>
  <c r="Q1626" i="21"/>
  <c r="P1626" i="21"/>
  <c r="R1625" i="21"/>
  <c r="Q1625" i="21"/>
  <c r="R1624" i="21"/>
  <c r="Q1624" i="21"/>
  <c r="P1624" i="21"/>
  <c r="R1623" i="21"/>
  <c r="Q1623" i="21"/>
  <c r="R1622" i="21"/>
  <c r="Q1622" i="21"/>
  <c r="P1622" i="21"/>
  <c r="R1621" i="21"/>
  <c r="Q1621" i="21"/>
  <c r="R1620" i="21"/>
  <c r="Q1620" i="21"/>
  <c r="P1620" i="21"/>
  <c r="R1619" i="21"/>
  <c r="Q1619" i="21"/>
  <c r="R1618" i="21"/>
  <c r="Q1618" i="21"/>
  <c r="P1618" i="21"/>
  <c r="R1617" i="21"/>
  <c r="Q1617" i="21"/>
  <c r="R1616" i="21"/>
  <c r="Q1616" i="21"/>
  <c r="P1616" i="21"/>
  <c r="R1615" i="21"/>
  <c r="Q1615" i="21"/>
  <c r="R1614" i="21"/>
  <c r="Q1614" i="21"/>
  <c r="P1614" i="21"/>
  <c r="R1613" i="21"/>
  <c r="Q1613" i="21"/>
  <c r="R1612" i="21"/>
  <c r="Q1612" i="21"/>
  <c r="P1612" i="21"/>
  <c r="R1611" i="21"/>
  <c r="Q1611" i="21"/>
  <c r="P1611" i="21"/>
  <c r="R1610" i="21"/>
  <c r="Q1610" i="21"/>
  <c r="P1610" i="21"/>
  <c r="R1609" i="21"/>
  <c r="Q1609" i="21"/>
  <c r="R1608" i="21"/>
  <c r="Q1608" i="21"/>
  <c r="P1608" i="21"/>
  <c r="R1607" i="21"/>
  <c r="Q1607" i="21"/>
  <c r="R1606" i="21"/>
  <c r="Q1606" i="21"/>
  <c r="P1606" i="21"/>
  <c r="R1605" i="21"/>
  <c r="Q1605" i="21"/>
  <c r="R1604" i="21"/>
  <c r="Q1604" i="21"/>
  <c r="P1604" i="21"/>
  <c r="R1603" i="21"/>
  <c r="Q1603" i="21"/>
  <c r="R1602" i="21"/>
  <c r="Q1602" i="21"/>
  <c r="P1602" i="21"/>
  <c r="R1601" i="21"/>
  <c r="Q1601" i="21"/>
  <c r="R1600" i="21"/>
  <c r="Q1600" i="21"/>
  <c r="P1600" i="21"/>
  <c r="R1599" i="21"/>
  <c r="Q1599" i="21"/>
  <c r="R1598" i="21"/>
  <c r="Q1598" i="21"/>
  <c r="P1598" i="21"/>
  <c r="R1597" i="21"/>
  <c r="Q1597" i="21"/>
  <c r="R1596" i="21"/>
  <c r="Q1596" i="21"/>
  <c r="P1596" i="21"/>
  <c r="R1595" i="21"/>
  <c r="Q1595" i="21"/>
  <c r="R1594" i="21"/>
  <c r="Q1594" i="21"/>
  <c r="P1594" i="21"/>
  <c r="R1593" i="21"/>
  <c r="Q1593" i="21"/>
  <c r="R1592" i="21"/>
  <c r="Q1592" i="21"/>
  <c r="P1592" i="21"/>
  <c r="R1591" i="21"/>
  <c r="Q1591" i="21"/>
  <c r="R1590" i="21"/>
  <c r="Q1590" i="21"/>
  <c r="P1590" i="21"/>
  <c r="R1589" i="21"/>
  <c r="Q1589" i="21"/>
  <c r="R1588" i="21"/>
  <c r="Q1588" i="21"/>
  <c r="P1588" i="21"/>
  <c r="R1587" i="21"/>
  <c r="Q1587" i="21"/>
  <c r="R1586" i="21"/>
  <c r="Q1586" i="21"/>
  <c r="P1586" i="21"/>
  <c r="R1585" i="21"/>
  <c r="Q1585" i="21"/>
  <c r="R1584" i="21"/>
  <c r="Q1584" i="21"/>
  <c r="P1584" i="21"/>
  <c r="R1583" i="21"/>
  <c r="Q1583" i="21"/>
  <c r="R1582" i="21"/>
  <c r="Q1582" i="21"/>
  <c r="P1582" i="21"/>
  <c r="R1581" i="21"/>
  <c r="Q1581" i="21"/>
  <c r="R1580" i="21"/>
  <c r="Q1580" i="21"/>
  <c r="P1580" i="21"/>
  <c r="R1579" i="21"/>
  <c r="Q1579" i="21"/>
  <c r="P1579" i="21"/>
  <c r="R1578" i="21"/>
  <c r="Q1578" i="21"/>
  <c r="P1578" i="21"/>
  <c r="R1577" i="21"/>
  <c r="Q1577" i="21"/>
  <c r="R1576" i="21"/>
  <c r="Q1576" i="21"/>
  <c r="P1576" i="21"/>
  <c r="R1575" i="21"/>
  <c r="Q1575" i="21"/>
  <c r="R1574" i="21"/>
  <c r="Q1574" i="21"/>
  <c r="P1574" i="21"/>
  <c r="R1573" i="21"/>
  <c r="Q1573" i="21"/>
  <c r="R1572" i="21"/>
  <c r="Q1572" i="21"/>
  <c r="P1572" i="21"/>
  <c r="R1571" i="21"/>
  <c r="Q1571" i="21"/>
  <c r="R1570" i="21"/>
  <c r="Q1570" i="21"/>
  <c r="P1570" i="21"/>
  <c r="R1569" i="21"/>
  <c r="Q1569" i="21"/>
  <c r="R1568" i="21"/>
  <c r="Q1568" i="21"/>
  <c r="P1568" i="21"/>
  <c r="R1567" i="21"/>
  <c r="Q1567" i="21"/>
  <c r="R1566" i="21"/>
  <c r="Q1566" i="21"/>
  <c r="P1566" i="21"/>
  <c r="R1565" i="21"/>
  <c r="Q1565" i="21"/>
  <c r="R1564" i="21"/>
  <c r="Q1564" i="21"/>
  <c r="P1564" i="21"/>
  <c r="R1563" i="21"/>
  <c r="Q1563" i="21"/>
  <c r="R1562" i="21"/>
  <c r="Q1562" i="21"/>
  <c r="P1562" i="21"/>
  <c r="R1561" i="21"/>
  <c r="Q1561" i="21"/>
  <c r="R1560" i="21"/>
  <c r="Q1560" i="21"/>
  <c r="P1560" i="21"/>
  <c r="R1559" i="21"/>
  <c r="Q1559" i="21"/>
  <c r="R1558" i="21"/>
  <c r="Q1558" i="21"/>
  <c r="P1558" i="21"/>
  <c r="R1557" i="21"/>
  <c r="Q1557" i="21"/>
  <c r="R1556" i="21"/>
  <c r="Q1556" i="21"/>
  <c r="P1556" i="21"/>
  <c r="R1555" i="21"/>
  <c r="Q1555" i="21"/>
  <c r="R1554" i="21"/>
  <c r="Q1554" i="21"/>
  <c r="P1554" i="21"/>
  <c r="R1553" i="21"/>
  <c r="Q1553" i="21"/>
  <c r="R1552" i="21"/>
  <c r="Q1552" i="21"/>
  <c r="P1552" i="21"/>
  <c r="R1551" i="21"/>
  <c r="Q1551" i="21"/>
  <c r="R1550" i="21"/>
  <c r="Q1550" i="21"/>
  <c r="P1550" i="21"/>
  <c r="R1549" i="21"/>
  <c r="Q1549" i="21"/>
  <c r="R1548" i="21"/>
  <c r="Q1548" i="21"/>
  <c r="P1548" i="21"/>
  <c r="R1547" i="21"/>
  <c r="Q1547" i="21"/>
  <c r="P1547" i="21"/>
  <c r="R1546" i="21"/>
  <c r="Q1546" i="21"/>
  <c r="P1546" i="21"/>
  <c r="R1545" i="21"/>
  <c r="Q1545" i="21"/>
  <c r="R1544" i="21"/>
  <c r="Q1544" i="21"/>
  <c r="P1544" i="21"/>
  <c r="R1543" i="21"/>
  <c r="Q1543" i="21"/>
  <c r="R1542" i="21"/>
  <c r="Q1542" i="21"/>
  <c r="P1542" i="21"/>
  <c r="R1541" i="21"/>
  <c r="Q1541" i="21"/>
  <c r="R1540" i="21"/>
  <c r="Q1540" i="21"/>
  <c r="P1540" i="21"/>
  <c r="R1539" i="21"/>
  <c r="Q1539" i="21"/>
  <c r="R1538" i="21"/>
  <c r="Q1538" i="21"/>
  <c r="P1538" i="21"/>
  <c r="R1537" i="21"/>
  <c r="Q1537" i="21"/>
  <c r="R1536" i="21"/>
  <c r="Q1536" i="21"/>
  <c r="P1536" i="21"/>
  <c r="R1535" i="21"/>
  <c r="Q1535" i="21"/>
  <c r="R1534" i="21"/>
  <c r="Q1534" i="21"/>
  <c r="P1534" i="21"/>
  <c r="R1533" i="21"/>
  <c r="Q1533" i="21"/>
  <c r="R1532" i="21"/>
  <c r="Q1532" i="21"/>
  <c r="P1532" i="21"/>
  <c r="R1531" i="21"/>
  <c r="Q1531" i="21"/>
  <c r="R1530" i="21"/>
  <c r="Q1530" i="21"/>
  <c r="P1530" i="21"/>
  <c r="R1529" i="21"/>
  <c r="Q1529" i="21"/>
  <c r="R1528" i="21"/>
  <c r="Q1528" i="21"/>
  <c r="P1528" i="21"/>
  <c r="R1527" i="21"/>
  <c r="Q1527" i="21"/>
  <c r="R1526" i="21"/>
  <c r="Q1526" i="21"/>
  <c r="P1526" i="21"/>
  <c r="R1525" i="21"/>
  <c r="Q1525" i="21"/>
  <c r="R1524" i="21"/>
  <c r="Q1524" i="21"/>
  <c r="P1524" i="21"/>
  <c r="R1523" i="21"/>
  <c r="Q1523" i="21"/>
  <c r="R1522" i="21"/>
  <c r="Q1522" i="21"/>
  <c r="P1522" i="21"/>
  <c r="R1521" i="21"/>
  <c r="Q1521" i="21"/>
  <c r="R1520" i="21"/>
  <c r="Q1520" i="21"/>
  <c r="P1520" i="21"/>
  <c r="R1519" i="21"/>
  <c r="Q1519" i="21"/>
  <c r="R1518" i="21"/>
  <c r="Q1518" i="21"/>
  <c r="P1518" i="21"/>
  <c r="R1517" i="21"/>
  <c r="Q1517" i="21"/>
  <c r="R1516" i="21"/>
  <c r="Q1516" i="21"/>
  <c r="P1516" i="21"/>
  <c r="R1515" i="21"/>
  <c r="Q1515" i="21"/>
  <c r="P1515" i="21"/>
  <c r="R1514" i="21"/>
  <c r="Q1514" i="21"/>
  <c r="P1514" i="21"/>
  <c r="R1513" i="21"/>
  <c r="Q1513" i="21"/>
  <c r="R1512" i="21"/>
  <c r="Q1512" i="21"/>
  <c r="P1512" i="21"/>
  <c r="R1511" i="21"/>
  <c r="Q1511" i="21"/>
  <c r="R1510" i="21"/>
  <c r="Q1510" i="21"/>
  <c r="P1510" i="21"/>
  <c r="R1509" i="21"/>
  <c r="Q1509" i="21"/>
  <c r="R1508" i="21"/>
  <c r="Q1508" i="21"/>
  <c r="P1508" i="21"/>
  <c r="R1507" i="21"/>
  <c r="Q1507" i="21"/>
  <c r="R1506" i="21"/>
  <c r="Q1506" i="21"/>
  <c r="P1506" i="21"/>
  <c r="R1505" i="21"/>
  <c r="Q1505" i="21"/>
  <c r="R1504" i="21"/>
  <c r="Q1504" i="21"/>
  <c r="P1504" i="21"/>
  <c r="R1503" i="21"/>
  <c r="Q1503" i="21"/>
  <c r="R1502" i="21"/>
  <c r="Q1502" i="21"/>
  <c r="P1502" i="21"/>
  <c r="R1501" i="21"/>
  <c r="Q1501" i="21"/>
  <c r="R1500" i="21"/>
  <c r="Q1500" i="21"/>
  <c r="P1500" i="21"/>
  <c r="R1499" i="21"/>
  <c r="Q1499" i="21"/>
  <c r="R1498" i="21"/>
  <c r="Q1498" i="21"/>
  <c r="P1498" i="21"/>
  <c r="R1497" i="21"/>
  <c r="Q1497" i="21"/>
  <c r="R1496" i="21"/>
  <c r="Q1496" i="21"/>
  <c r="P1496" i="21"/>
  <c r="R1495" i="21"/>
  <c r="Q1495" i="21"/>
  <c r="R1494" i="21"/>
  <c r="Q1494" i="21"/>
  <c r="P1494" i="21"/>
  <c r="R1493" i="21"/>
  <c r="Q1493" i="21"/>
  <c r="R1492" i="21"/>
  <c r="Q1492" i="21"/>
  <c r="P1492" i="21"/>
  <c r="R1491" i="21"/>
  <c r="Q1491" i="21"/>
  <c r="R1490" i="21"/>
  <c r="Q1490" i="21"/>
  <c r="P1490" i="21"/>
  <c r="R1489" i="21"/>
  <c r="Q1489" i="21"/>
  <c r="R1488" i="21"/>
  <c r="Q1488" i="21"/>
  <c r="P1488" i="21"/>
  <c r="R1487" i="21"/>
  <c r="Q1487" i="21"/>
  <c r="R1486" i="21"/>
  <c r="Q1486" i="21"/>
  <c r="P1486" i="21"/>
  <c r="R1485" i="21"/>
  <c r="Q1485" i="21"/>
  <c r="R1484" i="21"/>
  <c r="Q1484" i="21"/>
  <c r="P1484" i="21"/>
  <c r="R1483" i="21"/>
  <c r="Q1483" i="21"/>
  <c r="R1482" i="21"/>
  <c r="Q1482" i="21"/>
  <c r="P1482" i="21"/>
  <c r="R1481" i="21"/>
  <c r="Q1481" i="21"/>
  <c r="R1480" i="21"/>
  <c r="Q1480" i="21"/>
  <c r="P1480" i="21"/>
  <c r="R1479" i="21"/>
  <c r="Q1479" i="21"/>
  <c r="R1478" i="21"/>
  <c r="Q1478" i="21"/>
  <c r="P1478" i="21"/>
  <c r="R1477" i="21"/>
  <c r="Q1477" i="21"/>
  <c r="R1476" i="21"/>
  <c r="Q1476" i="21"/>
  <c r="P1476" i="21"/>
  <c r="R1475" i="21"/>
  <c r="Q1475" i="21"/>
  <c r="R1474" i="21"/>
  <c r="Q1474" i="21"/>
  <c r="P1474" i="21"/>
  <c r="R1473" i="21"/>
  <c r="Q1473" i="21"/>
  <c r="R1472" i="21"/>
  <c r="Q1472" i="21"/>
  <c r="P1472" i="21"/>
  <c r="R1471" i="21"/>
  <c r="Q1471" i="21"/>
  <c r="R1470" i="21"/>
  <c r="Q1470" i="21"/>
  <c r="P1470" i="21"/>
  <c r="R1469" i="21"/>
  <c r="Q1469" i="21"/>
  <c r="R1468" i="21"/>
  <c r="Q1468" i="21"/>
  <c r="P1468" i="21"/>
  <c r="R1467" i="21"/>
  <c r="Q1467" i="21"/>
  <c r="R1466" i="21"/>
  <c r="Q1466" i="21"/>
  <c r="P1466" i="21"/>
  <c r="R1465" i="21"/>
  <c r="Q1465" i="21"/>
  <c r="R1464" i="21"/>
  <c r="Q1464" i="21"/>
  <c r="P1464" i="21"/>
  <c r="R1463" i="21"/>
  <c r="Q1463" i="21"/>
  <c r="P1463" i="21"/>
  <c r="R1462" i="21"/>
  <c r="Q1462" i="21"/>
  <c r="P1462" i="21"/>
  <c r="R1461" i="21"/>
  <c r="Q1461" i="21"/>
  <c r="R1460" i="21"/>
  <c r="Q1460" i="21"/>
  <c r="P1460" i="21"/>
  <c r="R1459" i="21"/>
  <c r="Q1459" i="21"/>
  <c r="R1458" i="21"/>
  <c r="Q1458" i="21"/>
  <c r="P1458" i="21"/>
  <c r="R1457" i="21"/>
  <c r="Q1457" i="21"/>
  <c r="R1456" i="21"/>
  <c r="Q1456" i="21"/>
  <c r="P1456" i="21"/>
  <c r="R1455" i="21"/>
  <c r="Q1455" i="21"/>
  <c r="R1454" i="21"/>
  <c r="Q1454" i="21"/>
  <c r="P1454" i="21"/>
  <c r="R1453" i="21"/>
  <c r="Q1453" i="21"/>
  <c r="R1452" i="21"/>
  <c r="Q1452" i="21"/>
  <c r="P1452" i="21"/>
  <c r="R1451" i="21"/>
  <c r="Q1451" i="21"/>
  <c r="R1450" i="21"/>
  <c r="Q1450" i="21"/>
  <c r="P1450" i="21"/>
  <c r="R1449" i="21"/>
  <c r="Q1449" i="21"/>
  <c r="R1448" i="21"/>
  <c r="Q1448" i="21"/>
  <c r="P1448" i="21"/>
  <c r="R1447" i="21"/>
  <c r="Q1447" i="21"/>
  <c r="R1446" i="21"/>
  <c r="Q1446" i="21"/>
  <c r="P1446" i="21"/>
  <c r="R1445" i="21"/>
  <c r="Q1445" i="21"/>
  <c r="R1444" i="21"/>
  <c r="Q1444" i="21"/>
  <c r="P1444" i="21"/>
  <c r="R1443" i="21"/>
  <c r="Q1443" i="21"/>
  <c r="R1442" i="21"/>
  <c r="Q1442" i="21"/>
  <c r="P1442" i="21"/>
  <c r="R1441" i="21"/>
  <c r="Q1441" i="21"/>
  <c r="R1440" i="21"/>
  <c r="Q1440" i="21"/>
  <c r="P1440" i="21"/>
  <c r="R1439" i="21"/>
  <c r="Q1439" i="21"/>
  <c r="R1438" i="21"/>
  <c r="Q1438" i="21"/>
  <c r="P1438" i="21"/>
  <c r="R1437" i="21"/>
  <c r="Q1437" i="21"/>
  <c r="R1436" i="21"/>
  <c r="Q1436" i="21"/>
  <c r="P1436" i="21"/>
  <c r="R1435" i="21"/>
  <c r="Q1435" i="21"/>
  <c r="P1435" i="21"/>
  <c r="R1434" i="21"/>
  <c r="Q1434" i="21"/>
  <c r="P1434" i="21"/>
  <c r="R1433" i="21"/>
  <c r="Q1433" i="21"/>
  <c r="R1432" i="21"/>
  <c r="Q1432" i="21"/>
  <c r="P1432" i="21"/>
  <c r="R1431" i="21"/>
  <c r="Q1431" i="21"/>
  <c r="R1430" i="21"/>
  <c r="Q1430" i="21"/>
  <c r="P1430" i="21"/>
  <c r="R1429" i="21"/>
  <c r="Q1429" i="21"/>
  <c r="R1428" i="21"/>
  <c r="Q1428" i="21"/>
  <c r="P1428" i="21"/>
  <c r="R1427" i="21"/>
  <c r="Q1427" i="21"/>
  <c r="R1426" i="21"/>
  <c r="Q1426" i="21"/>
  <c r="P1426" i="21"/>
  <c r="R1425" i="21"/>
  <c r="Q1425" i="21"/>
  <c r="R1424" i="21"/>
  <c r="Q1424" i="21"/>
  <c r="P1424" i="21"/>
  <c r="R1423" i="21"/>
  <c r="Q1423" i="21"/>
  <c r="R1422" i="21"/>
  <c r="Q1422" i="21"/>
  <c r="P1422" i="21"/>
  <c r="R1421" i="21"/>
  <c r="Q1421" i="21"/>
  <c r="R1420" i="21"/>
  <c r="Q1420" i="21"/>
  <c r="P1420" i="21"/>
  <c r="R1419" i="21"/>
  <c r="Q1419" i="21"/>
  <c r="R1418" i="21"/>
  <c r="Q1418" i="21"/>
  <c r="P1418" i="21"/>
  <c r="R1417" i="21"/>
  <c r="Q1417" i="21"/>
  <c r="P1417" i="21"/>
  <c r="R1416" i="21"/>
  <c r="Q1416" i="21"/>
  <c r="P1416" i="21"/>
  <c r="R1415" i="21"/>
  <c r="Q1415" i="21"/>
  <c r="R1414" i="21"/>
  <c r="Q1414" i="21"/>
  <c r="P1414" i="21"/>
  <c r="R1413" i="21"/>
  <c r="Q1413" i="21"/>
  <c r="R1412" i="21"/>
  <c r="Q1412" i="21"/>
  <c r="P1412" i="21"/>
  <c r="R1411" i="21"/>
  <c r="Q1411" i="21"/>
  <c r="R1410" i="21"/>
  <c r="Q1410" i="21"/>
  <c r="P1410" i="21"/>
  <c r="R1409" i="21"/>
  <c r="Q1409" i="21"/>
  <c r="R1408" i="21"/>
  <c r="Q1408" i="21"/>
  <c r="P1408" i="21"/>
  <c r="R1407" i="21"/>
  <c r="Q1407" i="21"/>
  <c r="R1406" i="21"/>
  <c r="Q1406" i="21"/>
  <c r="P1406" i="21"/>
  <c r="R1405" i="21"/>
  <c r="Q1405" i="21"/>
  <c r="P1405" i="21"/>
  <c r="R1404" i="21"/>
  <c r="Q1404" i="21"/>
  <c r="P1404" i="21"/>
  <c r="R1403" i="21"/>
  <c r="Q1403" i="21"/>
  <c r="R1402" i="21"/>
  <c r="Q1402" i="21"/>
  <c r="P1402" i="21"/>
  <c r="R1401" i="21"/>
  <c r="Q1401" i="21"/>
  <c r="R1400" i="21"/>
  <c r="Q1400" i="21"/>
  <c r="P1400" i="21"/>
  <c r="R1399" i="21"/>
  <c r="Q1399" i="21"/>
  <c r="R1398" i="21"/>
  <c r="Q1398" i="21"/>
  <c r="P1398" i="21"/>
  <c r="R1397" i="21"/>
  <c r="Q1397" i="21"/>
  <c r="R1396" i="21"/>
  <c r="Q1396" i="21"/>
  <c r="P1396" i="21"/>
  <c r="R1395" i="21"/>
  <c r="Q1395" i="21"/>
  <c r="R1394" i="21"/>
  <c r="Q1394" i="21"/>
  <c r="P1394" i="21"/>
  <c r="R1393" i="21"/>
  <c r="Q1393" i="21"/>
  <c r="R1392" i="21"/>
  <c r="Q1392" i="21"/>
  <c r="P1392" i="21"/>
  <c r="R1391" i="21"/>
  <c r="Q1391" i="21"/>
  <c r="R1390" i="21"/>
  <c r="Q1390" i="21"/>
  <c r="P1390" i="21"/>
  <c r="R1389" i="21"/>
  <c r="Q1389" i="21"/>
  <c r="P1389" i="21"/>
  <c r="R1388" i="21"/>
  <c r="Q1388" i="21"/>
  <c r="P1388" i="21"/>
  <c r="R1387" i="21"/>
  <c r="Q1387" i="21"/>
  <c r="R1386" i="21"/>
  <c r="Q1386" i="21"/>
  <c r="P1386" i="21"/>
  <c r="R1385" i="21"/>
  <c r="Q1385" i="21"/>
  <c r="R1384" i="21"/>
  <c r="Q1384" i="21"/>
  <c r="P1384" i="21"/>
  <c r="R1383" i="21"/>
  <c r="Q1383" i="21"/>
  <c r="R1382" i="21"/>
  <c r="Q1382" i="21"/>
  <c r="P1382" i="21"/>
  <c r="R1381" i="21"/>
  <c r="Q1381" i="21"/>
  <c r="R1380" i="21"/>
  <c r="Q1380" i="21"/>
  <c r="P1380" i="21"/>
  <c r="R1379" i="21"/>
  <c r="Q1379" i="21"/>
  <c r="R1378" i="21"/>
  <c r="Q1378" i="21"/>
  <c r="P1378" i="21"/>
  <c r="R1377" i="21"/>
  <c r="Q1377" i="21"/>
  <c r="R1376" i="21"/>
  <c r="Q1376" i="21"/>
  <c r="P1376" i="21"/>
  <c r="R1375" i="21"/>
  <c r="Q1375" i="21"/>
  <c r="R1374" i="21"/>
  <c r="Q1374" i="21"/>
  <c r="P1374" i="21"/>
  <c r="R1373" i="21"/>
  <c r="Q1373" i="21"/>
  <c r="P1373" i="21"/>
  <c r="R1372" i="21"/>
  <c r="Q1372" i="21"/>
  <c r="P1372" i="21"/>
  <c r="R1371" i="21"/>
  <c r="Q1371" i="21"/>
  <c r="R1370" i="21"/>
  <c r="Q1370" i="21"/>
  <c r="P1370" i="21"/>
  <c r="R1369" i="21"/>
  <c r="Q1369" i="21"/>
  <c r="R1368" i="21"/>
  <c r="Q1368" i="21"/>
  <c r="P1368" i="21"/>
  <c r="R1367" i="21"/>
  <c r="Q1367" i="21"/>
  <c r="R1366" i="21"/>
  <c r="Q1366" i="21"/>
  <c r="P1366" i="21"/>
  <c r="R1365" i="21"/>
  <c r="Q1365" i="21"/>
  <c r="R1364" i="21"/>
  <c r="Q1364" i="21"/>
  <c r="P1364" i="21"/>
  <c r="R1363" i="21"/>
  <c r="Q1363" i="21"/>
  <c r="R1362" i="21"/>
  <c r="Q1362" i="21"/>
  <c r="P1362" i="21"/>
  <c r="R1361" i="21"/>
  <c r="Q1361" i="21"/>
  <c r="R1360" i="21"/>
  <c r="Q1360" i="21"/>
  <c r="P1360" i="21"/>
  <c r="R1359" i="21"/>
  <c r="Q1359" i="21"/>
  <c r="R1358" i="21"/>
  <c r="Q1358" i="21"/>
  <c r="P1358" i="21"/>
  <c r="R1357" i="21"/>
  <c r="Q1357" i="21"/>
  <c r="P1357" i="21"/>
  <c r="R1356" i="21"/>
  <c r="Q1356" i="21"/>
  <c r="P1356" i="21"/>
  <c r="R1355" i="21"/>
  <c r="Q1355" i="21"/>
  <c r="R1354" i="21"/>
  <c r="Q1354" i="21"/>
  <c r="P1354" i="21"/>
  <c r="R1353" i="21"/>
  <c r="Q1353" i="21"/>
  <c r="R1352" i="21"/>
  <c r="Q1352" i="21"/>
  <c r="P1352" i="21"/>
  <c r="R1351" i="21"/>
  <c r="Q1351" i="21"/>
  <c r="R1350" i="21"/>
  <c r="Q1350" i="21"/>
  <c r="P1350" i="21"/>
  <c r="R1349" i="21"/>
  <c r="Q1349" i="21"/>
  <c r="R1348" i="21"/>
  <c r="Q1348" i="21"/>
  <c r="P1348" i="21"/>
  <c r="R1347" i="21"/>
  <c r="Q1347" i="21"/>
  <c r="R1346" i="21"/>
  <c r="Q1346" i="21"/>
  <c r="P1346" i="21"/>
  <c r="R1345" i="21"/>
  <c r="Q1345" i="21"/>
  <c r="R1344" i="21"/>
  <c r="Q1344" i="21"/>
  <c r="P1344" i="21"/>
  <c r="R1343" i="21"/>
  <c r="Q1343" i="21"/>
  <c r="R1342" i="21"/>
  <c r="Q1342" i="21"/>
  <c r="P1342" i="21"/>
  <c r="R1341" i="21"/>
  <c r="Q1341" i="21"/>
  <c r="P1341" i="21"/>
  <c r="R1340" i="21"/>
  <c r="Q1340" i="21"/>
  <c r="P1340" i="21"/>
  <c r="R1339" i="21"/>
  <c r="Q1339" i="21"/>
  <c r="R1338" i="21"/>
  <c r="Q1338" i="21"/>
  <c r="P1338" i="21"/>
  <c r="R1337" i="21"/>
  <c r="Q1337" i="21"/>
  <c r="R1336" i="21"/>
  <c r="Q1336" i="21"/>
  <c r="P1336" i="21"/>
  <c r="R1335" i="21"/>
  <c r="Q1335" i="21"/>
  <c r="R1334" i="21"/>
  <c r="Q1334" i="21"/>
  <c r="P1334" i="21"/>
  <c r="R1333" i="21"/>
  <c r="Q1333" i="21"/>
  <c r="R1332" i="21"/>
  <c r="Q1332" i="21"/>
  <c r="P1332" i="21"/>
  <c r="R1331" i="21"/>
  <c r="Q1331" i="21"/>
  <c r="R1330" i="21"/>
  <c r="Q1330" i="21"/>
  <c r="P1330" i="21"/>
  <c r="R1329" i="21"/>
  <c r="Q1329" i="21"/>
  <c r="R1328" i="21"/>
  <c r="Q1328" i="21"/>
  <c r="P1328" i="21"/>
  <c r="R1327" i="21"/>
  <c r="Q1327" i="21"/>
  <c r="R1326" i="21"/>
  <c r="Q1326" i="21"/>
  <c r="P1326" i="21"/>
  <c r="R1325" i="21"/>
  <c r="Q1325" i="21"/>
  <c r="R1324" i="21"/>
  <c r="Q1324" i="21"/>
  <c r="P1324" i="21"/>
  <c r="R1323" i="21"/>
  <c r="Q1323" i="21"/>
  <c r="R1322" i="21"/>
  <c r="Q1322" i="21"/>
  <c r="P1322" i="21"/>
  <c r="R1321" i="21"/>
  <c r="Q1321" i="21"/>
  <c r="R1320" i="21"/>
  <c r="Q1320" i="21"/>
  <c r="P1320" i="21"/>
  <c r="R1319" i="21"/>
  <c r="Q1319" i="21"/>
  <c r="R1318" i="21"/>
  <c r="Q1318" i="21"/>
  <c r="P1318" i="21"/>
  <c r="R1317" i="21"/>
  <c r="Q1317" i="21"/>
  <c r="R1316" i="21"/>
  <c r="Q1316" i="21"/>
  <c r="P1316" i="21"/>
  <c r="R1315" i="21"/>
  <c r="Q1315" i="21"/>
  <c r="R1314" i="21"/>
  <c r="Q1314" i="21"/>
  <c r="P1314" i="21"/>
  <c r="R1313" i="21"/>
  <c r="Q1313" i="21"/>
  <c r="R1312" i="21"/>
  <c r="Q1312" i="21"/>
  <c r="P1312" i="21"/>
  <c r="R1311" i="21"/>
  <c r="Q1311" i="21"/>
  <c r="R1310" i="21"/>
  <c r="Q1310" i="21"/>
  <c r="P1310" i="21"/>
  <c r="R1309" i="21"/>
  <c r="Q1309" i="21"/>
  <c r="R1308" i="21"/>
  <c r="Q1308" i="21"/>
  <c r="P1308" i="21"/>
  <c r="R1307" i="21"/>
  <c r="Q1307" i="21"/>
  <c r="R1306" i="21"/>
  <c r="Q1306" i="21"/>
  <c r="P1306" i="21"/>
  <c r="R1305" i="21"/>
  <c r="Q1305" i="21"/>
  <c r="R1304" i="21"/>
  <c r="Q1304" i="21"/>
  <c r="P1304" i="21"/>
  <c r="R1303" i="21"/>
  <c r="Q1303" i="21"/>
  <c r="R1302" i="21"/>
  <c r="Q1302" i="21"/>
  <c r="P1302" i="21"/>
  <c r="R1301" i="21"/>
  <c r="Q1301" i="21"/>
  <c r="P1301" i="21"/>
  <c r="R1300" i="21"/>
  <c r="Q1300" i="21"/>
  <c r="P1300" i="21"/>
  <c r="R1299" i="21"/>
  <c r="Q1299" i="21"/>
  <c r="R1298" i="21"/>
  <c r="Q1298" i="21"/>
  <c r="P1298" i="21"/>
  <c r="R1297" i="21"/>
  <c r="Q1297" i="21"/>
  <c r="R1296" i="21"/>
  <c r="Q1296" i="21"/>
  <c r="P1296" i="21"/>
  <c r="R1295" i="21"/>
  <c r="Q1295" i="21"/>
  <c r="R1294" i="21"/>
  <c r="Q1294" i="21"/>
  <c r="P1294" i="21"/>
  <c r="R1293" i="21"/>
  <c r="Q1293" i="21"/>
  <c r="R1292" i="21"/>
  <c r="Q1292" i="21"/>
  <c r="P1292" i="21"/>
  <c r="R1291" i="21"/>
  <c r="Q1291" i="21"/>
  <c r="R1290" i="21"/>
  <c r="Q1290" i="21"/>
  <c r="P1290" i="21"/>
  <c r="R1289" i="21"/>
  <c r="Q1289" i="21"/>
  <c r="P1289" i="21"/>
  <c r="R1288" i="21"/>
  <c r="Q1288" i="21"/>
  <c r="P1288" i="21"/>
  <c r="R1287" i="21"/>
  <c r="Q1287" i="21"/>
  <c r="R1286" i="21"/>
  <c r="Q1286" i="21"/>
  <c r="P1286" i="21"/>
  <c r="R1285" i="21"/>
  <c r="Q1285" i="21"/>
  <c r="R1284" i="21"/>
  <c r="Q1284" i="21"/>
  <c r="P1284" i="21"/>
  <c r="R1283" i="21"/>
  <c r="Q1283" i="21"/>
  <c r="R1282" i="21"/>
  <c r="Q1282" i="21"/>
  <c r="P1282" i="21"/>
  <c r="R1281" i="21"/>
  <c r="Q1281" i="21"/>
  <c r="R1280" i="21"/>
  <c r="Q1280" i="21"/>
  <c r="P1280" i="21"/>
  <c r="R1279" i="21"/>
  <c r="Q1279" i="21"/>
  <c r="R1278" i="21"/>
  <c r="Q1278" i="21"/>
  <c r="P1278" i="21"/>
  <c r="R1277" i="21"/>
  <c r="Q1277" i="21"/>
  <c r="P1277" i="21"/>
  <c r="R1276" i="21"/>
  <c r="Q1276" i="21"/>
  <c r="P1276" i="21"/>
  <c r="R1275" i="21"/>
  <c r="Q1275" i="21"/>
  <c r="R1274" i="21"/>
  <c r="Q1274" i="21"/>
  <c r="P1274" i="21"/>
  <c r="R1273" i="21"/>
  <c r="Q1273" i="21"/>
  <c r="R1272" i="21"/>
  <c r="Q1272" i="21"/>
  <c r="P1272" i="21"/>
  <c r="R1271" i="21"/>
  <c r="Q1271" i="21"/>
  <c r="R1270" i="21"/>
  <c r="Q1270" i="21"/>
  <c r="P1270" i="21"/>
  <c r="R1269" i="21"/>
  <c r="Q1269" i="21"/>
  <c r="R1268" i="21"/>
  <c r="Q1268" i="21"/>
  <c r="P1268" i="21"/>
  <c r="R1267" i="21"/>
  <c r="Q1267" i="21"/>
  <c r="R1266" i="21"/>
  <c r="Q1266" i="21"/>
  <c r="P1266" i="21"/>
  <c r="R1265" i="21"/>
  <c r="Q1265" i="21"/>
  <c r="R1264" i="21"/>
  <c r="Q1264" i="21"/>
  <c r="P1264" i="21"/>
  <c r="R1263" i="21"/>
  <c r="Q1263" i="21"/>
  <c r="R1262" i="21"/>
  <c r="Q1262" i="21"/>
  <c r="P1262" i="21"/>
  <c r="R1261" i="21"/>
  <c r="Q1261" i="21"/>
  <c r="P1261" i="21"/>
  <c r="R1260" i="21"/>
  <c r="Q1260" i="21"/>
  <c r="P1260" i="21"/>
  <c r="R1259" i="21"/>
  <c r="Q1259" i="21"/>
  <c r="R1258" i="21"/>
  <c r="Q1258" i="21"/>
  <c r="P1258" i="21"/>
  <c r="R1257" i="21"/>
  <c r="Q1257" i="21"/>
  <c r="R1256" i="21"/>
  <c r="Q1256" i="21"/>
  <c r="P1256" i="21"/>
  <c r="R1255" i="21"/>
  <c r="Q1255" i="21"/>
  <c r="R1254" i="21"/>
  <c r="Q1254" i="21"/>
  <c r="P1254" i="21"/>
  <c r="R1253" i="21"/>
  <c r="Q1253" i="21"/>
  <c r="R1252" i="21"/>
  <c r="Q1252" i="21"/>
  <c r="P1252" i="21"/>
  <c r="R1251" i="21"/>
  <c r="Q1251" i="21"/>
  <c r="R1250" i="21"/>
  <c r="Q1250" i="21"/>
  <c r="P1250" i="21"/>
  <c r="R1249" i="21"/>
  <c r="Q1249" i="21"/>
  <c r="R1248" i="21"/>
  <c r="Q1248" i="21"/>
  <c r="P1248" i="21"/>
  <c r="R1247" i="21"/>
  <c r="Q1247" i="21"/>
  <c r="R1246" i="21"/>
  <c r="Q1246" i="21"/>
  <c r="P1246" i="21"/>
  <c r="R1245" i="21"/>
  <c r="Q1245" i="21"/>
  <c r="P1245" i="21"/>
  <c r="R1244" i="21"/>
  <c r="Q1244" i="21"/>
  <c r="P1244" i="21"/>
  <c r="R1243" i="21"/>
  <c r="Q1243" i="21"/>
  <c r="R1242" i="21"/>
  <c r="Q1242" i="21"/>
  <c r="P1242" i="21"/>
  <c r="R1241" i="21"/>
  <c r="Q1241" i="21"/>
  <c r="R1240" i="21"/>
  <c r="Q1240" i="21"/>
  <c r="P1240" i="21"/>
  <c r="R1239" i="21"/>
  <c r="Q1239" i="21"/>
  <c r="R1238" i="21"/>
  <c r="Q1238" i="21"/>
  <c r="P1238" i="21"/>
  <c r="R1237" i="21"/>
  <c r="Q1237" i="21"/>
  <c r="R1236" i="21"/>
  <c r="Q1236" i="21"/>
  <c r="P1236" i="21"/>
  <c r="R1235" i="21"/>
  <c r="Q1235" i="21"/>
  <c r="R1234" i="21"/>
  <c r="Q1234" i="21"/>
  <c r="P1234" i="21"/>
  <c r="R1233" i="21"/>
  <c r="Q1233" i="21"/>
  <c r="R1232" i="21"/>
  <c r="Q1232" i="21"/>
  <c r="P1232" i="21"/>
  <c r="R1231" i="21"/>
  <c r="Q1231" i="21"/>
  <c r="R1230" i="21"/>
  <c r="Q1230" i="21"/>
  <c r="P1230" i="21"/>
  <c r="R1229" i="21"/>
  <c r="R1228" i="21"/>
  <c r="P1228" i="21"/>
  <c r="R1227" i="21"/>
  <c r="R1226" i="21"/>
  <c r="R1222" i="21"/>
  <c r="R1221" i="21"/>
  <c r="R1220" i="21"/>
  <c r="P1220" i="21"/>
  <c r="R1219" i="21"/>
  <c r="R1218" i="21"/>
  <c r="R1217" i="21"/>
  <c r="R1216" i="21"/>
  <c r="R1215" i="21"/>
  <c r="R1214" i="21"/>
  <c r="R1213" i="21"/>
  <c r="R1212" i="21"/>
  <c r="P1212" i="21"/>
  <c r="R1211" i="21"/>
  <c r="R1210" i="21"/>
  <c r="R1209" i="21"/>
  <c r="R1208" i="21"/>
  <c r="R1207" i="21"/>
  <c r="R1206" i="21"/>
  <c r="R1205" i="21"/>
  <c r="R1204" i="21"/>
  <c r="P1204" i="21"/>
  <c r="R1203" i="21"/>
  <c r="R1202" i="21"/>
  <c r="R1201" i="21"/>
  <c r="R1200" i="21"/>
  <c r="R1199" i="21"/>
  <c r="M2005" i="21"/>
  <c r="M2004" i="21"/>
  <c r="M2003" i="21"/>
  <c r="M2002" i="21"/>
  <c r="M2001" i="21"/>
  <c r="M2000" i="21"/>
  <c r="M1999" i="21"/>
  <c r="M1998" i="21"/>
  <c r="M1997" i="21"/>
  <c r="M1996" i="21"/>
  <c r="M1995" i="21"/>
  <c r="M1994" i="21"/>
  <c r="M1993" i="21"/>
  <c r="M1992" i="21"/>
  <c r="M1991" i="21"/>
  <c r="M1990" i="21"/>
  <c r="M1989" i="21"/>
  <c r="M1988" i="21"/>
  <c r="M1987" i="21"/>
  <c r="M1986" i="21"/>
  <c r="M1985" i="21"/>
  <c r="M1984" i="21"/>
  <c r="M1983" i="21"/>
  <c r="M1982" i="21"/>
  <c r="M1981" i="21"/>
  <c r="M1980" i="21"/>
  <c r="M1979" i="21"/>
  <c r="M1978" i="21"/>
  <c r="M1977" i="21"/>
  <c r="M1976" i="21"/>
  <c r="M1975" i="21"/>
  <c r="M1974" i="21"/>
  <c r="M1973" i="21"/>
  <c r="M1972" i="21"/>
  <c r="M1971" i="21"/>
  <c r="M1970" i="21"/>
  <c r="M1969" i="21"/>
  <c r="M1968" i="21"/>
  <c r="M1967" i="21"/>
  <c r="M1966" i="21"/>
  <c r="M1965" i="21"/>
  <c r="M1964" i="21"/>
  <c r="M1963" i="21"/>
  <c r="M1962" i="21"/>
  <c r="M1961" i="21"/>
  <c r="M1960" i="21"/>
  <c r="M1959" i="21"/>
  <c r="M1958" i="21"/>
  <c r="M1957" i="21"/>
  <c r="M1956" i="21"/>
  <c r="M1955" i="21"/>
  <c r="M1954" i="21"/>
  <c r="M1953" i="21"/>
  <c r="M1952" i="21"/>
  <c r="M1951" i="21"/>
  <c r="M1950" i="21"/>
  <c r="M1949" i="21"/>
  <c r="M1948" i="21"/>
  <c r="M1947" i="21"/>
  <c r="M1946" i="21"/>
  <c r="M1945" i="21"/>
  <c r="M1944" i="21"/>
  <c r="M1943" i="21"/>
  <c r="M1942" i="21"/>
  <c r="M1941" i="21"/>
  <c r="M1940" i="21"/>
  <c r="M1939" i="21"/>
  <c r="M1938" i="21"/>
  <c r="M1937" i="21"/>
  <c r="M1936" i="21"/>
  <c r="M1935" i="21"/>
  <c r="M1934" i="21"/>
  <c r="M1933" i="21"/>
  <c r="M1932" i="21"/>
  <c r="M1931" i="21"/>
  <c r="M1930" i="21"/>
  <c r="M1929" i="21"/>
  <c r="M1928" i="21"/>
  <c r="M1927" i="21"/>
  <c r="M1926" i="21"/>
  <c r="M1925" i="21"/>
  <c r="M1924" i="21"/>
  <c r="M1923" i="21"/>
  <c r="M1922" i="21"/>
  <c r="M1921" i="21"/>
  <c r="M1920" i="21"/>
  <c r="M1919" i="21"/>
  <c r="M1918" i="21"/>
  <c r="M1917" i="21"/>
  <c r="M1916" i="21"/>
  <c r="M1915" i="21"/>
  <c r="M1914" i="21"/>
  <c r="M1913" i="21"/>
  <c r="M1912" i="21"/>
  <c r="M1911" i="21"/>
  <c r="M1910" i="21"/>
  <c r="M1909" i="21"/>
  <c r="M1908" i="21"/>
  <c r="M1907" i="21"/>
  <c r="M1906" i="21"/>
  <c r="M1905" i="21"/>
  <c r="M1904" i="21"/>
  <c r="M1903" i="21"/>
  <c r="M1902" i="21"/>
  <c r="M1901" i="21"/>
  <c r="M1900" i="21"/>
  <c r="M1899" i="21"/>
  <c r="M1898" i="21"/>
  <c r="M1897" i="21"/>
  <c r="M1896" i="21"/>
  <c r="M1895" i="21"/>
  <c r="M1894" i="21"/>
  <c r="M1893" i="21"/>
  <c r="M1892" i="21"/>
  <c r="M1891" i="21"/>
  <c r="M1890" i="21"/>
  <c r="M1889" i="21"/>
  <c r="M1888" i="21"/>
  <c r="M1887" i="21"/>
  <c r="M1886" i="21"/>
  <c r="M1885" i="21"/>
  <c r="M1884" i="21"/>
  <c r="M1883" i="21"/>
  <c r="M1882" i="21"/>
  <c r="M1881" i="21"/>
  <c r="M1880" i="21"/>
  <c r="M1879" i="21"/>
  <c r="M1878" i="21"/>
  <c r="M1877" i="21"/>
  <c r="M1876" i="21"/>
  <c r="M1875" i="21"/>
  <c r="M1874" i="21"/>
  <c r="M1873" i="21"/>
  <c r="M1872" i="21"/>
  <c r="M1871" i="21"/>
  <c r="M1870" i="21"/>
  <c r="M1869" i="21"/>
  <c r="M1868" i="21"/>
  <c r="M1867" i="21"/>
  <c r="M1866" i="21"/>
  <c r="M1865" i="21"/>
  <c r="M1864" i="21"/>
  <c r="M1863" i="21"/>
  <c r="M1862" i="21"/>
  <c r="M1861" i="21"/>
  <c r="M1860" i="21"/>
  <c r="M1859" i="21"/>
  <c r="M1858" i="21"/>
  <c r="M1857" i="21"/>
  <c r="M1856" i="21"/>
  <c r="M1855" i="21"/>
  <c r="M1854" i="21"/>
  <c r="M1853" i="21"/>
  <c r="M1852" i="21"/>
  <c r="M1851" i="21"/>
  <c r="M1850" i="21"/>
  <c r="M1849" i="21"/>
  <c r="M1848" i="21"/>
  <c r="M1847" i="21"/>
  <c r="M1846" i="21"/>
  <c r="M1845" i="21"/>
  <c r="M1844" i="21"/>
  <c r="M1843" i="21"/>
  <c r="M1842" i="21"/>
  <c r="M1841" i="21"/>
  <c r="M1840" i="21"/>
  <c r="M1839" i="21"/>
  <c r="M1838" i="21"/>
  <c r="M1837" i="21"/>
  <c r="M1836" i="21"/>
  <c r="M1835" i="21"/>
  <c r="M1834" i="21"/>
  <c r="M1833" i="21"/>
  <c r="M1832" i="21"/>
  <c r="M1831" i="21"/>
  <c r="M1830" i="21"/>
  <c r="M1829" i="21"/>
  <c r="M1828" i="21"/>
  <c r="M1827" i="21"/>
  <c r="M1826" i="21"/>
  <c r="M1825" i="21"/>
  <c r="M1824" i="21"/>
  <c r="M1823" i="21"/>
  <c r="M1822" i="21"/>
  <c r="M1821" i="21"/>
  <c r="M1820" i="21"/>
  <c r="M1819" i="21"/>
  <c r="M1818" i="21"/>
  <c r="M1817" i="21"/>
  <c r="M1816" i="21"/>
  <c r="M1815" i="21"/>
  <c r="M1814" i="21"/>
  <c r="M1813" i="21"/>
  <c r="M1812" i="21"/>
  <c r="M1811" i="21"/>
  <c r="M1810" i="21"/>
  <c r="M1809" i="21"/>
  <c r="M1808" i="21"/>
  <c r="M1807" i="21"/>
  <c r="M1806" i="21"/>
  <c r="M1805" i="21"/>
  <c r="M1804" i="21"/>
  <c r="M1803" i="21"/>
  <c r="M1802" i="21"/>
  <c r="M1801" i="21"/>
  <c r="M1800" i="21"/>
  <c r="M1799" i="21"/>
  <c r="M1798" i="21"/>
  <c r="M1797" i="21"/>
  <c r="M1796" i="21"/>
  <c r="M1795" i="21"/>
  <c r="M1794" i="21"/>
  <c r="M1793" i="21"/>
  <c r="M1792" i="21"/>
  <c r="M1791" i="21"/>
  <c r="M1790" i="21"/>
  <c r="M1789" i="21"/>
  <c r="M1788" i="21"/>
  <c r="M1787" i="21"/>
  <c r="M1786" i="21"/>
  <c r="M1785" i="21"/>
  <c r="M1784" i="21"/>
  <c r="M1783" i="21"/>
  <c r="M1782" i="21"/>
  <c r="M1781" i="21"/>
  <c r="M1780" i="21"/>
  <c r="M1779" i="21"/>
  <c r="M1778" i="21"/>
  <c r="M1777" i="21"/>
  <c r="M1776" i="21"/>
  <c r="M1775" i="21"/>
  <c r="M1774" i="21"/>
  <c r="M1773" i="21"/>
  <c r="M1772" i="21"/>
  <c r="M1771" i="21"/>
  <c r="M1770" i="21"/>
  <c r="M1769" i="21"/>
  <c r="M1768" i="21"/>
  <c r="M1767" i="21"/>
  <c r="M1766" i="21"/>
  <c r="M1765" i="21"/>
  <c r="M1764" i="21"/>
  <c r="M1763" i="21"/>
  <c r="M1762" i="21"/>
  <c r="M1761" i="21"/>
  <c r="M1760" i="21"/>
  <c r="M1759" i="21"/>
  <c r="M1758" i="21"/>
  <c r="M1757" i="21"/>
  <c r="M1756" i="21"/>
  <c r="M1755" i="21"/>
  <c r="M1754" i="21"/>
  <c r="M1753" i="21"/>
  <c r="M1752" i="21"/>
  <c r="M1751" i="21"/>
  <c r="M1750" i="21"/>
  <c r="M1749" i="21"/>
  <c r="M1748" i="21"/>
  <c r="M1747" i="21"/>
  <c r="M1746" i="21"/>
  <c r="M1745" i="21"/>
  <c r="M1744" i="21"/>
  <c r="M1743" i="21"/>
  <c r="M1742" i="21"/>
  <c r="M1741" i="21"/>
  <c r="M1740" i="21"/>
  <c r="M1739" i="21"/>
  <c r="M1738" i="21"/>
  <c r="M1737" i="21"/>
  <c r="M1736" i="21"/>
  <c r="M1735" i="21"/>
  <c r="M1734" i="21"/>
  <c r="M1733" i="21"/>
  <c r="M1732" i="21"/>
  <c r="M1731" i="21"/>
  <c r="M1730" i="21"/>
  <c r="M1729" i="21"/>
  <c r="M1728" i="21"/>
  <c r="M1727" i="21"/>
  <c r="M1726" i="21"/>
  <c r="M1725" i="21"/>
  <c r="M1724" i="21"/>
  <c r="M1723" i="21"/>
  <c r="M1722" i="21"/>
  <c r="M1721" i="21"/>
  <c r="M1720" i="21"/>
  <c r="M1719" i="21"/>
  <c r="M1718" i="21"/>
  <c r="M1717" i="21"/>
  <c r="M1716" i="21"/>
  <c r="M1715" i="21"/>
  <c r="M1714" i="21"/>
  <c r="M1713" i="21"/>
  <c r="M1712" i="21"/>
  <c r="M1711" i="21"/>
  <c r="M1710" i="21"/>
  <c r="M1709" i="21"/>
  <c r="M1708" i="21"/>
  <c r="M1707" i="21"/>
  <c r="M1706" i="21"/>
  <c r="M1705" i="21"/>
  <c r="M1704" i="21"/>
  <c r="M1703" i="21"/>
  <c r="M1702" i="21"/>
  <c r="M1701" i="21"/>
  <c r="M1700" i="21"/>
  <c r="M1699" i="21"/>
  <c r="M1698" i="21"/>
  <c r="M1697" i="21"/>
  <c r="M1696" i="21"/>
  <c r="M1695" i="21"/>
  <c r="M1694" i="21"/>
  <c r="M1693" i="21"/>
  <c r="M1692" i="21"/>
  <c r="M1691" i="21"/>
  <c r="M1690" i="21"/>
  <c r="M1689" i="21"/>
  <c r="M1688" i="21"/>
  <c r="M1687" i="21"/>
  <c r="M1686" i="21"/>
  <c r="M1685" i="21"/>
  <c r="M1684" i="21"/>
  <c r="M1683" i="21"/>
  <c r="M1682" i="21"/>
  <c r="M1681" i="21"/>
  <c r="M1680" i="21"/>
  <c r="M1679" i="21"/>
  <c r="M1678" i="21"/>
  <c r="M1677" i="21"/>
  <c r="M1676" i="21"/>
  <c r="M1675" i="21"/>
  <c r="M1674" i="21"/>
  <c r="M1673" i="21"/>
  <c r="M1672" i="21"/>
  <c r="M1671" i="21"/>
  <c r="M1670" i="21"/>
  <c r="M1669" i="21"/>
  <c r="M1668" i="21"/>
  <c r="M1667" i="21"/>
  <c r="M1666" i="21"/>
  <c r="M1665" i="21"/>
  <c r="M1664" i="21"/>
  <c r="M1663" i="21"/>
  <c r="M1662" i="21"/>
  <c r="M1661" i="21"/>
  <c r="M1660" i="21"/>
  <c r="M1659" i="21"/>
  <c r="M1658" i="21"/>
  <c r="M1657" i="21"/>
  <c r="M1656" i="21"/>
  <c r="M1655" i="21"/>
  <c r="M1654" i="21"/>
  <c r="M1653" i="21"/>
  <c r="M1652" i="21"/>
  <c r="M1651" i="21"/>
  <c r="M1650" i="21"/>
  <c r="M1649" i="21"/>
  <c r="M1648" i="21"/>
  <c r="M1647" i="21"/>
  <c r="M1646" i="21"/>
  <c r="M1645" i="21"/>
  <c r="M1644" i="21"/>
  <c r="M1643" i="21"/>
  <c r="M1642" i="21"/>
  <c r="M1641" i="21"/>
  <c r="M1640" i="21"/>
  <c r="M1639" i="21"/>
  <c r="M1638" i="21"/>
  <c r="M1637" i="21"/>
  <c r="M1636" i="21"/>
  <c r="M1635" i="21"/>
  <c r="M1634" i="21"/>
  <c r="M1633" i="21"/>
  <c r="M1632" i="21"/>
  <c r="M1631" i="21"/>
  <c r="M1630" i="21"/>
  <c r="M1629" i="21"/>
  <c r="M1628" i="21"/>
  <c r="M1627" i="21"/>
  <c r="M1626" i="21"/>
  <c r="M1625" i="21"/>
  <c r="M1624" i="21"/>
  <c r="M1623" i="21"/>
  <c r="M1622" i="21"/>
  <c r="M1621" i="21"/>
  <c r="M1620" i="21"/>
  <c r="M1619" i="21"/>
  <c r="M1618" i="21"/>
  <c r="M1617" i="21"/>
  <c r="M1616" i="21"/>
  <c r="M1615" i="21"/>
  <c r="M1614" i="21"/>
  <c r="M1613" i="21"/>
  <c r="M1612" i="21"/>
  <c r="M1611" i="21"/>
  <c r="M1610" i="21"/>
  <c r="M1609" i="21"/>
  <c r="M1608" i="21"/>
  <c r="M1607" i="21"/>
  <c r="M1606" i="21"/>
  <c r="M1605" i="21"/>
  <c r="M1604" i="21"/>
  <c r="M1603" i="21"/>
  <c r="M1602" i="21"/>
  <c r="M1601" i="21"/>
  <c r="M1600" i="21"/>
  <c r="M1599" i="21"/>
  <c r="M1598" i="21"/>
  <c r="M1597" i="21"/>
  <c r="M1596" i="21"/>
  <c r="M1595" i="21"/>
  <c r="M1594" i="21"/>
  <c r="M1593" i="21"/>
  <c r="M1592" i="21"/>
  <c r="M1591" i="21"/>
  <c r="M1590" i="21"/>
  <c r="M1589" i="21"/>
  <c r="M1588" i="21"/>
  <c r="M1587" i="21"/>
  <c r="M1586" i="21"/>
  <c r="M1585" i="21"/>
  <c r="M1584" i="21"/>
  <c r="M1583" i="21"/>
  <c r="M1582" i="21"/>
  <c r="M1581" i="21"/>
  <c r="M1580" i="21"/>
  <c r="M1579" i="21"/>
  <c r="M1578" i="21"/>
  <c r="M1577" i="21"/>
  <c r="M1576" i="21"/>
  <c r="M1575" i="21"/>
  <c r="M1574" i="21"/>
  <c r="M1573" i="21"/>
  <c r="M1572" i="21"/>
  <c r="M1571" i="21"/>
  <c r="M1570" i="21"/>
  <c r="M1569" i="21"/>
  <c r="M1568" i="21"/>
  <c r="M1567" i="21"/>
  <c r="M1566" i="21"/>
  <c r="M1565" i="21"/>
  <c r="M1564" i="21"/>
  <c r="M1563" i="21"/>
  <c r="M1562" i="21"/>
  <c r="M1561" i="21"/>
  <c r="M1560" i="21"/>
  <c r="M1559" i="21"/>
  <c r="M1558" i="21"/>
  <c r="M1557" i="21"/>
  <c r="M1556" i="21"/>
  <c r="M1555" i="21"/>
  <c r="M1554" i="21"/>
  <c r="M1553" i="21"/>
  <c r="M1552" i="21"/>
  <c r="M1551" i="21"/>
  <c r="M1550" i="21"/>
  <c r="M1549" i="21"/>
  <c r="M1548" i="21"/>
  <c r="M1547" i="21"/>
  <c r="M1546" i="21"/>
  <c r="M1545" i="21"/>
  <c r="M1544" i="21"/>
  <c r="M1543" i="21"/>
  <c r="M1542" i="21"/>
  <c r="M1541" i="21"/>
  <c r="M1540" i="21"/>
  <c r="M1539" i="21"/>
  <c r="M1538" i="21"/>
  <c r="M1537" i="21"/>
  <c r="M1536" i="21"/>
  <c r="M1535" i="21"/>
  <c r="M1534" i="21"/>
  <c r="M1533" i="21"/>
  <c r="M1532" i="21"/>
  <c r="M1531" i="21"/>
  <c r="M1530" i="21"/>
  <c r="M1529" i="21"/>
  <c r="M1528" i="21"/>
  <c r="M1527" i="21"/>
  <c r="M1526" i="21"/>
  <c r="M1525" i="21"/>
  <c r="M1524" i="21"/>
  <c r="M1523" i="21"/>
  <c r="M1522" i="21"/>
  <c r="M1521" i="21"/>
  <c r="M1520" i="21"/>
  <c r="M1519" i="21"/>
  <c r="M1518" i="21"/>
  <c r="M1517" i="21"/>
  <c r="M1516" i="21"/>
  <c r="M1515" i="21"/>
  <c r="M1514" i="21"/>
  <c r="M1513" i="21"/>
  <c r="M1512" i="21"/>
  <c r="M1511" i="21"/>
  <c r="M1510" i="21"/>
  <c r="M1509" i="21"/>
  <c r="M1508" i="21"/>
  <c r="M1507" i="21"/>
  <c r="M1506" i="21"/>
  <c r="M1505" i="21"/>
  <c r="M1504" i="21"/>
  <c r="M1503" i="21"/>
  <c r="M1502" i="21"/>
  <c r="M1501" i="21"/>
  <c r="M1500" i="21"/>
  <c r="M1499" i="21"/>
  <c r="M1498" i="21"/>
  <c r="M1497" i="21"/>
  <c r="M1496" i="21"/>
  <c r="M1495" i="21"/>
  <c r="M1494" i="21"/>
  <c r="M1493" i="21"/>
  <c r="M1492" i="21"/>
  <c r="M1491" i="21"/>
  <c r="M1490" i="21"/>
  <c r="M1489" i="21"/>
  <c r="M1488" i="21"/>
  <c r="M1487" i="21"/>
  <c r="M1486" i="21"/>
  <c r="M1485" i="21"/>
  <c r="M1484" i="21"/>
  <c r="M1483" i="21"/>
  <c r="M1482" i="21"/>
  <c r="M1481" i="21"/>
  <c r="M1480" i="21"/>
  <c r="M1479" i="21"/>
  <c r="M1478" i="21"/>
  <c r="M1477" i="21"/>
  <c r="M1476" i="21"/>
  <c r="M1475" i="21"/>
  <c r="M1474" i="21"/>
  <c r="M1473" i="21"/>
  <c r="M1472" i="21"/>
  <c r="M1471" i="21"/>
  <c r="M1470" i="21"/>
  <c r="M1469" i="21"/>
  <c r="M1468" i="21"/>
  <c r="M1467" i="21"/>
  <c r="M1466" i="21"/>
  <c r="M1465" i="21"/>
  <c r="M1464" i="21"/>
  <c r="M1463" i="21"/>
  <c r="M1462" i="21"/>
  <c r="M1461" i="21"/>
  <c r="M1460" i="21"/>
  <c r="M1459" i="21"/>
  <c r="M1458" i="21"/>
  <c r="M1457" i="21"/>
  <c r="M1456" i="21"/>
  <c r="M1455" i="21"/>
  <c r="M1454" i="21"/>
  <c r="M1453" i="21"/>
  <c r="M1452" i="21"/>
  <c r="M1451" i="21"/>
  <c r="M1450" i="21"/>
  <c r="M1449" i="21"/>
  <c r="M1448" i="21"/>
  <c r="M1447" i="21"/>
  <c r="M1446" i="21"/>
  <c r="M1445" i="21"/>
  <c r="M1444" i="21"/>
  <c r="M1443" i="21"/>
  <c r="M1442" i="21"/>
  <c r="M1441" i="21"/>
  <c r="M1440" i="21"/>
  <c r="M1439" i="21"/>
  <c r="M1438" i="21"/>
  <c r="M1437" i="21"/>
  <c r="M1436" i="21"/>
  <c r="M1435" i="21"/>
  <c r="M1434" i="21"/>
  <c r="M1433" i="21"/>
  <c r="M1432" i="21"/>
  <c r="M1431" i="21"/>
  <c r="M1430" i="21"/>
  <c r="M1429" i="21"/>
  <c r="M1428" i="21"/>
  <c r="M1427" i="21"/>
  <c r="M1426" i="21"/>
  <c r="M1425" i="21"/>
  <c r="M1424" i="21"/>
  <c r="M1423" i="21"/>
  <c r="M1422" i="21"/>
  <c r="M1421" i="21"/>
  <c r="M1420" i="21"/>
  <c r="M1419" i="21"/>
  <c r="M1418" i="21"/>
  <c r="M1417" i="21"/>
  <c r="M1416" i="21"/>
  <c r="M1415" i="21"/>
  <c r="M1414" i="21"/>
  <c r="M1413" i="21"/>
  <c r="M1412" i="21"/>
  <c r="M1411" i="21"/>
  <c r="M1410" i="21"/>
  <c r="M1409" i="21"/>
  <c r="M1408" i="21"/>
  <c r="M1407" i="21"/>
  <c r="M1406" i="21"/>
  <c r="M1405" i="21"/>
  <c r="M1404" i="21"/>
  <c r="M1403" i="21"/>
  <c r="M1402" i="21"/>
  <c r="M1401" i="21"/>
  <c r="M1400" i="21"/>
  <c r="M1399" i="21"/>
  <c r="M1398" i="21"/>
  <c r="M1397" i="21"/>
  <c r="M1396" i="21"/>
  <c r="M1395" i="21"/>
  <c r="M1394" i="21"/>
  <c r="M1393" i="21"/>
  <c r="M1392" i="21"/>
  <c r="M1391" i="21"/>
  <c r="M1390" i="21"/>
  <c r="M1389" i="21"/>
  <c r="M1388" i="21"/>
  <c r="M1387" i="21"/>
  <c r="M1386" i="21"/>
  <c r="M1385" i="21"/>
  <c r="M1384" i="21"/>
  <c r="M1383" i="21"/>
  <c r="M1382" i="21"/>
  <c r="M1381" i="21"/>
  <c r="M1380" i="21"/>
  <c r="M1379" i="21"/>
  <c r="M1378" i="21"/>
  <c r="M1377" i="21"/>
  <c r="M1376" i="21"/>
  <c r="M1375" i="21"/>
  <c r="M1374" i="21"/>
  <c r="M1373" i="21"/>
  <c r="M1372" i="21"/>
  <c r="M1371" i="21"/>
  <c r="M1370" i="21"/>
  <c r="M1369" i="21"/>
  <c r="M1368" i="21"/>
  <c r="M1367" i="21"/>
  <c r="M1366" i="21"/>
  <c r="M1365" i="21"/>
  <c r="M1364" i="21"/>
  <c r="M1363" i="21"/>
  <c r="M1362" i="21"/>
  <c r="M1361" i="21"/>
  <c r="M1360" i="21"/>
  <c r="M1359" i="21"/>
  <c r="M1358" i="21"/>
  <c r="M1357" i="21"/>
  <c r="M1356" i="21"/>
  <c r="M1355" i="21"/>
  <c r="M1354" i="21"/>
  <c r="M1353" i="21"/>
  <c r="M1352" i="21"/>
  <c r="M1351" i="21"/>
  <c r="M1350" i="21"/>
  <c r="M1349" i="21"/>
  <c r="M1348" i="21"/>
  <c r="M1347" i="21"/>
  <c r="M1346" i="21"/>
  <c r="M1345" i="21"/>
  <c r="M1344" i="21"/>
  <c r="M1343" i="21"/>
  <c r="M1342" i="21"/>
  <c r="M1341" i="21"/>
  <c r="M1340" i="21"/>
  <c r="M1339" i="21"/>
  <c r="M1338" i="21"/>
  <c r="M1337" i="21"/>
  <c r="M1336" i="21"/>
  <c r="M1335" i="21"/>
  <c r="M1334" i="21"/>
  <c r="M1333" i="21"/>
  <c r="M1332" i="21"/>
  <c r="M1331" i="21"/>
  <c r="M1330" i="21"/>
  <c r="M1329" i="21"/>
  <c r="M1328" i="21"/>
  <c r="M1327" i="21"/>
  <c r="M1326" i="21"/>
  <c r="M1325" i="21"/>
  <c r="M1324" i="21"/>
  <c r="M1323" i="21"/>
  <c r="M1322" i="21"/>
  <c r="M1321" i="21"/>
  <c r="M1320" i="21"/>
  <c r="M1319" i="21"/>
  <c r="M1318" i="21"/>
  <c r="M1317" i="21"/>
  <c r="M1316" i="21"/>
  <c r="M1315" i="21"/>
  <c r="M1314" i="21"/>
  <c r="M1313" i="21"/>
  <c r="M1312" i="21"/>
  <c r="M1311" i="21"/>
  <c r="M1310" i="21"/>
  <c r="M1309" i="21"/>
  <c r="M1308" i="21"/>
  <c r="M1307" i="21"/>
  <c r="M1306" i="21"/>
  <c r="M1305" i="21"/>
  <c r="M1304" i="21"/>
  <c r="M1303" i="21"/>
  <c r="M1302" i="21"/>
  <c r="M1301" i="21"/>
  <c r="M1300" i="21"/>
  <c r="M1299" i="21"/>
  <c r="M1298" i="21"/>
  <c r="M1297" i="21"/>
  <c r="M1296" i="21"/>
  <c r="M1295" i="21"/>
  <c r="M1294" i="21"/>
  <c r="M1293" i="21"/>
  <c r="M1292" i="21"/>
  <c r="M1291" i="21"/>
  <c r="M1290" i="21"/>
  <c r="M1289" i="21"/>
  <c r="M1288" i="21"/>
  <c r="M1287" i="21"/>
  <c r="M1286" i="21"/>
  <c r="M1285" i="21"/>
  <c r="M1284" i="21"/>
  <c r="M1283" i="21"/>
  <c r="M1282" i="21"/>
  <c r="M1281" i="21"/>
  <c r="M1280" i="21"/>
  <c r="M1279" i="21"/>
  <c r="M1278" i="21"/>
  <c r="M1277" i="21"/>
  <c r="M1276" i="21"/>
  <c r="M1275" i="21"/>
  <c r="M1274" i="21"/>
  <c r="M1273" i="21"/>
  <c r="M1272" i="21"/>
  <c r="M1271" i="21"/>
  <c r="M1270" i="21"/>
  <c r="M1269" i="21"/>
  <c r="M1268" i="21"/>
  <c r="M1267" i="21"/>
  <c r="M1266" i="21"/>
  <c r="M1265" i="21"/>
  <c r="M1264" i="21"/>
  <c r="M1263" i="21"/>
  <c r="M1262" i="21"/>
  <c r="M1261" i="21"/>
  <c r="M1260" i="21"/>
  <c r="M1259" i="21"/>
  <c r="M1258" i="21"/>
  <c r="M1257" i="21"/>
  <c r="M1256" i="21"/>
  <c r="M1255" i="21"/>
  <c r="M1254" i="21"/>
  <c r="M1253" i="21"/>
  <c r="M1252" i="21"/>
  <c r="M1251" i="21"/>
  <c r="M1250" i="21"/>
  <c r="M1249" i="21"/>
  <c r="M1248" i="21"/>
  <c r="M1247" i="21"/>
  <c r="M1246" i="21"/>
  <c r="M1245" i="21"/>
  <c r="M1244" i="21"/>
  <c r="M1243" i="21"/>
  <c r="M1242" i="21"/>
  <c r="M1241" i="21"/>
  <c r="M1240" i="21"/>
  <c r="M1239" i="21"/>
  <c r="M1238" i="21"/>
  <c r="M1237" i="21"/>
  <c r="M1236" i="21"/>
  <c r="M1235" i="21"/>
  <c r="M1234" i="21"/>
  <c r="M1233" i="21"/>
  <c r="M1232" i="21"/>
  <c r="M1231" i="21"/>
  <c r="M1230" i="21"/>
  <c r="M1229" i="21"/>
  <c r="M1228" i="21"/>
  <c r="M1227" i="21"/>
  <c r="M1226" i="21"/>
  <c r="Q1226" i="21" s="1"/>
  <c r="M1222" i="21"/>
  <c r="M1221" i="21"/>
  <c r="M1220" i="21"/>
  <c r="K1220" i="21" s="1"/>
  <c r="Q1220" i="21" s="1"/>
  <c r="M1219" i="21"/>
  <c r="K1219" i="21" s="1"/>
  <c r="Q1219" i="21" s="1"/>
  <c r="M1218" i="21"/>
  <c r="M1217" i="21"/>
  <c r="M1216" i="21"/>
  <c r="K1216" i="21" s="1"/>
  <c r="Q1216" i="21" s="1"/>
  <c r="M1215" i="21"/>
  <c r="K1215" i="21" s="1"/>
  <c r="Q1215" i="21" s="1"/>
  <c r="M1214" i="21"/>
  <c r="M1213" i="21"/>
  <c r="M1212" i="21"/>
  <c r="K1212" i="21" s="1"/>
  <c r="Q1212" i="21" s="1"/>
  <c r="M1211" i="21"/>
  <c r="K1211" i="21" s="1"/>
  <c r="Q1211" i="21" s="1"/>
  <c r="M1210" i="21"/>
  <c r="M1209" i="21"/>
  <c r="M1208" i="21"/>
  <c r="K1208" i="21" s="1"/>
  <c r="Q1208" i="21" s="1"/>
  <c r="M1207" i="21"/>
  <c r="K1207" i="21" s="1"/>
  <c r="Q1207" i="21" s="1"/>
  <c r="M1206" i="21"/>
  <c r="M1205" i="21"/>
  <c r="M1204" i="21"/>
  <c r="K1204" i="21" s="1"/>
  <c r="Q1204" i="21" s="1"/>
  <c r="M1203" i="21"/>
  <c r="K1203" i="21" s="1"/>
  <c r="Q1203" i="21" s="1"/>
  <c r="M1202" i="21"/>
  <c r="M1201" i="21"/>
  <c r="M1200" i="21"/>
  <c r="K1200" i="21" s="1"/>
  <c r="Q1200" i="21" s="1"/>
  <c r="M1199" i="21"/>
  <c r="K1199" i="21" s="1"/>
  <c r="Q1199" i="21" s="1"/>
  <c r="Q1229" i="21"/>
  <c r="Q1228" i="21"/>
  <c r="Q1227" i="21"/>
  <c r="R1174" i="21"/>
  <c r="R1158" i="21"/>
  <c r="D1156" i="21"/>
  <c r="A798" i="26" l="1"/>
  <c r="F797" i="26"/>
  <c r="K1222" i="21"/>
  <c r="Q1222" i="21" s="1"/>
  <c r="K1205" i="21"/>
  <c r="Q1205" i="21" s="1"/>
  <c r="K1209" i="21"/>
  <c r="Q1209" i="21" s="1"/>
  <c r="K1213" i="21"/>
  <c r="Q1213" i="21" s="1"/>
  <c r="K1217" i="21"/>
  <c r="Q1217" i="21" s="1"/>
  <c r="K1221" i="21"/>
  <c r="Q1221" i="21" s="1"/>
  <c r="K1206" i="21"/>
  <c r="Q1206" i="21" s="1"/>
  <c r="K1210" i="21"/>
  <c r="Q1210" i="21" s="1"/>
  <c r="K1214" i="21"/>
  <c r="Q1214" i="21" s="1"/>
  <c r="K1218" i="21"/>
  <c r="Q1218" i="21" s="1"/>
  <c r="K1202" i="21"/>
  <c r="Q1202" i="21" s="1"/>
  <c r="K1201" i="21"/>
  <c r="Q1201" i="21" s="1"/>
  <c r="D1234" i="2"/>
  <c r="O1228" i="2"/>
  <c r="A799" i="26" l="1"/>
  <c r="F798" i="26"/>
  <c r="U1217" i="2"/>
  <c r="O1217" i="2"/>
  <c r="Q1217" i="2" s="1"/>
  <c r="K1217" i="2"/>
  <c r="F1215" i="2"/>
  <c r="V1215" i="2" s="1"/>
  <c r="O1196" i="2"/>
  <c r="M1196" i="2" s="1"/>
  <c r="O1195" i="2"/>
  <c r="O1194" i="2"/>
  <c r="U1196" i="2"/>
  <c r="Q1196" i="2"/>
  <c r="K1196" i="2"/>
  <c r="F1196" i="2"/>
  <c r="V1196" i="2" s="1"/>
  <c r="E1196" i="2"/>
  <c r="D1196" i="2"/>
  <c r="AA1196" i="2"/>
  <c r="AB1196" i="2"/>
  <c r="AC1196" i="2"/>
  <c r="AC2008" i="2"/>
  <c r="AB2008" i="2"/>
  <c r="AA2008" i="2"/>
  <c r="U2008" i="2"/>
  <c r="O2008" i="2"/>
  <c r="M2008" i="2" s="1"/>
  <c r="AD2008" i="2" s="1"/>
  <c r="K2008" i="2"/>
  <c r="F2008" i="2"/>
  <c r="V2008" i="2" s="1"/>
  <c r="E2008" i="2"/>
  <c r="D2008" i="2"/>
  <c r="AC2007" i="2"/>
  <c r="AB2007" i="2"/>
  <c r="AA2007" i="2"/>
  <c r="U2007" i="2"/>
  <c r="O2007" i="2"/>
  <c r="M2007" i="2" s="1"/>
  <c r="AD2007" i="2" s="1"/>
  <c r="K2007" i="2"/>
  <c r="F2007" i="2"/>
  <c r="V2007" i="2" s="1"/>
  <c r="E2007" i="2"/>
  <c r="D2007" i="2"/>
  <c r="AC2006" i="2"/>
  <c r="AB2006" i="2"/>
  <c r="AA2006" i="2"/>
  <c r="U2006" i="2"/>
  <c r="O2006" i="2"/>
  <c r="Q2006" i="2" s="1"/>
  <c r="K2006" i="2"/>
  <c r="F2006" i="2"/>
  <c r="V2006" i="2" s="1"/>
  <c r="E2006" i="2"/>
  <c r="D2006" i="2"/>
  <c r="AC2005" i="2"/>
  <c r="AB2005" i="2"/>
  <c r="AA2005" i="2"/>
  <c r="U2005" i="2"/>
  <c r="O2005" i="2"/>
  <c r="Q2005" i="2" s="1"/>
  <c r="K2005" i="2"/>
  <c r="F2005" i="2"/>
  <c r="V2005" i="2" s="1"/>
  <c r="E2005" i="2"/>
  <c r="D2005" i="2"/>
  <c r="AC2004" i="2"/>
  <c r="AB2004" i="2"/>
  <c r="AA2004" i="2"/>
  <c r="U2004" i="2"/>
  <c r="O2004" i="2"/>
  <c r="M2004" i="2" s="1"/>
  <c r="AD2004" i="2" s="1"/>
  <c r="K2004" i="2"/>
  <c r="F2004" i="2"/>
  <c r="V2004" i="2" s="1"/>
  <c r="E2004" i="2"/>
  <c r="D2004" i="2"/>
  <c r="AC2003" i="2"/>
  <c r="AB2003" i="2"/>
  <c r="AA2003" i="2"/>
  <c r="U2003" i="2"/>
  <c r="O2003" i="2"/>
  <c r="Q2003" i="2" s="1"/>
  <c r="K2003" i="2"/>
  <c r="F2003" i="2"/>
  <c r="V2003" i="2" s="1"/>
  <c r="E2003" i="2"/>
  <c r="D2003" i="2"/>
  <c r="AC2002" i="2"/>
  <c r="AB2002" i="2"/>
  <c r="AA2002" i="2"/>
  <c r="U2002" i="2"/>
  <c r="O2002" i="2"/>
  <c r="Q2002" i="2" s="1"/>
  <c r="K2002" i="2"/>
  <c r="F2002" i="2"/>
  <c r="V2002" i="2" s="1"/>
  <c r="E2002" i="2"/>
  <c r="D2002" i="2"/>
  <c r="AC2001" i="2"/>
  <c r="AB2001" i="2"/>
  <c r="AA2001" i="2"/>
  <c r="U2001" i="2"/>
  <c r="O2001" i="2"/>
  <c r="M2001" i="2" s="1"/>
  <c r="AD2001" i="2" s="1"/>
  <c r="K2001" i="2"/>
  <c r="F2001" i="2"/>
  <c r="V2001" i="2" s="1"/>
  <c r="E2001" i="2"/>
  <c r="D2001" i="2"/>
  <c r="AC2000" i="2"/>
  <c r="AB2000" i="2"/>
  <c r="AA2000" i="2"/>
  <c r="U2000" i="2"/>
  <c r="O2000" i="2"/>
  <c r="Q2000" i="2" s="1"/>
  <c r="K2000" i="2"/>
  <c r="F2000" i="2"/>
  <c r="V2000" i="2" s="1"/>
  <c r="E2000" i="2"/>
  <c r="D2000" i="2"/>
  <c r="AC1999" i="2"/>
  <c r="AB1999" i="2"/>
  <c r="AA1999" i="2"/>
  <c r="U1999" i="2"/>
  <c r="O1999" i="2"/>
  <c r="M1999" i="2" s="1"/>
  <c r="AD1999" i="2" s="1"/>
  <c r="K1999" i="2"/>
  <c r="F1999" i="2"/>
  <c r="V1999" i="2" s="1"/>
  <c r="E1999" i="2"/>
  <c r="D1999" i="2"/>
  <c r="AC1998" i="2"/>
  <c r="AB1998" i="2"/>
  <c r="AA1998" i="2"/>
  <c r="U1998" i="2"/>
  <c r="O1998" i="2"/>
  <c r="Q1998" i="2" s="1"/>
  <c r="K1998" i="2"/>
  <c r="F1998" i="2"/>
  <c r="V1998" i="2" s="1"/>
  <c r="E1998" i="2"/>
  <c r="D1998" i="2"/>
  <c r="AC1997" i="2"/>
  <c r="AB1997" i="2"/>
  <c r="AA1997" i="2"/>
  <c r="U1997" i="2"/>
  <c r="O1997" i="2"/>
  <c r="M1997" i="2" s="1"/>
  <c r="AD1997" i="2" s="1"/>
  <c r="K1997" i="2"/>
  <c r="F1997" i="2"/>
  <c r="V1997" i="2" s="1"/>
  <c r="E1997" i="2"/>
  <c r="D1997" i="2"/>
  <c r="AC1996" i="2"/>
  <c r="AB1996" i="2"/>
  <c r="AA1996" i="2"/>
  <c r="U1996" i="2"/>
  <c r="O1996" i="2"/>
  <c r="M1996" i="2" s="1"/>
  <c r="AD1996" i="2" s="1"/>
  <c r="K1996" i="2"/>
  <c r="F1996" i="2"/>
  <c r="V1996" i="2" s="1"/>
  <c r="E1996" i="2"/>
  <c r="D1996" i="2"/>
  <c r="AC1995" i="2"/>
  <c r="AB1995" i="2"/>
  <c r="AA1995" i="2"/>
  <c r="U1995" i="2"/>
  <c r="O1995" i="2"/>
  <c r="Q1995" i="2" s="1"/>
  <c r="K1995" i="2"/>
  <c r="F1995" i="2"/>
  <c r="V1995" i="2" s="1"/>
  <c r="E1995" i="2"/>
  <c r="D1995" i="2"/>
  <c r="AC1994" i="2"/>
  <c r="AB1994" i="2"/>
  <c r="AA1994" i="2"/>
  <c r="U1994" i="2"/>
  <c r="O1994" i="2"/>
  <c r="M1994" i="2" s="1"/>
  <c r="AD1994" i="2" s="1"/>
  <c r="K1994" i="2"/>
  <c r="F1994" i="2"/>
  <c r="V1994" i="2" s="1"/>
  <c r="E1994" i="2"/>
  <c r="D1994" i="2"/>
  <c r="AC1993" i="2"/>
  <c r="AB1993" i="2"/>
  <c r="AA1993" i="2"/>
  <c r="U1993" i="2"/>
  <c r="O1993" i="2"/>
  <c r="Q1993" i="2" s="1"/>
  <c r="K1993" i="2"/>
  <c r="F1993" i="2"/>
  <c r="V1993" i="2" s="1"/>
  <c r="E1993" i="2"/>
  <c r="D1993" i="2"/>
  <c r="AC1992" i="2"/>
  <c r="AB1992" i="2"/>
  <c r="AA1992" i="2"/>
  <c r="U1992" i="2"/>
  <c r="O1992" i="2"/>
  <c r="Q1992" i="2" s="1"/>
  <c r="K1992" i="2"/>
  <c r="F1992" i="2"/>
  <c r="V1992" i="2" s="1"/>
  <c r="E1992" i="2"/>
  <c r="D1992" i="2"/>
  <c r="AC1991" i="2"/>
  <c r="AB1991" i="2"/>
  <c r="AA1991" i="2"/>
  <c r="U1991" i="2"/>
  <c r="O1991" i="2"/>
  <c r="Q1991" i="2" s="1"/>
  <c r="K1991" i="2"/>
  <c r="F1991" i="2"/>
  <c r="V1991" i="2" s="1"/>
  <c r="E1991" i="2"/>
  <c r="D1991" i="2"/>
  <c r="AC1990" i="2"/>
  <c r="AB1990" i="2"/>
  <c r="AA1990" i="2"/>
  <c r="U1990" i="2"/>
  <c r="O1990" i="2"/>
  <c r="Q1990" i="2" s="1"/>
  <c r="K1990" i="2"/>
  <c r="F1990" i="2"/>
  <c r="V1990" i="2" s="1"/>
  <c r="E1990" i="2"/>
  <c r="D1990" i="2"/>
  <c r="AC1989" i="2"/>
  <c r="AB1989" i="2"/>
  <c r="AA1989" i="2"/>
  <c r="U1989" i="2"/>
  <c r="O1989" i="2"/>
  <c r="M1989" i="2" s="1"/>
  <c r="AD1989" i="2" s="1"/>
  <c r="K1989" i="2"/>
  <c r="F1989" i="2"/>
  <c r="V1989" i="2" s="1"/>
  <c r="E1989" i="2"/>
  <c r="D1989" i="2"/>
  <c r="AC1988" i="2"/>
  <c r="AB1988" i="2"/>
  <c r="AA1988" i="2"/>
  <c r="U1988" i="2"/>
  <c r="O1988" i="2"/>
  <c r="M1988" i="2" s="1"/>
  <c r="AD1988" i="2" s="1"/>
  <c r="K1988" i="2"/>
  <c r="F1988" i="2"/>
  <c r="V1988" i="2" s="1"/>
  <c r="E1988" i="2"/>
  <c r="D1988" i="2"/>
  <c r="AC1987" i="2"/>
  <c r="AB1987" i="2"/>
  <c r="AA1987" i="2"/>
  <c r="U1987" i="2"/>
  <c r="O1987" i="2"/>
  <c r="M1987" i="2" s="1"/>
  <c r="AD1987" i="2" s="1"/>
  <c r="K1987" i="2"/>
  <c r="F1987" i="2"/>
  <c r="V1987" i="2" s="1"/>
  <c r="E1987" i="2"/>
  <c r="D1987" i="2"/>
  <c r="AC1986" i="2"/>
  <c r="AB1986" i="2"/>
  <c r="AA1986" i="2"/>
  <c r="U1986" i="2"/>
  <c r="O1986" i="2"/>
  <c r="M1986" i="2" s="1"/>
  <c r="AD1986" i="2" s="1"/>
  <c r="K1986" i="2"/>
  <c r="F1986" i="2"/>
  <c r="V1986" i="2" s="1"/>
  <c r="E1986" i="2"/>
  <c r="D1986" i="2"/>
  <c r="AC1985" i="2"/>
  <c r="AB1985" i="2"/>
  <c r="AA1985" i="2"/>
  <c r="U1985" i="2"/>
  <c r="O1985" i="2"/>
  <c r="Q1985" i="2" s="1"/>
  <c r="K1985" i="2"/>
  <c r="F1985" i="2"/>
  <c r="V1985" i="2" s="1"/>
  <c r="E1985" i="2"/>
  <c r="D1985" i="2"/>
  <c r="AC1984" i="2"/>
  <c r="AB1984" i="2"/>
  <c r="AA1984" i="2"/>
  <c r="U1984" i="2"/>
  <c r="O1984" i="2"/>
  <c r="Q1984" i="2" s="1"/>
  <c r="K1984" i="2"/>
  <c r="F1984" i="2"/>
  <c r="V1984" i="2" s="1"/>
  <c r="E1984" i="2"/>
  <c r="D1984" i="2"/>
  <c r="AC1983" i="2"/>
  <c r="AB1983" i="2"/>
  <c r="AA1983" i="2"/>
  <c r="U1983" i="2"/>
  <c r="O1983" i="2"/>
  <c r="M1983" i="2" s="1"/>
  <c r="AD1983" i="2" s="1"/>
  <c r="K1983" i="2"/>
  <c r="F1983" i="2"/>
  <c r="V1983" i="2" s="1"/>
  <c r="E1983" i="2"/>
  <c r="D1983" i="2"/>
  <c r="AC1982" i="2"/>
  <c r="AB1982" i="2"/>
  <c r="AA1982" i="2"/>
  <c r="U1982" i="2"/>
  <c r="O1982" i="2"/>
  <c r="M1982" i="2" s="1"/>
  <c r="AD1982" i="2" s="1"/>
  <c r="K1982" i="2"/>
  <c r="F1982" i="2"/>
  <c r="V1982" i="2" s="1"/>
  <c r="E1982" i="2"/>
  <c r="D1982" i="2"/>
  <c r="AC1981" i="2"/>
  <c r="AB1981" i="2"/>
  <c r="AA1981" i="2"/>
  <c r="U1981" i="2"/>
  <c r="O1981" i="2"/>
  <c r="M1981" i="2" s="1"/>
  <c r="AD1981" i="2" s="1"/>
  <c r="K1981" i="2"/>
  <c r="F1981" i="2"/>
  <c r="V1981" i="2" s="1"/>
  <c r="E1981" i="2"/>
  <c r="D1981" i="2"/>
  <c r="AC1980" i="2"/>
  <c r="AB1980" i="2"/>
  <c r="AA1980" i="2"/>
  <c r="U1980" i="2"/>
  <c r="O1980" i="2"/>
  <c r="M1980" i="2" s="1"/>
  <c r="AD1980" i="2" s="1"/>
  <c r="K1980" i="2"/>
  <c r="F1980" i="2"/>
  <c r="V1980" i="2" s="1"/>
  <c r="E1980" i="2"/>
  <c r="D1980" i="2"/>
  <c r="AC1979" i="2"/>
  <c r="AB1979" i="2"/>
  <c r="AA1979" i="2"/>
  <c r="U1979" i="2"/>
  <c r="O1979" i="2"/>
  <c r="M1979" i="2" s="1"/>
  <c r="AD1979" i="2" s="1"/>
  <c r="K1979" i="2"/>
  <c r="F1979" i="2"/>
  <c r="V1979" i="2" s="1"/>
  <c r="E1979" i="2"/>
  <c r="D1979" i="2"/>
  <c r="AC1978" i="2"/>
  <c r="AB1978" i="2"/>
  <c r="AA1978" i="2"/>
  <c r="U1978" i="2"/>
  <c r="O1978" i="2"/>
  <c r="M1978" i="2" s="1"/>
  <c r="AD1978" i="2" s="1"/>
  <c r="K1978" i="2"/>
  <c r="F1978" i="2"/>
  <c r="V1978" i="2" s="1"/>
  <c r="E1978" i="2"/>
  <c r="D1978" i="2"/>
  <c r="AC1977" i="2"/>
  <c r="AB1977" i="2"/>
  <c r="AA1977" i="2"/>
  <c r="U1977" i="2"/>
  <c r="O1977" i="2"/>
  <c r="Q1977" i="2" s="1"/>
  <c r="K1977" i="2"/>
  <c r="F1977" i="2"/>
  <c r="V1977" i="2" s="1"/>
  <c r="E1977" i="2"/>
  <c r="D1977" i="2"/>
  <c r="AC1976" i="2"/>
  <c r="AB1976" i="2"/>
  <c r="AA1976" i="2"/>
  <c r="U1976" i="2"/>
  <c r="O1976" i="2"/>
  <c r="Q1976" i="2" s="1"/>
  <c r="K1976" i="2"/>
  <c r="F1976" i="2"/>
  <c r="V1976" i="2" s="1"/>
  <c r="E1976" i="2"/>
  <c r="D1976" i="2"/>
  <c r="AC1975" i="2"/>
  <c r="AB1975" i="2"/>
  <c r="AA1975" i="2"/>
  <c r="U1975" i="2"/>
  <c r="O1975" i="2"/>
  <c r="M1975" i="2" s="1"/>
  <c r="AD1975" i="2" s="1"/>
  <c r="K1975" i="2"/>
  <c r="F1975" i="2"/>
  <c r="V1975" i="2" s="1"/>
  <c r="E1975" i="2"/>
  <c r="D1975" i="2"/>
  <c r="AC1974" i="2"/>
  <c r="AB1974" i="2"/>
  <c r="AA1974" i="2"/>
  <c r="U1974" i="2"/>
  <c r="O1974" i="2"/>
  <c r="M1974" i="2" s="1"/>
  <c r="AD1974" i="2" s="1"/>
  <c r="K1974" i="2"/>
  <c r="F1974" i="2"/>
  <c r="V1974" i="2" s="1"/>
  <c r="E1974" i="2"/>
  <c r="D1974" i="2"/>
  <c r="AC1973" i="2"/>
  <c r="AB1973" i="2"/>
  <c r="AA1973" i="2"/>
  <c r="U1973" i="2"/>
  <c r="O1973" i="2"/>
  <c r="M1973" i="2" s="1"/>
  <c r="AD1973" i="2" s="1"/>
  <c r="K1973" i="2"/>
  <c r="F1973" i="2"/>
  <c r="V1973" i="2" s="1"/>
  <c r="E1973" i="2"/>
  <c r="D1973" i="2"/>
  <c r="AC1972" i="2"/>
  <c r="AB1972" i="2"/>
  <c r="AA1972" i="2"/>
  <c r="U1972" i="2"/>
  <c r="O1972" i="2"/>
  <c r="M1972" i="2" s="1"/>
  <c r="AD1972" i="2" s="1"/>
  <c r="K1972" i="2"/>
  <c r="F1972" i="2"/>
  <c r="V1972" i="2" s="1"/>
  <c r="E1972" i="2"/>
  <c r="D1972" i="2"/>
  <c r="AC1971" i="2"/>
  <c r="AB1971" i="2"/>
  <c r="AA1971" i="2"/>
  <c r="U1971" i="2"/>
  <c r="O1971" i="2"/>
  <c r="M1971" i="2" s="1"/>
  <c r="AD1971" i="2" s="1"/>
  <c r="K1971" i="2"/>
  <c r="F1971" i="2"/>
  <c r="V1971" i="2" s="1"/>
  <c r="E1971" i="2"/>
  <c r="D1971" i="2"/>
  <c r="AC1970" i="2"/>
  <c r="AB1970" i="2"/>
  <c r="AA1970" i="2"/>
  <c r="U1970" i="2"/>
  <c r="O1970" i="2"/>
  <c r="M1970" i="2" s="1"/>
  <c r="AD1970" i="2" s="1"/>
  <c r="K1970" i="2"/>
  <c r="F1970" i="2"/>
  <c r="V1970" i="2" s="1"/>
  <c r="E1970" i="2"/>
  <c r="D1970" i="2"/>
  <c r="AC1969" i="2"/>
  <c r="AB1969" i="2"/>
  <c r="AA1969" i="2"/>
  <c r="U1969" i="2"/>
  <c r="O1969" i="2"/>
  <c r="Q1969" i="2" s="1"/>
  <c r="K1969" i="2"/>
  <c r="F1969" i="2"/>
  <c r="V1969" i="2" s="1"/>
  <c r="E1969" i="2"/>
  <c r="D1969" i="2"/>
  <c r="AC1968" i="2"/>
  <c r="AB1968" i="2"/>
  <c r="AA1968" i="2"/>
  <c r="U1968" i="2"/>
  <c r="O1968" i="2"/>
  <c r="Q1968" i="2" s="1"/>
  <c r="K1968" i="2"/>
  <c r="F1968" i="2"/>
  <c r="V1968" i="2" s="1"/>
  <c r="E1968" i="2"/>
  <c r="D1968" i="2"/>
  <c r="AC1967" i="2"/>
  <c r="AB1967" i="2"/>
  <c r="AA1967" i="2"/>
  <c r="U1967" i="2"/>
  <c r="O1967" i="2"/>
  <c r="M1967" i="2" s="1"/>
  <c r="AD1967" i="2" s="1"/>
  <c r="K1967" i="2"/>
  <c r="F1967" i="2"/>
  <c r="V1967" i="2" s="1"/>
  <c r="E1967" i="2"/>
  <c r="D1967" i="2"/>
  <c r="AC1966" i="2"/>
  <c r="AB1966" i="2"/>
  <c r="AA1966" i="2"/>
  <c r="U1966" i="2"/>
  <c r="O1966" i="2"/>
  <c r="Q1966" i="2" s="1"/>
  <c r="K1966" i="2"/>
  <c r="F1966" i="2"/>
  <c r="V1966" i="2" s="1"/>
  <c r="E1966" i="2"/>
  <c r="D1966" i="2"/>
  <c r="AC1965" i="2"/>
  <c r="AB1965" i="2"/>
  <c r="AA1965" i="2"/>
  <c r="U1965" i="2"/>
  <c r="O1965" i="2"/>
  <c r="M1965" i="2" s="1"/>
  <c r="AD1965" i="2" s="1"/>
  <c r="K1965" i="2"/>
  <c r="F1965" i="2"/>
  <c r="V1965" i="2" s="1"/>
  <c r="E1965" i="2"/>
  <c r="D1965" i="2"/>
  <c r="AC1964" i="2"/>
  <c r="AB1964" i="2"/>
  <c r="AA1964" i="2"/>
  <c r="U1964" i="2"/>
  <c r="O1964" i="2"/>
  <c r="M1964" i="2" s="1"/>
  <c r="AD1964" i="2" s="1"/>
  <c r="K1964" i="2"/>
  <c r="F1964" i="2"/>
  <c r="V1964" i="2" s="1"/>
  <c r="E1964" i="2"/>
  <c r="D1964" i="2"/>
  <c r="AC1963" i="2"/>
  <c r="AB1963" i="2"/>
  <c r="AA1963" i="2"/>
  <c r="U1963" i="2"/>
  <c r="O1963" i="2"/>
  <c r="M1963" i="2" s="1"/>
  <c r="AD1963" i="2" s="1"/>
  <c r="K1963" i="2"/>
  <c r="F1963" i="2"/>
  <c r="V1963" i="2" s="1"/>
  <c r="E1963" i="2"/>
  <c r="D1963" i="2"/>
  <c r="AC1962" i="2"/>
  <c r="AB1962" i="2"/>
  <c r="AA1962" i="2"/>
  <c r="U1962" i="2"/>
  <c r="O1962" i="2"/>
  <c r="M1962" i="2" s="1"/>
  <c r="AD1962" i="2" s="1"/>
  <c r="K1962" i="2"/>
  <c r="F1962" i="2"/>
  <c r="V1962" i="2" s="1"/>
  <c r="E1962" i="2"/>
  <c r="D1962" i="2"/>
  <c r="AC1961" i="2"/>
  <c r="AB1961" i="2"/>
  <c r="AA1961" i="2"/>
  <c r="U1961" i="2"/>
  <c r="O1961" i="2"/>
  <c r="Q1961" i="2" s="1"/>
  <c r="K1961" i="2"/>
  <c r="F1961" i="2"/>
  <c r="V1961" i="2" s="1"/>
  <c r="E1961" i="2"/>
  <c r="D1961" i="2"/>
  <c r="AC1960" i="2"/>
  <c r="AB1960" i="2"/>
  <c r="AA1960" i="2"/>
  <c r="U1960" i="2"/>
  <c r="O1960" i="2"/>
  <c r="Q1960" i="2" s="1"/>
  <c r="K1960" i="2"/>
  <c r="F1960" i="2"/>
  <c r="V1960" i="2" s="1"/>
  <c r="E1960" i="2"/>
  <c r="D1960" i="2"/>
  <c r="AC1959" i="2"/>
  <c r="AB1959" i="2"/>
  <c r="AA1959" i="2"/>
  <c r="U1959" i="2"/>
  <c r="O1959" i="2"/>
  <c r="M1959" i="2" s="1"/>
  <c r="AD1959" i="2" s="1"/>
  <c r="K1959" i="2"/>
  <c r="F1959" i="2"/>
  <c r="V1959" i="2" s="1"/>
  <c r="E1959" i="2"/>
  <c r="D1959" i="2"/>
  <c r="AC1958" i="2"/>
  <c r="AB1958" i="2"/>
  <c r="AA1958" i="2"/>
  <c r="U1958" i="2"/>
  <c r="O1958" i="2"/>
  <c r="Q1958" i="2" s="1"/>
  <c r="K1958" i="2"/>
  <c r="F1958" i="2"/>
  <c r="V1958" i="2" s="1"/>
  <c r="E1958" i="2"/>
  <c r="D1958" i="2"/>
  <c r="AC1957" i="2"/>
  <c r="AB1957" i="2"/>
  <c r="AA1957" i="2"/>
  <c r="U1957" i="2"/>
  <c r="O1957" i="2"/>
  <c r="M1957" i="2" s="1"/>
  <c r="AD1957" i="2" s="1"/>
  <c r="K1957" i="2"/>
  <c r="F1957" i="2"/>
  <c r="V1957" i="2" s="1"/>
  <c r="E1957" i="2"/>
  <c r="D1957" i="2"/>
  <c r="AC1956" i="2"/>
  <c r="AB1956" i="2"/>
  <c r="AA1956" i="2"/>
  <c r="U1956" i="2"/>
  <c r="O1956" i="2"/>
  <c r="M1956" i="2" s="1"/>
  <c r="AD1956" i="2" s="1"/>
  <c r="K1956" i="2"/>
  <c r="F1956" i="2"/>
  <c r="V1956" i="2" s="1"/>
  <c r="E1956" i="2"/>
  <c r="D1956" i="2"/>
  <c r="AC1955" i="2"/>
  <c r="AB1955" i="2"/>
  <c r="AA1955" i="2"/>
  <c r="U1955" i="2"/>
  <c r="O1955" i="2"/>
  <c r="M1955" i="2" s="1"/>
  <c r="AD1955" i="2" s="1"/>
  <c r="K1955" i="2"/>
  <c r="F1955" i="2"/>
  <c r="V1955" i="2" s="1"/>
  <c r="E1955" i="2"/>
  <c r="D1955" i="2"/>
  <c r="AC1954" i="2"/>
  <c r="AB1954" i="2"/>
  <c r="AA1954" i="2"/>
  <c r="U1954" i="2"/>
  <c r="O1954" i="2"/>
  <c r="M1954" i="2" s="1"/>
  <c r="AD1954" i="2" s="1"/>
  <c r="K1954" i="2"/>
  <c r="F1954" i="2"/>
  <c r="V1954" i="2" s="1"/>
  <c r="E1954" i="2"/>
  <c r="D1954" i="2"/>
  <c r="AC1953" i="2"/>
  <c r="AB1953" i="2"/>
  <c r="AA1953" i="2"/>
  <c r="U1953" i="2"/>
  <c r="O1953" i="2"/>
  <c r="Q1953" i="2" s="1"/>
  <c r="K1953" i="2"/>
  <c r="F1953" i="2"/>
  <c r="V1953" i="2" s="1"/>
  <c r="E1953" i="2"/>
  <c r="D1953" i="2"/>
  <c r="AC1952" i="2"/>
  <c r="AB1952" i="2"/>
  <c r="AA1952" i="2"/>
  <c r="U1952" i="2"/>
  <c r="O1952" i="2"/>
  <c r="Q1952" i="2" s="1"/>
  <c r="K1952" i="2"/>
  <c r="F1952" i="2"/>
  <c r="V1952" i="2" s="1"/>
  <c r="E1952" i="2"/>
  <c r="D1952" i="2"/>
  <c r="AC1951" i="2"/>
  <c r="AB1951" i="2"/>
  <c r="AA1951" i="2"/>
  <c r="U1951" i="2"/>
  <c r="O1951" i="2"/>
  <c r="Q1951" i="2" s="1"/>
  <c r="K1951" i="2"/>
  <c r="F1951" i="2"/>
  <c r="V1951" i="2" s="1"/>
  <c r="E1951" i="2"/>
  <c r="D1951" i="2"/>
  <c r="AC1950" i="2"/>
  <c r="AB1950" i="2"/>
  <c r="AA1950" i="2"/>
  <c r="U1950" i="2"/>
  <c r="O1950" i="2"/>
  <c r="Q1950" i="2" s="1"/>
  <c r="K1950" i="2"/>
  <c r="F1950" i="2"/>
  <c r="V1950" i="2" s="1"/>
  <c r="E1950" i="2"/>
  <c r="D1950" i="2"/>
  <c r="AC1949" i="2"/>
  <c r="AB1949" i="2"/>
  <c r="AA1949" i="2"/>
  <c r="U1949" i="2"/>
  <c r="O1949" i="2"/>
  <c r="M1949" i="2" s="1"/>
  <c r="AD1949" i="2" s="1"/>
  <c r="K1949" i="2"/>
  <c r="F1949" i="2"/>
  <c r="V1949" i="2" s="1"/>
  <c r="E1949" i="2"/>
  <c r="D1949" i="2"/>
  <c r="AC1948" i="2"/>
  <c r="AB1948" i="2"/>
  <c r="AA1948" i="2"/>
  <c r="U1948" i="2"/>
  <c r="O1948" i="2"/>
  <c r="M1948" i="2" s="1"/>
  <c r="AD1948" i="2" s="1"/>
  <c r="K1948" i="2"/>
  <c r="F1948" i="2"/>
  <c r="V1948" i="2" s="1"/>
  <c r="E1948" i="2"/>
  <c r="D1948" i="2"/>
  <c r="AC1947" i="2"/>
  <c r="AB1947" i="2"/>
  <c r="AA1947" i="2"/>
  <c r="U1947" i="2"/>
  <c r="O1947" i="2"/>
  <c r="M1947" i="2" s="1"/>
  <c r="AD1947" i="2" s="1"/>
  <c r="K1947" i="2"/>
  <c r="F1947" i="2"/>
  <c r="V1947" i="2" s="1"/>
  <c r="E1947" i="2"/>
  <c r="D1947" i="2"/>
  <c r="AC1946" i="2"/>
  <c r="AB1946" i="2"/>
  <c r="AA1946" i="2"/>
  <c r="U1946" i="2"/>
  <c r="O1946" i="2"/>
  <c r="M1946" i="2" s="1"/>
  <c r="AD1946" i="2" s="1"/>
  <c r="K1946" i="2"/>
  <c r="F1946" i="2"/>
  <c r="V1946" i="2" s="1"/>
  <c r="E1946" i="2"/>
  <c r="D1946" i="2"/>
  <c r="AC1945" i="2"/>
  <c r="AB1945" i="2"/>
  <c r="AA1945" i="2"/>
  <c r="U1945" i="2"/>
  <c r="O1945" i="2"/>
  <c r="Q1945" i="2" s="1"/>
  <c r="K1945" i="2"/>
  <c r="F1945" i="2"/>
  <c r="V1945" i="2" s="1"/>
  <c r="E1945" i="2"/>
  <c r="D1945" i="2"/>
  <c r="AC1944" i="2"/>
  <c r="AB1944" i="2"/>
  <c r="AA1944" i="2"/>
  <c r="U1944" i="2"/>
  <c r="O1944" i="2"/>
  <c r="Q1944" i="2" s="1"/>
  <c r="K1944" i="2"/>
  <c r="F1944" i="2"/>
  <c r="V1944" i="2" s="1"/>
  <c r="E1944" i="2"/>
  <c r="D1944" i="2"/>
  <c r="AC1943" i="2"/>
  <c r="AB1943" i="2"/>
  <c r="AA1943" i="2"/>
  <c r="U1943" i="2"/>
  <c r="O1943" i="2"/>
  <c r="M1943" i="2" s="1"/>
  <c r="AD1943" i="2" s="1"/>
  <c r="K1943" i="2"/>
  <c r="F1943" i="2"/>
  <c r="V1943" i="2" s="1"/>
  <c r="E1943" i="2"/>
  <c r="D1943" i="2"/>
  <c r="AC1942" i="2"/>
  <c r="AB1942" i="2"/>
  <c r="AA1942" i="2"/>
  <c r="U1942" i="2"/>
  <c r="O1942" i="2"/>
  <c r="Q1942" i="2" s="1"/>
  <c r="K1942" i="2"/>
  <c r="F1942" i="2"/>
  <c r="V1942" i="2" s="1"/>
  <c r="E1942" i="2"/>
  <c r="D1942" i="2"/>
  <c r="AC1941" i="2"/>
  <c r="AB1941" i="2"/>
  <c r="AA1941" i="2"/>
  <c r="U1941" i="2"/>
  <c r="O1941" i="2"/>
  <c r="M1941" i="2" s="1"/>
  <c r="AD1941" i="2" s="1"/>
  <c r="K1941" i="2"/>
  <c r="F1941" i="2"/>
  <c r="V1941" i="2" s="1"/>
  <c r="E1941" i="2"/>
  <c r="D1941" i="2"/>
  <c r="AC1940" i="2"/>
  <c r="AB1940" i="2"/>
  <c r="AA1940" i="2"/>
  <c r="U1940" i="2"/>
  <c r="O1940" i="2"/>
  <c r="M1940" i="2" s="1"/>
  <c r="AD1940" i="2" s="1"/>
  <c r="K1940" i="2"/>
  <c r="F1940" i="2"/>
  <c r="V1940" i="2" s="1"/>
  <c r="E1940" i="2"/>
  <c r="D1940" i="2"/>
  <c r="AC1939" i="2"/>
  <c r="AB1939" i="2"/>
  <c r="AA1939" i="2"/>
  <c r="U1939" i="2"/>
  <c r="O1939" i="2"/>
  <c r="M1939" i="2" s="1"/>
  <c r="AD1939" i="2" s="1"/>
  <c r="K1939" i="2"/>
  <c r="F1939" i="2"/>
  <c r="V1939" i="2" s="1"/>
  <c r="E1939" i="2"/>
  <c r="D1939" i="2"/>
  <c r="AC1938" i="2"/>
  <c r="AB1938" i="2"/>
  <c r="AA1938" i="2"/>
  <c r="U1938" i="2"/>
  <c r="O1938" i="2"/>
  <c r="M1938" i="2" s="1"/>
  <c r="AD1938" i="2" s="1"/>
  <c r="K1938" i="2"/>
  <c r="F1938" i="2"/>
  <c r="V1938" i="2" s="1"/>
  <c r="E1938" i="2"/>
  <c r="D1938" i="2"/>
  <c r="AC1937" i="2"/>
  <c r="AB1937" i="2"/>
  <c r="AA1937" i="2"/>
  <c r="U1937" i="2"/>
  <c r="O1937" i="2"/>
  <c r="Q1937" i="2" s="1"/>
  <c r="K1937" i="2"/>
  <c r="F1937" i="2"/>
  <c r="V1937" i="2" s="1"/>
  <c r="E1937" i="2"/>
  <c r="D1937" i="2"/>
  <c r="AC1936" i="2"/>
  <c r="AB1936" i="2"/>
  <c r="AA1936" i="2"/>
  <c r="U1936" i="2"/>
  <c r="O1936" i="2"/>
  <c r="Q1936" i="2" s="1"/>
  <c r="K1936" i="2"/>
  <c r="F1936" i="2"/>
  <c r="V1936" i="2" s="1"/>
  <c r="E1936" i="2"/>
  <c r="D1936" i="2"/>
  <c r="AC1935" i="2"/>
  <c r="AB1935" i="2"/>
  <c r="AA1935" i="2"/>
  <c r="U1935" i="2"/>
  <c r="O1935" i="2"/>
  <c r="M1935" i="2" s="1"/>
  <c r="AD1935" i="2" s="1"/>
  <c r="K1935" i="2"/>
  <c r="F1935" i="2"/>
  <c r="V1935" i="2" s="1"/>
  <c r="E1935" i="2"/>
  <c r="D1935" i="2"/>
  <c r="AC1934" i="2"/>
  <c r="AB1934" i="2"/>
  <c r="AA1934" i="2"/>
  <c r="U1934" i="2"/>
  <c r="O1934" i="2"/>
  <c r="M1934" i="2" s="1"/>
  <c r="AD1934" i="2" s="1"/>
  <c r="K1934" i="2"/>
  <c r="F1934" i="2"/>
  <c r="V1934" i="2" s="1"/>
  <c r="E1934" i="2"/>
  <c r="D1934" i="2"/>
  <c r="AC1933" i="2"/>
  <c r="AB1933" i="2"/>
  <c r="AA1933" i="2"/>
  <c r="U1933" i="2"/>
  <c r="O1933" i="2"/>
  <c r="M1933" i="2" s="1"/>
  <c r="AD1933" i="2" s="1"/>
  <c r="K1933" i="2"/>
  <c r="F1933" i="2"/>
  <c r="V1933" i="2" s="1"/>
  <c r="E1933" i="2"/>
  <c r="D1933" i="2"/>
  <c r="AC1932" i="2"/>
  <c r="AB1932" i="2"/>
  <c r="AA1932" i="2"/>
  <c r="U1932" i="2"/>
  <c r="O1932" i="2"/>
  <c r="M1932" i="2" s="1"/>
  <c r="AD1932" i="2" s="1"/>
  <c r="K1932" i="2"/>
  <c r="F1932" i="2"/>
  <c r="V1932" i="2" s="1"/>
  <c r="E1932" i="2"/>
  <c r="D1932" i="2"/>
  <c r="AC1931" i="2"/>
  <c r="AB1931" i="2"/>
  <c r="AA1931" i="2"/>
  <c r="U1931" i="2"/>
  <c r="O1931" i="2"/>
  <c r="M1931" i="2" s="1"/>
  <c r="AD1931" i="2" s="1"/>
  <c r="K1931" i="2"/>
  <c r="F1931" i="2"/>
  <c r="V1931" i="2" s="1"/>
  <c r="E1931" i="2"/>
  <c r="D1931" i="2"/>
  <c r="AC1930" i="2"/>
  <c r="AB1930" i="2"/>
  <c r="AA1930" i="2"/>
  <c r="U1930" i="2"/>
  <c r="O1930" i="2"/>
  <c r="M1930" i="2" s="1"/>
  <c r="AD1930" i="2" s="1"/>
  <c r="K1930" i="2"/>
  <c r="F1930" i="2"/>
  <c r="V1930" i="2" s="1"/>
  <c r="E1930" i="2"/>
  <c r="D1930" i="2"/>
  <c r="AC1929" i="2"/>
  <c r="AB1929" i="2"/>
  <c r="AA1929" i="2"/>
  <c r="U1929" i="2"/>
  <c r="O1929" i="2"/>
  <c r="Q1929" i="2" s="1"/>
  <c r="K1929" i="2"/>
  <c r="F1929" i="2"/>
  <c r="V1929" i="2" s="1"/>
  <c r="E1929" i="2"/>
  <c r="D1929" i="2"/>
  <c r="AC1928" i="2"/>
  <c r="AB1928" i="2"/>
  <c r="AA1928" i="2"/>
  <c r="U1928" i="2"/>
  <c r="O1928" i="2"/>
  <c r="Q1928" i="2" s="1"/>
  <c r="K1928" i="2"/>
  <c r="F1928" i="2"/>
  <c r="V1928" i="2" s="1"/>
  <c r="E1928" i="2"/>
  <c r="D1928" i="2"/>
  <c r="AC1927" i="2"/>
  <c r="AB1927" i="2"/>
  <c r="AA1927" i="2"/>
  <c r="U1927" i="2"/>
  <c r="O1927" i="2"/>
  <c r="Q1927" i="2" s="1"/>
  <c r="K1927" i="2"/>
  <c r="F1927" i="2"/>
  <c r="V1927" i="2" s="1"/>
  <c r="E1927" i="2"/>
  <c r="D1927" i="2"/>
  <c r="AC1926" i="2"/>
  <c r="AB1926" i="2"/>
  <c r="AA1926" i="2"/>
  <c r="U1926" i="2"/>
  <c r="O1926" i="2"/>
  <c r="M1926" i="2" s="1"/>
  <c r="AD1926" i="2" s="1"/>
  <c r="K1926" i="2"/>
  <c r="F1926" i="2"/>
  <c r="V1926" i="2" s="1"/>
  <c r="E1926" i="2"/>
  <c r="D1926" i="2"/>
  <c r="AC1925" i="2"/>
  <c r="AB1925" i="2"/>
  <c r="AA1925" i="2"/>
  <c r="U1925" i="2"/>
  <c r="O1925" i="2"/>
  <c r="M1925" i="2" s="1"/>
  <c r="AD1925" i="2" s="1"/>
  <c r="K1925" i="2"/>
  <c r="F1925" i="2"/>
  <c r="V1925" i="2" s="1"/>
  <c r="E1925" i="2"/>
  <c r="D1925" i="2"/>
  <c r="AC1924" i="2"/>
  <c r="AB1924" i="2"/>
  <c r="AA1924" i="2"/>
  <c r="U1924" i="2"/>
  <c r="O1924" i="2"/>
  <c r="M1924" i="2" s="1"/>
  <c r="AD1924" i="2" s="1"/>
  <c r="K1924" i="2"/>
  <c r="F1924" i="2"/>
  <c r="V1924" i="2" s="1"/>
  <c r="E1924" i="2"/>
  <c r="D1924" i="2"/>
  <c r="AC1923" i="2"/>
  <c r="AB1923" i="2"/>
  <c r="AA1923" i="2"/>
  <c r="U1923" i="2"/>
  <c r="O1923" i="2"/>
  <c r="M1923" i="2" s="1"/>
  <c r="AD1923" i="2" s="1"/>
  <c r="K1923" i="2"/>
  <c r="F1923" i="2"/>
  <c r="V1923" i="2" s="1"/>
  <c r="E1923" i="2"/>
  <c r="D1923" i="2"/>
  <c r="AC1922" i="2"/>
  <c r="AB1922" i="2"/>
  <c r="AA1922" i="2"/>
  <c r="U1922" i="2"/>
  <c r="O1922" i="2"/>
  <c r="M1922" i="2" s="1"/>
  <c r="AD1922" i="2" s="1"/>
  <c r="K1922" i="2"/>
  <c r="F1922" i="2"/>
  <c r="V1922" i="2" s="1"/>
  <c r="E1922" i="2"/>
  <c r="D1922" i="2"/>
  <c r="AC1921" i="2"/>
  <c r="AB1921" i="2"/>
  <c r="AA1921" i="2"/>
  <c r="U1921" i="2"/>
  <c r="O1921" i="2"/>
  <c r="Q1921" i="2" s="1"/>
  <c r="K1921" i="2"/>
  <c r="F1921" i="2"/>
  <c r="V1921" i="2" s="1"/>
  <c r="E1921" i="2"/>
  <c r="D1921" i="2"/>
  <c r="AC1920" i="2"/>
  <c r="AB1920" i="2"/>
  <c r="AA1920" i="2"/>
  <c r="U1920" i="2"/>
  <c r="O1920" i="2"/>
  <c r="Q1920" i="2" s="1"/>
  <c r="K1920" i="2"/>
  <c r="F1920" i="2"/>
  <c r="V1920" i="2" s="1"/>
  <c r="E1920" i="2"/>
  <c r="D1920" i="2"/>
  <c r="AC1919" i="2"/>
  <c r="AB1919" i="2"/>
  <c r="AA1919" i="2"/>
  <c r="U1919" i="2"/>
  <c r="O1919" i="2"/>
  <c r="Q1919" i="2" s="1"/>
  <c r="K1919" i="2"/>
  <c r="F1919" i="2"/>
  <c r="V1919" i="2" s="1"/>
  <c r="E1919" i="2"/>
  <c r="D1919" i="2"/>
  <c r="AC1918" i="2"/>
  <c r="AB1918" i="2"/>
  <c r="AA1918" i="2"/>
  <c r="U1918" i="2"/>
  <c r="O1918" i="2"/>
  <c r="Q1918" i="2" s="1"/>
  <c r="K1918" i="2"/>
  <c r="F1918" i="2"/>
  <c r="V1918" i="2" s="1"/>
  <c r="E1918" i="2"/>
  <c r="D1918" i="2"/>
  <c r="AC1917" i="2"/>
  <c r="AB1917" i="2"/>
  <c r="AA1917" i="2"/>
  <c r="U1917" i="2"/>
  <c r="O1917" i="2"/>
  <c r="Q1917" i="2" s="1"/>
  <c r="K1917" i="2"/>
  <c r="F1917" i="2"/>
  <c r="V1917" i="2" s="1"/>
  <c r="E1917" i="2"/>
  <c r="D1917" i="2"/>
  <c r="AC1916" i="2"/>
  <c r="AB1916" i="2"/>
  <c r="AA1916" i="2"/>
  <c r="U1916" i="2"/>
  <c r="O1916" i="2"/>
  <c r="M1916" i="2" s="1"/>
  <c r="AD1916" i="2" s="1"/>
  <c r="K1916" i="2"/>
  <c r="F1916" i="2"/>
  <c r="V1916" i="2" s="1"/>
  <c r="E1916" i="2"/>
  <c r="D1916" i="2"/>
  <c r="AC1915" i="2"/>
  <c r="AB1915" i="2"/>
  <c r="AA1915" i="2"/>
  <c r="U1915" i="2"/>
  <c r="O1915" i="2"/>
  <c r="M1915" i="2" s="1"/>
  <c r="AD1915" i="2" s="1"/>
  <c r="K1915" i="2"/>
  <c r="F1915" i="2"/>
  <c r="V1915" i="2" s="1"/>
  <c r="E1915" i="2"/>
  <c r="D1915" i="2"/>
  <c r="AC1914" i="2"/>
  <c r="AB1914" i="2"/>
  <c r="AA1914" i="2"/>
  <c r="U1914" i="2"/>
  <c r="O1914" i="2"/>
  <c r="M1914" i="2" s="1"/>
  <c r="AD1914" i="2" s="1"/>
  <c r="K1914" i="2"/>
  <c r="F1914" i="2"/>
  <c r="V1914" i="2" s="1"/>
  <c r="E1914" i="2"/>
  <c r="D1914" i="2"/>
  <c r="AC1913" i="2"/>
  <c r="AB1913" i="2"/>
  <c r="AA1913" i="2"/>
  <c r="U1913" i="2"/>
  <c r="O1913" i="2"/>
  <c r="M1913" i="2" s="1"/>
  <c r="AD1913" i="2" s="1"/>
  <c r="K1913" i="2"/>
  <c r="F1913" i="2"/>
  <c r="V1913" i="2" s="1"/>
  <c r="E1913" i="2"/>
  <c r="D1913" i="2"/>
  <c r="AC1912" i="2"/>
  <c r="AB1912" i="2"/>
  <c r="AA1912" i="2"/>
  <c r="U1912" i="2"/>
  <c r="O1912" i="2"/>
  <c r="Q1912" i="2" s="1"/>
  <c r="K1912" i="2"/>
  <c r="F1912" i="2"/>
  <c r="V1912" i="2" s="1"/>
  <c r="E1912" i="2"/>
  <c r="D1912" i="2"/>
  <c r="AC1911" i="2"/>
  <c r="AB1911" i="2"/>
  <c r="AA1911" i="2"/>
  <c r="U1911" i="2"/>
  <c r="O1911" i="2"/>
  <c r="M1911" i="2" s="1"/>
  <c r="AD1911" i="2" s="1"/>
  <c r="K1911" i="2"/>
  <c r="F1911" i="2"/>
  <c r="V1911" i="2" s="1"/>
  <c r="E1911" i="2"/>
  <c r="D1911" i="2"/>
  <c r="AC1910" i="2"/>
  <c r="AB1910" i="2"/>
  <c r="AA1910" i="2"/>
  <c r="U1910" i="2"/>
  <c r="O1910" i="2"/>
  <c r="Q1910" i="2" s="1"/>
  <c r="K1910" i="2"/>
  <c r="F1910" i="2"/>
  <c r="V1910" i="2" s="1"/>
  <c r="E1910" i="2"/>
  <c r="D1910" i="2"/>
  <c r="AC1909" i="2"/>
  <c r="AB1909" i="2"/>
  <c r="AA1909" i="2"/>
  <c r="U1909" i="2"/>
  <c r="O1909" i="2"/>
  <c r="M1909" i="2" s="1"/>
  <c r="AD1909" i="2" s="1"/>
  <c r="K1909" i="2"/>
  <c r="F1909" i="2"/>
  <c r="V1909" i="2" s="1"/>
  <c r="E1909" i="2"/>
  <c r="D1909" i="2"/>
  <c r="AC1908" i="2"/>
  <c r="AB1908" i="2"/>
  <c r="AA1908" i="2"/>
  <c r="U1908" i="2"/>
  <c r="O1908" i="2"/>
  <c r="Q1908" i="2" s="1"/>
  <c r="K1908" i="2"/>
  <c r="F1908" i="2"/>
  <c r="V1908" i="2" s="1"/>
  <c r="E1908" i="2"/>
  <c r="D1908" i="2"/>
  <c r="AC1907" i="2"/>
  <c r="AB1907" i="2"/>
  <c r="AA1907" i="2"/>
  <c r="U1907" i="2"/>
  <c r="O1907" i="2"/>
  <c r="M1907" i="2" s="1"/>
  <c r="AD1907" i="2" s="1"/>
  <c r="K1907" i="2"/>
  <c r="F1907" i="2"/>
  <c r="V1907" i="2" s="1"/>
  <c r="E1907" i="2"/>
  <c r="D1907" i="2"/>
  <c r="AC1906" i="2"/>
  <c r="AB1906" i="2"/>
  <c r="AA1906" i="2"/>
  <c r="U1906" i="2"/>
  <c r="O1906" i="2"/>
  <c r="Q1906" i="2" s="1"/>
  <c r="K1906" i="2"/>
  <c r="F1906" i="2"/>
  <c r="V1906" i="2" s="1"/>
  <c r="E1906" i="2"/>
  <c r="D1906" i="2"/>
  <c r="AC1905" i="2"/>
  <c r="AB1905" i="2"/>
  <c r="AA1905" i="2"/>
  <c r="U1905" i="2"/>
  <c r="O1905" i="2"/>
  <c r="M1905" i="2" s="1"/>
  <c r="AD1905" i="2" s="1"/>
  <c r="K1905" i="2"/>
  <c r="F1905" i="2"/>
  <c r="V1905" i="2" s="1"/>
  <c r="E1905" i="2"/>
  <c r="D1905" i="2"/>
  <c r="AC1904" i="2"/>
  <c r="AB1904" i="2"/>
  <c r="AA1904" i="2"/>
  <c r="U1904" i="2"/>
  <c r="O1904" i="2"/>
  <c r="Q1904" i="2" s="1"/>
  <c r="K1904" i="2"/>
  <c r="F1904" i="2"/>
  <c r="V1904" i="2" s="1"/>
  <c r="E1904" i="2"/>
  <c r="D1904" i="2"/>
  <c r="AC1903" i="2"/>
  <c r="AB1903" i="2"/>
  <c r="AA1903" i="2"/>
  <c r="U1903" i="2"/>
  <c r="O1903" i="2"/>
  <c r="M1903" i="2" s="1"/>
  <c r="AD1903" i="2" s="1"/>
  <c r="K1903" i="2"/>
  <c r="F1903" i="2"/>
  <c r="V1903" i="2" s="1"/>
  <c r="E1903" i="2"/>
  <c r="D1903" i="2"/>
  <c r="AC1902" i="2"/>
  <c r="AB1902" i="2"/>
  <c r="AA1902" i="2"/>
  <c r="U1902" i="2"/>
  <c r="O1902" i="2"/>
  <c r="Q1902" i="2" s="1"/>
  <c r="K1902" i="2"/>
  <c r="F1902" i="2"/>
  <c r="V1902" i="2" s="1"/>
  <c r="E1902" i="2"/>
  <c r="D1902" i="2"/>
  <c r="AC1901" i="2"/>
  <c r="AB1901" i="2"/>
  <c r="AA1901" i="2"/>
  <c r="U1901" i="2"/>
  <c r="O1901" i="2"/>
  <c r="M1901" i="2" s="1"/>
  <c r="AD1901" i="2" s="1"/>
  <c r="K1901" i="2"/>
  <c r="F1901" i="2"/>
  <c r="V1901" i="2" s="1"/>
  <c r="E1901" i="2"/>
  <c r="D1901" i="2"/>
  <c r="AC1900" i="2"/>
  <c r="AB1900" i="2"/>
  <c r="AA1900" i="2"/>
  <c r="U1900" i="2"/>
  <c r="O1900" i="2"/>
  <c r="Q1900" i="2" s="1"/>
  <c r="K1900" i="2"/>
  <c r="F1900" i="2"/>
  <c r="V1900" i="2" s="1"/>
  <c r="E1900" i="2"/>
  <c r="D1900" i="2"/>
  <c r="AC1899" i="2"/>
  <c r="AB1899" i="2"/>
  <c r="AA1899" i="2"/>
  <c r="U1899" i="2"/>
  <c r="O1899" i="2"/>
  <c r="M1899" i="2" s="1"/>
  <c r="AD1899" i="2" s="1"/>
  <c r="K1899" i="2"/>
  <c r="F1899" i="2"/>
  <c r="V1899" i="2" s="1"/>
  <c r="E1899" i="2"/>
  <c r="D1899" i="2"/>
  <c r="AC1898" i="2"/>
  <c r="AB1898" i="2"/>
  <c r="AA1898" i="2"/>
  <c r="U1898" i="2"/>
  <c r="O1898" i="2"/>
  <c r="Q1898" i="2" s="1"/>
  <c r="K1898" i="2"/>
  <c r="F1898" i="2"/>
  <c r="V1898" i="2" s="1"/>
  <c r="E1898" i="2"/>
  <c r="D1898" i="2"/>
  <c r="AC1897" i="2"/>
  <c r="AB1897" i="2"/>
  <c r="AA1897" i="2"/>
  <c r="U1897" i="2"/>
  <c r="O1897" i="2"/>
  <c r="M1897" i="2" s="1"/>
  <c r="AD1897" i="2" s="1"/>
  <c r="K1897" i="2"/>
  <c r="F1897" i="2"/>
  <c r="V1897" i="2" s="1"/>
  <c r="E1897" i="2"/>
  <c r="D1897" i="2"/>
  <c r="AC1896" i="2"/>
  <c r="AB1896" i="2"/>
  <c r="AA1896" i="2"/>
  <c r="U1896" i="2"/>
  <c r="O1896" i="2"/>
  <c r="Q1896" i="2" s="1"/>
  <c r="K1896" i="2"/>
  <c r="F1896" i="2"/>
  <c r="V1896" i="2" s="1"/>
  <c r="E1896" i="2"/>
  <c r="D1896" i="2"/>
  <c r="AC1895" i="2"/>
  <c r="AB1895" i="2"/>
  <c r="AA1895" i="2"/>
  <c r="U1895" i="2"/>
  <c r="O1895" i="2"/>
  <c r="M1895" i="2" s="1"/>
  <c r="AD1895" i="2" s="1"/>
  <c r="K1895" i="2"/>
  <c r="F1895" i="2"/>
  <c r="V1895" i="2" s="1"/>
  <c r="E1895" i="2"/>
  <c r="D1895" i="2"/>
  <c r="AC1894" i="2"/>
  <c r="AB1894" i="2"/>
  <c r="AA1894" i="2"/>
  <c r="U1894" i="2"/>
  <c r="O1894" i="2"/>
  <c r="Q1894" i="2" s="1"/>
  <c r="K1894" i="2"/>
  <c r="F1894" i="2"/>
  <c r="V1894" i="2" s="1"/>
  <c r="E1894" i="2"/>
  <c r="D1894" i="2"/>
  <c r="AC1893" i="2"/>
  <c r="AB1893" i="2"/>
  <c r="AA1893" i="2"/>
  <c r="U1893" i="2"/>
  <c r="O1893" i="2"/>
  <c r="M1893" i="2" s="1"/>
  <c r="AD1893" i="2" s="1"/>
  <c r="K1893" i="2"/>
  <c r="F1893" i="2"/>
  <c r="V1893" i="2" s="1"/>
  <c r="E1893" i="2"/>
  <c r="D1893" i="2"/>
  <c r="AC1892" i="2"/>
  <c r="AB1892" i="2"/>
  <c r="AA1892" i="2"/>
  <c r="U1892" i="2"/>
  <c r="O1892" i="2"/>
  <c r="Q1892" i="2" s="1"/>
  <c r="K1892" i="2"/>
  <c r="F1892" i="2"/>
  <c r="V1892" i="2" s="1"/>
  <c r="E1892" i="2"/>
  <c r="D1892" i="2"/>
  <c r="AC1891" i="2"/>
  <c r="AB1891" i="2"/>
  <c r="AA1891" i="2"/>
  <c r="U1891" i="2"/>
  <c r="O1891" i="2"/>
  <c r="M1891" i="2" s="1"/>
  <c r="AD1891" i="2" s="1"/>
  <c r="K1891" i="2"/>
  <c r="F1891" i="2"/>
  <c r="V1891" i="2" s="1"/>
  <c r="E1891" i="2"/>
  <c r="D1891" i="2"/>
  <c r="AC1890" i="2"/>
  <c r="AB1890" i="2"/>
  <c r="AA1890" i="2"/>
  <c r="U1890" i="2"/>
  <c r="O1890" i="2"/>
  <c r="Q1890" i="2" s="1"/>
  <c r="K1890" i="2"/>
  <c r="F1890" i="2"/>
  <c r="V1890" i="2" s="1"/>
  <c r="E1890" i="2"/>
  <c r="D1890" i="2"/>
  <c r="AC1889" i="2"/>
  <c r="AB1889" i="2"/>
  <c r="AA1889" i="2"/>
  <c r="U1889" i="2"/>
  <c r="O1889" i="2"/>
  <c r="M1889" i="2" s="1"/>
  <c r="AD1889" i="2" s="1"/>
  <c r="K1889" i="2"/>
  <c r="F1889" i="2"/>
  <c r="V1889" i="2" s="1"/>
  <c r="E1889" i="2"/>
  <c r="D1889" i="2"/>
  <c r="AC1888" i="2"/>
  <c r="AB1888" i="2"/>
  <c r="AA1888" i="2"/>
  <c r="U1888" i="2"/>
  <c r="O1888" i="2"/>
  <c r="Q1888" i="2" s="1"/>
  <c r="K1888" i="2"/>
  <c r="F1888" i="2"/>
  <c r="V1888" i="2" s="1"/>
  <c r="E1888" i="2"/>
  <c r="D1888" i="2"/>
  <c r="AC1887" i="2"/>
  <c r="AB1887" i="2"/>
  <c r="AA1887" i="2"/>
  <c r="U1887" i="2"/>
  <c r="O1887" i="2"/>
  <c r="M1887" i="2" s="1"/>
  <c r="AD1887" i="2" s="1"/>
  <c r="K1887" i="2"/>
  <c r="F1887" i="2"/>
  <c r="V1887" i="2" s="1"/>
  <c r="E1887" i="2"/>
  <c r="D1887" i="2"/>
  <c r="AC1886" i="2"/>
  <c r="AB1886" i="2"/>
  <c r="AA1886" i="2"/>
  <c r="U1886" i="2"/>
  <c r="O1886" i="2"/>
  <c r="Q1886" i="2" s="1"/>
  <c r="K1886" i="2"/>
  <c r="F1886" i="2"/>
  <c r="V1886" i="2" s="1"/>
  <c r="E1886" i="2"/>
  <c r="D1886" i="2"/>
  <c r="AC1885" i="2"/>
  <c r="AB1885" i="2"/>
  <c r="AA1885" i="2"/>
  <c r="U1885" i="2"/>
  <c r="O1885" i="2"/>
  <c r="M1885" i="2" s="1"/>
  <c r="AD1885" i="2" s="1"/>
  <c r="K1885" i="2"/>
  <c r="F1885" i="2"/>
  <c r="V1885" i="2" s="1"/>
  <c r="E1885" i="2"/>
  <c r="D1885" i="2"/>
  <c r="AC1884" i="2"/>
  <c r="AB1884" i="2"/>
  <c r="AA1884" i="2"/>
  <c r="U1884" i="2"/>
  <c r="O1884" i="2"/>
  <c r="Q1884" i="2" s="1"/>
  <c r="K1884" i="2"/>
  <c r="F1884" i="2"/>
  <c r="V1884" i="2" s="1"/>
  <c r="E1884" i="2"/>
  <c r="D1884" i="2"/>
  <c r="AC1883" i="2"/>
  <c r="AB1883" i="2"/>
  <c r="AA1883" i="2"/>
  <c r="U1883" i="2"/>
  <c r="O1883" i="2"/>
  <c r="M1883" i="2" s="1"/>
  <c r="AD1883" i="2" s="1"/>
  <c r="K1883" i="2"/>
  <c r="F1883" i="2"/>
  <c r="V1883" i="2" s="1"/>
  <c r="E1883" i="2"/>
  <c r="D1883" i="2"/>
  <c r="AC1882" i="2"/>
  <c r="AB1882" i="2"/>
  <c r="AA1882" i="2"/>
  <c r="U1882" i="2"/>
  <c r="O1882" i="2"/>
  <c r="Q1882" i="2" s="1"/>
  <c r="K1882" i="2"/>
  <c r="F1882" i="2"/>
  <c r="V1882" i="2" s="1"/>
  <c r="E1882" i="2"/>
  <c r="D1882" i="2"/>
  <c r="AC1881" i="2"/>
  <c r="AB1881" i="2"/>
  <c r="AA1881" i="2"/>
  <c r="U1881" i="2"/>
  <c r="O1881" i="2"/>
  <c r="M1881" i="2" s="1"/>
  <c r="AD1881" i="2" s="1"/>
  <c r="K1881" i="2"/>
  <c r="F1881" i="2"/>
  <c r="V1881" i="2" s="1"/>
  <c r="E1881" i="2"/>
  <c r="D1881" i="2"/>
  <c r="AC1880" i="2"/>
  <c r="AB1880" i="2"/>
  <c r="AA1880" i="2"/>
  <c r="U1880" i="2"/>
  <c r="O1880" i="2"/>
  <c r="Q1880" i="2" s="1"/>
  <c r="K1880" i="2"/>
  <c r="F1880" i="2"/>
  <c r="V1880" i="2" s="1"/>
  <c r="E1880" i="2"/>
  <c r="D1880" i="2"/>
  <c r="AC1879" i="2"/>
  <c r="AB1879" i="2"/>
  <c r="AA1879" i="2"/>
  <c r="U1879" i="2"/>
  <c r="O1879" i="2"/>
  <c r="M1879" i="2" s="1"/>
  <c r="AD1879" i="2" s="1"/>
  <c r="K1879" i="2"/>
  <c r="F1879" i="2"/>
  <c r="V1879" i="2" s="1"/>
  <c r="E1879" i="2"/>
  <c r="D1879" i="2"/>
  <c r="AC1878" i="2"/>
  <c r="AB1878" i="2"/>
  <c r="AA1878" i="2"/>
  <c r="U1878" i="2"/>
  <c r="O1878" i="2"/>
  <c r="Q1878" i="2" s="1"/>
  <c r="K1878" i="2"/>
  <c r="F1878" i="2"/>
  <c r="V1878" i="2" s="1"/>
  <c r="E1878" i="2"/>
  <c r="D1878" i="2"/>
  <c r="AC1877" i="2"/>
  <c r="AB1877" i="2"/>
  <c r="AA1877" i="2"/>
  <c r="U1877" i="2"/>
  <c r="O1877" i="2"/>
  <c r="M1877" i="2" s="1"/>
  <c r="AD1877" i="2" s="1"/>
  <c r="K1877" i="2"/>
  <c r="F1877" i="2"/>
  <c r="V1877" i="2" s="1"/>
  <c r="E1877" i="2"/>
  <c r="D1877" i="2"/>
  <c r="AC1876" i="2"/>
  <c r="AB1876" i="2"/>
  <c r="AA1876" i="2"/>
  <c r="U1876" i="2"/>
  <c r="O1876" i="2"/>
  <c r="Q1876" i="2" s="1"/>
  <c r="K1876" i="2"/>
  <c r="F1876" i="2"/>
  <c r="V1876" i="2" s="1"/>
  <c r="E1876" i="2"/>
  <c r="D1876" i="2"/>
  <c r="AC1875" i="2"/>
  <c r="AB1875" i="2"/>
  <c r="AA1875" i="2"/>
  <c r="U1875" i="2"/>
  <c r="O1875" i="2"/>
  <c r="M1875" i="2" s="1"/>
  <c r="AD1875" i="2" s="1"/>
  <c r="K1875" i="2"/>
  <c r="F1875" i="2"/>
  <c r="V1875" i="2" s="1"/>
  <c r="E1875" i="2"/>
  <c r="D1875" i="2"/>
  <c r="AC1874" i="2"/>
  <c r="AB1874" i="2"/>
  <c r="AA1874" i="2"/>
  <c r="U1874" i="2"/>
  <c r="O1874" i="2"/>
  <c r="Q1874" i="2" s="1"/>
  <c r="K1874" i="2"/>
  <c r="F1874" i="2"/>
  <c r="V1874" i="2" s="1"/>
  <c r="E1874" i="2"/>
  <c r="D1874" i="2"/>
  <c r="AC1873" i="2"/>
  <c r="AB1873" i="2"/>
  <c r="AA1873" i="2"/>
  <c r="U1873" i="2"/>
  <c r="O1873" i="2"/>
  <c r="M1873" i="2" s="1"/>
  <c r="AD1873" i="2" s="1"/>
  <c r="K1873" i="2"/>
  <c r="F1873" i="2"/>
  <c r="V1873" i="2" s="1"/>
  <c r="E1873" i="2"/>
  <c r="D1873" i="2"/>
  <c r="AC1872" i="2"/>
  <c r="AB1872" i="2"/>
  <c r="AA1872" i="2"/>
  <c r="U1872" i="2"/>
  <c r="O1872" i="2"/>
  <c r="Q1872" i="2" s="1"/>
  <c r="K1872" i="2"/>
  <c r="F1872" i="2"/>
  <c r="V1872" i="2" s="1"/>
  <c r="E1872" i="2"/>
  <c r="D1872" i="2"/>
  <c r="AC1871" i="2"/>
  <c r="AB1871" i="2"/>
  <c r="AA1871" i="2"/>
  <c r="U1871" i="2"/>
  <c r="O1871" i="2"/>
  <c r="M1871" i="2" s="1"/>
  <c r="AD1871" i="2" s="1"/>
  <c r="K1871" i="2"/>
  <c r="F1871" i="2"/>
  <c r="V1871" i="2" s="1"/>
  <c r="E1871" i="2"/>
  <c r="D1871" i="2"/>
  <c r="AC1870" i="2"/>
  <c r="AB1870" i="2"/>
  <c r="AA1870" i="2"/>
  <c r="U1870" i="2"/>
  <c r="O1870" i="2"/>
  <c r="Q1870" i="2" s="1"/>
  <c r="K1870" i="2"/>
  <c r="F1870" i="2"/>
  <c r="V1870" i="2" s="1"/>
  <c r="E1870" i="2"/>
  <c r="D1870" i="2"/>
  <c r="AC1869" i="2"/>
  <c r="AB1869" i="2"/>
  <c r="AA1869" i="2"/>
  <c r="U1869" i="2"/>
  <c r="O1869" i="2"/>
  <c r="M1869" i="2" s="1"/>
  <c r="AD1869" i="2" s="1"/>
  <c r="K1869" i="2"/>
  <c r="F1869" i="2"/>
  <c r="V1869" i="2" s="1"/>
  <c r="E1869" i="2"/>
  <c r="D1869" i="2"/>
  <c r="AC1868" i="2"/>
  <c r="AB1868" i="2"/>
  <c r="AA1868" i="2"/>
  <c r="U1868" i="2"/>
  <c r="O1868" i="2"/>
  <c r="Q1868" i="2" s="1"/>
  <c r="K1868" i="2"/>
  <c r="F1868" i="2"/>
  <c r="V1868" i="2" s="1"/>
  <c r="E1868" i="2"/>
  <c r="D1868" i="2"/>
  <c r="AC1867" i="2"/>
  <c r="AB1867" i="2"/>
  <c r="AA1867" i="2"/>
  <c r="U1867" i="2"/>
  <c r="O1867" i="2"/>
  <c r="M1867" i="2" s="1"/>
  <c r="AD1867" i="2" s="1"/>
  <c r="K1867" i="2"/>
  <c r="F1867" i="2"/>
  <c r="V1867" i="2" s="1"/>
  <c r="E1867" i="2"/>
  <c r="D1867" i="2"/>
  <c r="AC1866" i="2"/>
  <c r="AB1866" i="2"/>
  <c r="AA1866" i="2"/>
  <c r="U1866" i="2"/>
  <c r="O1866" i="2"/>
  <c r="Q1866" i="2" s="1"/>
  <c r="K1866" i="2"/>
  <c r="F1866" i="2"/>
  <c r="V1866" i="2" s="1"/>
  <c r="E1866" i="2"/>
  <c r="D1866" i="2"/>
  <c r="AC1865" i="2"/>
  <c r="AB1865" i="2"/>
  <c r="AA1865" i="2"/>
  <c r="U1865" i="2"/>
  <c r="O1865" i="2"/>
  <c r="M1865" i="2" s="1"/>
  <c r="AD1865" i="2" s="1"/>
  <c r="K1865" i="2"/>
  <c r="F1865" i="2"/>
  <c r="V1865" i="2" s="1"/>
  <c r="E1865" i="2"/>
  <c r="D1865" i="2"/>
  <c r="AC1864" i="2"/>
  <c r="AB1864" i="2"/>
  <c r="AA1864" i="2"/>
  <c r="U1864" i="2"/>
  <c r="O1864" i="2"/>
  <c r="Q1864" i="2" s="1"/>
  <c r="K1864" i="2"/>
  <c r="F1864" i="2"/>
  <c r="V1864" i="2" s="1"/>
  <c r="E1864" i="2"/>
  <c r="D1864" i="2"/>
  <c r="AC1863" i="2"/>
  <c r="AB1863" i="2"/>
  <c r="AA1863" i="2"/>
  <c r="U1863" i="2"/>
  <c r="O1863" i="2"/>
  <c r="M1863" i="2" s="1"/>
  <c r="AD1863" i="2" s="1"/>
  <c r="K1863" i="2"/>
  <c r="F1863" i="2"/>
  <c r="V1863" i="2" s="1"/>
  <c r="E1863" i="2"/>
  <c r="D1863" i="2"/>
  <c r="AC1862" i="2"/>
  <c r="AB1862" i="2"/>
  <c r="AA1862" i="2"/>
  <c r="U1862" i="2"/>
  <c r="O1862" i="2"/>
  <c r="Q1862" i="2" s="1"/>
  <c r="K1862" i="2"/>
  <c r="F1862" i="2"/>
  <c r="V1862" i="2" s="1"/>
  <c r="E1862" i="2"/>
  <c r="D1862" i="2"/>
  <c r="AC1861" i="2"/>
  <c r="AB1861" i="2"/>
  <c r="AA1861" i="2"/>
  <c r="U1861" i="2"/>
  <c r="O1861" i="2"/>
  <c r="M1861" i="2" s="1"/>
  <c r="AD1861" i="2" s="1"/>
  <c r="K1861" i="2"/>
  <c r="F1861" i="2"/>
  <c r="V1861" i="2" s="1"/>
  <c r="E1861" i="2"/>
  <c r="D1861" i="2"/>
  <c r="AC1860" i="2"/>
  <c r="AB1860" i="2"/>
  <c r="AA1860" i="2"/>
  <c r="U1860" i="2"/>
  <c r="O1860" i="2"/>
  <c r="Q1860" i="2" s="1"/>
  <c r="K1860" i="2"/>
  <c r="F1860" i="2"/>
  <c r="V1860" i="2" s="1"/>
  <c r="E1860" i="2"/>
  <c r="D1860" i="2"/>
  <c r="AC1859" i="2"/>
  <c r="AB1859" i="2"/>
  <c r="AA1859" i="2"/>
  <c r="U1859" i="2"/>
  <c r="O1859" i="2"/>
  <c r="M1859" i="2" s="1"/>
  <c r="AD1859" i="2" s="1"/>
  <c r="K1859" i="2"/>
  <c r="F1859" i="2"/>
  <c r="V1859" i="2" s="1"/>
  <c r="E1859" i="2"/>
  <c r="D1859" i="2"/>
  <c r="AC1858" i="2"/>
  <c r="AB1858" i="2"/>
  <c r="AA1858" i="2"/>
  <c r="U1858" i="2"/>
  <c r="O1858" i="2"/>
  <c r="Q1858" i="2" s="1"/>
  <c r="K1858" i="2"/>
  <c r="F1858" i="2"/>
  <c r="V1858" i="2" s="1"/>
  <c r="E1858" i="2"/>
  <c r="D1858" i="2"/>
  <c r="AC1857" i="2"/>
  <c r="AB1857" i="2"/>
  <c r="AA1857" i="2"/>
  <c r="U1857" i="2"/>
  <c r="O1857" i="2"/>
  <c r="M1857" i="2" s="1"/>
  <c r="AD1857" i="2" s="1"/>
  <c r="K1857" i="2"/>
  <c r="F1857" i="2"/>
  <c r="V1857" i="2" s="1"/>
  <c r="E1857" i="2"/>
  <c r="D1857" i="2"/>
  <c r="AC1856" i="2"/>
  <c r="AB1856" i="2"/>
  <c r="AA1856" i="2"/>
  <c r="U1856" i="2"/>
  <c r="O1856" i="2"/>
  <c r="Q1856" i="2" s="1"/>
  <c r="K1856" i="2"/>
  <c r="F1856" i="2"/>
  <c r="V1856" i="2" s="1"/>
  <c r="E1856" i="2"/>
  <c r="D1856" i="2"/>
  <c r="AC1855" i="2"/>
  <c r="AB1855" i="2"/>
  <c r="AA1855" i="2"/>
  <c r="U1855" i="2"/>
  <c r="O1855" i="2"/>
  <c r="M1855" i="2" s="1"/>
  <c r="AD1855" i="2" s="1"/>
  <c r="K1855" i="2"/>
  <c r="F1855" i="2"/>
  <c r="V1855" i="2" s="1"/>
  <c r="E1855" i="2"/>
  <c r="D1855" i="2"/>
  <c r="AC1854" i="2"/>
  <c r="AB1854" i="2"/>
  <c r="AA1854" i="2"/>
  <c r="U1854" i="2"/>
  <c r="O1854" i="2"/>
  <c r="Q1854" i="2" s="1"/>
  <c r="K1854" i="2"/>
  <c r="F1854" i="2"/>
  <c r="V1854" i="2" s="1"/>
  <c r="E1854" i="2"/>
  <c r="D1854" i="2"/>
  <c r="AC1853" i="2"/>
  <c r="AB1853" i="2"/>
  <c r="AA1853" i="2"/>
  <c r="U1853" i="2"/>
  <c r="O1853" i="2"/>
  <c r="M1853" i="2" s="1"/>
  <c r="AD1853" i="2" s="1"/>
  <c r="K1853" i="2"/>
  <c r="F1853" i="2"/>
  <c r="V1853" i="2" s="1"/>
  <c r="E1853" i="2"/>
  <c r="D1853" i="2"/>
  <c r="AC1852" i="2"/>
  <c r="AB1852" i="2"/>
  <c r="AA1852" i="2"/>
  <c r="U1852" i="2"/>
  <c r="O1852" i="2"/>
  <c r="Q1852" i="2" s="1"/>
  <c r="K1852" i="2"/>
  <c r="F1852" i="2"/>
  <c r="V1852" i="2" s="1"/>
  <c r="E1852" i="2"/>
  <c r="D1852" i="2"/>
  <c r="AC1851" i="2"/>
  <c r="AB1851" i="2"/>
  <c r="AA1851" i="2"/>
  <c r="U1851" i="2"/>
  <c r="O1851" i="2"/>
  <c r="M1851" i="2" s="1"/>
  <c r="AD1851" i="2" s="1"/>
  <c r="K1851" i="2"/>
  <c r="F1851" i="2"/>
  <c r="V1851" i="2" s="1"/>
  <c r="E1851" i="2"/>
  <c r="D1851" i="2"/>
  <c r="AC1850" i="2"/>
  <c r="AB1850" i="2"/>
  <c r="AA1850" i="2"/>
  <c r="U1850" i="2"/>
  <c r="O1850" i="2"/>
  <c r="Q1850" i="2" s="1"/>
  <c r="K1850" i="2"/>
  <c r="F1850" i="2"/>
  <c r="V1850" i="2" s="1"/>
  <c r="E1850" i="2"/>
  <c r="D1850" i="2"/>
  <c r="AC1849" i="2"/>
  <c r="AB1849" i="2"/>
  <c r="AA1849" i="2"/>
  <c r="U1849" i="2"/>
  <c r="O1849" i="2"/>
  <c r="M1849" i="2" s="1"/>
  <c r="AD1849" i="2" s="1"/>
  <c r="K1849" i="2"/>
  <c r="F1849" i="2"/>
  <c r="V1849" i="2" s="1"/>
  <c r="E1849" i="2"/>
  <c r="D1849" i="2"/>
  <c r="AC1848" i="2"/>
  <c r="AB1848" i="2"/>
  <c r="AA1848" i="2"/>
  <c r="U1848" i="2"/>
  <c r="O1848" i="2"/>
  <c r="Q1848" i="2" s="1"/>
  <c r="K1848" i="2"/>
  <c r="F1848" i="2"/>
  <c r="V1848" i="2" s="1"/>
  <c r="E1848" i="2"/>
  <c r="D1848" i="2"/>
  <c r="AC1847" i="2"/>
  <c r="AB1847" i="2"/>
  <c r="AA1847" i="2"/>
  <c r="U1847" i="2"/>
  <c r="O1847" i="2"/>
  <c r="M1847" i="2" s="1"/>
  <c r="AD1847" i="2" s="1"/>
  <c r="K1847" i="2"/>
  <c r="F1847" i="2"/>
  <c r="V1847" i="2" s="1"/>
  <c r="E1847" i="2"/>
  <c r="D1847" i="2"/>
  <c r="AC1846" i="2"/>
  <c r="AB1846" i="2"/>
  <c r="AA1846" i="2"/>
  <c r="U1846" i="2"/>
  <c r="O1846" i="2"/>
  <c r="Q1846" i="2" s="1"/>
  <c r="K1846" i="2"/>
  <c r="F1846" i="2"/>
  <c r="V1846" i="2" s="1"/>
  <c r="E1846" i="2"/>
  <c r="D1846" i="2"/>
  <c r="AC1845" i="2"/>
  <c r="AB1845" i="2"/>
  <c r="AA1845" i="2"/>
  <c r="U1845" i="2"/>
  <c r="O1845" i="2"/>
  <c r="M1845" i="2" s="1"/>
  <c r="AD1845" i="2" s="1"/>
  <c r="K1845" i="2"/>
  <c r="F1845" i="2"/>
  <c r="V1845" i="2" s="1"/>
  <c r="E1845" i="2"/>
  <c r="D1845" i="2"/>
  <c r="AC1844" i="2"/>
  <c r="AB1844" i="2"/>
  <c r="AA1844" i="2"/>
  <c r="U1844" i="2"/>
  <c r="O1844" i="2"/>
  <c r="Q1844" i="2" s="1"/>
  <c r="K1844" i="2"/>
  <c r="F1844" i="2"/>
  <c r="V1844" i="2" s="1"/>
  <c r="E1844" i="2"/>
  <c r="D1844" i="2"/>
  <c r="AC1843" i="2"/>
  <c r="AB1843" i="2"/>
  <c r="AA1843" i="2"/>
  <c r="U1843" i="2"/>
  <c r="O1843" i="2"/>
  <c r="M1843" i="2" s="1"/>
  <c r="AD1843" i="2" s="1"/>
  <c r="K1843" i="2"/>
  <c r="F1843" i="2"/>
  <c r="V1843" i="2" s="1"/>
  <c r="E1843" i="2"/>
  <c r="D1843" i="2"/>
  <c r="AC1842" i="2"/>
  <c r="AB1842" i="2"/>
  <c r="AA1842" i="2"/>
  <c r="U1842" i="2"/>
  <c r="O1842" i="2"/>
  <c r="Q1842" i="2" s="1"/>
  <c r="K1842" i="2"/>
  <c r="F1842" i="2"/>
  <c r="V1842" i="2" s="1"/>
  <c r="E1842" i="2"/>
  <c r="D1842" i="2"/>
  <c r="AC1841" i="2"/>
  <c r="AB1841" i="2"/>
  <c r="AA1841" i="2"/>
  <c r="U1841" i="2"/>
  <c r="O1841" i="2"/>
  <c r="M1841" i="2" s="1"/>
  <c r="AD1841" i="2" s="1"/>
  <c r="K1841" i="2"/>
  <c r="F1841" i="2"/>
  <c r="V1841" i="2" s="1"/>
  <c r="E1841" i="2"/>
  <c r="D1841" i="2"/>
  <c r="AC1840" i="2"/>
  <c r="AB1840" i="2"/>
  <c r="AA1840" i="2"/>
  <c r="U1840" i="2"/>
  <c r="O1840" i="2"/>
  <c r="Q1840" i="2" s="1"/>
  <c r="K1840" i="2"/>
  <c r="F1840" i="2"/>
  <c r="V1840" i="2" s="1"/>
  <c r="E1840" i="2"/>
  <c r="D1840" i="2"/>
  <c r="AC1839" i="2"/>
  <c r="AB1839" i="2"/>
  <c r="AA1839" i="2"/>
  <c r="U1839" i="2"/>
  <c r="O1839" i="2"/>
  <c r="M1839" i="2" s="1"/>
  <c r="AD1839" i="2" s="1"/>
  <c r="K1839" i="2"/>
  <c r="F1839" i="2"/>
  <c r="V1839" i="2" s="1"/>
  <c r="E1839" i="2"/>
  <c r="D1839" i="2"/>
  <c r="AC1838" i="2"/>
  <c r="AB1838" i="2"/>
  <c r="AA1838" i="2"/>
  <c r="U1838" i="2"/>
  <c r="O1838" i="2"/>
  <c r="Q1838" i="2" s="1"/>
  <c r="K1838" i="2"/>
  <c r="F1838" i="2"/>
  <c r="V1838" i="2" s="1"/>
  <c r="E1838" i="2"/>
  <c r="D1838" i="2"/>
  <c r="AC1837" i="2"/>
  <c r="AB1837" i="2"/>
  <c r="AA1837" i="2"/>
  <c r="U1837" i="2"/>
  <c r="O1837" i="2"/>
  <c r="K1837" i="2"/>
  <c r="F1837" i="2"/>
  <c r="V1837" i="2" s="1"/>
  <c r="E1837" i="2"/>
  <c r="D1837" i="2"/>
  <c r="AC1836" i="2"/>
  <c r="AB1836" i="2"/>
  <c r="AA1836" i="2"/>
  <c r="U1836" i="2"/>
  <c r="O1836" i="2"/>
  <c r="Q1836" i="2" s="1"/>
  <c r="K1836" i="2"/>
  <c r="F1836" i="2"/>
  <c r="V1836" i="2" s="1"/>
  <c r="E1836" i="2"/>
  <c r="D1836" i="2"/>
  <c r="AC1835" i="2"/>
  <c r="AB1835" i="2"/>
  <c r="AA1835" i="2"/>
  <c r="U1835" i="2"/>
  <c r="O1835" i="2"/>
  <c r="M1835" i="2" s="1"/>
  <c r="AD1835" i="2" s="1"/>
  <c r="K1835" i="2"/>
  <c r="F1835" i="2"/>
  <c r="V1835" i="2" s="1"/>
  <c r="E1835" i="2"/>
  <c r="D1835" i="2"/>
  <c r="AC1834" i="2"/>
  <c r="AB1834" i="2"/>
  <c r="AA1834" i="2"/>
  <c r="U1834" i="2"/>
  <c r="O1834" i="2"/>
  <c r="Q1834" i="2" s="1"/>
  <c r="K1834" i="2"/>
  <c r="F1834" i="2"/>
  <c r="V1834" i="2" s="1"/>
  <c r="E1834" i="2"/>
  <c r="D1834" i="2"/>
  <c r="AC1833" i="2"/>
  <c r="AB1833" i="2"/>
  <c r="AA1833" i="2"/>
  <c r="U1833" i="2"/>
  <c r="O1833" i="2"/>
  <c r="M1833" i="2" s="1"/>
  <c r="AD1833" i="2" s="1"/>
  <c r="K1833" i="2"/>
  <c r="F1833" i="2"/>
  <c r="V1833" i="2" s="1"/>
  <c r="E1833" i="2"/>
  <c r="D1833" i="2"/>
  <c r="AC1832" i="2"/>
  <c r="AB1832" i="2"/>
  <c r="AA1832" i="2"/>
  <c r="U1832" i="2"/>
  <c r="O1832" i="2"/>
  <c r="K1832" i="2"/>
  <c r="F1832" i="2"/>
  <c r="V1832" i="2" s="1"/>
  <c r="E1832" i="2"/>
  <c r="D1832" i="2"/>
  <c r="AC1831" i="2"/>
  <c r="AB1831" i="2"/>
  <c r="AA1831" i="2"/>
  <c r="U1831" i="2"/>
  <c r="O1831" i="2"/>
  <c r="M1831" i="2" s="1"/>
  <c r="AD1831" i="2" s="1"/>
  <c r="K1831" i="2"/>
  <c r="F1831" i="2"/>
  <c r="V1831" i="2" s="1"/>
  <c r="E1831" i="2"/>
  <c r="D1831" i="2"/>
  <c r="AC1830" i="2"/>
  <c r="AB1830" i="2"/>
  <c r="AA1830" i="2"/>
  <c r="U1830" i="2"/>
  <c r="O1830" i="2"/>
  <c r="Q1830" i="2" s="1"/>
  <c r="K1830" i="2"/>
  <c r="F1830" i="2"/>
  <c r="V1830" i="2" s="1"/>
  <c r="E1830" i="2"/>
  <c r="D1830" i="2"/>
  <c r="AC1829" i="2"/>
  <c r="AB1829" i="2"/>
  <c r="AA1829" i="2"/>
  <c r="U1829" i="2"/>
  <c r="O1829" i="2"/>
  <c r="Q1829" i="2" s="1"/>
  <c r="K1829" i="2"/>
  <c r="F1829" i="2"/>
  <c r="V1829" i="2" s="1"/>
  <c r="E1829" i="2"/>
  <c r="D1829" i="2"/>
  <c r="AC1828" i="2"/>
  <c r="AB1828" i="2"/>
  <c r="AA1828" i="2"/>
  <c r="U1828" i="2"/>
  <c r="O1828" i="2"/>
  <c r="Q1828" i="2" s="1"/>
  <c r="K1828" i="2"/>
  <c r="F1828" i="2"/>
  <c r="V1828" i="2" s="1"/>
  <c r="E1828" i="2"/>
  <c r="D1828" i="2"/>
  <c r="AC1827" i="2"/>
  <c r="AB1827" i="2"/>
  <c r="AA1827" i="2"/>
  <c r="U1827" i="2"/>
  <c r="O1827" i="2"/>
  <c r="M1827" i="2" s="1"/>
  <c r="AD1827" i="2" s="1"/>
  <c r="K1827" i="2"/>
  <c r="F1827" i="2"/>
  <c r="V1827" i="2" s="1"/>
  <c r="E1827" i="2"/>
  <c r="D1827" i="2"/>
  <c r="AC1826" i="2"/>
  <c r="AB1826" i="2"/>
  <c r="AA1826" i="2"/>
  <c r="U1826" i="2"/>
  <c r="O1826" i="2"/>
  <c r="M1826" i="2" s="1"/>
  <c r="AD1826" i="2" s="1"/>
  <c r="K1826" i="2"/>
  <c r="F1826" i="2"/>
  <c r="V1826" i="2" s="1"/>
  <c r="E1826" i="2"/>
  <c r="D1826" i="2"/>
  <c r="AC1825" i="2"/>
  <c r="AB1825" i="2"/>
  <c r="AA1825" i="2"/>
  <c r="U1825" i="2"/>
  <c r="O1825" i="2"/>
  <c r="M1825" i="2" s="1"/>
  <c r="AD1825" i="2" s="1"/>
  <c r="K1825" i="2"/>
  <c r="F1825" i="2"/>
  <c r="V1825" i="2" s="1"/>
  <c r="E1825" i="2"/>
  <c r="D1825" i="2"/>
  <c r="AC1824" i="2"/>
  <c r="AB1824" i="2"/>
  <c r="AA1824" i="2"/>
  <c r="U1824" i="2"/>
  <c r="O1824" i="2"/>
  <c r="M1824" i="2" s="1"/>
  <c r="AD1824" i="2" s="1"/>
  <c r="K1824" i="2"/>
  <c r="F1824" i="2"/>
  <c r="V1824" i="2" s="1"/>
  <c r="E1824" i="2"/>
  <c r="D1824" i="2"/>
  <c r="AC1823" i="2"/>
  <c r="AB1823" i="2"/>
  <c r="AA1823" i="2"/>
  <c r="U1823" i="2"/>
  <c r="O1823" i="2"/>
  <c r="K1823" i="2"/>
  <c r="F1823" i="2"/>
  <c r="V1823" i="2" s="1"/>
  <c r="E1823" i="2"/>
  <c r="D1823" i="2"/>
  <c r="AC1822" i="2"/>
  <c r="AB1822" i="2"/>
  <c r="AA1822" i="2"/>
  <c r="U1822" i="2"/>
  <c r="O1822" i="2"/>
  <c r="M1822" i="2" s="1"/>
  <c r="AD1822" i="2" s="1"/>
  <c r="K1822" i="2"/>
  <c r="F1822" i="2"/>
  <c r="V1822" i="2" s="1"/>
  <c r="E1822" i="2"/>
  <c r="D1822" i="2"/>
  <c r="AC1821" i="2"/>
  <c r="AB1821" i="2"/>
  <c r="AA1821" i="2"/>
  <c r="U1821" i="2"/>
  <c r="O1821" i="2"/>
  <c r="Q1821" i="2" s="1"/>
  <c r="K1821" i="2"/>
  <c r="F1821" i="2"/>
  <c r="V1821" i="2" s="1"/>
  <c r="E1821" i="2"/>
  <c r="D1821" i="2"/>
  <c r="AC1820" i="2"/>
  <c r="AB1820" i="2"/>
  <c r="AA1820" i="2"/>
  <c r="U1820" i="2"/>
  <c r="O1820" i="2"/>
  <c r="Q1820" i="2" s="1"/>
  <c r="K1820" i="2"/>
  <c r="F1820" i="2"/>
  <c r="V1820" i="2" s="1"/>
  <c r="E1820" i="2"/>
  <c r="D1820" i="2"/>
  <c r="AC1819" i="2"/>
  <c r="AB1819" i="2"/>
  <c r="AA1819" i="2"/>
  <c r="U1819" i="2"/>
  <c r="O1819" i="2"/>
  <c r="Q1819" i="2" s="1"/>
  <c r="K1819" i="2"/>
  <c r="F1819" i="2"/>
  <c r="V1819" i="2" s="1"/>
  <c r="E1819" i="2"/>
  <c r="D1819" i="2"/>
  <c r="AC1818" i="2"/>
  <c r="AB1818" i="2"/>
  <c r="AA1818" i="2"/>
  <c r="U1818" i="2"/>
  <c r="O1818" i="2"/>
  <c r="Q1818" i="2" s="1"/>
  <c r="K1818" i="2"/>
  <c r="F1818" i="2"/>
  <c r="V1818" i="2" s="1"/>
  <c r="E1818" i="2"/>
  <c r="D1818" i="2"/>
  <c r="AC1817" i="2"/>
  <c r="AB1817" i="2"/>
  <c r="AA1817" i="2"/>
  <c r="U1817" i="2"/>
  <c r="O1817" i="2"/>
  <c r="M1817" i="2" s="1"/>
  <c r="AD1817" i="2" s="1"/>
  <c r="K1817" i="2"/>
  <c r="F1817" i="2"/>
  <c r="V1817" i="2" s="1"/>
  <c r="E1817" i="2"/>
  <c r="D1817" i="2"/>
  <c r="AC1816" i="2"/>
  <c r="AB1816" i="2"/>
  <c r="AA1816" i="2"/>
  <c r="U1816" i="2"/>
  <c r="O1816" i="2"/>
  <c r="M1816" i="2" s="1"/>
  <c r="AD1816" i="2" s="1"/>
  <c r="K1816" i="2"/>
  <c r="F1816" i="2"/>
  <c r="V1816" i="2" s="1"/>
  <c r="E1816" i="2"/>
  <c r="D1816" i="2"/>
  <c r="AC1815" i="2"/>
  <c r="AB1815" i="2"/>
  <c r="AA1815" i="2"/>
  <c r="U1815" i="2"/>
  <c r="O1815" i="2"/>
  <c r="M1815" i="2" s="1"/>
  <c r="AD1815" i="2" s="1"/>
  <c r="K1815" i="2"/>
  <c r="F1815" i="2"/>
  <c r="V1815" i="2" s="1"/>
  <c r="E1815" i="2"/>
  <c r="D1815" i="2"/>
  <c r="AC1814" i="2"/>
  <c r="AB1814" i="2"/>
  <c r="AA1814" i="2"/>
  <c r="U1814" i="2"/>
  <c r="O1814" i="2"/>
  <c r="M1814" i="2" s="1"/>
  <c r="AD1814" i="2" s="1"/>
  <c r="K1814" i="2"/>
  <c r="F1814" i="2"/>
  <c r="V1814" i="2" s="1"/>
  <c r="E1814" i="2"/>
  <c r="D1814" i="2"/>
  <c r="AC1813" i="2"/>
  <c r="AB1813" i="2"/>
  <c r="AA1813" i="2"/>
  <c r="U1813" i="2"/>
  <c r="O1813" i="2"/>
  <c r="Q1813" i="2" s="1"/>
  <c r="K1813" i="2"/>
  <c r="F1813" i="2"/>
  <c r="V1813" i="2" s="1"/>
  <c r="E1813" i="2"/>
  <c r="D1813" i="2"/>
  <c r="AC1812" i="2"/>
  <c r="AB1812" i="2"/>
  <c r="AA1812" i="2"/>
  <c r="U1812" i="2"/>
  <c r="O1812" i="2"/>
  <c r="Q1812" i="2" s="1"/>
  <c r="K1812" i="2"/>
  <c r="F1812" i="2"/>
  <c r="V1812" i="2" s="1"/>
  <c r="E1812" i="2"/>
  <c r="D1812" i="2"/>
  <c r="AC1811" i="2"/>
  <c r="AB1811" i="2"/>
  <c r="AA1811" i="2"/>
  <c r="U1811" i="2"/>
  <c r="O1811" i="2"/>
  <c r="Q1811" i="2" s="1"/>
  <c r="K1811" i="2"/>
  <c r="F1811" i="2"/>
  <c r="V1811" i="2" s="1"/>
  <c r="E1811" i="2"/>
  <c r="D1811" i="2"/>
  <c r="AC1810" i="2"/>
  <c r="AB1810" i="2"/>
  <c r="AA1810" i="2"/>
  <c r="U1810" i="2"/>
  <c r="O1810" i="2"/>
  <c r="Q1810" i="2" s="1"/>
  <c r="K1810" i="2"/>
  <c r="F1810" i="2"/>
  <c r="V1810" i="2" s="1"/>
  <c r="E1810" i="2"/>
  <c r="D1810" i="2"/>
  <c r="AC1809" i="2"/>
  <c r="AB1809" i="2"/>
  <c r="AA1809" i="2"/>
  <c r="U1809" i="2"/>
  <c r="O1809" i="2"/>
  <c r="M1809" i="2" s="1"/>
  <c r="AD1809" i="2" s="1"/>
  <c r="K1809" i="2"/>
  <c r="F1809" i="2"/>
  <c r="V1809" i="2" s="1"/>
  <c r="E1809" i="2"/>
  <c r="D1809" i="2"/>
  <c r="AC1808" i="2"/>
  <c r="AB1808" i="2"/>
  <c r="AA1808" i="2"/>
  <c r="U1808" i="2"/>
  <c r="O1808" i="2"/>
  <c r="M1808" i="2" s="1"/>
  <c r="AD1808" i="2" s="1"/>
  <c r="K1808" i="2"/>
  <c r="F1808" i="2"/>
  <c r="V1808" i="2" s="1"/>
  <c r="E1808" i="2"/>
  <c r="D1808" i="2"/>
  <c r="AC1807" i="2"/>
  <c r="AB1807" i="2"/>
  <c r="AA1807" i="2"/>
  <c r="U1807" i="2"/>
  <c r="O1807" i="2"/>
  <c r="M1807" i="2" s="1"/>
  <c r="AD1807" i="2" s="1"/>
  <c r="K1807" i="2"/>
  <c r="F1807" i="2"/>
  <c r="V1807" i="2" s="1"/>
  <c r="E1807" i="2"/>
  <c r="D1807" i="2"/>
  <c r="AC1806" i="2"/>
  <c r="AB1806" i="2"/>
  <c r="AA1806" i="2"/>
  <c r="U1806" i="2"/>
  <c r="O1806" i="2"/>
  <c r="M1806" i="2" s="1"/>
  <c r="AD1806" i="2" s="1"/>
  <c r="K1806" i="2"/>
  <c r="F1806" i="2"/>
  <c r="V1806" i="2" s="1"/>
  <c r="E1806" i="2"/>
  <c r="D1806" i="2"/>
  <c r="AC1805" i="2"/>
  <c r="AB1805" i="2"/>
  <c r="AA1805" i="2"/>
  <c r="U1805" i="2"/>
  <c r="O1805" i="2"/>
  <c r="Q1805" i="2" s="1"/>
  <c r="K1805" i="2"/>
  <c r="F1805" i="2"/>
  <c r="V1805" i="2" s="1"/>
  <c r="E1805" i="2"/>
  <c r="D1805" i="2"/>
  <c r="AC1804" i="2"/>
  <c r="AB1804" i="2"/>
  <c r="AA1804" i="2"/>
  <c r="U1804" i="2"/>
  <c r="O1804" i="2"/>
  <c r="Q1804" i="2" s="1"/>
  <c r="K1804" i="2"/>
  <c r="F1804" i="2"/>
  <c r="V1804" i="2" s="1"/>
  <c r="E1804" i="2"/>
  <c r="D1804" i="2"/>
  <c r="AC1803" i="2"/>
  <c r="AB1803" i="2"/>
  <c r="AA1803" i="2"/>
  <c r="U1803" i="2"/>
  <c r="O1803" i="2"/>
  <c r="Q1803" i="2" s="1"/>
  <c r="K1803" i="2"/>
  <c r="F1803" i="2"/>
  <c r="V1803" i="2" s="1"/>
  <c r="E1803" i="2"/>
  <c r="D1803" i="2"/>
  <c r="AC1802" i="2"/>
  <c r="AB1802" i="2"/>
  <c r="AA1802" i="2"/>
  <c r="U1802" i="2"/>
  <c r="O1802" i="2"/>
  <c r="M1802" i="2" s="1"/>
  <c r="AD1802" i="2" s="1"/>
  <c r="K1802" i="2"/>
  <c r="F1802" i="2"/>
  <c r="V1802" i="2" s="1"/>
  <c r="E1802" i="2"/>
  <c r="D1802" i="2"/>
  <c r="AC1801" i="2"/>
  <c r="AB1801" i="2"/>
  <c r="AA1801" i="2"/>
  <c r="U1801" i="2"/>
  <c r="O1801" i="2"/>
  <c r="M1801" i="2" s="1"/>
  <c r="AD1801" i="2" s="1"/>
  <c r="K1801" i="2"/>
  <c r="F1801" i="2"/>
  <c r="V1801" i="2" s="1"/>
  <c r="E1801" i="2"/>
  <c r="D1801" i="2"/>
  <c r="AC1800" i="2"/>
  <c r="AB1800" i="2"/>
  <c r="AA1800" i="2"/>
  <c r="U1800" i="2"/>
  <c r="O1800" i="2"/>
  <c r="M1800" i="2" s="1"/>
  <c r="AD1800" i="2" s="1"/>
  <c r="K1800" i="2"/>
  <c r="F1800" i="2"/>
  <c r="V1800" i="2" s="1"/>
  <c r="E1800" i="2"/>
  <c r="D1800" i="2"/>
  <c r="AC1799" i="2"/>
  <c r="AB1799" i="2"/>
  <c r="AA1799" i="2"/>
  <c r="U1799" i="2"/>
  <c r="O1799" i="2"/>
  <c r="Q1799" i="2" s="1"/>
  <c r="K1799" i="2"/>
  <c r="F1799" i="2"/>
  <c r="V1799" i="2" s="1"/>
  <c r="E1799" i="2"/>
  <c r="D1799" i="2"/>
  <c r="AC1798" i="2"/>
  <c r="AB1798" i="2"/>
  <c r="AA1798" i="2"/>
  <c r="U1798" i="2"/>
  <c r="O1798" i="2"/>
  <c r="Q1798" i="2" s="1"/>
  <c r="K1798" i="2"/>
  <c r="F1798" i="2"/>
  <c r="V1798" i="2" s="1"/>
  <c r="E1798" i="2"/>
  <c r="D1798" i="2"/>
  <c r="AC1797" i="2"/>
  <c r="AB1797" i="2"/>
  <c r="AA1797" i="2"/>
  <c r="U1797" i="2"/>
  <c r="O1797" i="2"/>
  <c r="Q1797" i="2" s="1"/>
  <c r="K1797" i="2"/>
  <c r="F1797" i="2"/>
  <c r="V1797" i="2" s="1"/>
  <c r="E1797" i="2"/>
  <c r="D1797" i="2"/>
  <c r="AC1796" i="2"/>
  <c r="AB1796" i="2"/>
  <c r="AA1796" i="2"/>
  <c r="U1796" i="2"/>
  <c r="O1796" i="2"/>
  <c r="Q1796" i="2" s="1"/>
  <c r="K1796" i="2"/>
  <c r="F1796" i="2"/>
  <c r="V1796" i="2" s="1"/>
  <c r="E1796" i="2"/>
  <c r="D1796" i="2"/>
  <c r="AC1795" i="2"/>
  <c r="AB1795" i="2"/>
  <c r="AA1795" i="2"/>
  <c r="U1795" i="2"/>
  <c r="O1795" i="2"/>
  <c r="M1795" i="2" s="1"/>
  <c r="AD1795" i="2" s="1"/>
  <c r="K1795" i="2"/>
  <c r="F1795" i="2"/>
  <c r="V1795" i="2" s="1"/>
  <c r="E1795" i="2"/>
  <c r="D1795" i="2"/>
  <c r="AC1794" i="2"/>
  <c r="AB1794" i="2"/>
  <c r="AA1794" i="2"/>
  <c r="U1794" i="2"/>
  <c r="O1794" i="2"/>
  <c r="M1794" i="2" s="1"/>
  <c r="AD1794" i="2" s="1"/>
  <c r="K1794" i="2"/>
  <c r="F1794" i="2"/>
  <c r="V1794" i="2" s="1"/>
  <c r="E1794" i="2"/>
  <c r="D1794" i="2"/>
  <c r="AC1793" i="2"/>
  <c r="AB1793" i="2"/>
  <c r="AA1793" i="2"/>
  <c r="U1793" i="2"/>
  <c r="O1793" i="2"/>
  <c r="M1793" i="2" s="1"/>
  <c r="AD1793" i="2" s="1"/>
  <c r="K1793" i="2"/>
  <c r="F1793" i="2"/>
  <c r="V1793" i="2" s="1"/>
  <c r="E1793" i="2"/>
  <c r="D1793" i="2"/>
  <c r="AC1792" i="2"/>
  <c r="AB1792" i="2"/>
  <c r="AA1792" i="2"/>
  <c r="U1792" i="2"/>
  <c r="O1792" i="2"/>
  <c r="M1792" i="2" s="1"/>
  <c r="AD1792" i="2" s="1"/>
  <c r="K1792" i="2"/>
  <c r="F1792" i="2"/>
  <c r="V1792" i="2" s="1"/>
  <c r="E1792" i="2"/>
  <c r="D1792" i="2"/>
  <c r="AC1791" i="2"/>
  <c r="AB1791" i="2"/>
  <c r="AA1791" i="2"/>
  <c r="U1791" i="2"/>
  <c r="O1791" i="2"/>
  <c r="Q1791" i="2" s="1"/>
  <c r="K1791" i="2"/>
  <c r="F1791" i="2"/>
  <c r="V1791" i="2" s="1"/>
  <c r="E1791" i="2"/>
  <c r="D1791" i="2"/>
  <c r="AC1790" i="2"/>
  <c r="AB1790" i="2"/>
  <c r="AA1790" i="2"/>
  <c r="U1790" i="2"/>
  <c r="O1790" i="2"/>
  <c r="Q1790" i="2" s="1"/>
  <c r="K1790" i="2"/>
  <c r="F1790" i="2"/>
  <c r="V1790" i="2" s="1"/>
  <c r="E1790" i="2"/>
  <c r="D1790" i="2"/>
  <c r="AC1789" i="2"/>
  <c r="AB1789" i="2"/>
  <c r="AA1789" i="2"/>
  <c r="U1789" i="2"/>
  <c r="O1789" i="2"/>
  <c r="M1789" i="2" s="1"/>
  <c r="AD1789" i="2" s="1"/>
  <c r="K1789" i="2"/>
  <c r="F1789" i="2"/>
  <c r="V1789" i="2" s="1"/>
  <c r="E1789" i="2"/>
  <c r="D1789" i="2"/>
  <c r="AC1788" i="2"/>
  <c r="AB1788" i="2"/>
  <c r="AA1788" i="2"/>
  <c r="U1788" i="2"/>
  <c r="O1788" i="2"/>
  <c r="M1788" i="2" s="1"/>
  <c r="AD1788" i="2" s="1"/>
  <c r="K1788" i="2"/>
  <c r="F1788" i="2"/>
  <c r="V1788" i="2" s="1"/>
  <c r="E1788" i="2"/>
  <c r="D1788" i="2"/>
  <c r="AC1787" i="2"/>
  <c r="AB1787" i="2"/>
  <c r="AA1787" i="2"/>
  <c r="U1787" i="2"/>
  <c r="O1787" i="2"/>
  <c r="M1787" i="2" s="1"/>
  <c r="AD1787" i="2" s="1"/>
  <c r="K1787" i="2"/>
  <c r="F1787" i="2"/>
  <c r="V1787" i="2" s="1"/>
  <c r="E1787" i="2"/>
  <c r="D1787" i="2"/>
  <c r="AC1786" i="2"/>
  <c r="AB1786" i="2"/>
  <c r="AA1786" i="2"/>
  <c r="U1786" i="2"/>
  <c r="O1786" i="2"/>
  <c r="M1786" i="2" s="1"/>
  <c r="AD1786" i="2" s="1"/>
  <c r="K1786" i="2"/>
  <c r="F1786" i="2"/>
  <c r="V1786" i="2" s="1"/>
  <c r="E1786" i="2"/>
  <c r="D1786" i="2"/>
  <c r="AC1785" i="2"/>
  <c r="AB1785" i="2"/>
  <c r="AA1785" i="2"/>
  <c r="U1785" i="2"/>
  <c r="O1785" i="2"/>
  <c r="M1785" i="2" s="1"/>
  <c r="AD1785" i="2" s="1"/>
  <c r="K1785" i="2"/>
  <c r="F1785" i="2"/>
  <c r="V1785" i="2" s="1"/>
  <c r="E1785" i="2"/>
  <c r="D1785" i="2"/>
  <c r="AC1784" i="2"/>
  <c r="AB1784" i="2"/>
  <c r="AA1784" i="2"/>
  <c r="U1784" i="2"/>
  <c r="O1784" i="2"/>
  <c r="M1784" i="2" s="1"/>
  <c r="AD1784" i="2" s="1"/>
  <c r="K1784" i="2"/>
  <c r="F1784" i="2"/>
  <c r="V1784" i="2" s="1"/>
  <c r="E1784" i="2"/>
  <c r="D1784" i="2"/>
  <c r="AC1783" i="2"/>
  <c r="AB1783" i="2"/>
  <c r="AA1783" i="2"/>
  <c r="U1783" i="2"/>
  <c r="O1783" i="2"/>
  <c r="Q1783" i="2" s="1"/>
  <c r="K1783" i="2"/>
  <c r="F1783" i="2"/>
  <c r="V1783" i="2" s="1"/>
  <c r="E1783" i="2"/>
  <c r="D1783" i="2"/>
  <c r="AC1782" i="2"/>
  <c r="AB1782" i="2"/>
  <c r="AA1782" i="2"/>
  <c r="U1782" i="2"/>
  <c r="O1782" i="2"/>
  <c r="Q1782" i="2" s="1"/>
  <c r="K1782" i="2"/>
  <c r="F1782" i="2"/>
  <c r="V1782" i="2" s="1"/>
  <c r="E1782" i="2"/>
  <c r="D1782" i="2"/>
  <c r="AC1781" i="2"/>
  <c r="AB1781" i="2"/>
  <c r="AA1781" i="2"/>
  <c r="U1781" i="2"/>
  <c r="O1781" i="2"/>
  <c r="Q1781" i="2" s="1"/>
  <c r="K1781" i="2"/>
  <c r="F1781" i="2"/>
  <c r="V1781" i="2" s="1"/>
  <c r="E1781" i="2"/>
  <c r="D1781" i="2"/>
  <c r="AC1780" i="2"/>
  <c r="AB1780" i="2"/>
  <c r="AA1780" i="2"/>
  <c r="U1780" i="2"/>
  <c r="O1780" i="2"/>
  <c r="Q1780" i="2" s="1"/>
  <c r="K1780" i="2"/>
  <c r="F1780" i="2"/>
  <c r="V1780" i="2" s="1"/>
  <c r="E1780" i="2"/>
  <c r="D1780" i="2"/>
  <c r="AC1779" i="2"/>
  <c r="AB1779" i="2"/>
  <c r="AA1779" i="2"/>
  <c r="U1779" i="2"/>
  <c r="O1779" i="2"/>
  <c r="M1779" i="2" s="1"/>
  <c r="AD1779" i="2" s="1"/>
  <c r="K1779" i="2"/>
  <c r="F1779" i="2"/>
  <c r="V1779" i="2" s="1"/>
  <c r="E1779" i="2"/>
  <c r="D1779" i="2"/>
  <c r="AC1778" i="2"/>
  <c r="AB1778" i="2"/>
  <c r="AA1778" i="2"/>
  <c r="U1778" i="2"/>
  <c r="O1778" i="2"/>
  <c r="M1778" i="2" s="1"/>
  <c r="AD1778" i="2" s="1"/>
  <c r="K1778" i="2"/>
  <c r="F1778" i="2"/>
  <c r="V1778" i="2" s="1"/>
  <c r="E1778" i="2"/>
  <c r="D1778" i="2"/>
  <c r="AC1777" i="2"/>
  <c r="AB1777" i="2"/>
  <c r="AA1777" i="2"/>
  <c r="U1777" i="2"/>
  <c r="O1777" i="2"/>
  <c r="Q1777" i="2" s="1"/>
  <c r="K1777" i="2"/>
  <c r="F1777" i="2"/>
  <c r="V1777" i="2" s="1"/>
  <c r="E1777" i="2"/>
  <c r="D1777" i="2"/>
  <c r="AC1776" i="2"/>
  <c r="AB1776" i="2"/>
  <c r="AA1776" i="2"/>
  <c r="U1776" i="2"/>
  <c r="O1776" i="2"/>
  <c r="Q1776" i="2" s="1"/>
  <c r="K1776" i="2"/>
  <c r="F1776" i="2"/>
  <c r="V1776" i="2" s="1"/>
  <c r="E1776" i="2"/>
  <c r="D1776" i="2"/>
  <c r="AC1775" i="2"/>
  <c r="AB1775" i="2"/>
  <c r="AA1775" i="2"/>
  <c r="U1775" i="2"/>
  <c r="O1775" i="2"/>
  <c r="Q1775" i="2" s="1"/>
  <c r="K1775" i="2"/>
  <c r="F1775" i="2"/>
  <c r="V1775" i="2" s="1"/>
  <c r="E1775" i="2"/>
  <c r="D1775" i="2"/>
  <c r="AC1774" i="2"/>
  <c r="AB1774" i="2"/>
  <c r="AA1774" i="2"/>
  <c r="U1774" i="2"/>
  <c r="O1774" i="2"/>
  <c r="Q1774" i="2" s="1"/>
  <c r="K1774" i="2"/>
  <c r="F1774" i="2"/>
  <c r="V1774" i="2" s="1"/>
  <c r="E1774" i="2"/>
  <c r="D1774" i="2"/>
  <c r="AC1773" i="2"/>
  <c r="AB1773" i="2"/>
  <c r="AA1773" i="2"/>
  <c r="U1773" i="2"/>
  <c r="O1773" i="2"/>
  <c r="M1773" i="2" s="1"/>
  <c r="AD1773" i="2" s="1"/>
  <c r="K1773" i="2"/>
  <c r="F1773" i="2"/>
  <c r="V1773" i="2" s="1"/>
  <c r="E1773" i="2"/>
  <c r="D1773" i="2"/>
  <c r="AC1772" i="2"/>
  <c r="AB1772" i="2"/>
  <c r="AA1772" i="2"/>
  <c r="U1772" i="2"/>
  <c r="O1772" i="2"/>
  <c r="M1772" i="2" s="1"/>
  <c r="AD1772" i="2" s="1"/>
  <c r="K1772" i="2"/>
  <c r="F1772" i="2"/>
  <c r="V1772" i="2" s="1"/>
  <c r="E1772" i="2"/>
  <c r="D1772" i="2"/>
  <c r="AC1771" i="2"/>
  <c r="AB1771" i="2"/>
  <c r="AA1771" i="2"/>
  <c r="U1771" i="2"/>
  <c r="O1771" i="2"/>
  <c r="M1771" i="2" s="1"/>
  <c r="AD1771" i="2" s="1"/>
  <c r="K1771" i="2"/>
  <c r="F1771" i="2"/>
  <c r="V1771" i="2" s="1"/>
  <c r="E1771" i="2"/>
  <c r="D1771" i="2"/>
  <c r="AC1770" i="2"/>
  <c r="AB1770" i="2"/>
  <c r="AA1770" i="2"/>
  <c r="U1770" i="2"/>
  <c r="O1770" i="2"/>
  <c r="M1770" i="2" s="1"/>
  <c r="AD1770" i="2" s="1"/>
  <c r="K1770" i="2"/>
  <c r="F1770" i="2"/>
  <c r="V1770" i="2" s="1"/>
  <c r="E1770" i="2"/>
  <c r="D1770" i="2"/>
  <c r="AC1769" i="2"/>
  <c r="AB1769" i="2"/>
  <c r="AA1769" i="2"/>
  <c r="U1769" i="2"/>
  <c r="O1769" i="2"/>
  <c r="M1769" i="2" s="1"/>
  <c r="AD1769" i="2" s="1"/>
  <c r="K1769" i="2"/>
  <c r="F1769" i="2"/>
  <c r="V1769" i="2" s="1"/>
  <c r="E1769" i="2"/>
  <c r="D1769" i="2"/>
  <c r="AC1768" i="2"/>
  <c r="AB1768" i="2"/>
  <c r="AA1768" i="2"/>
  <c r="U1768" i="2"/>
  <c r="O1768" i="2"/>
  <c r="M1768" i="2" s="1"/>
  <c r="AD1768" i="2" s="1"/>
  <c r="K1768" i="2"/>
  <c r="F1768" i="2"/>
  <c r="V1768" i="2" s="1"/>
  <c r="E1768" i="2"/>
  <c r="D1768" i="2"/>
  <c r="AC1767" i="2"/>
  <c r="AB1767" i="2"/>
  <c r="AA1767" i="2"/>
  <c r="U1767" i="2"/>
  <c r="O1767" i="2"/>
  <c r="Q1767" i="2" s="1"/>
  <c r="K1767" i="2"/>
  <c r="F1767" i="2"/>
  <c r="V1767" i="2" s="1"/>
  <c r="E1767" i="2"/>
  <c r="D1767" i="2"/>
  <c r="AC1766" i="2"/>
  <c r="AB1766" i="2"/>
  <c r="AA1766" i="2"/>
  <c r="U1766" i="2"/>
  <c r="O1766" i="2"/>
  <c r="Q1766" i="2" s="1"/>
  <c r="K1766" i="2"/>
  <c r="F1766" i="2"/>
  <c r="V1766" i="2" s="1"/>
  <c r="E1766" i="2"/>
  <c r="D1766" i="2"/>
  <c r="AC1765" i="2"/>
  <c r="AB1765" i="2"/>
  <c r="AA1765" i="2"/>
  <c r="U1765" i="2"/>
  <c r="O1765" i="2"/>
  <c r="Q1765" i="2" s="1"/>
  <c r="K1765" i="2"/>
  <c r="F1765" i="2"/>
  <c r="V1765" i="2" s="1"/>
  <c r="E1765" i="2"/>
  <c r="D1765" i="2"/>
  <c r="AC1764" i="2"/>
  <c r="AB1764" i="2"/>
  <c r="AA1764" i="2"/>
  <c r="U1764" i="2"/>
  <c r="O1764" i="2"/>
  <c r="Q1764" i="2" s="1"/>
  <c r="K1764" i="2"/>
  <c r="F1764" i="2"/>
  <c r="V1764" i="2" s="1"/>
  <c r="E1764" i="2"/>
  <c r="D1764" i="2"/>
  <c r="AC1763" i="2"/>
  <c r="AB1763" i="2"/>
  <c r="AA1763" i="2"/>
  <c r="U1763" i="2"/>
  <c r="O1763" i="2"/>
  <c r="M1763" i="2" s="1"/>
  <c r="AD1763" i="2" s="1"/>
  <c r="K1763" i="2"/>
  <c r="F1763" i="2"/>
  <c r="V1763" i="2" s="1"/>
  <c r="E1763" i="2"/>
  <c r="D1763" i="2"/>
  <c r="AC1762" i="2"/>
  <c r="AB1762" i="2"/>
  <c r="AA1762" i="2"/>
  <c r="U1762" i="2"/>
  <c r="O1762" i="2"/>
  <c r="M1762" i="2" s="1"/>
  <c r="AD1762" i="2" s="1"/>
  <c r="K1762" i="2"/>
  <c r="F1762" i="2"/>
  <c r="V1762" i="2" s="1"/>
  <c r="E1762" i="2"/>
  <c r="D1762" i="2"/>
  <c r="AC1761" i="2"/>
  <c r="AB1761" i="2"/>
  <c r="AA1761" i="2"/>
  <c r="U1761" i="2"/>
  <c r="O1761" i="2"/>
  <c r="M1761" i="2" s="1"/>
  <c r="AD1761" i="2" s="1"/>
  <c r="K1761" i="2"/>
  <c r="F1761" i="2"/>
  <c r="V1761" i="2" s="1"/>
  <c r="E1761" i="2"/>
  <c r="D1761" i="2"/>
  <c r="AC1760" i="2"/>
  <c r="AB1760" i="2"/>
  <c r="AA1760" i="2"/>
  <c r="U1760" i="2"/>
  <c r="O1760" i="2"/>
  <c r="Q1760" i="2" s="1"/>
  <c r="K1760" i="2"/>
  <c r="F1760" i="2"/>
  <c r="V1760" i="2" s="1"/>
  <c r="E1760" i="2"/>
  <c r="D1760" i="2"/>
  <c r="AC1759" i="2"/>
  <c r="AB1759" i="2"/>
  <c r="AA1759" i="2"/>
  <c r="U1759" i="2"/>
  <c r="O1759" i="2"/>
  <c r="Q1759" i="2" s="1"/>
  <c r="K1759" i="2"/>
  <c r="F1759" i="2"/>
  <c r="V1759" i="2" s="1"/>
  <c r="E1759" i="2"/>
  <c r="D1759" i="2"/>
  <c r="AC1758" i="2"/>
  <c r="AB1758" i="2"/>
  <c r="AA1758" i="2"/>
  <c r="U1758" i="2"/>
  <c r="O1758" i="2"/>
  <c r="Q1758" i="2" s="1"/>
  <c r="K1758" i="2"/>
  <c r="F1758" i="2"/>
  <c r="V1758" i="2" s="1"/>
  <c r="E1758" i="2"/>
  <c r="D1758" i="2"/>
  <c r="AC1757" i="2"/>
  <c r="AB1757" i="2"/>
  <c r="AA1757" i="2"/>
  <c r="U1757" i="2"/>
  <c r="O1757" i="2"/>
  <c r="M1757" i="2" s="1"/>
  <c r="AD1757" i="2" s="1"/>
  <c r="K1757" i="2"/>
  <c r="F1757" i="2"/>
  <c r="V1757" i="2" s="1"/>
  <c r="E1757" i="2"/>
  <c r="D1757" i="2"/>
  <c r="AC1756" i="2"/>
  <c r="AB1756" i="2"/>
  <c r="AA1756" i="2"/>
  <c r="U1756" i="2"/>
  <c r="O1756" i="2"/>
  <c r="M1756" i="2" s="1"/>
  <c r="AD1756" i="2" s="1"/>
  <c r="K1756" i="2"/>
  <c r="F1756" i="2"/>
  <c r="V1756" i="2" s="1"/>
  <c r="E1756" i="2"/>
  <c r="D1756" i="2"/>
  <c r="AC1755" i="2"/>
  <c r="AB1755" i="2"/>
  <c r="AA1755" i="2"/>
  <c r="U1755" i="2"/>
  <c r="O1755" i="2"/>
  <c r="M1755" i="2" s="1"/>
  <c r="AD1755" i="2" s="1"/>
  <c r="K1755" i="2"/>
  <c r="F1755" i="2"/>
  <c r="V1755" i="2" s="1"/>
  <c r="E1755" i="2"/>
  <c r="D1755" i="2"/>
  <c r="AC1754" i="2"/>
  <c r="AB1754" i="2"/>
  <c r="AA1754" i="2"/>
  <c r="U1754" i="2"/>
  <c r="O1754" i="2"/>
  <c r="M1754" i="2" s="1"/>
  <c r="AD1754" i="2" s="1"/>
  <c r="K1754" i="2"/>
  <c r="F1754" i="2"/>
  <c r="V1754" i="2" s="1"/>
  <c r="E1754" i="2"/>
  <c r="D1754" i="2"/>
  <c r="AC1753" i="2"/>
  <c r="AB1753" i="2"/>
  <c r="AA1753" i="2"/>
  <c r="U1753" i="2"/>
  <c r="O1753" i="2"/>
  <c r="Q1753" i="2" s="1"/>
  <c r="K1753" i="2"/>
  <c r="F1753" i="2"/>
  <c r="V1753" i="2" s="1"/>
  <c r="E1753" i="2"/>
  <c r="D1753" i="2"/>
  <c r="AC1752" i="2"/>
  <c r="AB1752" i="2"/>
  <c r="AA1752" i="2"/>
  <c r="U1752" i="2"/>
  <c r="O1752" i="2"/>
  <c r="M1752" i="2" s="1"/>
  <c r="AD1752" i="2" s="1"/>
  <c r="K1752" i="2"/>
  <c r="F1752" i="2"/>
  <c r="V1752" i="2" s="1"/>
  <c r="E1752" i="2"/>
  <c r="D1752" i="2"/>
  <c r="AC1751" i="2"/>
  <c r="AB1751" i="2"/>
  <c r="AA1751" i="2"/>
  <c r="U1751" i="2"/>
  <c r="O1751" i="2"/>
  <c r="Q1751" i="2" s="1"/>
  <c r="K1751" i="2"/>
  <c r="F1751" i="2"/>
  <c r="V1751" i="2" s="1"/>
  <c r="E1751" i="2"/>
  <c r="D1751" i="2"/>
  <c r="AC1750" i="2"/>
  <c r="AB1750" i="2"/>
  <c r="AA1750" i="2"/>
  <c r="U1750" i="2"/>
  <c r="O1750" i="2"/>
  <c r="Q1750" i="2" s="1"/>
  <c r="K1750" i="2"/>
  <c r="F1750" i="2"/>
  <c r="V1750" i="2" s="1"/>
  <c r="E1750" i="2"/>
  <c r="D1750" i="2"/>
  <c r="AC1749" i="2"/>
  <c r="AB1749" i="2"/>
  <c r="AA1749" i="2"/>
  <c r="U1749" i="2"/>
  <c r="O1749" i="2"/>
  <c r="Q1749" i="2" s="1"/>
  <c r="K1749" i="2"/>
  <c r="F1749" i="2"/>
  <c r="V1749" i="2" s="1"/>
  <c r="E1749" i="2"/>
  <c r="D1749" i="2"/>
  <c r="AC1748" i="2"/>
  <c r="AB1748" i="2"/>
  <c r="AA1748" i="2"/>
  <c r="U1748" i="2"/>
  <c r="O1748" i="2"/>
  <c r="Q1748" i="2" s="1"/>
  <c r="K1748" i="2"/>
  <c r="F1748" i="2"/>
  <c r="V1748" i="2" s="1"/>
  <c r="E1748" i="2"/>
  <c r="D1748" i="2"/>
  <c r="AC1747" i="2"/>
  <c r="AB1747" i="2"/>
  <c r="AA1747" i="2"/>
  <c r="U1747" i="2"/>
  <c r="O1747" i="2"/>
  <c r="M1747" i="2" s="1"/>
  <c r="AD1747" i="2" s="1"/>
  <c r="K1747" i="2"/>
  <c r="F1747" i="2"/>
  <c r="V1747" i="2" s="1"/>
  <c r="E1747" i="2"/>
  <c r="D1747" i="2"/>
  <c r="AC1746" i="2"/>
  <c r="AB1746" i="2"/>
  <c r="AA1746" i="2"/>
  <c r="U1746" i="2"/>
  <c r="O1746" i="2"/>
  <c r="M1746" i="2" s="1"/>
  <c r="AD1746" i="2" s="1"/>
  <c r="K1746" i="2"/>
  <c r="F1746" i="2"/>
  <c r="V1746" i="2" s="1"/>
  <c r="E1746" i="2"/>
  <c r="D1746" i="2"/>
  <c r="AC1745" i="2"/>
  <c r="AB1745" i="2"/>
  <c r="AA1745" i="2"/>
  <c r="U1745" i="2"/>
  <c r="O1745" i="2"/>
  <c r="Q1745" i="2" s="1"/>
  <c r="K1745" i="2"/>
  <c r="F1745" i="2"/>
  <c r="V1745" i="2" s="1"/>
  <c r="E1745" i="2"/>
  <c r="D1745" i="2"/>
  <c r="AC1744" i="2"/>
  <c r="AB1744" i="2"/>
  <c r="AA1744" i="2"/>
  <c r="U1744" i="2"/>
  <c r="O1744" i="2"/>
  <c r="Q1744" i="2" s="1"/>
  <c r="K1744" i="2"/>
  <c r="F1744" i="2"/>
  <c r="V1744" i="2" s="1"/>
  <c r="E1744" i="2"/>
  <c r="D1744" i="2"/>
  <c r="AC1743" i="2"/>
  <c r="AB1743" i="2"/>
  <c r="AA1743" i="2"/>
  <c r="U1743" i="2"/>
  <c r="O1743" i="2"/>
  <c r="Q1743" i="2" s="1"/>
  <c r="K1743" i="2"/>
  <c r="F1743" i="2"/>
  <c r="V1743" i="2" s="1"/>
  <c r="E1743" i="2"/>
  <c r="D1743" i="2"/>
  <c r="AC1742" i="2"/>
  <c r="AB1742" i="2"/>
  <c r="AA1742" i="2"/>
  <c r="U1742" i="2"/>
  <c r="O1742" i="2"/>
  <c r="M1742" i="2" s="1"/>
  <c r="AD1742" i="2" s="1"/>
  <c r="K1742" i="2"/>
  <c r="F1742" i="2"/>
  <c r="V1742" i="2" s="1"/>
  <c r="E1742" i="2"/>
  <c r="D1742" i="2"/>
  <c r="AC1741" i="2"/>
  <c r="AB1741" i="2"/>
  <c r="AA1741" i="2"/>
  <c r="U1741" i="2"/>
  <c r="O1741" i="2"/>
  <c r="Q1741" i="2" s="1"/>
  <c r="K1741" i="2"/>
  <c r="F1741" i="2"/>
  <c r="V1741" i="2" s="1"/>
  <c r="E1741" i="2"/>
  <c r="D1741" i="2"/>
  <c r="AC1740" i="2"/>
  <c r="AB1740" i="2"/>
  <c r="AA1740" i="2"/>
  <c r="U1740" i="2"/>
  <c r="O1740" i="2"/>
  <c r="M1740" i="2" s="1"/>
  <c r="AD1740" i="2" s="1"/>
  <c r="K1740" i="2"/>
  <c r="F1740" i="2"/>
  <c r="V1740" i="2" s="1"/>
  <c r="E1740" i="2"/>
  <c r="D1740" i="2"/>
  <c r="AC1739" i="2"/>
  <c r="AB1739" i="2"/>
  <c r="AA1739" i="2"/>
  <c r="U1739" i="2"/>
  <c r="O1739" i="2"/>
  <c r="Q1739" i="2" s="1"/>
  <c r="K1739" i="2"/>
  <c r="F1739" i="2"/>
  <c r="V1739" i="2" s="1"/>
  <c r="E1739" i="2"/>
  <c r="D1739" i="2"/>
  <c r="AC1738" i="2"/>
  <c r="AB1738" i="2"/>
  <c r="AA1738" i="2"/>
  <c r="U1738" i="2"/>
  <c r="O1738" i="2"/>
  <c r="M1738" i="2" s="1"/>
  <c r="AD1738" i="2" s="1"/>
  <c r="K1738" i="2"/>
  <c r="F1738" i="2"/>
  <c r="V1738" i="2" s="1"/>
  <c r="E1738" i="2"/>
  <c r="D1738" i="2"/>
  <c r="AC1737" i="2"/>
  <c r="AB1737" i="2"/>
  <c r="AA1737" i="2"/>
  <c r="U1737" i="2"/>
  <c r="O1737" i="2"/>
  <c r="M1737" i="2" s="1"/>
  <c r="AD1737" i="2" s="1"/>
  <c r="K1737" i="2"/>
  <c r="F1737" i="2"/>
  <c r="V1737" i="2" s="1"/>
  <c r="E1737" i="2"/>
  <c r="D1737" i="2"/>
  <c r="AC1736" i="2"/>
  <c r="AB1736" i="2"/>
  <c r="AA1736" i="2"/>
  <c r="U1736" i="2"/>
  <c r="O1736" i="2"/>
  <c r="M1736" i="2" s="1"/>
  <c r="AD1736" i="2" s="1"/>
  <c r="K1736" i="2"/>
  <c r="F1736" i="2"/>
  <c r="V1736" i="2" s="1"/>
  <c r="E1736" i="2"/>
  <c r="D1736" i="2"/>
  <c r="AC1735" i="2"/>
  <c r="AB1735" i="2"/>
  <c r="AA1735" i="2"/>
  <c r="U1735" i="2"/>
  <c r="O1735" i="2"/>
  <c r="Q1735" i="2" s="1"/>
  <c r="K1735" i="2"/>
  <c r="F1735" i="2"/>
  <c r="V1735" i="2" s="1"/>
  <c r="E1735" i="2"/>
  <c r="D1735" i="2"/>
  <c r="AC1734" i="2"/>
  <c r="AB1734" i="2"/>
  <c r="AA1734" i="2"/>
  <c r="U1734" i="2"/>
  <c r="O1734" i="2"/>
  <c r="M1734" i="2" s="1"/>
  <c r="AD1734" i="2" s="1"/>
  <c r="K1734" i="2"/>
  <c r="F1734" i="2"/>
  <c r="V1734" i="2" s="1"/>
  <c r="E1734" i="2"/>
  <c r="D1734" i="2"/>
  <c r="AC1733" i="2"/>
  <c r="AB1733" i="2"/>
  <c r="AA1733" i="2"/>
  <c r="U1733" i="2"/>
  <c r="O1733" i="2"/>
  <c r="Q1733" i="2" s="1"/>
  <c r="K1733" i="2"/>
  <c r="F1733" i="2"/>
  <c r="V1733" i="2" s="1"/>
  <c r="E1733" i="2"/>
  <c r="D1733" i="2"/>
  <c r="AC1732" i="2"/>
  <c r="AB1732" i="2"/>
  <c r="AA1732" i="2"/>
  <c r="U1732" i="2"/>
  <c r="O1732" i="2"/>
  <c r="M1732" i="2" s="1"/>
  <c r="AD1732" i="2" s="1"/>
  <c r="K1732" i="2"/>
  <c r="F1732" i="2"/>
  <c r="V1732" i="2" s="1"/>
  <c r="E1732" i="2"/>
  <c r="D1732" i="2"/>
  <c r="AC1731" i="2"/>
  <c r="AB1731" i="2"/>
  <c r="AA1731" i="2"/>
  <c r="U1731" i="2"/>
  <c r="O1731" i="2"/>
  <c r="M1731" i="2" s="1"/>
  <c r="AD1731" i="2" s="1"/>
  <c r="K1731" i="2"/>
  <c r="F1731" i="2"/>
  <c r="V1731" i="2" s="1"/>
  <c r="E1731" i="2"/>
  <c r="D1731" i="2"/>
  <c r="AC1730" i="2"/>
  <c r="AB1730" i="2"/>
  <c r="AA1730" i="2"/>
  <c r="U1730" i="2"/>
  <c r="O1730" i="2"/>
  <c r="M1730" i="2" s="1"/>
  <c r="AD1730" i="2" s="1"/>
  <c r="K1730" i="2"/>
  <c r="F1730" i="2"/>
  <c r="V1730" i="2" s="1"/>
  <c r="E1730" i="2"/>
  <c r="D1730" i="2"/>
  <c r="AC1729" i="2"/>
  <c r="AB1729" i="2"/>
  <c r="AA1729" i="2"/>
  <c r="U1729" i="2"/>
  <c r="O1729" i="2"/>
  <c r="M1729" i="2" s="1"/>
  <c r="AD1729" i="2" s="1"/>
  <c r="K1729" i="2"/>
  <c r="F1729" i="2"/>
  <c r="V1729" i="2" s="1"/>
  <c r="E1729" i="2"/>
  <c r="D1729" i="2"/>
  <c r="AC1728" i="2"/>
  <c r="AB1728" i="2"/>
  <c r="AA1728" i="2"/>
  <c r="U1728" i="2"/>
  <c r="O1728" i="2"/>
  <c r="M1728" i="2" s="1"/>
  <c r="AD1728" i="2" s="1"/>
  <c r="K1728" i="2"/>
  <c r="F1728" i="2"/>
  <c r="V1728" i="2" s="1"/>
  <c r="E1728" i="2"/>
  <c r="D1728" i="2"/>
  <c r="AC1727" i="2"/>
  <c r="AB1727" i="2"/>
  <c r="AA1727" i="2"/>
  <c r="U1727" i="2"/>
  <c r="O1727" i="2"/>
  <c r="M1727" i="2" s="1"/>
  <c r="AD1727" i="2" s="1"/>
  <c r="K1727" i="2"/>
  <c r="F1727" i="2"/>
  <c r="V1727" i="2" s="1"/>
  <c r="E1727" i="2"/>
  <c r="D1727" i="2"/>
  <c r="AC1726" i="2"/>
  <c r="AB1726" i="2"/>
  <c r="AA1726" i="2"/>
  <c r="U1726" i="2"/>
  <c r="O1726" i="2"/>
  <c r="K1726" i="2"/>
  <c r="F1726" i="2"/>
  <c r="V1726" i="2" s="1"/>
  <c r="E1726" i="2"/>
  <c r="D1726" i="2"/>
  <c r="AC1725" i="2"/>
  <c r="AB1725" i="2"/>
  <c r="AA1725" i="2"/>
  <c r="U1725" i="2"/>
  <c r="O1725" i="2"/>
  <c r="Q1725" i="2" s="1"/>
  <c r="K1725" i="2"/>
  <c r="F1725" i="2"/>
  <c r="V1725" i="2" s="1"/>
  <c r="E1725" i="2"/>
  <c r="D1725" i="2"/>
  <c r="AC1724" i="2"/>
  <c r="AB1724" i="2"/>
  <c r="AA1724" i="2"/>
  <c r="U1724" i="2"/>
  <c r="O1724" i="2"/>
  <c r="K1724" i="2"/>
  <c r="F1724" i="2"/>
  <c r="V1724" i="2" s="1"/>
  <c r="E1724" i="2"/>
  <c r="D1724" i="2"/>
  <c r="AC1723" i="2"/>
  <c r="AB1723" i="2"/>
  <c r="AA1723" i="2"/>
  <c r="U1723" i="2"/>
  <c r="O1723" i="2"/>
  <c r="M1723" i="2" s="1"/>
  <c r="AD1723" i="2" s="1"/>
  <c r="K1723" i="2"/>
  <c r="F1723" i="2"/>
  <c r="V1723" i="2" s="1"/>
  <c r="E1723" i="2"/>
  <c r="D1723" i="2"/>
  <c r="AC1722" i="2"/>
  <c r="AB1722" i="2"/>
  <c r="AA1722" i="2"/>
  <c r="U1722" i="2"/>
  <c r="O1722" i="2"/>
  <c r="M1722" i="2" s="1"/>
  <c r="AD1722" i="2" s="1"/>
  <c r="K1722" i="2"/>
  <c r="F1722" i="2"/>
  <c r="V1722" i="2" s="1"/>
  <c r="E1722" i="2"/>
  <c r="D1722" i="2"/>
  <c r="AC1721" i="2"/>
  <c r="AB1721" i="2"/>
  <c r="AA1721" i="2"/>
  <c r="U1721" i="2"/>
  <c r="O1721" i="2"/>
  <c r="M1721" i="2" s="1"/>
  <c r="AD1721" i="2" s="1"/>
  <c r="K1721" i="2"/>
  <c r="F1721" i="2"/>
  <c r="V1721" i="2" s="1"/>
  <c r="E1721" i="2"/>
  <c r="D1721" i="2"/>
  <c r="AC1720" i="2"/>
  <c r="AB1720" i="2"/>
  <c r="AA1720" i="2"/>
  <c r="U1720" i="2"/>
  <c r="O1720" i="2"/>
  <c r="M1720" i="2" s="1"/>
  <c r="AD1720" i="2" s="1"/>
  <c r="K1720" i="2"/>
  <c r="F1720" i="2"/>
  <c r="V1720" i="2" s="1"/>
  <c r="E1720" i="2"/>
  <c r="D1720" i="2"/>
  <c r="AC1719" i="2"/>
  <c r="AB1719" i="2"/>
  <c r="AA1719" i="2"/>
  <c r="U1719" i="2"/>
  <c r="O1719" i="2"/>
  <c r="M1719" i="2" s="1"/>
  <c r="AD1719" i="2" s="1"/>
  <c r="K1719" i="2"/>
  <c r="F1719" i="2"/>
  <c r="V1719" i="2" s="1"/>
  <c r="E1719" i="2"/>
  <c r="D1719" i="2"/>
  <c r="AC1718" i="2"/>
  <c r="AB1718" i="2"/>
  <c r="AA1718" i="2"/>
  <c r="U1718" i="2"/>
  <c r="O1718" i="2"/>
  <c r="M1718" i="2" s="1"/>
  <c r="AD1718" i="2" s="1"/>
  <c r="K1718" i="2"/>
  <c r="F1718" i="2"/>
  <c r="V1718" i="2" s="1"/>
  <c r="E1718" i="2"/>
  <c r="D1718" i="2"/>
  <c r="AC1717" i="2"/>
  <c r="AB1717" i="2"/>
  <c r="AA1717" i="2"/>
  <c r="U1717" i="2"/>
  <c r="O1717" i="2"/>
  <c r="Q1717" i="2" s="1"/>
  <c r="K1717" i="2"/>
  <c r="F1717" i="2"/>
  <c r="V1717" i="2" s="1"/>
  <c r="E1717" i="2"/>
  <c r="D1717" i="2"/>
  <c r="AC1716" i="2"/>
  <c r="AB1716" i="2"/>
  <c r="AA1716" i="2"/>
  <c r="U1716" i="2"/>
  <c r="O1716" i="2"/>
  <c r="M1716" i="2" s="1"/>
  <c r="AD1716" i="2" s="1"/>
  <c r="K1716" i="2"/>
  <c r="F1716" i="2"/>
  <c r="V1716" i="2" s="1"/>
  <c r="E1716" i="2"/>
  <c r="D1716" i="2"/>
  <c r="AC1715" i="2"/>
  <c r="AB1715" i="2"/>
  <c r="AA1715" i="2"/>
  <c r="U1715" i="2"/>
  <c r="O1715" i="2"/>
  <c r="M1715" i="2" s="1"/>
  <c r="AD1715" i="2" s="1"/>
  <c r="K1715" i="2"/>
  <c r="F1715" i="2"/>
  <c r="V1715" i="2" s="1"/>
  <c r="E1715" i="2"/>
  <c r="D1715" i="2"/>
  <c r="AC1714" i="2"/>
  <c r="AB1714" i="2"/>
  <c r="AA1714" i="2"/>
  <c r="U1714" i="2"/>
  <c r="O1714" i="2"/>
  <c r="M1714" i="2" s="1"/>
  <c r="AD1714" i="2" s="1"/>
  <c r="K1714" i="2"/>
  <c r="F1714" i="2"/>
  <c r="V1714" i="2" s="1"/>
  <c r="E1714" i="2"/>
  <c r="D1714" i="2"/>
  <c r="AC1713" i="2"/>
  <c r="AB1713" i="2"/>
  <c r="AA1713" i="2"/>
  <c r="U1713" i="2"/>
  <c r="O1713" i="2"/>
  <c r="M1713" i="2" s="1"/>
  <c r="AD1713" i="2" s="1"/>
  <c r="K1713" i="2"/>
  <c r="F1713" i="2"/>
  <c r="V1713" i="2" s="1"/>
  <c r="E1713" i="2"/>
  <c r="D1713" i="2"/>
  <c r="AC1712" i="2"/>
  <c r="AB1712" i="2"/>
  <c r="AA1712" i="2"/>
  <c r="U1712" i="2"/>
  <c r="O1712" i="2"/>
  <c r="M1712" i="2" s="1"/>
  <c r="AD1712" i="2" s="1"/>
  <c r="K1712" i="2"/>
  <c r="F1712" i="2"/>
  <c r="V1712" i="2" s="1"/>
  <c r="E1712" i="2"/>
  <c r="D1712" i="2"/>
  <c r="AC1711" i="2"/>
  <c r="AB1711" i="2"/>
  <c r="AA1711" i="2"/>
  <c r="U1711" i="2"/>
  <c r="O1711" i="2"/>
  <c r="K1711" i="2"/>
  <c r="F1711" i="2"/>
  <c r="V1711" i="2" s="1"/>
  <c r="E1711" i="2"/>
  <c r="D1711" i="2"/>
  <c r="AC1710" i="2"/>
  <c r="AB1710" i="2"/>
  <c r="AA1710" i="2"/>
  <c r="U1710" i="2"/>
  <c r="O1710" i="2"/>
  <c r="M1710" i="2" s="1"/>
  <c r="AD1710" i="2" s="1"/>
  <c r="K1710" i="2"/>
  <c r="F1710" i="2"/>
  <c r="V1710" i="2" s="1"/>
  <c r="E1710" i="2"/>
  <c r="D1710" i="2"/>
  <c r="AC1709" i="2"/>
  <c r="AB1709" i="2"/>
  <c r="AA1709" i="2"/>
  <c r="U1709" i="2"/>
  <c r="O1709" i="2"/>
  <c r="Q1709" i="2" s="1"/>
  <c r="K1709" i="2"/>
  <c r="F1709" i="2"/>
  <c r="V1709" i="2" s="1"/>
  <c r="E1709" i="2"/>
  <c r="D1709" i="2"/>
  <c r="AC1708" i="2"/>
  <c r="AB1708" i="2"/>
  <c r="AA1708" i="2"/>
  <c r="U1708" i="2"/>
  <c r="O1708" i="2"/>
  <c r="M1708" i="2" s="1"/>
  <c r="AD1708" i="2" s="1"/>
  <c r="K1708" i="2"/>
  <c r="F1708" i="2"/>
  <c r="V1708" i="2" s="1"/>
  <c r="E1708" i="2"/>
  <c r="D1708" i="2"/>
  <c r="AC1707" i="2"/>
  <c r="AB1707" i="2"/>
  <c r="AA1707" i="2"/>
  <c r="U1707" i="2"/>
  <c r="O1707" i="2"/>
  <c r="M1707" i="2" s="1"/>
  <c r="AD1707" i="2" s="1"/>
  <c r="K1707" i="2"/>
  <c r="F1707" i="2"/>
  <c r="V1707" i="2" s="1"/>
  <c r="E1707" i="2"/>
  <c r="D1707" i="2"/>
  <c r="AC1706" i="2"/>
  <c r="AB1706" i="2"/>
  <c r="AA1706" i="2"/>
  <c r="U1706" i="2"/>
  <c r="O1706" i="2"/>
  <c r="M1706" i="2" s="1"/>
  <c r="AD1706" i="2" s="1"/>
  <c r="K1706" i="2"/>
  <c r="F1706" i="2"/>
  <c r="V1706" i="2" s="1"/>
  <c r="E1706" i="2"/>
  <c r="D1706" i="2"/>
  <c r="AC1705" i="2"/>
  <c r="AB1705" i="2"/>
  <c r="AA1705" i="2"/>
  <c r="U1705" i="2"/>
  <c r="O1705" i="2"/>
  <c r="Q1705" i="2" s="1"/>
  <c r="K1705" i="2"/>
  <c r="F1705" i="2"/>
  <c r="V1705" i="2" s="1"/>
  <c r="E1705" i="2"/>
  <c r="D1705" i="2"/>
  <c r="AC1704" i="2"/>
  <c r="AB1704" i="2"/>
  <c r="AA1704" i="2"/>
  <c r="U1704" i="2"/>
  <c r="O1704" i="2"/>
  <c r="M1704" i="2" s="1"/>
  <c r="AD1704" i="2" s="1"/>
  <c r="K1704" i="2"/>
  <c r="F1704" i="2"/>
  <c r="V1704" i="2" s="1"/>
  <c r="E1704" i="2"/>
  <c r="D1704" i="2"/>
  <c r="AC1703" i="2"/>
  <c r="AB1703" i="2"/>
  <c r="AA1703" i="2"/>
  <c r="U1703" i="2"/>
  <c r="O1703" i="2"/>
  <c r="M1703" i="2" s="1"/>
  <c r="AD1703" i="2" s="1"/>
  <c r="K1703" i="2"/>
  <c r="F1703" i="2"/>
  <c r="V1703" i="2" s="1"/>
  <c r="E1703" i="2"/>
  <c r="D1703" i="2"/>
  <c r="AC1702" i="2"/>
  <c r="AB1702" i="2"/>
  <c r="AA1702" i="2"/>
  <c r="U1702" i="2"/>
  <c r="O1702" i="2"/>
  <c r="K1702" i="2"/>
  <c r="F1702" i="2"/>
  <c r="V1702" i="2" s="1"/>
  <c r="E1702" i="2"/>
  <c r="D1702" i="2"/>
  <c r="AC1701" i="2"/>
  <c r="AB1701" i="2"/>
  <c r="AA1701" i="2"/>
  <c r="U1701" i="2"/>
  <c r="O1701" i="2"/>
  <c r="M1701" i="2" s="1"/>
  <c r="AD1701" i="2" s="1"/>
  <c r="K1701" i="2"/>
  <c r="F1701" i="2"/>
  <c r="V1701" i="2" s="1"/>
  <c r="E1701" i="2"/>
  <c r="D1701" i="2"/>
  <c r="AC1700" i="2"/>
  <c r="AB1700" i="2"/>
  <c r="AA1700" i="2"/>
  <c r="U1700" i="2"/>
  <c r="O1700" i="2"/>
  <c r="M1700" i="2" s="1"/>
  <c r="AD1700" i="2" s="1"/>
  <c r="K1700" i="2"/>
  <c r="F1700" i="2"/>
  <c r="V1700" i="2" s="1"/>
  <c r="E1700" i="2"/>
  <c r="D1700" i="2"/>
  <c r="AC1699" i="2"/>
  <c r="AB1699" i="2"/>
  <c r="AA1699" i="2"/>
  <c r="U1699" i="2"/>
  <c r="O1699" i="2"/>
  <c r="Q1699" i="2" s="1"/>
  <c r="K1699" i="2"/>
  <c r="F1699" i="2"/>
  <c r="V1699" i="2" s="1"/>
  <c r="E1699" i="2"/>
  <c r="D1699" i="2"/>
  <c r="AC1698" i="2"/>
  <c r="AB1698" i="2"/>
  <c r="AA1698" i="2"/>
  <c r="U1698" i="2"/>
  <c r="O1698" i="2"/>
  <c r="M1698" i="2" s="1"/>
  <c r="AD1698" i="2" s="1"/>
  <c r="K1698" i="2"/>
  <c r="F1698" i="2"/>
  <c r="V1698" i="2" s="1"/>
  <c r="E1698" i="2"/>
  <c r="D1698" i="2"/>
  <c r="AC1697" i="2"/>
  <c r="AB1697" i="2"/>
  <c r="AA1697" i="2"/>
  <c r="U1697" i="2"/>
  <c r="O1697" i="2"/>
  <c r="K1697" i="2"/>
  <c r="F1697" i="2"/>
  <c r="V1697" i="2" s="1"/>
  <c r="E1697" i="2"/>
  <c r="D1697" i="2"/>
  <c r="AC1696" i="2"/>
  <c r="AB1696" i="2"/>
  <c r="AA1696" i="2"/>
  <c r="U1696" i="2"/>
  <c r="O1696" i="2"/>
  <c r="M1696" i="2" s="1"/>
  <c r="AD1696" i="2" s="1"/>
  <c r="K1696" i="2"/>
  <c r="F1696" i="2"/>
  <c r="V1696" i="2" s="1"/>
  <c r="E1696" i="2"/>
  <c r="D1696" i="2"/>
  <c r="AC1695" i="2"/>
  <c r="AB1695" i="2"/>
  <c r="AA1695" i="2"/>
  <c r="U1695" i="2"/>
  <c r="O1695" i="2"/>
  <c r="Q1695" i="2" s="1"/>
  <c r="K1695" i="2"/>
  <c r="F1695" i="2"/>
  <c r="V1695" i="2" s="1"/>
  <c r="E1695" i="2"/>
  <c r="D1695" i="2"/>
  <c r="AC1694" i="2"/>
  <c r="AB1694" i="2"/>
  <c r="AA1694" i="2"/>
  <c r="U1694" i="2"/>
  <c r="O1694" i="2"/>
  <c r="K1694" i="2"/>
  <c r="F1694" i="2"/>
  <c r="V1694" i="2" s="1"/>
  <c r="E1694" i="2"/>
  <c r="D1694" i="2"/>
  <c r="AC1693" i="2"/>
  <c r="AB1693" i="2"/>
  <c r="AA1693" i="2"/>
  <c r="U1693" i="2"/>
  <c r="O1693" i="2"/>
  <c r="Q1693" i="2" s="1"/>
  <c r="K1693" i="2"/>
  <c r="F1693" i="2"/>
  <c r="V1693" i="2" s="1"/>
  <c r="E1693" i="2"/>
  <c r="D1693" i="2"/>
  <c r="AC1692" i="2"/>
  <c r="AB1692" i="2"/>
  <c r="AA1692" i="2"/>
  <c r="U1692" i="2"/>
  <c r="O1692" i="2"/>
  <c r="M1692" i="2" s="1"/>
  <c r="AD1692" i="2" s="1"/>
  <c r="K1692" i="2"/>
  <c r="F1692" i="2"/>
  <c r="V1692" i="2" s="1"/>
  <c r="E1692" i="2"/>
  <c r="D1692" i="2"/>
  <c r="AC1691" i="2"/>
  <c r="AB1691" i="2"/>
  <c r="AA1691" i="2"/>
  <c r="U1691" i="2"/>
  <c r="O1691" i="2"/>
  <c r="Q1691" i="2" s="1"/>
  <c r="K1691" i="2"/>
  <c r="F1691" i="2"/>
  <c r="V1691" i="2" s="1"/>
  <c r="E1691" i="2"/>
  <c r="D1691" i="2"/>
  <c r="AC1690" i="2"/>
  <c r="AB1690" i="2"/>
  <c r="AA1690" i="2"/>
  <c r="U1690" i="2"/>
  <c r="O1690" i="2"/>
  <c r="M1690" i="2" s="1"/>
  <c r="AD1690" i="2" s="1"/>
  <c r="K1690" i="2"/>
  <c r="F1690" i="2"/>
  <c r="V1690" i="2" s="1"/>
  <c r="E1690" i="2"/>
  <c r="D1690" i="2"/>
  <c r="AC1689" i="2"/>
  <c r="AB1689" i="2"/>
  <c r="AA1689" i="2"/>
  <c r="U1689" i="2"/>
  <c r="O1689" i="2"/>
  <c r="Q1689" i="2" s="1"/>
  <c r="K1689" i="2"/>
  <c r="F1689" i="2"/>
  <c r="V1689" i="2" s="1"/>
  <c r="E1689" i="2"/>
  <c r="D1689" i="2"/>
  <c r="AC1688" i="2"/>
  <c r="AB1688" i="2"/>
  <c r="AA1688" i="2"/>
  <c r="U1688" i="2"/>
  <c r="O1688" i="2"/>
  <c r="M1688" i="2" s="1"/>
  <c r="AD1688" i="2" s="1"/>
  <c r="K1688" i="2"/>
  <c r="F1688" i="2"/>
  <c r="V1688" i="2" s="1"/>
  <c r="E1688" i="2"/>
  <c r="D1688" i="2"/>
  <c r="AC1687" i="2"/>
  <c r="AB1687" i="2"/>
  <c r="AA1687" i="2"/>
  <c r="U1687" i="2"/>
  <c r="O1687" i="2"/>
  <c r="Q1687" i="2" s="1"/>
  <c r="K1687" i="2"/>
  <c r="F1687" i="2"/>
  <c r="V1687" i="2" s="1"/>
  <c r="E1687" i="2"/>
  <c r="D1687" i="2"/>
  <c r="AC1686" i="2"/>
  <c r="AB1686" i="2"/>
  <c r="AA1686" i="2"/>
  <c r="U1686" i="2"/>
  <c r="O1686" i="2"/>
  <c r="M1686" i="2" s="1"/>
  <c r="AD1686" i="2" s="1"/>
  <c r="K1686" i="2"/>
  <c r="F1686" i="2"/>
  <c r="V1686" i="2" s="1"/>
  <c r="E1686" i="2"/>
  <c r="D1686" i="2"/>
  <c r="AC1685" i="2"/>
  <c r="AB1685" i="2"/>
  <c r="AA1685" i="2"/>
  <c r="U1685" i="2"/>
  <c r="O1685" i="2"/>
  <c r="Q1685" i="2" s="1"/>
  <c r="K1685" i="2"/>
  <c r="F1685" i="2"/>
  <c r="V1685" i="2" s="1"/>
  <c r="E1685" i="2"/>
  <c r="D1685" i="2"/>
  <c r="AC1684" i="2"/>
  <c r="AB1684" i="2"/>
  <c r="AA1684" i="2"/>
  <c r="U1684" i="2"/>
  <c r="O1684" i="2"/>
  <c r="M1684" i="2" s="1"/>
  <c r="AD1684" i="2" s="1"/>
  <c r="K1684" i="2"/>
  <c r="F1684" i="2"/>
  <c r="V1684" i="2" s="1"/>
  <c r="E1684" i="2"/>
  <c r="D1684" i="2"/>
  <c r="AC1683" i="2"/>
  <c r="AB1683" i="2"/>
  <c r="AA1683" i="2"/>
  <c r="U1683" i="2"/>
  <c r="O1683" i="2"/>
  <c r="Q1683" i="2" s="1"/>
  <c r="K1683" i="2"/>
  <c r="F1683" i="2"/>
  <c r="V1683" i="2" s="1"/>
  <c r="E1683" i="2"/>
  <c r="D1683" i="2"/>
  <c r="AC1682" i="2"/>
  <c r="AB1682" i="2"/>
  <c r="AA1682" i="2"/>
  <c r="U1682" i="2"/>
  <c r="O1682" i="2"/>
  <c r="M1682" i="2" s="1"/>
  <c r="AD1682" i="2" s="1"/>
  <c r="K1682" i="2"/>
  <c r="F1682" i="2"/>
  <c r="V1682" i="2" s="1"/>
  <c r="E1682" i="2"/>
  <c r="D1682" i="2"/>
  <c r="AC1681" i="2"/>
  <c r="AB1681" i="2"/>
  <c r="AA1681" i="2"/>
  <c r="U1681" i="2"/>
  <c r="O1681" i="2"/>
  <c r="Q1681" i="2" s="1"/>
  <c r="K1681" i="2"/>
  <c r="F1681" i="2"/>
  <c r="V1681" i="2" s="1"/>
  <c r="E1681" i="2"/>
  <c r="D1681" i="2"/>
  <c r="AC1680" i="2"/>
  <c r="AB1680" i="2"/>
  <c r="AA1680" i="2"/>
  <c r="U1680" i="2"/>
  <c r="O1680" i="2"/>
  <c r="M1680" i="2" s="1"/>
  <c r="AD1680" i="2" s="1"/>
  <c r="K1680" i="2"/>
  <c r="F1680" i="2"/>
  <c r="V1680" i="2" s="1"/>
  <c r="E1680" i="2"/>
  <c r="D1680" i="2"/>
  <c r="AC1679" i="2"/>
  <c r="AB1679" i="2"/>
  <c r="AA1679" i="2"/>
  <c r="U1679" i="2"/>
  <c r="O1679" i="2"/>
  <c r="Q1679" i="2" s="1"/>
  <c r="K1679" i="2"/>
  <c r="F1679" i="2"/>
  <c r="V1679" i="2" s="1"/>
  <c r="E1679" i="2"/>
  <c r="D1679" i="2"/>
  <c r="AC1678" i="2"/>
  <c r="AB1678" i="2"/>
  <c r="AA1678" i="2"/>
  <c r="U1678" i="2"/>
  <c r="O1678" i="2"/>
  <c r="M1678" i="2" s="1"/>
  <c r="AD1678" i="2" s="1"/>
  <c r="K1678" i="2"/>
  <c r="F1678" i="2"/>
  <c r="V1678" i="2" s="1"/>
  <c r="E1678" i="2"/>
  <c r="D1678" i="2"/>
  <c r="AC1677" i="2"/>
  <c r="AB1677" i="2"/>
  <c r="AA1677" i="2"/>
  <c r="U1677" i="2"/>
  <c r="O1677" i="2"/>
  <c r="Q1677" i="2" s="1"/>
  <c r="K1677" i="2"/>
  <c r="F1677" i="2"/>
  <c r="V1677" i="2" s="1"/>
  <c r="E1677" i="2"/>
  <c r="D1677" i="2"/>
  <c r="AC1676" i="2"/>
  <c r="AB1676" i="2"/>
  <c r="AA1676" i="2"/>
  <c r="U1676" i="2"/>
  <c r="O1676" i="2"/>
  <c r="M1676" i="2" s="1"/>
  <c r="AD1676" i="2" s="1"/>
  <c r="K1676" i="2"/>
  <c r="F1676" i="2"/>
  <c r="V1676" i="2" s="1"/>
  <c r="E1676" i="2"/>
  <c r="D1676" i="2"/>
  <c r="AC1675" i="2"/>
  <c r="AB1675" i="2"/>
  <c r="AA1675" i="2"/>
  <c r="U1675" i="2"/>
  <c r="O1675" i="2"/>
  <c r="Q1675" i="2" s="1"/>
  <c r="K1675" i="2"/>
  <c r="F1675" i="2"/>
  <c r="V1675" i="2" s="1"/>
  <c r="E1675" i="2"/>
  <c r="D1675" i="2"/>
  <c r="AC1674" i="2"/>
  <c r="AB1674" i="2"/>
  <c r="AA1674" i="2"/>
  <c r="U1674" i="2"/>
  <c r="O1674" i="2"/>
  <c r="M1674" i="2" s="1"/>
  <c r="AD1674" i="2" s="1"/>
  <c r="K1674" i="2"/>
  <c r="F1674" i="2"/>
  <c r="V1674" i="2" s="1"/>
  <c r="E1674" i="2"/>
  <c r="D1674" i="2"/>
  <c r="AC1673" i="2"/>
  <c r="AB1673" i="2"/>
  <c r="AA1673" i="2"/>
  <c r="U1673" i="2"/>
  <c r="O1673" i="2"/>
  <c r="Q1673" i="2" s="1"/>
  <c r="K1673" i="2"/>
  <c r="F1673" i="2"/>
  <c r="V1673" i="2" s="1"/>
  <c r="E1673" i="2"/>
  <c r="D1673" i="2"/>
  <c r="AC1672" i="2"/>
  <c r="AB1672" i="2"/>
  <c r="AA1672" i="2"/>
  <c r="U1672" i="2"/>
  <c r="O1672" i="2"/>
  <c r="M1672" i="2" s="1"/>
  <c r="AD1672" i="2" s="1"/>
  <c r="K1672" i="2"/>
  <c r="F1672" i="2"/>
  <c r="V1672" i="2" s="1"/>
  <c r="E1672" i="2"/>
  <c r="D1672" i="2"/>
  <c r="AC1671" i="2"/>
  <c r="AB1671" i="2"/>
  <c r="AA1671" i="2"/>
  <c r="U1671" i="2"/>
  <c r="O1671" i="2"/>
  <c r="Q1671" i="2" s="1"/>
  <c r="K1671" i="2"/>
  <c r="F1671" i="2"/>
  <c r="V1671" i="2" s="1"/>
  <c r="E1671" i="2"/>
  <c r="D1671" i="2"/>
  <c r="AC1670" i="2"/>
  <c r="AB1670" i="2"/>
  <c r="AA1670" i="2"/>
  <c r="U1670" i="2"/>
  <c r="O1670" i="2"/>
  <c r="M1670" i="2" s="1"/>
  <c r="AD1670" i="2" s="1"/>
  <c r="K1670" i="2"/>
  <c r="F1670" i="2"/>
  <c r="V1670" i="2" s="1"/>
  <c r="E1670" i="2"/>
  <c r="D1670" i="2"/>
  <c r="AC1669" i="2"/>
  <c r="AB1669" i="2"/>
  <c r="AA1669" i="2"/>
  <c r="U1669" i="2"/>
  <c r="O1669" i="2"/>
  <c r="M1669" i="2" s="1"/>
  <c r="AD1669" i="2" s="1"/>
  <c r="K1669" i="2"/>
  <c r="F1669" i="2"/>
  <c r="V1669" i="2" s="1"/>
  <c r="E1669" i="2"/>
  <c r="D1669" i="2"/>
  <c r="AC1668" i="2"/>
  <c r="AB1668" i="2"/>
  <c r="AA1668" i="2"/>
  <c r="U1668" i="2"/>
  <c r="O1668" i="2"/>
  <c r="Q1668" i="2" s="1"/>
  <c r="K1668" i="2"/>
  <c r="F1668" i="2"/>
  <c r="V1668" i="2" s="1"/>
  <c r="E1668" i="2"/>
  <c r="D1668" i="2"/>
  <c r="AC1667" i="2"/>
  <c r="AB1667" i="2"/>
  <c r="AA1667" i="2"/>
  <c r="U1667" i="2"/>
  <c r="O1667" i="2"/>
  <c r="M1667" i="2" s="1"/>
  <c r="AD1667" i="2" s="1"/>
  <c r="K1667" i="2"/>
  <c r="F1667" i="2"/>
  <c r="V1667" i="2" s="1"/>
  <c r="E1667" i="2"/>
  <c r="D1667" i="2"/>
  <c r="AC1666" i="2"/>
  <c r="AB1666" i="2"/>
  <c r="AA1666" i="2"/>
  <c r="U1666" i="2"/>
  <c r="O1666" i="2"/>
  <c r="Q1666" i="2" s="1"/>
  <c r="K1666" i="2"/>
  <c r="F1666" i="2"/>
  <c r="V1666" i="2" s="1"/>
  <c r="E1666" i="2"/>
  <c r="D1666" i="2"/>
  <c r="AC1665" i="2"/>
  <c r="AB1665" i="2"/>
  <c r="AA1665" i="2"/>
  <c r="U1665" i="2"/>
  <c r="O1665" i="2"/>
  <c r="M1665" i="2" s="1"/>
  <c r="AD1665" i="2" s="1"/>
  <c r="K1665" i="2"/>
  <c r="F1665" i="2"/>
  <c r="V1665" i="2" s="1"/>
  <c r="E1665" i="2"/>
  <c r="D1665" i="2"/>
  <c r="AC1664" i="2"/>
  <c r="AB1664" i="2"/>
  <c r="AA1664" i="2"/>
  <c r="U1664" i="2"/>
  <c r="O1664" i="2"/>
  <c r="Q1664" i="2" s="1"/>
  <c r="K1664" i="2"/>
  <c r="F1664" i="2"/>
  <c r="V1664" i="2" s="1"/>
  <c r="E1664" i="2"/>
  <c r="D1664" i="2"/>
  <c r="AC1663" i="2"/>
  <c r="AB1663" i="2"/>
  <c r="AA1663" i="2"/>
  <c r="U1663" i="2"/>
  <c r="O1663" i="2"/>
  <c r="M1663" i="2" s="1"/>
  <c r="AD1663" i="2" s="1"/>
  <c r="K1663" i="2"/>
  <c r="F1663" i="2"/>
  <c r="V1663" i="2" s="1"/>
  <c r="E1663" i="2"/>
  <c r="D1663" i="2"/>
  <c r="AC1662" i="2"/>
  <c r="AB1662" i="2"/>
  <c r="AA1662" i="2"/>
  <c r="U1662" i="2"/>
  <c r="O1662" i="2"/>
  <c r="Q1662" i="2" s="1"/>
  <c r="K1662" i="2"/>
  <c r="F1662" i="2"/>
  <c r="V1662" i="2" s="1"/>
  <c r="E1662" i="2"/>
  <c r="D1662" i="2"/>
  <c r="AC1661" i="2"/>
  <c r="AB1661" i="2"/>
  <c r="AA1661" i="2"/>
  <c r="U1661" i="2"/>
  <c r="O1661" i="2"/>
  <c r="M1661" i="2" s="1"/>
  <c r="AD1661" i="2" s="1"/>
  <c r="K1661" i="2"/>
  <c r="F1661" i="2"/>
  <c r="V1661" i="2" s="1"/>
  <c r="E1661" i="2"/>
  <c r="D1661" i="2"/>
  <c r="AC1660" i="2"/>
  <c r="AB1660" i="2"/>
  <c r="AA1660" i="2"/>
  <c r="U1660" i="2"/>
  <c r="O1660" i="2"/>
  <c r="Q1660" i="2" s="1"/>
  <c r="K1660" i="2"/>
  <c r="F1660" i="2"/>
  <c r="V1660" i="2" s="1"/>
  <c r="E1660" i="2"/>
  <c r="D1660" i="2"/>
  <c r="AC1659" i="2"/>
  <c r="AB1659" i="2"/>
  <c r="AA1659" i="2"/>
  <c r="U1659" i="2"/>
  <c r="O1659" i="2"/>
  <c r="M1659" i="2" s="1"/>
  <c r="AD1659" i="2" s="1"/>
  <c r="K1659" i="2"/>
  <c r="F1659" i="2"/>
  <c r="V1659" i="2" s="1"/>
  <c r="E1659" i="2"/>
  <c r="D1659" i="2"/>
  <c r="AC1658" i="2"/>
  <c r="AB1658" i="2"/>
  <c r="AA1658" i="2"/>
  <c r="U1658" i="2"/>
  <c r="O1658" i="2"/>
  <c r="Q1658" i="2" s="1"/>
  <c r="K1658" i="2"/>
  <c r="F1658" i="2"/>
  <c r="V1658" i="2" s="1"/>
  <c r="E1658" i="2"/>
  <c r="D1658" i="2"/>
  <c r="AC1657" i="2"/>
  <c r="AB1657" i="2"/>
  <c r="AA1657" i="2"/>
  <c r="U1657" i="2"/>
  <c r="O1657" i="2"/>
  <c r="M1657" i="2" s="1"/>
  <c r="AD1657" i="2" s="1"/>
  <c r="K1657" i="2"/>
  <c r="F1657" i="2"/>
  <c r="V1657" i="2" s="1"/>
  <c r="E1657" i="2"/>
  <c r="D1657" i="2"/>
  <c r="AC1656" i="2"/>
  <c r="AB1656" i="2"/>
  <c r="AA1656" i="2"/>
  <c r="U1656" i="2"/>
  <c r="O1656" i="2"/>
  <c r="Q1656" i="2" s="1"/>
  <c r="K1656" i="2"/>
  <c r="F1656" i="2"/>
  <c r="V1656" i="2" s="1"/>
  <c r="E1656" i="2"/>
  <c r="D1656" i="2"/>
  <c r="AC1655" i="2"/>
  <c r="AB1655" i="2"/>
  <c r="AA1655" i="2"/>
  <c r="U1655" i="2"/>
  <c r="O1655" i="2"/>
  <c r="M1655" i="2" s="1"/>
  <c r="AD1655" i="2" s="1"/>
  <c r="K1655" i="2"/>
  <c r="F1655" i="2"/>
  <c r="V1655" i="2" s="1"/>
  <c r="E1655" i="2"/>
  <c r="D1655" i="2"/>
  <c r="AC1654" i="2"/>
  <c r="AB1654" i="2"/>
  <c r="AA1654" i="2"/>
  <c r="U1654" i="2"/>
  <c r="O1654" i="2"/>
  <c r="Q1654" i="2" s="1"/>
  <c r="K1654" i="2"/>
  <c r="F1654" i="2"/>
  <c r="V1654" i="2" s="1"/>
  <c r="E1654" i="2"/>
  <c r="D1654" i="2"/>
  <c r="AC1653" i="2"/>
  <c r="AB1653" i="2"/>
  <c r="AA1653" i="2"/>
  <c r="U1653" i="2"/>
  <c r="O1653" i="2"/>
  <c r="M1653" i="2" s="1"/>
  <c r="AD1653" i="2" s="1"/>
  <c r="K1653" i="2"/>
  <c r="F1653" i="2"/>
  <c r="V1653" i="2" s="1"/>
  <c r="E1653" i="2"/>
  <c r="D1653" i="2"/>
  <c r="AC1652" i="2"/>
  <c r="AB1652" i="2"/>
  <c r="AA1652" i="2"/>
  <c r="U1652" i="2"/>
  <c r="O1652" i="2"/>
  <c r="Q1652" i="2" s="1"/>
  <c r="K1652" i="2"/>
  <c r="F1652" i="2"/>
  <c r="V1652" i="2" s="1"/>
  <c r="E1652" i="2"/>
  <c r="D1652" i="2"/>
  <c r="AC1651" i="2"/>
  <c r="AB1651" i="2"/>
  <c r="AA1651" i="2"/>
  <c r="U1651" i="2"/>
  <c r="O1651" i="2"/>
  <c r="M1651" i="2" s="1"/>
  <c r="AD1651" i="2" s="1"/>
  <c r="K1651" i="2"/>
  <c r="F1651" i="2"/>
  <c r="V1651" i="2" s="1"/>
  <c r="E1651" i="2"/>
  <c r="D1651" i="2"/>
  <c r="AC1650" i="2"/>
  <c r="AB1650" i="2"/>
  <c r="AA1650" i="2"/>
  <c r="U1650" i="2"/>
  <c r="O1650" i="2"/>
  <c r="Q1650" i="2" s="1"/>
  <c r="K1650" i="2"/>
  <c r="F1650" i="2"/>
  <c r="V1650" i="2" s="1"/>
  <c r="E1650" i="2"/>
  <c r="D1650" i="2"/>
  <c r="AC1649" i="2"/>
  <c r="AB1649" i="2"/>
  <c r="AA1649" i="2"/>
  <c r="U1649" i="2"/>
  <c r="O1649" i="2"/>
  <c r="M1649" i="2" s="1"/>
  <c r="AD1649" i="2" s="1"/>
  <c r="K1649" i="2"/>
  <c r="F1649" i="2"/>
  <c r="V1649" i="2" s="1"/>
  <c r="E1649" i="2"/>
  <c r="D1649" i="2"/>
  <c r="AC1648" i="2"/>
  <c r="AB1648" i="2"/>
  <c r="AA1648" i="2"/>
  <c r="U1648" i="2"/>
  <c r="O1648" i="2"/>
  <c r="Q1648" i="2" s="1"/>
  <c r="K1648" i="2"/>
  <c r="F1648" i="2"/>
  <c r="V1648" i="2" s="1"/>
  <c r="E1648" i="2"/>
  <c r="D1648" i="2"/>
  <c r="AC1647" i="2"/>
  <c r="AB1647" i="2"/>
  <c r="AA1647" i="2"/>
  <c r="U1647" i="2"/>
  <c r="O1647" i="2"/>
  <c r="M1647" i="2" s="1"/>
  <c r="AD1647" i="2" s="1"/>
  <c r="K1647" i="2"/>
  <c r="F1647" i="2"/>
  <c r="V1647" i="2" s="1"/>
  <c r="E1647" i="2"/>
  <c r="D1647" i="2"/>
  <c r="AC1646" i="2"/>
  <c r="AB1646" i="2"/>
  <c r="AA1646" i="2"/>
  <c r="U1646" i="2"/>
  <c r="O1646" i="2"/>
  <c r="Q1646" i="2" s="1"/>
  <c r="K1646" i="2"/>
  <c r="F1646" i="2"/>
  <c r="V1646" i="2" s="1"/>
  <c r="E1646" i="2"/>
  <c r="D1646" i="2"/>
  <c r="AC1645" i="2"/>
  <c r="AB1645" i="2"/>
  <c r="AA1645" i="2"/>
  <c r="U1645" i="2"/>
  <c r="O1645" i="2"/>
  <c r="M1645" i="2" s="1"/>
  <c r="AD1645" i="2" s="1"/>
  <c r="K1645" i="2"/>
  <c r="F1645" i="2"/>
  <c r="V1645" i="2" s="1"/>
  <c r="E1645" i="2"/>
  <c r="D1645" i="2"/>
  <c r="AC1644" i="2"/>
  <c r="AB1644" i="2"/>
  <c r="AA1644" i="2"/>
  <c r="U1644" i="2"/>
  <c r="O1644" i="2"/>
  <c r="Q1644" i="2" s="1"/>
  <c r="K1644" i="2"/>
  <c r="F1644" i="2"/>
  <c r="V1644" i="2" s="1"/>
  <c r="E1644" i="2"/>
  <c r="D1644" i="2"/>
  <c r="AC1643" i="2"/>
  <c r="AB1643" i="2"/>
  <c r="AA1643" i="2"/>
  <c r="U1643" i="2"/>
  <c r="O1643" i="2"/>
  <c r="M1643" i="2" s="1"/>
  <c r="AD1643" i="2" s="1"/>
  <c r="K1643" i="2"/>
  <c r="F1643" i="2"/>
  <c r="V1643" i="2" s="1"/>
  <c r="E1643" i="2"/>
  <c r="D1643" i="2"/>
  <c r="AC1642" i="2"/>
  <c r="AB1642" i="2"/>
  <c r="AA1642" i="2"/>
  <c r="U1642" i="2"/>
  <c r="O1642" i="2"/>
  <c r="Q1642" i="2" s="1"/>
  <c r="K1642" i="2"/>
  <c r="F1642" i="2"/>
  <c r="V1642" i="2" s="1"/>
  <c r="E1642" i="2"/>
  <c r="D1642" i="2"/>
  <c r="AC1641" i="2"/>
  <c r="AB1641" i="2"/>
  <c r="AA1641" i="2"/>
  <c r="U1641" i="2"/>
  <c r="O1641" i="2"/>
  <c r="M1641" i="2" s="1"/>
  <c r="AD1641" i="2" s="1"/>
  <c r="K1641" i="2"/>
  <c r="F1641" i="2"/>
  <c r="V1641" i="2" s="1"/>
  <c r="E1641" i="2"/>
  <c r="D1641" i="2"/>
  <c r="AC1640" i="2"/>
  <c r="AB1640" i="2"/>
  <c r="AA1640" i="2"/>
  <c r="U1640" i="2"/>
  <c r="O1640" i="2"/>
  <c r="Q1640" i="2" s="1"/>
  <c r="K1640" i="2"/>
  <c r="F1640" i="2"/>
  <c r="V1640" i="2" s="1"/>
  <c r="E1640" i="2"/>
  <c r="D1640" i="2"/>
  <c r="AC1639" i="2"/>
  <c r="AB1639" i="2"/>
  <c r="AA1639" i="2"/>
  <c r="U1639" i="2"/>
  <c r="O1639" i="2"/>
  <c r="M1639" i="2" s="1"/>
  <c r="AD1639" i="2" s="1"/>
  <c r="K1639" i="2"/>
  <c r="F1639" i="2"/>
  <c r="V1639" i="2" s="1"/>
  <c r="E1639" i="2"/>
  <c r="D1639" i="2"/>
  <c r="AC1638" i="2"/>
  <c r="AB1638" i="2"/>
  <c r="AA1638" i="2"/>
  <c r="U1638" i="2"/>
  <c r="O1638" i="2"/>
  <c r="Q1638" i="2" s="1"/>
  <c r="K1638" i="2"/>
  <c r="F1638" i="2"/>
  <c r="V1638" i="2" s="1"/>
  <c r="E1638" i="2"/>
  <c r="D1638" i="2"/>
  <c r="AC1637" i="2"/>
  <c r="AB1637" i="2"/>
  <c r="AA1637" i="2"/>
  <c r="U1637" i="2"/>
  <c r="O1637" i="2"/>
  <c r="M1637" i="2" s="1"/>
  <c r="AD1637" i="2" s="1"/>
  <c r="K1637" i="2"/>
  <c r="F1637" i="2"/>
  <c r="V1637" i="2" s="1"/>
  <c r="E1637" i="2"/>
  <c r="D1637" i="2"/>
  <c r="AC1636" i="2"/>
  <c r="AB1636" i="2"/>
  <c r="AA1636" i="2"/>
  <c r="U1636" i="2"/>
  <c r="O1636" i="2"/>
  <c r="Q1636" i="2" s="1"/>
  <c r="K1636" i="2"/>
  <c r="F1636" i="2"/>
  <c r="V1636" i="2" s="1"/>
  <c r="E1636" i="2"/>
  <c r="D1636" i="2"/>
  <c r="AC1635" i="2"/>
  <c r="AB1635" i="2"/>
  <c r="AA1635" i="2"/>
  <c r="U1635" i="2"/>
  <c r="O1635" i="2"/>
  <c r="M1635" i="2" s="1"/>
  <c r="AD1635" i="2" s="1"/>
  <c r="K1635" i="2"/>
  <c r="F1635" i="2"/>
  <c r="V1635" i="2" s="1"/>
  <c r="E1635" i="2"/>
  <c r="D1635" i="2"/>
  <c r="AC1634" i="2"/>
  <c r="AB1634" i="2"/>
  <c r="AA1634" i="2"/>
  <c r="U1634" i="2"/>
  <c r="O1634" i="2"/>
  <c r="Q1634" i="2" s="1"/>
  <c r="K1634" i="2"/>
  <c r="F1634" i="2"/>
  <c r="V1634" i="2" s="1"/>
  <c r="E1634" i="2"/>
  <c r="D1634" i="2"/>
  <c r="AC1633" i="2"/>
  <c r="AB1633" i="2"/>
  <c r="AA1633" i="2"/>
  <c r="U1633" i="2"/>
  <c r="O1633" i="2"/>
  <c r="M1633" i="2" s="1"/>
  <c r="AD1633" i="2" s="1"/>
  <c r="K1633" i="2"/>
  <c r="F1633" i="2"/>
  <c r="V1633" i="2" s="1"/>
  <c r="E1633" i="2"/>
  <c r="D1633" i="2"/>
  <c r="AC1632" i="2"/>
  <c r="AB1632" i="2"/>
  <c r="AA1632" i="2"/>
  <c r="U1632" i="2"/>
  <c r="O1632" i="2"/>
  <c r="Q1632" i="2" s="1"/>
  <c r="K1632" i="2"/>
  <c r="F1632" i="2"/>
  <c r="V1632" i="2" s="1"/>
  <c r="E1632" i="2"/>
  <c r="D1632" i="2"/>
  <c r="AC1631" i="2"/>
  <c r="AB1631" i="2"/>
  <c r="AA1631" i="2"/>
  <c r="U1631" i="2"/>
  <c r="O1631" i="2"/>
  <c r="M1631" i="2" s="1"/>
  <c r="AD1631" i="2" s="1"/>
  <c r="K1631" i="2"/>
  <c r="F1631" i="2"/>
  <c r="V1631" i="2" s="1"/>
  <c r="E1631" i="2"/>
  <c r="D1631" i="2"/>
  <c r="AC1630" i="2"/>
  <c r="AB1630" i="2"/>
  <c r="AA1630" i="2"/>
  <c r="U1630" i="2"/>
  <c r="O1630" i="2"/>
  <c r="Q1630" i="2" s="1"/>
  <c r="K1630" i="2"/>
  <c r="F1630" i="2"/>
  <c r="V1630" i="2" s="1"/>
  <c r="E1630" i="2"/>
  <c r="D1630" i="2"/>
  <c r="AC1629" i="2"/>
  <c r="AB1629" i="2"/>
  <c r="AA1629" i="2"/>
  <c r="U1629" i="2"/>
  <c r="O1629" i="2"/>
  <c r="M1629" i="2" s="1"/>
  <c r="AD1629" i="2" s="1"/>
  <c r="K1629" i="2"/>
  <c r="F1629" i="2"/>
  <c r="V1629" i="2" s="1"/>
  <c r="E1629" i="2"/>
  <c r="D1629" i="2"/>
  <c r="AC1628" i="2"/>
  <c r="AB1628" i="2"/>
  <c r="AA1628" i="2"/>
  <c r="U1628" i="2"/>
  <c r="O1628" i="2"/>
  <c r="Q1628" i="2" s="1"/>
  <c r="K1628" i="2"/>
  <c r="F1628" i="2"/>
  <c r="V1628" i="2" s="1"/>
  <c r="E1628" i="2"/>
  <c r="D1628" i="2"/>
  <c r="AC1627" i="2"/>
  <c r="AB1627" i="2"/>
  <c r="AA1627" i="2"/>
  <c r="U1627" i="2"/>
  <c r="O1627" i="2"/>
  <c r="M1627" i="2" s="1"/>
  <c r="AD1627" i="2" s="1"/>
  <c r="K1627" i="2"/>
  <c r="F1627" i="2"/>
  <c r="V1627" i="2" s="1"/>
  <c r="E1627" i="2"/>
  <c r="D1627" i="2"/>
  <c r="AC1626" i="2"/>
  <c r="AB1626" i="2"/>
  <c r="AA1626" i="2"/>
  <c r="U1626" i="2"/>
  <c r="O1626" i="2"/>
  <c r="Q1626" i="2" s="1"/>
  <c r="K1626" i="2"/>
  <c r="F1626" i="2"/>
  <c r="V1626" i="2" s="1"/>
  <c r="E1626" i="2"/>
  <c r="D1626" i="2"/>
  <c r="AC1625" i="2"/>
  <c r="AB1625" i="2"/>
  <c r="AA1625" i="2"/>
  <c r="U1625" i="2"/>
  <c r="O1625" i="2"/>
  <c r="M1625" i="2" s="1"/>
  <c r="AD1625" i="2" s="1"/>
  <c r="K1625" i="2"/>
  <c r="F1625" i="2"/>
  <c r="V1625" i="2" s="1"/>
  <c r="E1625" i="2"/>
  <c r="D1625" i="2"/>
  <c r="AC1624" i="2"/>
  <c r="AB1624" i="2"/>
  <c r="AA1624" i="2"/>
  <c r="U1624" i="2"/>
  <c r="O1624" i="2"/>
  <c r="Q1624" i="2" s="1"/>
  <c r="K1624" i="2"/>
  <c r="F1624" i="2"/>
  <c r="V1624" i="2" s="1"/>
  <c r="E1624" i="2"/>
  <c r="D1624" i="2"/>
  <c r="AC1623" i="2"/>
  <c r="AB1623" i="2"/>
  <c r="AA1623" i="2"/>
  <c r="U1623" i="2"/>
  <c r="O1623" i="2"/>
  <c r="M1623" i="2" s="1"/>
  <c r="AD1623" i="2" s="1"/>
  <c r="K1623" i="2"/>
  <c r="F1623" i="2"/>
  <c r="V1623" i="2" s="1"/>
  <c r="E1623" i="2"/>
  <c r="D1623" i="2"/>
  <c r="AC1622" i="2"/>
  <c r="AB1622" i="2"/>
  <c r="AA1622" i="2"/>
  <c r="U1622" i="2"/>
  <c r="O1622" i="2"/>
  <c r="Q1622" i="2" s="1"/>
  <c r="K1622" i="2"/>
  <c r="F1622" i="2"/>
  <c r="V1622" i="2" s="1"/>
  <c r="E1622" i="2"/>
  <c r="D1622" i="2"/>
  <c r="AC1621" i="2"/>
  <c r="AB1621" i="2"/>
  <c r="AA1621" i="2"/>
  <c r="U1621" i="2"/>
  <c r="O1621" i="2"/>
  <c r="M1621" i="2" s="1"/>
  <c r="AD1621" i="2" s="1"/>
  <c r="K1621" i="2"/>
  <c r="F1621" i="2"/>
  <c r="V1621" i="2" s="1"/>
  <c r="E1621" i="2"/>
  <c r="D1621" i="2"/>
  <c r="AC1620" i="2"/>
  <c r="AB1620" i="2"/>
  <c r="AA1620" i="2"/>
  <c r="U1620" i="2"/>
  <c r="O1620" i="2"/>
  <c r="Q1620" i="2" s="1"/>
  <c r="K1620" i="2"/>
  <c r="F1620" i="2"/>
  <c r="V1620" i="2" s="1"/>
  <c r="E1620" i="2"/>
  <c r="D1620" i="2"/>
  <c r="AC1619" i="2"/>
  <c r="AB1619" i="2"/>
  <c r="AA1619" i="2"/>
  <c r="U1619" i="2"/>
  <c r="O1619" i="2"/>
  <c r="M1619" i="2" s="1"/>
  <c r="AD1619" i="2" s="1"/>
  <c r="K1619" i="2"/>
  <c r="F1619" i="2"/>
  <c r="V1619" i="2" s="1"/>
  <c r="E1619" i="2"/>
  <c r="D1619" i="2"/>
  <c r="AC1618" i="2"/>
  <c r="AB1618" i="2"/>
  <c r="AA1618" i="2"/>
  <c r="U1618" i="2"/>
  <c r="O1618" i="2"/>
  <c r="Q1618" i="2" s="1"/>
  <c r="K1618" i="2"/>
  <c r="F1618" i="2"/>
  <c r="V1618" i="2" s="1"/>
  <c r="E1618" i="2"/>
  <c r="D1618" i="2"/>
  <c r="AC1617" i="2"/>
  <c r="AB1617" i="2"/>
  <c r="AA1617" i="2"/>
  <c r="U1617" i="2"/>
  <c r="O1617" i="2"/>
  <c r="K1617" i="2"/>
  <c r="F1617" i="2"/>
  <c r="V1617" i="2" s="1"/>
  <c r="E1617" i="2"/>
  <c r="D1617" i="2"/>
  <c r="AC1616" i="2"/>
  <c r="AB1616" i="2"/>
  <c r="AA1616" i="2"/>
  <c r="U1616" i="2"/>
  <c r="O1616" i="2"/>
  <c r="K1616" i="2"/>
  <c r="F1616" i="2"/>
  <c r="V1616" i="2" s="1"/>
  <c r="E1616" i="2"/>
  <c r="D1616" i="2"/>
  <c r="AC1615" i="2"/>
  <c r="AB1615" i="2"/>
  <c r="AA1615" i="2"/>
  <c r="U1615" i="2"/>
  <c r="O1615" i="2"/>
  <c r="M1615" i="2" s="1"/>
  <c r="AD1615" i="2" s="1"/>
  <c r="K1615" i="2"/>
  <c r="F1615" i="2"/>
  <c r="V1615" i="2" s="1"/>
  <c r="E1615" i="2"/>
  <c r="D1615" i="2"/>
  <c r="AC1614" i="2"/>
  <c r="AB1614" i="2"/>
  <c r="AA1614" i="2"/>
  <c r="U1614" i="2"/>
  <c r="O1614" i="2"/>
  <c r="Q1614" i="2" s="1"/>
  <c r="K1614" i="2"/>
  <c r="F1614" i="2"/>
  <c r="V1614" i="2" s="1"/>
  <c r="E1614" i="2"/>
  <c r="D1614" i="2"/>
  <c r="AC1613" i="2"/>
  <c r="AB1613" i="2"/>
  <c r="AA1613" i="2"/>
  <c r="U1613" i="2"/>
  <c r="O1613" i="2"/>
  <c r="K1613" i="2"/>
  <c r="F1613" i="2"/>
  <c r="V1613" i="2" s="1"/>
  <c r="E1613" i="2"/>
  <c r="D1613" i="2"/>
  <c r="AC1612" i="2"/>
  <c r="AB1612" i="2"/>
  <c r="AA1612" i="2"/>
  <c r="U1612" i="2"/>
  <c r="O1612" i="2"/>
  <c r="K1612" i="2"/>
  <c r="F1612" i="2"/>
  <c r="V1612" i="2" s="1"/>
  <c r="E1612" i="2"/>
  <c r="D1612" i="2"/>
  <c r="AC1611" i="2"/>
  <c r="AB1611" i="2"/>
  <c r="AA1611" i="2"/>
  <c r="U1611" i="2"/>
  <c r="O1611" i="2"/>
  <c r="M1611" i="2" s="1"/>
  <c r="AD1611" i="2" s="1"/>
  <c r="K1611" i="2"/>
  <c r="F1611" i="2"/>
  <c r="V1611" i="2" s="1"/>
  <c r="E1611" i="2"/>
  <c r="D1611" i="2"/>
  <c r="AC1610" i="2"/>
  <c r="AB1610" i="2"/>
  <c r="AA1610" i="2"/>
  <c r="U1610" i="2"/>
  <c r="O1610" i="2"/>
  <c r="Q1610" i="2" s="1"/>
  <c r="K1610" i="2"/>
  <c r="F1610" i="2"/>
  <c r="V1610" i="2" s="1"/>
  <c r="E1610" i="2"/>
  <c r="D1610" i="2"/>
  <c r="AC1609" i="2"/>
  <c r="AB1609" i="2"/>
  <c r="AA1609" i="2"/>
  <c r="U1609" i="2"/>
  <c r="O1609" i="2"/>
  <c r="K1609" i="2"/>
  <c r="F1609" i="2"/>
  <c r="V1609" i="2" s="1"/>
  <c r="E1609" i="2"/>
  <c r="D1609" i="2"/>
  <c r="AC1608" i="2"/>
  <c r="AB1608" i="2"/>
  <c r="AA1608" i="2"/>
  <c r="U1608" i="2"/>
  <c r="O1608" i="2"/>
  <c r="Q1608" i="2" s="1"/>
  <c r="K1608" i="2"/>
  <c r="F1608" i="2"/>
  <c r="V1608" i="2" s="1"/>
  <c r="E1608" i="2"/>
  <c r="D1608" i="2"/>
  <c r="AC1607" i="2"/>
  <c r="AB1607" i="2"/>
  <c r="AA1607" i="2"/>
  <c r="U1607" i="2"/>
  <c r="O1607" i="2"/>
  <c r="K1607" i="2"/>
  <c r="F1607" i="2"/>
  <c r="V1607" i="2" s="1"/>
  <c r="E1607" i="2"/>
  <c r="D1607" i="2"/>
  <c r="AC1606" i="2"/>
  <c r="AB1606" i="2"/>
  <c r="AA1606" i="2"/>
  <c r="U1606" i="2"/>
  <c r="O1606" i="2"/>
  <c r="Q1606" i="2" s="1"/>
  <c r="K1606" i="2"/>
  <c r="F1606" i="2"/>
  <c r="V1606" i="2" s="1"/>
  <c r="E1606" i="2"/>
  <c r="D1606" i="2"/>
  <c r="AC1605" i="2"/>
  <c r="AB1605" i="2"/>
  <c r="AA1605" i="2"/>
  <c r="U1605" i="2"/>
  <c r="O1605" i="2"/>
  <c r="K1605" i="2"/>
  <c r="F1605" i="2"/>
  <c r="V1605" i="2" s="1"/>
  <c r="E1605" i="2"/>
  <c r="D1605" i="2"/>
  <c r="AC1604" i="2"/>
  <c r="AB1604" i="2"/>
  <c r="AA1604" i="2"/>
  <c r="U1604" i="2"/>
  <c r="O1604" i="2"/>
  <c r="Q1604" i="2" s="1"/>
  <c r="K1604" i="2"/>
  <c r="F1604" i="2"/>
  <c r="V1604" i="2" s="1"/>
  <c r="E1604" i="2"/>
  <c r="D1604" i="2"/>
  <c r="AC1603" i="2"/>
  <c r="AB1603" i="2"/>
  <c r="AA1603" i="2"/>
  <c r="U1603" i="2"/>
  <c r="O1603" i="2"/>
  <c r="K1603" i="2"/>
  <c r="F1603" i="2"/>
  <c r="V1603" i="2" s="1"/>
  <c r="E1603" i="2"/>
  <c r="D1603" i="2"/>
  <c r="AC1602" i="2"/>
  <c r="AB1602" i="2"/>
  <c r="AA1602" i="2"/>
  <c r="U1602" i="2"/>
  <c r="O1602" i="2"/>
  <c r="Q1602" i="2" s="1"/>
  <c r="K1602" i="2"/>
  <c r="F1602" i="2"/>
  <c r="V1602" i="2" s="1"/>
  <c r="E1602" i="2"/>
  <c r="D1602" i="2"/>
  <c r="AC1601" i="2"/>
  <c r="AB1601" i="2"/>
  <c r="AA1601" i="2"/>
  <c r="U1601" i="2"/>
  <c r="O1601" i="2"/>
  <c r="K1601" i="2"/>
  <c r="F1601" i="2"/>
  <c r="V1601" i="2" s="1"/>
  <c r="E1601" i="2"/>
  <c r="D1601" i="2"/>
  <c r="AC1600" i="2"/>
  <c r="AB1600" i="2"/>
  <c r="AA1600" i="2"/>
  <c r="U1600" i="2"/>
  <c r="O1600" i="2"/>
  <c r="Q1600" i="2" s="1"/>
  <c r="K1600" i="2"/>
  <c r="F1600" i="2"/>
  <c r="V1600" i="2" s="1"/>
  <c r="E1600" i="2"/>
  <c r="D1600" i="2"/>
  <c r="AC1599" i="2"/>
  <c r="AB1599" i="2"/>
  <c r="AA1599" i="2"/>
  <c r="U1599" i="2"/>
  <c r="O1599" i="2"/>
  <c r="K1599" i="2"/>
  <c r="F1599" i="2"/>
  <c r="V1599" i="2" s="1"/>
  <c r="E1599" i="2"/>
  <c r="D1599" i="2"/>
  <c r="AC1598" i="2"/>
  <c r="AB1598" i="2"/>
  <c r="AA1598" i="2"/>
  <c r="U1598" i="2"/>
  <c r="O1598" i="2"/>
  <c r="Q1598" i="2" s="1"/>
  <c r="K1598" i="2"/>
  <c r="F1598" i="2"/>
  <c r="V1598" i="2" s="1"/>
  <c r="E1598" i="2"/>
  <c r="D1598" i="2"/>
  <c r="AC1597" i="2"/>
  <c r="AB1597" i="2"/>
  <c r="AA1597" i="2"/>
  <c r="U1597" i="2"/>
  <c r="O1597" i="2"/>
  <c r="M1597" i="2" s="1"/>
  <c r="AD1597" i="2" s="1"/>
  <c r="K1597" i="2"/>
  <c r="F1597" i="2"/>
  <c r="V1597" i="2" s="1"/>
  <c r="E1597" i="2"/>
  <c r="D1597" i="2"/>
  <c r="AC1596" i="2"/>
  <c r="AB1596" i="2"/>
  <c r="AA1596" i="2"/>
  <c r="U1596" i="2"/>
  <c r="O1596" i="2"/>
  <c r="Q1596" i="2" s="1"/>
  <c r="K1596" i="2"/>
  <c r="F1596" i="2"/>
  <c r="V1596" i="2" s="1"/>
  <c r="E1596" i="2"/>
  <c r="D1596" i="2"/>
  <c r="AC1595" i="2"/>
  <c r="AB1595" i="2"/>
  <c r="AA1595" i="2"/>
  <c r="U1595" i="2"/>
  <c r="O1595" i="2"/>
  <c r="Q1595" i="2" s="1"/>
  <c r="K1595" i="2"/>
  <c r="F1595" i="2"/>
  <c r="V1595" i="2" s="1"/>
  <c r="E1595" i="2"/>
  <c r="D1595" i="2"/>
  <c r="AC1594" i="2"/>
  <c r="AB1594" i="2"/>
  <c r="AA1594" i="2"/>
  <c r="U1594" i="2"/>
  <c r="O1594" i="2"/>
  <c r="Q1594" i="2" s="1"/>
  <c r="K1594" i="2"/>
  <c r="F1594" i="2"/>
  <c r="V1594" i="2" s="1"/>
  <c r="E1594" i="2"/>
  <c r="D1594" i="2"/>
  <c r="AC1593" i="2"/>
  <c r="AB1593" i="2"/>
  <c r="AA1593" i="2"/>
  <c r="U1593" i="2"/>
  <c r="O1593" i="2"/>
  <c r="M1593" i="2" s="1"/>
  <c r="AD1593" i="2" s="1"/>
  <c r="K1593" i="2"/>
  <c r="F1593" i="2"/>
  <c r="V1593" i="2" s="1"/>
  <c r="E1593" i="2"/>
  <c r="D1593" i="2"/>
  <c r="AC1592" i="2"/>
  <c r="AB1592" i="2"/>
  <c r="AA1592" i="2"/>
  <c r="U1592" i="2"/>
  <c r="O1592" i="2"/>
  <c r="Q1592" i="2" s="1"/>
  <c r="K1592" i="2"/>
  <c r="F1592" i="2"/>
  <c r="V1592" i="2" s="1"/>
  <c r="E1592" i="2"/>
  <c r="D1592" i="2"/>
  <c r="AC1591" i="2"/>
  <c r="AB1591" i="2"/>
  <c r="AA1591" i="2"/>
  <c r="U1591" i="2"/>
  <c r="O1591" i="2"/>
  <c r="K1591" i="2"/>
  <c r="F1591" i="2"/>
  <c r="V1591" i="2" s="1"/>
  <c r="E1591" i="2"/>
  <c r="D1591" i="2"/>
  <c r="AC1590" i="2"/>
  <c r="AB1590" i="2"/>
  <c r="AA1590" i="2"/>
  <c r="U1590" i="2"/>
  <c r="O1590" i="2"/>
  <c r="K1590" i="2"/>
  <c r="F1590" i="2"/>
  <c r="V1590" i="2" s="1"/>
  <c r="E1590" i="2"/>
  <c r="D1590" i="2"/>
  <c r="AC1589" i="2"/>
  <c r="AB1589" i="2"/>
  <c r="AA1589" i="2"/>
  <c r="U1589" i="2"/>
  <c r="O1589" i="2"/>
  <c r="M1589" i="2" s="1"/>
  <c r="AD1589" i="2" s="1"/>
  <c r="K1589" i="2"/>
  <c r="F1589" i="2"/>
  <c r="V1589" i="2" s="1"/>
  <c r="E1589" i="2"/>
  <c r="D1589" i="2"/>
  <c r="AC1588" i="2"/>
  <c r="AB1588" i="2"/>
  <c r="AA1588" i="2"/>
  <c r="U1588" i="2"/>
  <c r="O1588" i="2"/>
  <c r="Q1588" i="2" s="1"/>
  <c r="K1588" i="2"/>
  <c r="F1588" i="2"/>
  <c r="V1588" i="2" s="1"/>
  <c r="E1588" i="2"/>
  <c r="D1588" i="2"/>
  <c r="AC1587" i="2"/>
  <c r="AB1587" i="2"/>
  <c r="AA1587" i="2"/>
  <c r="U1587" i="2"/>
  <c r="O1587" i="2"/>
  <c r="M1587" i="2" s="1"/>
  <c r="AD1587" i="2" s="1"/>
  <c r="K1587" i="2"/>
  <c r="F1587" i="2"/>
  <c r="V1587" i="2" s="1"/>
  <c r="E1587" i="2"/>
  <c r="D1587" i="2"/>
  <c r="AC1586" i="2"/>
  <c r="AB1586" i="2"/>
  <c r="AA1586" i="2"/>
  <c r="U1586" i="2"/>
  <c r="O1586" i="2"/>
  <c r="Q1586" i="2" s="1"/>
  <c r="K1586" i="2"/>
  <c r="F1586" i="2"/>
  <c r="V1586" i="2" s="1"/>
  <c r="E1586" i="2"/>
  <c r="D1586" i="2"/>
  <c r="AC1585" i="2"/>
  <c r="AB1585" i="2"/>
  <c r="AA1585" i="2"/>
  <c r="U1585" i="2"/>
  <c r="O1585" i="2"/>
  <c r="M1585" i="2" s="1"/>
  <c r="AD1585" i="2" s="1"/>
  <c r="K1585" i="2"/>
  <c r="F1585" i="2"/>
  <c r="V1585" i="2" s="1"/>
  <c r="E1585" i="2"/>
  <c r="D1585" i="2"/>
  <c r="AC1584" i="2"/>
  <c r="AB1584" i="2"/>
  <c r="AA1584" i="2"/>
  <c r="U1584" i="2"/>
  <c r="O1584" i="2"/>
  <c r="Q1584" i="2" s="1"/>
  <c r="K1584" i="2"/>
  <c r="F1584" i="2"/>
  <c r="V1584" i="2" s="1"/>
  <c r="E1584" i="2"/>
  <c r="D1584" i="2"/>
  <c r="AC1583" i="2"/>
  <c r="AB1583" i="2"/>
  <c r="AA1583" i="2"/>
  <c r="U1583" i="2"/>
  <c r="O1583" i="2"/>
  <c r="K1583" i="2"/>
  <c r="F1583" i="2"/>
  <c r="V1583" i="2" s="1"/>
  <c r="E1583" i="2"/>
  <c r="D1583" i="2"/>
  <c r="AC1582" i="2"/>
  <c r="AB1582" i="2"/>
  <c r="AA1582" i="2"/>
  <c r="U1582" i="2"/>
  <c r="O1582" i="2"/>
  <c r="K1582" i="2"/>
  <c r="F1582" i="2"/>
  <c r="V1582" i="2" s="1"/>
  <c r="E1582" i="2"/>
  <c r="D1582" i="2"/>
  <c r="AC1581" i="2"/>
  <c r="AB1581" i="2"/>
  <c r="AA1581" i="2"/>
  <c r="U1581" i="2"/>
  <c r="O1581" i="2"/>
  <c r="M1581" i="2" s="1"/>
  <c r="AD1581" i="2" s="1"/>
  <c r="K1581" i="2"/>
  <c r="F1581" i="2"/>
  <c r="V1581" i="2" s="1"/>
  <c r="E1581" i="2"/>
  <c r="D1581" i="2"/>
  <c r="AC1580" i="2"/>
  <c r="AB1580" i="2"/>
  <c r="AA1580" i="2"/>
  <c r="U1580" i="2"/>
  <c r="O1580" i="2"/>
  <c r="Q1580" i="2" s="1"/>
  <c r="K1580" i="2"/>
  <c r="F1580" i="2"/>
  <c r="V1580" i="2" s="1"/>
  <c r="E1580" i="2"/>
  <c r="D1580" i="2"/>
  <c r="AC1579" i="2"/>
  <c r="AB1579" i="2"/>
  <c r="AA1579" i="2"/>
  <c r="U1579" i="2"/>
  <c r="O1579" i="2"/>
  <c r="M1579" i="2" s="1"/>
  <c r="AD1579" i="2" s="1"/>
  <c r="K1579" i="2"/>
  <c r="F1579" i="2"/>
  <c r="V1579" i="2" s="1"/>
  <c r="E1579" i="2"/>
  <c r="D1579" i="2"/>
  <c r="AC1578" i="2"/>
  <c r="AB1578" i="2"/>
  <c r="AA1578" i="2"/>
  <c r="U1578" i="2"/>
  <c r="O1578" i="2"/>
  <c r="Q1578" i="2" s="1"/>
  <c r="K1578" i="2"/>
  <c r="F1578" i="2"/>
  <c r="V1578" i="2" s="1"/>
  <c r="E1578" i="2"/>
  <c r="D1578" i="2"/>
  <c r="AC1577" i="2"/>
  <c r="AB1577" i="2"/>
  <c r="AA1577" i="2"/>
  <c r="U1577" i="2"/>
  <c r="O1577" i="2"/>
  <c r="M1577" i="2" s="1"/>
  <c r="AD1577" i="2" s="1"/>
  <c r="K1577" i="2"/>
  <c r="F1577" i="2"/>
  <c r="V1577" i="2" s="1"/>
  <c r="E1577" i="2"/>
  <c r="D1577" i="2"/>
  <c r="AC1576" i="2"/>
  <c r="AB1576" i="2"/>
  <c r="AA1576" i="2"/>
  <c r="U1576" i="2"/>
  <c r="O1576" i="2"/>
  <c r="Q1576" i="2" s="1"/>
  <c r="K1576" i="2"/>
  <c r="F1576" i="2"/>
  <c r="V1576" i="2" s="1"/>
  <c r="E1576" i="2"/>
  <c r="D1576" i="2"/>
  <c r="AC1575" i="2"/>
  <c r="AB1575" i="2"/>
  <c r="AA1575" i="2"/>
  <c r="U1575" i="2"/>
  <c r="O1575" i="2"/>
  <c r="M1575" i="2" s="1"/>
  <c r="AD1575" i="2" s="1"/>
  <c r="K1575" i="2"/>
  <c r="F1575" i="2"/>
  <c r="V1575" i="2" s="1"/>
  <c r="E1575" i="2"/>
  <c r="D1575" i="2"/>
  <c r="AC1574" i="2"/>
  <c r="AB1574" i="2"/>
  <c r="AA1574" i="2"/>
  <c r="U1574" i="2"/>
  <c r="O1574" i="2"/>
  <c r="Q1574" i="2" s="1"/>
  <c r="K1574" i="2"/>
  <c r="F1574" i="2"/>
  <c r="V1574" i="2" s="1"/>
  <c r="E1574" i="2"/>
  <c r="D1574" i="2"/>
  <c r="AC1573" i="2"/>
  <c r="AB1573" i="2"/>
  <c r="AA1573" i="2"/>
  <c r="U1573" i="2"/>
  <c r="O1573" i="2"/>
  <c r="M1573" i="2" s="1"/>
  <c r="AD1573" i="2" s="1"/>
  <c r="K1573" i="2"/>
  <c r="F1573" i="2"/>
  <c r="V1573" i="2" s="1"/>
  <c r="E1573" i="2"/>
  <c r="D1573" i="2"/>
  <c r="AC1572" i="2"/>
  <c r="AB1572" i="2"/>
  <c r="AA1572" i="2"/>
  <c r="U1572" i="2"/>
  <c r="O1572" i="2"/>
  <c r="Q1572" i="2" s="1"/>
  <c r="K1572" i="2"/>
  <c r="F1572" i="2"/>
  <c r="V1572" i="2" s="1"/>
  <c r="E1572" i="2"/>
  <c r="D1572" i="2"/>
  <c r="AC1571" i="2"/>
  <c r="AB1571" i="2"/>
  <c r="AA1571" i="2"/>
  <c r="U1571" i="2"/>
  <c r="O1571" i="2"/>
  <c r="M1571" i="2" s="1"/>
  <c r="AD1571" i="2" s="1"/>
  <c r="K1571" i="2"/>
  <c r="F1571" i="2"/>
  <c r="V1571" i="2" s="1"/>
  <c r="E1571" i="2"/>
  <c r="D1571" i="2"/>
  <c r="AC1570" i="2"/>
  <c r="AB1570" i="2"/>
  <c r="AA1570" i="2"/>
  <c r="U1570" i="2"/>
  <c r="O1570" i="2"/>
  <c r="Q1570" i="2" s="1"/>
  <c r="K1570" i="2"/>
  <c r="F1570" i="2"/>
  <c r="V1570" i="2" s="1"/>
  <c r="E1570" i="2"/>
  <c r="D1570" i="2"/>
  <c r="AC1569" i="2"/>
  <c r="AB1569" i="2"/>
  <c r="AA1569" i="2"/>
  <c r="U1569" i="2"/>
  <c r="O1569" i="2"/>
  <c r="M1569" i="2" s="1"/>
  <c r="AD1569" i="2" s="1"/>
  <c r="K1569" i="2"/>
  <c r="F1569" i="2"/>
  <c r="V1569" i="2" s="1"/>
  <c r="E1569" i="2"/>
  <c r="D1569" i="2"/>
  <c r="AC1568" i="2"/>
  <c r="AB1568" i="2"/>
  <c r="AA1568" i="2"/>
  <c r="U1568" i="2"/>
  <c r="O1568" i="2"/>
  <c r="Q1568" i="2" s="1"/>
  <c r="K1568" i="2"/>
  <c r="F1568" i="2"/>
  <c r="V1568" i="2" s="1"/>
  <c r="E1568" i="2"/>
  <c r="D1568" i="2"/>
  <c r="AC1567" i="2"/>
  <c r="AB1567" i="2"/>
  <c r="AA1567" i="2"/>
  <c r="U1567" i="2"/>
  <c r="O1567" i="2"/>
  <c r="M1567" i="2" s="1"/>
  <c r="AD1567" i="2" s="1"/>
  <c r="K1567" i="2"/>
  <c r="F1567" i="2"/>
  <c r="V1567" i="2" s="1"/>
  <c r="E1567" i="2"/>
  <c r="D1567" i="2"/>
  <c r="AC1566" i="2"/>
  <c r="AB1566" i="2"/>
  <c r="AA1566" i="2"/>
  <c r="U1566" i="2"/>
  <c r="O1566" i="2"/>
  <c r="Q1566" i="2" s="1"/>
  <c r="K1566" i="2"/>
  <c r="F1566" i="2"/>
  <c r="V1566" i="2" s="1"/>
  <c r="E1566" i="2"/>
  <c r="D1566" i="2"/>
  <c r="AC1565" i="2"/>
  <c r="AB1565" i="2"/>
  <c r="AA1565" i="2"/>
  <c r="U1565" i="2"/>
  <c r="O1565" i="2"/>
  <c r="M1565" i="2" s="1"/>
  <c r="AD1565" i="2" s="1"/>
  <c r="K1565" i="2"/>
  <c r="F1565" i="2"/>
  <c r="V1565" i="2" s="1"/>
  <c r="E1565" i="2"/>
  <c r="D1565" i="2"/>
  <c r="AC1564" i="2"/>
  <c r="AB1564" i="2"/>
  <c r="AA1564" i="2"/>
  <c r="U1564" i="2"/>
  <c r="O1564" i="2"/>
  <c r="Q1564" i="2" s="1"/>
  <c r="K1564" i="2"/>
  <c r="F1564" i="2"/>
  <c r="V1564" i="2" s="1"/>
  <c r="E1564" i="2"/>
  <c r="D1564" i="2"/>
  <c r="AC1563" i="2"/>
  <c r="AB1563" i="2"/>
  <c r="AA1563" i="2"/>
  <c r="U1563" i="2"/>
  <c r="O1563" i="2"/>
  <c r="M1563" i="2" s="1"/>
  <c r="AD1563" i="2" s="1"/>
  <c r="K1563" i="2"/>
  <c r="F1563" i="2"/>
  <c r="V1563" i="2" s="1"/>
  <c r="E1563" i="2"/>
  <c r="D1563" i="2"/>
  <c r="AC1562" i="2"/>
  <c r="AB1562" i="2"/>
  <c r="AA1562" i="2"/>
  <c r="U1562" i="2"/>
  <c r="O1562" i="2"/>
  <c r="Q1562" i="2" s="1"/>
  <c r="K1562" i="2"/>
  <c r="F1562" i="2"/>
  <c r="V1562" i="2" s="1"/>
  <c r="E1562" i="2"/>
  <c r="D1562" i="2"/>
  <c r="AC1561" i="2"/>
  <c r="AB1561" i="2"/>
  <c r="AA1561" i="2"/>
  <c r="U1561" i="2"/>
  <c r="O1561" i="2"/>
  <c r="M1561" i="2" s="1"/>
  <c r="AD1561" i="2" s="1"/>
  <c r="K1561" i="2"/>
  <c r="F1561" i="2"/>
  <c r="V1561" i="2" s="1"/>
  <c r="E1561" i="2"/>
  <c r="D1561" i="2"/>
  <c r="AC1560" i="2"/>
  <c r="AB1560" i="2"/>
  <c r="AA1560" i="2"/>
  <c r="U1560" i="2"/>
  <c r="O1560" i="2"/>
  <c r="Q1560" i="2" s="1"/>
  <c r="K1560" i="2"/>
  <c r="F1560" i="2"/>
  <c r="V1560" i="2" s="1"/>
  <c r="E1560" i="2"/>
  <c r="D1560" i="2"/>
  <c r="AC1559" i="2"/>
  <c r="AB1559" i="2"/>
  <c r="AA1559" i="2"/>
  <c r="U1559" i="2"/>
  <c r="O1559" i="2"/>
  <c r="M1559" i="2" s="1"/>
  <c r="AD1559" i="2" s="1"/>
  <c r="K1559" i="2"/>
  <c r="F1559" i="2"/>
  <c r="V1559" i="2" s="1"/>
  <c r="E1559" i="2"/>
  <c r="D1559" i="2"/>
  <c r="AC1558" i="2"/>
  <c r="AB1558" i="2"/>
  <c r="AA1558" i="2"/>
  <c r="U1558" i="2"/>
  <c r="O1558" i="2"/>
  <c r="Q1558" i="2" s="1"/>
  <c r="K1558" i="2"/>
  <c r="F1558" i="2"/>
  <c r="V1558" i="2" s="1"/>
  <c r="E1558" i="2"/>
  <c r="D1558" i="2"/>
  <c r="AC1557" i="2"/>
  <c r="AB1557" i="2"/>
  <c r="AA1557" i="2"/>
  <c r="U1557" i="2"/>
  <c r="O1557" i="2"/>
  <c r="M1557" i="2" s="1"/>
  <c r="AD1557" i="2" s="1"/>
  <c r="K1557" i="2"/>
  <c r="F1557" i="2"/>
  <c r="V1557" i="2" s="1"/>
  <c r="E1557" i="2"/>
  <c r="D1557" i="2"/>
  <c r="AC1556" i="2"/>
  <c r="AB1556" i="2"/>
  <c r="AA1556" i="2"/>
  <c r="U1556" i="2"/>
  <c r="O1556" i="2"/>
  <c r="Q1556" i="2" s="1"/>
  <c r="K1556" i="2"/>
  <c r="F1556" i="2"/>
  <c r="V1556" i="2" s="1"/>
  <c r="E1556" i="2"/>
  <c r="D1556" i="2"/>
  <c r="AC1555" i="2"/>
  <c r="AB1555" i="2"/>
  <c r="AA1555" i="2"/>
  <c r="U1555" i="2"/>
  <c r="O1555" i="2"/>
  <c r="M1555" i="2" s="1"/>
  <c r="AD1555" i="2" s="1"/>
  <c r="K1555" i="2"/>
  <c r="F1555" i="2"/>
  <c r="V1555" i="2" s="1"/>
  <c r="E1555" i="2"/>
  <c r="D1555" i="2"/>
  <c r="AC1554" i="2"/>
  <c r="AB1554" i="2"/>
  <c r="AA1554" i="2"/>
  <c r="U1554" i="2"/>
  <c r="O1554" i="2"/>
  <c r="Q1554" i="2" s="1"/>
  <c r="K1554" i="2"/>
  <c r="F1554" i="2"/>
  <c r="V1554" i="2" s="1"/>
  <c r="E1554" i="2"/>
  <c r="D1554" i="2"/>
  <c r="AC1553" i="2"/>
  <c r="AB1553" i="2"/>
  <c r="AA1553" i="2"/>
  <c r="U1553" i="2"/>
  <c r="O1553" i="2"/>
  <c r="M1553" i="2" s="1"/>
  <c r="AD1553" i="2" s="1"/>
  <c r="K1553" i="2"/>
  <c r="F1553" i="2"/>
  <c r="V1553" i="2" s="1"/>
  <c r="E1553" i="2"/>
  <c r="D1553" i="2"/>
  <c r="AC1552" i="2"/>
  <c r="AB1552" i="2"/>
  <c r="AA1552" i="2"/>
  <c r="U1552" i="2"/>
  <c r="O1552" i="2"/>
  <c r="Q1552" i="2" s="1"/>
  <c r="K1552" i="2"/>
  <c r="F1552" i="2"/>
  <c r="V1552" i="2" s="1"/>
  <c r="E1552" i="2"/>
  <c r="D1552" i="2"/>
  <c r="AC1551" i="2"/>
  <c r="AB1551" i="2"/>
  <c r="AA1551" i="2"/>
  <c r="U1551" i="2"/>
  <c r="O1551" i="2"/>
  <c r="M1551" i="2" s="1"/>
  <c r="AD1551" i="2" s="1"/>
  <c r="K1551" i="2"/>
  <c r="F1551" i="2"/>
  <c r="V1551" i="2" s="1"/>
  <c r="E1551" i="2"/>
  <c r="D1551" i="2"/>
  <c r="AC1550" i="2"/>
  <c r="AB1550" i="2"/>
  <c r="AA1550" i="2"/>
  <c r="U1550" i="2"/>
  <c r="O1550" i="2"/>
  <c r="Q1550" i="2" s="1"/>
  <c r="K1550" i="2"/>
  <c r="F1550" i="2"/>
  <c r="V1550" i="2" s="1"/>
  <c r="E1550" i="2"/>
  <c r="D1550" i="2"/>
  <c r="AC1549" i="2"/>
  <c r="AB1549" i="2"/>
  <c r="AA1549" i="2"/>
  <c r="U1549" i="2"/>
  <c r="O1549" i="2"/>
  <c r="M1549" i="2" s="1"/>
  <c r="AD1549" i="2" s="1"/>
  <c r="K1549" i="2"/>
  <c r="F1549" i="2"/>
  <c r="V1549" i="2" s="1"/>
  <c r="E1549" i="2"/>
  <c r="D1549" i="2"/>
  <c r="AC1548" i="2"/>
  <c r="AB1548" i="2"/>
  <c r="AA1548" i="2"/>
  <c r="U1548" i="2"/>
  <c r="O1548" i="2"/>
  <c r="Q1548" i="2" s="1"/>
  <c r="K1548" i="2"/>
  <c r="F1548" i="2"/>
  <c r="V1548" i="2" s="1"/>
  <c r="E1548" i="2"/>
  <c r="D1548" i="2"/>
  <c r="AC1547" i="2"/>
  <c r="AB1547" i="2"/>
  <c r="AA1547" i="2"/>
  <c r="U1547" i="2"/>
  <c r="O1547" i="2"/>
  <c r="M1547" i="2" s="1"/>
  <c r="AD1547" i="2" s="1"/>
  <c r="K1547" i="2"/>
  <c r="F1547" i="2"/>
  <c r="V1547" i="2" s="1"/>
  <c r="E1547" i="2"/>
  <c r="D1547" i="2"/>
  <c r="AC1546" i="2"/>
  <c r="AB1546" i="2"/>
  <c r="AA1546" i="2"/>
  <c r="U1546" i="2"/>
  <c r="O1546" i="2"/>
  <c r="Q1546" i="2" s="1"/>
  <c r="K1546" i="2"/>
  <c r="F1546" i="2"/>
  <c r="V1546" i="2" s="1"/>
  <c r="E1546" i="2"/>
  <c r="D1546" i="2"/>
  <c r="AC1545" i="2"/>
  <c r="AB1545" i="2"/>
  <c r="AA1545" i="2"/>
  <c r="U1545" i="2"/>
  <c r="O1545" i="2"/>
  <c r="M1545" i="2" s="1"/>
  <c r="AD1545" i="2" s="1"/>
  <c r="K1545" i="2"/>
  <c r="F1545" i="2"/>
  <c r="V1545" i="2" s="1"/>
  <c r="E1545" i="2"/>
  <c r="D1545" i="2"/>
  <c r="AC1544" i="2"/>
  <c r="AB1544" i="2"/>
  <c r="AA1544" i="2"/>
  <c r="U1544" i="2"/>
  <c r="O1544" i="2"/>
  <c r="Q1544" i="2" s="1"/>
  <c r="K1544" i="2"/>
  <c r="F1544" i="2"/>
  <c r="V1544" i="2" s="1"/>
  <c r="E1544" i="2"/>
  <c r="D1544" i="2"/>
  <c r="AC1543" i="2"/>
  <c r="AB1543" i="2"/>
  <c r="AA1543" i="2"/>
  <c r="U1543" i="2"/>
  <c r="O1543" i="2"/>
  <c r="M1543" i="2" s="1"/>
  <c r="AD1543" i="2" s="1"/>
  <c r="K1543" i="2"/>
  <c r="F1543" i="2"/>
  <c r="V1543" i="2" s="1"/>
  <c r="E1543" i="2"/>
  <c r="D1543" i="2"/>
  <c r="AC1542" i="2"/>
  <c r="AB1542" i="2"/>
  <c r="AA1542" i="2"/>
  <c r="U1542" i="2"/>
  <c r="O1542" i="2"/>
  <c r="Q1542" i="2" s="1"/>
  <c r="K1542" i="2"/>
  <c r="F1542" i="2"/>
  <c r="V1542" i="2" s="1"/>
  <c r="E1542" i="2"/>
  <c r="D1542" i="2"/>
  <c r="AC1541" i="2"/>
  <c r="AB1541" i="2"/>
  <c r="AA1541" i="2"/>
  <c r="U1541" i="2"/>
  <c r="O1541" i="2"/>
  <c r="M1541" i="2" s="1"/>
  <c r="AD1541" i="2" s="1"/>
  <c r="K1541" i="2"/>
  <c r="F1541" i="2"/>
  <c r="V1541" i="2" s="1"/>
  <c r="E1541" i="2"/>
  <c r="D1541" i="2"/>
  <c r="AC1540" i="2"/>
  <c r="AB1540" i="2"/>
  <c r="AA1540" i="2"/>
  <c r="U1540" i="2"/>
  <c r="O1540" i="2"/>
  <c r="Q1540" i="2" s="1"/>
  <c r="K1540" i="2"/>
  <c r="F1540" i="2"/>
  <c r="V1540" i="2" s="1"/>
  <c r="E1540" i="2"/>
  <c r="D1540" i="2"/>
  <c r="AC1539" i="2"/>
  <c r="AB1539" i="2"/>
  <c r="AA1539" i="2"/>
  <c r="U1539" i="2"/>
  <c r="O1539" i="2"/>
  <c r="M1539" i="2" s="1"/>
  <c r="AD1539" i="2" s="1"/>
  <c r="K1539" i="2"/>
  <c r="F1539" i="2"/>
  <c r="V1539" i="2" s="1"/>
  <c r="E1539" i="2"/>
  <c r="D1539" i="2"/>
  <c r="AC1538" i="2"/>
  <c r="AB1538" i="2"/>
  <c r="AA1538" i="2"/>
  <c r="U1538" i="2"/>
  <c r="O1538" i="2"/>
  <c r="Q1538" i="2" s="1"/>
  <c r="K1538" i="2"/>
  <c r="F1538" i="2"/>
  <c r="V1538" i="2" s="1"/>
  <c r="E1538" i="2"/>
  <c r="D1538" i="2"/>
  <c r="AC1537" i="2"/>
  <c r="AB1537" i="2"/>
  <c r="AA1537" i="2"/>
  <c r="U1537" i="2"/>
  <c r="O1537" i="2"/>
  <c r="M1537" i="2" s="1"/>
  <c r="AD1537" i="2" s="1"/>
  <c r="K1537" i="2"/>
  <c r="F1537" i="2"/>
  <c r="V1537" i="2" s="1"/>
  <c r="E1537" i="2"/>
  <c r="D1537" i="2"/>
  <c r="AC1536" i="2"/>
  <c r="AB1536" i="2"/>
  <c r="AA1536" i="2"/>
  <c r="U1536" i="2"/>
  <c r="O1536" i="2"/>
  <c r="Q1536" i="2" s="1"/>
  <c r="K1536" i="2"/>
  <c r="F1536" i="2"/>
  <c r="V1536" i="2" s="1"/>
  <c r="E1536" i="2"/>
  <c r="D1536" i="2"/>
  <c r="AC1535" i="2"/>
  <c r="AB1535" i="2"/>
  <c r="AA1535" i="2"/>
  <c r="U1535" i="2"/>
  <c r="O1535" i="2"/>
  <c r="M1535" i="2" s="1"/>
  <c r="AD1535" i="2" s="1"/>
  <c r="K1535" i="2"/>
  <c r="F1535" i="2"/>
  <c r="V1535" i="2" s="1"/>
  <c r="E1535" i="2"/>
  <c r="D1535" i="2"/>
  <c r="AC1534" i="2"/>
  <c r="AB1534" i="2"/>
  <c r="AA1534" i="2"/>
  <c r="U1534" i="2"/>
  <c r="O1534" i="2"/>
  <c r="Q1534" i="2" s="1"/>
  <c r="K1534" i="2"/>
  <c r="F1534" i="2"/>
  <c r="V1534" i="2" s="1"/>
  <c r="E1534" i="2"/>
  <c r="D1534" i="2"/>
  <c r="AC1533" i="2"/>
  <c r="AB1533" i="2"/>
  <c r="AA1533" i="2"/>
  <c r="U1533" i="2"/>
  <c r="O1533" i="2"/>
  <c r="M1533" i="2" s="1"/>
  <c r="AD1533" i="2" s="1"/>
  <c r="K1533" i="2"/>
  <c r="F1533" i="2"/>
  <c r="V1533" i="2" s="1"/>
  <c r="E1533" i="2"/>
  <c r="D1533" i="2"/>
  <c r="AC1532" i="2"/>
  <c r="AB1532" i="2"/>
  <c r="AA1532" i="2"/>
  <c r="U1532" i="2"/>
  <c r="O1532" i="2"/>
  <c r="Q1532" i="2" s="1"/>
  <c r="K1532" i="2"/>
  <c r="F1532" i="2"/>
  <c r="V1532" i="2" s="1"/>
  <c r="E1532" i="2"/>
  <c r="D1532" i="2"/>
  <c r="AC1531" i="2"/>
  <c r="AB1531" i="2"/>
  <c r="AA1531" i="2"/>
  <c r="U1531" i="2"/>
  <c r="O1531" i="2"/>
  <c r="M1531" i="2" s="1"/>
  <c r="AD1531" i="2" s="1"/>
  <c r="K1531" i="2"/>
  <c r="F1531" i="2"/>
  <c r="V1531" i="2" s="1"/>
  <c r="E1531" i="2"/>
  <c r="D1531" i="2"/>
  <c r="AC1530" i="2"/>
  <c r="AB1530" i="2"/>
  <c r="AA1530" i="2"/>
  <c r="U1530" i="2"/>
  <c r="O1530" i="2"/>
  <c r="Q1530" i="2" s="1"/>
  <c r="K1530" i="2"/>
  <c r="F1530" i="2"/>
  <c r="V1530" i="2" s="1"/>
  <c r="E1530" i="2"/>
  <c r="D1530" i="2"/>
  <c r="AC1529" i="2"/>
  <c r="AB1529" i="2"/>
  <c r="AA1529" i="2"/>
  <c r="U1529" i="2"/>
  <c r="O1529" i="2"/>
  <c r="M1529" i="2" s="1"/>
  <c r="AD1529" i="2" s="1"/>
  <c r="K1529" i="2"/>
  <c r="F1529" i="2"/>
  <c r="V1529" i="2" s="1"/>
  <c r="E1529" i="2"/>
  <c r="D1529" i="2"/>
  <c r="AC1528" i="2"/>
  <c r="AB1528" i="2"/>
  <c r="AA1528" i="2"/>
  <c r="U1528" i="2"/>
  <c r="O1528" i="2"/>
  <c r="Q1528" i="2" s="1"/>
  <c r="K1528" i="2"/>
  <c r="F1528" i="2"/>
  <c r="V1528" i="2" s="1"/>
  <c r="E1528" i="2"/>
  <c r="D1528" i="2"/>
  <c r="AC1527" i="2"/>
  <c r="AB1527" i="2"/>
  <c r="AA1527" i="2"/>
  <c r="U1527" i="2"/>
  <c r="O1527" i="2"/>
  <c r="M1527" i="2" s="1"/>
  <c r="AD1527" i="2" s="1"/>
  <c r="K1527" i="2"/>
  <c r="F1527" i="2"/>
  <c r="V1527" i="2" s="1"/>
  <c r="E1527" i="2"/>
  <c r="D1527" i="2"/>
  <c r="AC1526" i="2"/>
  <c r="AB1526" i="2"/>
  <c r="AA1526" i="2"/>
  <c r="U1526" i="2"/>
  <c r="O1526" i="2"/>
  <c r="Q1526" i="2" s="1"/>
  <c r="K1526" i="2"/>
  <c r="F1526" i="2"/>
  <c r="V1526" i="2" s="1"/>
  <c r="E1526" i="2"/>
  <c r="D1526" i="2"/>
  <c r="AC1525" i="2"/>
  <c r="AB1525" i="2"/>
  <c r="AA1525" i="2"/>
  <c r="U1525" i="2"/>
  <c r="O1525" i="2"/>
  <c r="M1525" i="2" s="1"/>
  <c r="AD1525" i="2" s="1"/>
  <c r="K1525" i="2"/>
  <c r="F1525" i="2"/>
  <c r="V1525" i="2" s="1"/>
  <c r="E1525" i="2"/>
  <c r="D1525" i="2"/>
  <c r="AC1524" i="2"/>
  <c r="AB1524" i="2"/>
  <c r="AA1524" i="2"/>
  <c r="U1524" i="2"/>
  <c r="O1524" i="2"/>
  <c r="Q1524" i="2" s="1"/>
  <c r="K1524" i="2"/>
  <c r="F1524" i="2"/>
  <c r="V1524" i="2" s="1"/>
  <c r="E1524" i="2"/>
  <c r="D1524" i="2"/>
  <c r="AC1523" i="2"/>
  <c r="AB1523" i="2"/>
  <c r="AA1523" i="2"/>
  <c r="U1523" i="2"/>
  <c r="O1523" i="2"/>
  <c r="M1523" i="2" s="1"/>
  <c r="AD1523" i="2" s="1"/>
  <c r="K1523" i="2"/>
  <c r="F1523" i="2"/>
  <c r="V1523" i="2" s="1"/>
  <c r="E1523" i="2"/>
  <c r="D1523" i="2"/>
  <c r="AC1522" i="2"/>
  <c r="AB1522" i="2"/>
  <c r="AA1522" i="2"/>
  <c r="U1522" i="2"/>
  <c r="O1522" i="2"/>
  <c r="Q1522" i="2" s="1"/>
  <c r="K1522" i="2"/>
  <c r="F1522" i="2"/>
  <c r="V1522" i="2" s="1"/>
  <c r="E1522" i="2"/>
  <c r="D1522" i="2"/>
  <c r="AC1521" i="2"/>
  <c r="AB1521" i="2"/>
  <c r="AA1521" i="2"/>
  <c r="U1521" i="2"/>
  <c r="O1521" i="2"/>
  <c r="M1521" i="2" s="1"/>
  <c r="AD1521" i="2" s="1"/>
  <c r="K1521" i="2"/>
  <c r="F1521" i="2"/>
  <c r="V1521" i="2" s="1"/>
  <c r="E1521" i="2"/>
  <c r="D1521" i="2"/>
  <c r="AC1520" i="2"/>
  <c r="AB1520" i="2"/>
  <c r="AA1520" i="2"/>
  <c r="U1520" i="2"/>
  <c r="O1520" i="2"/>
  <c r="Q1520" i="2" s="1"/>
  <c r="K1520" i="2"/>
  <c r="F1520" i="2"/>
  <c r="V1520" i="2" s="1"/>
  <c r="E1520" i="2"/>
  <c r="D1520" i="2"/>
  <c r="AC1519" i="2"/>
  <c r="AB1519" i="2"/>
  <c r="AA1519" i="2"/>
  <c r="U1519" i="2"/>
  <c r="O1519" i="2"/>
  <c r="M1519" i="2" s="1"/>
  <c r="AD1519" i="2" s="1"/>
  <c r="K1519" i="2"/>
  <c r="F1519" i="2"/>
  <c r="V1519" i="2" s="1"/>
  <c r="E1519" i="2"/>
  <c r="D1519" i="2"/>
  <c r="AC1518" i="2"/>
  <c r="AB1518" i="2"/>
  <c r="AA1518" i="2"/>
  <c r="U1518" i="2"/>
  <c r="O1518" i="2"/>
  <c r="Q1518" i="2" s="1"/>
  <c r="K1518" i="2"/>
  <c r="F1518" i="2"/>
  <c r="V1518" i="2" s="1"/>
  <c r="E1518" i="2"/>
  <c r="D1518" i="2"/>
  <c r="AC1517" i="2"/>
  <c r="AB1517" i="2"/>
  <c r="AA1517" i="2"/>
  <c r="U1517" i="2"/>
  <c r="O1517" i="2"/>
  <c r="M1517" i="2" s="1"/>
  <c r="AD1517" i="2" s="1"/>
  <c r="K1517" i="2"/>
  <c r="F1517" i="2"/>
  <c r="V1517" i="2" s="1"/>
  <c r="E1517" i="2"/>
  <c r="D1517" i="2"/>
  <c r="AC1516" i="2"/>
  <c r="AB1516" i="2"/>
  <c r="AA1516" i="2"/>
  <c r="U1516" i="2"/>
  <c r="O1516" i="2"/>
  <c r="Q1516" i="2" s="1"/>
  <c r="K1516" i="2"/>
  <c r="F1516" i="2"/>
  <c r="V1516" i="2" s="1"/>
  <c r="E1516" i="2"/>
  <c r="D1516" i="2"/>
  <c r="AC1515" i="2"/>
  <c r="AB1515" i="2"/>
  <c r="AA1515" i="2"/>
  <c r="U1515" i="2"/>
  <c r="O1515" i="2"/>
  <c r="M1515" i="2" s="1"/>
  <c r="AD1515" i="2" s="1"/>
  <c r="K1515" i="2"/>
  <c r="F1515" i="2"/>
  <c r="V1515" i="2" s="1"/>
  <c r="E1515" i="2"/>
  <c r="D1515" i="2"/>
  <c r="AC1514" i="2"/>
  <c r="AB1514" i="2"/>
  <c r="AA1514" i="2"/>
  <c r="U1514" i="2"/>
  <c r="O1514" i="2"/>
  <c r="Q1514" i="2" s="1"/>
  <c r="K1514" i="2"/>
  <c r="F1514" i="2"/>
  <c r="V1514" i="2" s="1"/>
  <c r="E1514" i="2"/>
  <c r="D1514" i="2"/>
  <c r="AC1513" i="2"/>
  <c r="AB1513" i="2"/>
  <c r="AA1513" i="2"/>
  <c r="U1513" i="2"/>
  <c r="O1513" i="2"/>
  <c r="M1513" i="2" s="1"/>
  <c r="AD1513" i="2" s="1"/>
  <c r="K1513" i="2"/>
  <c r="F1513" i="2"/>
  <c r="V1513" i="2" s="1"/>
  <c r="E1513" i="2"/>
  <c r="D1513" i="2"/>
  <c r="AC1512" i="2"/>
  <c r="AB1512" i="2"/>
  <c r="AA1512" i="2"/>
  <c r="U1512" i="2"/>
  <c r="O1512" i="2"/>
  <c r="Q1512" i="2" s="1"/>
  <c r="K1512" i="2"/>
  <c r="F1512" i="2"/>
  <c r="V1512" i="2" s="1"/>
  <c r="E1512" i="2"/>
  <c r="D1512" i="2"/>
  <c r="AC1511" i="2"/>
  <c r="AB1511" i="2"/>
  <c r="AA1511" i="2"/>
  <c r="U1511" i="2"/>
  <c r="O1511" i="2"/>
  <c r="M1511" i="2" s="1"/>
  <c r="AD1511" i="2" s="1"/>
  <c r="K1511" i="2"/>
  <c r="F1511" i="2"/>
  <c r="V1511" i="2" s="1"/>
  <c r="E1511" i="2"/>
  <c r="D1511" i="2"/>
  <c r="AC1510" i="2"/>
  <c r="AB1510" i="2"/>
  <c r="AA1510" i="2"/>
  <c r="U1510" i="2"/>
  <c r="O1510" i="2"/>
  <c r="Q1510" i="2" s="1"/>
  <c r="K1510" i="2"/>
  <c r="F1510" i="2"/>
  <c r="V1510" i="2" s="1"/>
  <c r="E1510" i="2"/>
  <c r="D1510" i="2"/>
  <c r="AC1509" i="2"/>
  <c r="AB1509" i="2"/>
  <c r="AA1509" i="2"/>
  <c r="U1509" i="2"/>
  <c r="O1509" i="2"/>
  <c r="M1509" i="2" s="1"/>
  <c r="AD1509" i="2" s="1"/>
  <c r="K1509" i="2"/>
  <c r="F1509" i="2"/>
  <c r="V1509" i="2" s="1"/>
  <c r="E1509" i="2"/>
  <c r="D1509" i="2"/>
  <c r="AC1508" i="2"/>
  <c r="AB1508" i="2"/>
  <c r="AA1508" i="2"/>
  <c r="U1508" i="2"/>
  <c r="O1508" i="2"/>
  <c r="Q1508" i="2" s="1"/>
  <c r="K1508" i="2"/>
  <c r="F1508" i="2"/>
  <c r="V1508" i="2" s="1"/>
  <c r="E1508" i="2"/>
  <c r="D1508" i="2"/>
  <c r="AC1507" i="2"/>
  <c r="AB1507" i="2"/>
  <c r="AA1507" i="2"/>
  <c r="U1507" i="2"/>
  <c r="O1507" i="2"/>
  <c r="M1507" i="2" s="1"/>
  <c r="AD1507" i="2" s="1"/>
  <c r="K1507" i="2"/>
  <c r="F1507" i="2"/>
  <c r="V1507" i="2" s="1"/>
  <c r="E1507" i="2"/>
  <c r="D1507" i="2"/>
  <c r="AC1506" i="2"/>
  <c r="AB1506" i="2"/>
  <c r="AA1506" i="2"/>
  <c r="U1506" i="2"/>
  <c r="O1506" i="2"/>
  <c r="Q1506" i="2" s="1"/>
  <c r="K1506" i="2"/>
  <c r="F1506" i="2"/>
  <c r="V1506" i="2" s="1"/>
  <c r="E1506" i="2"/>
  <c r="D1506" i="2"/>
  <c r="AC1505" i="2"/>
  <c r="AB1505" i="2"/>
  <c r="AA1505" i="2"/>
  <c r="U1505" i="2"/>
  <c r="O1505" i="2"/>
  <c r="M1505" i="2" s="1"/>
  <c r="AD1505" i="2" s="1"/>
  <c r="K1505" i="2"/>
  <c r="F1505" i="2"/>
  <c r="V1505" i="2" s="1"/>
  <c r="E1505" i="2"/>
  <c r="D1505" i="2"/>
  <c r="AC1504" i="2"/>
  <c r="AB1504" i="2"/>
  <c r="AA1504" i="2"/>
  <c r="U1504" i="2"/>
  <c r="O1504" i="2"/>
  <c r="Q1504" i="2" s="1"/>
  <c r="K1504" i="2"/>
  <c r="F1504" i="2"/>
  <c r="V1504" i="2" s="1"/>
  <c r="E1504" i="2"/>
  <c r="D1504" i="2"/>
  <c r="AC1503" i="2"/>
  <c r="AB1503" i="2"/>
  <c r="AA1503" i="2"/>
  <c r="U1503" i="2"/>
  <c r="O1503" i="2"/>
  <c r="M1503" i="2" s="1"/>
  <c r="AD1503" i="2" s="1"/>
  <c r="K1503" i="2"/>
  <c r="F1503" i="2"/>
  <c r="V1503" i="2" s="1"/>
  <c r="E1503" i="2"/>
  <c r="D1503" i="2"/>
  <c r="AC1502" i="2"/>
  <c r="AB1502" i="2"/>
  <c r="AA1502" i="2"/>
  <c r="U1502" i="2"/>
  <c r="O1502" i="2"/>
  <c r="Q1502" i="2" s="1"/>
  <c r="K1502" i="2"/>
  <c r="F1502" i="2"/>
  <c r="V1502" i="2" s="1"/>
  <c r="E1502" i="2"/>
  <c r="D1502" i="2"/>
  <c r="AC1501" i="2"/>
  <c r="AB1501" i="2"/>
  <c r="AA1501" i="2"/>
  <c r="U1501" i="2"/>
  <c r="O1501" i="2"/>
  <c r="M1501" i="2" s="1"/>
  <c r="AD1501" i="2" s="1"/>
  <c r="K1501" i="2"/>
  <c r="F1501" i="2"/>
  <c r="V1501" i="2" s="1"/>
  <c r="E1501" i="2"/>
  <c r="D1501" i="2"/>
  <c r="AC1500" i="2"/>
  <c r="AB1500" i="2"/>
  <c r="AA1500" i="2"/>
  <c r="U1500" i="2"/>
  <c r="O1500" i="2"/>
  <c r="Q1500" i="2" s="1"/>
  <c r="K1500" i="2"/>
  <c r="F1500" i="2"/>
  <c r="V1500" i="2" s="1"/>
  <c r="E1500" i="2"/>
  <c r="D1500" i="2"/>
  <c r="AC1499" i="2"/>
  <c r="AB1499" i="2"/>
  <c r="AA1499" i="2"/>
  <c r="U1499" i="2"/>
  <c r="O1499" i="2"/>
  <c r="M1499" i="2" s="1"/>
  <c r="AD1499" i="2" s="1"/>
  <c r="K1499" i="2"/>
  <c r="F1499" i="2"/>
  <c r="V1499" i="2" s="1"/>
  <c r="E1499" i="2"/>
  <c r="D1499" i="2"/>
  <c r="AC1498" i="2"/>
  <c r="AB1498" i="2"/>
  <c r="AA1498" i="2"/>
  <c r="U1498" i="2"/>
  <c r="O1498" i="2"/>
  <c r="Q1498" i="2" s="1"/>
  <c r="K1498" i="2"/>
  <c r="F1498" i="2"/>
  <c r="V1498" i="2" s="1"/>
  <c r="E1498" i="2"/>
  <c r="D1498" i="2"/>
  <c r="AC1497" i="2"/>
  <c r="AB1497" i="2"/>
  <c r="AA1497" i="2"/>
  <c r="U1497" i="2"/>
  <c r="O1497" i="2"/>
  <c r="Q1497" i="2" s="1"/>
  <c r="K1497" i="2"/>
  <c r="F1497" i="2"/>
  <c r="V1497" i="2" s="1"/>
  <c r="E1497" i="2"/>
  <c r="D1497" i="2"/>
  <c r="AC1496" i="2"/>
  <c r="AB1496" i="2"/>
  <c r="AA1496" i="2"/>
  <c r="U1496" i="2"/>
  <c r="O1496" i="2"/>
  <c r="Q1496" i="2" s="1"/>
  <c r="K1496" i="2"/>
  <c r="F1496" i="2"/>
  <c r="V1496" i="2" s="1"/>
  <c r="E1496" i="2"/>
  <c r="D1496" i="2"/>
  <c r="AC1495" i="2"/>
  <c r="AB1495" i="2"/>
  <c r="AA1495" i="2"/>
  <c r="U1495" i="2"/>
  <c r="O1495" i="2"/>
  <c r="M1495" i="2" s="1"/>
  <c r="AD1495" i="2" s="1"/>
  <c r="K1495" i="2"/>
  <c r="F1495" i="2"/>
  <c r="V1495" i="2" s="1"/>
  <c r="E1495" i="2"/>
  <c r="D1495" i="2"/>
  <c r="AC1494" i="2"/>
  <c r="AB1494" i="2"/>
  <c r="AA1494" i="2"/>
  <c r="U1494" i="2"/>
  <c r="O1494" i="2"/>
  <c r="M1494" i="2" s="1"/>
  <c r="AD1494" i="2" s="1"/>
  <c r="K1494" i="2"/>
  <c r="F1494" i="2"/>
  <c r="V1494" i="2" s="1"/>
  <c r="E1494" i="2"/>
  <c r="D1494" i="2"/>
  <c r="AC1493" i="2"/>
  <c r="AB1493" i="2"/>
  <c r="AA1493" i="2"/>
  <c r="U1493" i="2"/>
  <c r="O1493" i="2"/>
  <c r="Q1493" i="2" s="1"/>
  <c r="K1493" i="2"/>
  <c r="F1493" i="2"/>
  <c r="V1493" i="2" s="1"/>
  <c r="E1493" i="2"/>
  <c r="D1493" i="2"/>
  <c r="AC1492" i="2"/>
  <c r="AB1492" i="2"/>
  <c r="AA1492" i="2"/>
  <c r="U1492" i="2"/>
  <c r="O1492" i="2"/>
  <c r="M1492" i="2" s="1"/>
  <c r="AD1492" i="2" s="1"/>
  <c r="K1492" i="2"/>
  <c r="F1492" i="2"/>
  <c r="V1492" i="2" s="1"/>
  <c r="E1492" i="2"/>
  <c r="D1492" i="2"/>
  <c r="AC1491" i="2"/>
  <c r="AB1491" i="2"/>
  <c r="AA1491" i="2"/>
  <c r="U1491" i="2"/>
  <c r="O1491" i="2"/>
  <c r="Q1491" i="2" s="1"/>
  <c r="K1491" i="2"/>
  <c r="F1491" i="2"/>
  <c r="V1491" i="2" s="1"/>
  <c r="E1491" i="2"/>
  <c r="D1491" i="2"/>
  <c r="AC1490" i="2"/>
  <c r="AB1490" i="2"/>
  <c r="AA1490" i="2"/>
  <c r="U1490" i="2"/>
  <c r="O1490" i="2"/>
  <c r="Q1490" i="2" s="1"/>
  <c r="K1490" i="2"/>
  <c r="F1490" i="2"/>
  <c r="V1490" i="2" s="1"/>
  <c r="E1490" i="2"/>
  <c r="D1490" i="2"/>
  <c r="AC1489" i="2"/>
  <c r="AB1489" i="2"/>
  <c r="AA1489" i="2"/>
  <c r="U1489" i="2"/>
  <c r="O1489" i="2"/>
  <c r="Q1489" i="2" s="1"/>
  <c r="K1489" i="2"/>
  <c r="F1489" i="2"/>
  <c r="V1489" i="2" s="1"/>
  <c r="E1489" i="2"/>
  <c r="D1489" i="2"/>
  <c r="AC1488" i="2"/>
  <c r="AB1488" i="2"/>
  <c r="AA1488" i="2"/>
  <c r="U1488" i="2"/>
  <c r="O1488" i="2"/>
  <c r="Q1488" i="2" s="1"/>
  <c r="K1488" i="2"/>
  <c r="F1488" i="2"/>
  <c r="V1488" i="2" s="1"/>
  <c r="E1488" i="2"/>
  <c r="D1488" i="2"/>
  <c r="AC1487" i="2"/>
  <c r="AB1487" i="2"/>
  <c r="AA1487" i="2"/>
  <c r="U1487" i="2"/>
  <c r="O1487" i="2"/>
  <c r="M1487" i="2" s="1"/>
  <c r="AD1487" i="2" s="1"/>
  <c r="K1487" i="2"/>
  <c r="F1487" i="2"/>
  <c r="V1487" i="2" s="1"/>
  <c r="E1487" i="2"/>
  <c r="D1487" i="2"/>
  <c r="AC1486" i="2"/>
  <c r="AB1486" i="2"/>
  <c r="AA1486" i="2"/>
  <c r="U1486" i="2"/>
  <c r="O1486" i="2"/>
  <c r="M1486" i="2" s="1"/>
  <c r="AD1486" i="2" s="1"/>
  <c r="K1486" i="2"/>
  <c r="F1486" i="2"/>
  <c r="V1486" i="2" s="1"/>
  <c r="E1486" i="2"/>
  <c r="D1486" i="2"/>
  <c r="AC1485" i="2"/>
  <c r="AB1485" i="2"/>
  <c r="AA1485" i="2"/>
  <c r="U1485" i="2"/>
  <c r="O1485" i="2"/>
  <c r="M1485" i="2" s="1"/>
  <c r="AD1485" i="2" s="1"/>
  <c r="K1485" i="2"/>
  <c r="F1485" i="2"/>
  <c r="V1485" i="2" s="1"/>
  <c r="E1485" i="2"/>
  <c r="D1485" i="2"/>
  <c r="AC1484" i="2"/>
  <c r="AB1484" i="2"/>
  <c r="AA1484" i="2"/>
  <c r="U1484" i="2"/>
  <c r="O1484" i="2"/>
  <c r="Q1484" i="2" s="1"/>
  <c r="K1484" i="2"/>
  <c r="F1484" i="2"/>
  <c r="V1484" i="2" s="1"/>
  <c r="E1484" i="2"/>
  <c r="D1484" i="2"/>
  <c r="AC1483" i="2"/>
  <c r="AB1483" i="2"/>
  <c r="AA1483" i="2"/>
  <c r="U1483" i="2"/>
  <c r="O1483" i="2"/>
  <c r="Q1483" i="2" s="1"/>
  <c r="K1483" i="2"/>
  <c r="F1483" i="2"/>
  <c r="V1483" i="2" s="1"/>
  <c r="E1483" i="2"/>
  <c r="D1483" i="2"/>
  <c r="AC1482" i="2"/>
  <c r="AB1482" i="2"/>
  <c r="AA1482" i="2"/>
  <c r="U1482" i="2"/>
  <c r="O1482" i="2"/>
  <c r="Q1482" i="2" s="1"/>
  <c r="K1482" i="2"/>
  <c r="F1482" i="2"/>
  <c r="V1482" i="2" s="1"/>
  <c r="E1482" i="2"/>
  <c r="D1482" i="2"/>
  <c r="AC1481" i="2"/>
  <c r="AB1481" i="2"/>
  <c r="AA1481" i="2"/>
  <c r="U1481" i="2"/>
  <c r="O1481" i="2"/>
  <c r="M1481" i="2" s="1"/>
  <c r="AD1481" i="2" s="1"/>
  <c r="K1481" i="2"/>
  <c r="F1481" i="2"/>
  <c r="V1481" i="2" s="1"/>
  <c r="E1481" i="2"/>
  <c r="D1481" i="2"/>
  <c r="AC1480" i="2"/>
  <c r="AB1480" i="2"/>
  <c r="AA1480" i="2"/>
  <c r="U1480" i="2"/>
  <c r="O1480" i="2"/>
  <c r="M1480" i="2" s="1"/>
  <c r="AD1480" i="2" s="1"/>
  <c r="K1480" i="2"/>
  <c r="F1480" i="2"/>
  <c r="V1480" i="2" s="1"/>
  <c r="E1480" i="2"/>
  <c r="D1480" i="2"/>
  <c r="AC1479" i="2"/>
  <c r="AB1479" i="2"/>
  <c r="AA1479" i="2"/>
  <c r="U1479" i="2"/>
  <c r="O1479" i="2"/>
  <c r="M1479" i="2" s="1"/>
  <c r="AD1479" i="2" s="1"/>
  <c r="K1479" i="2"/>
  <c r="F1479" i="2"/>
  <c r="V1479" i="2" s="1"/>
  <c r="E1479" i="2"/>
  <c r="D1479" i="2"/>
  <c r="AC1478" i="2"/>
  <c r="AB1478" i="2"/>
  <c r="AA1478" i="2"/>
  <c r="U1478" i="2"/>
  <c r="O1478" i="2"/>
  <c r="Q1478" i="2" s="1"/>
  <c r="K1478" i="2"/>
  <c r="F1478" i="2"/>
  <c r="V1478" i="2" s="1"/>
  <c r="E1478" i="2"/>
  <c r="D1478" i="2"/>
  <c r="AC1477" i="2"/>
  <c r="AB1477" i="2"/>
  <c r="AA1477" i="2"/>
  <c r="U1477" i="2"/>
  <c r="O1477" i="2"/>
  <c r="Q1477" i="2" s="1"/>
  <c r="K1477" i="2"/>
  <c r="F1477" i="2"/>
  <c r="V1477" i="2" s="1"/>
  <c r="E1477" i="2"/>
  <c r="D1477" i="2"/>
  <c r="AC1476" i="2"/>
  <c r="AB1476" i="2"/>
  <c r="AA1476" i="2"/>
  <c r="U1476" i="2"/>
  <c r="O1476" i="2"/>
  <c r="Q1476" i="2" s="1"/>
  <c r="K1476" i="2"/>
  <c r="F1476" i="2"/>
  <c r="V1476" i="2" s="1"/>
  <c r="E1476" i="2"/>
  <c r="D1476" i="2"/>
  <c r="AC1475" i="2"/>
  <c r="AB1475" i="2"/>
  <c r="AA1475" i="2"/>
  <c r="U1475" i="2"/>
  <c r="O1475" i="2"/>
  <c r="Q1475" i="2" s="1"/>
  <c r="K1475" i="2"/>
  <c r="F1475" i="2"/>
  <c r="V1475" i="2" s="1"/>
  <c r="E1475" i="2"/>
  <c r="D1475" i="2"/>
  <c r="AC1474" i="2"/>
  <c r="AB1474" i="2"/>
  <c r="AA1474" i="2"/>
  <c r="U1474" i="2"/>
  <c r="O1474" i="2"/>
  <c r="Q1474" i="2" s="1"/>
  <c r="K1474" i="2"/>
  <c r="F1474" i="2"/>
  <c r="V1474" i="2" s="1"/>
  <c r="E1474" i="2"/>
  <c r="D1474" i="2"/>
  <c r="AC1473" i="2"/>
  <c r="AB1473" i="2"/>
  <c r="AA1473" i="2"/>
  <c r="U1473" i="2"/>
  <c r="O1473" i="2"/>
  <c r="Q1473" i="2" s="1"/>
  <c r="K1473" i="2"/>
  <c r="F1473" i="2"/>
  <c r="V1473" i="2" s="1"/>
  <c r="E1473" i="2"/>
  <c r="D1473" i="2"/>
  <c r="AC1472" i="2"/>
  <c r="AB1472" i="2"/>
  <c r="AA1472" i="2"/>
  <c r="U1472" i="2"/>
  <c r="O1472" i="2"/>
  <c r="M1472" i="2" s="1"/>
  <c r="AD1472" i="2" s="1"/>
  <c r="K1472" i="2"/>
  <c r="F1472" i="2"/>
  <c r="V1472" i="2" s="1"/>
  <c r="E1472" i="2"/>
  <c r="D1472" i="2"/>
  <c r="AC1471" i="2"/>
  <c r="AB1471" i="2"/>
  <c r="AA1471" i="2"/>
  <c r="U1471" i="2"/>
  <c r="O1471" i="2"/>
  <c r="M1471" i="2" s="1"/>
  <c r="AD1471" i="2" s="1"/>
  <c r="K1471" i="2"/>
  <c r="F1471" i="2"/>
  <c r="V1471" i="2" s="1"/>
  <c r="E1471" i="2"/>
  <c r="D1471" i="2"/>
  <c r="AC1470" i="2"/>
  <c r="AB1470" i="2"/>
  <c r="AA1470" i="2"/>
  <c r="U1470" i="2"/>
  <c r="O1470" i="2"/>
  <c r="M1470" i="2" s="1"/>
  <c r="AD1470" i="2" s="1"/>
  <c r="K1470" i="2"/>
  <c r="F1470" i="2"/>
  <c r="V1470" i="2" s="1"/>
  <c r="E1470" i="2"/>
  <c r="D1470" i="2"/>
  <c r="AC1469" i="2"/>
  <c r="AB1469" i="2"/>
  <c r="AA1469" i="2"/>
  <c r="U1469" i="2"/>
  <c r="O1469" i="2"/>
  <c r="Q1469" i="2" s="1"/>
  <c r="K1469" i="2"/>
  <c r="F1469" i="2"/>
  <c r="V1469" i="2" s="1"/>
  <c r="E1469" i="2"/>
  <c r="D1469" i="2"/>
  <c r="AC1468" i="2"/>
  <c r="AB1468" i="2"/>
  <c r="AA1468" i="2"/>
  <c r="U1468" i="2"/>
  <c r="O1468" i="2"/>
  <c r="K1468" i="2"/>
  <c r="F1468" i="2"/>
  <c r="V1468" i="2" s="1"/>
  <c r="E1468" i="2"/>
  <c r="D1468" i="2"/>
  <c r="AC1467" i="2"/>
  <c r="AB1467" i="2"/>
  <c r="AA1467" i="2"/>
  <c r="U1467" i="2"/>
  <c r="O1467" i="2"/>
  <c r="K1467" i="2"/>
  <c r="F1467" i="2"/>
  <c r="V1467" i="2" s="1"/>
  <c r="E1467" i="2"/>
  <c r="D1467" i="2"/>
  <c r="AC1466" i="2"/>
  <c r="AB1466" i="2"/>
  <c r="AA1466" i="2"/>
  <c r="U1466" i="2"/>
  <c r="O1466" i="2"/>
  <c r="M1466" i="2" s="1"/>
  <c r="AD1466" i="2" s="1"/>
  <c r="K1466" i="2"/>
  <c r="F1466" i="2"/>
  <c r="V1466" i="2" s="1"/>
  <c r="E1466" i="2"/>
  <c r="D1466" i="2"/>
  <c r="AC1465" i="2"/>
  <c r="AB1465" i="2"/>
  <c r="AA1465" i="2"/>
  <c r="U1465" i="2"/>
  <c r="O1465" i="2"/>
  <c r="M1465" i="2" s="1"/>
  <c r="AD1465" i="2" s="1"/>
  <c r="K1465" i="2"/>
  <c r="F1465" i="2"/>
  <c r="V1465" i="2" s="1"/>
  <c r="E1465" i="2"/>
  <c r="D1465" i="2"/>
  <c r="AC1464" i="2"/>
  <c r="AB1464" i="2"/>
  <c r="AA1464" i="2"/>
  <c r="U1464" i="2"/>
  <c r="O1464" i="2"/>
  <c r="M1464" i="2" s="1"/>
  <c r="AD1464" i="2" s="1"/>
  <c r="K1464" i="2"/>
  <c r="F1464" i="2"/>
  <c r="V1464" i="2" s="1"/>
  <c r="E1464" i="2"/>
  <c r="D1464" i="2"/>
  <c r="AC1463" i="2"/>
  <c r="AB1463" i="2"/>
  <c r="AA1463" i="2"/>
  <c r="U1463" i="2"/>
  <c r="O1463" i="2"/>
  <c r="M1463" i="2" s="1"/>
  <c r="AD1463" i="2" s="1"/>
  <c r="K1463" i="2"/>
  <c r="F1463" i="2"/>
  <c r="V1463" i="2" s="1"/>
  <c r="E1463" i="2"/>
  <c r="D1463" i="2"/>
  <c r="AC1462" i="2"/>
  <c r="AB1462" i="2"/>
  <c r="AA1462" i="2"/>
  <c r="U1462" i="2"/>
  <c r="O1462" i="2"/>
  <c r="Q1462" i="2" s="1"/>
  <c r="K1462" i="2"/>
  <c r="F1462" i="2"/>
  <c r="V1462" i="2" s="1"/>
  <c r="E1462" i="2"/>
  <c r="D1462" i="2"/>
  <c r="AC1461" i="2"/>
  <c r="AB1461" i="2"/>
  <c r="AA1461" i="2"/>
  <c r="U1461" i="2"/>
  <c r="O1461" i="2"/>
  <c r="Q1461" i="2" s="1"/>
  <c r="K1461" i="2"/>
  <c r="F1461" i="2"/>
  <c r="V1461" i="2" s="1"/>
  <c r="E1461" i="2"/>
  <c r="D1461" i="2"/>
  <c r="AC1460" i="2"/>
  <c r="AB1460" i="2"/>
  <c r="AA1460" i="2"/>
  <c r="U1460" i="2"/>
  <c r="O1460" i="2"/>
  <c r="K1460" i="2"/>
  <c r="F1460" i="2"/>
  <c r="V1460" i="2" s="1"/>
  <c r="E1460" i="2"/>
  <c r="D1460" i="2"/>
  <c r="AC1459" i="2"/>
  <c r="AB1459" i="2"/>
  <c r="AA1459" i="2"/>
  <c r="U1459" i="2"/>
  <c r="O1459" i="2"/>
  <c r="K1459" i="2"/>
  <c r="F1459" i="2"/>
  <c r="V1459" i="2" s="1"/>
  <c r="E1459" i="2"/>
  <c r="D1459" i="2"/>
  <c r="AC1458" i="2"/>
  <c r="AB1458" i="2"/>
  <c r="AA1458" i="2"/>
  <c r="U1458" i="2"/>
  <c r="O1458" i="2"/>
  <c r="Q1458" i="2" s="1"/>
  <c r="K1458" i="2"/>
  <c r="F1458" i="2"/>
  <c r="V1458" i="2" s="1"/>
  <c r="E1458" i="2"/>
  <c r="D1458" i="2"/>
  <c r="AC1457" i="2"/>
  <c r="AB1457" i="2"/>
  <c r="AA1457" i="2"/>
  <c r="U1457" i="2"/>
  <c r="O1457" i="2"/>
  <c r="Q1457" i="2" s="1"/>
  <c r="K1457" i="2"/>
  <c r="F1457" i="2"/>
  <c r="V1457" i="2" s="1"/>
  <c r="E1457" i="2"/>
  <c r="D1457" i="2"/>
  <c r="AC1456" i="2"/>
  <c r="AB1456" i="2"/>
  <c r="AA1456" i="2"/>
  <c r="U1456" i="2"/>
  <c r="O1456" i="2"/>
  <c r="M1456" i="2" s="1"/>
  <c r="AD1456" i="2" s="1"/>
  <c r="K1456" i="2"/>
  <c r="F1456" i="2"/>
  <c r="V1456" i="2" s="1"/>
  <c r="E1456" i="2"/>
  <c r="D1456" i="2"/>
  <c r="AC1455" i="2"/>
  <c r="AB1455" i="2"/>
  <c r="AA1455" i="2"/>
  <c r="U1455" i="2"/>
  <c r="O1455" i="2"/>
  <c r="K1455" i="2"/>
  <c r="F1455" i="2"/>
  <c r="V1455" i="2" s="1"/>
  <c r="E1455" i="2"/>
  <c r="D1455" i="2"/>
  <c r="AC1454" i="2"/>
  <c r="AB1454" i="2"/>
  <c r="AA1454" i="2"/>
  <c r="U1454" i="2"/>
  <c r="O1454" i="2"/>
  <c r="Q1454" i="2" s="1"/>
  <c r="K1454" i="2"/>
  <c r="F1454" i="2"/>
  <c r="V1454" i="2" s="1"/>
  <c r="E1454" i="2"/>
  <c r="D1454" i="2"/>
  <c r="AC1453" i="2"/>
  <c r="AB1453" i="2"/>
  <c r="AA1453" i="2"/>
  <c r="U1453" i="2"/>
  <c r="O1453" i="2"/>
  <c r="M1453" i="2" s="1"/>
  <c r="AD1453" i="2" s="1"/>
  <c r="K1453" i="2"/>
  <c r="F1453" i="2"/>
  <c r="V1453" i="2" s="1"/>
  <c r="E1453" i="2"/>
  <c r="D1453" i="2"/>
  <c r="AC1452" i="2"/>
  <c r="AB1452" i="2"/>
  <c r="AA1452" i="2"/>
  <c r="U1452" i="2"/>
  <c r="O1452" i="2"/>
  <c r="K1452" i="2"/>
  <c r="F1452" i="2"/>
  <c r="V1452" i="2" s="1"/>
  <c r="E1452" i="2"/>
  <c r="D1452" i="2"/>
  <c r="AC1451" i="2"/>
  <c r="AB1451" i="2"/>
  <c r="AA1451" i="2"/>
  <c r="U1451" i="2"/>
  <c r="O1451" i="2"/>
  <c r="K1451" i="2"/>
  <c r="F1451" i="2"/>
  <c r="V1451" i="2" s="1"/>
  <c r="E1451" i="2"/>
  <c r="D1451" i="2"/>
  <c r="AC1450" i="2"/>
  <c r="AB1450" i="2"/>
  <c r="AA1450" i="2"/>
  <c r="U1450" i="2"/>
  <c r="O1450" i="2"/>
  <c r="Q1450" i="2" s="1"/>
  <c r="K1450" i="2"/>
  <c r="F1450" i="2"/>
  <c r="V1450" i="2" s="1"/>
  <c r="E1450" i="2"/>
  <c r="D1450" i="2"/>
  <c r="AC1449" i="2"/>
  <c r="AB1449" i="2"/>
  <c r="AA1449" i="2"/>
  <c r="U1449" i="2"/>
  <c r="O1449" i="2"/>
  <c r="Q1449" i="2" s="1"/>
  <c r="K1449" i="2"/>
  <c r="F1449" i="2"/>
  <c r="V1449" i="2" s="1"/>
  <c r="E1449" i="2"/>
  <c r="D1449" i="2"/>
  <c r="AC1448" i="2"/>
  <c r="AB1448" i="2"/>
  <c r="AA1448" i="2"/>
  <c r="U1448" i="2"/>
  <c r="O1448" i="2"/>
  <c r="K1448" i="2"/>
  <c r="F1448" i="2"/>
  <c r="V1448" i="2" s="1"/>
  <c r="E1448" i="2"/>
  <c r="D1448" i="2"/>
  <c r="AC1447" i="2"/>
  <c r="AB1447" i="2"/>
  <c r="AA1447" i="2"/>
  <c r="U1447" i="2"/>
  <c r="O1447" i="2"/>
  <c r="K1447" i="2"/>
  <c r="F1447" i="2"/>
  <c r="V1447" i="2" s="1"/>
  <c r="E1447" i="2"/>
  <c r="D1447" i="2"/>
  <c r="AC1446" i="2"/>
  <c r="AB1446" i="2"/>
  <c r="AA1446" i="2"/>
  <c r="U1446" i="2"/>
  <c r="O1446" i="2"/>
  <c r="Q1446" i="2" s="1"/>
  <c r="K1446" i="2"/>
  <c r="F1446" i="2"/>
  <c r="V1446" i="2" s="1"/>
  <c r="E1446" i="2"/>
  <c r="D1446" i="2"/>
  <c r="AC1445" i="2"/>
  <c r="AB1445" i="2"/>
  <c r="AA1445" i="2"/>
  <c r="U1445" i="2"/>
  <c r="O1445" i="2"/>
  <c r="Q1445" i="2" s="1"/>
  <c r="K1445" i="2"/>
  <c r="F1445" i="2"/>
  <c r="V1445" i="2" s="1"/>
  <c r="E1445" i="2"/>
  <c r="D1445" i="2"/>
  <c r="AC1444" i="2"/>
  <c r="AB1444" i="2"/>
  <c r="AA1444" i="2"/>
  <c r="U1444" i="2"/>
  <c r="O1444" i="2"/>
  <c r="K1444" i="2"/>
  <c r="F1444" i="2"/>
  <c r="V1444" i="2" s="1"/>
  <c r="E1444" i="2"/>
  <c r="D1444" i="2"/>
  <c r="AC1443" i="2"/>
  <c r="AB1443" i="2"/>
  <c r="AA1443" i="2"/>
  <c r="U1443" i="2"/>
  <c r="O1443" i="2"/>
  <c r="K1443" i="2"/>
  <c r="F1443" i="2"/>
  <c r="V1443" i="2" s="1"/>
  <c r="E1443" i="2"/>
  <c r="D1443" i="2"/>
  <c r="AC1442" i="2"/>
  <c r="AB1442" i="2"/>
  <c r="AA1442" i="2"/>
  <c r="U1442" i="2"/>
  <c r="O1442" i="2"/>
  <c r="Q1442" i="2" s="1"/>
  <c r="K1442" i="2"/>
  <c r="F1442" i="2"/>
  <c r="V1442" i="2" s="1"/>
  <c r="E1442" i="2"/>
  <c r="D1442" i="2"/>
  <c r="AC1441" i="2"/>
  <c r="AB1441" i="2"/>
  <c r="AA1441" i="2"/>
  <c r="U1441" i="2"/>
  <c r="O1441" i="2"/>
  <c r="Q1441" i="2" s="1"/>
  <c r="K1441" i="2"/>
  <c r="F1441" i="2"/>
  <c r="V1441" i="2" s="1"/>
  <c r="E1441" i="2"/>
  <c r="D1441" i="2"/>
  <c r="AC1440" i="2"/>
  <c r="AB1440" i="2"/>
  <c r="AA1440" i="2"/>
  <c r="U1440" i="2"/>
  <c r="O1440" i="2"/>
  <c r="K1440" i="2"/>
  <c r="F1440" i="2"/>
  <c r="V1440" i="2" s="1"/>
  <c r="E1440" i="2"/>
  <c r="D1440" i="2"/>
  <c r="AC1439" i="2"/>
  <c r="AB1439" i="2"/>
  <c r="AA1439" i="2"/>
  <c r="U1439" i="2"/>
  <c r="O1439" i="2"/>
  <c r="K1439" i="2"/>
  <c r="F1439" i="2"/>
  <c r="V1439" i="2" s="1"/>
  <c r="E1439" i="2"/>
  <c r="D1439" i="2"/>
  <c r="AC1438" i="2"/>
  <c r="AB1438" i="2"/>
  <c r="AA1438" i="2"/>
  <c r="U1438" i="2"/>
  <c r="O1438" i="2"/>
  <c r="Q1438" i="2" s="1"/>
  <c r="K1438" i="2"/>
  <c r="F1438" i="2"/>
  <c r="V1438" i="2" s="1"/>
  <c r="E1438" i="2"/>
  <c r="D1438" i="2"/>
  <c r="AC1437" i="2"/>
  <c r="AB1437" i="2"/>
  <c r="AA1437" i="2"/>
  <c r="U1437" i="2"/>
  <c r="O1437" i="2"/>
  <c r="Q1437" i="2" s="1"/>
  <c r="K1437" i="2"/>
  <c r="F1437" i="2"/>
  <c r="V1437" i="2" s="1"/>
  <c r="E1437" i="2"/>
  <c r="D1437" i="2"/>
  <c r="AC1436" i="2"/>
  <c r="AB1436" i="2"/>
  <c r="AA1436" i="2"/>
  <c r="U1436" i="2"/>
  <c r="O1436" i="2"/>
  <c r="K1436" i="2"/>
  <c r="F1436" i="2"/>
  <c r="V1436" i="2" s="1"/>
  <c r="E1436" i="2"/>
  <c r="D1436" i="2"/>
  <c r="AC1435" i="2"/>
  <c r="AB1435" i="2"/>
  <c r="AA1435" i="2"/>
  <c r="U1435" i="2"/>
  <c r="O1435" i="2"/>
  <c r="K1435" i="2"/>
  <c r="F1435" i="2"/>
  <c r="V1435" i="2" s="1"/>
  <c r="E1435" i="2"/>
  <c r="D1435" i="2"/>
  <c r="AC1434" i="2"/>
  <c r="AB1434" i="2"/>
  <c r="AA1434" i="2"/>
  <c r="U1434" i="2"/>
  <c r="O1434" i="2"/>
  <c r="M1434" i="2" s="1"/>
  <c r="AD1434" i="2" s="1"/>
  <c r="K1434" i="2"/>
  <c r="F1434" i="2"/>
  <c r="V1434" i="2" s="1"/>
  <c r="E1434" i="2"/>
  <c r="D1434" i="2"/>
  <c r="AC1433" i="2"/>
  <c r="AB1433" i="2"/>
  <c r="AA1433" i="2"/>
  <c r="U1433" i="2"/>
  <c r="O1433" i="2"/>
  <c r="M1433" i="2" s="1"/>
  <c r="AD1433" i="2" s="1"/>
  <c r="K1433" i="2"/>
  <c r="F1433" i="2"/>
  <c r="V1433" i="2" s="1"/>
  <c r="E1433" i="2"/>
  <c r="D1433" i="2"/>
  <c r="AC1432" i="2"/>
  <c r="AB1432" i="2"/>
  <c r="AA1432" i="2"/>
  <c r="U1432" i="2"/>
  <c r="O1432" i="2"/>
  <c r="K1432" i="2"/>
  <c r="F1432" i="2"/>
  <c r="V1432" i="2" s="1"/>
  <c r="E1432" i="2"/>
  <c r="D1432" i="2"/>
  <c r="AC1431" i="2"/>
  <c r="AB1431" i="2"/>
  <c r="AA1431" i="2"/>
  <c r="U1431" i="2"/>
  <c r="O1431" i="2"/>
  <c r="K1431" i="2"/>
  <c r="F1431" i="2"/>
  <c r="V1431" i="2" s="1"/>
  <c r="E1431" i="2"/>
  <c r="D1431" i="2"/>
  <c r="AC1430" i="2"/>
  <c r="AB1430" i="2"/>
  <c r="AA1430" i="2"/>
  <c r="U1430" i="2"/>
  <c r="O1430" i="2"/>
  <c r="Q1430" i="2" s="1"/>
  <c r="K1430" i="2"/>
  <c r="F1430" i="2"/>
  <c r="V1430" i="2" s="1"/>
  <c r="E1430" i="2"/>
  <c r="D1430" i="2"/>
  <c r="AC1429" i="2"/>
  <c r="AB1429" i="2"/>
  <c r="AA1429" i="2"/>
  <c r="U1429" i="2"/>
  <c r="O1429" i="2"/>
  <c r="M1429" i="2" s="1"/>
  <c r="AD1429" i="2" s="1"/>
  <c r="K1429" i="2"/>
  <c r="F1429" i="2"/>
  <c r="V1429" i="2" s="1"/>
  <c r="E1429" i="2"/>
  <c r="D1429" i="2"/>
  <c r="AC1428" i="2"/>
  <c r="AB1428" i="2"/>
  <c r="AA1428" i="2"/>
  <c r="U1428" i="2"/>
  <c r="O1428" i="2"/>
  <c r="K1428" i="2"/>
  <c r="F1428" i="2"/>
  <c r="V1428" i="2" s="1"/>
  <c r="E1428" i="2"/>
  <c r="D1428" i="2"/>
  <c r="AC1427" i="2"/>
  <c r="AB1427" i="2"/>
  <c r="AA1427" i="2"/>
  <c r="U1427" i="2"/>
  <c r="O1427" i="2"/>
  <c r="K1427" i="2"/>
  <c r="F1427" i="2"/>
  <c r="V1427" i="2" s="1"/>
  <c r="E1427" i="2"/>
  <c r="D1427" i="2"/>
  <c r="AC1426" i="2"/>
  <c r="AB1426" i="2"/>
  <c r="AA1426" i="2"/>
  <c r="U1426" i="2"/>
  <c r="O1426" i="2"/>
  <c r="Q1426" i="2" s="1"/>
  <c r="K1426" i="2"/>
  <c r="F1426" i="2"/>
  <c r="V1426" i="2" s="1"/>
  <c r="E1426" i="2"/>
  <c r="D1426" i="2"/>
  <c r="AC1425" i="2"/>
  <c r="AB1425" i="2"/>
  <c r="AA1425" i="2"/>
  <c r="U1425" i="2"/>
  <c r="O1425" i="2"/>
  <c r="Q1425" i="2" s="1"/>
  <c r="K1425" i="2"/>
  <c r="F1425" i="2"/>
  <c r="V1425" i="2" s="1"/>
  <c r="E1425" i="2"/>
  <c r="D1425" i="2"/>
  <c r="AC1424" i="2"/>
  <c r="AB1424" i="2"/>
  <c r="AA1424" i="2"/>
  <c r="U1424" i="2"/>
  <c r="O1424" i="2"/>
  <c r="Q1424" i="2" s="1"/>
  <c r="K1424" i="2"/>
  <c r="F1424" i="2"/>
  <c r="V1424" i="2" s="1"/>
  <c r="E1424" i="2"/>
  <c r="D1424" i="2"/>
  <c r="AC1423" i="2"/>
  <c r="AB1423" i="2"/>
  <c r="AA1423" i="2"/>
  <c r="U1423" i="2"/>
  <c r="O1423" i="2"/>
  <c r="Q1423" i="2" s="1"/>
  <c r="K1423" i="2"/>
  <c r="F1423" i="2"/>
  <c r="V1423" i="2" s="1"/>
  <c r="E1423" i="2"/>
  <c r="D1423" i="2"/>
  <c r="AC1422" i="2"/>
  <c r="AB1422" i="2"/>
  <c r="AA1422" i="2"/>
  <c r="U1422" i="2"/>
  <c r="O1422" i="2"/>
  <c r="M1422" i="2" s="1"/>
  <c r="AD1422" i="2" s="1"/>
  <c r="K1422" i="2"/>
  <c r="F1422" i="2"/>
  <c r="V1422" i="2" s="1"/>
  <c r="E1422" i="2"/>
  <c r="D1422" i="2"/>
  <c r="AC1421" i="2"/>
  <c r="AB1421" i="2"/>
  <c r="AA1421" i="2"/>
  <c r="U1421" i="2"/>
  <c r="O1421" i="2"/>
  <c r="M1421" i="2" s="1"/>
  <c r="AD1421" i="2" s="1"/>
  <c r="K1421" i="2"/>
  <c r="F1421" i="2"/>
  <c r="V1421" i="2" s="1"/>
  <c r="E1421" i="2"/>
  <c r="D1421" i="2"/>
  <c r="AC1420" i="2"/>
  <c r="AB1420" i="2"/>
  <c r="AA1420" i="2"/>
  <c r="U1420" i="2"/>
  <c r="O1420" i="2"/>
  <c r="M1420" i="2" s="1"/>
  <c r="AD1420" i="2" s="1"/>
  <c r="K1420" i="2"/>
  <c r="F1420" i="2"/>
  <c r="V1420" i="2" s="1"/>
  <c r="E1420" i="2"/>
  <c r="D1420" i="2"/>
  <c r="AC1419" i="2"/>
  <c r="AB1419" i="2"/>
  <c r="AA1419" i="2"/>
  <c r="U1419" i="2"/>
  <c r="O1419" i="2"/>
  <c r="M1419" i="2" s="1"/>
  <c r="AD1419" i="2" s="1"/>
  <c r="K1419" i="2"/>
  <c r="F1419" i="2"/>
  <c r="V1419" i="2" s="1"/>
  <c r="E1419" i="2"/>
  <c r="D1419" i="2"/>
  <c r="AC1418" i="2"/>
  <c r="AB1418" i="2"/>
  <c r="AA1418" i="2"/>
  <c r="U1418" i="2"/>
  <c r="O1418" i="2"/>
  <c r="Q1418" i="2" s="1"/>
  <c r="K1418" i="2"/>
  <c r="F1418" i="2"/>
  <c r="V1418" i="2" s="1"/>
  <c r="E1418" i="2"/>
  <c r="D1418" i="2"/>
  <c r="AC1417" i="2"/>
  <c r="AB1417" i="2"/>
  <c r="AA1417" i="2"/>
  <c r="U1417" i="2"/>
  <c r="O1417" i="2"/>
  <c r="Q1417" i="2" s="1"/>
  <c r="K1417" i="2"/>
  <c r="F1417" i="2"/>
  <c r="V1417" i="2" s="1"/>
  <c r="E1417" i="2"/>
  <c r="D1417" i="2"/>
  <c r="AC1416" i="2"/>
  <c r="AB1416" i="2"/>
  <c r="AA1416" i="2"/>
  <c r="U1416" i="2"/>
  <c r="O1416" i="2"/>
  <c r="Q1416" i="2" s="1"/>
  <c r="K1416" i="2"/>
  <c r="F1416" i="2"/>
  <c r="V1416" i="2" s="1"/>
  <c r="E1416" i="2"/>
  <c r="D1416" i="2"/>
  <c r="AC1415" i="2"/>
  <c r="AB1415" i="2"/>
  <c r="AA1415" i="2"/>
  <c r="U1415" i="2"/>
  <c r="O1415" i="2"/>
  <c r="M1415" i="2" s="1"/>
  <c r="AD1415" i="2" s="1"/>
  <c r="K1415" i="2"/>
  <c r="F1415" i="2"/>
  <c r="V1415" i="2" s="1"/>
  <c r="E1415" i="2"/>
  <c r="D1415" i="2"/>
  <c r="AC1414" i="2"/>
  <c r="AB1414" i="2"/>
  <c r="AA1414" i="2"/>
  <c r="U1414" i="2"/>
  <c r="O1414" i="2"/>
  <c r="M1414" i="2" s="1"/>
  <c r="AD1414" i="2" s="1"/>
  <c r="K1414" i="2"/>
  <c r="F1414" i="2"/>
  <c r="V1414" i="2" s="1"/>
  <c r="E1414" i="2"/>
  <c r="D1414" i="2"/>
  <c r="AC1413" i="2"/>
  <c r="AB1413" i="2"/>
  <c r="AA1413" i="2"/>
  <c r="U1413" i="2"/>
  <c r="O1413" i="2"/>
  <c r="M1413" i="2" s="1"/>
  <c r="AD1413" i="2" s="1"/>
  <c r="K1413" i="2"/>
  <c r="F1413" i="2"/>
  <c r="V1413" i="2" s="1"/>
  <c r="E1413" i="2"/>
  <c r="D1413" i="2"/>
  <c r="AC1412" i="2"/>
  <c r="AB1412" i="2"/>
  <c r="AA1412" i="2"/>
  <c r="U1412" i="2"/>
  <c r="O1412" i="2"/>
  <c r="Q1412" i="2" s="1"/>
  <c r="K1412" i="2"/>
  <c r="F1412" i="2"/>
  <c r="V1412" i="2" s="1"/>
  <c r="E1412" i="2"/>
  <c r="D1412" i="2"/>
  <c r="AC1411" i="2"/>
  <c r="AB1411" i="2"/>
  <c r="AA1411" i="2"/>
  <c r="U1411" i="2"/>
  <c r="O1411" i="2"/>
  <c r="Q1411" i="2" s="1"/>
  <c r="K1411" i="2"/>
  <c r="F1411" i="2"/>
  <c r="V1411" i="2" s="1"/>
  <c r="E1411" i="2"/>
  <c r="D1411" i="2"/>
  <c r="AC1410" i="2"/>
  <c r="AB1410" i="2"/>
  <c r="AA1410" i="2"/>
  <c r="U1410" i="2"/>
  <c r="O1410" i="2"/>
  <c r="Q1410" i="2" s="1"/>
  <c r="K1410" i="2"/>
  <c r="F1410" i="2"/>
  <c r="V1410" i="2" s="1"/>
  <c r="E1410" i="2"/>
  <c r="D1410" i="2"/>
  <c r="AC1409" i="2"/>
  <c r="AB1409" i="2"/>
  <c r="AA1409" i="2"/>
  <c r="U1409" i="2"/>
  <c r="O1409" i="2"/>
  <c r="Q1409" i="2" s="1"/>
  <c r="K1409" i="2"/>
  <c r="F1409" i="2"/>
  <c r="V1409" i="2" s="1"/>
  <c r="E1409" i="2"/>
  <c r="D1409" i="2"/>
  <c r="AC1408" i="2"/>
  <c r="AB1408" i="2"/>
  <c r="AA1408" i="2"/>
  <c r="U1408" i="2"/>
  <c r="O1408" i="2"/>
  <c r="Q1408" i="2" s="1"/>
  <c r="K1408" i="2"/>
  <c r="F1408" i="2"/>
  <c r="V1408" i="2" s="1"/>
  <c r="E1408" i="2"/>
  <c r="D1408" i="2"/>
  <c r="AC1407" i="2"/>
  <c r="AB1407" i="2"/>
  <c r="AA1407" i="2"/>
  <c r="U1407" i="2"/>
  <c r="O1407" i="2"/>
  <c r="Q1407" i="2" s="1"/>
  <c r="K1407" i="2"/>
  <c r="F1407" i="2"/>
  <c r="V1407" i="2" s="1"/>
  <c r="E1407" i="2"/>
  <c r="D1407" i="2"/>
  <c r="AC1406" i="2"/>
  <c r="AB1406" i="2"/>
  <c r="AA1406" i="2"/>
  <c r="U1406" i="2"/>
  <c r="O1406" i="2"/>
  <c r="Q1406" i="2" s="1"/>
  <c r="K1406" i="2"/>
  <c r="F1406" i="2"/>
  <c r="V1406" i="2" s="1"/>
  <c r="E1406" i="2"/>
  <c r="D1406" i="2"/>
  <c r="AC1405" i="2"/>
  <c r="AB1405" i="2"/>
  <c r="AA1405" i="2"/>
  <c r="U1405" i="2"/>
  <c r="O1405" i="2"/>
  <c r="M1405" i="2" s="1"/>
  <c r="AD1405" i="2" s="1"/>
  <c r="K1405" i="2"/>
  <c r="F1405" i="2"/>
  <c r="V1405" i="2" s="1"/>
  <c r="E1405" i="2"/>
  <c r="D1405" i="2"/>
  <c r="AC1404" i="2"/>
  <c r="AB1404" i="2"/>
  <c r="AA1404" i="2"/>
  <c r="U1404" i="2"/>
  <c r="O1404" i="2"/>
  <c r="Q1404" i="2" s="1"/>
  <c r="K1404" i="2"/>
  <c r="F1404" i="2"/>
  <c r="V1404" i="2" s="1"/>
  <c r="E1404" i="2"/>
  <c r="D1404" i="2"/>
  <c r="AC1403" i="2"/>
  <c r="AB1403" i="2"/>
  <c r="AA1403" i="2"/>
  <c r="U1403" i="2"/>
  <c r="O1403" i="2"/>
  <c r="Q1403" i="2" s="1"/>
  <c r="K1403" i="2"/>
  <c r="F1403" i="2"/>
  <c r="V1403" i="2" s="1"/>
  <c r="E1403" i="2"/>
  <c r="D1403" i="2"/>
  <c r="AC1402" i="2"/>
  <c r="AB1402" i="2"/>
  <c r="AA1402" i="2"/>
  <c r="U1402" i="2"/>
  <c r="O1402" i="2"/>
  <c r="M1402" i="2" s="1"/>
  <c r="AD1402" i="2" s="1"/>
  <c r="K1402" i="2"/>
  <c r="F1402" i="2"/>
  <c r="V1402" i="2" s="1"/>
  <c r="E1402" i="2"/>
  <c r="D1402" i="2"/>
  <c r="AC1401" i="2"/>
  <c r="AB1401" i="2"/>
  <c r="AA1401" i="2"/>
  <c r="U1401" i="2"/>
  <c r="O1401" i="2"/>
  <c r="Q1401" i="2" s="1"/>
  <c r="K1401" i="2"/>
  <c r="F1401" i="2"/>
  <c r="V1401" i="2" s="1"/>
  <c r="E1401" i="2"/>
  <c r="D1401" i="2"/>
  <c r="AC1400" i="2"/>
  <c r="AB1400" i="2"/>
  <c r="AA1400" i="2"/>
  <c r="U1400" i="2"/>
  <c r="O1400" i="2"/>
  <c r="M1400" i="2" s="1"/>
  <c r="AD1400" i="2" s="1"/>
  <c r="K1400" i="2"/>
  <c r="F1400" i="2"/>
  <c r="V1400" i="2" s="1"/>
  <c r="E1400" i="2"/>
  <c r="D1400" i="2"/>
  <c r="AC1399" i="2"/>
  <c r="AB1399" i="2"/>
  <c r="AA1399" i="2"/>
  <c r="U1399" i="2"/>
  <c r="O1399" i="2"/>
  <c r="M1399" i="2" s="1"/>
  <c r="AD1399" i="2" s="1"/>
  <c r="K1399" i="2"/>
  <c r="F1399" i="2"/>
  <c r="V1399" i="2" s="1"/>
  <c r="E1399" i="2"/>
  <c r="D1399" i="2"/>
  <c r="AC1398" i="2"/>
  <c r="AB1398" i="2"/>
  <c r="AA1398" i="2"/>
  <c r="U1398" i="2"/>
  <c r="O1398" i="2"/>
  <c r="M1398" i="2" s="1"/>
  <c r="AD1398" i="2" s="1"/>
  <c r="K1398" i="2"/>
  <c r="F1398" i="2"/>
  <c r="V1398" i="2" s="1"/>
  <c r="E1398" i="2"/>
  <c r="D1398" i="2"/>
  <c r="AC1397" i="2"/>
  <c r="AB1397" i="2"/>
  <c r="AA1397" i="2"/>
  <c r="U1397" i="2"/>
  <c r="O1397" i="2"/>
  <c r="M1397" i="2" s="1"/>
  <c r="AD1397" i="2" s="1"/>
  <c r="K1397" i="2"/>
  <c r="F1397" i="2"/>
  <c r="V1397" i="2" s="1"/>
  <c r="E1397" i="2"/>
  <c r="D1397" i="2"/>
  <c r="AC1396" i="2"/>
  <c r="AB1396" i="2"/>
  <c r="AA1396" i="2"/>
  <c r="U1396" i="2"/>
  <c r="O1396" i="2"/>
  <c r="M1396" i="2" s="1"/>
  <c r="AD1396" i="2" s="1"/>
  <c r="K1396" i="2"/>
  <c r="F1396" i="2"/>
  <c r="V1396" i="2" s="1"/>
  <c r="E1396" i="2"/>
  <c r="D1396" i="2"/>
  <c r="AC1395" i="2"/>
  <c r="AB1395" i="2"/>
  <c r="AA1395" i="2"/>
  <c r="U1395" i="2"/>
  <c r="O1395" i="2"/>
  <c r="M1395" i="2" s="1"/>
  <c r="AD1395" i="2" s="1"/>
  <c r="K1395" i="2"/>
  <c r="F1395" i="2"/>
  <c r="V1395" i="2" s="1"/>
  <c r="E1395" i="2"/>
  <c r="D1395" i="2"/>
  <c r="AC1394" i="2"/>
  <c r="AB1394" i="2"/>
  <c r="AA1394" i="2"/>
  <c r="U1394" i="2"/>
  <c r="O1394" i="2"/>
  <c r="Q1394" i="2" s="1"/>
  <c r="K1394" i="2"/>
  <c r="F1394" i="2"/>
  <c r="V1394" i="2" s="1"/>
  <c r="E1394" i="2"/>
  <c r="D1394" i="2"/>
  <c r="AC1393" i="2"/>
  <c r="AB1393" i="2"/>
  <c r="AA1393" i="2"/>
  <c r="U1393" i="2"/>
  <c r="O1393" i="2"/>
  <c r="Q1393" i="2" s="1"/>
  <c r="K1393" i="2"/>
  <c r="F1393" i="2"/>
  <c r="V1393" i="2" s="1"/>
  <c r="E1393" i="2"/>
  <c r="D1393" i="2"/>
  <c r="AC1392" i="2"/>
  <c r="AB1392" i="2"/>
  <c r="AA1392" i="2"/>
  <c r="U1392" i="2"/>
  <c r="O1392" i="2"/>
  <c r="Q1392" i="2" s="1"/>
  <c r="K1392" i="2"/>
  <c r="F1392" i="2"/>
  <c r="V1392" i="2" s="1"/>
  <c r="E1392" i="2"/>
  <c r="D1392" i="2"/>
  <c r="AC1391" i="2"/>
  <c r="AB1391" i="2"/>
  <c r="AA1391" i="2"/>
  <c r="U1391" i="2"/>
  <c r="O1391" i="2"/>
  <c r="Q1391" i="2" s="1"/>
  <c r="K1391" i="2"/>
  <c r="F1391" i="2"/>
  <c r="V1391" i="2" s="1"/>
  <c r="E1391" i="2"/>
  <c r="D1391" i="2"/>
  <c r="AC1390" i="2"/>
  <c r="AB1390" i="2"/>
  <c r="AA1390" i="2"/>
  <c r="U1390" i="2"/>
  <c r="O1390" i="2"/>
  <c r="Q1390" i="2" s="1"/>
  <c r="K1390" i="2"/>
  <c r="F1390" i="2"/>
  <c r="V1390" i="2" s="1"/>
  <c r="E1390" i="2"/>
  <c r="D1390" i="2"/>
  <c r="AC1389" i="2"/>
  <c r="AB1389" i="2"/>
  <c r="AA1389" i="2"/>
  <c r="U1389" i="2"/>
  <c r="O1389" i="2"/>
  <c r="M1389" i="2" s="1"/>
  <c r="AD1389" i="2" s="1"/>
  <c r="K1389" i="2"/>
  <c r="F1389" i="2"/>
  <c r="V1389" i="2" s="1"/>
  <c r="E1389" i="2"/>
  <c r="D1389" i="2"/>
  <c r="AC1388" i="2"/>
  <c r="AB1388" i="2"/>
  <c r="AA1388" i="2"/>
  <c r="U1388" i="2"/>
  <c r="O1388" i="2"/>
  <c r="Q1388" i="2" s="1"/>
  <c r="K1388" i="2"/>
  <c r="F1388" i="2"/>
  <c r="V1388" i="2" s="1"/>
  <c r="E1388" i="2"/>
  <c r="D1388" i="2"/>
  <c r="AC1387" i="2"/>
  <c r="AB1387" i="2"/>
  <c r="AA1387" i="2"/>
  <c r="U1387" i="2"/>
  <c r="O1387" i="2"/>
  <c r="Q1387" i="2" s="1"/>
  <c r="K1387" i="2"/>
  <c r="F1387" i="2"/>
  <c r="V1387" i="2" s="1"/>
  <c r="E1387" i="2"/>
  <c r="D1387" i="2"/>
  <c r="AC1386" i="2"/>
  <c r="AB1386" i="2"/>
  <c r="AA1386" i="2"/>
  <c r="U1386" i="2"/>
  <c r="O1386" i="2"/>
  <c r="M1386" i="2" s="1"/>
  <c r="AD1386" i="2" s="1"/>
  <c r="K1386" i="2"/>
  <c r="F1386" i="2"/>
  <c r="V1386" i="2" s="1"/>
  <c r="E1386" i="2"/>
  <c r="D1386" i="2"/>
  <c r="AC1385" i="2"/>
  <c r="AB1385" i="2"/>
  <c r="AA1385" i="2"/>
  <c r="U1385" i="2"/>
  <c r="O1385" i="2"/>
  <c r="Q1385" i="2" s="1"/>
  <c r="K1385" i="2"/>
  <c r="F1385" i="2"/>
  <c r="V1385" i="2" s="1"/>
  <c r="E1385" i="2"/>
  <c r="D1385" i="2"/>
  <c r="AC1384" i="2"/>
  <c r="AB1384" i="2"/>
  <c r="AA1384" i="2"/>
  <c r="U1384" i="2"/>
  <c r="O1384" i="2"/>
  <c r="M1384" i="2" s="1"/>
  <c r="AD1384" i="2" s="1"/>
  <c r="K1384" i="2"/>
  <c r="F1384" i="2"/>
  <c r="V1384" i="2" s="1"/>
  <c r="E1384" i="2"/>
  <c r="D1384" i="2"/>
  <c r="AC1383" i="2"/>
  <c r="AB1383" i="2"/>
  <c r="AA1383" i="2"/>
  <c r="U1383" i="2"/>
  <c r="O1383" i="2"/>
  <c r="M1383" i="2" s="1"/>
  <c r="AD1383" i="2" s="1"/>
  <c r="K1383" i="2"/>
  <c r="F1383" i="2"/>
  <c r="V1383" i="2" s="1"/>
  <c r="E1383" i="2"/>
  <c r="D1383" i="2"/>
  <c r="AC1382" i="2"/>
  <c r="AB1382" i="2"/>
  <c r="AA1382" i="2"/>
  <c r="U1382" i="2"/>
  <c r="O1382" i="2"/>
  <c r="M1382" i="2" s="1"/>
  <c r="AD1382" i="2" s="1"/>
  <c r="K1382" i="2"/>
  <c r="F1382" i="2"/>
  <c r="V1382" i="2" s="1"/>
  <c r="E1382" i="2"/>
  <c r="D1382" i="2"/>
  <c r="AC1381" i="2"/>
  <c r="AB1381" i="2"/>
  <c r="AA1381" i="2"/>
  <c r="U1381" i="2"/>
  <c r="O1381" i="2"/>
  <c r="M1381" i="2" s="1"/>
  <c r="AD1381" i="2" s="1"/>
  <c r="K1381" i="2"/>
  <c r="F1381" i="2"/>
  <c r="V1381" i="2" s="1"/>
  <c r="E1381" i="2"/>
  <c r="D1381" i="2"/>
  <c r="AC1380" i="2"/>
  <c r="AB1380" i="2"/>
  <c r="AA1380" i="2"/>
  <c r="U1380" i="2"/>
  <c r="O1380" i="2"/>
  <c r="M1380" i="2" s="1"/>
  <c r="AD1380" i="2" s="1"/>
  <c r="K1380" i="2"/>
  <c r="F1380" i="2"/>
  <c r="V1380" i="2" s="1"/>
  <c r="E1380" i="2"/>
  <c r="D1380" i="2"/>
  <c r="AC1379" i="2"/>
  <c r="AB1379" i="2"/>
  <c r="AA1379" i="2"/>
  <c r="U1379" i="2"/>
  <c r="O1379" i="2"/>
  <c r="M1379" i="2" s="1"/>
  <c r="AD1379" i="2" s="1"/>
  <c r="K1379" i="2"/>
  <c r="F1379" i="2"/>
  <c r="V1379" i="2" s="1"/>
  <c r="E1379" i="2"/>
  <c r="D1379" i="2"/>
  <c r="AC1378" i="2"/>
  <c r="AB1378" i="2"/>
  <c r="AA1378" i="2"/>
  <c r="U1378" i="2"/>
  <c r="O1378" i="2"/>
  <c r="M1378" i="2" s="1"/>
  <c r="AD1378" i="2" s="1"/>
  <c r="K1378" i="2"/>
  <c r="F1378" i="2"/>
  <c r="V1378" i="2" s="1"/>
  <c r="E1378" i="2"/>
  <c r="D1378" i="2"/>
  <c r="AC1377" i="2"/>
  <c r="AB1377" i="2"/>
  <c r="AA1377" i="2"/>
  <c r="U1377" i="2"/>
  <c r="O1377" i="2"/>
  <c r="Q1377" i="2" s="1"/>
  <c r="K1377" i="2"/>
  <c r="F1377" i="2"/>
  <c r="V1377" i="2" s="1"/>
  <c r="E1377" i="2"/>
  <c r="D1377" i="2"/>
  <c r="AC1376" i="2"/>
  <c r="AB1376" i="2"/>
  <c r="AA1376" i="2"/>
  <c r="U1376" i="2"/>
  <c r="O1376" i="2"/>
  <c r="M1376" i="2" s="1"/>
  <c r="AD1376" i="2" s="1"/>
  <c r="K1376" i="2"/>
  <c r="F1376" i="2"/>
  <c r="V1376" i="2" s="1"/>
  <c r="E1376" i="2"/>
  <c r="D1376" i="2"/>
  <c r="AC1375" i="2"/>
  <c r="AB1375" i="2"/>
  <c r="AA1375" i="2"/>
  <c r="U1375" i="2"/>
  <c r="O1375" i="2"/>
  <c r="M1375" i="2" s="1"/>
  <c r="AD1375" i="2" s="1"/>
  <c r="K1375" i="2"/>
  <c r="F1375" i="2"/>
  <c r="V1375" i="2" s="1"/>
  <c r="E1375" i="2"/>
  <c r="D1375" i="2"/>
  <c r="AC1374" i="2"/>
  <c r="AB1374" i="2"/>
  <c r="AA1374" i="2"/>
  <c r="U1374" i="2"/>
  <c r="O1374" i="2"/>
  <c r="M1374" i="2" s="1"/>
  <c r="AD1374" i="2" s="1"/>
  <c r="K1374" i="2"/>
  <c r="F1374" i="2"/>
  <c r="V1374" i="2" s="1"/>
  <c r="E1374" i="2"/>
  <c r="D1374" i="2"/>
  <c r="AC1373" i="2"/>
  <c r="AB1373" i="2"/>
  <c r="AA1373" i="2"/>
  <c r="U1373" i="2"/>
  <c r="O1373" i="2"/>
  <c r="M1373" i="2" s="1"/>
  <c r="AD1373" i="2" s="1"/>
  <c r="K1373" i="2"/>
  <c r="F1373" i="2"/>
  <c r="V1373" i="2" s="1"/>
  <c r="E1373" i="2"/>
  <c r="D1373" i="2"/>
  <c r="AC1372" i="2"/>
  <c r="AB1372" i="2"/>
  <c r="AA1372" i="2"/>
  <c r="U1372" i="2"/>
  <c r="O1372" i="2"/>
  <c r="M1372" i="2" s="1"/>
  <c r="AD1372" i="2" s="1"/>
  <c r="K1372" i="2"/>
  <c r="F1372" i="2"/>
  <c r="V1372" i="2" s="1"/>
  <c r="E1372" i="2"/>
  <c r="D1372" i="2"/>
  <c r="AC1371" i="2"/>
  <c r="AB1371" i="2"/>
  <c r="AA1371" i="2"/>
  <c r="U1371" i="2"/>
  <c r="O1371" i="2"/>
  <c r="Q1371" i="2" s="1"/>
  <c r="K1371" i="2"/>
  <c r="F1371" i="2"/>
  <c r="V1371" i="2" s="1"/>
  <c r="E1371" i="2"/>
  <c r="D1371" i="2"/>
  <c r="AC1370" i="2"/>
  <c r="AB1370" i="2"/>
  <c r="AA1370" i="2"/>
  <c r="U1370" i="2"/>
  <c r="O1370" i="2"/>
  <c r="M1370" i="2" s="1"/>
  <c r="AD1370" i="2" s="1"/>
  <c r="K1370" i="2"/>
  <c r="F1370" i="2"/>
  <c r="V1370" i="2" s="1"/>
  <c r="E1370" i="2"/>
  <c r="D1370" i="2"/>
  <c r="AC1369" i="2"/>
  <c r="AB1369" i="2"/>
  <c r="AA1369" i="2"/>
  <c r="U1369" i="2"/>
  <c r="O1369" i="2"/>
  <c r="Q1369" i="2" s="1"/>
  <c r="K1369" i="2"/>
  <c r="F1369" i="2"/>
  <c r="V1369" i="2" s="1"/>
  <c r="E1369" i="2"/>
  <c r="D1369" i="2"/>
  <c r="AC1368" i="2"/>
  <c r="AB1368" i="2"/>
  <c r="AA1368" i="2"/>
  <c r="U1368" i="2"/>
  <c r="O1368" i="2"/>
  <c r="M1368" i="2" s="1"/>
  <c r="AD1368" i="2" s="1"/>
  <c r="K1368" i="2"/>
  <c r="F1368" i="2"/>
  <c r="V1368" i="2" s="1"/>
  <c r="E1368" i="2"/>
  <c r="D1368" i="2"/>
  <c r="AC1367" i="2"/>
  <c r="AB1367" i="2"/>
  <c r="AA1367" i="2"/>
  <c r="U1367" i="2"/>
  <c r="O1367" i="2"/>
  <c r="Q1367" i="2" s="1"/>
  <c r="K1367" i="2"/>
  <c r="F1367" i="2"/>
  <c r="V1367" i="2" s="1"/>
  <c r="E1367" i="2"/>
  <c r="D1367" i="2"/>
  <c r="AC1366" i="2"/>
  <c r="AB1366" i="2"/>
  <c r="AA1366" i="2"/>
  <c r="U1366" i="2"/>
  <c r="O1366" i="2"/>
  <c r="Q1366" i="2" s="1"/>
  <c r="K1366" i="2"/>
  <c r="F1366" i="2"/>
  <c r="V1366" i="2" s="1"/>
  <c r="E1366" i="2"/>
  <c r="D1366" i="2"/>
  <c r="AC1365" i="2"/>
  <c r="AB1365" i="2"/>
  <c r="AA1365" i="2"/>
  <c r="U1365" i="2"/>
  <c r="O1365" i="2"/>
  <c r="M1365" i="2" s="1"/>
  <c r="AD1365" i="2" s="1"/>
  <c r="K1365" i="2"/>
  <c r="F1365" i="2"/>
  <c r="V1365" i="2" s="1"/>
  <c r="E1365" i="2"/>
  <c r="D1365" i="2"/>
  <c r="AC1364" i="2"/>
  <c r="AB1364" i="2"/>
  <c r="AA1364" i="2"/>
  <c r="U1364" i="2"/>
  <c r="O1364" i="2"/>
  <c r="Q1364" i="2" s="1"/>
  <c r="K1364" i="2"/>
  <c r="F1364" i="2"/>
  <c r="V1364" i="2" s="1"/>
  <c r="E1364" i="2"/>
  <c r="D1364" i="2"/>
  <c r="AC1363" i="2"/>
  <c r="AB1363" i="2"/>
  <c r="AA1363" i="2"/>
  <c r="U1363" i="2"/>
  <c r="O1363" i="2"/>
  <c r="M1363" i="2" s="1"/>
  <c r="AD1363" i="2" s="1"/>
  <c r="K1363" i="2"/>
  <c r="F1363" i="2"/>
  <c r="V1363" i="2" s="1"/>
  <c r="E1363" i="2"/>
  <c r="D1363" i="2"/>
  <c r="AC1362" i="2"/>
  <c r="AB1362" i="2"/>
  <c r="AA1362" i="2"/>
  <c r="U1362" i="2"/>
  <c r="O1362" i="2"/>
  <c r="M1362" i="2" s="1"/>
  <c r="AD1362" i="2" s="1"/>
  <c r="K1362" i="2"/>
  <c r="F1362" i="2"/>
  <c r="V1362" i="2" s="1"/>
  <c r="E1362" i="2"/>
  <c r="D1362" i="2"/>
  <c r="AC1361" i="2"/>
  <c r="AB1361" i="2"/>
  <c r="AA1361" i="2"/>
  <c r="U1361" i="2"/>
  <c r="O1361" i="2"/>
  <c r="Q1361" i="2" s="1"/>
  <c r="K1361" i="2"/>
  <c r="F1361" i="2"/>
  <c r="V1361" i="2" s="1"/>
  <c r="E1361" i="2"/>
  <c r="D1361" i="2"/>
  <c r="AC1360" i="2"/>
  <c r="AB1360" i="2"/>
  <c r="AA1360" i="2"/>
  <c r="U1360" i="2"/>
  <c r="O1360" i="2"/>
  <c r="M1360" i="2" s="1"/>
  <c r="AD1360" i="2" s="1"/>
  <c r="K1360" i="2"/>
  <c r="F1360" i="2"/>
  <c r="V1360" i="2" s="1"/>
  <c r="E1360" i="2"/>
  <c r="D1360" i="2"/>
  <c r="AC1359" i="2"/>
  <c r="AB1359" i="2"/>
  <c r="AA1359" i="2"/>
  <c r="U1359" i="2"/>
  <c r="O1359" i="2"/>
  <c r="M1359" i="2" s="1"/>
  <c r="AD1359" i="2" s="1"/>
  <c r="K1359" i="2"/>
  <c r="F1359" i="2"/>
  <c r="V1359" i="2" s="1"/>
  <c r="E1359" i="2"/>
  <c r="D1359" i="2"/>
  <c r="AC1358" i="2"/>
  <c r="AB1358" i="2"/>
  <c r="AA1358" i="2"/>
  <c r="U1358" i="2"/>
  <c r="O1358" i="2"/>
  <c r="M1358" i="2" s="1"/>
  <c r="AD1358" i="2" s="1"/>
  <c r="K1358" i="2"/>
  <c r="F1358" i="2"/>
  <c r="V1358" i="2" s="1"/>
  <c r="E1358" i="2"/>
  <c r="D1358" i="2"/>
  <c r="AC1357" i="2"/>
  <c r="AB1357" i="2"/>
  <c r="AA1357" i="2"/>
  <c r="U1357" i="2"/>
  <c r="O1357" i="2"/>
  <c r="M1357" i="2" s="1"/>
  <c r="AD1357" i="2" s="1"/>
  <c r="K1357" i="2"/>
  <c r="F1357" i="2"/>
  <c r="V1357" i="2" s="1"/>
  <c r="E1357" i="2"/>
  <c r="D1357" i="2"/>
  <c r="AC1356" i="2"/>
  <c r="AB1356" i="2"/>
  <c r="AA1356" i="2"/>
  <c r="U1356" i="2"/>
  <c r="O1356" i="2"/>
  <c r="Q1356" i="2" s="1"/>
  <c r="K1356" i="2"/>
  <c r="F1356" i="2"/>
  <c r="V1356" i="2" s="1"/>
  <c r="E1356" i="2"/>
  <c r="D1356" i="2"/>
  <c r="AC1355" i="2"/>
  <c r="AB1355" i="2"/>
  <c r="AA1355" i="2"/>
  <c r="U1355" i="2"/>
  <c r="O1355" i="2"/>
  <c r="M1355" i="2" s="1"/>
  <c r="AD1355" i="2" s="1"/>
  <c r="K1355" i="2"/>
  <c r="F1355" i="2"/>
  <c r="V1355" i="2" s="1"/>
  <c r="E1355" i="2"/>
  <c r="D1355" i="2"/>
  <c r="AC1354" i="2"/>
  <c r="AB1354" i="2"/>
  <c r="AA1354" i="2"/>
  <c r="U1354" i="2"/>
  <c r="O1354" i="2"/>
  <c r="Q1354" i="2" s="1"/>
  <c r="K1354" i="2"/>
  <c r="F1354" i="2"/>
  <c r="V1354" i="2" s="1"/>
  <c r="E1354" i="2"/>
  <c r="D1354" i="2"/>
  <c r="AC1353" i="2"/>
  <c r="AB1353" i="2"/>
  <c r="AA1353" i="2"/>
  <c r="U1353" i="2"/>
  <c r="O1353" i="2"/>
  <c r="Q1353" i="2" s="1"/>
  <c r="K1353" i="2"/>
  <c r="F1353" i="2"/>
  <c r="V1353" i="2" s="1"/>
  <c r="E1353" i="2"/>
  <c r="D1353" i="2"/>
  <c r="AC1352" i="2"/>
  <c r="AB1352" i="2"/>
  <c r="AA1352" i="2"/>
  <c r="U1352" i="2"/>
  <c r="O1352" i="2"/>
  <c r="Q1352" i="2" s="1"/>
  <c r="K1352" i="2"/>
  <c r="F1352" i="2"/>
  <c r="V1352" i="2" s="1"/>
  <c r="E1352" i="2"/>
  <c r="D1352" i="2"/>
  <c r="AC1351" i="2"/>
  <c r="AB1351" i="2"/>
  <c r="AA1351" i="2"/>
  <c r="U1351" i="2"/>
  <c r="O1351" i="2"/>
  <c r="M1351" i="2" s="1"/>
  <c r="AD1351" i="2" s="1"/>
  <c r="K1351" i="2"/>
  <c r="F1351" i="2"/>
  <c r="V1351" i="2" s="1"/>
  <c r="E1351" i="2"/>
  <c r="D1351" i="2"/>
  <c r="AC1350" i="2"/>
  <c r="AB1350" i="2"/>
  <c r="AA1350" i="2"/>
  <c r="U1350" i="2"/>
  <c r="O1350" i="2"/>
  <c r="M1350" i="2" s="1"/>
  <c r="AD1350" i="2" s="1"/>
  <c r="K1350" i="2"/>
  <c r="F1350" i="2"/>
  <c r="V1350" i="2" s="1"/>
  <c r="E1350" i="2"/>
  <c r="D1350" i="2"/>
  <c r="AC1349" i="2"/>
  <c r="AB1349" i="2"/>
  <c r="AA1349" i="2"/>
  <c r="U1349" i="2"/>
  <c r="O1349" i="2"/>
  <c r="M1349" i="2" s="1"/>
  <c r="AD1349" i="2" s="1"/>
  <c r="K1349" i="2"/>
  <c r="F1349" i="2"/>
  <c r="V1349" i="2" s="1"/>
  <c r="E1349" i="2"/>
  <c r="D1349" i="2"/>
  <c r="AC1348" i="2"/>
  <c r="AB1348" i="2"/>
  <c r="AA1348" i="2"/>
  <c r="U1348" i="2"/>
  <c r="O1348" i="2"/>
  <c r="Q1348" i="2" s="1"/>
  <c r="K1348" i="2"/>
  <c r="F1348" i="2"/>
  <c r="V1348" i="2" s="1"/>
  <c r="E1348" i="2"/>
  <c r="D1348" i="2"/>
  <c r="AC1347" i="2"/>
  <c r="AB1347" i="2"/>
  <c r="AA1347" i="2"/>
  <c r="U1347" i="2"/>
  <c r="O1347" i="2"/>
  <c r="M1347" i="2" s="1"/>
  <c r="AD1347" i="2" s="1"/>
  <c r="K1347" i="2"/>
  <c r="F1347" i="2"/>
  <c r="V1347" i="2" s="1"/>
  <c r="E1347" i="2"/>
  <c r="D1347" i="2"/>
  <c r="AC1346" i="2"/>
  <c r="AB1346" i="2"/>
  <c r="AA1346" i="2"/>
  <c r="U1346" i="2"/>
  <c r="O1346" i="2"/>
  <c r="Q1346" i="2" s="1"/>
  <c r="K1346" i="2"/>
  <c r="F1346" i="2"/>
  <c r="V1346" i="2" s="1"/>
  <c r="E1346" i="2"/>
  <c r="D1346" i="2"/>
  <c r="AC1345" i="2"/>
  <c r="AB1345" i="2"/>
  <c r="AA1345" i="2"/>
  <c r="U1345" i="2"/>
  <c r="O1345" i="2"/>
  <c r="Q1345" i="2" s="1"/>
  <c r="K1345" i="2"/>
  <c r="F1345" i="2"/>
  <c r="V1345" i="2" s="1"/>
  <c r="E1345" i="2"/>
  <c r="D1345" i="2"/>
  <c r="AC1344" i="2"/>
  <c r="AB1344" i="2"/>
  <c r="AA1344" i="2"/>
  <c r="U1344" i="2"/>
  <c r="O1344" i="2"/>
  <c r="Q1344" i="2" s="1"/>
  <c r="K1344" i="2"/>
  <c r="F1344" i="2"/>
  <c r="V1344" i="2" s="1"/>
  <c r="E1344" i="2"/>
  <c r="D1344" i="2"/>
  <c r="AC1343" i="2"/>
  <c r="AB1343" i="2"/>
  <c r="AA1343" i="2"/>
  <c r="U1343" i="2"/>
  <c r="O1343" i="2"/>
  <c r="M1343" i="2" s="1"/>
  <c r="AD1343" i="2" s="1"/>
  <c r="K1343" i="2"/>
  <c r="F1343" i="2"/>
  <c r="V1343" i="2" s="1"/>
  <c r="E1343" i="2"/>
  <c r="D1343" i="2"/>
  <c r="AC1342" i="2"/>
  <c r="AB1342" i="2"/>
  <c r="AA1342" i="2"/>
  <c r="U1342" i="2"/>
  <c r="O1342" i="2"/>
  <c r="M1342" i="2" s="1"/>
  <c r="AD1342" i="2" s="1"/>
  <c r="K1342" i="2"/>
  <c r="F1342" i="2"/>
  <c r="V1342" i="2" s="1"/>
  <c r="E1342" i="2"/>
  <c r="D1342" i="2"/>
  <c r="AC1341" i="2"/>
  <c r="AB1341" i="2"/>
  <c r="AA1341" i="2"/>
  <c r="U1341" i="2"/>
  <c r="O1341" i="2"/>
  <c r="M1341" i="2" s="1"/>
  <c r="AD1341" i="2" s="1"/>
  <c r="K1341" i="2"/>
  <c r="F1341" i="2"/>
  <c r="V1341" i="2" s="1"/>
  <c r="E1341" i="2"/>
  <c r="D1341" i="2"/>
  <c r="AC1340" i="2"/>
  <c r="AB1340" i="2"/>
  <c r="AA1340" i="2"/>
  <c r="U1340" i="2"/>
  <c r="O1340" i="2"/>
  <c r="Q1340" i="2" s="1"/>
  <c r="K1340" i="2"/>
  <c r="F1340" i="2"/>
  <c r="V1340" i="2" s="1"/>
  <c r="E1340" i="2"/>
  <c r="D1340" i="2"/>
  <c r="AC1339" i="2"/>
  <c r="AB1339" i="2"/>
  <c r="AA1339" i="2"/>
  <c r="U1339" i="2"/>
  <c r="O1339" i="2"/>
  <c r="M1339" i="2" s="1"/>
  <c r="AD1339" i="2" s="1"/>
  <c r="K1339" i="2"/>
  <c r="F1339" i="2"/>
  <c r="V1339" i="2" s="1"/>
  <c r="E1339" i="2"/>
  <c r="D1339" i="2"/>
  <c r="AC1338" i="2"/>
  <c r="AB1338" i="2"/>
  <c r="AA1338" i="2"/>
  <c r="U1338" i="2"/>
  <c r="O1338" i="2"/>
  <c r="Q1338" i="2" s="1"/>
  <c r="K1338" i="2"/>
  <c r="F1338" i="2"/>
  <c r="V1338" i="2" s="1"/>
  <c r="E1338" i="2"/>
  <c r="D1338" i="2"/>
  <c r="AC1337" i="2"/>
  <c r="AB1337" i="2"/>
  <c r="AA1337" i="2"/>
  <c r="U1337" i="2"/>
  <c r="O1337" i="2"/>
  <c r="Q1337" i="2" s="1"/>
  <c r="K1337" i="2"/>
  <c r="F1337" i="2"/>
  <c r="V1337" i="2" s="1"/>
  <c r="E1337" i="2"/>
  <c r="D1337" i="2"/>
  <c r="AC1336" i="2"/>
  <c r="AB1336" i="2"/>
  <c r="AA1336" i="2"/>
  <c r="U1336" i="2"/>
  <c r="O1336" i="2"/>
  <c r="M1336" i="2" s="1"/>
  <c r="AD1336" i="2" s="1"/>
  <c r="K1336" i="2"/>
  <c r="F1336" i="2"/>
  <c r="V1336" i="2" s="1"/>
  <c r="E1336" i="2"/>
  <c r="D1336" i="2"/>
  <c r="AC1335" i="2"/>
  <c r="AB1335" i="2"/>
  <c r="AA1335" i="2"/>
  <c r="U1335" i="2"/>
  <c r="O1335" i="2"/>
  <c r="Q1335" i="2" s="1"/>
  <c r="K1335" i="2"/>
  <c r="F1335" i="2"/>
  <c r="V1335" i="2" s="1"/>
  <c r="E1335" i="2"/>
  <c r="D1335" i="2"/>
  <c r="AC1334" i="2"/>
  <c r="AB1334" i="2"/>
  <c r="AA1334" i="2"/>
  <c r="U1334" i="2"/>
  <c r="O1334" i="2"/>
  <c r="M1334" i="2" s="1"/>
  <c r="AD1334" i="2" s="1"/>
  <c r="K1334" i="2"/>
  <c r="F1334" i="2"/>
  <c r="V1334" i="2" s="1"/>
  <c r="E1334" i="2"/>
  <c r="D1334" i="2"/>
  <c r="AC1333" i="2"/>
  <c r="AB1333" i="2"/>
  <c r="AA1333" i="2"/>
  <c r="U1333" i="2"/>
  <c r="O1333" i="2"/>
  <c r="Q1333" i="2" s="1"/>
  <c r="K1333" i="2"/>
  <c r="F1333" i="2"/>
  <c r="V1333" i="2" s="1"/>
  <c r="E1333" i="2"/>
  <c r="D1333" i="2"/>
  <c r="AC1332" i="2"/>
  <c r="AB1332" i="2"/>
  <c r="AA1332" i="2"/>
  <c r="U1332" i="2"/>
  <c r="O1332" i="2"/>
  <c r="M1332" i="2" s="1"/>
  <c r="AD1332" i="2" s="1"/>
  <c r="K1332" i="2"/>
  <c r="F1332" i="2"/>
  <c r="V1332" i="2" s="1"/>
  <c r="E1332" i="2"/>
  <c r="D1332" i="2"/>
  <c r="AC1331" i="2"/>
  <c r="AB1331" i="2"/>
  <c r="AA1331" i="2"/>
  <c r="U1331" i="2"/>
  <c r="O1331" i="2"/>
  <c r="Q1331" i="2" s="1"/>
  <c r="K1331" i="2"/>
  <c r="F1331" i="2"/>
  <c r="V1331" i="2" s="1"/>
  <c r="E1331" i="2"/>
  <c r="D1331" i="2"/>
  <c r="AC1330" i="2"/>
  <c r="AB1330" i="2"/>
  <c r="AA1330" i="2"/>
  <c r="U1330" i="2"/>
  <c r="O1330" i="2"/>
  <c r="M1330" i="2" s="1"/>
  <c r="AD1330" i="2" s="1"/>
  <c r="K1330" i="2"/>
  <c r="F1330" i="2"/>
  <c r="V1330" i="2" s="1"/>
  <c r="E1330" i="2"/>
  <c r="D1330" i="2"/>
  <c r="AC1329" i="2"/>
  <c r="AB1329" i="2"/>
  <c r="AA1329" i="2"/>
  <c r="U1329" i="2"/>
  <c r="O1329" i="2"/>
  <c r="Q1329" i="2" s="1"/>
  <c r="K1329" i="2"/>
  <c r="F1329" i="2"/>
  <c r="V1329" i="2" s="1"/>
  <c r="E1329" i="2"/>
  <c r="D1329" i="2"/>
  <c r="AC1328" i="2"/>
  <c r="AB1328" i="2"/>
  <c r="AA1328" i="2"/>
  <c r="U1328" i="2"/>
  <c r="O1328" i="2"/>
  <c r="M1328" i="2" s="1"/>
  <c r="AD1328" i="2" s="1"/>
  <c r="K1328" i="2"/>
  <c r="F1328" i="2"/>
  <c r="V1328" i="2" s="1"/>
  <c r="E1328" i="2"/>
  <c r="D1328" i="2"/>
  <c r="AC1327" i="2"/>
  <c r="AB1327" i="2"/>
  <c r="AA1327" i="2"/>
  <c r="U1327" i="2"/>
  <c r="O1327" i="2"/>
  <c r="Q1327" i="2" s="1"/>
  <c r="K1327" i="2"/>
  <c r="F1327" i="2"/>
  <c r="V1327" i="2" s="1"/>
  <c r="E1327" i="2"/>
  <c r="D1327" i="2"/>
  <c r="AC1326" i="2"/>
  <c r="AB1326" i="2"/>
  <c r="AA1326" i="2"/>
  <c r="U1326" i="2"/>
  <c r="O1326" i="2"/>
  <c r="M1326" i="2" s="1"/>
  <c r="AD1326" i="2" s="1"/>
  <c r="K1326" i="2"/>
  <c r="F1326" i="2"/>
  <c r="V1326" i="2" s="1"/>
  <c r="E1326" i="2"/>
  <c r="D1326" i="2"/>
  <c r="AC1325" i="2"/>
  <c r="AB1325" i="2"/>
  <c r="AA1325" i="2"/>
  <c r="U1325" i="2"/>
  <c r="O1325" i="2"/>
  <c r="Q1325" i="2" s="1"/>
  <c r="K1325" i="2"/>
  <c r="F1325" i="2"/>
  <c r="V1325" i="2" s="1"/>
  <c r="E1325" i="2"/>
  <c r="D1325" i="2"/>
  <c r="AC1324" i="2"/>
  <c r="AB1324" i="2"/>
  <c r="AA1324" i="2"/>
  <c r="U1324" i="2"/>
  <c r="O1324" i="2"/>
  <c r="M1324" i="2" s="1"/>
  <c r="AD1324" i="2" s="1"/>
  <c r="K1324" i="2"/>
  <c r="F1324" i="2"/>
  <c r="V1324" i="2" s="1"/>
  <c r="E1324" i="2"/>
  <c r="D1324" i="2"/>
  <c r="AC1323" i="2"/>
  <c r="AB1323" i="2"/>
  <c r="AA1323" i="2"/>
  <c r="U1323" i="2"/>
  <c r="O1323" i="2"/>
  <c r="Q1323" i="2" s="1"/>
  <c r="K1323" i="2"/>
  <c r="F1323" i="2"/>
  <c r="V1323" i="2" s="1"/>
  <c r="E1323" i="2"/>
  <c r="D1323" i="2"/>
  <c r="AC1322" i="2"/>
  <c r="AB1322" i="2"/>
  <c r="AA1322" i="2"/>
  <c r="U1322" i="2"/>
  <c r="O1322" i="2"/>
  <c r="M1322" i="2" s="1"/>
  <c r="AD1322" i="2" s="1"/>
  <c r="K1322" i="2"/>
  <c r="F1322" i="2"/>
  <c r="V1322" i="2" s="1"/>
  <c r="E1322" i="2"/>
  <c r="D1322" i="2"/>
  <c r="AC1321" i="2"/>
  <c r="AB1321" i="2"/>
  <c r="AA1321" i="2"/>
  <c r="U1321" i="2"/>
  <c r="O1321" i="2"/>
  <c r="Q1321" i="2" s="1"/>
  <c r="K1321" i="2"/>
  <c r="F1321" i="2"/>
  <c r="V1321" i="2" s="1"/>
  <c r="E1321" i="2"/>
  <c r="D1321" i="2"/>
  <c r="AC1320" i="2"/>
  <c r="AB1320" i="2"/>
  <c r="AA1320" i="2"/>
  <c r="U1320" i="2"/>
  <c r="O1320" i="2"/>
  <c r="M1320" i="2" s="1"/>
  <c r="AD1320" i="2" s="1"/>
  <c r="K1320" i="2"/>
  <c r="F1320" i="2"/>
  <c r="V1320" i="2" s="1"/>
  <c r="E1320" i="2"/>
  <c r="D1320" i="2"/>
  <c r="AC1319" i="2"/>
  <c r="AB1319" i="2"/>
  <c r="AA1319" i="2"/>
  <c r="U1319" i="2"/>
  <c r="O1319" i="2"/>
  <c r="Q1319" i="2" s="1"/>
  <c r="K1319" i="2"/>
  <c r="F1319" i="2"/>
  <c r="V1319" i="2" s="1"/>
  <c r="E1319" i="2"/>
  <c r="D1319" i="2"/>
  <c r="AC1318" i="2"/>
  <c r="AB1318" i="2"/>
  <c r="AA1318" i="2"/>
  <c r="U1318" i="2"/>
  <c r="O1318" i="2"/>
  <c r="M1318" i="2" s="1"/>
  <c r="AD1318" i="2" s="1"/>
  <c r="K1318" i="2"/>
  <c r="F1318" i="2"/>
  <c r="V1318" i="2" s="1"/>
  <c r="E1318" i="2"/>
  <c r="D1318" i="2"/>
  <c r="AC1317" i="2"/>
  <c r="AB1317" i="2"/>
  <c r="AA1317" i="2"/>
  <c r="U1317" i="2"/>
  <c r="O1317" i="2"/>
  <c r="Q1317" i="2" s="1"/>
  <c r="K1317" i="2"/>
  <c r="F1317" i="2"/>
  <c r="V1317" i="2" s="1"/>
  <c r="E1317" i="2"/>
  <c r="D1317" i="2"/>
  <c r="AC1316" i="2"/>
  <c r="AB1316" i="2"/>
  <c r="AA1316" i="2"/>
  <c r="U1316" i="2"/>
  <c r="O1316" i="2"/>
  <c r="M1316" i="2" s="1"/>
  <c r="AD1316" i="2" s="1"/>
  <c r="K1316" i="2"/>
  <c r="F1316" i="2"/>
  <c r="V1316" i="2" s="1"/>
  <c r="E1316" i="2"/>
  <c r="D1316" i="2"/>
  <c r="AC1315" i="2"/>
  <c r="AB1315" i="2"/>
  <c r="AA1315" i="2"/>
  <c r="U1315" i="2"/>
  <c r="O1315" i="2"/>
  <c r="Q1315" i="2" s="1"/>
  <c r="K1315" i="2"/>
  <c r="F1315" i="2"/>
  <c r="V1315" i="2" s="1"/>
  <c r="E1315" i="2"/>
  <c r="D1315" i="2"/>
  <c r="AC1314" i="2"/>
  <c r="AB1314" i="2"/>
  <c r="AA1314" i="2"/>
  <c r="U1314" i="2"/>
  <c r="O1314" i="2"/>
  <c r="M1314" i="2" s="1"/>
  <c r="AD1314" i="2" s="1"/>
  <c r="K1314" i="2"/>
  <c r="F1314" i="2"/>
  <c r="V1314" i="2" s="1"/>
  <c r="E1314" i="2"/>
  <c r="D1314" i="2"/>
  <c r="AC1313" i="2"/>
  <c r="AB1313" i="2"/>
  <c r="AA1313" i="2"/>
  <c r="U1313" i="2"/>
  <c r="O1313" i="2"/>
  <c r="Q1313" i="2" s="1"/>
  <c r="K1313" i="2"/>
  <c r="F1313" i="2"/>
  <c r="V1313" i="2" s="1"/>
  <c r="E1313" i="2"/>
  <c r="D1313" i="2"/>
  <c r="AC1312" i="2"/>
  <c r="AB1312" i="2"/>
  <c r="AA1312" i="2"/>
  <c r="U1312" i="2"/>
  <c r="O1312" i="2"/>
  <c r="M1312" i="2" s="1"/>
  <c r="AD1312" i="2" s="1"/>
  <c r="K1312" i="2"/>
  <c r="F1312" i="2"/>
  <c r="V1312" i="2" s="1"/>
  <c r="E1312" i="2"/>
  <c r="D1312" i="2"/>
  <c r="AC1311" i="2"/>
  <c r="AB1311" i="2"/>
  <c r="AA1311" i="2"/>
  <c r="U1311" i="2"/>
  <c r="O1311" i="2"/>
  <c r="Q1311" i="2" s="1"/>
  <c r="K1311" i="2"/>
  <c r="F1311" i="2"/>
  <c r="V1311" i="2" s="1"/>
  <c r="E1311" i="2"/>
  <c r="D1311" i="2"/>
  <c r="AC1310" i="2"/>
  <c r="AB1310" i="2"/>
  <c r="AA1310" i="2"/>
  <c r="U1310" i="2"/>
  <c r="O1310" i="2"/>
  <c r="M1310" i="2" s="1"/>
  <c r="AD1310" i="2" s="1"/>
  <c r="K1310" i="2"/>
  <c r="F1310" i="2"/>
  <c r="V1310" i="2" s="1"/>
  <c r="E1310" i="2"/>
  <c r="D1310" i="2"/>
  <c r="AC1309" i="2"/>
  <c r="AB1309" i="2"/>
  <c r="AA1309" i="2"/>
  <c r="U1309" i="2"/>
  <c r="O1309" i="2"/>
  <c r="Q1309" i="2" s="1"/>
  <c r="K1309" i="2"/>
  <c r="F1309" i="2"/>
  <c r="V1309" i="2" s="1"/>
  <c r="E1309" i="2"/>
  <c r="D1309" i="2"/>
  <c r="AC1308" i="2"/>
  <c r="AB1308" i="2"/>
  <c r="AA1308" i="2"/>
  <c r="U1308" i="2"/>
  <c r="O1308" i="2"/>
  <c r="M1308" i="2" s="1"/>
  <c r="AD1308" i="2" s="1"/>
  <c r="K1308" i="2"/>
  <c r="F1308" i="2"/>
  <c r="V1308" i="2" s="1"/>
  <c r="E1308" i="2"/>
  <c r="D1308" i="2"/>
  <c r="AC1307" i="2"/>
  <c r="AB1307" i="2"/>
  <c r="AA1307" i="2"/>
  <c r="U1307" i="2"/>
  <c r="O1307" i="2"/>
  <c r="Q1307" i="2" s="1"/>
  <c r="K1307" i="2"/>
  <c r="F1307" i="2"/>
  <c r="V1307" i="2" s="1"/>
  <c r="E1307" i="2"/>
  <c r="D1307" i="2"/>
  <c r="AC1306" i="2"/>
  <c r="AB1306" i="2"/>
  <c r="AA1306" i="2"/>
  <c r="U1306" i="2"/>
  <c r="O1306" i="2"/>
  <c r="M1306" i="2" s="1"/>
  <c r="AD1306" i="2" s="1"/>
  <c r="K1306" i="2"/>
  <c r="F1306" i="2"/>
  <c r="V1306" i="2" s="1"/>
  <c r="E1306" i="2"/>
  <c r="D1306" i="2"/>
  <c r="AC1305" i="2"/>
  <c r="AB1305" i="2"/>
  <c r="AA1305" i="2"/>
  <c r="U1305" i="2"/>
  <c r="O1305" i="2"/>
  <c r="Q1305" i="2" s="1"/>
  <c r="K1305" i="2"/>
  <c r="F1305" i="2"/>
  <c r="V1305" i="2" s="1"/>
  <c r="E1305" i="2"/>
  <c r="D1305" i="2"/>
  <c r="AC1304" i="2"/>
  <c r="AB1304" i="2"/>
  <c r="AA1304" i="2"/>
  <c r="U1304" i="2"/>
  <c r="O1304" i="2"/>
  <c r="M1304" i="2" s="1"/>
  <c r="AD1304" i="2" s="1"/>
  <c r="K1304" i="2"/>
  <c r="F1304" i="2"/>
  <c r="V1304" i="2" s="1"/>
  <c r="E1304" i="2"/>
  <c r="D1304" i="2"/>
  <c r="AC1303" i="2"/>
  <c r="AB1303" i="2"/>
  <c r="AA1303" i="2"/>
  <c r="U1303" i="2"/>
  <c r="O1303" i="2"/>
  <c r="Q1303" i="2" s="1"/>
  <c r="K1303" i="2"/>
  <c r="F1303" i="2"/>
  <c r="V1303" i="2" s="1"/>
  <c r="E1303" i="2"/>
  <c r="D1303" i="2"/>
  <c r="AC1302" i="2"/>
  <c r="AB1302" i="2"/>
  <c r="AA1302" i="2"/>
  <c r="U1302" i="2"/>
  <c r="O1302" i="2"/>
  <c r="M1302" i="2" s="1"/>
  <c r="AD1302" i="2" s="1"/>
  <c r="K1302" i="2"/>
  <c r="F1302" i="2"/>
  <c r="V1302" i="2" s="1"/>
  <c r="E1302" i="2"/>
  <c r="D1302" i="2"/>
  <c r="AC1301" i="2"/>
  <c r="AB1301" i="2"/>
  <c r="AA1301" i="2"/>
  <c r="U1301" i="2"/>
  <c r="O1301" i="2"/>
  <c r="Q1301" i="2" s="1"/>
  <c r="K1301" i="2"/>
  <c r="F1301" i="2"/>
  <c r="V1301" i="2" s="1"/>
  <c r="E1301" i="2"/>
  <c r="D1301" i="2"/>
  <c r="AC1300" i="2"/>
  <c r="AB1300" i="2"/>
  <c r="AA1300" i="2"/>
  <c r="U1300" i="2"/>
  <c r="O1300" i="2"/>
  <c r="M1300" i="2" s="1"/>
  <c r="AD1300" i="2" s="1"/>
  <c r="K1300" i="2"/>
  <c r="F1300" i="2"/>
  <c r="V1300" i="2" s="1"/>
  <c r="E1300" i="2"/>
  <c r="D1300" i="2"/>
  <c r="AC1299" i="2"/>
  <c r="AB1299" i="2"/>
  <c r="AA1299" i="2"/>
  <c r="U1299" i="2"/>
  <c r="O1299" i="2"/>
  <c r="M1299" i="2" s="1"/>
  <c r="AD1299" i="2" s="1"/>
  <c r="K1299" i="2"/>
  <c r="F1299" i="2"/>
  <c r="V1299" i="2" s="1"/>
  <c r="E1299" i="2"/>
  <c r="D1299" i="2"/>
  <c r="AC1298" i="2"/>
  <c r="AB1298" i="2"/>
  <c r="AA1298" i="2"/>
  <c r="U1298" i="2"/>
  <c r="O1298" i="2"/>
  <c r="M1298" i="2" s="1"/>
  <c r="AD1298" i="2" s="1"/>
  <c r="K1298" i="2"/>
  <c r="F1298" i="2"/>
  <c r="V1298" i="2" s="1"/>
  <c r="E1298" i="2"/>
  <c r="D1298" i="2"/>
  <c r="AC1297" i="2"/>
  <c r="AB1297" i="2"/>
  <c r="AA1297" i="2"/>
  <c r="U1297" i="2"/>
  <c r="O1297" i="2"/>
  <c r="M1297" i="2" s="1"/>
  <c r="AD1297" i="2" s="1"/>
  <c r="K1297" i="2"/>
  <c r="F1297" i="2"/>
  <c r="V1297" i="2" s="1"/>
  <c r="E1297" i="2"/>
  <c r="D1297" i="2"/>
  <c r="AC1296" i="2"/>
  <c r="AB1296" i="2"/>
  <c r="AA1296" i="2"/>
  <c r="U1296" i="2"/>
  <c r="O1296" i="2"/>
  <c r="M1296" i="2" s="1"/>
  <c r="AD1296" i="2" s="1"/>
  <c r="K1296" i="2"/>
  <c r="F1296" i="2"/>
  <c r="V1296" i="2" s="1"/>
  <c r="E1296" i="2"/>
  <c r="D1296" i="2"/>
  <c r="AC1295" i="2"/>
  <c r="AB1295" i="2"/>
  <c r="AA1295" i="2"/>
  <c r="U1295" i="2"/>
  <c r="O1295" i="2"/>
  <c r="M1295" i="2" s="1"/>
  <c r="AD1295" i="2" s="1"/>
  <c r="K1295" i="2"/>
  <c r="F1295" i="2"/>
  <c r="V1295" i="2" s="1"/>
  <c r="E1295" i="2"/>
  <c r="D1295" i="2"/>
  <c r="AC1294" i="2"/>
  <c r="AB1294" i="2"/>
  <c r="AA1294" i="2"/>
  <c r="U1294" i="2"/>
  <c r="O1294" i="2"/>
  <c r="M1294" i="2" s="1"/>
  <c r="AD1294" i="2" s="1"/>
  <c r="K1294" i="2"/>
  <c r="F1294" i="2"/>
  <c r="V1294" i="2" s="1"/>
  <c r="E1294" i="2"/>
  <c r="D1294" i="2"/>
  <c r="AC1293" i="2"/>
  <c r="AB1293" i="2"/>
  <c r="AA1293" i="2"/>
  <c r="U1293" i="2"/>
  <c r="O1293" i="2"/>
  <c r="M1293" i="2" s="1"/>
  <c r="AD1293" i="2" s="1"/>
  <c r="K1293" i="2"/>
  <c r="F1293" i="2"/>
  <c r="V1293" i="2" s="1"/>
  <c r="E1293" i="2"/>
  <c r="D1293" i="2"/>
  <c r="AC1292" i="2"/>
  <c r="AB1292" i="2"/>
  <c r="AA1292" i="2"/>
  <c r="U1292" i="2"/>
  <c r="O1292" i="2"/>
  <c r="M1292" i="2" s="1"/>
  <c r="AD1292" i="2" s="1"/>
  <c r="K1292" i="2"/>
  <c r="F1292" i="2"/>
  <c r="V1292" i="2" s="1"/>
  <c r="E1292" i="2"/>
  <c r="D1292" i="2"/>
  <c r="AC1291" i="2"/>
  <c r="AB1291" i="2"/>
  <c r="AA1291" i="2"/>
  <c r="U1291" i="2"/>
  <c r="O1291" i="2"/>
  <c r="Q1291" i="2" s="1"/>
  <c r="K1291" i="2"/>
  <c r="F1291" i="2"/>
  <c r="V1291" i="2" s="1"/>
  <c r="E1291" i="2"/>
  <c r="D1291" i="2"/>
  <c r="AC1290" i="2"/>
  <c r="AB1290" i="2"/>
  <c r="AA1290" i="2"/>
  <c r="U1290" i="2"/>
  <c r="O1290" i="2"/>
  <c r="M1290" i="2" s="1"/>
  <c r="AD1290" i="2" s="1"/>
  <c r="K1290" i="2"/>
  <c r="F1290" i="2"/>
  <c r="V1290" i="2" s="1"/>
  <c r="E1290" i="2"/>
  <c r="D1290" i="2"/>
  <c r="AC1289" i="2"/>
  <c r="AB1289" i="2"/>
  <c r="AA1289" i="2"/>
  <c r="U1289" i="2"/>
  <c r="O1289" i="2"/>
  <c r="Q1289" i="2" s="1"/>
  <c r="K1289" i="2"/>
  <c r="F1289" i="2"/>
  <c r="V1289" i="2" s="1"/>
  <c r="E1289" i="2"/>
  <c r="D1289" i="2"/>
  <c r="AC1288" i="2"/>
  <c r="AB1288" i="2"/>
  <c r="AA1288" i="2"/>
  <c r="U1288" i="2"/>
  <c r="O1288" i="2"/>
  <c r="M1288" i="2" s="1"/>
  <c r="AD1288" i="2" s="1"/>
  <c r="K1288" i="2"/>
  <c r="F1288" i="2"/>
  <c r="V1288" i="2" s="1"/>
  <c r="E1288" i="2"/>
  <c r="D1288" i="2"/>
  <c r="AC1287" i="2"/>
  <c r="AB1287" i="2"/>
  <c r="AA1287" i="2"/>
  <c r="U1287" i="2"/>
  <c r="O1287" i="2"/>
  <c r="Q1287" i="2" s="1"/>
  <c r="K1287" i="2"/>
  <c r="F1287" i="2"/>
  <c r="V1287" i="2" s="1"/>
  <c r="E1287" i="2"/>
  <c r="D1287" i="2"/>
  <c r="AC1286" i="2"/>
  <c r="AB1286" i="2"/>
  <c r="AA1286" i="2"/>
  <c r="U1286" i="2"/>
  <c r="O1286" i="2"/>
  <c r="M1286" i="2" s="1"/>
  <c r="AD1286" i="2" s="1"/>
  <c r="K1286" i="2"/>
  <c r="F1286" i="2"/>
  <c r="V1286" i="2" s="1"/>
  <c r="E1286" i="2"/>
  <c r="D1286" i="2"/>
  <c r="AC1285" i="2"/>
  <c r="AB1285" i="2"/>
  <c r="AA1285" i="2"/>
  <c r="U1285" i="2"/>
  <c r="O1285" i="2"/>
  <c r="Q1285" i="2" s="1"/>
  <c r="K1285" i="2"/>
  <c r="F1285" i="2"/>
  <c r="V1285" i="2" s="1"/>
  <c r="E1285" i="2"/>
  <c r="D1285" i="2"/>
  <c r="AC1284" i="2"/>
  <c r="AB1284" i="2"/>
  <c r="AA1284" i="2"/>
  <c r="U1284" i="2"/>
  <c r="O1284" i="2"/>
  <c r="M1284" i="2" s="1"/>
  <c r="AD1284" i="2" s="1"/>
  <c r="K1284" i="2"/>
  <c r="F1284" i="2"/>
  <c r="V1284" i="2" s="1"/>
  <c r="E1284" i="2"/>
  <c r="D1284" i="2"/>
  <c r="AC1283" i="2"/>
  <c r="AB1283" i="2"/>
  <c r="AA1283" i="2"/>
  <c r="U1283" i="2"/>
  <c r="O1283" i="2"/>
  <c r="Q1283" i="2" s="1"/>
  <c r="K1283" i="2"/>
  <c r="F1283" i="2"/>
  <c r="V1283" i="2" s="1"/>
  <c r="E1283" i="2"/>
  <c r="D1283" i="2"/>
  <c r="AC1282" i="2"/>
  <c r="AB1282" i="2"/>
  <c r="AA1282" i="2"/>
  <c r="U1282" i="2"/>
  <c r="O1282" i="2"/>
  <c r="M1282" i="2" s="1"/>
  <c r="AD1282" i="2" s="1"/>
  <c r="K1282" i="2"/>
  <c r="F1282" i="2"/>
  <c r="V1282" i="2" s="1"/>
  <c r="E1282" i="2"/>
  <c r="D1282" i="2"/>
  <c r="AC1281" i="2"/>
  <c r="AB1281" i="2"/>
  <c r="AA1281" i="2"/>
  <c r="U1281" i="2"/>
  <c r="O1281" i="2"/>
  <c r="Q1281" i="2" s="1"/>
  <c r="K1281" i="2"/>
  <c r="F1281" i="2"/>
  <c r="V1281" i="2" s="1"/>
  <c r="E1281" i="2"/>
  <c r="D1281" i="2"/>
  <c r="AC1280" i="2"/>
  <c r="AB1280" i="2"/>
  <c r="AA1280" i="2"/>
  <c r="U1280" i="2"/>
  <c r="O1280" i="2"/>
  <c r="M1280" i="2" s="1"/>
  <c r="AD1280" i="2" s="1"/>
  <c r="K1280" i="2"/>
  <c r="F1280" i="2"/>
  <c r="V1280" i="2" s="1"/>
  <c r="E1280" i="2"/>
  <c r="D1280" i="2"/>
  <c r="AC1279" i="2"/>
  <c r="AB1279" i="2"/>
  <c r="AA1279" i="2"/>
  <c r="U1279" i="2"/>
  <c r="O1279" i="2"/>
  <c r="Q1279" i="2" s="1"/>
  <c r="K1279" i="2"/>
  <c r="F1279" i="2"/>
  <c r="V1279" i="2" s="1"/>
  <c r="E1279" i="2"/>
  <c r="D1279" i="2"/>
  <c r="AC1278" i="2"/>
  <c r="AB1278" i="2"/>
  <c r="AA1278" i="2"/>
  <c r="U1278" i="2"/>
  <c r="O1278" i="2"/>
  <c r="M1278" i="2" s="1"/>
  <c r="AD1278" i="2" s="1"/>
  <c r="K1278" i="2"/>
  <c r="F1278" i="2"/>
  <c r="V1278" i="2" s="1"/>
  <c r="E1278" i="2"/>
  <c r="D1278" i="2"/>
  <c r="AC1274" i="2"/>
  <c r="AB1274" i="2"/>
  <c r="AA1274" i="2"/>
  <c r="U1274" i="2"/>
  <c r="O1274" i="2"/>
  <c r="M1274" i="2" s="1"/>
  <c r="AD1274" i="2" s="1"/>
  <c r="K1274" i="2"/>
  <c r="F1274" i="2"/>
  <c r="V1274" i="2" s="1"/>
  <c r="E1274" i="2"/>
  <c r="D1274" i="2"/>
  <c r="AC1273" i="2"/>
  <c r="AB1273" i="2"/>
  <c r="AA1273" i="2"/>
  <c r="U1273" i="2"/>
  <c r="O1273" i="2"/>
  <c r="K1273" i="2"/>
  <c r="F1273" i="2"/>
  <c r="V1273" i="2" s="1"/>
  <c r="E1273" i="2"/>
  <c r="D1273" i="2"/>
  <c r="AC1272" i="2"/>
  <c r="AB1272" i="2"/>
  <c r="AA1272" i="2"/>
  <c r="U1272" i="2"/>
  <c r="O1272" i="2"/>
  <c r="M1272" i="2" s="1"/>
  <c r="AD1272" i="2" s="1"/>
  <c r="K1272" i="2"/>
  <c r="F1272" i="2"/>
  <c r="V1272" i="2" s="1"/>
  <c r="E1272" i="2"/>
  <c r="D1272" i="2"/>
  <c r="AC1271" i="2"/>
  <c r="AB1271" i="2"/>
  <c r="AA1271" i="2"/>
  <c r="U1271" i="2"/>
  <c r="O1271" i="2"/>
  <c r="Q1271" i="2" s="1"/>
  <c r="K1271" i="2"/>
  <c r="F1271" i="2"/>
  <c r="V1271" i="2" s="1"/>
  <c r="E1271" i="2"/>
  <c r="D1271" i="2"/>
  <c r="AC1270" i="2"/>
  <c r="AB1270" i="2"/>
  <c r="AA1270" i="2"/>
  <c r="U1270" i="2"/>
  <c r="O1270" i="2"/>
  <c r="M1270" i="2" s="1"/>
  <c r="AD1270" i="2" s="1"/>
  <c r="K1270" i="2"/>
  <c r="F1270" i="2"/>
  <c r="V1270" i="2" s="1"/>
  <c r="E1270" i="2"/>
  <c r="D1270" i="2"/>
  <c r="AC1269" i="2"/>
  <c r="AB1269" i="2"/>
  <c r="AA1269" i="2"/>
  <c r="U1269" i="2"/>
  <c r="O1269" i="2"/>
  <c r="Q1269" i="2" s="1"/>
  <c r="K1269" i="2"/>
  <c r="F1269" i="2"/>
  <c r="V1269" i="2" s="1"/>
  <c r="E1269" i="2"/>
  <c r="D1269" i="2"/>
  <c r="AC1268" i="2"/>
  <c r="AB1268" i="2"/>
  <c r="AA1268" i="2"/>
  <c r="U1268" i="2"/>
  <c r="O1268" i="2"/>
  <c r="K1268" i="2"/>
  <c r="F1268" i="2"/>
  <c r="V1268" i="2" s="1"/>
  <c r="E1268" i="2"/>
  <c r="D1268" i="2"/>
  <c r="AC1267" i="2"/>
  <c r="AB1267" i="2"/>
  <c r="AA1267" i="2"/>
  <c r="U1267" i="2"/>
  <c r="O1267" i="2"/>
  <c r="M1267" i="2" s="1"/>
  <c r="AD1267" i="2" s="1"/>
  <c r="K1267" i="2"/>
  <c r="F1267" i="2"/>
  <c r="V1267" i="2" s="1"/>
  <c r="E1267" i="2"/>
  <c r="D1267" i="2"/>
  <c r="AC1266" i="2"/>
  <c r="AB1266" i="2"/>
  <c r="AA1266" i="2"/>
  <c r="U1266" i="2"/>
  <c r="O1266" i="2"/>
  <c r="M1266" i="2" s="1"/>
  <c r="AD1266" i="2" s="1"/>
  <c r="K1266" i="2"/>
  <c r="F1266" i="2"/>
  <c r="V1266" i="2" s="1"/>
  <c r="E1266" i="2"/>
  <c r="D1266" i="2"/>
  <c r="AC1265" i="2"/>
  <c r="AB1265" i="2"/>
  <c r="AA1265" i="2"/>
  <c r="U1265" i="2"/>
  <c r="O1265" i="2"/>
  <c r="M1265" i="2" s="1"/>
  <c r="AD1265" i="2" s="1"/>
  <c r="K1265" i="2"/>
  <c r="F1265" i="2"/>
  <c r="V1265" i="2" s="1"/>
  <c r="E1265" i="2"/>
  <c r="D1265" i="2"/>
  <c r="AC1264" i="2"/>
  <c r="AB1264" i="2"/>
  <c r="AA1264" i="2"/>
  <c r="U1264" i="2"/>
  <c r="O1264" i="2"/>
  <c r="K1264" i="2"/>
  <c r="F1264" i="2"/>
  <c r="V1264" i="2" s="1"/>
  <c r="E1264" i="2"/>
  <c r="D1264" i="2"/>
  <c r="AC1263" i="2"/>
  <c r="AB1263" i="2"/>
  <c r="AA1263" i="2"/>
  <c r="U1263" i="2"/>
  <c r="O1263" i="2"/>
  <c r="M1263" i="2" s="1"/>
  <c r="AD1263" i="2" s="1"/>
  <c r="K1263" i="2"/>
  <c r="F1263" i="2"/>
  <c r="V1263" i="2" s="1"/>
  <c r="E1263" i="2"/>
  <c r="D1263" i="2"/>
  <c r="AC1262" i="2"/>
  <c r="AB1262" i="2"/>
  <c r="AA1262" i="2"/>
  <c r="U1262" i="2"/>
  <c r="O1262" i="2"/>
  <c r="M1262" i="2" s="1"/>
  <c r="AD1262" i="2" s="1"/>
  <c r="K1262" i="2"/>
  <c r="F1262" i="2"/>
  <c r="V1262" i="2" s="1"/>
  <c r="E1262" i="2"/>
  <c r="D1262" i="2"/>
  <c r="AC1261" i="2"/>
  <c r="AB1261" i="2"/>
  <c r="AA1261" i="2"/>
  <c r="U1261" i="2"/>
  <c r="O1261" i="2"/>
  <c r="M1261" i="2" s="1"/>
  <c r="AD1261" i="2" s="1"/>
  <c r="K1261" i="2"/>
  <c r="F1261" i="2"/>
  <c r="V1261" i="2" s="1"/>
  <c r="E1261" i="2"/>
  <c r="D1261" i="2"/>
  <c r="AC1260" i="2"/>
  <c r="AB1260" i="2"/>
  <c r="AA1260" i="2"/>
  <c r="U1260" i="2"/>
  <c r="O1260" i="2"/>
  <c r="K1260" i="2"/>
  <c r="F1260" i="2"/>
  <c r="V1260" i="2" s="1"/>
  <c r="E1260" i="2"/>
  <c r="D1260" i="2"/>
  <c r="AC1259" i="2"/>
  <c r="AB1259" i="2"/>
  <c r="AA1259" i="2"/>
  <c r="U1259" i="2"/>
  <c r="O1259" i="2"/>
  <c r="M1259" i="2" s="1"/>
  <c r="AD1259" i="2" s="1"/>
  <c r="K1259" i="2"/>
  <c r="F1259" i="2"/>
  <c r="V1259" i="2" s="1"/>
  <c r="E1259" i="2"/>
  <c r="D1259" i="2"/>
  <c r="AC1258" i="2"/>
  <c r="AB1258" i="2"/>
  <c r="AA1258" i="2"/>
  <c r="U1258" i="2"/>
  <c r="O1258" i="2"/>
  <c r="M1258" i="2" s="1"/>
  <c r="AD1258" i="2" s="1"/>
  <c r="K1258" i="2"/>
  <c r="F1258" i="2"/>
  <c r="V1258" i="2" s="1"/>
  <c r="E1258" i="2"/>
  <c r="D1258" i="2"/>
  <c r="AC1257" i="2"/>
  <c r="AB1257" i="2"/>
  <c r="AA1257" i="2"/>
  <c r="U1257" i="2"/>
  <c r="O1257" i="2"/>
  <c r="M1257" i="2" s="1"/>
  <c r="AD1257" i="2" s="1"/>
  <c r="K1257" i="2"/>
  <c r="F1257" i="2"/>
  <c r="V1257" i="2" s="1"/>
  <c r="E1257" i="2"/>
  <c r="D1257" i="2"/>
  <c r="AC1256" i="2"/>
  <c r="AB1256" i="2"/>
  <c r="AA1256" i="2"/>
  <c r="U1256" i="2"/>
  <c r="O1256" i="2"/>
  <c r="K1256" i="2"/>
  <c r="F1256" i="2"/>
  <c r="V1256" i="2" s="1"/>
  <c r="E1256" i="2"/>
  <c r="D1256" i="2"/>
  <c r="AC1255" i="2"/>
  <c r="AB1255" i="2"/>
  <c r="AA1255" i="2"/>
  <c r="U1255" i="2"/>
  <c r="O1255" i="2"/>
  <c r="M1255" i="2" s="1"/>
  <c r="AD1255" i="2" s="1"/>
  <c r="K1255" i="2"/>
  <c r="F1255" i="2"/>
  <c r="V1255" i="2" s="1"/>
  <c r="E1255" i="2"/>
  <c r="D1255" i="2"/>
  <c r="AC1254" i="2"/>
  <c r="AB1254" i="2"/>
  <c r="AA1254" i="2"/>
  <c r="U1254" i="2"/>
  <c r="O1254" i="2"/>
  <c r="M1254" i="2" s="1"/>
  <c r="AD1254" i="2" s="1"/>
  <c r="K1254" i="2"/>
  <c r="F1254" i="2"/>
  <c r="V1254" i="2" s="1"/>
  <c r="E1254" i="2"/>
  <c r="D1254" i="2"/>
  <c r="AC1253" i="2"/>
  <c r="AB1253" i="2"/>
  <c r="AA1253" i="2"/>
  <c r="U1253" i="2"/>
  <c r="O1253" i="2"/>
  <c r="M1253" i="2" s="1"/>
  <c r="AD1253" i="2" s="1"/>
  <c r="K1253" i="2"/>
  <c r="F1253" i="2"/>
  <c r="V1253" i="2" s="1"/>
  <c r="E1253" i="2"/>
  <c r="D1253" i="2"/>
  <c r="AC1252" i="2"/>
  <c r="AB1252" i="2"/>
  <c r="AA1252" i="2"/>
  <c r="U1252" i="2"/>
  <c r="O1252" i="2"/>
  <c r="K1252" i="2"/>
  <c r="F1252" i="2"/>
  <c r="V1252" i="2" s="1"/>
  <c r="E1252" i="2"/>
  <c r="D1252" i="2"/>
  <c r="AC1251" i="2"/>
  <c r="AB1251" i="2"/>
  <c r="AA1251" i="2"/>
  <c r="U1251" i="2"/>
  <c r="O1251" i="2"/>
  <c r="M1251" i="2" s="1"/>
  <c r="AD1251" i="2" s="1"/>
  <c r="K1251" i="2"/>
  <c r="F1251" i="2"/>
  <c r="V1251" i="2" s="1"/>
  <c r="E1251" i="2"/>
  <c r="D1251" i="2"/>
  <c r="AC1250" i="2"/>
  <c r="AB1250" i="2"/>
  <c r="AA1250" i="2"/>
  <c r="U1250" i="2"/>
  <c r="O1250" i="2"/>
  <c r="M1250" i="2" s="1"/>
  <c r="AD1250" i="2" s="1"/>
  <c r="K1250" i="2"/>
  <c r="F1250" i="2"/>
  <c r="V1250" i="2" s="1"/>
  <c r="E1250" i="2"/>
  <c r="D1250" i="2"/>
  <c r="AC1249" i="2"/>
  <c r="AB1249" i="2"/>
  <c r="AA1249" i="2"/>
  <c r="U1249" i="2"/>
  <c r="O1249" i="2"/>
  <c r="M1249" i="2" s="1"/>
  <c r="AD1249" i="2" s="1"/>
  <c r="K1249" i="2"/>
  <c r="F1249" i="2"/>
  <c r="V1249" i="2" s="1"/>
  <c r="E1249" i="2"/>
  <c r="D1249" i="2"/>
  <c r="AC1248" i="2"/>
  <c r="AB1248" i="2"/>
  <c r="AA1248" i="2"/>
  <c r="U1248" i="2"/>
  <c r="O1248" i="2"/>
  <c r="K1248" i="2"/>
  <c r="F1248" i="2"/>
  <c r="V1248" i="2" s="1"/>
  <c r="E1248" i="2"/>
  <c r="D1248" i="2"/>
  <c r="AC1247" i="2"/>
  <c r="AB1247" i="2"/>
  <c r="AA1247" i="2"/>
  <c r="U1247" i="2"/>
  <c r="O1247" i="2"/>
  <c r="M1247" i="2" s="1"/>
  <c r="AD1247" i="2" s="1"/>
  <c r="K1247" i="2"/>
  <c r="F1247" i="2"/>
  <c r="V1247" i="2" s="1"/>
  <c r="E1247" i="2"/>
  <c r="D1247" i="2"/>
  <c r="AC1246" i="2"/>
  <c r="AB1246" i="2"/>
  <c r="AA1246" i="2"/>
  <c r="U1246" i="2"/>
  <c r="O1246" i="2"/>
  <c r="M1246" i="2" s="1"/>
  <c r="AD1246" i="2" s="1"/>
  <c r="K1246" i="2"/>
  <c r="F1246" i="2"/>
  <c r="V1246" i="2" s="1"/>
  <c r="E1246" i="2"/>
  <c r="D1246" i="2"/>
  <c r="AC1245" i="2"/>
  <c r="AB1245" i="2"/>
  <c r="AA1245" i="2"/>
  <c r="U1245" i="2"/>
  <c r="O1245" i="2"/>
  <c r="K1245" i="2"/>
  <c r="F1245" i="2"/>
  <c r="V1245" i="2" s="1"/>
  <c r="E1245" i="2"/>
  <c r="D1245" i="2"/>
  <c r="AC1244" i="2"/>
  <c r="AB1244" i="2"/>
  <c r="AA1244" i="2"/>
  <c r="U1244" i="2"/>
  <c r="O1244" i="2"/>
  <c r="K1244" i="2"/>
  <c r="F1244" i="2"/>
  <c r="V1244" i="2" s="1"/>
  <c r="E1244" i="2"/>
  <c r="D1244" i="2"/>
  <c r="AC1243" i="2"/>
  <c r="AB1243" i="2"/>
  <c r="AA1243" i="2"/>
  <c r="U1243" i="2"/>
  <c r="O1243" i="2"/>
  <c r="M1243" i="2" s="1"/>
  <c r="AD1243" i="2" s="1"/>
  <c r="K1243" i="2"/>
  <c r="F1243" i="2"/>
  <c r="V1243" i="2" s="1"/>
  <c r="E1243" i="2"/>
  <c r="D1243" i="2"/>
  <c r="AC1242" i="2"/>
  <c r="AB1242" i="2"/>
  <c r="AA1242" i="2"/>
  <c r="U1242" i="2"/>
  <c r="O1242" i="2"/>
  <c r="K1242" i="2"/>
  <c r="F1242" i="2"/>
  <c r="V1242" i="2" s="1"/>
  <c r="E1242" i="2"/>
  <c r="D1242" i="2"/>
  <c r="AC1241" i="2"/>
  <c r="AB1241" i="2"/>
  <c r="AA1241" i="2"/>
  <c r="U1241" i="2"/>
  <c r="O1241" i="2"/>
  <c r="M1241" i="2" s="1"/>
  <c r="AD1241" i="2" s="1"/>
  <c r="K1241" i="2"/>
  <c r="F1241" i="2"/>
  <c r="V1241" i="2" s="1"/>
  <c r="E1241" i="2"/>
  <c r="D1241" i="2"/>
  <c r="AC1240" i="2"/>
  <c r="AB1240" i="2"/>
  <c r="AA1240" i="2"/>
  <c r="U1240" i="2"/>
  <c r="O1240" i="2"/>
  <c r="M1240" i="2" s="1"/>
  <c r="AD1240" i="2" s="1"/>
  <c r="K1240" i="2"/>
  <c r="F1240" i="2"/>
  <c r="V1240" i="2" s="1"/>
  <c r="E1240" i="2"/>
  <c r="D1240" i="2"/>
  <c r="AC1239" i="2"/>
  <c r="AB1239" i="2"/>
  <c r="AA1239" i="2"/>
  <c r="U1239" i="2"/>
  <c r="O1239" i="2"/>
  <c r="M1239" i="2" s="1"/>
  <c r="AD1239" i="2" s="1"/>
  <c r="K1239" i="2"/>
  <c r="F1239" i="2"/>
  <c r="V1239" i="2" s="1"/>
  <c r="E1239" i="2"/>
  <c r="D1239" i="2"/>
  <c r="AC1238" i="2"/>
  <c r="AB1238" i="2"/>
  <c r="AA1238" i="2"/>
  <c r="U1238" i="2"/>
  <c r="O1238" i="2"/>
  <c r="Q1238" i="2" s="1"/>
  <c r="K1238" i="2"/>
  <c r="F1238" i="2"/>
  <c r="V1238" i="2" s="1"/>
  <c r="E1238" i="2"/>
  <c r="D1238" i="2"/>
  <c r="AC1237" i="2"/>
  <c r="AB1237" i="2"/>
  <c r="AA1237" i="2"/>
  <c r="U1237" i="2"/>
  <c r="O1237" i="2"/>
  <c r="M1237" i="2" s="1"/>
  <c r="AD1237" i="2" s="1"/>
  <c r="K1237" i="2"/>
  <c r="F1237" i="2"/>
  <c r="V1237" i="2" s="1"/>
  <c r="E1237" i="2"/>
  <c r="D1237" i="2"/>
  <c r="AC1236" i="2"/>
  <c r="AB1236" i="2"/>
  <c r="AA1236" i="2"/>
  <c r="U1236" i="2"/>
  <c r="O1236" i="2"/>
  <c r="Q1236" i="2" s="1"/>
  <c r="K1236" i="2"/>
  <c r="F1236" i="2"/>
  <c r="V1236" i="2" s="1"/>
  <c r="E1236" i="2"/>
  <c r="D1236" i="2"/>
  <c r="AC1235" i="2"/>
  <c r="AB1235" i="2"/>
  <c r="AA1235" i="2"/>
  <c r="U1235" i="2"/>
  <c r="O1235" i="2"/>
  <c r="M1235" i="2" s="1"/>
  <c r="AD1235" i="2" s="1"/>
  <c r="K1235" i="2"/>
  <c r="F1235" i="2"/>
  <c r="V1235" i="2" s="1"/>
  <c r="E1235" i="2"/>
  <c r="D1235" i="2"/>
  <c r="AC1234" i="2"/>
  <c r="AB1234" i="2"/>
  <c r="AA1234" i="2"/>
  <c r="U1234" i="2"/>
  <c r="O1234" i="2"/>
  <c r="Q1234" i="2" s="1"/>
  <c r="K1234" i="2"/>
  <c r="F1234" i="2"/>
  <c r="V1234" i="2" s="1"/>
  <c r="E1234" i="2"/>
  <c r="AC1233" i="2"/>
  <c r="AB1233" i="2"/>
  <c r="AA1233" i="2"/>
  <c r="U1233" i="2"/>
  <c r="O1233" i="2"/>
  <c r="M1233" i="2" s="1"/>
  <c r="AD1233" i="2" s="1"/>
  <c r="K1233" i="2"/>
  <c r="F1233" i="2"/>
  <c r="V1233" i="2" s="1"/>
  <c r="E1233" i="2"/>
  <c r="D1233" i="2"/>
  <c r="AC1232" i="2"/>
  <c r="AB1232" i="2"/>
  <c r="AA1232" i="2"/>
  <c r="U1232" i="2"/>
  <c r="O1232" i="2"/>
  <c r="Q1232" i="2" s="1"/>
  <c r="K1232" i="2"/>
  <c r="F1232" i="2"/>
  <c r="V1232" i="2" s="1"/>
  <c r="E1232" i="2"/>
  <c r="D1232" i="2"/>
  <c r="AC1231" i="2"/>
  <c r="AB1231" i="2"/>
  <c r="AA1231" i="2"/>
  <c r="U1231" i="2"/>
  <c r="O1231" i="2"/>
  <c r="M1231" i="2" s="1"/>
  <c r="AD1231" i="2" s="1"/>
  <c r="K1231" i="2"/>
  <c r="F1231" i="2"/>
  <c r="V1231" i="2" s="1"/>
  <c r="E1231" i="2"/>
  <c r="D1231" i="2"/>
  <c r="AC1230" i="2"/>
  <c r="AB1230" i="2"/>
  <c r="AA1230" i="2"/>
  <c r="U1230" i="2"/>
  <c r="O1230" i="2"/>
  <c r="Q1230" i="2" s="1"/>
  <c r="K1230" i="2"/>
  <c r="F1230" i="2"/>
  <c r="V1230" i="2" s="1"/>
  <c r="E1230" i="2"/>
  <c r="D1230" i="2"/>
  <c r="AC1229" i="2"/>
  <c r="AB1229" i="2"/>
  <c r="AA1229" i="2"/>
  <c r="U1229" i="2"/>
  <c r="O1229" i="2"/>
  <c r="M1229" i="2" s="1"/>
  <c r="AD1229" i="2" s="1"/>
  <c r="K1229" i="2"/>
  <c r="F1229" i="2"/>
  <c r="V1229" i="2" s="1"/>
  <c r="E1229" i="2"/>
  <c r="D1229" i="2"/>
  <c r="AC1228" i="2"/>
  <c r="AB1228" i="2"/>
  <c r="AA1228" i="2"/>
  <c r="U1228" i="2"/>
  <c r="Q1228" i="2"/>
  <c r="K1228" i="2"/>
  <c r="F1228" i="2"/>
  <c r="V1228" i="2" s="1"/>
  <c r="E1228" i="2"/>
  <c r="D1228" i="2"/>
  <c r="AC1227" i="2"/>
  <c r="AB1227" i="2"/>
  <c r="AA1227" i="2"/>
  <c r="U1227" i="2"/>
  <c r="O1227" i="2"/>
  <c r="M1227" i="2" s="1"/>
  <c r="AD1227" i="2" s="1"/>
  <c r="K1227" i="2"/>
  <c r="F1227" i="2"/>
  <c r="V1227" i="2" s="1"/>
  <c r="E1227" i="2"/>
  <c r="D1227" i="2"/>
  <c r="AC1226" i="2"/>
  <c r="AB1226" i="2"/>
  <c r="AA1226" i="2"/>
  <c r="U1226" i="2"/>
  <c r="O1226" i="2"/>
  <c r="M1226" i="2" s="1"/>
  <c r="AD1226" i="2" s="1"/>
  <c r="K1226" i="2"/>
  <c r="F1226" i="2"/>
  <c r="V1226" i="2" s="1"/>
  <c r="E1226" i="2"/>
  <c r="D1226" i="2"/>
  <c r="AC1225" i="2"/>
  <c r="AB1225" i="2"/>
  <c r="AA1225" i="2"/>
  <c r="U1225" i="2"/>
  <c r="O1225" i="2"/>
  <c r="M1225" i="2" s="1"/>
  <c r="AD1225" i="2" s="1"/>
  <c r="K1225" i="2"/>
  <c r="F1225" i="2"/>
  <c r="V1225" i="2" s="1"/>
  <c r="E1225" i="2"/>
  <c r="D1225" i="2"/>
  <c r="AC1223" i="2"/>
  <c r="AB1223" i="2"/>
  <c r="AA1223" i="2"/>
  <c r="U1223" i="2"/>
  <c r="O1223" i="2"/>
  <c r="M1223" i="2" s="1"/>
  <c r="AD1223" i="2" s="1"/>
  <c r="K1223" i="2"/>
  <c r="F1223" i="2"/>
  <c r="V1223" i="2" s="1"/>
  <c r="E1223" i="2"/>
  <c r="D1223" i="2"/>
  <c r="AC1222" i="2"/>
  <c r="AB1222" i="2"/>
  <c r="AA1222" i="2"/>
  <c r="U1222" i="2"/>
  <c r="O1222" i="2"/>
  <c r="M1222" i="2" s="1"/>
  <c r="AD1222" i="2" s="1"/>
  <c r="K1222" i="2"/>
  <c r="F1222" i="2"/>
  <c r="V1222" i="2" s="1"/>
  <c r="E1222" i="2"/>
  <c r="D1222" i="2"/>
  <c r="AC1221" i="2"/>
  <c r="AB1221" i="2"/>
  <c r="AA1221" i="2"/>
  <c r="U1221" i="2"/>
  <c r="O1221" i="2"/>
  <c r="Q1221" i="2" s="1"/>
  <c r="K1221" i="2"/>
  <c r="F1221" i="2"/>
  <c r="V1221" i="2" s="1"/>
  <c r="E1221" i="2"/>
  <c r="D1221" i="2"/>
  <c r="AC1220" i="2"/>
  <c r="AB1220" i="2"/>
  <c r="AA1220" i="2"/>
  <c r="U1220" i="2"/>
  <c r="O1220" i="2"/>
  <c r="M1220" i="2" s="1"/>
  <c r="AD1220" i="2" s="1"/>
  <c r="K1220" i="2"/>
  <c r="F1220" i="2"/>
  <c r="V1220" i="2" s="1"/>
  <c r="E1220" i="2"/>
  <c r="D1220" i="2"/>
  <c r="AC1219" i="2"/>
  <c r="AB1219" i="2"/>
  <c r="AA1219" i="2"/>
  <c r="U1219" i="2"/>
  <c r="O1219" i="2"/>
  <c r="Q1219" i="2" s="1"/>
  <c r="K1219" i="2"/>
  <c r="F1219" i="2"/>
  <c r="V1219" i="2" s="1"/>
  <c r="E1219" i="2"/>
  <c r="D1219" i="2"/>
  <c r="AC1218" i="2"/>
  <c r="AB1218" i="2"/>
  <c r="AA1218" i="2"/>
  <c r="U1218" i="2"/>
  <c r="O1218" i="2"/>
  <c r="M1218" i="2" s="1"/>
  <c r="AD1218" i="2" s="1"/>
  <c r="K1218" i="2"/>
  <c r="F1218" i="2"/>
  <c r="V1218" i="2" s="1"/>
  <c r="E1218" i="2"/>
  <c r="D1218" i="2"/>
  <c r="AC1217" i="2"/>
  <c r="AB1217" i="2"/>
  <c r="AA1217" i="2"/>
  <c r="F1217" i="2"/>
  <c r="V1217" i="2" s="1"/>
  <c r="E1217" i="2"/>
  <c r="D1217" i="2"/>
  <c r="AC1216" i="2"/>
  <c r="AB1216" i="2"/>
  <c r="AA1216" i="2"/>
  <c r="U1216" i="2"/>
  <c r="O1216" i="2"/>
  <c r="M1216" i="2" s="1"/>
  <c r="AD1216" i="2" s="1"/>
  <c r="K1216" i="2"/>
  <c r="F1216" i="2"/>
  <c r="V1216" i="2" s="1"/>
  <c r="E1216" i="2"/>
  <c r="D1216" i="2"/>
  <c r="AC1215" i="2"/>
  <c r="AB1215" i="2"/>
  <c r="AA1215" i="2"/>
  <c r="U1215" i="2"/>
  <c r="O1215" i="2"/>
  <c r="Q1215" i="2" s="1"/>
  <c r="K1215" i="2"/>
  <c r="E1215" i="2"/>
  <c r="D1215" i="2"/>
  <c r="AC1214" i="2"/>
  <c r="AB1214" i="2"/>
  <c r="AA1214" i="2"/>
  <c r="U1214" i="2"/>
  <c r="O1214" i="2"/>
  <c r="M1214" i="2" s="1"/>
  <c r="AD1214" i="2" s="1"/>
  <c r="K1214" i="2"/>
  <c r="F1214" i="2"/>
  <c r="V1214" i="2" s="1"/>
  <c r="E1214" i="2"/>
  <c r="D1214" i="2"/>
  <c r="AC1213" i="2"/>
  <c r="AB1213" i="2"/>
  <c r="AA1213" i="2"/>
  <c r="U1213" i="2"/>
  <c r="O1213" i="2"/>
  <c r="Q1213" i="2" s="1"/>
  <c r="K1213" i="2"/>
  <c r="F1213" i="2"/>
  <c r="V1213" i="2" s="1"/>
  <c r="E1213" i="2"/>
  <c r="D1213" i="2"/>
  <c r="AC1212" i="2"/>
  <c r="AB1212" i="2"/>
  <c r="AA1212" i="2"/>
  <c r="U1212" i="2"/>
  <c r="O1212" i="2"/>
  <c r="Q1212" i="2" s="1"/>
  <c r="K1212" i="2"/>
  <c r="F1212" i="2"/>
  <c r="V1212" i="2" s="1"/>
  <c r="E1212" i="2"/>
  <c r="D1212" i="2"/>
  <c r="AC1211" i="2"/>
  <c r="AB1211" i="2"/>
  <c r="AA1211" i="2"/>
  <c r="U1211" i="2"/>
  <c r="O1211" i="2"/>
  <c r="Q1211" i="2" s="1"/>
  <c r="K1211" i="2"/>
  <c r="F1211" i="2"/>
  <c r="V1211" i="2" s="1"/>
  <c r="E1211" i="2"/>
  <c r="D1211" i="2"/>
  <c r="AC1210" i="2"/>
  <c r="AB1210" i="2"/>
  <c r="AA1210" i="2"/>
  <c r="U1210" i="2"/>
  <c r="O1210" i="2"/>
  <c r="M1210" i="2" s="1"/>
  <c r="AD1210" i="2" s="1"/>
  <c r="K1210" i="2"/>
  <c r="F1210" i="2"/>
  <c r="V1210" i="2" s="1"/>
  <c r="E1210" i="2"/>
  <c r="D1210" i="2"/>
  <c r="AC1209" i="2"/>
  <c r="AB1209" i="2"/>
  <c r="AA1209" i="2"/>
  <c r="U1209" i="2"/>
  <c r="O1209" i="2"/>
  <c r="M1209" i="2" s="1"/>
  <c r="AD1209" i="2" s="1"/>
  <c r="K1209" i="2"/>
  <c r="F1209" i="2"/>
  <c r="V1209" i="2" s="1"/>
  <c r="E1209" i="2"/>
  <c r="D1209" i="2"/>
  <c r="AC1208" i="2"/>
  <c r="AB1208" i="2"/>
  <c r="AA1208" i="2"/>
  <c r="U1208" i="2"/>
  <c r="O1208" i="2"/>
  <c r="Q1208" i="2" s="1"/>
  <c r="K1208" i="2"/>
  <c r="F1208" i="2"/>
  <c r="V1208" i="2" s="1"/>
  <c r="E1208" i="2"/>
  <c r="D1208" i="2"/>
  <c r="A800" i="26" l="1"/>
  <c r="F799" i="26"/>
  <c r="M1245" i="2"/>
  <c r="AD1245" i="2" s="1"/>
  <c r="Q1986" i="2"/>
  <c r="M1874" i="2"/>
  <c r="AD1874" i="2" s="1"/>
  <c r="M1217" i="2"/>
  <c r="AD1217" i="2" s="1"/>
  <c r="M1508" i="2"/>
  <c r="AD1508" i="2" s="1"/>
  <c r="M1238" i="2"/>
  <c r="AD1238" i="2" s="1"/>
  <c r="Q1434" i="2"/>
  <c r="Q1453" i="2"/>
  <c r="M1745" i="2"/>
  <c r="AD1745" i="2" s="1"/>
  <c r="M1828" i="2"/>
  <c r="AD1828" i="2" s="1"/>
  <c r="M1291" i="2"/>
  <c r="AD1291" i="2" s="1"/>
  <c r="M1430" i="2"/>
  <c r="AD1430" i="2" s="1"/>
  <c r="M1221" i="2"/>
  <c r="AD1221" i="2" s="1"/>
  <c r="M1858" i="2"/>
  <c r="AD1858" i="2" s="1"/>
  <c r="Q1715" i="2"/>
  <c r="Q1734" i="2"/>
  <c r="Q1973" i="2"/>
  <c r="Q1324" i="2"/>
  <c r="M1493" i="2"/>
  <c r="AD1493" i="2" s="1"/>
  <c r="M1496" i="2"/>
  <c r="AD1496" i="2" s="1"/>
  <c r="M1574" i="2"/>
  <c r="AD1574" i="2" s="1"/>
  <c r="M1842" i="2"/>
  <c r="AD1842" i="2" s="1"/>
  <c r="M1927" i="2"/>
  <c r="AD1927" i="2" s="1"/>
  <c r="M1942" i="2"/>
  <c r="AD1942" i="2" s="1"/>
  <c r="Q1975" i="2"/>
  <c r="Q1372" i="2"/>
  <c r="M1416" i="2"/>
  <c r="AD1416" i="2" s="1"/>
  <c r="Q1686" i="2"/>
  <c r="Q1701" i="2"/>
  <c r="M1739" i="2"/>
  <c r="AD1739" i="2" s="1"/>
  <c r="Q1769" i="2"/>
  <c r="M1777" i="2"/>
  <c r="AD1777" i="2" s="1"/>
  <c r="M1536" i="2"/>
  <c r="AD1536" i="2" s="1"/>
  <c r="M1626" i="2"/>
  <c r="AD1626" i="2" s="1"/>
  <c r="M1236" i="2"/>
  <c r="AD1236" i="2" s="1"/>
  <c r="M1317" i="2"/>
  <c r="AD1317" i="2" s="1"/>
  <c r="Q1419" i="2"/>
  <c r="M1642" i="2"/>
  <c r="AD1642" i="2" s="1"/>
  <c r="M1743" i="2"/>
  <c r="AD1743" i="2" s="1"/>
  <c r="M1951" i="2"/>
  <c r="AD1951" i="2" s="1"/>
  <c r="M2003" i="2"/>
  <c r="AD2003" i="2" s="1"/>
  <c r="Q1259" i="2"/>
  <c r="M1367" i="2"/>
  <c r="AD1367" i="2" s="1"/>
  <c r="Q1383" i="2"/>
  <c r="M1387" i="2"/>
  <c r="AD1387" i="2" s="1"/>
  <c r="Q1415" i="2"/>
  <c r="Q1492" i="2"/>
  <c r="Q1541" i="2"/>
  <c r="Q1555" i="2"/>
  <c r="Q1627" i="2"/>
  <c r="Q1684" i="2"/>
  <c r="Q1732" i="2"/>
  <c r="M1990" i="2"/>
  <c r="AD1990" i="2" s="1"/>
  <c r="Q1245" i="2"/>
  <c r="Q1549" i="2"/>
  <c r="Q1716" i="2"/>
  <c r="Q1899" i="2"/>
  <c r="Q1959" i="2"/>
  <c r="M1219" i="2"/>
  <c r="AD1219" i="2" s="1"/>
  <c r="Q1395" i="2"/>
  <c r="Q1429" i="2"/>
  <c r="Q1465" i="2"/>
  <c r="M1477" i="2"/>
  <c r="AD1477" i="2" s="1"/>
  <c r="Q1509" i="2"/>
  <c r="Q1579" i="2"/>
  <c r="Q1643" i="2"/>
  <c r="Q1703" i="2"/>
  <c r="Q1727" i="2"/>
  <c r="Q1736" i="2"/>
  <c r="M1890" i="2"/>
  <c r="AD1890" i="2" s="1"/>
  <c r="Q1971" i="2"/>
  <c r="Q1994" i="2"/>
  <c r="Q1270" i="2"/>
  <c r="Q1336" i="2"/>
  <c r="Q1380" i="2"/>
  <c r="Q1382" i="2"/>
  <c r="Q1386" i="2"/>
  <c r="Q1525" i="2"/>
  <c r="Q1563" i="2"/>
  <c r="M1683" i="2"/>
  <c r="AD1683" i="2" s="1"/>
  <c r="Q1718" i="2"/>
  <c r="Q1720" i="2"/>
  <c r="Q1722" i="2"/>
  <c r="Q1723" i="2"/>
  <c r="Q1738" i="2"/>
  <c r="Q1851" i="2"/>
  <c r="Q1883" i="2"/>
  <c r="Q1280" i="2"/>
  <c r="Q1293" i="2"/>
  <c r="Q1295" i="2"/>
  <c r="Q1362" i="2"/>
  <c r="Q1376" i="2"/>
  <c r="Q1379" i="2"/>
  <c r="Q1384" i="2"/>
  <c r="Q1433" i="2"/>
  <c r="M1450" i="2"/>
  <c r="AD1450" i="2" s="1"/>
  <c r="M1454" i="2"/>
  <c r="AD1454" i="2" s="1"/>
  <c r="M1461" i="2"/>
  <c r="AD1461" i="2" s="1"/>
  <c r="Q1466" i="2"/>
  <c r="M1520" i="2"/>
  <c r="AD1520" i="2" s="1"/>
  <c r="M1558" i="2"/>
  <c r="AD1558" i="2" s="1"/>
  <c r="Q1585" i="2"/>
  <c r="Q1611" i="2"/>
  <c r="M1650" i="2"/>
  <c r="AD1650" i="2" s="1"/>
  <c r="M1906" i="2"/>
  <c r="AD1906" i="2" s="1"/>
  <c r="M1950" i="2"/>
  <c r="AD1950" i="2" s="1"/>
  <c r="Q1972" i="2"/>
  <c r="Q1974" i="2"/>
  <c r="M1208" i="2"/>
  <c r="AD1208" i="2" s="1"/>
  <c r="Q1226" i="2"/>
  <c r="M1234" i="2"/>
  <c r="AD1234" i="2" s="1"/>
  <c r="Q1241" i="2"/>
  <c r="Q1255" i="2"/>
  <c r="Q1265" i="2"/>
  <c r="M1301" i="2"/>
  <c r="AD1301" i="2" s="1"/>
  <c r="M1307" i="2"/>
  <c r="AD1307" i="2" s="1"/>
  <c r="Q1320" i="2"/>
  <c r="M1354" i="2"/>
  <c r="AD1354" i="2" s="1"/>
  <c r="Q1360" i="2"/>
  <c r="Q1374" i="2"/>
  <c r="M1445" i="2"/>
  <c r="AD1445" i="2" s="1"/>
  <c r="M1497" i="2"/>
  <c r="AD1497" i="2" s="1"/>
  <c r="M1504" i="2"/>
  <c r="AD1504" i="2" s="1"/>
  <c r="M1610" i="2"/>
  <c r="AD1610" i="2" s="1"/>
  <c r="M1634" i="2"/>
  <c r="AD1634" i="2" s="1"/>
  <c r="M1666" i="2"/>
  <c r="AD1666" i="2" s="1"/>
  <c r="Q1835" i="2"/>
  <c r="Q1867" i="2"/>
  <c r="M1958" i="2"/>
  <c r="AD1958" i="2" s="1"/>
  <c r="M1966" i="2"/>
  <c r="AD1966" i="2" s="1"/>
  <c r="Q1210" i="2"/>
  <c r="M1232" i="2"/>
  <c r="AD1232" i="2" s="1"/>
  <c r="Q1243" i="2"/>
  <c r="Q1261" i="2"/>
  <c r="Q1282" i="2"/>
  <c r="M1289" i="2"/>
  <c r="AD1289" i="2" s="1"/>
  <c r="M1309" i="2"/>
  <c r="AD1309" i="2" s="1"/>
  <c r="Q1318" i="2"/>
  <c r="Q1350" i="2"/>
  <c r="Q1359" i="2"/>
  <c r="Q1363" i="2"/>
  <c r="M1366" i="2"/>
  <c r="AD1366" i="2" s="1"/>
  <c r="Q1368" i="2"/>
  <c r="Q1370" i="2"/>
  <c r="Q1375" i="2"/>
  <c r="Q1396" i="2"/>
  <c r="Q1398" i="2"/>
  <c r="Q1399" i="2"/>
  <c r="Q1400" i="2"/>
  <c r="Q1402" i="2"/>
  <c r="Q1420" i="2"/>
  <c r="M1449" i="2"/>
  <c r="AD1449" i="2" s="1"/>
  <c r="Q1470" i="2"/>
  <c r="Q1481" i="2"/>
  <c r="M1552" i="2"/>
  <c r="AD1552" i="2" s="1"/>
  <c r="Q1589" i="2"/>
  <c r="Q1615" i="2"/>
  <c r="Q1631" i="2"/>
  <c r="M1681" i="2"/>
  <c r="AD1681" i="2" s="1"/>
  <c r="Q1707" i="2"/>
  <c r="Q1708" i="2"/>
  <c r="Q1710" i="2"/>
  <c r="Q1712" i="2"/>
  <c r="Q1714" i="2"/>
  <c r="M1753" i="2"/>
  <c r="AD1753" i="2" s="1"/>
  <c r="Q1761" i="2"/>
  <c r="Q1785" i="2"/>
  <c r="Q1795" i="2"/>
  <c r="M1799" i="2"/>
  <c r="AD1799" i="2" s="1"/>
  <c r="Q1800" i="2"/>
  <c r="M1803" i="2"/>
  <c r="AD1803" i="2" s="1"/>
  <c r="M1818" i="2"/>
  <c r="AD1818" i="2" s="1"/>
  <c r="M1819" i="2"/>
  <c r="AD1819" i="2" s="1"/>
  <c r="Q1824" i="2"/>
  <c r="M1834" i="2"/>
  <c r="AD1834" i="2" s="1"/>
  <c r="Q1859" i="2"/>
  <c r="M1866" i="2"/>
  <c r="AD1866" i="2" s="1"/>
  <c r="Q1891" i="2"/>
  <c r="M1898" i="2"/>
  <c r="AD1898" i="2" s="1"/>
  <c r="Q1914" i="2"/>
  <c r="Q1916" i="2"/>
  <c r="Q1926" i="2"/>
  <c r="Q1934" i="2"/>
  <c r="Q1935" i="2"/>
  <c r="Q1943" i="2"/>
  <c r="Q1979" i="2"/>
  <c r="Q1987" i="2"/>
  <c r="M1995" i="2"/>
  <c r="AD1995" i="2" s="1"/>
  <c r="M1998" i="2"/>
  <c r="AD1998" i="2" s="1"/>
  <c r="M1364" i="2"/>
  <c r="AD1364" i="2" s="1"/>
  <c r="Q1378" i="2"/>
  <c r="M1403" i="2"/>
  <c r="AD1403" i="2" s="1"/>
  <c r="Q1485" i="2"/>
  <c r="Q1517" i="2"/>
  <c r="Q1533" i="2"/>
  <c r="Q1571" i="2"/>
  <c r="M1594" i="2"/>
  <c r="AD1594" i="2" s="1"/>
  <c r="M1614" i="2"/>
  <c r="AD1614" i="2" s="1"/>
  <c r="M1630" i="2"/>
  <c r="AD1630" i="2" s="1"/>
  <c r="Q1647" i="2"/>
  <c r="M1658" i="2"/>
  <c r="AD1658" i="2" s="1"/>
  <c r="Q1663" i="2"/>
  <c r="M1215" i="2"/>
  <c r="AD1215" i="2" s="1"/>
  <c r="Q1223" i="2"/>
  <c r="Q1239" i="2"/>
  <c r="Q1247" i="2"/>
  <c r="Q1257" i="2"/>
  <c r="M1279" i="2"/>
  <c r="AD1279" i="2" s="1"/>
  <c r="M1303" i="2"/>
  <c r="AD1303" i="2" s="1"/>
  <c r="M1305" i="2"/>
  <c r="AD1305" i="2" s="1"/>
  <c r="M1323" i="2"/>
  <c r="AD1323" i="2" s="1"/>
  <c r="Q1328" i="2"/>
  <c r="Q1342" i="2"/>
  <c r="M1346" i="2"/>
  <c r="AD1346" i="2" s="1"/>
  <c r="Q1351" i="2"/>
  <c r="M1411" i="2"/>
  <c r="AD1411" i="2" s="1"/>
  <c r="M1441" i="2"/>
  <c r="AD1441" i="2" s="1"/>
  <c r="M1478" i="2"/>
  <c r="AD1478" i="2" s="1"/>
  <c r="M1512" i="2"/>
  <c r="AD1512" i="2" s="1"/>
  <c r="M1528" i="2"/>
  <c r="AD1528" i="2" s="1"/>
  <c r="M1544" i="2"/>
  <c r="AD1544" i="2" s="1"/>
  <c r="M1566" i="2"/>
  <c r="AD1566" i="2" s="1"/>
  <c r="M1602" i="2"/>
  <c r="AD1602" i="2" s="1"/>
  <c r="M1646" i="2"/>
  <c r="AD1646" i="2" s="1"/>
  <c r="M1662" i="2"/>
  <c r="AD1662" i="2" s="1"/>
  <c r="Q1801" i="2"/>
  <c r="M1813" i="2"/>
  <c r="AD1813" i="2" s="1"/>
  <c r="Q1825" i="2"/>
  <c r="Q1843" i="2"/>
  <c r="M1850" i="2"/>
  <c r="AD1850" i="2" s="1"/>
  <c r="Q1875" i="2"/>
  <c r="M1882" i="2"/>
  <c r="AD1882" i="2" s="1"/>
  <c r="Q1907" i="2"/>
  <c r="M1213" i="2"/>
  <c r="AD1213" i="2" s="1"/>
  <c r="M1228" i="2"/>
  <c r="AD1228" i="2" s="1"/>
  <c r="M1230" i="2"/>
  <c r="AD1230" i="2" s="1"/>
  <c r="M1285" i="2"/>
  <c r="AD1285" i="2" s="1"/>
  <c r="M1287" i="2"/>
  <c r="AD1287" i="2" s="1"/>
  <c r="M1327" i="2"/>
  <c r="AD1327" i="2" s="1"/>
  <c r="M1338" i="2"/>
  <c r="AD1338" i="2" s="1"/>
  <c r="Q1209" i="2"/>
  <c r="Q1297" i="2"/>
  <c r="Q1299" i="2"/>
  <c r="Q1343" i="2"/>
  <c r="Q1253" i="2"/>
  <c r="Q1267" i="2"/>
  <c r="Q1272" i="2"/>
  <c r="Q1332" i="2"/>
  <c r="M1335" i="2"/>
  <c r="AD1335" i="2" s="1"/>
  <c r="Q1240" i="2"/>
  <c r="Q1249" i="2"/>
  <c r="Q1251" i="2"/>
  <c r="Q1263" i="2"/>
  <c r="Q1310" i="2"/>
  <c r="Q1312" i="2"/>
  <c r="M1315" i="2"/>
  <c r="AD1315" i="2" s="1"/>
  <c r="M1331" i="2"/>
  <c r="AD1331" i="2" s="1"/>
  <c r="Q1358" i="2"/>
  <c r="M1388" i="2"/>
  <c r="AD1388" i="2" s="1"/>
  <c r="M1390" i="2"/>
  <c r="AD1390" i="2" s="1"/>
  <c r="M1391" i="2"/>
  <c r="AD1391" i="2" s="1"/>
  <c r="M1392" i="2"/>
  <c r="AD1392" i="2" s="1"/>
  <c r="M1394" i="2"/>
  <c r="AD1394" i="2" s="1"/>
  <c r="M1404" i="2"/>
  <c r="AD1404" i="2" s="1"/>
  <c r="M1406" i="2"/>
  <c r="AD1406" i="2" s="1"/>
  <c r="M1407" i="2"/>
  <c r="AD1407" i="2" s="1"/>
  <c r="M1408" i="2"/>
  <c r="AD1408" i="2" s="1"/>
  <c r="M1412" i="2"/>
  <c r="AD1412" i="2" s="1"/>
  <c r="M1423" i="2"/>
  <c r="AD1423" i="2" s="1"/>
  <c r="M1424" i="2"/>
  <c r="AD1424" i="2" s="1"/>
  <c r="M1437" i="2"/>
  <c r="AD1437" i="2" s="1"/>
  <c r="M1438" i="2"/>
  <c r="AD1438" i="2" s="1"/>
  <c r="M1442" i="2"/>
  <c r="AD1442" i="2" s="1"/>
  <c r="M1446" i="2"/>
  <c r="AD1446" i="2" s="1"/>
  <c r="M1457" i="2"/>
  <c r="AD1457" i="2" s="1"/>
  <c r="M1458" i="2"/>
  <c r="AD1458" i="2" s="1"/>
  <c r="M1462" i="2"/>
  <c r="AD1462" i="2" s="1"/>
  <c r="M1469" i="2"/>
  <c r="AD1469" i="2" s="1"/>
  <c r="M1473" i="2"/>
  <c r="AD1473" i="2" s="1"/>
  <c r="M1474" i="2"/>
  <c r="AD1474" i="2" s="1"/>
  <c r="M1484" i="2"/>
  <c r="AD1484" i="2" s="1"/>
  <c r="M1488" i="2"/>
  <c r="AD1488" i="2" s="1"/>
  <c r="M1489" i="2"/>
  <c r="AD1489" i="2" s="1"/>
  <c r="M1500" i="2"/>
  <c r="AD1500" i="2" s="1"/>
  <c r="Q1513" i="2"/>
  <c r="M1516" i="2"/>
  <c r="AD1516" i="2" s="1"/>
  <c r="Q1529" i="2"/>
  <c r="M1532" i="2"/>
  <c r="AD1532" i="2" s="1"/>
  <c r="Q1545" i="2"/>
  <c r="M1548" i="2"/>
  <c r="AD1548" i="2" s="1"/>
  <c r="Q1559" i="2"/>
  <c r="M1562" i="2"/>
  <c r="AD1562" i="2" s="1"/>
  <c r="Q1575" i="2"/>
  <c r="M1578" i="2"/>
  <c r="AD1578" i="2" s="1"/>
  <c r="M1580" i="2"/>
  <c r="AD1580" i="2" s="1"/>
  <c r="M1588" i="2"/>
  <c r="AD1588" i="2" s="1"/>
  <c r="M1604" i="2"/>
  <c r="AD1604" i="2" s="1"/>
  <c r="Q1659" i="2"/>
  <c r="Q1678" i="2"/>
  <c r="Q1702" i="2"/>
  <c r="M1702" i="2"/>
  <c r="AD1702" i="2" s="1"/>
  <c r="M1371" i="2"/>
  <c r="AD1371" i="2" s="1"/>
  <c r="Q1623" i="2"/>
  <c r="Q1639" i="2"/>
  <c r="Q1655" i="2"/>
  <c r="Q1676" i="2"/>
  <c r="Q1690" i="2"/>
  <c r="M1693" i="2"/>
  <c r="AD1693" i="2" s="1"/>
  <c r="Q1698" i="2"/>
  <c r="Q1726" i="2"/>
  <c r="M1726" i="2"/>
  <c r="AD1726" i="2" s="1"/>
  <c r="Q1505" i="2"/>
  <c r="Q1521" i="2"/>
  <c r="M1524" i="2"/>
  <c r="AD1524" i="2" s="1"/>
  <c r="Q1537" i="2"/>
  <c r="M1540" i="2"/>
  <c r="AD1540" i="2" s="1"/>
  <c r="M1554" i="2"/>
  <c r="AD1554" i="2" s="1"/>
  <c r="Q1567" i="2"/>
  <c r="M1570" i="2"/>
  <c r="AD1570" i="2" s="1"/>
  <c r="M1592" i="2"/>
  <c r="AD1592" i="2" s="1"/>
  <c r="Q1597" i="2"/>
  <c r="M1600" i="2"/>
  <c r="AD1600" i="2" s="1"/>
  <c r="M1608" i="2"/>
  <c r="AD1608" i="2" s="1"/>
  <c r="Q1619" i="2"/>
  <c r="M1622" i="2"/>
  <c r="AD1622" i="2" s="1"/>
  <c r="Q1635" i="2"/>
  <c r="M1638" i="2"/>
  <c r="AD1638" i="2" s="1"/>
  <c r="Q1651" i="2"/>
  <c r="M1654" i="2"/>
  <c r="AD1654" i="2" s="1"/>
  <c r="Q1667" i="2"/>
  <c r="M1689" i="2"/>
  <c r="AD1689" i="2" s="1"/>
  <c r="Q1711" i="2"/>
  <c r="M1711" i="2"/>
  <c r="AD1711" i="2" s="1"/>
  <c r="Q1501" i="2"/>
  <c r="M1598" i="2"/>
  <c r="AD1598" i="2" s="1"/>
  <c r="M1606" i="2"/>
  <c r="AD1606" i="2" s="1"/>
  <c r="M1618" i="2"/>
  <c r="AD1618" i="2" s="1"/>
  <c r="M1694" i="2"/>
  <c r="AD1694" i="2" s="1"/>
  <c r="Q1694" i="2"/>
  <c r="Q1697" i="2"/>
  <c r="M1697" i="2"/>
  <c r="AD1697" i="2" s="1"/>
  <c r="Q1724" i="2"/>
  <c r="M1724" i="2"/>
  <c r="AD1724" i="2" s="1"/>
  <c r="Q1719" i="2"/>
  <c r="Q1728" i="2"/>
  <c r="Q1730" i="2"/>
  <c r="Q1731" i="2"/>
  <c r="M1735" i="2"/>
  <c r="AD1735" i="2" s="1"/>
  <c r="Q1740" i="2"/>
  <c r="Q1742" i="2"/>
  <c r="M1744" i="2"/>
  <c r="AD1744" i="2" s="1"/>
  <c r="M1748" i="2"/>
  <c r="AD1748" i="2" s="1"/>
  <c r="M1749" i="2"/>
  <c r="AD1749" i="2" s="1"/>
  <c r="Q1752" i="2"/>
  <c r="Q1756" i="2"/>
  <c r="Q1757" i="2"/>
  <c r="M1760" i="2"/>
  <c r="AD1760" i="2" s="1"/>
  <c r="M1764" i="2"/>
  <c r="AD1764" i="2" s="1"/>
  <c r="M1765" i="2"/>
  <c r="AD1765" i="2" s="1"/>
  <c r="Q1768" i="2"/>
  <c r="Q1772" i="2"/>
  <c r="Q1773" i="2"/>
  <c r="M1776" i="2"/>
  <c r="AD1776" i="2" s="1"/>
  <c r="M1780" i="2"/>
  <c r="AD1780" i="2" s="1"/>
  <c r="M1781" i="2"/>
  <c r="AD1781" i="2" s="1"/>
  <c r="Q1784" i="2"/>
  <c r="Q1788" i="2"/>
  <c r="Q1789" i="2"/>
  <c r="Q1794" i="2"/>
  <c r="M1798" i="2"/>
  <c r="AD1798" i="2" s="1"/>
  <c r="Q1802" i="2"/>
  <c r="M1804" i="2"/>
  <c r="AD1804" i="2" s="1"/>
  <c r="M1810" i="2"/>
  <c r="AD1810" i="2" s="1"/>
  <c r="M1811" i="2"/>
  <c r="AD1811" i="2" s="1"/>
  <c r="Q1817" i="2"/>
  <c r="Q1826" i="2"/>
  <c r="Q1827" i="2"/>
  <c r="M1829" i="2"/>
  <c r="AD1829" i="2" s="1"/>
  <c r="M1836" i="2"/>
  <c r="AD1836" i="2" s="1"/>
  <c r="Q1841" i="2"/>
  <c r="M1852" i="2"/>
  <c r="AD1852" i="2" s="1"/>
  <c r="Q1857" i="2"/>
  <c r="M1868" i="2"/>
  <c r="AD1868" i="2" s="1"/>
  <c r="Q1873" i="2"/>
  <c r="M1884" i="2"/>
  <c r="AD1884" i="2" s="1"/>
  <c r="Q1889" i="2"/>
  <c r="M1900" i="2"/>
  <c r="AD1900" i="2" s="1"/>
  <c r="Q1905" i="2"/>
  <c r="Q1915" i="2"/>
  <c r="M1917" i="2"/>
  <c r="AD1917" i="2" s="1"/>
  <c r="Q1923" i="2"/>
  <c r="Q1925" i="2"/>
  <c r="Q1930" i="2"/>
  <c r="Q1932" i="2"/>
  <c r="Q1939" i="2"/>
  <c r="Q1941" i="2"/>
  <c r="Q1946" i="2"/>
  <c r="Q1948" i="2"/>
  <c r="Q1955" i="2"/>
  <c r="Q1957" i="2"/>
  <c r="Q1962" i="2"/>
  <c r="Q1964" i="2"/>
  <c r="M2000" i="2"/>
  <c r="AD2000" i="2" s="1"/>
  <c r="Q1967" i="2"/>
  <c r="Q1978" i="2"/>
  <c r="Q1980" i="2"/>
  <c r="Q1982" i="2"/>
  <c r="Q1983" i="2"/>
  <c r="M1991" i="2"/>
  <c r="AD1991" i="2" s="1"/>
  <c r="M2005" i="2"/>
  <c r="AD2005" i="2" s="1"/>
  <c r="M1797" i="2"/>
  <c r="AD1797" i="2" s="1"/>
  <c r="Q1816" i="2"/>
  <c r="M1821" i="2"/>
  <c r="AD1821" i="2" s="1"/>
  <c r="Q1833" i="2"/>
  <c r="M1844" i="2"/>
  <c r="AD1844" i="2" s="1"/>
  <c r="Q1849" i="2"/>
  <c r="M1860" i="2"/>
  <c r="AD1860" i="2" s="1"/>
  <c r="Q1865" i="2"/>
  <c r="M1876" i="2"/>
  <c r="AD1876" i="2" s="1"/>
  <c r="Q1881" i="2"/>
  <c r="M1892" i="2"/>
  <c r="AD1892" i="2" s="1"/>
  <c r="Q1897" i="2"/>
  <c r="M1908" i="2"/>
  <c r="AD1908" i="2" s="1"/>
  <c r="Q1913" i="2"/>
  <c r="Q1922" i="2"/>
  <c r="Q1924" i="2"/>
  <c r="Q1931" i="2"/>
  <c r="Q1933" i="2"/>
  <c r="Q1938" i="2"/>
  <c r="Q1940" i="2"/>
  <c r="Q1947" i="2"/>
  <c r="Q1949" i="2"/>
  <c r="Q1954" i="2"/>
  <c r="Q1956" i="2"/>
  <c r="Q1963" i="2"/>
  <c r="Q1965" i="2"/>
  <c r="Q1970" i="2"/>
  <c r="Q1248" i="2"/>
  <c r="M1248" i="2"/>
  <c r="AD1248" i="2" s="1"/>
  <c r="Q1260" i="2"/>
  <c r="M1260" i="2"/>
  <c r="AD1260" i="2" s="1"/>
  <c r="M1211" i="2"/>
  <c r="AD1211" i="2" s="1"/>
  <c r="M1212" i="2"/>
  <c r="AD1212" i="2" s="1"/>
  <c r="Q1214" i="2"/>
  <c r="Q1218" i="2"/>
  <c r="Q1222" i="2"/>
  <c r="Q1227" i="2"/>
  <c r="Q1231" i="2"/>
  <c r="Q1235" i="2"/>
  <c r="M1242" i="2"/>
  <c r="AD1242" i="2" s="1"/>
  <c r="Q1242" i="2"/>
  <c r="Q1244" i="2"/>
  <c r="M1244" i="2"/>
  <c r="AD1244" i="2" s="1"/>
  <c r="Q1256" i="2"/>
  <c r="M1256" i="2"/>
  <c r="AD1256" i="2" s="1"/>
  <c r="Q1268" i="2"/>
  <c r="M1268" i="2"/>
  <c r="AD1268" i="2" s="1"/>
  <c r="Q1273" i="2"/>
  <c r="M1273" i="2"/>
  <c r="AD1273" i="2" s="1"/>
  <c r="Q1216" i="2"/>
  <c r="Q1220" i="2"/>
  <c r="Q1225" i="2"/>
  <c r="Q1229" i="2"/>
  <c r="Q1233" i="2"/>
  <c r="Q1237" i="2"/>
  <c r="Q1252" i="2"/>
  <c r="M1252" i="2"/>
  <c r="AD1252" i="2" s="1"/>
  <c r="Q1264" i="2"/>
  <c r="M1264" i="2"/>
  <c r="AD1264" i="2" s="1"/>
  <c r="Q1246" i="2"/>
  <c r="Q1250" i="2"/>
  <c r="Q1254" i="2"/>
  <c r="Q1258" i="2"/>
  <c r="Q1262" i="2"/>
  <c r="Q1266" i="2"/>
  <c r="Q1274" i="2"/>
  <c r="M1281" i="2"/>
  <c r="AD1281" i="2" s="1"/>
  <c r="Q1286" i="2"/>
  <c r="Q1290" i="2"/>
  <c r="Q1294" i="2"/>
  <c r="Q1298" i="2"/>
  <c r="Q1302" i="2"/>
  <c r="Q1306" i="2"/>
  <c r="M1311" i="2"/>
  <c r="AD1311" i="2" s="1"/>
  <c r="Q1316" i="2"/>
  <c r="M1321" i="2"/>
  <c r="AD1321" i="2" s="1"/>
  <c r="Q1322" i="2"/>
  <c r="M1329" i="2"/>
  <c r="AD1329" i="2" s="1"/>
  <c r="Q1330" i="2"/>
  <c r="M1337" i="2"/>
  <c r="AD1337" i="2" s="1"/>
  <c r="M1340" i="2"/>
  <c r="AD1340" i="2" s="1"/>
  <c r="Q1341" i="2"/>
  <c r="M1344" i="2"/>
  <c r="AD1344" i="2" s="1"/>
  <c r="M1345" i="2"/>
  <c r="AD1345" i="2" s="1"/>
  <c r="M1348" i="2"/>
  <c r="AD1348" i="2" s="1"/>
  <c r="Q1349" i="2"/>
  <c r="M1352" i="2"/>
  <c r="AD1352" i="2" s="1"/>
  <c r="M1353" i="2"/>
  <c r="AD1353" i="2" s="1"/>
  <c r="M1356" i="2"/>
  <c r="AD1356" i="2" s="1"/>
  <c r="Q1357" i="2"/>
  <c r="M1361" i="2"/>
  <c r="AD1361" i="2" s="1"/>
  <c r="Q1365" i="2"/>
  <c r="M1369" i="2"/>
  <c r="AD1369" i="2" s="1"/>
  <c r="Q1373" i="2"/>
  <c r="M1377" i="2"/>
  <c r="AD1377" i="2" s="1"/>
  <c r="Q1381" i="2"/>
  <c r="M1385" i="2"/>
  <c r="AD1385" i="2" s="1"/>
  <c r="Q1389" i="2"/>
  <c r="M1393" i="2"/>
  <c r="AD1393" i="2" s="1"/>
  <c r="Q1397" i="2"/>
  <c r="M1401" i="2"/>
  <c r="AD1401" i="2" s="1"/>
  <c r="Q1405" i="2"/>
  <c r="M1409" i="2"/>
  <c r="AD1409" i="2" s="1"/>
  <c r="M1410" i="2"/>
  <c r="AD1410" i="2" s="1"/>
  <c r="Q1413" i="2"/>
  <c r="Q1414" i="2"/>
  <c r="M1417" i="2"/>
  <c r="AD1417" i="2" s="1"/>
  <c r="M1418" i="2"/>
  <c r="AD1418" i="2" s="1"/>
  <c r="Q1421" i="2"/>
  <c r="Q1422" i="2"/>
  <c r="M1425" i="2"/>
  <c r="AD1425" i="2" s="1"/>
  <c r="M1426" i="2"/>
  <c r="AD1426" i="2" s="1"/>
  <c r="Q1428" i="2"/>
  <c r="M1428" i="2"/>
  <c r="AD1428" i="2" s="1"/>
  <c r="M1431" i="2"/>
  <c r="AD1431" i="2" s="1"/>
  <c r="Q1431" i="2"/>
  <c r="Q1444" i="2"/>
  <c r="M1444" i="2"/>
  <c r="AD1444" i="2" s="1"/>
  <c r="M1447" i="2"/>
  <c r="AD1447" i="2" s="1"/>
  <c r="Q1447" i="2"/>
  <c r="Q1459" i="2"/>
  <c r="M1459" i="2"/>
  <c r="AD1459" i="2" s="1"/>
  <c r="Q1468" i="2"/>
  <c r="M1468" i="2"/>
  <c r="AD1468" i="2" s="1"/>
  <c r="M1432" i="2"/>
  <c r="AD1432" i="2" s="1"/>
  <c r="Q1432" i="2"/>
  <c r="Q1435" i="2"/>
  <c r="M1435" i="2"/>
  <c r="AD1435" i="2" s="1"/>
  <c r="M1448" i="2"/>
  <c r="AD1448" i="2" s="1"/>
  <c r="Q1448" i="2"/>
  <c r="Q1451" i="2"/>
  <c r="M1451" i="2"/>
  <c r="AD1451" i="2" s="1"/>
  <c r="Q1460" i="2"/>
  <c r="M1460" i="2"/>
  <c r="AD1460" i="2" s="1"/>
  <c r="Q1278" i="2"/>
  <c r="M1283" i="2"/>
  <c r="AD1283" i="2" s="1"/>
  <c r="Q1284" i="2"/>
  <c r="Q1288" i="2"/>
  <c r="Q1292" i="2"/>
  <c r="Q1296" i="2"/>
  <c r="Q1300" i="2"/>
  <c r="Q1304" i="2"/>
  <c r="Q1308" i="2"/>
  <c r="M1313" i="2"/>
  <c r="AD1313" i="2" s="1"/>
  <c r="Q1314" i="2"/>
  <c r="M1319" i="2"/>
  <c r="AD1319" i="2" s="1"/>
  <c r="M1325" i="2"/>
  <c r="AD1325" i="2" s="1"/>
  <c r="Q1326" i="2"/>
  <c r="M1333" i="2"/>
  <c r="AD1333" i="2" s="1"/>
  <c r="Q1334" i="2"/>
  <c r="Q1436" i="2"/>
  <c r="M1436" i="2"/>
  <c r="AD1436" i="2" s="1"/>
  <c r="M1439" i="2"/>
  <c r="AD1439" i="2" s="1"/>
  <c r="Q1439" i="2"/>
  <c r="Q1452" i="2"/>
  <c r="M1452" i="2"/>
  <c r="AD1452" i="2" s="1"/>
  <c r="M1455" i="2"/>
  <c r="AD1455" i="2" s="1"/>
  <c r="Q1455" i="2"/>
  <c r="Q1467" i="2"/>
  <c r="M1467" i="2"/>
  <c r="AD1467" i="2" s="1"/>
  <c r="Q1427" i="2"/>
  <c r="M1427" i="2"/>
  <c r="AD1427" i="2" s="1"/>
  <c r="M1440" i="2"/>
  <c r="AD1440" i="2" s="1"/>
  <c r="Q1440" i="2"/>
  <c r="Q1443" i="2"/>
  <c r="M1443" i="2"/>
  <c r="AD1443" i="2" s="1"/>
  <c r="Q1456" i="2"/>
  <c r="Q1463" i="2"/>
  <c r="Q1464" i="2"/>
  <c r="Q1471" i="2"/>
  <c r="Q1472" i="2"/>
  <c r="M1475" i="2"/>
  <c r="AD1475" i="2" s="1"/>
  <c r="M1476" i="2"/>
  <c r="AD1476" i="2" s="1"/>
  <c r="Q1479" i="2"/>
  <c r="Q1480" i="2"/>
  <c r="M1482" i="2"/>
  <c r="AD1482" i="2" s="1"/>
  <c r="M1483" i="2"/>
  <c r="AD1483" i="2" s="1"/>
  <c r="Q1486" i="2"/>
  <c r="Q1487" i="2"/>
  <c r="M1490" i="2"/>
  <c r="AD1490" i="2" s="1"/>
  <c r="M1491" i="2"/>
  <c r="AD1491" i="2" s="1"/>
  <c r="Q1494" i="2"/>
  <c r="Q1495" i="2"/>
  <c r="M1498" i="2"/>
  <c r="AD1498" i="2" s="1"/>
  <c r="M1506" i="2"/>
  <c r="AD1506" i="2" s="1"/>
  <c r="Q1507" i="2"/>
  <c r="M1514" i="2"/>
  <c r="AD1514" i="2" s="1"/>
  <c r="Q1515" i="2"/>
  <c r="M1522" i="2"/>
  <c r="AD1522" i="2" s="1"/>
  <c r="Q1523" i="2"/>
  <c r="M1530" i="2"/>
  <c r="AD1530" i="2" s="1"/>
  <c r="Q1531" i="2"/>
  <c r="M1538" i="2"/>
  <c r="AD1538" i="2" s="1"/>
  <c r="Q1539" i="2"/>
  <c r="M1546" i="2"/>
  <c r="AD1546" i="2" s="1"/>
  <c r="Q1547" i="2"/>
  <c r="Q1553" i="2"/>
  <c r="M1560" i="2"/>
  <c r="AD1560" i="2" s="1"/>
  <c r="Q1561" i="2"/>
  <c r="M1568" i="2"/>
  <c r="AD1568" i="2" s="1"/>
  <c r="Q1569" i="2"/>
  <c r="M1576" i="2"/>
  <c r="AD1576" i="2" s="1"/>
  <c r="Q1577" i="2"/>
  <c r="Q1590" i="2"/>
  <c r="M1590" i="2"/>
  <c r="AD1590" i="2" s="1"/>
  <c r="M1596" i="2"/>
  <c r="AD1596" i="2" s="1"/>
  <c r="Q1603" i="2"/>
  <c r="M1603" i="2"/>
  <c r="AD1603" i="2" s="1"/>
  <c r="M1613" i="2"/>
  <c r="AD1613" i="2" s="1"/>
  <c r="Q1613" i="2"/>
  <c r="M1583" i="2"/>
  <c r="AD1583" i="2" s="1"/>
  <c r="Q1583" i="2"/>
  <c r="M1601" i="2"/>
  <c r="AD1601" i="2" s="1"/>
  <c r="Q1601" i="2"/>
  <c r="M1609" i="2"/>
  <c r="AD1609" i="2" s="1"/>
  <c r="Q1609" i="2"/>
  <c r="Q1616" i="2"/>
  <c r="M1616" i="2"/>
  <c r="AD1616" i="2" s="1"/>
  <c r="M1502" i="2"/>
  <c r="AD1502" i="2" s="1"/>
  <c r="Q1503" i="2"/>
  <c r="M1510" i="2"/>
  <c r="AD1510" i="2" s="1"/>
  <c r="Q1511" i="2"/>
  <c r="M1518" i="2"/>
  <c r="AD1518" i="2" s="1"/>
  <c r="Q1519" i="2"/>
  <c r="M1526" i="2"/>
  <c r="AD1526" i="2" s="1"/>
  <c r="Q1527" i="2"/>
  <c r="M1534" i="2"/>
  <c r="AD1534" i="2" s="1"/>
  <c r="Q1535" i="2"/>
  <c r="M1542" i="2"/>
  <c r="AD1542" i="2" s="1"/>
  <c r="Q1543" i="2"/>
  <c r="M1550" i="2"/>
  <c r="AD1550" i="2" s="1"/>
  <c r="Q1551" i="2"/>
  <c r="M1556" i="2"/>
  <c r="AD1556" i="2" s="1"/>
  <c r="Q1557" i="2"/>
  <c r="M1564" i="2"/>
  <c r="AD1564" i="2" s="1"/>
  <c r="Q1565" i="2"/>
  <c r="M1572" i="2"/>
  <c r="AD1572" i="2" s="1"/>
  <c r="Q1573" i="2"/>
  <c r="Q1581" i="2"/>
  <c r="M1584" i="2"/>
  <c r="AD1584" i="2" s="1"/>
  <c r="M1586" i="2"/>
  <c r="AD1586" i="2" s="1"/>
  <c r="Q1587" i="2"/>
  <c r="M1591" i="2"/>
  <c r="AD1591" i="2" s="1"/>
  <c r="Q1591" i="2"/>
  <c r="Q1593" i="2"/>
  <c r="M1595" i="2"/>
  <c r="AD1595" i="2" s="1"/>
  <c r="Q1599" i="2"/>
  <c r="M1599" i="2"/>
  <c r="AD1599" i="2" s="1"/>
  <c r="Q1607" i="2"/>
  <c r="M1607" i="2"/>
  <c r="AD1607" i="2" s="1"/>
  <c r="Q1612" i="2"/>
  <c r="M1612" i="2"/>
  <c r="AD1612" i="2" s="1"/>
  <c r="Q1582" i="2"/>
  <c r="M1582" i="2"/>
  <c r="AD1582" i="2" s="1"/>
  <c r="M1605" i="2"/>
  <c r="AD1605" i="2" s="1"/>
  <c r="Q1605" i="2"/>
  <c r="M1617" i="2"/>
  <c r="AD1617" i="2" s="1"/>
  <c r="Q1617" i="2"/>
  <c r="Q1823" i="2"/>
  <c r="M1823" i="2"/>
  <c r="AD1823" i="2" s="1"/>
  <c r="M1624" i="2"/>
  <c r="AD1624" i="2" s="1"/>
  <c r="Q1625" i="2"/>
  <c r="M1632" i="2"/>
  <c r="AD1632" i="2" s="1"/>
  <c r="Q1633" i="2"/>
  <c r="M1640" i="2"/>
  <c r="AD1640" i="2" s="1"/>
  <c r="Q1641" i="2"/>
  <c r="M1648" i="2"/>
  <c r="AD1648" i="2" s="1"/>
  <c r="Q1649" i="2"/>
  <c r="M1656" i="2"/>
  <c r="AD1656" i="2" s="1"/>
  <c r="Q1657" i="2"/>
  <c r="M1664" i="2"/>
  <c r="AD1664" i="2" s="1"/>
  <c r="Q1665" i="2"/>
  <c r="Q1682" i="2"/>
  <c r="M1687" i="2"/>
  <c r="AD1687" i="2" s="1"/>
  <c r="Q1688" i="2"/>
  <c r="M1695" i="2"/>
  <c r="AD1695" i="2" s="1"/>
  <c r="Q1696" i="2"/>
  <c r="M1705" i="2"/>
  <c r="AD1705" i="2" s="1"/>
  <c r="Q1706" i="2"/>
  <c r="M1709" i="2"/>
  <c r="AD1709" i="2" s="1"/>
  <c r="Q1713" i="2"/>
  <c r="M1717" i="2"/>
  <c r="AD1717" i="2" s="1"/>
  <c r="Q1721" i="2"/>
  <c r="M1725" i="2"/>
  <c r="AD1725" i="2" s="1"/>
  <c r="Q1729" i="2"/>
  <c r="M1733" i="2"/>
  <c r="AD1733" i="2" s="1"/>
  <c r="Q1737" i="2"/>
  <c r="M1741" i="2"/>
  <c r="AD1741" i="2" s="1"/>
  <c r="Q1746" i="2"/>
  <c r="Q1747" i="2"/>
  <c r="M1750" i="2"/>
  <c r="AD1750" i="2" s="1"/>
  <c r="M1751" i="2"/>
  <c r="AD1751" i="2" s="1"/>
  <c r="Q1754" i="2"/>
  <c r="Q1755" i="2"/>
  <c r="M1758" i="2"/>
  <c r="AD1758" i="2" s="1"/>
  <c r="M1759" i="2"/>
  <c r="AD1759" i="2" s="1"/>
  <c r="Q1762" i="2"/>
  <c r="Q1763" i="2"/>
  <c r="M1766" i="2"/>
  <c r="AD1766" i="2" s="1"/>
  <c r="M1767" i="2"/>
  <c r="AD1767" i="2" s="1"/>
  <c r="Q1770" i="2"/>
  <c r="Q1771" i="2"/>
  <c r="M1774" i="2"/>
  <c r="AD1774" i="2" s="1"/>
  <c r="M1775" i="2"/>
  <c r="AD1775" i="2" s="1"/>
  <c r="Q1778" i="2"/>
  <c r="Q1779" i="2"/>
  <c r="M1782" i="2"/>
  <c r="AD1782" i="2" s="1"/>
  <c r="M1783" i="2"/>
  <c r="AD1783" i="2" s="1"/>
  <c r="Q1786" i="2"/>
  <c r="Q1787" i="2"/>
  <c r="M1790" i="2"/>
  <c r="AD1790" i="2" s="1"/>
  <c r="M1791" i="2"/>
  <c r="AD1791" i="2" s="1"/>
  <c r="Q1792" i="2"/>
  <c r="M1805" i="2"/>
  <c r="AD1805" i="2" s="1"/>
  <c r="Q1806" i="2"/>
  <c r="Q1807" i="2"/>
  <c r="Q1809" i="2"/>
  <c r="M1812" i="2"/>
  <c r="AD1812" i="2" s="1"/>
  <c r="Q1815" i="2"/>
  <c r="M1820" i="2"/>
  <c r="AD1820" i="2" s="1"/>
  <c r="M1837" i="2"/>
  <c r="AD1837" i="2" s="1"/>
  <c r="Q1837" i="2"/>
  <c r="M1620" i="2"/>
  <c r="AD1620" i="2" s="1"/>
  <c r="Q1621" i="2"/>
  <c r="M1628" i="2"/>
  <c r="AD1628" i="2" s="1"/>
  <c r="Q1629" i="2"/>
  <c r="M1636" i="2"/>
  <c r="AD1636" i="2" s="1"/>
  <c r="Q1637" i="2"/>
  <c r="M1644" i="2"/>
  <c r="AD1644" i="2" s="1"/>
  <c r="Q1645" i="2"/>
  <c r="M1652" i="2"/>
  <c r="AD1652" i="2" s="1"/>
  <c r="Q1653" i="2"/>
  <c r="M1660" i="2"/>
  <c r="AD1660" i="2" s="1"/>
  <c r="Q1661" i="2"/>
  <c r="M1668" i="2"/>
  <c r="AD1668" i="2" s="1"/>
  <c r="Q1669" i="2"/>
  <c r="M1679" i="2"/>
  <c r="AD1679" i="2" s="1"/>
  <c r="Q1680" i="2"/>
  <c r="M1685" i="2"/>
  <c r="AD1685" i="2" s="1"/>
  <c r="M1691" i="2"/>
  <c r="AD1691" i="2" s="1"/>
  <c r="Q1692" i="2"/>
  <c r="M1699" i="2"/>
  <c r="AD1699" i="2" s="1"/>
  <c r="Q1700" i="2"/>
  <c r="Q1793" i="2"/>
  <c r="M1796" i="2"/>
  <c r="AD1796" i="2" s="1"/>
  <c r="Q1808" i="2"/>
  <c r="Q1814" i="2"/>
  <c r="Q1822" i="2"/>
  <c r="Q1832" i="2"/>
  <c r="M1832" i="2"/>
  <c r="AD1832" i="2" s="1"/>
  <c r="M1840" i="2"/>
  <c r="AD1840" i="2" s="1"/>
  <c r="M1848" i="2"/>
  <c r="AD1848" i="2" s="1"/>
  <c r="M1856" i="2"/>
  <c r="AD1856" i="2" s="1"/>
  <c r="M1864" i="2"/>
  <c r="AD1864" i="2" s="1"/>
  <c r="M1872" i="2"/>
  <c r="AD1872" i="2" s="1"/>
  <c r="M1880" i="2"/>
  <c r="AD1880" i="2" s="1"/>
  <c r="M1888" i="2"/>
  <c r="AD1888" i="2" s="1"/>
  <c r="M1896" i="2"/>
  <c r="AD1896" i="2" s="1"/>
  <c r="M1904" i="2"/>
  <c r="AD1904" i="2" s="1"/>
  <c r="M1912" i="2"/>
  <c r="AD1912" i="2" s="1"/>
  <c r="M1918" i="2"/>
  <c r="AD1918" i="2" s="1"/>
  <c r="M1919" i="2"/>
  <c r="AD1919" i="2" s="1"/>
  <c r="M1920" i="2"/>
  <c r="AD1920" i="2" s="1"/>
  <c r="M1921" i="2"/>
  <c r="AD1921" i="2" s="1"/>
  <c r="M1928" i="2"/>
  <c r="AD1928" i="2" s="1"/>
  <c r="M1929" i="2"/>
  <c r="AD1929" i="2" s="1"/>
  <c r="M1936" i="2"/>
  <c r="AD1936" i="2" s="1"/>
  <c r="M1937" i="2"/>
  <c r="AD1937" i="2" s="1"/>
  <c r="M1944" i="2"/>
  <c r="AD1944" i="2" s="1"/>
  <c r="M1945" i="2"/>
  <c r="AD1945" i="2" s="1"/>
  <c r="M1952" i="2"/>
  <c r="AD1952" i="2" s="1"/>
  <c r="M1953" i="2"/>
  <c r="AD1953" i="2" s="1"/>
  <c r="M1960" i="2"/>
  <c r="AD1960" i="2" s="1"/>
  <c r="M1961" i="2"/>
  <c r="AD1961" i="2" s="1"/>
  <c r="M1968" i="2"/>
  <c r="AD1968" i="2" s="1"/>
  <c r="M1969" i="2"/>
  <c r="AD1969" i="2" s="1"/>
  <c r="M1976" i="2"/>
  <c r="AD1976" i="2" s="1"/>
  <c r="M1977" i="2"/>
  <c r="AD1977" i="2" s="1"/>
  <c r="Q1981" i="2"/>
  <c r="M1984" i="2"/>
  <c r="AD1984" i="2" s="1"/>
  <c r="M1985" i="2"/>
  <c r="AD1985" i="2" s="1"/>
  <c r="Q1988" i="2"/>
  <c r="Q1989" i="2"/>
  <c r="M1992" i="2"/>
  <c r="AD1992" i="2" s="1"/>
  <c r="M1993" i="2"/>
  <c r="AD1993" i="2" s="1"/>
  <c r="Q1996" i="2"/>
  <c r="Q1997" i="2"/>
  <c r="M2002" i="2"/>
  <c r="AD2002" i="2" s="1"/>
  <c r="Q2004" i="2"/>
  <c r="M2006" i="2"/>
  <c r="AD2006" i="2" s="1"/>
  <c r="Q2007" i="2"/>
  <c r="Q1845" i="2"/>
  <c r="Q1853" i="2"/>
  <c r="Q1861" i="2"/>
  <c r="Q1869" i="2"/>
  <c r="Q1877" i="2"/>
  <c r="Q1885" i="2"/>
  <c r="Q1893" i="2"/>
  <c r="Q1901" i="2"/>
  <c r="Q1909" i="2"/>
  <c r="Q1999" i="2"/>
  <c r="Q2008" i="2"/>
  <c r="Q1831" i="2"/>
  <c r="M1838" i="2"/>
  <c r="AD1838" i="2" s="1"/>
  <c r="Q1839" i="2"/>
  <c r="M1846" i="2"/>
  <c r="AD1846" i="2" s="1"/>
  <c r="Q1847" i="2"/>
  <c r="M1854" i="2"/>
  <c r="AD1854" i="2" s="1"/>
  <c r="Q1855" i="2"/>
  <c r="M1862" i="2"/>
  <c r="AD1862" i="2" s="1"/>
  <c r="Q1863" i="2"/>
  <c r="M1870" i="2"/>
  <c r="AD1870" i="2" s="1"/>
  <c r="Q1871" i="2"/>
  <c r="M1878" i="2"/>
  <c r="AD1878" i="2" s="1"/>
  <c r="Q1879" i="2"/>
  <c r="M1886" i="2"/>
  <c r="AD1886" i="2" s="1"/>
  <c r="Q1887" i="2"/>
  <c r="M1894" i="2"/>
  <c r="AD1894" i="2" s="1"/>
  <c r="Q1895" i="2"/>
  <c r="M1902" i="2"/>
  <c r="AD1902" i="2" s="1"/>
  <c r="Q1903" i="2"/>
  <c r="M1910" i="2"/>
  <c r="AD1910" i="2" s="1"/>
  <c r="Q1911" i="2"/>
  <c r="M1269" i="2"/>
  <c r="AD1269" i="2" s="1"/>
  <c r="M1271" i="2"/>
  <c r="AD1271" i="2" s="1"/>
  <c r="Q1339" i="2"/>
  <c r="Q1347" i="2"/>
  <c r="Q1355" i="2"/>
  <c r="Q1499" i="2"/>
  <c r="M1671" i="2"/>
  <c r="AD1671" i="2" s="1"/>
  <c r="M1673" i="2"/>
  <c r="AD1673" i="2" s="1"/>
  <c r="M1675" i="2"/>
  <c r="AD1675" i="2" s="1"/>
  <c r="Q1670" i="2"/>
  <c r="Q1672" i="2"/>
  <c r="Q1674" i="2"/>
  <c r="M1677" i="2"/>
  <c r="AD1677" i="2" s="1"/>
  <c r="Q1704" i="2"/>
  <c r="M1830" i="2"/>
  <c r="AD1830" i="2" s="1"/>
  <c r="Q2001" i="2"/>
  <c r="A801" i="26" l="1"/>
  <c r="F800" i="26"/>
  <c r="Y71" i="35"/>
  <c r="Y72" i="35" s="1"/>
  <c r="Y73" i="35" s="1"/>
  <c r="Y74" i="35" s="1"/>
  <c r="Y75" i="35" s="1"/>
  <c r="Y76" i="35" s="1"/>
  <c r="Y77" i="35" s="1"/>
  <c r="Y78" i="35" s="1"/>
  <c r="Y79" i="35" s="1"/>
  <c r="Y80" i="35" s="1"/>
  <c r="Y81" i="35" s="1"/>
  <c r="Y82" i="35" s="1"/>
  <c r="Y83" i="35" s="1"/>
  <c r="Y84" i="35" s="1"/>
  <c r="Y85" i="35" s="1"/>
  <c r="Y86" i="35" s="1"/>
  <c r="Y87" i="35" s="1"/>
  <c r="Y88" i="35" s="1"/>
  <c r="A802" i="26" l="1"/>
  <c r="F801" i="26"/>
  <c r="A6" i="21"/>
  <c r="A7" i="21" s="1"/>
  <c r="A8" i="21" s="1"/>
  <c r="A9" i="21" s="1"/>
  <c r="A10" i="21" s="1"/>
  <c r="A11" i="21" s="1"/>
  <c r="A12" i="21" s="1"/>
  <c r="A13" i="21" s="1"/>
  <c r="A14" i="21" s="1"/>
  <c r="A15" i="21" s="1"/>
  <c r="A16" i="21" s="1"/>
  <c r="A17" i="21" s="1"/>
  <c r="A18" i="21" s="1"/>
  <c r="A19" i="21" s="1"/>
  <c r="A803" i="26" l="1"/>
  <c r="F802" i="26"/>
  <c r="U602" i="15"/>
  <c r="V602" i="15" s="1"/>
  <c r="W602" i="15" s="1"/>
  <c r="X602" i="15" s="1"/>
  <c r="Y602" i="15" s="1"/>
  <c r="Z602" i="15" s="1"/>
  <c r="AA602" i="15" s="1"/>
  <c r="AB602" i="15" s="1"/>
  <c r="AC602" i="15" s="1"/>
  <c r="AD602" i="15" s="1"/>
  <c r="AE602" i="15" s="1"/>
  <c r="AF602" i="15" s="1"/>
  <c r="AG602" i="15" s="1"/>
  <c r="AH602" i="15" s="1"/>
  <c r="AI602" i="15" s="1"/>
  <c r="AJ602" i="15" s="1"/>
  <c r="AK602" i="15" s="1"/>
  <c r="AL602" i="15" s="1"/>
  <c r="AM602" i="15" s="1"/>
  <c r="AN602" i="15" s="1"/>
  <c r="S604" i="15"/>
  <c r="S605" i="15" s="1"/>
  <c r="S606" i="15" s="1"/>
  <c r="S607" i="15" s="1"/>
  <c r="S608" i="15" s="1"/>
  <c r="S609" i="15" s="1"/>
  <c r="S610" i="15" s="1"/>
  <c r="S611" i="15" s="1"/>
  <c r="S612" i="15" s="1"/>
  <c r="S613" i="15" s="1"/>
  <c r="S614" i="15" s="1"/>
  <c r="S615" i="15" s="1"/>
  <c r="S616" i="15" s="1"/>
  <c r="S617" i="15" s="1"/>
  <c r="S618" i="15" s="1"/>
  <c r="S619" i="15" s="1"/>
  <c r="S620" i="15" s="1"/>
  <c r="S621" i="15" s="1"/>
  <c r="S622" i="15" s="1"/>
  <c r="S623" i="15" s="1"/>
  <c r="S624" i="15" s="1"/>
  <c r="S625" i="15" s="1"/>
  <c r="S626" i="15" s="1"/>
  <c r="S627" i="15" s="1"/>
  <c r="S628" i="15" s="1"/>
  <c r="S629" i="15" s="1"/>
  <c r="S630" i="15" s="1"/>
  <c r="S631" i="15" s="1"/>
  <c r="S632" i="15" s="1"/>
  <c r="S633" i="15" s="1"/>
  <c r="S634" i="15" s="1"/>
  <c r="S635" i="15" s="1"/>
  <c r="S636" i="15" s="1"/>
  <c r="S637" i="15" s="1"/>
  <c r="S638" i="15" s="1"/>
  <c r="S639" i="15" s="1"/>
  <c r="S640" i="15" s="1"/>
  <c r="S641" i="15" s="1"/>
  <c r="S642" i="15" s="1"/>
  <c r="S643" i="15" s="1"/>
  <c r="S644" i="15" s="1"/>
  <c r="S645" i="15" s="1"/>
  <c r="S646" i="15" s="1"/>
  <c r="S647" i="15" s="1"/>
  <c r="S648" i="15" s="1"/>
  <c r="S649" i="15" s="1"/>
  <c r="S650" i="15" s="1"/>
  <c r="S651" i="15" s="1"/>
  <c r="S652" i="15" s="1"/>
  <c r="S653" i="15" s="1"/>
  <c r="S654" i="15" s="1"/>
  <c r="S655" i="15" s="1"/>
  <c r="S656" i="15" s="1"/>
  <c r="S657" i="15" s="1"/>
  <c r="S658" i="15" s="1"/>
  <c r="S659" i="15" s="1"/>
  <c r="S660" i="15" s="1"/>
  <c r="S661" i="15" s="1"/>
  <c r="S662" i="15" s="1"/>
  <c r="S663" i="15" s="1"/>
  <c r="S664" i="15" s="1"/>
  <c r="S665" i="15" s="1"/>
  <c r="S666" i="15" s="1"/>
  <c r="S667" i="15" s="1"/>
  <c r="S668" i="15" s="1"/>
  <c r="S669" i="15" s="1"/>
  <c r="S670" i="15" s="1"/>
  <c r="S671" i="15" s="1"/>
  <c r="S672" i="15" s="1"/>
  <c r="S673" i="15" s="1"/>
  <c r="S674" i="15" s="1"/>
  <c r="S675" i="15" s="1"/>
  <c r="S676" i="15" s="1"/>
  <c r="S677" i="15" s="1"/>
  <c r="S678" i="15" s="1"/>
  <c r="S679" i="15" s="1"/>
  <c r="S680" i="15" s="1"/>
  <c r="S681" i="15" s="1"/>
  <c r="S682" i="15" s="1"/>
  <c r="S683" i="15" s="1"/>
  <c r="H266" i="30"/>
  <c r="G266" i="30"/>
  <c r="H265" i="30"/>
  <c r="G265" i="30"/>
  <c r="H746" i="26"/>
  <c r="G746" i="26"/>
  <c r="H745" i="26"/>
  <c r="G745" i="26"/>
  <c r="H744" i="26"/>
  <c r="G744" i="26"/>
  <c r="H743" i="26"/>
  <c r="G743" i="26"/>
  <c r="H742" i="26"/>
  <c r="G742" i="26"/>
  <c r="H741" i="26"/>
  <c r="G741" i="26"/>
  <c r="H740" i="26"/>
  <c r="G740" i="26"/>
  <c r="H739" i="26"/>
  <c r="G739" i="26"/>
  <c r="F266" i="30"/>
  <c r="F265" i="30"/>
  <c r="F746" i="26"/>
  <c r="F745" i="26"/>
  <c r="F744" i="26"/>
  <c r="F743" i="26"/>
  <c r="F742" i="26"/>
  <c r="F741" i="26"/>
  <c r="F740" i="26"/>
  <c r="F739" i="26"/>
  <c r="A804" i="26" l="1"/>
  <c r="F803" i="26"/>
  <c r="F1198" i="21"/>
  <c r="E1198" i="21"/>
  <c r="F1197" i="21"/>
  <c r="E1197" i="21"/>
  <c r="F1196" i="21"/>
  <c r="E1196" i="21"/>
  <c r="F1195" i="21"/>
  <c r="E1195" i="21"/>
  <c r="F1194" i="21"/>
  <c r="E1194" i="21"/>
  <c r="F1193" i="21"/>
  <c r="E1193" i="21"/>
  <c r="F1184" i="21"/>
  <c r="E1184" i="21"/>
  <c r="F1183" i="21"/>
  <c r="E1183" i="21"/>
  <c r="F1182" i="21"/>
  <c r="E1182" i="21"/>
  <c r="F1181" i="21"/>
  <c r="E1181" i="21"/>
  <c r="F1180" i="21"/>
  <c r="E1180" i="21"/>
  <c r="F1179" i="21"/>
  <c r="E1179" i="21"/>
  <c r="F1178" i="21"/>
  <c r="E1178" i="21"/>
  <c r="F1177" i="21"/>
  <c r="E1177" i="21"/>
  <c r="F1176" i="21"/>
  <c r="E1176" i="21"/>
  <c r="F1173" i="21"/>
  <c r="P1174" i="21" s="1"/>
  <c r="E1173" i="21"/>
  <c r="F1172" i="21"/>
  <c r="E1172" i="21"/>
  <c r="F1171" i="21"/>
  <c r="E1171" i="21"/>
  <c r="F1170" i="21"/>
  <c r="E1170" i="21"/>
  <c r="F1169" i="21"/>
  <c r="E1169" i="21"/>
  <c r="F1168" i="21"/>
  <c r="E1168" i="21"/>
  <c r="F1167" i="21"/>
  <c r="E1167" i="21"/>
  <c r="F1166" i="21"/>
  <c r="E1166" i="21"/>
  <c r="F1165" i="21"/>
  <c r="E1165" i="21"/>
  <c r="F1164" i="21"/>
  <c r="E1164" i="21"/>
  <c r="F1163" i="21"/>
  <c r="E1163" i="21"/>
  <c r="F1162" i="21"/>
  <c r="E1162" i="21"/>
  <c r="F1161" i="21"/>
  <c r="E1161" i="21"/>
  <c r="F1160" i="21"/>
  <c r="E1160" i="21"/>
  <c r="F1159" i="21"/>
  <c r="E1159" i="21"/>
  <c r="F1158" i="21"/>
  <c r="P1158" i="21" s="1"/>
  <c r="E1158" i="21"/>
  <c r="F1157" i="21"/>
  <c r="E1157" i="21"/>
  <c r="F1156" i="21"/>
  <c r="E1156" i="21"/>
  <c r="F1155" i="21"/>
  <c r="E1155" i="21"/>
  <c r="F1154" i="21"/>
  <c r="E1154" i="21"/>
  <c r="F1153" i="21"/>
  <c r="E1153" i="21"/>
  <c r="F1152" i="21"/>
  <c r="E1152" i="21"/>
  <c r="F1151" i="21"/>
  <c r="E1151" i="21"/>
  <c r="F1150" i="21"/>
  <c r="E1150" i="21"/>
  <c r="F1149" i="21"/>
  <c r="E1149" i="21"/>
  <c r="F1148" i="21"/>
  <c r="E1148" i="21"/>
  <c r="D1207" i="2"/>
  <c r="D1206" i="2"/>
  <c r="D1205" i="2"/>
  <c r="D1204" i="2"/>
  <c r="D1203" i="2"/>
  <c r="D1202" i="2"/>
  <c r="D1201" i="2"/>
  <c r="D1200" i="2"/>
  <c r="D1199" i="2"/>
  <c r="D1198" i="2"/>
  <c r="D1197" i="2"/>
  <c r="D1195" i="2"/>
  <c r="D1194" i="2"/>
  <c r="E1207" i="2"/>
  <c r="E1206" i="2"/>
  <c r="E1205" i="2"/>
  <c r="E1204" i="2"/>
  <c r="E1203" i="2"/>
  <c r="E1202" i="2"/>
  <c r="E1201" i="2"/>
  <c r="E1200" i="2"/>
  <c r="E1199" i="2"/>
  <c r="E1198" i="2"/>
  <c r="E1197" i="2"/>
  <c r="E1195" i="2"/>
  <c r="E1194" i="2"/>
  <c r="F1207" i="2"/>
  <c r="F1206" i="2"/>
  <c r="F1205" i="2"/>
  <c r="F1204" i="2"/>
  <c r="F1203" i="2"/>
  <c r="F1202" i="2"/>
  <c r="F1201" i="2"/>
  <c r="F1200" i="2"/>
  <c r="F1199" i="2"/>
  <c r="F1198" i="2"/>
  <c r="F1197" i="2"/>
  <c r="F1195" i="2"/>
  <c r="F1194" i="2"/>
  <c r="F1193" i="2"/>
  <c r="F1192" i="2"/>
  <c r="F1191" i="2"/>
  <c r="F1190" i="2"/>
  <c r="F1189" i="2"/>
  <c r="F1188" i="2"/>
  <c r="F1187" i="2"/>
  <c r="F1186" i="2"/>
  <c r="F1185" i="2"/>
  <c r="F1184" i="2"/>
  <c r="E1193" i="2"/>
  <c r="E1192" i="2"/>
  <c r="E1191" i="2"/>
  <c r="E1190" i="2"/>
  <c r="E1189" i="2"/>
  <c r="E1188" i="2"/>
  <c r="E1187" i="2"/>
  <c r="E1186" i="2"/>
  <c r="E1185" i="2"/>
  <c r="E1184" i="2"/>
  <c r="D1193" i="2"/>
  <c r="D1192" i="2"/>
  <c r="D1191" i="2"/>
  <c r="D1190" i="2"/>
  <c r="D1189" i="2"/>
  <c r="D1188" i="2"/>
  <c r="D1187" i="2"/>
  <c r="D1186" i="2"/>
  <c r="D1185" i="2"/>
  <c r="D1184" i="2"/>
  <c r="F1147" i="21"/>
  <c r="F1146" i="21"/>
  <c r="F1145" i="21"/>
  <c r="F1144" i="21"/>
  <c r="F1143" i="21"/>
  <c r="F1142" i="21"/>
  <c r="F1141" i="21"/>
  <c r="F1140" i="21"/>
  <c r="F1139" i="21"/>
  <c r="F1138" i="21"/>
  <c r="E1147" i="21"/>
  <c r="E1146" i="21"/>
  <c r="E1145" i="21"/>
  <c r="E1144" i="21"/>
  <c r="E1143" i="21"/>
  <c r="E1142" i="21"/>
  <c r="E1141" i="21"/>
  <c r="E1140" i="21"/>
  <c r="E1139" i="21"/>
  <c r="E1138" i="21"/>
  <c r="A805" i="26" l="1"/>
  <c r="F804" i="26"/>
  <c r="B528" i="15"/>
  <c r="B524" i="15"/>
  <c r="B520" i="15"/>
  <c r="B516" i="15"/>
  <c r="B512" i="15"/>
  <c r="B508" i="15"/>
  <c r="B504" i="15"/>
  <c r="B500" i="15"/>
  <c r="B527" i="15"/>
  <c r="B523" i="15"/>
  <c r="B519" i="15"/>
  <c r="B515" i="15"/>
  <c r="B511" i="15"/>
  <c r="B507" i="15"/>
  <c r="B503" i="15"/>
  <c r="B499" i="15"/>
  <c r="B526" i="15"/>
  <c r="B522" i="15"/>
  <c r="B518" i="15"/>
  <c r="B514" i="15"/>
  <c r="B510" i="15"/>
  <c r="B506" i="15"/>
  <c r="B502" i="15"/>
  <c r="B498" i="15"/>
  <c r="B525" i="15"/>
  <c r="B521" i="15"/>
  <c r="B517" i="15"/>
  <c r="B513" i="15"/>
  <c r="B509" i="15"/>
  <c r="B505" i="15"/>
  <c r="B501" i="15"/>
  <c r="B345" i="15"/>
  <c r="B341" i="15"/>
  <c r="B337" i="15"/>
  <c r="B344" i="15"/>
  <c r="B340" i="15"/>
  <c r="B336" i="15"/>
  <c r="B343" i="15"/>
  <c r="B339" i="15"/>
  <c r="B346" i="15"/>
  <c r="B342" i="15"/>
  <c r="B338" i="15"/>
  <c r="B335" i="15"/>
  <c r="H141" i="31"/>
  <c r="G141" i="31"/>
  <c r="F141" i="31"/>
  <c r="D145" i="31"/>
  <c r="E8" i="31" s="1"/>
  <c r="H264" i="30"/>
  <c r="G264" i="30"/>
  <c r="I263" i="30"/>
  <c r="H263" i="30"/>
  <c r="G263" i="30"/>
  <c r="H262" i="30"/>
  <c r="G262" i="30"/>
  <c r="F264" i="30"/>
  <c r="F263" i="30"/>
  <c r="F262" i="30"/>
  <c r="D268" i="30"/>
  <c r="D267" i="30"/>
  <c r="D266" i="30"/>
  <c r="H738" i="26"/>
  <c r="G738" i="26"/>
  <c r="H737" i="26"/>
  <c r="G737" i="26"/>
  <c r="H736" i="26"/>
  <c r="G736" i="26"/>
  <c r="H735" i="26"/>
  <c r="G735" i="26"/>
  <c r="H734" i="26"/>
  <c r="G734" i="26"/>
  <c r="H733" i="26"/>
  <c r="G733" i="26"/>
  <c r="H732" i="26"/>
  <c r="G732" i="26"/>
  <c r="H731" i="26"/>
  <c r="G731" i="26"/>
  <c r="H730" i="26"/>
  <c r="G730" i="26"/>
  <c r="F735" i="26"/>
  <c r="F731" i="26"/>
  <c r="F738" i="26"/>
  <c r="F737" i="26"/>
  <c r="F736" i="26"/>
  <c r="F734" i="26"/>
  <c r="F733" i="26"/>
  <c r="F732" i="26"/>
  <c r="F730" i="26"/>
  <c r="D811" i="26"/>
  <c r="I811" i="26" s="1"/>
  <c r="D801" i="26"/>
  <c r="I799" i="26" s="1"/>
  <c r="D800" i="26"/>
  <c r="I800" i="26" s="1"/>
  <c r="D783" i="26"/>
  <c r="D777" i="26"/>
  <c r="I768" i="26" s="1"/>
  <c r="D774" i="26"/>
  <c r="D773" i="26"/>
  <c r="D769" i="26"/>
  <c r="D767" i="26"/>
  <c r="I773" i="26" l="1"/>
  <c r="E8" i="30"/>
  <c r="A806" i="26"/>
  <c r="F805" i="26"/>
  <c r="I798" i="26"/>
  <c r="I801" i="26"/>
  <c r="I759" i="26"/>
  <c r="I769" i="26"/>
  <c r="I761" i="26"/>
  <c r="I783" i="26"/>
  <c r="I797" i="26"/>
  <c r="I758" i="26"/>
  <c r="I763" i="26"/>
  <c r="I777" i="26"/>
  <c r="I787" i="26"/>
  <c r="I267" i="30"/>
  <c r="I268" i="30"/>
  <c r="I746" i="26"/>
  <c r="I757" i="26"/>
  <c r="I756" i="26"/>
  <c r="I751" i="26"/>
  <c r="I762" i="26"/>
  <c r="I775" i="26"/>
  <c r="I786" i="26"/>
  <c r="I753" i="26"/>
  <c r="I764" i="26"/>
  <c r="I265" i="30"/>
  <c r="I731" i="26"/>
  <c r="I748" i="26"/>
  <c r="I765" i="26"/>
  <c r="I772" i="26"/>
  <c r="I766" i="26"/>
  <c r="I774" i="26"/>
  <c r="I145" i="31"/>
  <c r="I730" i="26"/>
  <c r="I739" i="26"/>
  <c r="I752" i="26"/>
  <c r="I767" i="26"/>
  <c r="I743" i="26"/>
  <c r="I749" i="26"/>
  <c r="I744" i="26"/>
  <c r="I750" i="26"/>
  <c r="I141" i="31"/>
  <c r="I264" i="30"/>
  <c r="I266" i="30"/>
  <c r="I732" i="26"/>
  <c r="I741" i="26"/>
  <c r="I737" i="26"/>
  <c r="I733" i="26"/>
  <c r="I742" i="26"/>
  <c r="I734" i="26"/>
  <c r="I738" i="26"/>
  <c r="I745" i="26"/>
  <c r="I735" i="26"/>
  <c r="I740" i="26"/>
  <c r="I262" i="30"/>
  <c r="I736" i="26"/>
  <c r="H136" i="5"/>
  <c r="H733" i="3"/>
  <c r="H732" i="3"/>
  <c r="H731" i="3"/>
  <c r="H730" i="3"/>
  <c r="H729" i="3"/>
  <c r="H728" i="3"/>
  <c r="H727" i="3"/>
  <c r="H726" i="3"/>
  <c r="H725" i="3"/>
  <c r="A807" i="26" l="1"/>
  <c r="F806" i="26"/>
  <c r="B1126" i="21"/>
  <c r="B1127" i="21" s="1"/>
  <c r="B1128" i="21" s="1"/>
  <c r="B1129" i="21" s="1"/>
  <c r="B1130" i="21" s="1"/>
  <c r="B1131" i="21" s="1"/>
  <c r="B1132" i="21" s="1"/>
  <c r="B1133" i="21" s="1"/>
  <c r="B1134" i="21" s="1"/>
  <c r="B1135" i="21" s="1"/>
  <c r="B1136" i="21" s="1"/>
  <c r="B1137" i="21" s="1"/>
  <c r="A808" i="26" l="1"/>
  <c r="F807" i="26"/>
  <c r="I729" i="26"/>
  <c r="H729" i="26"/>
  <c r="G729" i="26"/>
  <c r="I728" i="26"/>
  <c r="H728" i="26"/>
  <c r="G728" i="26"/>
  <c r="I727" i="26"/>
  <c r="H727" i="26"/>
  <c r="G727" i="26"/>
  <c r="I726" i="26"/>
  <c r="H726" i="26"/>
  <c r="G726" i="26"/>
  <c r="I725" i="26"/>
  <c r="H725" i="26"/>
  <c r="G725" i="26"/>
  <c r="I724" i="26"/>
  <c r="H724" i="26"/>
  <c r="G724" i="26"/>
  <c r="I723" i="26"/>
  <c r="H723" i="26"/>
  <c r="G723" i="26"/>
  <c r="I722" i="26"/>
  <c r="H722" i="26"/>
  <c r="G722" i="26"/>
  <c r="I721" i="26"/>
  <c r="H721" i="26"/>
  <c r="G721" i="26"/>
  <c r="I720" i="26"/>
  <c r="H720" i="26"/>
  <c r="G720" i="26"/>
  <c r="I719" i="26"/>
  <c r="H719" i="26"/>
  <c r="G719" i="26"/>
  <c r="I718" i="26"/>
  <c r="H718" i="26"/>
  <c r="G718" i="26"/>
  <c r="I717" i="26"/>
  <c r="H717" i="26"/>
  <c r="G717" i="26"/>
  <c r="I716" i="26"/>
  <c r="H716" i="26"/>
  <c r="G716" i="26"/>
  <c r="I715" i="26"/>
  <c r="H715" i="26"/>
  <c r="G715" i="26"/>
  <c r="I714" i="26"/>
  <c r="H714" i="26"/>
  <c r="G714" i="26"/>
  <c r="I713" i="26"/>
  <c r="H713" i="26"/>
  <c r="G713" i="26"/>
  <c r="I712" i="26"/>
  <c r="H712" i="26"/>
  <c r="G712" i="26"/>
  <c r="I711" i="26"/>
  <c r="H711" i="26"/>
  <c r="G711" i="26"/>
  <c r="I710" i="26"/>
  <c r="H710" i="26"/>
  <c r="G710" i="26"/>
  <c r="I709" i="26"/>
  <c r="H709" i="26"/>
  <c r="G709" i="26"/>
  <c r="F726" i="26"/>
  <c r="F722" i="26"/>
  <c r="F718" i="26"/>
  <c r="F714" i="26"/>
  <c r="F710" i="26"/>
  <c r="F729" i="26"/>
  <c r="F728" i="26"/>
  <c r="F727" i="26"/>
  <c r="F725" i="26"/>
  <c r="F724" i="26"/>
  <c r="F723" i="26"/>
  <c r="F721" i="26"/>
  <c r="F720" i="26"/>
  <c r="F719" i="26"/>
  <c r="F717" i="26"/>
  <c r="F716" i="26"/>
  <c r="F715" i="26"/>
  <c r="F713" i="26"/>
  <c r="F712" i="26"/>
  <c r="F711" i="26"/>
  <c r="F709" i="26"/>
  <c r="A809" i="26" l="1"/>
  <c r="F808" i="26"/>
  <c r="I261" i="30"/>
  <c r="H261" i="30"/>
  <c r="G261" i="30"/>
  <c r="I260" i="30"/>
  <c r="H260" i="30"/>
  <c r="G260" i="30"/>
  <c r="I259" i="30"/>
  <c r="H259" i="30"/>
  <c r="G259" i="30"/>
  <c r="I258" i="30"/>
  <c r="H258" i="30"/>
  <c r="G258" i="30"/>
  <c r="I257" i="30"/>
  <c r="H257" i="30"/>
  <c r="G257" i="30"/>
  <c r="I256" i="30"/>
  <c r="H256" i="30"/>
  <c r="G256" i="30"/>
  <c r="I255" i="30"/>
  <c r="H255" i="30"/>
  <c r="G255" i="30"/>
  <c r="F258" i="30"/>
  <c r="F261" i="30"/>
  <c r="F260" i="30"/>
  <c r="F259" i="30"/>
  <c r="F257" i="30"/>
  <c r="F256" i="30"/>
  <c r="F255" i="30"/>
  <c r="I140" i="31"/>
  <c r="H140" i="31"/>
  <c r="G140" i="31"/>
  <c r="F140" i="31"/>
  <c r="H135" i="5"/>
  <c r="A810" i="26" l="1"/>
  <c r="F809" i="26"/>
  <c r="B1098" i="21"/>
  <c r="B1099" i="21" s="1"/>
  <c r="B1100" i="21" s="1"/>
  <c r="B1101" i="21" s="1"/>
  <c r="B1102" i="21" s="1"/>
  <c r="B1103" i="21" s="1"/>
  <c r="B1104" i="21" s="1"/>
  <c r="B1105" i="21" s="1"/>
  <c r="B1106" i="21" s="1"/>
  <c r="B1107" i="21" s="1"/>
  <c r="B1108" i="21" s="1"/>
  <c r="B1109" i="21" s="1"/>
  <c r="B1110" i="21" s="1"/>
  <c r="B1111" i="21" s="1"/>
  <c r="B1112" i="21" s="1"/>
  <c r="B1113" i="21" s="1"/>
  <c r="B1114" i="21" s="1"/>
  <c r="B1115" i="21" s="1"/>
  <c r="B1116" i="21" s="1"/>
  <c r="B1117" i="21" s="1"/>
  <c r="B1118" i="21" s="1"/>
  <c r="B1119" i="21" s="1"/>
  <c r="B1120" i="21" s="1"/>
  <c r="B1121" i="21" s="1"/>
  <c r="B1122" i="21" s="1"/>
  <c r="B1123" i="21" s="1"/>
  <c r="B1124" i="21" s="1"/>
  <c r="A811" i="26" l="1"/>
  <c r="F810" i="26"/>
  <c r="E8" i="32"/>
  <c r="D8" i="32"/>
  <c r="C8" i="32"/>
  <c r="I54" i="32"/>
  <c r="H54" i="32"/>
  <c r="G54" i="32"/>
  <c r="I53" i="32"/>
  <c r="H53" i="32"/>
  <c r="G53" i="32"/>
  <c r="I52" i="32"/>
  <c r="H52" i="32"/>
  <c r="G52" i="32"/>
  <c r="E54" i="32"/>
  <c r="F54" i="32" s="1"/>
  <c r="E53" i="32"/>
  <c r="F53" i="32" s="1"/>
  <c r="E52" i="32"/>
  <c r="F52" i="32" s="1"/>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I139" i="31"/>
  <c r="H139" i="31"/>
  <c r="G139" i="31"/>
  <c r="I138" i="31"/>
  <c r="H138" i="31"/>
  <c r="G138" i="31"/>
  <c r="I137" i="31"/>
  <c r="H137" i="31"/>
  <c r="G137" i="31"/>
  <c r="F139" i="31"/>
  <c r="F138" i="31"/>
  <c r="F137" i="31"/>
  <c r="I254" i="30"/>
  <c r="H254" i="30"/>
  <c r="G254" i="30"/>
  <c r="I253" i="30"/>
  <c r="H253" i="30"/>
  <c r="G253" i="30"/>
  <c r="I252" i="30"/>
  <c r="H252" i="30"/>
  <c r="G252" i="30"/>
  <c r="I251" i="30"/>
  <c r="H251" i="30"/>
  <c r="G251" i="30"/>
  <c r="I250" i="30"/>
  <c r="H250" i="30"/>
  <c r="G250" i="30"/>
  <c r="I249" i="30"/>
  <c r="H249" i="30"/>
  <c r="G249" i="30"/>
  <c r="I248" i="30"/>
  <c r="H248" i="30"/>
  <c r="G248" i="30"/>
  <c r="I247" i="30"/>
  <c r="H247" i="30"/>
  <c r="G247" i="30"/>
  <c r="I246" i="30"/>
  <c r="H246" i="30"/>
  <c r="G246" i="30"/>
  <c r="I245" i="30"/>
  <c r="H245" i="30"/>
  <c r="G245" i="30"/>
  <c r="I244" i="30"/>
  <c r="H244" i="30"/>
  <c r="G244" i="30"/>
  <c r="I243" i="30"/>
  <c r="H243" i="30"/>
  <c r="G243" i="30"/>
  <c r="I242" i="30"/>
  <c r="H242" i="30"/>
  <c r="G242" i="30"/>
  <c r="F254" i="30"/>
  <c r="F253" i="30"/>
  <c r="F252" i="30"/>
  <c r="F251" i="30"/>
  <c r="F250" i="30"/>
  <c r="F249" i="30"/>
  <c r="F248" i="30"/>
  <c r="F247" i="30"/>
  <c r="F246" i="30"/>
  <c r="F245" i="30"/>
  <c r="F244" i="30"/>
  <c r="F243" i="30"/>
  <c r="F242" i="30"/>
  <c r="A812" i="26" l="1"/>
  <c r="F812" i="26" s="1"/>
  <c r="F811" i="26"/>
  <c r="I708" i="26"/>
  <c r="H708" i="26"/>
  <c r="G708" i="26"/>
  <c r="I707" i="26"/>
  <c r="H707" i="26"/>
  <c r="G707" i="26"/>
  <c r="I706" i="26"/>
  <c r="H706" i="26"/>
  <c r="G706" i="26"/>
  <c r="I705" i="26"/>
  <c r="H705" i="26"/>
  <c r="G705" i="26"/>
  <c r="I704" i="26"/>
  <c r="H704" i="26"/>
  <c r="G704" i="26"/>
  <c r="I703" i="26"/>
  <c r="H703" i="26"/>
  <c r="G703" i="26"/>
  <c r="I702" i="26"/>
  <c r="H702" i="26"/>
  <c r="G702" i="26"/>
  <c r="I701" i="26"/>
  <c r="H701" i="26"/>
  <c r="G701" i="26"/>
  <c r="I700" i="26"/>
  <c r="H700" i="26"/>
  <c r="G700" i="26"/>
  <c r="I699" i="26"/>
  <c r="H699" i="26"/>
  <c r="G699" i="26"/>
  <c r="I698" i="26"/>
  <c r="H698" i="26"/>
  <c r="G698" i="26"/>
  <c r="I697" i="26"/>
  <c r="H697" i="26"/>
  <c r="G697" i="26"/>
  <c r="I696" i="26"/>
  <c r="H696" i="26"/>
  <c r="G696" i="26"/>
  <c r="I695" i="26"/>
  <c r="H695" i="26"/>
  <c r="G695" i="26"/>
  <c r="I694" i="26"/>
  <c r="H694" i="26"/>
  <c r="G694" i="26"/>
  <c r="I693" i="26"/>
  <c r="H693" i="26"/>
  <c r="G693" i="26"/>
  <c r="I692" i="26"/>
  <c r="H692" i="26"/>
  <c r="G692" i="26"/>
  <c r="I691" i="26"/>
  <c r="H691" i="26"/>
  <c r="G691" i="26"/>
  <c r="I690" i="26"/>
  <c r="H690" i="26"/>
  <c r="G690" i="26"/>
  <c r="I689" i="26"/>
  <c r="H689" i="26"/>
  <c r="G689" i="26"/>
  <c r="I688" i="26"/>
  <c r="H688" i="26"/>
  <c r="G688" i="26"/>
  <c r="I687" i="26"/>
  <c r="H687" i="26"/>
  <c r="G687" i="26"/>
  <c r="I686" i="26"/>
  <c r="H686" i="26"/>
  <c r="G686" i="26"/>
  <c r="F708" i="26"/>
  <c r="F707" i="26"/>
  <c r="F706" i="26"/>
  <c r="F705" i="26"/>
  <c r="F704" i="26"/>
  <c r="F703" i="26"/>
  <c r="F702" i="26"/>
  <c r="F701" i="26"/>
  <c r="F700" i="26"/>
  <c r="F699" i="26"/>
  <c r="F698" i="26"/>
  <c r="F697" i="26"/>
  <c r="F696" i="26"/>
  <c r="F695" i="26"/>
  <c r="F694" i="26"/>
  <c r="F693" i="26"/>
  <c r="F692" i="26"/>
  <c r="F691" i="26"/>
  <c r="F690" i="26"/>
  <c r="F689" i="26"/>
  <c r="F688" i="26"/>
  <c r="F687" i="26"/>
  <c r="F686" i="26"/>
  <c r="H703" i="3" l="1"/>
  <c r="H702" i="3"/>
  <c r="H701" i="3"/>
  <c r="H700" i="3"/>
  <c r="H699" i="3"/>
  <c r="H698" i="3"/>
  <c r="H697" i="3"/>
  <c r="H696" i="3"/>
  <c r="H695" i="3"/>
  <c r="H694" i="3"/>
  <c r="H693" i="3"/>
  <c r="H692" i="3"/>
  <c r="H691" i="3"/>
  <c r="H690" i="3"/>
  <c r="H689" i="3"/>
  <c r="H688" i="3"/>
  <c r="H687" i="3"/>
  <c r="H686" i="3"/>
  <c r="H685" i="3"/>
  <c r="H684" i="3"/>
  <c r="H683" i="3"/>
  <c r="H682" i="3"/>
  <c r="H681" i="3"/>
  <c r="K704" i="3"/>
  <c r="J704" i="3"/>
  <c r="I704" i="3"/>
  <c r="K703" i="3"/>
  <c r="J703" i="3"/>
  <c r="I703" i="3"/>
  <c r="V1112" i="2" l="1"/>
  <c r="V1111" i="2"/>
  <c r="M1198" i="21" l="1"/>
  <c r="K1198" i="21" s="1"/>
  <c r="M1197" i="21"/>
  <c r="K1197" i="21" s="1"/>
  <c r="M1196" i="21"/>
  <c r="K1196" i="21" s="1"/>
  <c r="M1195" i="21"/>
  <c r="K1195" i="21" s="1"/>
  <c r="M1194" i="21"/>
  <c r="K1194" i="21" s="1"/>
  <c r="M1193" i="21"/>
  <c r="K1193" i="21" s="1"/>
  <c r="M1192" i="21"/>
  <c r="K1192" i="21" s="1"/>
  <c r="M1191" i="21"/>
  <c r="K1191" i="21" s="1"/>
  <c r="M1190" i="21"/>
  <c r="K1190" i="21" s="1"/>
  <c r="M1189" i="21"/>
  <c r="K1189" i="21" s="1"/>
  <c r="M1188" i="21"/>
  <c r="K1188" i="21" s="1"/>
  <c r="M1187" i="21"/>
  <c r="K1187" i="21" s="1"/>
  <c r="M1186" i="21"/>
  <c r="K1186" i="21" s="1"/>
  <c r="M1185" i="21"/>
  <c r="K1185" i="21" s="1"/>
  <c r="M1184" i="21"/>
  <c r="K1184" i="21" s="1"/>
  <c r="M1183" i="21"/>
  <c r="K1183" i="21" s="1"/>
  <c r="M1182" i="21"/>
  <c r="K1182" i="21" s="1"/>
  <c r="M1181" i="21"/>
  <c r="K1181" i="21" s="1"/>
  <c r="M1180" i="21"/>
  <c r="K1180" i="21" s="1"/>
  <c r="M1179" i="21"/>
  <c r="K1179" i="21" s="1"/>
  <c r="M1178" i="21"/>
  <c r="K1178" i="21" s="1"/>
  <c r="M1177" i="21"/>
  <c r="K1177" i="21" s="1"/>
  <c r="M1176" i="21"/>
  <c r="K1176" i="21" s="1"/>
  <c r="M1173" i="21"/>
  <c r="K1173" i="21" s="1"/>
  <c r="Q1174" i="21" s="1"/>
  <c r="M1172" i="21"/>
  <c r="K1172" i="21" s="1"/>
  <c r="M1171" i="21"/>
  <c r="K1171" i="21" s="1"/>
  <c r="M1170" i="21"/>
  <c r="K1170" i="21" s="1"/>
  <c r="M1169" i="21"/>
  <c r="K1169" i="21" s="1"/>
  <c r="M1168" i="21"/>
  <c r="K1168" i="21" s="1"/>
  <c r="M1167" i="21"/>
  <c r="K1167" i="21" s="1"/>
  <c r="M1166" i="21"/>
  <c r="K1166" i="21" s="1"/>
  <c r="M1165" i="21"/>
  <c r="K1165" i="21" s="1"/>
  <c r="M1164" i="21"/>
  <c r="K1164" i="21" s="1"/>
  <c r="M1163" i="21"/>
  <c r="K1163" i="21" s="1"/>
  <c r="M1162" i="21"/>
  <c r="K1162" i="21" s="1"/>
  <c r="M1161" i="21"/>
  <c r="K1161" i="21" s="1"/>
  <c r="M1160" i="21"/>
  <c r="K1160" i="21" s="1"/>
  <c r="M1159" i="21"/>
  <c r="K1159" i="21" s="1"/>
  <c r="M1158" i="21"/>
  <c r="K1158" i="21" s="1"/>
  <c r="Q1158" i="21" s="1"/>
  <c r="M1157" i="21"/>
  <c r="K1157" i="21" s="1"/>
  <c r="M1156" i="21"/>
  <c r="K1156" i="21" s="1"/>
  <c r="M1155" i="21"/>
  <c r="K1155" i="21" s="1"/>
  <c r="M1154" i="21"/>
  <c r="K1154" i="21" s="1"/>
  <c r="M1153" i="21"/>
  <c r="K1153" i="21" s="1"/>
  <c r="M1152" i="21"/>
  <c r="K1152" i="21" s="1"/>
  <c r="M1151" i="21"/>
  <c r="K1151" i="21" s="1"/>
  <c r="M1150" i="21"/>
  <c r="K1150" i="21" s="1"/>
  <c r="M1149" i="21"/>
  <c r="K1149" i="21" s="1"/>
  <c r="M1148" i="21"/>
  <c r="K1148" i="21" s="1"/>
  <c r="M1147" i="21"/>
  <c r="K1147" i="21" s="1"/>
  <c r="M1146" i="21"/>
  <c r="K1146" i="21" s="1"/>
  <c r="M1145" i="21"/>
  <c r="K1145" i="21" s="1"/>
  <c r="M1144" i="21"/>
  <c r="K1144" i="21" s="1"/>
  <c r="M1143" i="21"/>
  <c r="K1143" i="21" s="1"/>
  <c r="M1142" i="21"/>
  <c r="K1142" i="21" s="1"/>
  <c r="M1141" i="21"/>
  <c r="K1141" i="21" s="1"/>
  <c r="M1140" i="21"/>
  <c r="K1140" i="21" s="1"/>
  <c r="M1139" i="21"/>
  <c r="K1139" i="21" s="1"/>
  <c r="M1138" i="21"/>
  <c r="K1138" i="21" s="1"/>
  <c r="M1137" i="21"/>
  <c r="K1137" i="21" s="1"/>
  <c r="M1136" i="21"/>
  <c r="K1136" i="21" s="1"/>
  <c r="M1135" i="21"/>
  <c r="K1135" i="21" s="1"/>
  <c r="M1134" i="21"/>
  <c r="K1134" i="21" s="1"/>
  <c r="M1133" i="21"/>
  <c r="K1133" i="21" s="1"/>
  <c r="M1132" i="21"/>
  <c r="K1132" i="21" s="1"/>
  <c r="M1131" i="21"/>
  <c r="K1131" i="21" s="1"/>
  <c r="M1130" i="21"/>
  <c r="K1130" i="21" s="1"/>
  <c r="M1129" i="21"/>
  <c r="K1129" i="21" s="1"/>
  <c r="M1128" i="21"/>
  <c r="K1128" i="21" s="1"/>
  <c r="M1127" i="21"/>
  <c r="K1127" i="21" s="1"/>
  <c r="M1126" i="21"/>
  <c r="K1126" i="21" s="1"/>
  <c r="M1125" i="21"/>
  <c r="K1125" i="21" s="1"/>
  <c r="M1124" i="21"/>
  <c r="K1124" i="21" s="1"/>
  <c r="M1123" i="21"/>
  <c r="K1123" i="21" s="1"/>
  <c r="M1122" i="21"/>
  <c r="K1122" i="21" s="1"/>
  <c r="M1121" i="21"/>
  <c r="K1121" i="21" s="1"/>
  <c r="M1120" i="21"/>
  <c r="K1120" i="21" s="1"/>
  <c r="M1119" i="21"/>
  <c r="K1119" i="21" s="1"/>
  <c r="M1118" i="21"/>
  <c r="K1118" i="21" s="1"/>
  <c r="M1117" i="21"/>
  <c r="K1117" i="21" s="1"/>
  <c r="M1116" i="21"/>
  <c r="K1116" i="21" s="1"/>
  <c r="M1115" i="21"/>
  <c r="K1115" i="21" s="1"/>
  <c r="M1114" i="21"/>
  <c r="K1114" i="21" s="1"/>
  <c r="M1113" i="21"/>
  <c r="K1113" i="21" s="1"/>
  <c r="M1112" i="21"/>
  <c r="K1112" i="21" s="1"/>
  <c r="M1111" i="21"/>
  <c r="K1111" i="21" s="1"/>
  <c r="M1110" i="21"/>
  <c r="K1110" i="21" s="1"/>
  <c r="M1109" i="21"/>
  <c r="K1109" i="21" s="1"/>
  <c r="M1108" i="21"/>
  <c r="K1108" i="21" s="1"/>
  <c r="M1107" i="21"/>
  <c r="K1107" i="21" s="1"/>
  <c r="M1106" i="21"/>
  <c r="K1106" i="21" s="1"/>
  <c r="M1105" i="21"/>
  <c r="K1105" i="21" s="1"/>
  <c r="M1104" i="21"/>
  <c r="K1104" i="21" s="1"/>
  <c r="M1103" i="21"/>
  <c r="K1103" i="21" s="1"/>
  <c r="M1102" i="21"/>
  <c r="K1102" i="21" s="1"/>
  <c r="M1101" i="21"/>
  <c r="K1101" i="21" s="1"/>
  <c r="M1100" i="21"/>
  <c r="K1100" i="21" s="1"/>
  <c r="M1099" i="21"/>
  <c r="K1099" i="21" s="1"/>
  <c r="M1098" i="21"/>
  <c r="K1098" i="21" s="1"/>
  <c r="M1097" i="21"/>
  <c r="K1097" i="21" s="1"/>
  <c r="M1096" i="21"/>
  <c r="K1096" i="21" s="1"/>
  <c r="M1095" i="21"/>
  <c r="K1095" i="21" s="1"/>
  <c r="M1094" i="21"/>
  <c r="K1094" i="21" s="1"/>
  <c r="M1093" i="21"/>
  <c r="K1093" i="21" s="1"/>
  <c r="M1092" i="21"/>
  <c r="M1091" i="21"/>
  <c r="K1091" i="21" s="1"/>
  <c r="M1090" i="21"/>
  <c r="K1090" i="21" s="1"/>
  <c r="M1089" i="21"/>
  <c r="K1089" i="21" s="1"/>
  <c r="M1088" i="21"/>
  <c r="K1088" i="21" s="1"/>
  <c r="M1087" i="21"/>
  <c r="K1087" i="21" s="1"/>
  <c r="M1086" i="21"/>
  <c r="K1086" i="21" s="1"/>
  <c r="M1085" i="21"/>
  <c r="K1085" i="21" s="1"/>
  <c r="M1084" i="21"/>
  <c r="M1083" i="21"/>
  <c r="K1083" i="21" s="1"/>
  <c r="M1082" i="21"/>
  <c r="K1082" i="21" s="1"/>
  <c r="M1081" i="21"/>
  <c r="K1081" i="21" s="1"/>
  <c r="M1080" i="21"/>
  <c r="K1080" i="21" s="1"/>
  <c r="M1079" i="21"/>
  <c r="K1079" i="21" s="1"/>
  <c r="M1078" i="21"/>
  <c r="K1078" i="21" s="1"/>
  <c r="M1077" i="21"/>
  <c r="K1077" i="21" s="1"/>
  <c r="M1076" i="21"/>
  <c r="M1075" i="21"/>
  <c r="M1074" i="21"/>
  <c r="K1074" i="21" s="1"/>
  <c r="M1073" i="21"/>
  <c r="K1073" i="21" s="1"/>
  <c r="M1072" i="21"/>
  <c r="M1071" i="21"/>
  <c r="K1071" i="21" s="1"/>
  <c r="M1070" i="21"/>
  <c r="K1070" i="21" s="1"/>
  <c r="M1069" i="21"/>
  <c r="K1069" i="21" s="1"/>
  <c r="M1068" i="21"/>
  <c r="M1067" i="21"/>
  <c r="K1067" i="21" s="1"/>
  <c r="M1066" i="21"/>
  <c r="K1066" i="21" s="1"/>
  <c r="M1065" i="21"/>
  <c r="K1065" i="21" s="1"/>
  <c r="M1064" i="21"/>
  <c r="M1063" i="21"/>
  <c r="K1063" i="21" s="1"/>
  <c r="K1092" i="21"/>
  <c r="K1084" i="21"/>
  <c r="K1076" i="21"/>
  <c r="K1075" i="21"/>
  <c r="K1072" i="21"/>
  <c r="K1068" i="21"/>
  <c r="K1064" i="21"/>
  <c r="M1062" i="21"/>
  <c r="K1062" i="21" s="1"/>
  <c r="V1142" i="2"/>
  <c r="AC1111" i="2" l="1"/>
  <c r="V1141" i="2"/>
  <c r="AB1112" i="2" l="1"/>
  <c r="AA1112" i="2"/>
  <c r="U1112" i="2"/>
  <c r="AA1111" i="2"/>
  <c r="O1110" i="2"/>
  <c r="M1110" i="2" s="1"/>
  <c r="AD1110" i="2" s="1"/>
  <c r="K1110" i="2"/>
  <c r="U1110" i="2"/>
  <c r="V1110" i="2"/>
  <c r="AA1110" i="2"/>
  <c r="AB1110" i="2"/>
  <c r="AC1110" i="2"/>
  <c r="Q1110" i="2" l="1"/>
  <c r="AC1106" i="2"/>
  <c r="AB1106" i="2"/>
  <c r="AA1106" i="2"/>
  <c r="V1106" i="2"/>
  <c r="U1106" i="2"/>
  <c r="O1106" i="2"/>
  <c r="Q1106" i="2" s="1"/>
  <c r="K1106" i="2"/>
  <c r="AC1105" i="2"/>
  <c r="AB1105" i="2"/>
  <c r="AA1105" i="2"/>
  <c r="V1105" i="2"/>
  <c r="U1105" i="2"/>
  <c r="O1105" i="2"/>
  <c r="Q1105" i="2" s="1"/>
  <c r="K1105" i="2"/>
  <c r="AC1104" i="2"/>
  <c r="AB1104" i="2"/>
  <c r="AA1104" i="2"/>
  <c r="V1104" i="2"/>
  <c r="U1104" i="2"/>
  <c r="O1104" i="2"/>
  <c r="Q1104" i="2" s="1"/>
  <c r="K1104" i="2"/>
  <c r="AC1103" i="2"/>
  <c r="AB1103" i="2"/>
  <c r="AA1103" i="2"/>
  <c r="V1103" i="2"/>
  <c r="U1103" i="2"/>
  <c r="O1103" i="2"/>
  <c r="M1103" i="2" s="1"/>
  <c r="AD1103" i="2" s="1"/>
  <c r="K1103" i="2"/>
  <c r="AC1102" i="2"/>
  <c r="AB1102" i="2"/>
  <c r="AA1102" i="2"/>
  <c r="V1102" i="2"/>
  <c r="U1102" i="2"/>
  <c r="O1102" i="2"/>
  <c r="Q1102" i="2" s="1"/>
  <c r="K1102" i="2"/>
  <c r="AC1101" i="2"/>
  <c r="AB1101" i="2"/>
  <c r="AA1101" i="2"/>
  <c r="V1101" i="2"/>
  <c r="U1101" i="2"/>
  <c r="O1101" i="2"/>
  <c r="Q1101" i="2" s="1"/>
  <c r="K1101" i="2"/>
  <c r="AC1100" i="2"/>
  <c r="AB1100" i="2"/>
  <c r="AA1100" i="2"/>
  <c r="V1100" i="2"/>
  <c r="U1100" i="2"/>
  <c r="O1100" i="2"/>
  <c r="Q1100" i="2" s="1"/>
  <c r="K1100" i="2"/>
  <c r="AB1111" i="2"/>
  <c r="U1111" i="2"/>
  <c r="O1112" i="2"/>
  <c r="M1112" i="2" s="1"/>
  <c r="K1112" i="2"/>
  <c r="M1100" i="2" l="1"/>
  <c r="AD1100" i="2" s="1"/>
  <c r="M1102" i="2"/>
  <c r="AD1102" i="2" s="1"/>
  <c r="M1104" i="2"/>
  <c r="AD1104" i="2" s="1"/>
  <c r="M1106" i="2"/>
  <c r="AD1106" i="2" s="1"/>
  <c r="M1101" i="2"/>
  <c r="AD1101" i="2" s="1"/>
  <c r="Q1103" i="2"/>
  <c r="M1105" i="2"/>
  <c r="AD1105" i="2" s="1"/>
  <c r="Q1112" i="2"/>
  <c r="I241" i="30"/>
  <c r="H241" i="30"/>
  <c r="G241" i="30"/>
  <c r="I240" i="30"/>
  <c r="H240" i="30"/>
  <c r="G240" i="30"/>
  <c r="I239" i="30"/>
  <c r="H239" i="30"/>
  <c r="G239" i="30"/>
  <c r="I238" i="30"/>
  <c r="H238" i="30"/>
  <c r="G238" i="30"/>
  <c r="F240" i="30"/>
  <c r="F241" i="30"/>
  <c r="F239" i="30"/>
  <c r="F238" i="30"/>
  <c r="I685" i="26"/>
  <c r="H685" i="26"/>
  <c r="G685" i="26"/>
  <c r="I684" i="26"/>
  <c r="H684" i="26"/>
  <c r="G684" i="26"/>
  <c r="I683" i="26"/>
  <c r="H683" i="26"/>
  <c r="G683" i="26"/>
  <c r="I682" i="26"/>
  <c r="H682" i="26"/>
  <c r="G682" i="26"/>
  <c r="I681" i="26"/>
  <c r="H681" i="26"/>
  <c r="G681" i="26"/>
  <c r="I680" i="26"/>
  <c r="H680" i="26"/>
  <c r="G680" i="26"/>
  <c r="I679" i="26"/>
  <c r="H679" i="26"/>
  <c r="G679" i="26"/>
  <c r="I678" i="26"/>
  <c r="H678" i="26"/>
  <c r="G678" i="26"/>
  <c r="I677" i="26"/>
  <c r="H677" i="26"/>
  <c r="G677" i="26"/>
  <c r="F685" i="26"/>
  <c r="F684" i="26"/>
  <c r="F683" i="26"/>
  <c r="F682" i="26"/>
  <c r="F681" i="26"/>
  <c r="F680" i="26"/>
  <c r="F677" i="26"/>
  <c r="F676" i="26"/>
  <c r="F674" i="26"/>
  <c r="F673" i="26"/>
  <c r="F672" i="26"/>
  <c r="F679" i="26"/>
  <c r="F678" i="26"/>
  <c r="M1061" i="21"/>
  <c r="K1061" i="21" s="1"/>
  <c r="M1060" i="21"/>
  <c r="K1060" i="21" s="1"/>
  <c r="M1059" i="21"/>
  <c r="K1059" i="21" s="1"/>
  <c r="M1058" i="21"/>
  <c r="K1058" i="21" s="1"/>
  <c r="M1057" i="21"/>
  <c r="K1057" i="21" s="1"/>
  <c r="M1056" i="21"/>
  <c r="K1056" i="21" s="1"/>
  <c r="M1055" i="21"/>
  <c r="K1055" i="21" s="1"/>
  <c r="M1054" i="21"/>
  <c r="K1054" i="21" s="1"/>
  <c r="K1053" i="21"/>
  <c r="M1052" i="21"/>
  <c r="K1052" i="21" s="1"/>
  <c r="M1051" i="21"/>
  <c r="K1051" i="21" s="1"/>
  <c r="M1050" i="21"/>
  <c r="K1050" i="21" s="1"/>
  <c r="I34" i="33"/>
  <c r="H34" i="33"/>
  <c r="G34" i="33"/>
  <c r="I33" i="33"/>
  <c r="H33" i="33"/>
  <c r="G33" i="33"/>
  <c r="I32" i="33"/>
  <c r="H32" i="33"/>
  <c r="G32" i="33"/>
  <c r="I31" i="33"/>
  <c r="H31" i="33"/>
  <c r="G31" i="33"/>
  <c r="I30" i="33"/>
  <c r="H30" i="33"/>
  <c r="G30" i="33"/>
  <c r="I29" i="33"/>
  <c r="H29" i="33"/>
  <c r="G29" i="33"/>
  <c r="I28" i="33"/>
  <c r="H28" i="33"/>
  <c r="G28" i="33"/>
  <c r="I27" i="33"/>
  <c r="H27" i="33"/>
  <c r="G27" i="33"/>
  <c r="I26" i="33"/>
  <c r="H26" i="33"/>
  <c r="G26" i="33"/>
  <c r="I25" i="33"/>
  <c r="H25" i="33"/>
  <c r="G25" i="33"/>
  <c r="I24" i="33"/>
  <c r="H24" i="33"/>
  <c r="G24" i="33"/>
  <c r="I23" i="33"/>
  <c r="H23" i="33"/>
  <c r="G23" i="33"/>
  <c r="I22" i="33"/>
  <c r="H22" i="33"/>
  <c r="G22" i="33"/>
  <c r="E34" i="33"/>
  <c r="E33" i="33"/>
  <c r="E32" i="33"/>
  <c r="E31" i="33"/>
  <c r="E30" i="33"/>
  <c r="E29" i="33"/>
  <c r="E28" i="33"/>
  <c r="E27" i="33"/>
  <c r="E26" i="33"/>
  <c r="E25" i="33"/>
  <c r="E24" i="33"/>
  <c r="E23" i="33"/>
  <c r="E22" i="33"/>
  <c r="E21" i="33"/>
  <c r="E20" i="33"/>
  <c r="E19" i="33"/>
  <c r="E18" i="33"/>
  <c r="E17" i="33"/>
  <c r="E16" i="33"/>
  <c r="E15" i="33"/>
  <c r="E14" i="33"/>
  <c r="E13" i="33"/>
  <c r="E12" i="33"/>
  <c r="I51" i="32"/>
  <c r="H51" i="32"/>
  <c r="G51" i="32"/>
  <c r="F51" i="32"/>
  <c r="J25" i="6"/>
  <c r="I25" i="6"/>
  <c r="H25" i="6"/>
  <c r="K25" i="6" s="1"/>
  <c r="I676" i="26"/>
  <c r="H676" i="26"/>
  <c r="G676" i="26"/>
  <c r="I675" i="26"/>
  <c r="H675" i="26"/>
  <c r="G675" i="26"/>
  <c r="I674" i="26"/>
  <c r="H674" i="26"/>
  <c r="G674" i="26"/>
  <c r="I673" i="26"/>
  <c r="H673" i="26"/>
  <c r="G673" i="26"/>
  <c r="I672" i="26"/>
  <c r="H672" i="26"/>
  <c r="G672" i="26"/>
  <c r="I671" i="26"/>
  <c r="H671" i="26"/>
  <c r="G671" i="26"/>
  <c r="I670" i="26"/>
  <c r="H670" i="26"/>
  <c r="G670" i="26"/>
  <c r="F675" i="26"/>
  <c r="F671" i="26"/>
  <c r="F670" i="26"/>
  <c r="BG2" i="23"/>
  <c r="BF2" i="23" s="1"/>
  <c r="BE2" i="23" s="1"/>
  <c r="BD2" i="23" s="1"/>
  <c r="BC2" i="23" s="1"/>
  <c r="BB2" i="23" s="1"/>
  <c r="BA2" i="23" s="1"/>
  <c r="AZ2" i="23" s="1"/>
  <c r="AY2" i="23" s="1"/>
  <c r="AX2" i="23" s="1"/>
  <c r="AW2" i="23" s="1"/>
  <c r="AV2" i="23" s="1"/>
  <c r="AU2" i="23" s="1"/>
  <c r="AT2" i="23" s="1"/>
  <c r="AS2" i="23" s="1"/>
  <c r="AR2" i="23" s="1"/>
  <c r="AQ2" i="23" s="1"/>
  <c r="AP2" i="23" s="1"/>
  <c r="AO2" i="23" s="1"/>
  <c r="AN2" i="23" s="1"/>
  <c r="AM2" i="23" s="1"/>
  <c r="AL2" i="23" s="1"/>
  <c r="AK2" i="23" s="1"/>
  <c r="AJ2" i="23" s="1"/>
  <c r="AI2" i="23" s="1"/>
  <c r="AH2" i="23" s="1"/>
  <c r="AG2" i="23" s="1"/>
  <c r="AF2" i="23" s="1"/>
  <c r="AE2" i="23" s="1"/>
  <c r="AD2" i="23" s="1"/>
  <c r="AC2" i="23" s="1"/>
  <c r="AB2" i="23" s="1"/>
  <c r="AA2" i="23" s="1"/>
  <c r="Z2" i="23" s="1"/>
  <c r="Y2" i="23" s="1"/>
  <c r="X2" i="23" s="1"/>
  <c r="W2" i="23" s="1"/>
  <c r="V2" i="23" s="1"/>
  <c r="U2" i="23" s="1"/>
  <c r="T2" i="23" s="1"/>
  <c r="S2" i="23" s="1"/>
  <c r="R2" i="23" s="1"/>
  <c r="Q2" i="23" s="1"/>
  <c r="P2" i="23" s="1"/>
  <c r="O2" i="23" s="1"/>
  <c r="N2" i="23" s="1"/>
  <c r="M2" i="23" s="1"/>
  <c r="L2" i="23" s="1"/>
  <c r="K2" i="23" s="1"/>
  <c r="J2" i="23" s="1"/>
  <c r="I2" i="23" s="1"/>
  <c r="H2" i="23" s="1"/>
  <c r="G2" i="23" s="1"/>
  <c r="M1049" i="21"/>
  <c r="K1049" i="21" s="1"/>
  <c r="M1048" i="21"/>
  <c r="K1048" i="21" s="1"/>
  <c r="M1047" i="21"/>
  <c r="K1047" i="21" s="1"/>
  <c r="M1046" i="21"/>
  <c r="K1046" i="21" s="1"/>
  <c r="M1045" i="21"/>
  <c r="K1045" i="21" s="1"/>
  <c r="M1044" i="21"/>
  <c r="K1044" i="21" s="1"/>
  <c r="M1043" i="21"/>
  <c r="K1043" i="21" s="1"/>
  <c r="AM83" i="34"/>
  <c r="AL83" i="34"/>
  <c r="AK83"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L83" i="34"/>
  <c r="K83" i="34"/>
  <c r="J83" i="34"/>
  <c r="I83" i="34"/>
  <c r="H83" i="34"/>
  <c r="G83" i="34"/>
  <c r="F83" i="34"/>
  <c r="E83" i="34"/>
  <c r="D83" i="34"/>
  <c r="D84" i="34" s="1"/>
  <c r="B4" i="34"/>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C3" i="34"/>
  <c r="R1198" i="21"/>
  <c r="R1197" i="21"/>
  <c r="R1196" i="21"/>
  <c r="R1195" i="21"/>
  <c r="R1194" i="21"/>
  <c r="R1193" i="21"/>
  <c r="R1192" i="21"/>
  <c r="R1191" i="21"/>
  <c r="R1190" i="21"/>
  <c r="R1189" i="21"/>
  <c r="R1188" i="21"/>
  <c r="R1187" i="21"/>
  <c r="R1186" i="21"/>
  <c r="R1185" i="21"/>
  <c r="R1184" i="21"/>
  <c r="R1183" i="21"/>
  <c r="R1182" i="21"/>
  <c r="R1181" i="21"/>
  <c r="R1180" i="21"/>
  <c r="R1179" i="21"/>
  <c r="R1178" i="21"/>
  <c r="R1177" i="21"/>
  <c r="R1176" i="21"/>
  <c r="R1175" i="21"/>
  <c r="R1173" i="21"/>
  <c r="R1172" i="21"/>
  <c r="R1171" i="21"/>
  <c r="R1170" i="21"/>
  <c r="R1169" i="21"/>
  <c r="R1168" i="21"/>
  <c r="R1167" i="21"/>
  <c r="R1166" i="21"/>
  <c r="R1165" i="21"/>
  <c r="R1164" i="21"/>
  <c r="R1163" i="21"/>
  <c r="R1162" i="21"/>
  <c r="R1161" i="21"/>
  <c r="R1160" i="21"/>
  <c r="R1159" i="21"/>
  <c r="R1157" i="21"/>
  <c r="R1156" i="21"/>
  <c r="R1155" i="21"/>
  <c r="R1154" i="21"/>
  <c r="R1153" i="21"/>
  <c r="R1152" i="21"/>
  <c r="R1151" i="21"/>
  <c r="R1150" i="21"/>
  <c r="R1149" i="21"/>
  <c r="R1148" i="21"/>
  <c r="R1147" i="21"/>
  <c r="R1146" i="21"/>
  <c r="R1145" i="21"/>
  <c r="R1144" i="21"/>
  <c r="R1143" i="21"/>
  <c r="R1142" i="21"/>
  <c r="R1141" i="21"/>
  <c r="R1140" i="21"/>
  <c r="R1139" i="21"/>
  <c r="R1138" i="21"/>
  <c r="R1137" i="21"/>
  <c r="R1136" i="21"/>
  <c r="R1135" i="21"/>
  <c r="R1134" i="21"/>
  <c r="R1133" i="21"/>
  <c r="R1132" i="21"/>
  <c r="R1131" i="21"/>
  <c r="R1130" i="21"/>
  <c r="R1129" i="21"/>
  <c r="R1128" i="21"/>
  <c r="R1127" i="21"/>
  <c r="R1126" i="21"/>
  <c r="R1125" i="21"/>
  <c r="R1124" i="21"/>
  <c r="R1123" i="21"/>
  <c r="R1122" i="21"/>
  <c r="R1121" i="21"/>
  <c r="R1120" i="21"/>
  <c r="R1119" i="21"/>
  <c r="R1118" i="21"/>
  <c r="R1117" i="21"/>
  <c r="R1116" i="21"/>
  <c r="R1115" i="21"/>
  <c r="R1114" i="21"/>
  <c r="R1113" i="21"/>
  <c r="R1112" i="21"/>
  <c r="R1111" i="21"/>
  <c r="R1110" i="21"/>
  <c r="R1109" i="21"/>
  <c r="R1108" i="21"/>
  <c r="R1107" i="21"/>
  <c r="R1106" i="21"/>
  <c r="R1105" i="21"/>
  <c r="R1104" i="21"/>
  <c r="R1103" i="21"/>
  <c r="R1102" i="21"/>
  <c r="R1101" i="21"/>
  <c r="R1100" i="21"/>
  <c r="R1099" i="21"/>
  <c r="R1098" i="21"/>
  <c r="R1097" i="21"/>
  <c r="R1096" i="21"/>
  <c r="R1095" i="21"/>
  <c r="R1094" i="21"/>
  <c r="R1093" i="21"/>
  <c r="R1092" i="21"/>
  <c r="R1091" i="21"/>
  <c r="R1090" i="21"/>
  <c r="R1089" i="21"/>
  <c r="R1088" i="21"/>
  <c r="R1087" i="21"/>
  <c r="R1086" i="21"/>
  <c r="R1085" i="21"/>
  <c r="R1084" i="21"/>
  <c r="R1083" i="21"/>
  <c r="R1082" i="21"/>
  <c r="R1081" i="21"/>
  <c r="R1080" i="21"/>
  <c r="R1079" i="21"/>
  <c r="R1078" i="21"/>
  <c r="R1077" i="21"/>
  <c r="R1076" i="21"/>
  <c r="R1075" i="21"/>
  <c r="R1074" i="21"/>
  <c r="R1073" i="21"/>
  <c r="R1072" i="21"/>
  <c r="R1071" i="21"/>
  <c r="R1070" i="21"/>
  <c r="R1069" i="21"/>
  <c r="R1068" i="21"/>
  <c r="R1067" i="21"/>
  <c r="R1066" i="21"/>
  <c r="R1065" i="21"/>
  <c r="R1064" i="21"/>
  <c r="R1063" i="21"/>
  <c r="R1062" i="21"/>
  <c r="R1061" i="21"/>
  <c r="R1060" i="21"/>
  <c r="R1059" i="21"/>
  <c r="R1058" i="21"/>
  <c r="R1057" i="21"/>
  <c r="R1056" i="21"/>
  <c r="R1055" i="21"/>
  <c r="R1054" i="21"/>
  <c r="R1053" i="21"/>
  <c r="R1052" i="21"/>
  <c r="R1051" i="21"/>
  <c r="R1050" i="21"/>
  <c r="R1049" i="21"/>
  <c r="R1048" i="21"/>
  <c r="R1047" i="21"/>
  <c r="R1046" i="21"/>
  <c r="R1045" i="21"/>
  <c r="R1044" i="21"/>
  <c r="R1043" i="21"/>
  <c r="R1042" i="21"/>
  <c r="R1041" i="21"/>
  <c r="R1040" i="21"/>
  <c r="R1039" i="21"/>
  <c r="R1038" i="21"/>
  <c r="R1037" i="21"/>
  <c r="R1036" i="21"/>
  <c r="R1035" i="21"/>
  <c r="R1034" i="21"/>
  <c r="R1033" i="21"/>
  <c r="R1032" i="21"/>
  <c r="R1031" i="21"/>
  <c r="R1030" i="21"/>
  <c r="R1029" i="21"/>
  <c r="R1028" i="21"/>
  <c r="R1027" i="21"/>
  <c r="R1026" i="21"/>
  <c r="R1025" i="21"/>
  <c r="R1024" i="21"/>
  <c r="R1023" i="21"/>
  <c r="R1022" i="21"/>
  <c r="R1021" i="21"/>
  <c r="R1020" i="21"/>
  <c r="R1019" i="21"/>
  <c r="R1018" i="21"/>
  <c r="R1017" i="21"/>
  <c r="R1016" i="21"/>
  <c r="R1015" i="21"/>
  <c r="R1014" i="21"/>
  <c r="R1013" i="21"/>
  <c r="R1012" i="21"/>
  <c r="R1011" i="21"/>
  <c r="R1010" i="21"/>
  <c r="R1009" i="21"/>
  <c r="R1008" i="21"/>
  <c r="R1007" i="21"/>
  <c r="R1006" i="21"/>
  <c r="R1005" i="21"/>
  <c r="R1004" i="21"/>
  <c r="R1003" i="21"/>
  <c r="R1002" i="21"/>
  <c r="R1001" i="21"/>
  <c r="R1000" i="21"/>
  <c r="R999" i="21"/>
  <c r="R998" i="21"/>
  <c r="R997" i="21"/>
  <c r="R996" i="21"/>
  <c r="R995" i="21"/>
  <c r="R994" i="21"/>
  <c r="R993" i="21"/>
  <c r="R992" i="21"/>
  <c r="R991" i="21"/>
  <c r="R990" i="21"/>
  <c r="R989" i="21"/>
  <c r="R988" i="21"/>
  <c r="R987" i="21"/>
  <c r="R986" i="21"/>
  <c r="R985" i="21"/>
  <c r="R984" i="21"/>
  <c r="R983" i="21"/>
  <c r="R982" i="21"/>
  <c r="R981" i="21"/>
  <c r="R980" i="21"/>
  <c r="R979" i="21"/>
  <c r="R978" i="21"/>
  <c r="R977" i="21"/>
  <c r="R976" i="21"/>
  <c r="R975" i="21"/>
  <c r="R974" i="21"/>
  <c r="R973" i="21"/>
  <c r="R972" i="21"/>
  <c r="R971" i="21"/>
  <c r="R970" i="21"/>
  <c r="R969" i="21"/>
  <c r="R968" i="21"/>
  <c r="R967" i="21"/>
  <c r="R966" i="21"/>
  <c r="R965" i="21"/>
  <c r="R964" i="21"/>
  <c r="R963" i="21"/>
  <c r="R962" i="21"/>
  <c r="R961" i="21"/>
  <c r="R960" i="21"/>
  <c r="R959" i="21"/>
  <c r="R958" i="21"/>
  <c r="R957" i="21"/>
  <c r="R956" i="21"/>
  <c r="R955" i="21"/>
  <c r="R954" i="21"/>
  <c r="R953" i="21"/>
  <c r="R952" i="21"/>
  <c r="R951" i="21"/>
  <c r="R950" i="21"/>
  <c r="R949" i="21"/>
  <c r="R948" i="21"/>
  <c r="R947" i="21"/>
  <c r="R946" i="21"/>
  <c r="R945" i="21"/>
  <c r="R944" i="21"/>
  <c r="R943" i="21"/>
  <c r="R942" i="21"/>
  <c r="R941" i="21"/>
  <c r="R940" i="21"/>
  <c r="R939" i="21"/>
  <c r="R938" i="21"/>
  <c r="R937" i="21"/>
  <c r="R936" i="21"/>
  <c r="R935" i="21"/>
  <c r="R934" i="21"/>
  <c r="R933" i="21"/>
  <c r="R932" i="21"/>
  <c r="R931" i="21"/>
  <c r="R930" i="21"/>
  <c r="R929" i="21"/>
  <c r="R928" i="21"/>
  <c r="R927" i="21"/>
  <c r="R926" i="21"/>
  <c r="R925" i="21"/>
  <c r="R924" i="21"/>
  <c r="R923" i="21"/>
  <c r="R922" i="21"/>
  <c r="R921" i="21"/>
  <c r="R920" i="21"/>
  <c r="R919" i="21"/>
  <c r="R918" i="21"/>
  <c r="R917" i="21"/>
  <c r="R916" i="21"/>
  <c r="R915" i="21"/>
  <c r="R914" i="21"/>
  <c r="R913" i="21"/>
  <c r="R912" i="21"/>
  <c r="R911" i="21"/>
  <c r="R910" i="21"/>
  <c r="R909" i="21"/>
  <c r="R908" i="21"/>
  <c r="R907" i="21"/>
  <c r="R906" i="21"/>
  <c r="R905" i="21"/>
  <c r="R904" i="21"/>
  <c r="R903" i="21"/>
  <c r="R902" i="21"/>
  <c r="R901" i="21"/>
  <c r="R900" i="21"/>
  <c r="R899" i="21"/>
  <c r="R898" i="21"/>
  <c r="R897" i="21"/>
  <c r="R896" i="21"/>
  <c r="R895" i="21"/>
  <c r="R894" i="21"/>
  <c r="R893" i="21"/>
  <c r="R892" i="21"/>
  <c r="R891" i="21"/>
  <c r="R890" i="21"/>
  <c r="R889" i="21"/>
  <c r="R888" i="21"/>
  <c r="R887" i="21"/>
  <c r="R886" i="21"/>
  <c r="R885" i="21"/>
  <c r="R884" i="21"/>
  <c r="R883" i="21"/>
  <c r="R882" i="21"/>
  <c r="R881" i="21"/>
  <c r="R880" i="21"/>
  <c r="R879" i="21"/>
  <c r="R878" i="21"/>
  <c r="R877" i="21"/>
  <c r="R876" i="21"/>
  <c r="R875" i="21"/>
  <c r="R874" i="21"/>
  <c r="R873" i="21"/>
  <c r="R872" i="21"/>
  <c r="R871" i="21"/>
  <c r="R870" i="21"/>
  <c r="R869" i="21"/>
  <c r="R868" i="21"/>
  <c r="R867" i="21"/>
  <c r="R866" i="21"/>
  <c r="R865" i="21"/>
  <c r="R864" i="21"/>
  <c r="R863" i="21"/>
  <c r="R862" i="21"/>
  <c r="R861" i="21"/>
  <c r="R860" i="21"/>
  <c r="R859" i="21"/>
  <c r="R858" i="21"/>
  <c r="R857" i="21"/>
  <c r="R856" i="21"/>
  <c r="R855" i="21"/>
  <c r="R854" i="21"/>
  <c r="R853" i="21"/>
  <c r="R852" i="21"/>
  <c r="R851" i="21"/>
  <c r="R850" i="21"/>
  <c r="R849" i="21"/>
  <c r="R848" i="21"/>
  <c r="R847" i="21"/>
  <c r="R846" i="21"/>
  <c r="R845" i="21"/>
  <c r="R844" i="21"/>
  <c r="R843" i="21"/>
  <c r="R842" i="21"/>
  <c r="R841" i="21"/>
  <c r="R840" i="21"/>
  <c r="R839" i="21"/>
  <c r="R838" i="21"/>
  <c r="R837" i="21"/>
  <c r="R836" i="21"/>
  <c r="R835" i="21"/>
  <c r="R834" i="21"/>
  <c r="R833" i="21"/>
  <c r="R832" i="21"/>
  <c r="R831" i="21"/>
  <c r="R830" i="21"/>
  <c r="R829" i="21"/>
  <c r="R828" i="21"/>
  <c r="R827" i="21"/>
  <c r="R826" i="21"/>
  <c r="R825" i="21"/>
  <c r="R824" i="21"/>
  <c r="R823" i="21"/>
  <c r="R822" i="21"/>
  <c r="R821" i="21"/>
  <c r="R820" i="21"/>
  <c r="R819" i="21"/>
  <c r="R818" i="21"/>
  <c r="R817" i="21"/>
  <c r="R816" i="21"/>
  <c r="R815" i="21"/>
  <c r="R814" i="21"/>
  <c r="R813" i="21"/>
  <c r="R812" i="21"/>
  <c r="R811" i="21"/>
  <c r="R810" i="21"/>
  <c r="R809" i="21"/>
  <c r="R808" i="21"/>
  <c r="R807" i="21"/>
  <c r="R806" i="21"/>
  <c r="R805" i="21"/>
  <c r="R804" i="21"/>
  <c r="R803" i="21"/>
  <c r="R802" i="21"/>
  <c r="R801" i="21"/>
  <c r="R800" i="21"/>
  <c r="R799" i="21"/>
  <c r="R798" i="21"/>
  <c r="R797" i="21"/>
  <c r="R796" i="21"/>
  <c r="R795" i="21"/>
  <c r="R794" i="21"/>
  <c r="R793" i="21"/>
  <c r="R792" i="21"/>
  <c r="R791" i="21"/>
  <c r="R790" i="21"/>
  <c r="R789" i="21"/>
  <c r="R788" i="21"/>
  <c r="R787" i="21"/>
  <c r="R786" i="21"/>
  <c r="R785" i="21"/>
  <c r="R784" i="21"/>
  <c r="R783" i="21"/>
  <c r="R782" i="21"/>
  <c r="R781" i="21"/>
  <c r="R780" i="21"/>
  <c r="R779" i="21"/>
  <c r="R778" i="21"/>
  <c r="R777" i="21"/>
  <c r="R776" i="21"/>
  <c r="R775" i="21"/>
  <c r="R774" i="21"/>
  <c r="R773" i="21"/>
  <c r="R772" i="21"/>
  <c r="R771" i="21"/>
  <c r="R770" i="21"/>
  <c r="R769" i="21"/>
  <c r="R768" i="21"/>
  <c r="R767" i="21"/>
  <c r="R766" i="21"/>
  <c r="R765" i="21"/>
  <c r="R764" i="21"/>
  <c r="R763" i="21"/>
  <c r="R762" i="21"/>
  <c r="R761" i="21"/>
  <c r="R760" i="21"/>
  <c r="R759" i="21"/>
  <c r="R758" i="21"/>
  <c r="R757" i="21"/>
  <c r="R756" i="21"/>
  <c r="R755" i="21"/>
  <c r="R754" i="21"/>
  <c r="R753" i="21"/>
  <c r="R752" i="21"/>
  <c r="R751" i="21"/>
  <c r="R750" i="21"/>
  <c r="R749" i="21"/>
  <c r="R748" i="21"/>
  <c r="R747" i="21"/>
  <c r="R746" i="21"/>
  <c r="R745" i="21"/>
  <c r="R744" i="21"/>
  <c r="R743" i="21"/>
  <c r="R742" i="21"/>
  <c r="R741" i="21"/>
  <c r="R740" i="21"/>
  <c r="R739" i="21"/>
  <c r="R738" i="21"/>
  <c r="R737" i="21"/>
  <c r="R736" i="21"/>
  <c r="R735" i="21"/>
  <c r="R734" i="21"/>
  <c r="R733" i="21"/>
  <c r="R732" i="21"/>
  <c r="R731" i="21"/>
  <c r="R730" i="21"/>
  <c r="R729" i="21"/>
  <c r="R728" i="21"/>
  <c r="R727" i="21"/>
  <c r="R726" i="21"/>
  <c r="R725" i="21"/>
  <c r="R724" i="21"/>
  <c r="R723" i="21"/>
  <c r="R722" i="21"/>
  <c r="R721" i="21"/>
  <c r="R720" i="21"/>
  <c r="R719" i="21"/>
  <c r="R718" i="21"/>
  <c r="R717" i="21"/>
  <c r="R716" i="21"/>
  <c r="R715" i="21"/>
  <c r="R714" i="21"/>
  <c r="R713" i="21"/>
  <c r="R712" i="21"/>
  <c r="R711" i="21"/>
  <c r="R710" i="21"/>
  <c r="R709" i="21"/>
  <c r="R708" i="21"/>
  <c r="R707" i="21"/>
  <c r="R706" i="21"/>
  <c r="R705" i="21"/>
  <c r="R704" i="21"/>
  <c r="R703" i="21"/>
  <c r="R702" i="21"/>
  <c r="R701" i="21"/>
  <c r="R700" i="21"/>
  <c r="R699" i="21"/>
  <c r="R698" i="21"/>
  <c r="R697" i="21"/>
  <c r="R696" i="21"/>
  <c r="R695" i="21"/>
  <c r="R694" i="21"/>
  <c r="R693" i="21"/>
  <c r="R692" i="21"/>
  <c r="R691" i="21"/>
  <c r="R690" i="21"/>
  <c r="R689" i="21"/>
  <c r="R688" i="21"/>
  <c r="R687" i="21"/>
  <c r="R686" i="21"/>
  <c r="R685" i="21"/>
  <c r="R684" i="21"/>
  <c r="R683" i="21"/>
  <c r="R682" i="21"/>
  <c r="R681" i="21"/>
  <c r="R680" i="21"/>
  <c r="R679" i="21"/>
  <c r="R678" i="21"/>
  <c r="R677" i="21"/>
  <c r="R676" i="21"/>
  <c r="R675" i="21"/>
  <c r="R674" i="21"/>
  <c r="R673" i="21"/>
  <c r="R672" i="21"/>
  <c r="R671" i="21"/>
  <c r="R670" i="21"/>
  <c r="R669" i="21"/>
  <c r="R668" i="21"/>
  <c r="R667" i="21"/>
  <c r="R666" i="21"/>
  <c r="R665" i="21"/>
  <c r="R664" i="21"/>
  <c r="R663" i="21"/>
  <c r="R662" i="21"/>
  <c r="R661" i="21"/>
  <c r="R660" i="21"/>
  <c r="R659" i="21"/>
  <c r="R658" i="21"/>
  <c r="R657" i="21"/>
  <c r="R656" i="21"/>
  <c r="R655" i="21"/>
  <c r="R654" i="21"/>
  <c r="R653" i="21"/>
  <c r="R652" i="21"/>
  <c r="R651" i="21"/>
  <c r="R650" i="21"/>
  <c r="R649" i="21"/>
  <c r="R648" i="21"/>
  <c r="R647" i="21"/>
  <c r="R646" i="21"/>
  <c r="R645" i="21"/>
  <c r="R644" i="21"/>
  <c r="R643" i="21"/>
  <c r="R642" i="21"/>
  <c r="R641" i="21"/>
  <c r="R640" i="21"/>
  <c r="R639" i="21"/>
  <c r="R638" i="21"/>
  <c r="R637" i="21"/>
  <c r="R636" i="21"/>
  <c r="R635" i="21"/>
  <c r="R634" i="21"/>
  <c r="R633" i="21"/>
  <c r="R632" i="21"/>
  <c r="R631" i="21"/>
  <c r="R630" i="21"/>
  <c r="R629" i="21"/>
  <c r="R628" i="21"/>
  <c r="R627" i="21"/>
  <c r="R626" i="21"/>
  <c r="R625" i="21"/>
  <c r="R624" i="21"/>
  <c r="R623" i="21"/>
  <c r="R622" i="21"/>
  <c r="R621" i="21"/>
  <c r="R620" i="21"/>
  <c r="R619" i="21"/>
  <c r="R618" i="21"/>
  <c r="R617" i="21"/>
  <c r="R616" i="21"/>
  <c r="R615" i="21"/>
  <c r="R614" i="21"/>
  <c r="R613" i="21"/>
  <c r="R612" i="21"/>
  <c r="R611" i="21"/>
  <c r="R610" i="21"/>
  <c r="R609" i="21"/>
  <c r="R608" i="21"/>
  <c r="R607" i="21"/>
  <c r="R606" i="21"/>
  <c r="R605" i="21"/>
  <c r="R604" i="21"/>
  <c r="R603" i="21"/>
  <c r="R602" i="21"/>
  <c r="R601" i="21"/>
  <c r="R600" i="21"/>
  <c r="R599" i="21"/>
  <c r="R598" i="21"/>
  <c r="R597" i="21"/>
  <c r="R596" i="21"/>
  <c r="R595" i="21"/>
  <c r="R594" i="21"/>
  <c r="R593" i="21"/>
  <c r="R592" i="21"/>
  <c r="R591" i="21"/>
  <c r="R590" i="21"/>
  <c r="R589" i="21"/>
  <c r="R588" i="21"/>
  <c r="R587" i="21"/>
  <c r="R586" i="21"/>
  <c r="R585" i="21"/>
  <c r="R584" i="21"/>
  <c r="R583" i="21"/>
  <c r="R582" i="21"/>
  <c r="R581" i="21"/>
  <c r="R580" i="21"/>
  <c r="R579" i="21"/>
  <c r="R578" i="21"/>
  <c r="R577" i="21"/>
  <c r="R576" i="21"/>
  <c r="R575" i="21"/>
  <c r="R574" i="21"/>
  <c r="R573" i="21"/>
  <c r="R572" i="21"/>
  <c r="R571" i="21"/>
  <c r="R570" i="21"/>
  <c r="R569" i="21"/>
  <c r="R568" i="21"/>
  <c r="R567" i="21"/>
  <c r="R566" i="21"/>
  <c r="R565" i="21"/>
  <c r="R564" i="21"/>
  <c r="R563" i="21"/>
  <c r="R562" i="21"/>
  <c r="R561" i="21"/>
  <c r="R560" i="21"/>
  <c r="R559" i="21"/>
  <c r="R558" i="21"/>
  <c r="R557" i="21"/>
  <c r="R556" i="21"/>
  <c r="R555" i="21"/>
  <c r="R554" i="21"/>
  <c r="R553" i="21"/>
  <c r="R552" i="21"/>
  <c r="R551" i="21"/>
  <c r="R550" i="21"/>
  <c r="R549" i="21"/>
  <c r="R548" i="21"/>
  <c r="R547" i="21"/>
  <c r="R546" i="21"/>
  <c r="R545" i="21"/>
  <c r="R544" i="21"/>
  <c r="R543" i="21"/>
  <c r="R542" i="21"/>
  <c r="R541" i="21"/>
  <c r="R540" i="21"/>
  <c r="R539" i="21"/>
  <c r="R538" i="21"/>
  <c r="R537" i="21"/>
  <c r="R536" i="21"/>
  <c r="R535" i="21"/>
  <c r="R534" i="21"/>
  <c r="R533" i="21"/>
  <c r="R532" i="21"/>
  <c r="R531" i="21"/>
  <c r="R530" i="21"/>
  <c r="R529" i="21"/>
  <c r="R528" i="21"/>
  <c r="R527" i="21"/>
  <c r="R526" i="21"/>
  <c r="R525" i="21"/>
  <c r="R524" i="21"/>
  <c r="R523" i="21"/>
  <c r="R522" i="21"/>
  <c r="R521" i="21"/>
  <c r="R520" i="21"/>
  <c r="R519" i="21"/>
  <c r="R518" i="21"/>
  <c r="R517" i="21"/>
  <c r="R516" i="21"/>
  <c r="R515" i="21"/>
  <c r="R514" i="21"/>
  <c r="R513" i="21"/>
  <c r="R512" i="21"/>
  <c r="R511" i="21"/>
  <c r="R510" i="21"/>
  <c r="R509" i="21"/>
  <c r="R508" i="21"/>
  <c r="R507" i="21"/>
  <c r="R506" i="21"/>
  <c r="R505" i="21"/>
  <c r="R504" i="21"/>
  <c r="R503" i="21"/>
  <c r="R502" i="21"/>
  <c r="R501" i="21"/>
  <c r="R500" i="21"/>
  <c r="R499" i="21"/>
  <c r="R498" i="21"/>
  <c r="R497" i="21"/>
  <c r="R496" i="21"/>
  <c r="R495" i="21"/>
  <c r="R494" i="21"/>
  <c r="R493" i="21"/>
  <c r="R492" i="21"/>
  <c r="R491" i="21"/>
  <c r="R490" i="21"/>
  <c r="R489" i="21"/>
  <c r="R488" i="21"/>
  <c r="R487" i="21"/>
  <c r="R486" i="21"/>
  <c r="R485" i="21"/>
  <c r="R484" i="21"/>
  <c r="R483" i="21"/>
  <c r="R482" i="21"/>
  <c r="R481" i="21"/>
  <c r="R480" i="21"/>
  <c r="R479" i="21"/>
  <c r="R478" i="21"/>
  <c r="R477" i="21"/>
  <c r="R476" i="21"/>
  <c r="R475" i="21"/>
  <c r="R474" i="21"/>
  <c r="R473" i="21"/>
  <c r="R472" i="21"/>
  <c r="R471" i="21"/>
  <c r="R470" i="21"/>
  <c r="R469" i="21"/>
  <c r="R468" i="21"/>
  <c r="R467" i="21"/>
  <c r="R466" i="21"/>
  <c r="R465" i="21"/>
  <c r="R464" i="21"/>
  <c r="R463" i="21"/>
  <c r="R462" i="21"/>
  <c r="R461" i="21"/>
  <c r="R460" i="21"/>
  <c r="R459" i="21"/>
  <c r="R458" i="21"/>
  <c r="R457" i="21"/>
  <c r="R456" i="21"/>
  <c r="R455" i="21"/>
  <c r="R454" i="21"/>
  <c r="R453" i="21"/>
  <c r="R452" i="21"/>
  <c r="R451" i="21"/>
  <c r="R450" i="21"/>
  <c r="R449" i="21"/>
  <c r="R448" i="21"/>
  <c r="R447" i="21"/>
  <c r="R446" i="21"/>
  <c r="R445" i="21"/>
  <c r="R444" i="21"/>
  <c r="R443" i="21"/>
  <c r="R442" i="21"/>
  <c r="R441" i="21"/>
  <c r="R440" i="21"/>
  <c r="R439" i="21"/>
  <c r="R438" i="21"/>
  <c r="R437" i="21"/>
  <c r="R436" i="21"/>
  <c r="R435" i="21"/>
  <c r="R434" i="21"/>
  <c r="R433" i="21"/>
  <c r="R432" i="21"/>
  <c r="R431" i="21"/>
  <c r="R430" i="21"/>
  <c r="R429" i="21"/>
  <c r="R428" i="21"/>
  <c r="R427" i="21"/>
  <c r="R426" i="21"/>
  <c r="R425" i="21"/>
  <c r="R424" i="21"/>
  <c r="R423" i="21"/>
  <c r="R422" i="21"/>
  <c r="R421" i="21"/>
  <c r="R420" i="21"/>
  <c r="R419" i="21"/>
  <c r="R418" i="21"/>
  <c r="R417" i="21"/>
  <c r="R416" i="21"/>
  <c r="R415" i="21"/>
  <c r="R414" i="21"/>
  <c r="R413" i="21"/>
  <c r="R412" i="21"/>
  <c r="R411" i="21"/>
  <c r="R410" i="21"/>
  <c r="R409" i="21"/>
  <c r="R408" i="21"/>
  <c r="R407" i="21"/>
  <c r="R406" i="21"/>
  <c r="R405" i="21"/>
  <c r="R404" i="21"/>
  <c r="R403" i="21"/>
  <c r="R402" i="21"/>
  <c r="R401" i="21"/>
  <c r="R400" i="21"/>
  <c r="R399" i="21"/>
  <c r="R398" i="21"/>
  <c r="R397" i="21"/>
  <c r="R396" i="21"/>
  <c r="R395" i="21"/>
  <c r="R394" i="21"/>
  <c r="R393" i="21"/>
  <c r="R392" i="21"/>
  <c r="R391" i="21"/>
  <c r="R390" i="21"/>
  <c r="R389" i="21"/>
  <c r="R388" i="21"/>
  <c r="R387" i="21"/>
  <c r="R386" i="21"/>
  <c r="R385" i="21"/>
  <c r="R384" i="21"/>
  <c r="R383" i="21"/>
  <c r="R382" i="21"/>
  <c r="R381" i="21"/>
  <c r="R380" i="21"/>
  <c r="R379" i="21"/>
  <c r="R378" i="21"/>
  <c r="R377" i="21"/>
  <c r="R376" i="21"/>
  <c r="R375" i="21"/>
  <c r="R374" i="21"/>
  <c r="R373" i="21"/>
  <c r="R372" i="21"/>
  <c r="R371" i="21"/>
  <c r="R370" i="21"/>
  <c r="R369" i="21"/>
  <c r="R368" i="21"/>
  <c r="R367" i="21"/>
  <c r="R366" i="21"/>
  <c r="R365" i="21"/>
  <c r="R364" i="21"/>
  <c r="R363" i="21"/>
  <c r="R362" i="21"/>
  <c r="R361" i="21"/>
  <c r="R360" i="21"/>
  <c r="R359" i="21"/>
  <c r="R358" i="21"/>
  <c r="R357" i="21"/>
  <c r="R356" i="21"/>
  <c r="R355" i="21"/>
  <c r="R354" i="21"/>
  <c r="R353" i="21"/>
  <c r="R352" i="21"/>
  <c r="R351" i="21"/>
  <c r="R350" i="21"/>
  <c r="R349" i="21"/>
  <c r="R348" i="21"/>
  <c r="R347" i="21"/>
  <c r="R346" i="21"/>
  <c r="R345" i="21"/>
  <c r="R344" i="21"/>
  <c r="R343" i="21"/>
  <c r="R342" i="21"/>
  <c r="R341" i="21"/>
  <c r="R340" i="21"/>
  <c r="R339" i="21"/>
  <c r="R338" i="21"/>
  <c r="R337" i="21"/>
  <c r="R336" i="21"/>
  <c r="R335" i="21"/>
  <c r="R334" i="21"/>
  <c r="R333" i="21"/>
  <c r="R332" i="21"/>
  <c r="R331" i="21"/>
  <c r="R330" i="21"/>
  <c r="R329" i="21"/>
  <c r="R328" i="21"/>
  <c r="R327" i="21"/>
  <c r="R326" i="21"/>
  <c r="R325" i="21"/>
  <c r="R324" i="21"/>
  <c r="R323" i="21"/>
  <c r="R322" i="21"/>
  <c r="R321" i="21"/>
  <c r="R320" i="21"/>
  <c r="R319" i="21"/>
  <c r="R318" i="21"/>
  <c r="R317" i="21"/>
  <c r="R316" i="21"/>
  <c r="R315" i="21"/>
  <c r="R314" i="21"/>
  <c r="R313" i="21"/>
  <c r="R312" i="21"/>
  <c r="R311" i="21"/>
  <c r="R310" i="21"/>
  <c r="R309" i="21"/>
  <c r="R308" i="21"/>
  <c r="R307" i="21"/>
  <c r="R306" i="21"/>
  <c r="R305" i="21"/>
  <c r="R304" i="21"/>
  <c r="R303" i="21"/>
  <c r="R302" i="21"/>
  <c r="R301" i="21"/>
  <c r="R300" i="21"/>
  <c r="R299" i="21"/>
  <c r="R298" i="21"/>
  <c r="R297" i="21"/>
  <c r="R296" i="21"/>
  <c r="R295" i="21"/>
  <c r="R294" i="21"/>
  <c r="R293" i="21"/>
  <c r="R292" i="21"/>
  <c r="R291" i="21"/>
  <c r="R290" i="21"/>
  <c r="R289" i="21"/>
  <c r="R288" i="21"/>
  <c r="R287" i="21"/>
  <c r="R286" i="21"/>
  <c r="R285" i="21"/>
  <c r="R284" i="21"/>
  <c r="R283" i="21"/>
  <c r="R282" i="21"/>
  <c r="R281" i="21"/>
  <c r="R280" i="21"/>
  <c r="R279" i="21"/>
  <c r="R278" i="21"/>
  <c r="R277" i="21"/>
  <c r="R276" i="21"/>
  <c r="R275" i="21"/>
  <c r="R274" i="21"/>
  <c r="R273" i="21"/>
  <c r="R272" i="21"/>
  <c r="R271" i="21"/>
  <c r="R270" i="21"/>
  <c r="R269" i="21"/>
  <c r="R268" i="21"/>
  <c r="R267" i="21"/>
  <c r="R266" i="21"/>
  <c r="R265" i="21"/>
  <c r="R264" i="21"/>
  <c r="R263" i="21"/>
  <c r="R262" i="21"/>
  <c r="R261" i="21"/>
  <c r="R260" i="21"/>
  <c r="R259" i="21"/>
  <c r="R258" i="21"/>
  <c r="R257" i="21"/>
  <c r="R256" i="21"/>
  <c r="R255" i="21"/>
  <c r="R254" i="21"/>
  <c r="R253" i="21"/>
  <c r="R252" i="21"/>
  <c r="R251" i="21"/>
  <c r="R250" i="21"/>
  <c r="R249" i="21"/>
  <c r="R248" i="21"/>
  <c r="R247" i="21"/>
  <c r="R246" i="21"/>
  <c r="R245" i="21"/>
  <c r="R244" i="21"/>
  <c r="R243" i="21"/>
  <c r="R242" i="21"/>
  <c r="R241" i="21"/>
  <c r="R240" i="21"/>
  <c r="R239" i="21"/>
  <c r="R238" i="21"/>
  <c r="R237" i="21"/>
  <c r="R236" i="21"/>
  <c r="R235" i="21"/>
  <c r="R234" i="21"/>
  <c r="R233" i="21"/>
  <c r="R232" i="21"/>
  <c r="R231" i="21"/>
  <c r="R230" i="21"/>
  <c r="R229" i="21"/>
  <c r="R228" i="21"/>
  <c r="R227" i="21"/>
  <c r="R226" i="21"/>
  <c r="R225" i="21"/>
  <c r="R224" i="21"/>
  <c r="R223" i="21"/>
  <c r="R222" i="21"/>
  <c r="R221" i="21"/>
  <c r="R220" i="21"/>
  <c r="R219" i="21"/>
  <c r="R218" i="21"/>
  <c r="R217" i="21"/>
  <c r="R216" i="21"/>
  <c r="R215" i="21"/>
  <c r="R214" i="21"/>
  <c r="R213" i="21"/>
  <c r="R212" i="21"/>
  <c r="R211" i="21"/>
  <c r="R210" i="21"/>
  <c r="R209" i="21"/>
  <c r="R208" i="21"/>
  <c r="R207" i="21"/>
  <c r="R206" i="21"/>
  <c r="R205" i="21"/>
  <c r="R204" i="21"/>
  <c r="R203" i="21"/>
  <c r="R202" i="21"/>
  <c r="R201" i="21"/>
  <c r="R200" i="21"/>
  <c r="R199" i="21"/>
  <c r="R198" i="21"/>
  <c r="R197" i="21"/>
  <c r="R196" i="21"/>
  <c r="R195" i="21"/>
  <c r="R194" i="21"/>
  <c r="R193" i="21"/>
  <c r="R192" i="21"/>
  <c r="R191" i="21"/>
  <c r="R190" i="21"/>
  <c r="R189" i="21"/>
  <c r="R188" i="21"/>
  <c r="R187" i="21"/>
  <c r="R186" i="21"/>
  <c r="R185" i="21"/>
  <c r="R184" i="21"/>
  <c r="R183" i="21"/>
  <c r="R182" i="21"/>
  <c r="R181" i="21"/>
  <c r="R180" i="21"/>
  <c r="R179" i="21"/>
  <c r="R178" i="21"/>
  <c r="R177" i="21"/>
  <c r="R176" i="21"/>
  <c r="R175" i="21"/>
  <c r="R174" i="21"/>
  <c r="R173" i="21"/>
  <c r="R172" i="21"/>
  <c r="R171" i="21"/>
  <c r="R170" i="21"/>
  <c r="R169" i="21"/>
  <c r="R168" i="21"/>
  <c r="R167" i="21"/>
  <c r="R166" i="21"/>
  <c r="R165" i="21"/>
  <c r="R164" i="21"/>
  <c r="R163" i="21"/>
  <c r="R162" i="21"/>
  <c r="R161" i="21"/>
  <c r="R160" i="21"/>
  <c r="R159" i="21"/>
  <c r="R158" i="21"/>
  <c r="R157" i="21"/>
  <c r="R156" i="21"/>
  <c r="R155" i="21"/>
  <c r="R154" i="21"/>
  <c r="R153" i="21"/>
  <c r="R152" i="21"/>
  <c r="R151" i="21"/>
  <c r="R150" i="21"/>
  <c r="R149" i="21"/>
  <c r="R148" i="21"/>
  <c r="R147" i="21"/>
  <c r="R146" i="21"/>
  <c r="R145" i="21"/>
  <c r="R144" i="21"/>
  <c r="R143" i="21"/>
  <c r="R142" i="21"/>
  <c r="R141" i="21"/>
  <c r="R140" i="21"/>
  <c r="R139" i="21"/>
  <c r="R138" i="21"/>
  <c r="R137" i="21"/>
  <c r="R136" i="21"/>
  <c r="R135" i="21"/>
  <c r="R134" i="21"/>
  <c r="R133" i="21"/>
  <c r="R132" i="21"/>
  <c r="R131" i="21"/>
  <c r="R130" i="21"/>
  <c r="R129" i="21"/>
  <c r="R128" i="21"/>
  <c r="R127" i="21"/>
  <c r="R126" i="21"/>
  <c r="R125" i="21"/>
  <c r="R124" i="21"/>
  <c r="R123" i="21"/>
  <c r="R122" i="21"/>
  <c r="R121" i="21"/>
  <c r="R120" i="21"/>
  <c r="R119" i="21"/>
  <c r="R118" i="21"/>
  <c r="R117" i="21"/>
  <c r="R116" i="21"/>
  <c r="R115" i="21"/>
  <c r="R114" i="21"/>
  <c r="R113" i="21"/>
  <c r="R112" i="21"/>
  <c r="R111" i="21"/>
  <c r="R110" i="21"/>
  <c r="R109" i="21"/>
  <c r="R108" i="21"/>
  <c r="R107" i="21"/>
  <c r="R106" i="21"/>
  <c r="R105" i="21"/>
  <c r="R104" i="21"/>
  <c r="R103" i="21"/>
  <c r="R102" i="21"/>
  <c r="R101" i="21"/>
  <c r="R100" i="21"/>
  <c r="R99" i="21"/>
  <c r="R98" i="21"/>
  <c r="R97" i="21"/>
  <c r="R96" i="21"/>
  <c r="R95" i="21"/>
  <c r="R94" i="21"/>
  <c r="R93" i="21"/>
  <c r="R92" i="21"/>
  <c r="R91" i="21"/>
  <c r="R90" i="21"/>
  <c r="R89" i="21"/>
  <c r="R88" i="21"/>
  <c r="R87" i="21"/>
  <c r="R86" i="21"/>
  <c r="R85" i="21"/>
  <c r="R84" i="21"/>
  <c r="R83" i="21"/>
  <c r="R82" i="21"/>
  <c r="R81" i="21"/>
  <c r="R80" i="21"/>
  <c r="R79" i="21"/>
  <c r="R78" i="21"/>
  <c r="R77" i="21"/>
  <c r="R76" i="21"/>
  <c r="R75" i="21"/>
  <c r="R74" i="21"/>
  <c r="R73" i="21"/>
  <c r="R72" i="21"/>
  <c r="R71" i="21"/>
  <c r="R70" i="21"/>
  <c r="R69" i="21"/>
  <c r="R68" i="21"/>
  <c r="R67" i="21"/>
  <c r="R66" i="21"/>
  <c r="R65" i="21"/>
  <c r="R64" i="21"/>
  <c r="R63" i="21"/>
  <c r="R62" i="21"/>
  <c r="R61" i="21"/>
  <c r="R60" i="21"/>
  <c r="R59" i="21"/>
  <c r="R58"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R6" i="21"/>
  <c r="R5" i="21"/>
  <c r="I237" i="30"/>
  <c r="H237" i="30"/>
  <c r="G237" i="30"/>
  <c r="F237" i="30"/>
  <c r="L370" i="15" l="1"/>
  <c r="H370" i="15"/>
  <c r="D370" i="15"/>
  <c r="L369" i="15"/>
  <c r="H369" i="15"/>
  <c r="D369" i="15"/>
  <c r="L368" i="15"/>
  <c r="H368" i="15"/>
  <c r="D368" i="15"/>
  <c r="L367" i="15"/>
  <c r="H367" i="15"/>
  <c r="D367" i="15"/>
  <c r="L366" i="15"/>
  <c r="H366" i="15"/>
  <c r="D366" i="15"/>
  <c r="L365" i="15"/>
  <c r="H365" i="15"/>
  <c r="D365" i="15"/>
  <c r="K370" i="15"/>
  <c r="G370" i="15"/>
  <c r="C370" i="15"/>
  <c r="K369" i="15"/>
  <c r="G369" i="15"/>
  <c r="C369" i="15"/>
  <c r="K368" i="15"/>
  <c r="G368" i="15"/>
  <c r="C368" i="15"/>
  <c r="K367" i="15"/>
  <c r="G367" i="15"/>
  <c r="C367" i="15"/>
  <c r="K366" i="15"/>
  <c r="G366" i="15"/>
  <c r="C366" i="15"/>
  <c r="K365" i="15"/>
  <c r="G365" i="15"/>
  <c r="C365" i="15"/>
  <c r="J370" i="15"/>
  <c r="F370" i="15"/>
  <c r="B370" i="15"/>
  <c r="J369" i="15"/>
  <c r="F369" i="15"/>
  <c r="B369" i="15"/>
  <c r="J368" i="15"/>
  <c r="F368" i="15"/>
  <c r="B368" i="15"/>
  <c r="J367" i="15"/>
  <c r="F367" i="15"/>
  <c r="B367" i="15"/>
  <c r="J366" i="15"/>
  <c r="F366" i="15"/>
  <c r="B366" i="15"/>
  <c r="J365" i="15"/>
  <c r="F365" i="15"/>
  <c r="B365" i="15"/>
  <c r="M370" i="15"/>
  <c r="I370" i="15"/>
  <c r="E370" i="15"/>
  <c r="M369" i="15"/>
  <c r="I369" i="15"/>
  <c r="E369" i="15"/>
  <c r="M368" i="15"/>
  <c r="I368" i="15"/>
  <c r="E368" i="15"/>
  <c r="M367" i="15"/>
  <c r="I367" i="15"/>
  <c r="E367" i="15"/>
  <c r="M366" i="15"/>
  <c r="I366" i="15"/>
  <c r="E366" i="15"/>
  <c r="M365" i="15"/>
  <c r="I365" i="15"/>
  <c r="E365" i="15"/>
  <c r="E84" i="34"/>
  <c r="F84" i="34" s="1"/>
  <c r="G84" i="34" s="1"/>
  <c r="H84" i="34" s="1"/>
  <c r="I84" i="34" s="1"/>
  <c r="J84" i="34" s="1"/>
  <c r="K84" i="34" s="1"/>
  <c r="L84" i="34" s="1"/>
  <c r="M84" i="34" s="1"/>
  <c r="N84" i="34" s="1"/>
  <c r="O84" i="34" s="1"/>
  <c r="P84" i="34" s="1"/>
  <c r="Q84" i="34" s="1"/>
  <c r="R84" i="34" s="1"/>
  <c r="AO83" i="34"/>
  <c r="N369" i="15" l="1"/>
  <c r="P85" i="34"/>
  <c r="K85" i="34"/>
  <c r="M85" i="34"/>
  <c r="L85" i="34"/>
  <c r="D85" i="34"/>
  <c r="E85" i="34"/>
  <c r="F85" i="34"/>
  <c r="I363" i="15"/>
  <c r="E363" i="15"/>
  <c r="D363" i="15"/>
  <c r="N367" i="15"/>
  <c r="L363" i="15"/>
  <c r="K363" i="15"/>
  <c r="H363" i="15"/>
  <c r="N366" i="15"/>
  <c r="B363" i="15"/>
  <c r="G363" i="15"/>
  <c r="N365" i="15"/>
  <c r="C363" i="15"/>
  <c r="F363" i="15"/>
  <c r="J363" i="15"/>
  <c r="G85" i="34"/>
  <c r="O85" i="34"/>
  <c r="H85" i="34"/>
  <c r="N370" i="15"/>
  <c r="I85" i="34"/>
  <c r="Q85" i="34"/>
  <c r="J85" i="34"/>
  <c r="M363" i="15"/>
  <c r="N368" i="15"/>
  <c r="N85" i="34"/>
  <c r="S84" i="34"/>
  <c r="R85" i="34"/>
  <c r="I669" i="26"/>
  <c r="H669" i="26"/>
  <c r="I668" i="26"/>
  <c r="H668" i="26"/>
  <c r="I667" i="26"/>
  <c r="H667" i="26"/>
  <c r="I666" i="26"/>
  <c r="H666" i="26"/>
  <c r="I665" i="26"/>
  <c r="H665" i="26"/>
  <c r="I664" i="26"/>
  <c r="H664" i="26"/>
  <c r="I663" i="26"/>
  <c r="H663" i="26"/>
  <c r="G669" i="26"/>
  <c r="G668" i="26"/>
  <c r="G667" i="26"/>
  <c r="G666" i="26"/>
  <c r="G665" i="26"/>
  <c r="G664" i="26"/>
  <c r="G663" i="26"/>
  <c r="F669" i="26"/>
  <c r="F668" i="26"/>
  <c r="F667" i="26"/>
  <c r="F666" i="26"/>
  <c r="F665" i="26"/>
  <c r="F664" i="26"/>
  <c r="F663" i="26"/>
  <c r="H232" i="4"/>
  <c r="H664" i="3"/>
  <c r="H663" i="3"/>
  <c r="H662" i="3"/>
  <c r="H661" i="3"/>
  <c r="H660" i="3"/>
  <c r="H659" i="3"/>
  <c r="H658" i="3"/>
  <c r="M1042" i="21"/>
  <c r="K1042" i="21" s="1"/>
  <c r="Q1042" i="21" s="1"/>
  <c r="M1041" i="21"/>
  <c r="K1041" i="21" s="1"/>
  <c r="Q1041" i="21" s="1"/>
  <c r="M1040" i="21"/>
  <c r="K1040" i="21" s="1"/>
  <c r="Q1040" i="21" s="1"/>
  <c r="M1039" i="21"/>
  <c r="K1039" i="21" s="1"/>
  <c r="Q1039" i="21" s="1"/>
  <c r="M1038" i="21"/>
  <c r="K1038" i="21" s="1"/>
  <c r="Q1038" i="21" s="1"/>
  <c r="M1037" i="21"/>
  <c r="K1037" i="21" s="1"/>
  <c r="I662" i="26"/>
  <c r="H662" i="26"/>
  <c r="G662" i="26"/>
  <c r="F662" i="26"/>
  <c r="I661" i="26"/>
  <c r="H661" i="26"/>
  <c r="G661" i="26"/>
  <c r="F661" i="26"/>
  <c r="I660" i="26"/>
  <c r="H660" i="26"/>
  <c r="G660" i="26"/>
  <c r="F660" i="26"/>
  <c r="I659" i="26"/>
  <c r="H659" i="26"/>
  <c r="G659" i="26"/>
  <c r="F659" i="26"/>
  <c r="F34" i="33"/>
  <c r="F33" i="33"/>
  <c r="F32" i="33"/>
  <c r="F31" i="33"/>
  <c r="F30" i="33"/>
  <c r="F29" i="33"/>
  <c r="F28" i="33"/>
  <c r="F27" i="33"/>
  <c r="F26" i="33"/>
  <c r="F25" i="33"/>
  <c r="F24" i="33"/>
  <c r="F23" i="33"/>
  <c r="F22" i="33"/>
  <c r="I21" i="33"/>
  <c r="H21" i="33"/>
  <c r="G21" i="33"/>
  <c r="F21" i="33"/>
  <c r="I20" i="33"/>
  <c r="H20" i="33"/>
  <c r="G20" i="33"/>
  <c r="F20" i="33"/>
  <c r="I19" i="33"/>
  <c r="H19" i="33"/>
  <c r="G19" i="33"/>
  <c r="F19" i="33"/>
  <c r="I18" i="33"/>
  <c r="H18" i="33"/>
  <c r="G18" i="33"/>
  <c r="F18" i="33"/>
  <c r="E8" i="33"/>
  <c r="D8" i="33"/>
  <c r="C8" i="33"/>
  <c r="I17" i="33"/>
  <c r="H17" i="33"/>
  <c r="G17" i="33"/>
  <c r="F17" i="33"/>
  <c r="I16" i="33"/>
  <c r="H16" i="33"/>
  <c r="G16" i="33"/>
  <c r="F16" i="33"/>
  <c r="I15" i="33"/>
  <c r="H15" i="33"/>
  <c r="G15" i="33"/>
  <c r="F15" i="33"/>
  <c r="I14" i="33"/>
  <c r="H14" i="33"/>
  <c r="G14" i="33"/>
  <c r="F14" i="33"/>
  <c r="I13" i="33"/>
  <c r="H13" i="33"/>
  <c r="G13" i="33"/>
  <c r="F13" i="33"/>
  <c r="I12" i="33"/>
  <c r="H12" i="33"/>
  <c r="D7" i="33" s="1"/>
  <c r="G12" i="33"/>
  <c r="F12" i="33"/>
  <c r="I50" i="32"/>
  <c r="H50" i="32"/>
  <c r="G50" i="32"/>
  <c r="F50" i="32"/>
  <c r="I49" i="32"/>
  <c r="H49" i="32"/>
  <c r="G49" i="32"/>
  <c r="F49" i="32"/>
  <c r="I48" i="32"/>
  <c r="H48" i="32"/>
  <c r="G48" i="32"/>
  <c r="F48" i="32"/>
  <c r="I47" i="32"/>
  <c r="H47" i="32"/>
  <c r="G47" i="32"/>
  <c r="F47" i="32"/>
  <c r="I46" i="32"/>
  <c r="H46" i="32"/>
  <c r="G46" i="32"/>
  <c r="F46" i="32"/>
  <c r="I45" i="32"/>
  <c r="H45" i="32"/>
  <c r="G45" i="32"/>
  <c r="F45" i="32"/>
  <c r="I44" i="32"/>
  <c r="H44" i="32"/>
  <c r="G44" i="32"/>
  <c r="F44" i="32"/>
  <c r="I43" i="32"/>
  <c r="H43" i="32"/>
  <c r="G43" i="32"/>
  <c r="F43" i="32"/>
  <c r="I42" i="32"/>
  <c r="H42" i="32"/>
  <c r="G42" i="32"/>
  <c r="F42" i="32"/>
  <c r="I41" i="32"/>
  <c r="H41" i="32"/>
  <c r="G41" i="32"/>
  <c r="F41" i="32"/>
  <c r="I40" i="32"/>
  <c r="H40" i="32"/>
  <c r="G40" i="32"/>
  <c r="F40" i="32"/>
  <c r="I39" i="32"/>
  <c r="H39" i="32"/>
  <c r="G39" i="32"/>
  <c r="F39" i="32"/>
  <c r="I38" i="32"/>
  <c r="H38" i="32"/>
  <c r="G38" i="32"/>
  <c r="F38" i="32"/>
  <c r="I37" i="32"/>
  <c r="H37" i="32"/>
  <c r="G37" i="32"/>
  <c r="F37" i="32"/>
  <c r="I36" i="32"/>
  <c r="H36" i="32"/>
  <c r="G36" i="32"/>
  <c r="F36" i="32"/>
  <c r="I35" i="32"/>
  <c r="H35" i="32"/>
  <c r="G35" i="32"/>
  <c r="F35" i="32"/>
  <c r="I34" i="32"/>
  <c r="H34" i="32"/>
  <c r="G34" i="32"/>
  <c r="F34" i="32"/>
  <c r="I33" i="32"/>
  <c r="H33" i="32"/>
  <c r="G33" i="32"/>
  <c r="F33" i="32"/>
  <c r="I32" i="32"/>
  <c r="H32" i="32"/>
  <c r="G32" i="32"/>
  <c r="F32" i="32"/>
  <c r="I31" i="32"/>
  <c r="H31" i="32"/>
  <c r="G31" i="32"/>
  <c r="F31" i="32"/>
  <c r="I30" i="32"/>
  <c r="H30" i="32"/>
  <c r="G30" i="32"/>
  <c r="F30" i="32"/>
  <c r="I29" i="32"/>
  <c r="H29" i="32"/>
  <c r="G29" i="32"/>
  <c r="F29" i="32"/>
  <c r="I28" i="32"/>
  <c r="H28" i="32"/>
  <c r="G28" i="32"/>
  <c r="F28" i="32"/>
  <c r="I27" i="32"/>
  <c r="H27" i="32"/>
  <c r="G27" i="32"/>
  <c r="F27" i="32"/>
  <c r="I26" i="32"/>
  <c r="H26" i="32"/>
  <c r="G26" i="32"/>
  <c r="F26" i="32"/>
  <c r="I25" i="32"/>
  <c r="H25" i="32"/>
  <c r="G25" i="32"/>
  <c r="F25" i="32"/>
  <c r="I24" i="32"/>
  <c r="H24" i="32"/>
  <c r="G24" i="32"/>
  <c r="F24" i="32"/>
  <c r="I23" i="32"/>
  <c r="H23" i="32"/>
  <c r="G23" i="32"/>
  <c r="F23" i="32"/>
  <c r="I22" i="32"/>
  <c r="H22" i="32"/>
  <c r="G22" i="32"/>
  <c r="F22" i="32"/>
  <c r="I21" i="32"/>
  <c r="H21" i="32"/>
  <c r="G21" i="32"/>
  <c r="F21" i="32"/>
  <c r="I20" i="32"/>
  <c r="H20" i="32"/>
  <c r="G20" i="32"/>
  <c r="F20" i="32"/>
  <c r="I19" i="32"/>
  <c r="H19" i="32"/>
  <c r="G19" i="32"/>
  <c r="F19" i="32"/>
  <c r="I18" i="32"/>
  <c r="H18" i="32"/>
  <c r="G18" i="32"/>
  <c r="F18" i="32"/>
  <c r="I17" i="32"/>
  <c r="H17" i="32"/>
  <c r="G17" i="32"/>
  <c r="F17" i="32"/>
  <c r="I16" i="32"/>
  <c r="H16" i="32"/>
  <c r="G16" i="32"/>
  <c r="F16" i="32"/>
  <c r="I15" i="32"/>
  <c r="H15" i="32"/>
  <c r="G15" i="32"/>
  <c r="F15" i="32"/>
  <c r="I14" i="32"/>
  <c r="H14" i="32"/>
  <c r="G14" i="32"/>
  <c r="F14" i="32"/>
  <c r="I13" i="32"/>
  <c r="H13" i="32"/>
  <c r="G13" i="32"/>
  <c r="F13" i="32"/>
  <c r="I12" i="32"/>
  <c r="H12" i="32"/>
  <c r="G12" i="32"/>
  <c r="F12" i="32"/>
  <c r="I136" i="31"/>
  <c r="H136" i="31"/>
  <c r="G136" i="31"/>
  <c r="F136" i="31"/>
  <c r="I135" i="31"/>
  <c r="H135" i="31"/>
  <c r="G135" i="31"/>
  <c r="F135" i="31"/>
  <c r="I134" i="31"/>
  <c r="H134" i="31"/>
  <c r="G134" i="31"/>
  <c r="F134" i="31"/>
  <c r="I133" i="31"/>
  <c r="H133" i="31"/>
  <c r="G133" i="31"/>
  <c r="F133" i="31"/>
  <c r="I132" i="31"/>
  <c r="H132" i="31"/>
  <c r="G132" i="31"/>
  <c r="F132" i="31"/>
  <c r="I131" i="31"/>
  <c r="H131" i="31"/>
  <c r="G131" i="31"/>
  <c r="F131" i="31"/>
  <c r="I130" i="31"/>
  <c r="H130" i="31"/>
  <c r="G130" i="31"/>
  <c r="F130" i="31"/>
  <c r="I129" i="31"/>
  <c r="H129" i="31"/>
  <c r="G129" i="31"/>
  <c r="F129" i="31"/>
  <c r="I128" i="31"/>
  <c r="H128" i="31"/>
  <c r="G128" i="31"/>
  <c r="F128" i="31"/>
  <c r="I127" i="31"/>
  <c r="H127" i="31"/>
  <c r="G127" i="31"/>
  <c r="F127" i="31"/>
  <c r="I126" i="31"/>
  <c r="H126" i="31"/>
  <c r="G126" i="31"/>
  <c r="F126" i="31"/>
  <c r="I125" i="31"/>
  <c r="H125" i="31"/>
  <c r="G125" i="31"/>
  <c r="F125" i="31"/>
  <c r="I124" i="31"/>
  <c r="H124" i="31"/>
  <c r="G124" i="31"/>
  <c r="F124" i="31"/>
  <c r="I123" i="31"/>
  <c r="H123" i="31"/>
  <c r="G123" i="31"/>
  <c r="F123" i="31"/>
  <c r="I122" i="31"/>
  <c r="H122" i="31"/>
  <c r="G122" i="31"/>
  <c r="F122" i="31"/>
  <c r="I121" i="31"/>
  <c r="H121" i="31"/>
  <c r="G121" i="31"/>
  <c r="F121" i="31"/>
  <c r="I120" i="31"/>
  <c r="H120" i="31"/>
  <c r="G120" i="31"/>
  <c r="F120" i="31"/>
  <c r="I119" i="31"/>
  <c r="H119" i="31"/>
  <c r="G119" i="31"/>
  <c r="F119" i="31"/>
  <c r="I118" i="31"/>
  <c r="H118" i="31"/>
  <c r="G118" i="31"/>
  <c r="F118" i="31"/>
  <c r="I117" i="31"/>
  <c r="H117" i="31"/>
  <c r="G117" i="31"/>
  <c r="F117" i="31"/>
  <c r="I116" i="31"/>
  <c r="H116" i="31"/>
  <c r="G116" i="31"/>
  <c r="F116" i="31"/>
  <c r="I115" i="31"/>
  <c r="H115" i="31"/>
  <c r="G115" i="31"/>
  <c r="F115" i="31"/>
  <c r="I114" i="31"/>
  <c r="H114" i="31"/>
  <c r="G114" i="31"/>
  <c r="F114" i="31"/>
  <c r="I113" i="31"/>
  <c r="H113" i="31"/>
  <c r="G113" i="31"/>
  <c r="F113" i="31"/>
  <c r="I112" i="31"/>
  <c r="H112" i="31"/>
  <c r="G112" i="31"/>
  <c r="F112" i="31"/>
  <c r="I111" i="31"/>
  <c r="H111" i="31"/>
  <c r="G111" i="31"/>
  <c r="F111" i="31"/>
  <c r="I110" i="31"/>
  <c r="H110" i="31"/>
  <c r="G110" i="31"/>
  <c r="F110" i="31"/>
  <c r="I109" i="31"/>
  <c r="H109" i="31"/>
  <c r="G109" i="31"/>
  <c r="F109" i="31"/>
  <c r="I108" i="31"/>
  <c r="H108" i="31"/>
  <c r="G108" i="31"/>
  <c r="F108" i="31"/>
  <c r="I107" i="31"/>
  <c r="H107" i="31"/>
  <c r="G107" i="31"/>
  <c r="F107" i="31"/>
  <c r="I106" i="31"/>
  <c r="H106" i="31"/>
  <c r="G106" i="31"/>
  <c r="F106" i="31"/>
  <c r="I105" i="31"/>
  <c r="H105" i="31"/>
  <c r="G105" i="31"/>
  <c r="F105" i="31"/>
  <c r="I104" i="31"/>
  <c r="H104" i="31"/>
  <c r="G104" i="31"/>
  <c r="F104" i="31"/>
  <c r="I103" i="31"/>
  <c r="H103" i="31"/>
  <c r="G103" i="31"/>
  <c r="F103" i="31"/>
  <c r="I102" i="31"/>
  <c r="H102" i="31"/>
  <c r="G102" i="31"/>
  <c r="F102" i="31"/>
  <c r="I101" i="31"/>
  <c r="H101" i="31"/>
  <c r="G101" i="31"/>
  <c r="F101" i="31"/>
  <c r="I100" i="31"/>
  <c r="H100" i="31"/>
  <c r="G100" i="31"/>
  <c r="F100" i="31"/>
  <c r="I99" i="31"/>
  <c r="H99" i="31"/>
  <c r="G99" i="31"/>
  <c r="F99" i="31"/>
  <c r="I98" i="31"/>
  <c r="H98" i="31"/>
  <c r="G98" i="31"/>
  <c r="F98" i="31"/>
  <c r="I97" i="31"/>
  <c r="H97" i="31"/>
  <c r="G97" i="31"/>
  <c r="F97" i="31"/>
  <c r="I96" i="31"/>
  <c r="H96" i="31"/>
  <c r="G96" i="31"/>
  <c r="F96" i="31"/>
  <c r="I95" i="31"/>
  <c r="H95" i="31"/>
  <c r="G95" i="31"/>
  <c r="F95" i="31"/>
  <c r="I94" i="31"/>
  <c r="H94" i="31"/>
  <c r="G94" i="31"/>
  <c r="F94" i="31"/>
  <c r="I93" i="31"/>
  <c r="H93" i="31"/>
  <c r="G93" i="31"/>
  <c r="F93" i="31"/>
  <c r="I92" i="31"/>
  <c r="H92" i="31"/>
  <c r="G92" i="31"/>
  <c r="F92" i="31"/>
  <c r="I91" i="31"/>
  <c r="H91" i="31"/>
  <c r="G91" i="31"/>
  <c r="F91" i="31"/>
  <c r="I90" i="31"/>
  <c r="H90" i="31"/>
  <c r="G90" i="31"/>
  <c r="F90" i="31"/>
  <c r="I89" i="31"/>
  <c r="H89" i="31"/>
  <c r="G89" i="31"/>
  <c r="F89" i="31"/>
  <c r="I88" i="31"/>
  <c r="H88" i="31"/>
  <c r="G88" i="31"/>
  <c r="F88" i="31"/>
  <c r="I87" i="31"/>
  <c r="H87" i="31"/>
  <c r="G87" i="31"/>
  <c r="F87" i="31"/>
  <c r="I86" i="31"/>
  <c r="H86" i="31"/>
  <c r="G86" i="31"/>
  <c r="F86" i="31"/>
  <c r="I85" i="31"/>
  <c r="H85" i="31"/>
  <c r="G85" i="31"/>
  <c r="F85" i="31"/>
  <c r="I84" i="31"/>
  <c r="H84" i="31"/>
  <c r="G84" i="31"/>
  <c r="F84" i="31"/>
  <c r="I83" i="31"/>
  <c r="H83" i="31"/>
  <c r="G83" i="31"/>
  <c r="F83" i="31"/>
  <c r="I82" i="31"/>
  <c r="H82" i="31"/>
  <c r="G82" i="31"/>
  <c r="F82" i="31"/>
  <c r="I81" i="31"/>
  <c r="H81" i="31"/>
  <c r="G81" i="31"/>
  <c r="F81" i="31"/>
  <c r="I80" i="31"/>
  <c r="H80" i="31"/>
  <c r="G80" i="31"/>
  <c r="F80" i="31"/>
  <c r="I79" i="31"/>
  <c r="H79" i="31"/>
  <c r="G79" i="31"/>
  <c r="F79" i="31"/>
  <c r="I78" i="31"/>
  <c r="H78" i="31"/>
  <c r="G78" i="31"/>
  <c r="F78" i="31"/>
  <c r="I77" i="31"/>
  <c r="H77" i="31"/>
  <c r="G77" i="31"/>
  <c r="F77" i="31"/>
  <c r="I76" i="31"/>
  <c r="H76" i="31"/>
  <c r="G76" i="31"/>
  <c r="F76" i="31"/>
  <c r="I75" i="31"/>
  <c r="H75" i="31"/>
  <c r="G75" i="31"/>
  <c r="F75" i="31"/>
  <c r="I74" i="31"/>
  <c r="H74" i="31"/>
  <c r="G74" i="31"/>
  <c r="F74" i="31"/>
  <c r="I73" i="31"/>
  <c r="H73" i="31"/>
  <c r="G73" i="31"/>
  <c r="F73" i="31"/>
  <c r="I72" i="31"/>
  <c r="H72" i="31"/>
  <c r="G72" i="31"/>
  <c r="F72" i="31"/>
  <c r="I71" i="31"/>
  <c r="H71" i="31"/>
  <c r="G71" i="31"/>
  <c r="F71" i="31"/>
  <c r="I70" i="31"/>
  <c r="H70" i="31"/>
  <c r="G70" i="31"/>
  <c r="F70" i="31"/>
  <c r="I69" i="31"/>
  <c r="H69" i="31"/>
  <c r="G69" i="31"/>
  <c r="F69" i="31"/>
  <c r="I68" i="31"/>
  <c r="H68" i="31"/>
  <c r="G68" i="31"/>
  <c r="F68" i="31"/>
  <c r="I67" i="31"/>
  <c r="H67" i="31"/>
  <c r="G67" i="31"/>
  <c r="F67" i="31"/>
  <c r="I66" i="31"/>
  <c r="H66" i="31"/>
  <c r="G66" i="31"/>
  <c r="F66" i="31"/>
  <c r="I65" i="31"/>
  <c r="H65" i="31"/>
  <c r="G65" i="31"/>
  <c r="F65" i="31"/>
  <c r="I64" i="31"/>
  <c r="H64" i="31"/>
  <c r="G64" i="31"/>
  <c r="F64" i="31"/>
  <c r="I63" i="31"/>
  <c r="H63" i="31"/>
  <c r="G63" i="31"/>
  <c r="F63" i="31"/>
  <c r="I62" i="31"/>
  <c r="H62" i="31"/>
  <c r="G62" i="31"/>
  <c r="F62" i="31"/>
  <c r="I61" i="31"/>
  <c r="H61" i="31"/>
  <c r="G61" i="31"/>
  <c r="F61" i="31"/>
  <c r="I60" i="31"/>
  <c r="H60" i="31"/>
  <c r="G60" i="31"/>
  <c r="F60" i="31"/>
  <c r="I59" i="31"/>
  <c r="H59" i="31"/>
  <c r="G59" i="31"/>
  <c r="F59" i="31"/>
  <c r="I58" i="31"/>
  <c r="H58" i="31"/>
  <c r="G58" i="31"/>
  <c r="F58" i="31"/>
  <c r="I57" i="31"/>
  <c r="H57" i="31"/>
  <c r="G57" i="31"/>
  <c r="F57" i="31"/>
  <c r="I56" i="31"/>
  <c r="H56" i="31"/>
  <c r="G56" i="31"/>
  <c r="F56" i="31"/>
  <c r="I55" i="31"/>
  <c r="H55" i="31"/>
  <c r="G55" i="31"/>
  <c r="F55" i="31"/>
  <c r="I54" i="31"/>
  <c r="H54" i="31"/>
  <c r="G54" i="31"/>
  <c r="F54" i="31"/>
  <c r="I53" i="31"/>
  <c r="H53" i="31"/>
  <c r="G53" i="31"/>
  <c r="F53" i="31"/>
  <c r="I52" i="31"/>
  <c r="H52" i="31"/>
  <c r="G52" i="31"/>
  <c r="F52" i="31"/>
  <c r="I51" i="31"/>
  <c r="H51" i="31"/>
  <c r="G51" i="31"/>
  <c r="F51" i="31"/>
  <c r="I50" i="31"/>
  <c r="H50" i="31"/>
  <c r="G50" i="31"/>
  <c r="F50" i="31"/>
  <c r="I49" i="31"/>
  <c r="H49" i="31"/>
  <c r="G49" i="31"/>
  <c r="F49" i="31"/>
  <c r="I48" i="31"/>
  <c r="H48" i="31"/>
  <c r="G48" i="31"/>
  <c r="F48" i="31"/>
  <c r="I47" i="31"/>
  <c r="H47" i="31"/>
  <c r="G47" i="31"/>
  <c r="F47" i="31"/>
  <c r="I46" i="31"/>
  <c r="H46" i="31"/>
  <c r="G46" i="31"/>
  <c r="F46" i="31"/>
  <c r="I45" i="31"/>
  <c r="H45" i="31"/>
  <c r="G45" i="31"/>
  <c r="F45" i="31"/>
  <c r="I44" i="31"/>
  <c r="H44" i="31"/>
  <c r="G44" i="31"/>
  <c r="F44" i="31"/>
  <c r="I43" i="31"/>
  <c r="H43" i="31"/>
  <c r="G43" i="31"/>
  <c r="F43" i="31"/>
  <c r="I42" i="31"/>
  <c r="H42" i="31"/>
  <c r="G42" i="31"/>
  <c r="F42" i="31"/>
  <c r="I41" i="31"/>
  <c r="H41" i="31"/>
  <c r="G41" i="31"/>
  <c r="F41" i="31"/>
  <c r="I40" i="31"/>
  <c r="H40" i="31"/>
  <c r="G40" i="31"/>
  <c r="F40" i="31"/>
  <c r="I39" i="31"/>
  <c r="H39" i="31"/>
  <c r="G39" i="31"/>
  <c r="F39" i="31"/>
  <c r="I38" i="31"/>
  <c r="H38" i="31"/>
  <c r="G38" i="31"/>
  <c r="F38" i="31"/>
  <c r="I37" i="31"/>
  <c r="H37" i="31"/>
  <c r="G37" i="31"/>
  <c r="F37" i="31"/>
  <c r="I36" i="31"/>
  <c r="H36" i="31"/>
  <c r="G36" i="31"/>
  <c r="F36" i="31"/>
  <c r="I35" i="31"/>
  <c r="H35" i="31"/>
  <c r="G35" i="31"/>
  <c r="F35" i="31"/>
  <c r="I34" i="31"/>
  <c r="H34" i="31"/>
  <c r="G34" i="31"/>
  <c r="F34" i="31"/>
  <c r="I33" i="31"/>
  <c r="H33" i="31"/>
  <c r="G33" i="31"/>
  <c r="F33" i="31"/>
  <c r="I32" i="31"/>
  <c r="H32" i="31"/>
  <c r="G32" i="31"/>
  <c r="F32" i="31"/>
  <c r="I31" i="31"/>
  <c r="H31" i="31"/>
  <c r="G31" i="31"/>
  <c r="F31" i="31"/>
  <c r="I30" i="31"/>
  <c r="H30" i="31"/>
  <c r="G30" i="31"/>
  <c r="F30" i="31"/>
  <c r="I29" i="31"/>
  <c r="H29" i="31"/>
  <c r="G29" i="31"/>
  <c r="F29" i="31"/>
  <c r="I28" i="31"/>
  <c r="H28" i="31"/>
  <c r="G28" i="31"/>
  <c r="F28" i="31"/>
  <c r="I27" i="31"/>
  <c r="H27" i="31"/>
  <c r="G27" i="31"/>
  <c r="F27" i="31"/>
  <c r="I26" i="31"/>
  <c r="H26" i="31"/>
  <c r="G26" i="31"/>
  <c r="F26" i="31"/>
  <c r="I25" i="31"/>
  <c r="H25" i="31"/>
  <c r="G25" i="31"/>
  <c r="F25" i="31"/>
  <c r="I24" i="31"/>
  <c r="H24" i="31"/>
  <c r="G24" i="31"/>
  <c r="F24" i="31"/>
  <c r="I23" i="31"/>
  <c r="H23" i="31"/>
  <c r="G23" i="31"/>
  <c r="F23" i="31"/>
  <c r="I22" i="31"/>
  <c r="H22" i="31"/>
  <c r="G22" i="31"/>
  <c r="F22" i="31"/>
  <c r="I21" i="31"/>
  <c r="H21" i="31"/>
  <c r="G21" i="31"/>
  <c r="F21" i="31"/>
  <c r="I20" i="31"/>
  <c r="H20" i="31"/>
  <c r="G20" i="31"/>
  <c r="F20" i="31"/>
  <c r="I19" i="31"/>
  <c r="H19" i="31"/>
  <c r="G19" i="31"/>
  <c r="F19" i="31"/>
  <c r="I18" i="31"/>
  <c r="H18" i="31"/>
  <c r="G18" i="31"/>
  <c r="F18" i="31"/>
  <c r="I17" i="31"/>
  <c r="H17" i="31"/>
  <c r="G17" i="31"/>
  <c r="F17" i="31"/>
  <c r="I16" i="31"/>
  <c r="H16" i="31"/>
  <c r="G16" i="31"/>
  <c r="F16" i="31"/>
  <c r="I15" i="31"/>
  <c r="H15" i="31"/>
  <c r="G15" i="31"/>
  <c r="F15" i="31"/>
  <c r="I14" i="31"/>
  <c r="H14" i="31"/>
  <c r="G14" i="31"/>
  <c r="F14" i="31"/>
  <c r="I13" i="31"/>
  <c r="H13" i="31"/>
  <c r="G13" i="31"/>
  <c r="F13" i="31"/>
  <c r="I12" i="31"/>
  <c r="H12" i="31"/>
  <c r="G12" i="31"/>
  <c r="F12" i="31"/>
  <c r="I236" i="30"/>
  <c r="H236" i="30"/>
  <c r="G236" i="30"/>
  <c r="F236" i="30"/>
  <c r="I235" i="30"/>
  <c r="H235" i="30"/>
  <c r="G235" i="30"/>
  <c r="F235" i="30"/>
  <c r="I234" i="30"/>
  <c r="H234" i="30"/>
  <c r="G234" i="30"/>
  <c r="F234" i="30"/>
  <c r="I233" i="30"/>
  <c r="H233" i="30"/>
  <c r="G233" i="30"/>
  <c r="F233" i="30"/>
  <c r="I232" i="30"/>
  <c r="H232" i="30"/>
  <c r="G232" i="30"/>
  <c r="F232" i="30"/>
  <c r="I231" i="30"/>
  <c r="H231" i="30"/>
  <c r="G231" i="30"/>
  <c r="F231" i="30"/>
  <c r="I230" i="30"/>
  <c r="H230" i="30"/>
  <c r="G230" i="30"/>
  <c r="F230" i="30"/>
  <c r="I229" i="30"/>
  <c r="H229" i="30"/>
  <c r="G229" i="30"/>
  <c r="F229" i="30"/>
  <c r="I228" i="30"/>
  <c r="H228" i="30"/>
  <c r="G228" i="30"/>
  <c r="F228" i="30"/>
  <c r="I227" i="30"/>
  <c r="H227" i="30"/>
  <c r="G227" i="30"/>
  <c r="F227" i="30"/>
  <c r="I226" i="30"/>
  <c r="H226" i="30"/>
  <c r="G226" i="30"/>
  <c r="F226" i="30"/>
  <c r="I225" i="30"/>
  <c r="H225" i="30"/>
  <c r="G225" i="30"/>
  <c r="F225" i="30"/>
  <c r="I224" i="30"/>
  <c r="H224" i="30"/>
  <c r="G224" i="30"/>
  <c r="F224" i="30"/>
  <c r="I223" i="30"/>
  <c r="H223" i="30"/>
  <c r="G223" i="30"/>
  <c r="F223" i="30"/>
  <c r="I222" i="30"/>
  <c r="H222" i="30"/>
  <c r="G222" i="30"/>
  <c r="F222" i="30"/>
  <c r="I221" i="30"/>
  <c r="H221" i="30"/>
  <c r="G221" i="30"/>
  <c r="F221" i="30"/>
  <c r="I220" i="30"/>
  <c r="H220" i="30"/>
  <c r="G220" i="30"/>
  <c r="F220" i="30"/>
  <c r="I219" i="30"/>
  <c r="H219" i="30"/>
  <c r="G219" i="30"/>
  <c r="F219" i="30"/>
  <c r="I218" i="30"/>
  <c r="H218" i="30"/>
  <c r="G218" i="30"/>
  <c r="F218" i="30"/>
  <c r="I217" i="30"/>
  <c r="H217" i="30"/>
  <c r="G217" i="30"/>
  <c r="F217" i="30"/>
  <c r="I216" i="30"/>
  <c r="H216" i="30"/>
  <c r="G216" i="30"/>
  <c r="F216" i="30"/>
  <c r="I215" i="30"/>
  <c r="H215" i="30"/>
  <c r="G215" i="30"/>
  <c r="F215" i="30"/>
  <c r="I214" i="30"/>
  <c r="H214" i="30"/>
  <c r="G214" i="30"/>
  <c r="F214" i="30"/>
  <c r="I213" i="30"/>
  <c r="H213" i="30"/>
  <c r="G213" i="30"/>
  <c r="F213" i="30"/>
  <c r="I212" i="30"/>
  <c r="H212" i="30"/>
  <c r="G212" i="30"/>
  <c r="F212" i="30"/>
  <c r="I211" i="30"/>
  <c r="H211" i="30"/>
  <c r="G211" i="30"/>
  <c r="F211" i="30"/>
  <c r="I210" i="30"/>
  <c r="H210" i="30"/>
  <c r="G210" i="30"/>
  <c r="F210" i="30"/>
  <c r="I209" i="30"/>
  <c r="H209" i="30"/>
  <c r="G209" i="30"/>
  <c r="F209" i="30"/>
  <c r="I208" i="30"/>
  <c r="H208" i="30"/>
  <c r="G208" i="30"/>
  <c r="F208" i="30"/>
  <c r="I207" i="30"/>
  <c r="H207" i="30"/>
  <c r="G207" i="30"/>
  <c r="F207" i="30"/>
  <c r="I206" i="30"/>
  <c r="H206" i="30"/>
  <c r="G206" i="30"/>
  <c r="F206" i="30"/>
  <c r="I205" i="30"/>
  <c r="H205" i="30"/>
  <c r="G205" i="30"/>
  <c r="F205" i="30"/>
  <c r="I204" i="30"/>
  <c r="H204" i="30"/>
  <c r="G204" i="30"/>
  <c r="F204" i="30"/>
  <c r="I203" i="30"/>
  <c r="H203" i="30"/>
  <c r="G203" i="30"/>
  <c r="F203" i="30"/>
  <c r="I202" i="30"/>
  <c r="H202" i="30"/>
  <c r="G202" i="30"/>
  <c r="F202" i="30"/>
  <c r="I201" i="30"/>
  <c r="H201" i="30"/>
  <c r="G201" i="30"/>
  <c r="F201" i="30"/>
  <c r="I200" i="30"/>
  <c r="H200" i="30"/>
  <c r="G200" i="30"/>
  <c r="F200" i="30"/>
  <c r="I199" i="30"/>
  <c r="H199" i="30"/>
  <c r="G199" i="30"/>
  <c r="F199" i="30"/>
  <c r="I198" i="30"/>
  <c r="H198" i="30"/>
  <c r="G198" i="30"/>
  <c r="F198" i="30"/>
  <c r="I197" i="30"/>
  <c r="H197" i="30"/>
  <c r="G197" i="30"/>
  <c r="F197" i="30"/>
  <c r="I196" i="30"/>
  <c r="H196" i="30"/>
  <c r="G196" i="30"/>
  <c r="F196" i="30"/>
  <c r="I195" i="30"/>
  <c r="H195" i="30"/>
  <c r="G195" i="30"/>
  <c r="F195" i="30"/>
  <c r="I194" i="30"/>
  <c r="H194" i="30"/>
  <c r="G194" i="30"/>
  <c r="F194" i="30"/>
  <c r="I193" i="30"/>
  <c r="H193" i="30"/>
  <c r="G193" i="30"/>
  <c r="F193" i="30"/>
  <c r="I192" i="30"/>
  <c r="H192" i="30"/>
  <c r="G192" i="30"/>
  <c r="F192" i="30"/>
  <c r="I191" i="30"/>
  <c r="H191" i="30"/>
  <c r="G191" i="30"/>
  <c r="F191" i="30"/>
  <c r="I190" i="30"/>
  <c r="H190" i="30"/>
  <c r="G190" i="30"/>
  <c r="F190" i="30"/>
  <c r="I189" i="30"/>
  <c r="H189" i="30"/>
  <c r="G189" i="30"/>
  <c r="F189" i="30"/>
  <c r="I188" i="30"/>
  <c r="H188" i="30"/>
  <c r="G188" i="30"/>
  <c r="F188" i="30"/>
  <c r="I187" i="30"/>
  <c r="H187" i="30"/>
  <c r="G187" i="30"/>
  <c r="F187" i="30"/>
  <c r="I186" i="30"/>
  <c r="H186" i="30"/>
  <c r="G186" i="30"/>
  <c r="F186" i="30"/>
  <c r="I185" i="30"/>
  <c r="H185" i="30"/>
  <c r="G185" i="30"/>
  <c r="F185" i="30"/>
  <c r="I184" i="30"/>
  <c r="H184" i="30"/>
  <c r="G184" i="30"/>
  <c r="F184" i="30"/>
  <c r="I183" i="30"/>
  <c r="H183" i="30"/>
  <c r="G183" i="30"/>
  <c r="F183" i="30"/>
  <c r="I182" i="30"/>
  <c r="H182" i="30"/>
  <c r="G182" i="30"/>
  <c r="F182" i="30"/>
  <c r="I181" i="30"/>
  <c r="H181" i="30"/>
  <c r="G181" i="30"/>
  <c r="F181" i="30"/>
  <c r="I180" i="30"/>
  <c r="H180" i="30"/>
  <c r="G180" i="30"/>
  <c r="F180" i="30"/>
  <c r="I179" i="30"/>
  <c r="H179" i="30"/>
  <c r="G179" i="30"/>
  <c r="F179" i="30"/>
  <c r="I178" i="30"/>
  <c r="H178" i="30"/>
  <c r="G178" i="30"/>
  <c r="F178" i="30"/>
  <c r="I177" i="30"/>
  <c r="H177" i="30"/>
  <c r="G177" i="30"/>
  <c r="F177" i="30"/>
  <c r="I176" i="30"/>
  <c r="H176" i="30"/>
  <c r="G176" i="30"/>
  <c r="F176" i="30"/>
  <c r="I175" i="30"/>
  <c r="H175" i="30"/>
  <c r="G175" i="30"/>
  <c r="F175" i="30"/>
  <c r="I174" i="30"/>
  <c r="H174" i="30"/>
  <c r="G174" i="30"/>
  <c r="F174" i="30"/>
  <c r="I173" i="30"/>
  <c r="H173" i="30"/>
  <c r="G173" i="30"/>
  <c r="F173" i="30"/>
  <c r="I172" i="30"/>
  <c r="H172" i="30"/>
  <c r="G172" i="30"/>
  <c r="F172" i="30"/>
  <c r="I171" i="30"/>
  <c r="H171" i="30"/>
  <c r="G171" i="30"/>
  <c r="F171" i="30"/>
  <c r="I170" i="30"/>
  <c r="H170" i="30"/>
  <c r="G170" i="30"/>
  <c r="F170" i="30"/>
  <c r="I169" i="30"/>
  <c r="H169" i="30"/>
  <c r="G169" i="30"/>
  <c r="F169" i="30"/>
  <c r="I168" i="30"/>
  <c r="H168" i="30"/>
  <c r="G168" i="30"/>
  <c r="F168" i="30"/>
  <c r="I167" i="30"/>
  <c r="H167" i="30"/>
  <c r="G167" i="30"/>
  <c r="F167" i="30"/>
  <c r="I166" i="30"/>
  <c r="H166" i="30"/>
  <c r="G166" i="30"/>
  <c r="F166" i="30"/>
  <c r="I165" i="30"/>
  <c r="H165" i="30"/>
  <c r="G165" i="30"/>
  <c r="F165" i="30"/>
  <c r="I164" i="30"/>
  <c r="H164" i="30"/>
  <c r="G164" i="30"/>
  <c r="F164" i="30"/>
  <c r="I163" i="30"/>
  <c r="H163" i="30"/>
  <c r="G163" i="30"/>
  <c r="F163" i="30"/>
  <c r="I162" i="30"/>
  <c r="H162" i="30"/>
  <c r="G162" i="30"/>
  <c r="F162" i="30"/>
  <c r="I161" i="30"/>
  <c r="H161" i="30"/>
  <c r="G161" i="30"/>
  <c r="F161" i="30"/>
  <c r="I160" i="30"/>
  <c r="H160" i="30"/>
  <c r="G160" i="30"/>
  <c r="F160" i="30"/>
  <c r="I159" i="30"/>
  <c r="H159" i="30"/>
  <c r="G159" i="30"/>
  <c r="F159" i="30"/>
  <c r="I158" i="30"/>
  <c r="H158" i="30"/>
  <c r="G158" i="30"/>
  <c r="F158" i="30"/>
  <c r="I157" i="30"/>
  <c r="H157" i="30"/>
  <c r="G157" i="30"/>
  <c r="F157" i="30"/>
  <c r="I156" i="30"/>
  <c r="H156" i="30"/>
  <c r="G156" i="30"/>
  <c r="F156" i="30"/>
  <c r="I155" i="30"/>
  <c r="H155" i="30"/>
  <c r="G155" i="30"/>
  <c r="F155" i="30"/>
  <c r="I154" i="30"/>
  <c r="H154" i="30"/>
  <c r="G154" i="30"/>
  <c r="F154" i="30"/>
  <c r="I153" i="30"/>
  <c r="H153" i="30"/>
  <c r="G153" i="30"/>
  <c r="F153" i="30"/>
  <c r="I152" i="30"/>
  <c r="H152" i="30"/>
  <c r="G152" i="30"/>
  <c r="F152" i="30"/>
  <c r="I151" i="30"/>
  <c r="H151" i="30"/>
  <c r="G151" i="30"/>
  <c r="F151" i="30"/>
  <c r="I150" i="30"/>
  <c r="H150" i="30"/>
  <c r="G150" i="30"/>
  <c r="F150" i="30"/>
  <c r="I149" i="30"/>
  <c r="H149" i="30"/>
  <c r="G149" i="30"/>
  <c r="F149" i="30"/>
  <c r="I148" i="30"/>
  <c r="H148" i="30"/>
  <c r="G148" i="30"/>
  <c r="F148" i="30"/>
  <c r="I147" i="30"/>
  <c r="H147" i="30"/>
  <c r="G147" i="30"/>
  <c r="F147" i="30"/>
  <c r="I146" i="30"/>
  <c r="H146" i="30"/>
  <c r="G146" i="30"/>
  <c r="F146" i="30"/>
  <c r="I145" i="30"/>
  <c r="H145" i="30"/>
  <c r="G145" i="30"/>
  <c r="F145" i="30"/>
  <c r="I144" i="30"/>
  <c r="H144" i="30"/>
  <c r="G144" i="30"/>
  <c r="F144" i="30"/>
  <c r="I143" i="30"/>
  <c r="H143" i="30"/>
  <c r="G143" i="30"/>
  <c r="F143" i="30"/>
  <c r="I142" i="30"/>
  <c r="H142" i="30"/>
  <c r="G142" i="30"/>
  <c r="F142" i="30"/>
  <c r="I141" i="30"/>
  <c r="H141" i="30"/>
  <c r="G141" i="30"/>
  <c r="F141" i="30"/>
  <c r="I140" i="30"/>
  <c r="H140" i="30"/>
  <c r="G140" i="30"/>
  <c r="F140" i="30"/>
  <c r="I139" i="30"/>
  <c r="H139" i="30"/>
  <c r="G139" i="30"/>
  <c r="F139" i="30"/>
  <c r="I138" i="30"/>
  <c r="H138" i="30"/>
  <c r="G138" i="30"/>
  <c r="F138" i="30"/>
  <c r="I137" i="30"/>
  <c r="H137" i="30"/>
  <c r="G137" i="30"/>
  <c r="F137" i="30"/>
  <c r="I136" i="30"/>
  <c r="H136" i="30"/>
  <c r="G136" i="30"/>
  <c r="F136" i="30"/>
  <c r="I135" i="30"/>
  <c r="H135" i="30"/>
  <c r="G135" i="30"/>
  <c r="F135" i="30"/>
  <c r="I134" i="30"/>
  <c r="H134" i="30"/>
  <c r="G134" i="30"/>
  <c r="F134" i="30"/>
  <c r="I133" i="30"/>
  <c r="H133" i="30"/>
  <c r="G133" i="30"/>
  <c r="F133" i="30"/>
  <c r="I132" i="30"/>
  <c r="H132" i="30"/>
  <c r="G132" i="30"/>
  <c r="F132" i="30"/>
  <c r="I131" i="30"/>
  <c r="H131" i="30"/>
  <c r="G131" i="30"/>
  <c r="F131" i="30"/>
  <c r="I130" i="30"/>
  <c r="H130" i="30"/>
  <c r="G130" i="30"/>
  <c r="F130" i="30"/>
  <c r="I129" i="30"/>
  <c r="H129" i="30"/>
  <c r="G129" i="30"/>
  <c r="F129" i="30"/>
  <c r="I128" i="30"/>
  <c r="H128" i="30"/>
  <c r="G128" i="30"/>
  <c r="F128" i="30"/>
  <c r="I127" i="30"/>
  <c r="H127" i="30"/>
  <c r="G127" i="30"/>
  <c r="F127" i="30"/>
  <c r="I126" i="30"/>
  <c r="H126" i="30"/>
  <c r="G126" i="30"/>
  <c r="F126" i="30"/>
  <c r="I125" i="30"/>
  <c r="H125" i="30"/>
  <c r="G125" i="30"/>
  <c r="F125" i="30"/>
  <c r="I124" i="30"/>
  <c r="H124" i="30"/>
  <c r="G124" i="30"/>
  <c r="F124" i="30"/>
  <c r="I123" i="30"/>
  <c r="H123" i="30"/>
  <c r="G123" i="30"/>
  <c r="F123" i="30"/>
  <c r="I122" i="30"/>
  <c r="H122" i="30"/>
  <c r="G122" i="30"/>
  <c r="F122" i="30"/>
  <c r="I121" i="30"/>
  <c r="H121" i="30"/>
  <c r="G121" i="30"/>
  <c r="F121" i="30"/>
  <c r="I120" i="30"/>
  <c r="H120" i="30"/>
  <c r="G120" i="30"/>
  <c r="F120" i="30"/>
  <c r="I119" i="30"/>
  <c r="H119" i="30"/>
  <c r="G119" i="30"/>
  <c r="F119" i="30"/>
  <c r="I118" i="30"/>
  <c r="H118" i="30"/>
  <c r="G118" i="30"/>
  <c r="F118" i="30"/>
  <c r="I117" i="30"/>
  <c r="H117" i="30"/>
  <c r="G117" i="30"/>
  <c r="F117" i="30"/>
  <c r="I116" i="30"/>
  <c r="H116" i="30"/>
  <c r="G116" i="30"/>
  <c r="F116" i="30"/>
  <c r="I115" i="30"/>
  <c r="H115" i="30"/>
  <c r="G115" i="30"/>
  <c r="F115" i="30"/>
  <c r="I114" i="30"/>
  <c r="H114" i="30"/>
  <c r="G114" i="30"/>
  <c r="F114" i="30"/>
  <c r="I113" i="30"/>
  <c r="H113" i="30"/>
  <c r="G113" i="30"/>
  <c r="F113" i="30"/>
  <c r="I112" i="30"/>
  <c r="H112" i="30"/>
  <c r="G112" i="30"/>
  <c r="F112" i="30"/>
  <c r="I111" i="30"/>
  <c r="H111" i="30"/>
  <c r="G111" i="30"/>
  <c r="F111" i="30"/>
  <c r="I110" i="30"/>
  <c r="H110" i="30"/>
  <c r="G110" i="30"/>
  <c r="F110" i="30"/>
  <c r="I109" i="30"/>
  <c r="H109" i="30"/>
  <c r="G109" i="30"/>
  <c r="F109" i="30"/>
  <c r="I108" i="30"/>
  <c r="H108" i="30"/>
  <c r="G108" i="30"/>
  <c r="F108" i="30"/>
  <c r="I107" i="30"/>
  <c r="H107" i="30"/>
  <c r="G107" i="30"/>
  <c r="F107" i="30"/>
  <c r="I106" i="30"/>
  <c r="H106" i="30"/>
  <c r="G106" i="30"/>
  <c r="F106" i="30"/>
  <c r="I105" i="30"/>
  <c r="H105" i="30"/>
  <c r="G105" i="30"/>
  <c r="F105" i="30"/>
  <c r="I104" i="30"/>
  <c r="H104" i="30"/>
  <c r="G104" i="30"/>
  <c r="F104" i="30"/>
  <c r="I103" i="30"/>
  <c r="H103" i="30"/>
  <c r="G103" i="30"/>
  <c r="F103" i="30"/>
  <c r="I102" i="30"/>
  <c r="H102" i="30"/>
  <c r="G102" i="30"/>
  <c r="F102" i="30"/>
  <c r="I101" i="30"/>
  <c r="H101" i="30"/>
  <c r="G101" i="30"/>
  <c r="F101" i="30"/>
  <c r="I100" i="30"/>
  <c r="H100" i="30"/>
  <c r="G100" i="30"/>
  <c r="F100" i="30"/>
  <c r="I99" i="30"/>
  <c r="H99" i="30"/>
  <c r="G99" i="30"/>
  <c r="F99" i="30"/>
  <c r="I98" i="30"/>
  <c r="H98" i="30"/>
  <c r="G98" i="30"/>
  <c r="F98" i="30"/>
  <c r="I97" i="30"/>
  <c r="H97" i="30"/>
  <c r="G97" i="30"/>
  <c r="F97" i="30"/>
  <c r="I96" i="30"/>
  <c r="H96" i="30"/>
  <c r="G96" i="30"/>
  <c r="F96" i="30"/>
  <c r="I95" i="30"/>
  <c r="H95" i="30"/>
  <c r="G95" i="30"/>
  <c r="F95" i="30"/>
  <c r="I94" i="30"/>
  <c r="H94" i="30"/>
  <c r="G94" i="30"/>
  <c r="F94" i="30"/>
  <c r="I93" i="30"/>
  <c r="H93" i="30"/>
  <c r="G93" i="30"/>
  <c r="F93" i="30"/>
  <c r="I92" i="30"/>
  <c r="H92" i="30"/>
  <c r="G92" i="30"/>
  <c r="F92" i="30"/>
  <c r="I91" i="30"/>
  <c r="H91" i="30"/>
  <c r="G91" i="30"/>
  <c r="F91" i="30"/>
  <c r="I90" i="30"/>
  <c r="H90" i="30"/>
  <c r="G90" i="30"/>
  <c r="F90" i="30"/>
  <c r="I89" i="30"/>
  <c r="H89" i="30"/>
  <c r="G89" i="30"/>
  <c r="F89" i="30"/>
  <c r="I88" i="30"/>
  <c r="H88" i="30"/>
  <c r="G88" i="30"/>
  <c r="F88" i="30"/>
  <c r="I87" i="30"/>
  <c r="H87" i="30"/>
  <c r="G87" i="30"/>
  <c r="F87" i="30"/>
  <c r="I86" i="30"/>
  <c r="H86" i="30"/>
  <c r="G86" i="30"/>
  <c r="F86" i="30"/>
  <c r="I85" i="30"/>
  <c r="H85" i="30"/>
  <c r="G85" i="30"/>
  <c r="F85" i="30"/>
  <c r="I84" i="30"/>
  <c r="H84" i="30"/>
  <c r="G84" i="30"/>
  <c r="F84" i="30"/>
  <c r="I83" i="30"/>
  <c r="H83" i="30"/>
  <c r="G83" i="30"/>
  <c r="F83" i="30"/>
  <c r="I82" i="30"/>
  <c r="H82" i="30"/>
  <c r="G82" i="30"/>
  <c r="F82" i="30"/>
  <c r="I81" i="30"/>
  <c r="H81" i="30"/>
  <c r="G81" i="30"/>
  <c r="F81" i="30"/>
  <c r="I80" i="30"/>
  <c r="H80" i="30"/>
  <c r="G80" i="30"/>
  <c r="F80" i="30"/>
  <c r="I79" i="30"/>
  <c r="H79" i="30"/>
  <c r="G79" i="30"/>
  <c r="F79" i="30"/>
  <c r="I78" i="30"/>
  <c r="H78" i="30"/>
  <c r="G78" i="30"/>
  <c r="F78" i="30"/>
  <c r="I77" i="30"/>
  <c r="H77" i="30"/>
  <c r="G77" i="30"/>
  <c r="F77" i="30"/>
  <c r="I76" i="30"/>
  <c r="H76" i="30"/>
  <c r="G76" i="30"/>
  <c r="F76" i="30"/>
  <c r="I75" i="30"/>
  <c r="H75" i="30"/>
  <c r="G75" i="30"/>
  <c r="F75" i="30"/>
  <c r="I74" i="30"/>
  <c r="H74" i="30"/>
  <c r="G74" i="30"/>
  <c r="F74" i="30"/>
  <c r="I73" i="30"/>
  <c r="H73" i="30"/>
  <c r="G73" i="30"/>
  <c r="F73" i="30"/>
  <c r="I72" i="30"/>
  <c r="H72" i="30"/>
  <c r="G72" i="30"/>
  <c r="F72" i="30"/>
  <c r="I71" i="30"/>
  <c r="H71" i="30"/>
  <c r="G71" i="30"/>
  <c r="F71" i="30"/>
  <c r="I70" i="30"/>
  <c r="H70" i="30"/>
  <c r="G70" i="30"/>
  <c r="F70" i="30"/>
  <c r="I69" i="30"/>
  <c r="H69" i="30"/>
  <c r="G69" i="30"/>
  <c r="F69" i="30"/>
  <c r="I68" i="30"/>
  <c r="H68" i="30"/>
  <c r="G68" i="30"/>
  <c r="F68" i="30"/>
  <c r="I67" i="30"/>
  <c r="H67" i="30"/>
  <c r="G67" i="30"/>
  <c r="F67" i="30"/>
  <c r="I66" i="30"/>
  <c r="H66" i="30"/>
  <c r="G66" i="30"/>
  <c r="F66" i="30"/>
  <c r="I65" i="30"/>
  <c r="H65" i="30"/>
  <c r="G65" i="30"/>
  <c r="F65" i="30"/>
  <c r="I64" i="30"/>
  <c r="H64" i="30"/>
  <c r="G64" i="30"/>
  <c r="F64" i="30"/>
  <c r="I63" i="30"/>
  <c r="H63" i="30"/>
  <c r="G63" i="30"/>
  <c r="F63" i="30"/>
  <c r="I62" i="30"/>
  <c r="H62" i="30"/>
  <c r="G62" i="30"/>
  <c r="F62" i="30"/>
  <c r="I61" i="30"/>
  <c r="H61" i="30"/>
  <c r="G61" i="30"/>
  <c r="F61" i="30"/>
  <c r="I60" i="30"/>
  <c r="H60" i="30"/>
  <c r="G60" i="30"/>
  <c r="F60" i="30"/>
  <c r="I59" i="30"/>
  <c r="H59" i="30"/>
  <c r="G59" i="30"/>
  <c r="F59" i="30"/>
  <c r="I58" i="30"/>
  <c r="H58" i="30"/>
  <c r="G58" i="30"/>
  <c r="F58" i="30"/>
  <c r="I57" i="30"/>
  <c r="H57" i="30"/>
  <c r="G57" i="30"/>
  <c r="F57" i="30"/>
  <c r="I56" i="30"/>
  <c r="H56" i="30"/>
  <c r="G56" i="30"/>
  <c r="F56" i="30"/>
  <c r="I55" i="30"/>
  <c r="H55" i="30"/>
  <c r="G55" i="30"/>
  <c r="F55" i="30"/>
  <c r="I54" i="30"/>
  <c r="H54" i="30"/>
  <c r="G54" i="30"/>
  <c r="F54" i="30"/>
  <c r="I53" i="30"/>
  <c r="H53" i="30"/>
  <c r="G53" i="30"/>
  <c r="F53" i="30"/>
  <c r="I52" i="30"/>
  <c r="H52" i="30"/>
  <c r="G52" i="30"/>
  <c r="F52" i="30"/>
  <c r="I51" i="30"/>
  <c r="H51" i="30"/>
  <c r="G51" i="30"/>
  <c r="F51" i="30"/>
  <c r="I50" i="30"/>
  <c r="H50" i="30"/>
  <c r="G50" i="30"/>
  <c r="F50" i="30"/>
  <c r="I49" i="30"/>
  <c r="H49" i="30"/>
  <c r="G49" i="30"/>
  <c r="F49" i="30"/>
  <c r="I48" i="30"/>
  <c r="H48" i="30"/>
  <c r="G48" i="30"/>
  <c r="F48" i="30"/>
  <c r="I47" i="30"/>
  <c r="H47" i="30"/>
  <c r="G47" i="30"/>
  <c r="F47" i="30"/>
  <c r="I46" i="30"/>
  <c r="H46" i="30"/>
  <c r="G46" i="30"/>
  <c r="F46" i="30"/>
  <c r="I45" i="30"/>
  <c r="H45" i="30"/>
  <c r="G45" i="30"/>
  <c r="F45" i="30"/>
  <c r="I44" i="30"/>
  <c r="H44" i="30"/>
  <c r="G44" i="30"/>
  <c r="F44" i="30"/>
  <c r="I43" i="30"/>
  <c r="H43" i="30"/>
  <c r="G43" i="30"/>
  <c r="F43" i="30"/>
  <c r="I42" i="30"/>
  <c r="H42" i="30"/>
  <c r="G42" i="30"/>
  <c r="F42" i="30"/>
  <c r="I41" i="30"/>
  <c r="H41" i="30"/>
  <c r="G41" i="30"/>
  <c r="F41" i="30"/>
  <c r="I40" i="30"/>
  <c r="H40" i="30"/>
  <c r="G40" i="30"/>
  <c r="F40" i="30"/>
  <c r="I39" i="30"/>
  <c r="H39" i="30"/>
  <c r="G39" i="30"/>
  <c r="F39" i="30"/>
  <c r="I38" i="30"/>
  <c r="H38" i="30"/>
  <c r="G38" i="30"/>
  <c r="F38" i="30"/>
  <c r="I37" i="30"/>
  <c r="H37" i="30"/>
  <c r="G37" i="30"/>
  <c r="F37" i="30"/>
  <c r="I36" i="30"/>
  <c r="H36" i="30"/>
  <c r="G36" i="30"/>
  <c r="F36" i="30"/>
  <c r="I35" i="30"/>
  <c r="H35" i="30"/>
  <c r="G35" i="30"/>
  <c r="F35" i="30"/>
  <c r="I34" i="30"/>
  <c r="H34" i="30"/>
  <c r="G34" i="30"/>
  <c r="F34" i="30"/>
  <c r="I33" i="30"/>
  <c r="H33" i="30"/>
  <c r="G33" i="30"/>
  <c r="F33" i="30"/>
  <c r="I32" i="30"/>
  <c r="H32" i="30"/>
  <c r="G32" i="30"/>
  <c r="F32" i="30"/>
  <c r="I31" i="30"/>
  <c r="H31" i="30"/>
  <c r="G31" i="30"/>
  <c r="F31" i="30"/>
  <c r="I30" i="30"/>
  <c r="H30" i="30"/>
  <c r="G30" i="30"/>
  <c r="F30" i="30"/>
  <c r="I29" i="30"/>
  <c r="H29" i="30"/>
  <c r="G29" i="30"/>
  <c r="F29" i="30"/>
  <c r="I28" i="30"/>
  <c r="H28" i="30"/>
  <c r="G28" i="30"/>
  <c r="F28" i="30"/>
  <c r="I27" i="30"/>
  <c r="H27" i="30"/>
  <c r="G27" i="30"/>
  <c r="F27" i="30"/>
  <c r="I26" i="30"/>
  <c r="H26" i="30"/>
  <c r="G26" i="30"/>
  <c r="F26" i="30"/>
  <c r="I25" i="30"/>
  <c r="H25" i="30"/>
  <c r="G25" i="30"/>
  <c r="F25" i="30"/>
  <c r="I24" i="30"/>
  <c r="H24" i="30"/>
  <c r="G24" i="30"/>
  <c r="F24" i="30"/>
  <c r="I23" i="30"/>
  <c r="H23" i="30"/>
  <c r="G23" i="30"/>
  <c r="F23" i="30"/>
  <c r="I22" i="30"/>
  <c r="H22" i="30"/>
  <c r="G22" i="30"/>
  <c r="F22" i="30"/>
  <c r="I21" i="30"/>
  <c r="H21" i="30"/>
  <c r="G21" i="30"/>
  <c r="F21" i="30"/>
  <c r="I20" i="30"/>
  <c r="H20" i="30"/>
  <c r="G20" i="30"/>
  <c r="F20" i="30"/>
  <c r="I19" i="30"/>
  <c r="H19" i="30"/>
  <c r="G19" i="30"/>
  <c r="F19" i="30"/>
  <c r="I18" i="30"/>
  <c r="H18" i="30"/>
  <c r="G18" i="30"/>
  <c r="F18" i="30"/>
  <c r="I17" i="30"/>
  <c r="H17" i="30"/>
  <c r="G17" i="30"/>
  <c r="F17" i="30"/>
  <c r="I16" i="30"/>
  <c r="H16" i="30"/>
  <c r="G16" i="30"/>
  <c r="F16" i="30"/>
  <c r="I15" i="30"/>
  <c r="H15" i="30"/>
  <c r="G15" i="30"/>
  <c r="F15" i="30"/>
  <c r="I14" i="30"/>
  <c r="H14" i="30"/>
  <c r="G14" i="30"/>
  <c r="F14" i="30"/>
  <c r="I13" i="30"/>
  <c r="H13" i="30"/>
  <c r="G13" i="30"/>
  <c r="F13" i="30"/>
  <c r="I12" i="30"/>
  <c r="H12" i="30"/>
  <c r="G12" i="30"/>
  <c r="F12" i="30"/>
  <c r="I658" i="26"/>
  <c r="H658" i="26"/>
  <c r="G658" i="26"/>
  <c r="F658" i="26"/>
  <c r="I657" i="26"/>
  <c r="H657" i="26"/>
  <c r="G657" i="26"/>
  <c r="F657" i="26"/>
  <c r="I656" i="26"/>
  <c r="H656" i="26"/>
  <c r="G656" i="26"/>
  <c r="F656" i="26"/>
  <c r="I655" i="26"/>
  <c r="H655" i="26"/>
  <c r="G655" i="26"/>
  <c r="F655" i="26"/>
  <c r="I654" i="26"/>
  <c r="H654" i="26"/>
  <c r="G654" i="26"/>
  <c r="F654" i="26"/>
  <c r="I653" i="26"/>
  <c r="H653" i="26"/>
  <c r="G653" i="26"/>
  <c r="F653" i="26"/>
  <c r="I652" i="26"/>
  <c r="H652" i="26"/>
  <c r="G652" i="26"/>
  <c r="F652" i="26"/>
  <c r="I651" i="26"/>
  <c r="H651" i="26"/>
  <c r="G651" i="26"/>
  <c r="F651" i="26"/>
  <c r="I650" i="26"/>
  <c r="H650" i="26"/>
  <c r="G650" i="26"/>
  <c r="F650" i="26"/>
  <c r="I649" i="26"/>
  <c r="H649" i="26"/>
  <c r="G649" i="26"/>
  <c r="F649" i="26"/>
  <c r="I648" i="26"/>
  <c r="H648" i="26"/>
  <c r="G648" i="26"/>
  <c r="F648" i="26"/>
  <c r="I647" i="26"/>
  <c r="H647" i="26"/>
  <c r="G647" i="26"/>
  <c r="F647" i="26"/>
  <c r="I646" i="26"/>
  <c r="H646" i="26"/>
  <c r="G646" i="26"/>
  <c r="F646" i="26"/>
  <c r="I645" i="26"/>
  <c r="H645" i="26"/>
  <c r="G645" i="26"/>
  <c r="F645" i="26"/>
  <c r="I644" i="26"/>
  <c r="H644" i="26"/>
  <c r="G644" i="26"/>
  <c r="F644" i="26"/>
  <c r="I643" i="26"/>
  <c r="H643" i="26"/>
  <c r="G643" i="26"/>
  <c r="F643" i="26"/>
  <c r="I642" i="26"/>
  <c r="H642" i="26"/>
  <c r="G642" i="26"/>
  <c r="F642" i="26"/>
  <c r="I641" i="26"/>
  <c r="H641" i="26"/>
  <c r="G641" i="26"/>
  <c r="F641" i="26"/>
  <c r="I640" i="26"/>
  <c r="H640" i="26"/>
  <c r="G640" i="26"/>
  <c r="F640" i="26"/>
  <c r="I639" i="26"/>
  <c r="H639" i="26"/>
  <c r="G639" i="26"/>
  <c r="F639" i="26"/>
  <c r="I638" i="26"/>
  <c r="H638" i="26"/>
  <c r="G638" i="26"/>
  <c r="F638" i="26"/>
  <c r="I637" i="26"/>
  <c r="H637" i="26"/>
  <c r="G637" i="26"/>
  <c r="F637" i="26"/>
  <c r="I636" i="26"/>
  <c r="H636" i="26"/>
  <c r="G636" i="26"/>
  <c r="F636" i="26"/>
  <c r="I635" i="26"/>
  <c r="H635" i="26"/>
  <c r="G635" i="26"/>
  <c r="F635" i="26"/>
  <c r="I634" i="26"/>
  <c r="H634" i="26"/>
  <c r="G634" i="26"/>
  <c r="F634" i="26"/>
  <c r="I633" i="26"/>
  <c r="H633" i="26"/>
  <c r="G633" i="26"/>
  <c r="F633" i="26"/>
  <c r="I632" i="26"/>
  <c r="H632" i="26"/>
  <c r="G632" i="26"/>
  <c r="F632" i="26"/>
  <c r="I631" i="26"/>
  <c r="H631" i="26"/>
  <c r="G631" i="26"/>
  <c r="F631" i="26"/>
  <c r="I630" i="26"/>
  <c r="H630" i="26"/>
  <c r="G630" i="26"/>
  <c r="F630" i="26"/>
  <c r="I629" i="26"/>
  <c r="H629" i="26"/>
  <c r="G629" i="26"/>
  <c r="F629" i="26"/>
  <c r="I628" i="26"/>
  <c r="H628" i="26"/>
  <c r="G628" i="26"/>
  <c r="F628" i="26"/>
  <c r="I627" i="26"/>
  <c r="H627" i="26"/>
  <c r="G627" i="26"/>
  <c r="F627" i="26"/>
  <c r="I626" i="26"/>
  <c r="H626" i="26"/>
  <c r="G626" i="26"/>
  <c r="F626" i="26"/>
  <c r="I625" i="26"/>
  <c r="H625" i="26"/>
  <c r="G625" i="26"/>
  <c r="F625" i="26"/>
  <c r="I624" i="26"/>
  <c r="H624" i="26"/>
  <c r="G624" i="26"/>
  <c r="F624" i="26"/>
  <c r="I623" i="26"/>
  <c r="H623" i="26"/>
  <c r="G623" i="26"/>
  <c r="F623" i="26"/>
  <c r="I622" i="26"/>
  <c r="H622" i="26"/>
  <c r="G622" i="26"/>
  <c r="F622" i="26"/>
  <c r="I621" i="26"/>
  <c r="H621" i="26"/>
  <c r="G621" i="26"/>
  <c r="F621" i="26"/>
  <c r="I620" i="26"/>
  <c r="H620" i="26"/>
  <c r="G620" i="26"/>
  <c r="F620" i="26"/>
  <c r="I619" i="26"/>
  <c r="H619" i="26"/>
  <c r="G619" i="26"/>
  <c r="F619" i="26"/>
  <c r="I618" i="26"/>
  <c r="H618" i="26"/>
  <c r="G618" i="26"/>
  <c r="F618" i="26"/>
  <c r="I617" i="26"/>
  <c r="H617" i="26"/>
  <c r="G617" i="26"/>
  <c r="F617" i="26"/>
  <c r="I616" i="26"/>
  <c r="H616" i="26"/>
  <c r="G616" i="26"/>
  <c r="F616" i="26"/>
  <c r="I615" i="26"/>
  <c r="H615" i="26"/>
  <c r="G615" i="26"/>
  <c r="F615" i="26"/>
  <c r="I614" i="26"/>
  <c r="H614" i="26"/>
  <c r="G614" i="26"/>
  <c r="F614" i="26"/>
  <c r="I613" i="26"/>
  <c r="H613" i="26"/>
  <c r="G613" i="26"/>
  <c r="F613" i="26"/>
  <c r="I612" i="26"/>
  <c r="H612" i="26"/>
  <c r="G612" i="26"/>
  <c r="F612" i="26"/>
  <c r="I611" i="26"/>
  <c r="H611" i="26"/>
  <c r="G611" i="26"/>
  <c r="F611" i="26"/>
  <c r="I610" i="26"/>
  <c r="H610" i="26"/>
  <c r="G610" i="26"/>
  <c r="F610" i="26"/>
  <c r="I609" i="26"/>
  <c r="H609" i="26"/>
  <c r="G609" i="26"/>
  <c r="F609" i="26"/>
  <c r="I608" i="26"/>
  <c r="H608" i="26"/>
  <c r="G608" i="26"/>
  <c r="F608" i="26"/>
  <c r="I607" i="26"/>
  <c r="H607" i="26"/>
  <c r="G607" i="26"/>
  <c r="F607" i="26"/>
  <c r="I606" i="26"/>
  <c r="H606" i="26"/>
  <c r="G606" i="26"/>
  <c r="F606" i="26"/>
  <c r="I605" i="26"/>
  <c r="H605" i="26"/>
  <c r="G605" i="26"/>
  <c r="F605" i="26"/>
  <c r="I604" i="26"/>
  <c r="H604" i="26"/>
  <c r="G604" i="26"/>
  <c r="F604" i="26"/>
  <c r="I603" i="26"/>
  <c r="H603" i="26"/>
  <c r="G603" i="26"/>
  <c r="F603" i="26"/>
  <c r="I602" i="26"/>
  <c r="H602" i="26"/>
  <c r="G602" i="26"/>
  <c r="F602" i="26"/>
  <c r="I601" i="26"/>
  <c r="H601" i="26"/>
  <c r="G601" i="26"/>
  <c r="F601" i="26"/>
  <c r="I600" i="26"/>
  <c r="H600" i="26"/>
  <c r="G600" i="26"/>
  <c r="F600" i="26"/>
  <c r="I599" i="26"/>
  <c r="H599" i="26"/>
  <c r="G599" i="26"/>
  <c r="F599" i="26"/>
  <c r="I598" i="26"/>
  <c r="H598" i="26"/>
  <c r="G598" i="26"/>
  <c r="F598" i="26"/>
  <c r="I597" i="26"/>
  <c r="H597" i="26"/>
  <c r="G597" i="26"/>
  <c r="F597" i="26"/>
  <c r="I596" i="26"/>
  <c r="H596" i="26"/>
  <c r="G596" i="26"/>
  <c r="F596" i="26"/>
  <c r="I595" i="26"/>
  <c r="H595" i="26"/>
  <c r="G595" i="26"/>
  <c r="F595" i="26"/>
  <c r="I594" i="26"/>
  <c r="H594" i="26"/>
  <c r="G594" i="26"/>
  <c r="F594" i="26"/>
  <c r="I593" i="26"/>
  <c r="H593" i="26"/>
  <c r="G593" i="26"/>
  <c r="F593" i="26"/>
  <c r="I592" i="26"/>
  <c r="H592" i="26"/>
  <c r="G592" i="26"/>
  <c r="F592" i="26"/>
  <c r="I591" i="26"/>
  <c r="H591" i="26"/>
  <c r="G591" i="26"/>
  <c r="F591" i="26"/>
  <c r="I590" i="26"/>
  <c r="H590" i="26"/>
  <c r="G590" i="26"/>
  <c r="F590" i="26"/>
  <c r="I589" i="26"/>
  <c r="H589" i="26"/>
  <c r="G589" i="26"/>
  <c r="F589" i="26"/>
  <c r="I588" i="26"/>
  <c r="H588" i="26"/>
  <c r="G588" i="26"/>
  <c r="F588" i="26"/>
  <c r="I587" i="26"/>
  <c r="H587" i="26"/>
  <c r="G587" i="26"/>
  <c r="F587" i="26"/>
  <c r="I586" i="26"/>
  <c r="H586" i="26"/>
  <c r="G586" i="26"/>
  <c r="F586" i="26"/>
  <c r="I585" i="26"/>
  <c r="H585" i="26"/>
  <c r="G585" i="26"/>
  <c r="F585" i="26"/>
  <c r="I584" i="26"/>
  <c r="H584" i="26"/>
  <c r="G584" i="26"/>
  <c r="F584" i="26"/>
  <c r="I583" i="26"/>
  <c r="H583" i="26"/>
  <c r="G583" i="26"/>
  <c r="F583" i="26"/>
  <c r="I582" i="26"/>
  <c r="H582" i="26"/>
  <c r="G582" i="26"/>
  <c r="F582" i="26"/>
  <c r="I581" i="26"/>
  <c r="H581" i="26"/>
  <c r="G581" i="26"/>
  <c r="F581" i="26"/>
  <c r="I580" i="26"/>
  <c r="H580" i="26"/>
  <c r="G580" i="26"/>
  <c r="F580" i="26"/>
  <c r="I579" i="26"/>
  <c r="H579" i="26"/>
  <c r="G579" i="26"/>
  <c r="F579" i="26"/>
  <c r="I578" i="26"/>
  <c r="H578" i="26"/>
  <c r="G578" i="26"/>
  <c r="F578" i="26"/>
  <c r="I577" i="26"/>
  <c r="H577" i="26"/>
  <c r="G577" i="26"/>
  <c r="F577" i="26"/>
  <c r="I576" i="26"/>
  <c r="H576" i="26"/>
  <c r="G576" i="26"/>
  <c r="F576" i="26"/>
  <c r="I575" i="26"/>
  <c r="H575" i="26"/>
  <c r="G575" i="26"/>
  <c r="F575" i="26"/>
  <c r="I574" i="26"/>
  <c r="H574" i="26"/>
  <c r="G574" i="26"/>
  <c r="F574" i="26"/>
  <c r="I573" i="26"/>
  <c r="H573" i="26"/>
  <c r="G573" i="26"/>
  <c r="F573" i="26"/>
  <c r="I572" i="26"/>
  <c r="H572" i="26"/>
  <c r="G572" i="26"/>
  <c r="F572" i="26"/>
  <c r="I571" i="26"/>
  <c r="H571" i="26"/>
  <c r="G571" i="26"/>
  <c r="F571" i="26"/>
  <c r="I570" i="26"/>
  <c r="H570" i="26"/>
  <c r="G570" i="26"/>
  <c r="F570" i="26"/>
  <c r="I569" i="26"/>
  <c r="H569" i="26"/>
  <c r="G569" i="26"/>
  <c r="F569" i="26"/>
  <c r="I568" i="26"/>
  <c r="H568" i="26"/>
  <c r="G568" i="26"/>
  <c r="F568" i="26"/>
  <c r="I567" i="26"/>
  <c r="H567" i="26"/>
  <c r="G567" i="26"/>
  <c r="F567" i="26"/>
  <c r="I566" i="26"/>
  <c r="H566" i="26"/>
  <c r="G566" i="26"/>
  <c r="F566" i="26"/>
  <c r="I565" i="26"/>
  <c r="H565" i="26"/>
  <c r="G565" i="26"/>
  <c r="F565" i="26"/>
  <c r="I564" i="26"/>
  <c r="H564" i="26"/>
  <c r="G564" i="26"/>
  <c r="F564" i="26"/>
  <c r="I563" i="26"/>
  <c r="H563" i="26"/>
  <c r="G563" i="26"/>
  <c r="F563" i="26"/>
  <c r="I562" i="26"/>
  <c r="H562" i="26"/>
  <c r="G562" i="26"/>
  <c r="F562" i="26"/>
  <c r="I561" i="26"/>
  <c r="H561" i="26"/>
  <c r="G561" i="26"/>
  <c r="F561" i="26"/>
  <c r="I560" i="26"/>
  <c r="H560" i="26"/>
  <c r="G560" i="26"/>
  <c r="F560" i="26"/>
  <c r="I559" i="26"/>
  <c r="H559" i="26"/>
  <c r="G559" i="26"/>
  <c r="F559" i="26"/>
  <c r="I558" i="26"/>
  <c r="H558" i="26"/>
  <c r="G558" i="26"/>
  <c r="F558" i="26"/>
  <c r="I557" i="26"/>
  <c r="H557" i="26"/>
  <c r="G557" i="26"/>
  <c r="F557" i="26"/>
  <c r="I556" i="26"/>
  <c r="H556" i="26"/>
  <c r="G556" i="26"/>
  <c r="F556" i="26"/>
  <c r="I555" i="26"/>
  <c r="H555" i="26"/>
  <c r="G555" i="26"/>
  <c r="F555" i="26"/>
  <c r="I554" i="26"/>
  <c r="H554" i="26"/>
  <c r="G554" i="26"/>
  <c r="F554" i="26"/>
  <c r="I553" i="26"/>
  <c r="H553" i="26"/>
  <c r="G553" i="26"/>
  <c r="F553" i="26"/>
  <c r="I552" i="26"/>
  <c r="H552" i="26"/>
  <c r="G552" i="26"/>
  <c r="F552" i="26"/>
  <c r="I551" i="26"/>
  <c r="H551" i="26"/>
  <c r="G551" i="26"/>
  <c r="F551" i="26"/>
  <c r="I550" i="26"/>
  <c r="H550" i="26"/>
  <c r="G550" i="26"/>
  <c r="F550" i="26"/>
  <c r="I549" i="26"/>
  <c r="H549" i="26"/>
  <c r="G549" i="26"/>
  <c r="F549" i="26"/>
  <c r="I548" i="26"/>
  <c r="H548" i="26"/>
  <c r="G548" i="26"/>
  <c r="F548" i="26"/>
  <c r="I547" i="26"/>
  <c r="H547" i="26"/>
  <c r="G547" i="26"/>
  <c r="F547" i="26"/>
  <c r="I546" i="26"/>
  <c r="H546" i="26"/>
  <c r="G546" i="26"/>
  <c r="F546" i="26"/>
  <c r="I545" i="26"/>
  <c r="H545" i="26"/>
  <c r="G545" i="26"/>
  <c r="F545" i="26"/>
  <c r="I544" i="26"/>
  <c r="H544" i="26"/>
  <c r="G544" i="26"/>
  <c r="F544" i="26"/>
  <c r="I543" i="26"/>
  <c r="H543" i="26"/>
  <c r="G543" i="26"/>
  <c r="F543" i="26"/>
  <c r="I542" i="26"/>
  <c r="H542" i="26"/>
  <c r="G542" i="26"/>
  <c r="F542" i="26"/>
  <c r="I541" i="26"/>
  <c r="H541" i="26"/>
  <c r="G541" i="26"/>
  <c r="F541" i="26"/>
  <c r="I540" i="26"/>
  <c r="H540" i="26"/>
  <c r="G540" i="26"/>
  <c r="F540" i="26"/>
  <c r="I539" i="26"/>
  <c r="H539" i="26"/>
  <c r="G539" i="26"/>
  <c r="F539" i="26"/>
  <c r="I538" i="26"/>
  <c r="H538" i="26"/>
  <c r="G538" i="26"/>
  <c r="F538" i="26"/>
  <c r="I537" i="26"/>
  <c r="H537" i="26"/>
  <c r="G537" i="26"/>
  <c r="F537" i="26"/>
  <c r="I536" i="26"/>
  <c r="H536" i="26"/>
  <c r="G536" i="26"/>
  <c r="F536" i="26"/>
  <c r="I535" i="26"/>
  <c r="H535" i="26"/>
  <c r="G535" i="26"/>
  <c r="F535" i="26"/>
  <c r="I534" i="26"/>
  <c r="H534" i="26"/>
  <c r="G534" i="26"/>
  <c r="F534" i="26"/>
  <c r="I533" i="26"/>
  <c r="H533" i="26"/>
  <c r="G533" i="26"/>
  <c r="F533" i="26"/>
  <c r="I532" i="26"/>
  <c r="H532" i="26"/>
  <c r="G532" i="26"/>
  <c r="F532" i="26"/>
  <c r="I531" i="26"/>
  <c r="H531" i="26"/>
  <c r="G531" i="26"/>
  <c r="F531" i="26"/>
  <c r="I530" i="26"/>
  <c r="H530" i="26"/>
  <c r="G530" i="26"/>
  <c r="F530" i="26"/>
  <c r="I529" i="26"/>
  <c r="H529" i="26"/>
  <c r="G529" i="26"/>
  <c r="F529" i="26"/>
  <c r="I528" i="26"/>
  <c r="H528" i="26"/>
  <c r="G528" i="26"/>
  <c r="F528" i="26"/>
  <c r="I527" i="26"/>
  <c r="H527" i="26"/>
  <c r="G527" i="26"/>
  <c r="F527" i="26"/>
  <c r="I526" i="26"/>
  <c r="H526" i="26"/>
  <c r="G526" i="26"/>
  <c r="F526" i="26"/>
  <c r="I525" i="26"/>
  <c r="H525" i="26"/>
  <c r="G525" i="26"/>
  <c r="F525" i="26"/>
  <c r="I524" i="26"/>
  <c r="H524" i="26"/>
  <c r="G524" i="26"/>
  <c r="F524" i="26"/>
  <c r="I523" i="26"/>
  <c r="H523" i="26"/>
  <c r="G523" i="26"/>
  <c r="F523" i="26"/>
  <c r="I522" i="26"/>
  <c r="H522" i="26"/>
  <c r="G522" i="26"/>
  <c r="F522" i="26"/>
  <c r="I521" i="26"/>
  <c r="H521" i="26"/>
  <c r="G521" i="26"/>
  <c r="F521" i="26"/>
  <c r="I520" i="26"/>
  <c r="H520" i="26"/>
  <c r="G520" i="26"/>
  <c r="F520" i="26"/>
  <c r="I519" i="26"/>
  <c r="H519" i="26"/>
  <c r="G519" i="26"/>
  <c r="F519" i="26"/>
  <c r="I518" i="26"/>
  <c r="H518" i="26"/>
  <c r="G518" i="26"/>
  <c r="F518" i="26"/>
  <c r="I517" i="26"/>
  <c r="H517" i="26"/>
  <c r="G517" i="26"/>
  <c r="F517" i="26"/>
  <c r="I516" i="26"/>
  <c r="H516" i="26"/>
  <c r="G516" i="26"/>
  <c r="F516" i="26"/>
  <c r="I515" i="26"/>
  <c r="H515" i="26"/>
  <c r="G515" i="26"/>
  <c r="F515" i="26"/>
  <c r="I514" i="26"/>
  <c r="H514" i="26"/>
  <c r="G514" i="26"/>
  <c r="F514" i="26"/>
  <c r="I513" i="26"/>
  <c r="H513" i="26"/>
  <c r="G513" i="26"/>
  <c r="F513" i="26"/>
  <c r="I512" i="26"/>
  <c r="H512" i="26"/>
  <c r="G512" i="26"/>
  <c r="F512" i="26"/>
  <c r="I511" i="26"/>
  <c r="H511" i="26"/>
  <c r="G511" i="26"/>
  <c r="F511" i="26"/>
  <c r="I510" i="26"/>
  <c r="H510" i="26"/>
  <c r="G510" i="26"/>
  <c r="F510" i="26"/>
  <c r="I509" i="26"/>
  <c r="H509" i="26"/>
  <c r="G509" i="26"/>
  <c r="F509" i="26"/>
  <c r="I508" i="26"/>
  <c r="H508" i="26"/>
  <c r="G508" i="26"/>
  <c r="F508" i="26"/>
  <c r="I507" i="26"/>
  <c r="H507" i="26"/>
  <c r="G507" i="26"/>
  <c r="F507" i="26"/>
  <c r="I506" i="26"/>
  <c r="H506" i="26"/>
  <c r="G506" i="26"/>
  <c r="F506" i="26"/>
  <c r="I505" i="26"/>
  <c r="H505" i="26"/>
  <c r="G505" i="26"/>
  <c r="F505" i="26"/>
  <c r="I504" i="26"/>
  <c r="H504" i="26"/>
  <c r="G504" i="26"/>
  <c r="F504" i="26"/>
  <c r="I503" i="26"/>
  <c r="H503" i="26"/>
  <c r="G503" i="26"/>
  <c r="F503" i="26"/>
  <c r="I502" i="26"/>
  <c r="H502" i="26"/>
  <c r="G502" i="26"/>
  <c r="F502" i="26"/>
  <c r="I501" i="26"/>
  <c r="H501" i="26"/>
  <c r="G501" i="26"/>
  <c r="F501" i="26"/>
  <c r="I500" i="26"/>
  <c r="H500" i="26"/>
  <c r="G500" i="26"/>
  <c r="F500" i="26"/>
  <c r="I499" i="26"/>
  <c r="H499" i="26"/>
  <c r="G499" i="26"/>
  <c r="F499" i="26"/>
  <c r="I498" i="26"/>
  <c r="H498" i="26"/>
  <c r="G498" i="26"/>
  <c r="F498" i="26"/>
  <c r="I497" i="26"/>
  <c r="H497" i="26"/>
  <c r="G497" i="26"/>
  <c r="F497" i="26"/>
  <c r="I496" i="26"/>
  <c r="H496" i="26"/>
  <c r="G496" i="26"/>
  <c r="F496" i="26"/>
  <c r="I495" i="26"/>
  <c r="H495" i="26"/>
  <c r="G495" i="26"/>
  <c r="F495" i="26"/>
  <c r="I494" i="26"/>
  <c r="H494" i="26"/>
  <c r="G494" i="26"/>
  <c r="F494" i="26"/>
  <c r="I493" i="26"/>
  <c r="H493" i="26"/>
  <c r="G493" i="26"/>
  <c r="F493" i="26"/>
  <c r="I492" i="26"/>
  <c r="H492" i="26"/>
  <c r="G492" i="26"/>
  <c r="F492" i="26"/>
  <c r="I491" i="26"/>
  <c r="H491" i="26"/>
  <c r="G491" i="26"/>
  <c r="F491" i="26"/>
  <c r="I490" i="26"/>
  <c r="H490" i="26"/>
  <c r="G490" i="26"/>
  <c r="F490" i="26"/>
  <c r="I489" i="26"/>
  <c r="H489" i="26"/>
  <c r="G489" i="26"/>
  <c r="F489" i="26"/>
  <c r="I488" i="26"/>
  <c r="H488" i="26"/>
  <c r="G488" i="26"/>
  <c r="F488" i="26"/>
  <c r="I487" i="26"/>
  <c r="H487" i="26"/>
  <c r="G487" i="26"/>
  <c r="F487" i="26"/>
  <c r="I486" i="26"/>
  <c r="H486" i="26"/>
  <c r="G486" i="26"/>
  <c r="F486" i="26"/>
  <c r="I485" i="26"/>
  <c r="H485" i="26"/>
  <c r="G485" i="26"/>
  <c r="F485" i="26"/>
  <c r="I484" i="26"/>
  <c r="H484" i="26"/>
  <c r="G484" i="26"/>
  <c r="F484" i="26"/>
  <c r="I483" i="26"/>
  <c r="H483" i="26"/>
  <c r="G483" i="26"/>
  <c r="F483" i="26"/>
  <c r="I482" i="26"/>
  <c r="H482" i="26"/>
  <c r="G482" i="26"/>
  <c r="F482" i="26"/>
  <c r="I481" i="26"/>
  <c r="H481" i="26"/>
  <c r="G481" i="26"/>
  <c r="F481" i="26"/>
  <c r="I480" i="26"/>
  <c r="H480" i="26"/>
  <c r="G480" i="26"/>
  <c r="F480" i="26"/>
  <c r="I479" i="26"/>
  <c r="H479" i="26"/>
  <c r="G479" i="26"/>
  <c r="F479" i="26"/>
  <c r="I478" i="26"/>
  <c r="H478" i="26"/>
  <c r="G478" i="26"/>
  <c r="F478" i="26"/>
  <c r="I477" i="26"/>
  <c r="H477" i="26"/>
  <c r="G477" i="26"/>
  <c r="F477" i="26"/>
  <c r="I476" i="26"/>
  <c r="H476" i="26"/>
  <c r="G476" i="26"/>
  <c r="F476" i="26"/>
  <c r="I475" i="26"/>
  <c r="H475" i="26"/>
  <c r="G475" i="26"/>
  <c r="F475" i="26"/>
  <c r="I474" i="26"/>
  <c r="H474" i="26"/>
  <c r="G474" i="26"/>
  <c r="F474" i="26"/>
  <c r="I473" i="26"/>
  <c r="H473" i="26"/>
  <c r="G473" i="26"/>
  <c r="F473" i="26"/>
  <c r="I472" i="26"/>
  <c r="H472" i="26"/>
  <c r="G472" i="26"/>
  <c r="F472" i="26"/>
  <c r="I471" i="26"/>
  <c r="H471" i="26"/>
  <c r="G471" i="26"/>
  <c r="F471" i="26"/>
  <c r="I470" i="26"/>
  <c r="H470" i="26"/>
  <c r="G470" i="26"/>
  <c r="F470" i="26"/>
  <c r="I469" i="26"/>
  <c r="H469" i="26"/>
  <c r="G469" i="26"/>
  <c r="F469" i="26"/>
  <c r="I468" i="26"/>
  <c r="H468" i="26"/>
  <c r="G468" i="26"/>
  <c r="F468" i="26"/>
  <c r="I467" i="26"/>
  <c r="H467" i="26"/>
  <c r="G467" i="26"/>
  <c r="F467" i="26"/>
  <c r="I466" i="26"/>
  <c r="H466" i="26"/>
  <c r="G466" i="26"/>
  <c r="F466" i="26"/>
  <c r="I465" i="26"/>
  <c r="H465" i="26"/>
  <c r="G465" i="26"/>
  <c r="F465" i="26"/>
  <c r="I464" i="26"/>
  <c r="H464" i="26"/>
  <c r="G464" i="26"/>
  <c r="F464" i="26"/>
  <c r="I463" i="26"/>
  <c r="H463" i="26"/>
  <c r="G463" i="26"/>
  <c r="F463" i="26"/>
  <c r="I462" i="26"/>
  <c r="H462" i="26"/>
  <c r="G462" i="26"/>
  <c r="F462" i="26"/>
  <c r="I461" i="26"/>
  <c r="H461" i="26"/>
  <c r="G461" i="26"/>
  <c r="F461" i="26"/>
  <c r="I460" i="26"/>
  <c r="H460" i="26"/>
  <c r="G460" i="26"/>
  <c r="F460" i="26"/>
  <c r="I459" i="26"/>
  <c r="H459" i="26"/>
  <c r="G459" i="26"/>
  <c r="F459" i="26"/>
  <c r="I458" i="26"/>
  <c r="H458" i="26"/>
  <c r="G458" i="26"/>
  <c r="F458" i="26"/>
  <c r="I457" i="26"/>
  <c r="H457" i="26"/>
  <c r="G457" i="26"/>
  <c r="F457" i="26"/>
  <c r="I456" i="26"/>
  <c r="H456" i="26"/>
  <c r="G456" i="26"/>
  <c r="F456" i="26"/>
  <c r="I455" i="26"/>
  <c r="H455" i="26"/>
  <c r="G455" i="26"/>
  <c r="F455" i="26"/>
  <c r="I454" i="26"/>
  <c r="H454" i="26"/>
  <c r="G454" i="26"/>
  <c r="F454" i="26"/>
  <c r="I453" i="26"/>
  <c r="H453" i="26"/>
  <c r="G453" i="26"/>
  <c r="F453" i="26"/>
  <c r="I452" i="26"/>
  <c r="H452" i="26"/>
  <c r="G452" i="26"/>
  <c r="F452" i="26"/>
  <c r="I451" i="26"/>
  <c r="H451" i="26"/>
  <c r="G451" i="26"/>
  <c r="F451" i="26"/>
  <c r="I450" i="26"/>
  <c r="H450" i="26"/>
  <c r="G450" i="26"/>
  <c r="F450" i="26"/>
  <c r="I449" i="26"/>
  <c r="H449" i="26"/>
  <c r="G449" i="26"/>
  <c r="F449" i="26"/>
  <c r="I448" i="26"/>
  <c r="H448" i="26"/>
  <c r="G448" i="26"/>
  <c r="F448" i="26"/>
  <c r="I447" i="26"/>
  <c r="H447" i="26"/>
  <c r="G447" i="26"/>
  <c r="F447" i="26"/>
  <c r="I446" i="26"/>
  <c r="H446" i="26"/>
  <c r="G446" i="26"/>
  <c r="F446" i="26"/>
  <c r="I445" i="26"/>
  <c r="H445" i="26"/>
  <c r="G445" i="26"/>
  <c r="F445" i="26"/>
  <c r="I444" i="26"/>
  <c r="H444" i="26"/>
  <c r="G444" i="26"/>
  <c r="F444" i="26"/>
  <c r="I443" i="26"/>
  <c r="H443" i="26"/>
  <c r="G443" i="26"/>
  <c r="F443" i="26"/>
  <c r="I442" i="26"/>
  <c r="H442" i="26"/>
  <c r="G442" i="26"/>
  <c r="F442" i="26"/>
  <c r="I441" i="26"/>
  <c r="H441" i="26"/>
  <c r="G441" i="26"/>
  <c r="F441" i="26"/>
  <c r="I440" i="26"/>
  <c r="H440" i="26"/>
  <c r="G440" i="26"/>
  <c r="F440" i="26"/>
  <c r="I439" i="26"/>
  <c r="H439" i="26"/>
  <c r="G439" i="26"/>
  <c r="F439" i="26"/>
  <c r="I438" i="26"/>
  <c r="H438" i="26"/>
  <c r="G438" i="26"/>
  <c r="F438" i="26"/>
  <c r="I437" i="26"/>
  <c r="H437" i="26"/>
  <c r="G437" i="26"/>
  <c r="F437" i="26"/>
  <c r="I436" i="26"/>
  <c r="H436" i="26"/>
  <c r="G436" i="26"/>
  <c r="F436" i="26"/>
  <c r="I435" i="26"/>
  <c r="H435" i="26"/>
  <c r="G435" i="26"/>
  <c r="F435" i="26"/>
  <c r="I434" i="26"/>
  <c r="H434" i="26"/>
  <c r="G434" i="26"/>
  <c r="F434" i="26"/>
  <c r="I433" i="26"/>
  <c r="H433" i="26"/>
  <c r="G433" i="26"/>
  <c r="F433" i="26"/>
  <c r="I432" i="26"/>
  <c r="H432" i="26"/>
  <c r="G432" i="26"/>
  <c r="F432" i="26"/>
  <c r="I431" i="26"/>
  <c r="H431" i="26"/>
  <c r="G431" i="26"/>
  <c r="F431" i="26"/>
  <c r="I430" i="26"/>
  <c r="H430" i="26"/>
  <c r="G430" i="26"/>
  <c r="F430" i="26"/>
  <c r="I429" i="26"/>
  <c r="H429" i="26"/>
  <c r="G429" i="26"/>
  <c r="F429" i="26"/>
  <c r="I428" i="26"/>
  <c r="H428" i="26"/>
  <c r="G428" i="26"/>
  <c r="F428" i="26"/>
  <c r="I427" i="26"/>
  <c r="H427" i="26"/>
  <c r="G427" i="26"/>
  <c r="F427" i="26"/>
  <c r="I426" i="26"/>
  <c r="H426" i="26"/>
  <c r="G426" i="26"/>
  <c r="F426" i="26"/>
  <c r="I425" i="26"/>
  <c r="H425" i="26"/>
  <c r="G425" i="26"/>
  <c r="F425" i="26"/>
  <c r="I424" i="26"/>
  <c r="H424" i="26"/>
  <c r="G424" i="26"/>
  <c r="F424" i="26"/>
  <c r="I423" i="26"/>
  <c r="H423" i="26"/>
  <c r="G423" i="26"/>
  <c r="F423" i="26"/>
  <c r="I422" i="26"/>
  <c r="H422" i="26"/>
  <c r="G422" i="26"/>
  <c r="F422" i="26"/>
  <c r="I421" i="26"/>
  <c r="H421" i="26"/>
  <c r="G421" i="26"/>
  <c r="F421" i="26"/>
  <c r="I420" i="26"/>
  <c r="H420" i="26"/>
  <c r="G420" i="26"/>
  <c r="F420" i="26"/>
  <c r="I419" i="26"/>
  <c r="H419" i="26"/>
  <c r="G419" i="26"/>
  <c r="F419" i="26"/>
  <c r="I418" i="26"/>
  <c r="H418" i="26"/>
  <c r="G418" i="26"/>
  <c r="F418" i="26"/>
  <c r="I417" i="26"/>
  <c r="H417" i="26"/>
  <c r="G417" i="26"/>
  <c r="F417" i="26"/>
  <c r="I416" i="26"/>
  <c r="H416" i="26"/>
  <c r="G416" i="26"/>
  <c r="F416" i="26"/>
  <c r="I415" i="26"/>
  <c r="H415" i="26"/>
  <c r="G415" i="26"/>
  <c r="F415" i="26"/>
  <c r="I414" i="26"/>
  <c r="H414" i="26"/>
  <c r="G414" i="26"/>
  <c r="F414" i="26"/>
  <c r="I413" i="26"/>
  <c r="H413" i="26"/>
  <c r="G413" i="26"/>
  <c r="F413" i="26"/>
  <c r="I412" i="26"/>
  <c r="H412" i="26"/>
  <c r="G412" i="26"/>
  <c r="F412" i="26"/>
  <c r="I411" i="26"/>
  <c r="H411" i="26"/>
  <c r="G411" i="26"/>
  <c r="F411" i="26"/>
  <c r="I410" i="26"/>
  <c r="H410" i="26"/>
  <c r="G410" i="26"/>
  <c r="F410" i="26"/>
  <c r="I409" i="26"/>
  <c r="H409" i="26"/>
  <c r="G409" i="26"/>
  <c r="F409" i="26"/>
  <c r="I408" i="26"/>
  <c r="H408" i="26"/>
  <c r="G408" i="26"/>
  <c r="F408" i="26"/>
  <c r="I407" i="26"/>
  <c r="H407" i="26"/>
  <c r="G407" i="26"/>
  <c r="F407" i="26"/>
  <c r="I406" i="26"/>
  <c r="H406" i="26"/>
  <c r="G406" i="26"/>
  <c r="F406" i="26"/>
  <c r="I405" i="26"/>
  <c r="H405" i="26"/>
  <c r="G405" i="26"/>
  <c r="F405" i="26"/>
  <c r="I404" i="26"/>
  <c r="H404" i="26"/>
  <c r="G404" i="26"/>
  <c r="F404" i="26"/>
  <c r="I403" i="26"/>
  <c r="H403" i="26"/>
  <c r="G403" i="26"/>
  <c r="F403" i="26"/>
  <c r="I402" i="26"/>
  <c r="H402" i="26"/>
  <c r="G402" i="26"/>
  <c r="F402" i="26"/>
  <c r="I401" i="26"/>
  <c r="H401" i="26"/>
  <c r="G401" i="26"/>
  <c r="F401" i="26"/>
  <c r="I400" i="26"/>
  <c r="H400" i="26"/>
  <c r="G400" i="26"/>
  <c r="F400" i="26"/>
  <c r="I399" i="26"/>
  <c r="H399" i="26"/>
  <c r="G399" i="26"/>
  <c r="F399" i="26"/>
  <c r="I398" i="26"/>
  <c r="H398" i="26"/>
  <c r="G398" i="26"/>
  <c r="F398" i="26"/>
  <c r="I397" i="26"/>
  <c r="H397" i="26"/>
  <c r="G397" i="26"/>
  <c r="F397" i="26"/>
  <c r="I396" i="26"/>
  <c r="H396" i="26"/>
  <c r="G396" i="26"/>
  <c r="F396" i="26"/>
  <c r="I395" i="26"/>
  <c r="H395" i="26"/>
  <c r="G395" i="26"/>
  <c r="F395" i="26"/>
  <c r="I394" i="26"/>
  <c r="H394" i="26"/>
  <c r="G394" i="26"/>
  <c r="F394" i="26"/>
  <c r="I393" i="26"/>
  <c r="H393" i="26"/>
  <c r="G393" i="26"/>
  <c r="F393" i="26"/>
  <c r="I392" i="26"/>
  <c r="H392" i="26"/>
  <c r="G392" i="26"/>
  <c r="F392" i="26"/>
  <c r="I391" i="26"/>
  <c r="H391" i="26"/>
  <c r="G391" i="26"/>
  <c r="F391" i="26"/>
  <c r="I390" i="26"/>
  <c r="H390" i="26"/>
  <c r="G390" i="26"/>
  <c r="F390" i="26"/>
  <c r="I389" i="26"/>
  <c r="H389" i="26"/>
  <c r="G389" i="26"/>
  <c r="F389" i="26"/>
  <c r="I388" i="26"/>
  <c r="H388" i="26"/>
  <c r="G388" i="26"/>
  <c r="F388" i="26"/>
  <c r="I387" i="26"/>
  <c r="H387" i="26"/>
  <c r="G387" i="26"/>
  <c r="F387" i="26"/>
  <c r="I386" i="26"/>
  <c r="H386" i="26"/>
  <c r="G386" i="26"/>
  <c r="F386" i="26"/>
  <c r="I385" i="26"/>
  <c r="H385" i="26"/>
  <c r="G385" i="26"/>
  <c r="F385" i="26"/>
  <c r="I384" i="26"/>
  <c r="H384" i="26"/>
  <c r="G384" i="26"/>
  <c r="F384" i="26"/>
  <c r="I383" i="26"/>
  <c r="H383" i="26"/>
  <c r="G383" i="26"/>
  <c r="F383" i="26"/>
  <c r="I382" i="26"/>
  <c r="H382" i="26"/>
  <c r="G382" i="26"/>
  <c r="F382" i="26"/>
  <c r="I381" i="26"/>
  <c r="H381" i="26"/>
  <c r="G381" i="26"/>
  <c r="F381" i="26"/>
  <c r="I380" i="26"/>
  <c r="H380" i="26"/>
  <c r="G380" i="26"/>
  <c r="F380" i="26"/>
  <c r="I379" i="26"/>
  <c r="H379" i="26"/>
  <c r="G379" i="26"/>
  <c r="F379" i="26"/>
  <c r="I378" i="26"/>
  <c r="H378" i="26"/>
  <c r="G378" i="26"/>
  <c r="F378" i="26"/>
  <c r="I377" i="26"/>
  <c r="H377" i="26"/>
  <c r="G377" i="26"/>
  <c r="F377" i="26"/>
  <c r="I376" i="26"/>
  <c r="H376" i="26"/>
  <c r="G376" i="26"/>
  <c r="F376" i="26"/>
  <c r="I375" i="26"/>
  <c r="H375" i="26"/>
  <c r="G375" i="26"/>
  <c r="F375" i="26"/>
  <c r="I374" i="26"/>
  <c r="H374" i="26"/>
  <c r="G374" i="26"/>
  <c r="F374" i="26"/>
  <c r="I373" i="26"/>
  <c r="H373" i="26"/>
  <c r="G373" i="26"/>
  <c r="F373" i="26"/>
  <c r="I372" i="26"/>
  <c r="H372" i="26"/>
  <c r="G372" i="26"/>
  <c r="F372" i="26"/>
  <c r="I371" i="26"/>
  <c r="H371" i="26"/>
  <c r="G371" i="26"/>
  <c r="F371" i="26"/>
  <c r="I370" i="26"/>
  <c r="H370" i="26"/>
  <c r="G370" i="26"/>
  <c r="F370" i="26"/>
  <c r="I369" i="26"/>
  <c r="H369" i="26"/>
  <c r="G369" i="26"/>
  <c r="F369" i="26"/>
  <c r="I368" i="26"/>
  <c r="H368" i="26"/>
  <c r="G368" i="26"/>
  <c r="F368" i="26"/>
  <c r="I367" i="26"/>
  <c r="H367" i="26"/>
  <c r="G367" i="26"/>
  <c r="F367" i="26"/>
  <c r="I366" i="26"/>
  <c r="H366" i="26"/>
  <c r="G366" i="26"/>
  <c r="F366" i="26"/>
  <c r="I365" i="26"/>
  <c r="H365" i="26"/>
  <c r="G365" i="26"/>
  <c r="F365" i="26"/>
  <c r="I364" i="26"/>
  <c r="H364" i="26"/>
  <c r="G364" i="26"/>
  <c r="F364" i="26"/>
  <c r="I363" i="26"/>
  <c r="H363" i="26"/>
  <c r="G363" i="26"/>
  <c r="F363" i="26"/>
  <c r="I362" i="26"/>
  <c r="H362" i="26"/>
  <c r="G362" i="26"/>
  <c r="F362" i="26"/>
  <c r="I361" i="26"/>
  <c r="H361" i="26"/>
  <c r="G361" i="26"/>
  <c r="F361" i="26"/>
  <c r="I360" i="26"/>
  <c r="H360" i="26"/>
  <c r="G360" i="26"/>
  <c r="F360" i="26"/>
  <c r="I359" i="26"/>
  <c r="H359" i="26"/>
  <c r="G359" i="26"/>
  <c r="F359" i="26"/>
  <c r="I358" i="26"/>
  <c r="H358" i="26"/>
  <c r="G358" i="26"/>
  <c r="F358" i="26"/>
  <c r="I357" i="26"/>
  <c r="H357" i="26"/>
  <c r="G357" i="26"/>
  <c r="F357" i="26"/>
  <c r="I356" i="26"/>
  <c r="H356" i="26"/>
  <c r="G356" i="26"/>
  <c r="F356" i="26"/>
  <c r="I355" i="26"/>
  <c r="H355" i="26"/>
  <c r="G355" i="26"/>
  <c r="F355" i="26"/>
  <c r="I354" i="26"/>
  <c r="H354" i="26"/>
  <c r="G354" i="26"/>
  <c r="F354" i="26"/>
  <c r="I353" i="26"/>
  <c r="H353" i="26"/>
  <c r="G353" i="26"/>
  <c r="F353" i="26"/>
  <c r="I352" i="26"/>
  <c r="H352" i="26"/>
  <c r="G352" i="26"/>
  <c r="F352" i="26"/>
  <c r="I351" i="26"/>
  <c r="H351" i="26"/>
  <c r="G351" i="26"/>
  <c r="F351" i="26"/>
  <c r="I350" i="26"/>
  <c r="H350" i="26"/>
  <c r="G350" i="26"/>
  <c r="F350" i="26"/>
  <c r="I349" i="26"/>
  <c r="H349" i="26"/>
  <c r="G349" i="26"/>
  <c r="F349" i="26"/>
  <c r="I348" i="26"/>
  <c r="H348" i="26"/>
  <c r="G348" i="26"/>
  <c r="F348" i="26"/>
  <c r="I347" i="26"/>
  <c r="H347" i="26"/>
  <c r="G347" i="26"/>
  <c r="F347" i="26"/>
  <c r="I346" i="26"/>
  <c r="H346" i="26"/>
  <c r="G346" i="26"/>
  <c r="F346" i="26"/>
  <c r="I345" i="26"/>
  <c r="H345" i="26"/>
  <c r="G345" i="26"/>
  <c r="F345" i="26"/>
  <c r="I344" i="26"/>
  <c r="H344" i="26"/>
  <c r="G344" i="26"/>
  <c r="F344" i="26"/>
  <c r="I343" i="26"/>
  <c r="H343" i="26"/>
  <c r="G343" i="26"/>
  <c r="F343" i="26"/>
  <c r="I342" i="26"/>
  <c r="H342" i="26"/>
  <c r="G342" i="26"/>
  <c r="F342" i="26"/>
  <c r="I341" i="26"/>
  <c r="H341" i="26"/>
  <c r="G341" i="26"/>
  <c r="F341" i="26"/>
  <c r="I340" i="26"/>
  <c r="H340" i="26"/>
  <c r="G340" i="26"/>
  <c r="F340" i="26"/>
  <c r="I339" i="26"/>
  <c r="H339" i="26"/>
  <c r="G339" i="26"/>
  <c r="F339" i="26"/>
  <c r="I338" i="26"/>
  <c r="H338" i="26"/>
  <c r="G338" i="26"/>
  <c r="F338" i="26"/>
  <c r="I337" i="26"/>
  <c r="H337" i="26"/>
  <c r="G337" i="26"/>
  <c r="F337" i="26"/>
  <c r="I336" i="26"/>
  <c r="H336" i="26"/>
  <c r="G336" i="26"/>
  <c r="F336" i="26"/>
  <c r="I335" i="26"/>
  <c r="H335" i="26"/>
  <c r="G335" i="26"/>
  <c r="F335" i="26"/>
  <c r="I334" i="26"/>
  <c r="H334" i="26"/>
  <c r="G334" i="26"/>
  <c r="F334" i="26"/>
  <c r="I333" i="26"/>
  <c r="H333" i="26"/>
  <c r="G333" i="26"/>
  <c r="F333" i="26"/>
  <c r="I332" i="26"/>
  <c r="H332" i="26"/>
  <c r="G332" i="26"/>
  <c r="F332" i="26"/>
  <c r="I331" i="26"/>
  <c r="H331" i="26"/>
  <c r="G331" i="26"/>
  <c r="F331" i="26"/>
  <c r="I330" i="26"/>
  <c r="H330" i="26"/>
  <c r="G330" i="26"/>
  <c r="F330" i="26"/>
  <c r="I329" i="26"/>
  <c r="H329" i="26"/>
  <c r="G329" i="26"/>
  <c r="F329" i="26"/>
  <c r="I328" i="26"/>
  <c r="H328" i="26"/>
  <c r="G328" i="26"/>
  <c r="F328" i="26"/>
  <c r="I327" i="26"/>
  <c r="H327" i="26"/>
  <c r="G327" i="26"/>
  <c r="F327" i="26"/>
  <c r="I326" i="26"/>
  <c r="H326" i="26"/>
  <c r="G326" i="26"/>
  <c r="F326" i="26"/>
  <c r="I325" i="26"/>
  <c r="H325" i="26"/>
  <c r="G325" i="26"/>
  <c r="F325" i="26"/>
  <c r="I324" i="26"/>
  <c r="H324" i="26"/>
  <c r="G324" i="26"/>
  <c r="F324" i="26"/>
  <c r="I323" i="26"/>
  <c r="H323" i="26"/>
  <c r="G323" i="26"/>
  <c r="F323" i="26"/>
  <c r="I322" i="26"/>
  <c r="H322" i="26"/>
  <c r="G322" i="26"/>
  <c r="F322" i="26"/>
  <c r="I321" i="26"/>
  <c r="H321" i="26"/>
  <c r="G321" i="26"/>
  <c r="F321" i="26"/>
  <c r="I320" i="26"/>
  <c r="H320" i="26"/>
  <c r="G320" i="26"/>
  <c r="F320" i="26"/>
  <c r="I319" i="26"/>
  <c r="H319" i="26"/>
  <c r="G319" i="26"/>
  <c r="F319" i="26"/>
  <c r="I318" i="26"/>
  <c r="H318" i="26"/>
  <c r="G318" i="26"/>
  <c r="F318" i="26"/>
  <c r="I317" i="26"/>
  <c r="H317" i="26"/>
  <c r="G317" i="26"/>
  <c r="F317" i="26"/>
  <c r="I316" i="26"/>
  <c r="H316" i="26"/>
  <c r="G316" i="26"/>
  <c r="F316" i="26"/>
  <c r="I315" i="26"/>
  <c r="H315" i="26"/>
  <c r="G315" i="26"/>
  <c r="F315" i="26"/>
  <c r="I314" i="26"/>
  <c r="H314" i="26"/>
  <c r="G314" i="26"/>
  <c r="F314" i="26"/>
  <c r="I313" i="26"/>
  <c r="H313" i="26"/>
  <c r="G313" i="26"/>
  <c r="F313" i="26"/>
  <c r="I312" i="26"/>
  <c r="H312" i="26"/>
  <c r="G312" i="26"/>
  <c r="F312" i="26"/>
  <c r="I311" i="26"/>
  <c r="H311" i="26"/>
  <c r="G311" i="26"/>
  <c r="F311" i="26"/>
  <c r="I310" i="26"/>
  <c r="H310" i="26"/>
  <c r="G310" i="26"/>
  <c r="F310" i="26"/>
  <c r="I309" i="26"/>
  <c r="H309" i="26"/>
  <c r="G309" i="26"/>
  <c r="F309" i="26"/>
  <c r="I308" i="26"/>
  <c r="H308" i="26"/>
  <c r="G308" i="26"/>
  <c r="F308" i="26"/>
  <c r="I307" i="26"/>
  <c r="H307" i="26"/>
  <c r="G307" i="26"/>
  <c r="F307" i="26"/>
  <c r="I306" i="26"/>
  <c r="H306" i="26"/>
  <c r="G306" i="26"/>
  <c r="F306" i="26"/>
  <c r="I305" i="26"/>
  <c r="H305" i="26"/>
  <c r="G305" i="26"/>
  <c r="F305" i="26"/>
  <c r="I304" i="26"/>
  <c r="H304" i="26"/>
  <c r="G304" i="26"/>
  <c r="F304" i="26"/>
  <c r="I303" i="26"/>
  <c r="H303" i="26"/>
  <c r="G303" i="26"/>
  <c r="F303" i="26"/>
  <c r="I302" i="26"/>
  <c r="H302" i="26"/>
  <c r="G302" i="26"/>
  <c r="F302" i="26"/>
  <c r="I301" i="26"/>
  <c r="H301" i="26"/>
  <c r="G301" i="26"/>
  <c r="F301" i="26"/>
  <c r="I300" i="26"/>
  <c r="H300" i="26"/>
  <c r="G300" i="26"/>
  <c r="F300" i="26"/>
  <c r="I299" i="26"/>
  <c r="H299" i="26"/>
  <c r="G299" i="26"/>
  <c r="F299" i="26"/>
  <c r="I298" i="26"/>
  <c r="H298" i="26"/>
  <c r="G298" i="26"/>
  <c r="F298" i="26"/>
  <c r="I297" i="26"/>
  <c r="H297" i="26"/>
  <c r="G297" i="26"/>
  <c r="F297" i="26"/>
  <c r="I296" i="26"/>
  <c r="H296" i="26"/>
  <c r="G296" i="26"/>
  <c r="F296" i="26"/>
  <c r="I295" i="26"/>
  <c r="H295" i="26"/>
  <c r="G295" i="26"/>
  <c r="F295" i="26"/>
  <c r="I294" i="26"/>
  <c r="H294" i="26"/>
  <c r="G294" i="26"/>
  <c r="F294" i="26"/>
  <c r="I293" i="26"/>
  <c r="H293" i="26"/>
  <c r="G293" i="26"/>
  <c r="F293" i="26"/>
  <c r="I292" i="26"/>
  <c r="H292" i="26"/>
  <c r="G292" i="26"/>
  <c r="F292" i="26"/>
  <c r="I291" i="26"/>
  <c r="H291" i="26"/>
  <c r="G291" i="26"/>
  <c r="F291" i="26"/>
  <c r="I290" i="26"/>
  <c r="H290" i="26"/>
  <c r="G290" i="26"/>
  <c r="F290" i="26"/>
  <c r="I289" i="26"/>
  <c r="H289" i="26"/>
  <c r="G289" i="26"/>
  <c r="F289" i="26"/>
  <c r="I288" i="26"/>
  <c r="H288" i="26"/>
  <c r="G288" i="26"/>
  <c r="F288" i="26"/>
  <c r="I287" i="26"/>
  <c r="H287" i="26"/>
  <c r="G287" i="26"/>
  <c r="F287" i="26"/>
  <c r="I286" i="26"/>
  <c r="H286" i="26"/>
  <c r="G286" i="26"/>
  <c r="F286" i="26"/>
  <c r="I285" i="26"/>
  <c r="H285" i="26"/>
  <c r="G285" i="26"/>
  <c r="F285" i="26"/>
  <c r="I284" i="26"/>
  <c r="H284" i="26"/>
  <c r="G284" i="26"/>
  <c r="F284" i="26"/>
  <c r="I283" i="26"/>
  <c r="H283" i="26"/>
  <c r="G283" i="26"/>
  <c r="F283" i="26"/>
  <c r="I282" i="26"/>
  <c r="H282" i="26"/>
  <c r="G282" i="26"/>
  <c r="F282" i="26"/>
  <c r="I281" i="26"/>
  <c r="H281" i="26"/>
  <c r="G281" i="26"/>
  <c r="F281" i="26"/>
  <c r="I280" i="26"/>
  <c r="H280" i="26"/>
  <c r="G280" i="26"/>
  <c r="F280" i="26"/>
  <c r="I279" i="26"/>
  <c r="H279" i="26"/>
  <c r="G279" i="26"/>
  <c r="F279" i="26"/>
  <c r="I278" i="26"/>
  <c r="H278" i="26"/>
  <c r="G278" i="26"/>
  <c r="F278" i="26"/>
  <c r="I277" i="26"/>
  <c r="H277" i="26"/>
  <c r="G277" i="26"/>
  <c r="F277" i="26"/>
  <c r="I276" i="26"/>
  <c r="H276" i="26"/>
  <c r="G276" i="26"/>
  <c r="F276" i="26"/>
  <c r="I275" i="26"/>
  <c r="H275" i="26"/>
  <c r="G275" i="26"/>
  <c r="F275" i="26"/>
  <c r="I274" i="26"/>
  <c r="H274" i="26"/>
  <c r="G274" i="26"/>
  <c r="F274" i="26"/>
  <c r="I273" i="26"/>
  <c r="H273" i="26"/>
  <c r="G273" i="26"/>
  <c r="F273" i="26"/>
  <c r="I272" i="26"/>
  <c r="H272" i="26"/>
  <c r="G272" i="26"/>
  <c r="F272" i="26"/>
  <c r="I271" i="26"/>
  <c r="H271" i="26"/>
  <c r="G271" i="26"/>
  <c r="F271" i="26"/>
  <c r="I270" i="26"/>
  <c r="H270" i="26"/>
  <c r="G270" i="26"/>
  <c r="F270" i="26"/>
  <c r="I269" i="26"/>
  <c r="H269" i="26"/>
  <c r="G269" i="26"/>
  <c r="F269" i="26"/>
  <c r="I268" i="26"/>
  <c r="H268" i="26"/>
  <c r="G268" i="26"/>
  <c r="F268" i="26"/>
  <c r="I267" i="26"/>
  <c r="H267" i="26"/>
  <c r="G267" i="26"/>
  <c r="F267" i="26"/>
  <c r="I266" i="26"/>
  <c r="H266" i="26"/>
  <c r="G266" i="26"/>
  <c r="F266" i="26"/>
  <c r="I265" i="26"/>
  <c r="H265" i="26"/>
  <c r="G265" i="26"/>
  <c r="F265" i="26"/>
  <c r="I264" i="26"/>
  <c r="H264" i="26"/>
  <c r="G264" i="26"/>
  <c r="F264" i="26"/>
  <c r="I263" i="26"/>
  <c r="H263" i="26"/>
  <c r="G263" i="26"/>
  <c r="F263" i="26"/>
  <c r="I262" i="26"/>
  <c r="H262" i="26"/>
  <c r="G262" i="26"/>
  <c r="F262" i="26"/>
  <c r="I261" i="26"/>
  <c r="H261" i="26"/>
  <c r="G261" i="26"/>
  <c r="F261" i="26"/>
  <c r="I260" i="26"/>
  <c r="H260" i="26"/>
  <c r="G260" i="26"/>
  <c r="F260" i="26"/>
  <c r="I259" i="26"/>
  <c r="H259" i="26"/>
  <c r="G259" i="26"/>
  <c r="F259" i="26"/>
  <c r="I258" i="26"/>
  <c r="H258" i="26"/>
  <c r="G258" i="26"/>
  <c r="F258" i="26"/>
  <c r="I257" i="26"/>
  <c r="H257" i="26"/>
  <c r="G257" i="26"/>
  <c r="F257" i="26"/>
  <c r="I256" i="26"/>
  <c r="H256" i="26"/>
  <c r="G256" i="26"/>
  <c r="F256" i="26"/>
  <c r="I255" i="26"/>
  <c r="H255" i="26"/>
  <c r="G255" i="26"/>
  <c r="F255" i="26"/>
  <c r="I254" i="26"/>
  <c r="H254" i="26"/>
  <c r="G254" i="26"/>
  <c r="F254" i="26"/>
  <c r="I253" i="26"/>
  <c r="H253" i="26"/>
  <c r="G253" i="26"/>
  <c r="F253" i="26"/>
  <c r="I252" i="26"/>
  <c r="H252" i="26"/>
  <c r="G252" i="26"/>
  <c r="F252" i="26"/>
  <c r="I251" i="26"/>
  <c r="H251" i="26"/>
  <c r="G251" i="26"/>
  <c r="F251" i="26"/>
  <c r="I250" i="26"/>
  <c r="H250" i="26"/>
  <c r="G250" i="26"/>
  <c r="F250" i="26"/>
  <c r="I249" i="26"/>
  <c r="H249" i="26"/>
  <c r="G249" i="26"/>
  <c r="F249" i="26"/>
  <c r="I248" i="26"/>
  <c r="H248" i="26"/>
  <c r="G248" i="26"/>
  <c r="F248" i="26"/>
  <c r="I247" i="26"/>
  <c r="H247" i="26"/>
  <c r="G247" i="26"/>
  <c r="F247" i="26"/>
  <c r="I246" i="26"/>
  <c r="H246" i="26"/>
  <c r="G246" i="26"/>
  <c r="F246" i="26"/>
  <c r="I245" i="26"/>
  <c r="H245" i="26"/>
  <c r="G245" i="26"/>
  <c r="F245" i="26"/>
  <c r="I244" i="26"/>
  <c r="H244" i="26"/>
  <c r="G244" i="26"/>
  <c r="F244" i="26"/>
  <c r="I243" i="26"/>
  <c r="H243" i="26"/>
  <c r="G243" i="26"/>
  <c r="F243" i="26"/>
  <c r="I242" i="26"/>
  <c r="H242" i="26"/>
  <c r="G242" i="26"/>
  <c r="F242" i="26"/>
  <c r="I241" i="26"/>
  <c r="H241" i="26"/>
  <c r="G241" i="26"/>
  <c r="F241" i="26"/>
  <c r="I240" i="26"/>
  <c r="H240" i="26"/>
  <c r="G240" i="26"/>
  <c r="F240" i="26"/>
  <c r="I239" i="26"/>
  <c r="H239" i="26"/>
  <c r="G239" i="26"/>
  <c r="F239" i="26"/>
  <c r="I238" i="26"/>
  <c r="H238" i="26"/>
  <c r="G238" i="26"/>
  <c r="F238" i="26"/>
  <c r="I237" i="26"/>
  <c r="H237" i="26"/>
  <c r="G237" i="26"/>
  <c r="F237" i="26"/>
  <c r="I236" i="26"/>
  <c r="H236" i="26"/>
  <c r="G236" i="26"/>
  <c r="F236" i="26"/>
  <c r="I235" i="26"/>
  <c r="H235" i="26"/>
  <c r="G235" i="26"/>
  <c r="F235" i="26"/>
  <c r="I234" i="26"/>
  <c r="H234" i="26"/>
  <c r="G234" i="26"/>
  <c r="F234" i="26"/>
  <c r="I233" i="26"/>
  <c r="H233" i="26"/>
  <c r="G233" i="26"/>
  <c r="F233" i="26"/>
  <c r="I232" i="26"/>
  <c r="H232" i="26"/>
  <c r="G232" i="26"/>
  <c r="F232" i="26"/>
  <c r="I231" i="26"/>
  <c r="H231" i="26"/>
  <c r="G231" i="26"/>
  <c r="F231" i="26"/>
  <c r="I230" i="26"/>
  <c r="H230" i="26"/>
  <c r="G230" i="26"/>
  <c r="F230" i="26"/>
  <c r="I229" i="26"/>
  <c r="H229" i="26"/>
  <c r="G229" i="26"/>
  <c r="F229" i="26"/>
  <c r="I228" i="26"/>
  <c r="H228" i="26"/>
  <c r="G228" i="26"/>
  <c r="F228" i="26"/>
  <c r="I227" i="26"/>
  <c r="H227" i="26"/>
  <c r="G227" i="26"/>
  <c r="F227" i="26"/>
  <c r="I226" i="26"/>
  <c r="H226" i="26"/>
  <c r="G226" i="26"/>
  <c r="F226" i="26"/>
  <c r="I225" i="26"/>
  <c r="H225" i="26"/>
  <c r="G225" i="26"/>
  <c r="F225" i="26"/>
  <c r="I224" i="26"/>
  <c r="H224" i="26"/>
  <c r="G224" i="26"/>
  <c r="F224" i="26"/>
  <c r="I223" i="26"/>
  <c r="H223" i="26"/>
  <c r="G223" i="26"/>
  <c r="F223" i="26"/>
  <c r="I222" i="26"/>
  <c r="H222" i="26"/>
  <c r="G222" i="26"/>
  <c r="F222" i="26"/>
  <c r="I221" i="26"/>
  <c r="H221" i="26"/>
  <c r="G221" i="26"/>
  <c r="F221" i="26"/>
  <c r="I220" i="26"/>
  <c r="H220" i="26"/>
  <c r="G220" i="26"/>
  <c r="F220" i="26"/>
  <c r="I219" i="26"/>
  <c r="H219" i="26"/>
  <c r="G219" i="26"/>
  <c r="F219" i="26"/>
  <c r="I218" i="26"/>
  <c r="H218" i="26"/>
  <c r="G218" i="26"/>
  <c r="F218" i="26"/>
  <c r="I217" i="26"/>
  <c r="H217" i="26"/>
  <c r="G217" i="26"/>
  <c r="F217" i="26"/>
  <c r="I216" i="26"/>
  <c r="H216" i="26"/>
  <c r="G216" i="26"/>
  <c r="F216" i="26"/>
  <c r="I215" i="26"/>
  <c r="H215" i="26"/>
  <c r="G215" i="26"/>
  <c r="F215" i="26"/>
  <c r="I214" i="26"/>
  <c r="H214" i="26"/>
  <c r="G214" i="26"/>
  <c r="F214" i="26"/>
  <c r="I213" i="26"/>
  <c r="H213" i="26"/>
  <c r="G213" i="26"/>
  <c r="F213" i="26"/>
  <c r="I212" i="26"/>
  <c r="H212" i="26"/>
  <c r="G212" i="26"/>
  <c r="F212" i="26"/>
  <c r="I211" i="26"/>
  <c r="H211" i="26"/>
  <c r="G211" i="26"/>
  <c r="F211" i="26"/>
  <c r="I210" i="26"/>
  <c r="H210" i="26"/>
  <c r="G210" i="26"/>
  <c r="F210" i="26"/>
  <c r="I209" i="26"/>
  <c r="H209" i="26"/>
  <c r="G209" i="26"/>
  <c r="F209" i="26"/>
  <c r="I208" i="26"/>
  <c r="H208" i="26"/>
  <c r="G208" i="26"/>
  <c r="F208" i="26"/>
  <c r="I207" i="26"/>
  <c r="H207" i="26"/>
  <c r="G207" i="26"/>
  <c r="F207" i="26"/>
  <c r="I206" i="26"/>
  <c r="H206" i="26"/>
  <c r="G206" i="26"/>
  <c r="F206" i="26"/>
  <c r="I205" i="26"/>
  <c r="H205" i="26"/>
  <c r="G205" i="26"/>
  <c r="F205" i="26"/>
  <c r="I204" i="26"/>
  <c r="H204" i="26"/>
  <c r="G204" i="26"/>
  <c r="F204" i="26"/>
  <c r="I203" i="26"/>
  <c r="H203" i="26"/>
  <c r="G203" i="26"/>
  <c r="F203" i="26"/>
  <c r="I202" i="26"/>
  <c r="H202" i="26"/>
  <c r="G202" i="26"/>
  <c r="F202" i="26"/>
  <c r="I201" i="26"/>
  <c r="H201" i="26"/>
  <c r="G201" i="26"/>
  <c r="F201" i="26"/>
  <c r="I200" i="26"/>
  <c r="H200" i="26"/>
  <c r="G200" i="26"/>
  <c r="F200" i="26"/>
  <c r="I199" i="26"/>
  <c r="H199" i="26"/>
  <c r="G199" i="26"/>
  <c r="F199" i="26"/>
  <c r="I198" i="26"/>
  <c r="H198" i="26"/>
  <c r="G198" i="26"/>
  <c r="F198" i="26"/>
  <c r="I197" i="26"/>
  <c r="H197" i="26"/>
  <c r="G197" i="26"/>
  <c r="F197" i="26"/>
  <c r="I196" i="26"/>
  <c r="H196" i="26"/>
  <c r="G196" i="26"/>
  <c r="F196" i="26"/>
  <c r="I195" i="26"/>
  <c r="H195" i="26"/>
  <c r="G195" i="26"/>
  <c r="F195" i="26"/>
  <c r="I194" i="26"/>
  <c r="H194" i="26"/>
  <c r="G194" i="26"/>
  <c r="F194" i="26"/>
  <c r="I193" i="26"/>
  <c r="H193" i="26"/>
  <c r="G193" i="26"/>
  <c r="F193" i="26"/>
  <c r="I192" i="26"/>
  <c r="H192" i="26"/>
  <c r="G192" i="26"/>
  <c r="F192" i="26"/>
  <c r="I191" i="26"/>
  <c r="H191" i="26"/>
  <c r="G191" i="26"/>
  <c r="F191" i="26"/>
  <c r="I190" i="26"/>
  <c r="H190" i="26"/>
  <c r="G190" i="26"/>
  <c r="F190" i="26"/>
  <c r="I189" i="26"/>
  <c r="H189" i="26"/>
  <c r="G189" i="26"/>
  <c r="F189" i="26"/>
  <c r="I188" i="26"/>
  <c r="H188" i="26"/>
  <c r="G188" i="26"/>
  <c r="F188" i="26"/>
  <c r="I187" i="26"/>
  <c r="H187" i="26"/>
  <c r="G187" i="26"/>
  <c r="F187" i="26"/>
  <c r="I186" i="26"/>
  <c r="H186" i="26"/>
  <c r="G186" i="26"/>
  <c r="F186" i="26"/>
  <c r="I185" i="26"/>
  <c r="H185" i="26"/>
  <c r="G185" i="26"/>
  <c r="F185" i="26"/>
  <c r="I184" i="26"/>
  <c r="H184" i="26"/>
  <c r="G184" i="26"/>
  <c r="F184" i="26"/>
  <c r="I183" i="26"/>
  <c r="H183" i="26"/>
  <c r="G183" i="26"/>
  <c r="F183" i="26"/>
  <c r="I182" i="26"/>
  <c r="H182" i="26"/>
  <c r="G182" i="26"/>
  <c r="F182" i="26"/>
  <c r="I181" i="26"/>
  <c r="H181" i="26"/>
  <c r="G181" i="26"/>
  <c r="F181" i="26"/>
  <c r="I180" i="26"/>
  <c r="H180" i="26"/>
  <c r="G180" i="26"/>
  <c r="F180" i="26"/>
  <c r="I179" i="26"/>
  <c r="H179" i="26"/>
  <c r="G179" i="26"/>
  <c r="F179" i="26"/>
  <c r="I178" i="26"/>
  <c r="H178" i="26"/>
  <c r="G178" i="26"/>
  <c r="F178" i="26"/>
  <c r="I177" i="26"/>
  <c r="H177" i="26"/>
  <c r="G177" i="26"/>
  <c r="F177" i="26"/>
  <c r="I176" i="26"/>
  <c r="H176" i="26"/>
  <c r="G176" i="26"/>
  <c r="F176" i="26"/>
  <c r="I175" i="26"/>
  <c r="H175" i="26"/>
  <c r="G175" i="26"/>
  <c r="F175" i="26"/>
  <c r="I174" i="26"/>
  <c r="H174" i="26"/>
  <c r="G174" i="26"/>
  <c r="F174" i="26"/>
  <c r="I173" i="26"/>
  <c r="H173" i="26"/>
  <c r="G173" i="26"/>
  <c r="F173" i="26"/>
  <c r="I172" i="26"/>
  <c r="H172" i="26"/>
  <c r="G172" i="26"/>
  <c r="F172" i="26"/>
  <c r="I171" i="26"/>
  <c r="H171" i="26"/>
  <c r="G171" i="26"/>
  <c r="F171" i="26"/>
  <c r="I170" i="26"/>
  <c r="H170" i="26"/>
  <c r="G170" i="26"/>
  <c r="F170" i="26"/>
  <c r="I169" i="26"/>
  <c r="H169" i="26"/>
  <c r="G169" i="26"/>
  <c r="F169" i="26"/>
  <c r="I168" i="26"/>
  <c r="H168" i="26"/>
  <c r="G168" i="26"/>
  <c r="F168" i="26"/>
  <c r="I167" i="26"/>
  <c r="H167" i="26"/>
  <c r="G167" i="26"/>
  <c r="F167" i="26"/>
  <c r="I166" i="26"/>
  <c r="H166" i="26"/>
  <c r="G166" i="26"/>
  <c r="F166" i="26"/>
  <c r="I165" i="26"/>
  <c r="H165" i="26"/>
  <c r="G165" i="26"/>
  <c r="F165" i="26"/>
  <c r="I164" i="26"/>
  <c r="H164" i="26"/>
  <c r="G164" i="26"/>
  <c r="F164" i="26"/>
  <c r="I163" i="26"/>
  <c r="H163" i="26"/>
  <c r="G163" i="26"/>
  <c r="F163" i="26"/>
  <c r="I162" i="26"/>
  <c r="H162" i="26"/>
  <c r="G162" i="26"/>
  <c r="F162" i="26"/>
  <c r="I161" i="26"/>
  <c r="H161" i="26"/>
  <c r="G161" i="26"/>
  <c r="F161" i="26"/>
  <c r="I160" i="26"/>
  <c r="H160" i="26"/>
  <c r="G160" i="26"/>
  <c r="F160" i="26"/>
  <c r="I159" i="26"/>
  <c r="H159" i="26"/>
  <c r="G159" i="26"/>
  <c r="F159" i="26"/>
  <c r="I158" i="26"/>
  <c r="H158" i="26"/>
  <c r="G158" i="26"/>
  <c r="F158" i="26"/>
  <c r="I157" i="26"/>
  <c r="H157" i="26"/>
  <c r="G157" i="26"/>
  <c r="F157" i="26"/>
  <c r="I156" i="26"/>
  <c r="H156" i="26"/>
  <c r="G156" i="26"/>
  <c r="F156" i="26"/>
  <c r="I155" i="26"/>
  <c r="H155" i="26"/>
  <c r="G155" i="26"/>
  <c r="F155" i="26"/>
  <c r="I154" i="26"/>
  <c r="H154" i="26"/>
  <c r="G154" i="26"/>
  <c r="F154" i="26"/>
  <c r="I153" i="26"/>
  <c r="H153" i="26"/>
  <c r="G153" i="26"/>
  <c r="F153" i="26"/>
  <c r="I152" i="26"/>
  <c r="H152" i="26"/>
  <c r="G152" i="26"/>
  <c r="F152" i="26"/>
  <c r="I151" i="26"/>
  <c r="H151" i="26"/>
  <c r="G151" i="26"/>
  <c r="F151" i="26"/>
  <c r="I150" i="26"/>
  <c r="H150" i="26"/>
  <c r="G150" i="26"/>
  <c r="F150" i="26"/>
  <c r="I149" i="26"/>
  <c r="H149" i="26"/>
  <c r="G149" i="26"/>
  <c r="F149" i="26"/>
  <c r="I148" i="26"/>
  <c r="H148" i="26"/>
  <c r="G148" i="26"/>
  <c r="F148" i="26"/>
  <c r="I147" i="26"/>
  <c r="H147" i="26"/>
  <c r="G147" i="26"/>
  <c r="F147" i="26"/>
  <c r="I146" i="26"/>
  <c r="H146" i="26"/>
  <c r="G146" i="26"/>
  <c r="F146" i="26"/>
  <c r="I145" i="26"/>
  <c r="H145" i="26"/>
  <c r="G145" i="26"/>
  <c r="F145" i="26"/>
  <c r="I144" i="26"/>
  <c r="H144" i="26"/>
  <c r="G144" i="26"/>
  <c r="F144" i="26"/>
  <c r="I143" i="26"/>
  <c r="H143" i="26"/>
  <c r="G143" i="26"/>
  <c r="F143" i="26"/>
  <c r="I142" i="26"/>
  <c r="H142" i="26"/>
  <c r="G142" i="26"/>
  <c r="F142" i="26"/>
  <c r="I141" i="26"/>
  <c r="H141" i="26"/>
  <c r="G141" i="26"/>
  <c r="F141" i="26"/>
  <c r="I140" i="26"/>
  <c r="H140" i="26"/>
  <c r="G140" i="26"/>
  <c r="F140" i="26"/>
  <c r="I139" i="26"/>
  <c r="H139" i="26"/>
  <c r="G139" i="26"/>
  <c r="F139" i="26"/>
  <c r="I138" i="26"/>
  <c r="H138" i="26"/>
  <c r="G138" i="26"/>
  <c r="F138" i="26"/>
  <c r="I137" i="26"/>
  <c r="H137" i="26"/>
  <c r="G137" i="26"/>
  <c r="F137" i="26"/>
  <c r="I136" i="26"/>
  <c r="H136" i="26"/>
  <c r="G136" i="26"/>
  <c r="F136" i="26"/>
  <c r="I135" i="26"/>
  <c r="H135" i="26"/>
  <c r="G135" i="26"/>
  <c r="F135" i="26"/>
  <c r="I134" i="26"/>
  <c r="H134" i="26"/>
  <c r="G134" i="26"/>
  <c r="F134" i="26"/>
  <c r="I133" i="26"/>
  <c r="H133" i="26"/>
  <c r="G133" i="26"/>
  <c r="F133" i="26"/>
  <c r="I132" i="26"/>
  <c r="H132" i="26"/>
  <c r="G132" i="26"/>
  <c r="F132" i="26"/>
  <c r="I131" i="26"/>
  <c r="H131" i="26"/>
  <c r="G131" i="26"/>
  <c r="F131" i="26"/>
  <c r="I130" i="26"/>
  <c r="H130" i="26"/>
  <c r="G130" i="26"/>
  <c r="F130" i="26"/>
  <c r="I129" i="26"/>
  <c r="H129" i="26"/>
  <c r="G129" i="26"/>
  <c r="F129" i="26"/>
  <c r="I128" i="26"/>
  <c r="H128" i="26"/>
  <c r="G128" i="26"/>
  <c r="F128" i="26"/>
  <c r="I127" i="26"/>
  <c r="H127" i="26"/>
  <c r="G127" i="26"/>
  <c r="F127" i="26"/>
  <c r="I126" i="26"/>
  <c r="H126" i="26"/>
  <c r="G126" i="26"/>
  <c r="F126" i="26"/>
  <c r="I125" i="26"/>
  <c r="H125" i="26"/>
  <c r="G125" i="26"/>
  <c r="F125" i="26"/>
  <c r="I124" i="26"/>
  <c r="H124" i="26"/>
  <c r="G124" i="26"/>
  <c r="F124" i="26"/>
  <c r="I123" i="26"/>
  <c r="H123" i="26"/>
  <c r="G123" i="26"/>
  <c r="F123" i="26"/>
  <c r="I122" i="26"/>
  <c r="H122" i="26"/>
  <c r="G122" i="26"/>
  <c r="F122" i="26"/>
  <c r="I121" i="26"/>
  <c r="H121" i="26"/>
  <c r="G121" i="26"/>
  <c r="F121" i="26"/>
  <c r="I120" i="26"/>
  <c r="H120" i="26"/>
  <c r="G120" i="26"/>
  <c r="F120" i="26"/>
  <c r="I119" i="26"/>
  <c r="H119" i="26"/>
  <c r="G119" i="26"/>
  <c r="F119" i="26"/>
  <c r="I118" i="26"/>
  <c r="H118" i="26"/>
  <c r="G118" i="26"/>
  <c r="F118" i="26"/>
  <c r="I117" i="26"/>
  <c r="H117" i="26"/>
  <c r="G117" i="26"/>
  <c r="F117" i="26"/>
  <c r="I116" i="26"/>
  <c r="H116" i="26"/>
  <c r="G116" i="26"/>
  <c r="F116" i="26"/>
  <c r="I115" i="26"/>
  <c r="H115" i="26"/>
  <c r="G115" i="26"/>
  <c r="F115" i="26"/>
  <c r="I114" i="26"/>
  <c r="H114" i="26"/>
  <c r="G114" i="26"/>
  <c r="F114" i="26"/>
  <c r="I113" i="26"/>
  <c r="H113" i="26"/>
  <c r="G113" i="26"/>
  <c r="F113" i="26"/>
  <c r="I112" i="26"/>
  <c r="H112" i="26"/>
  <c r="G112" i="26"/>
  <c r="F112" i="26"/>
  <c r="I111" i="26"/>
  <c r="H111" i="26"/>
  <c r="G111" i="26"/>
  <c r="F111" i="26"/>
  <c r="I110" i="26"/>
  <c r="H110" i="26"/>
  <c r="G110" i="26"/>
  <c r="F110" i="26"/>
  <c r="I109" i="26"/>
  <c r="H109" i="26"/>
  <c r="G109" i="26"/>
  <c r="F109" i="26"/>
  <c r="I108" i="26"/>
  <c r="H108" i="26"/>
  <c r="G108" i="26"/>
  <c r="F108" i="26"/>
  <c r="I107" i="26"/>
  <c r="H107" i="26"/>
  <c r="G107" i="26"/>
  <c r="F107" i="26"/>
  <c r="I106" i="26"/>
  <c r="H106" i="26"/>
  <c r="G106" i="26"/>
  <c r="F106" i="26"/>
  <c r="I105" i="26"/>
  <c r="H105" i="26"/>
  <c r="G105" i="26"/>
  <c r="F105" i="26"/>
  <c r="I104" i="26"/>
  <c r="H104" i="26"/>
  <c r="G104" i="26"/>
  <c r="F104" i="26"/>
  <c r="I103" i="26"/>
  <c r="H103" i="26"/>
  <c r="G103" i="26"/>
  <c r="F103" i="26"/>
  <c r="I102" i="26"/>
  <c r="H102" i="26"/>
  <c r="G102" i="26"/>
  <c r="F102" i="26"/>
  <c r="I101" i="26"/>
  <c r="H101" i="26"/>
  <c r="G101" i="26"/>
  <c r="F101" i="26"/>
  <c r="I100" i="26"/>
  <c r="H100" i="26"/>
  <c r="G100" i="26"/>
  <c r="F100" i="26"/>
  <c r="I99" i="26"/>
  <c r="H99" i="26"/>
  <c r="G99" i="26"/>
  <c r="F99" i="26"/>
  <c r="I98" i="26"/>
  <c r="H98" i="26"/>
  <c r="G98" i="26"/>
  <c r="F98" i="26"/>
  <c r="I97" i="26"/>
  <c r="H97" i="26"/>
  <c r="G97" i="26"/>
  <c r="F97" i="26"/>
  <c r="I96" i="26"/>
  <c r="H96" i="26"/>
  <c r="G96" i="26"/>
  <c r="F96" i="26"/>
  <c r="I95" i="26"/>
  <c r="H95" i="26"/>
  <c r="G95" i="26"/>
  <c r="F95" i="26"/>
  <c r="I94" i="26"/>
  <c r="H94" i="26"/>
  <c r="G94" i="26"/>
  <c r="F94" i="26"/>
  <c r="I93" i="26"/>
  <c r="H93" i="26"/>
  <c r="G93" i="26"/>
  <c r="F93" i="26"/>
  <c r="I92" i="26"/>
  <c r="H92" i="26"/>
  <c r="G92" i="26"/>
  <c r="F92" i="26"/>
  <c r="I91" i="26"/>
  <c r="H91" i="26"/>
  <c r="G91" i="26"/>
  <c r="F91" i="26"/>
  <c r="I90" i="26"/>
  <c r="H90" i="26"/>
  <c r="G90" i="26"/>
  <c r="F90" i="26"/>
  <c r="I89" i="26"/>
  <c r="H89" i="26"/>
  <c r="G89" i="26"/>
  <c r="F89" i="26"/>
  <c r="I88" i="26"/>
  <c r="H88" i="26"/>
  <c r="G88" i="26"/>
  <c r="F88" i="26"/>
  <c r="I87" i="26"/>
  <c r="H87" i="26"/>
  <c r="G87" i="26"/>
  <c r="F87" i="26"/>
  <c r="I86" i="26"/>
  <c r="H86" i="26"/>
  <c r="G86" i="26"/>
  <c r="F86" i="26"/>
  <c r="I85" i="26"/>
  <c r="H85" i="26"/>
  <c r="G85" i="26"/>
  <c r="F85" i="26"/>
  <c r="I84" i="26"/>
  <c r="H84" i="26"/>
  <c r="G84" i="26"/>
  <c r="F84" i="26"/>
  <c r="I83" i="26"/>
  <c r="H83" i="26"/>
  <c r="G83" i="26"/>
  <c r="F83" i="26"/>
  <c r="I82" i="26"/>
  <c r="H82" i="26"/>
  <c r="G82" i="26"/>
  <c r="F82" i="26"/>
  <c r="I81" i="26"/>
  <c r="H81" i="26"/>
  <c r="G81" i="26"/>
  <c r="F81" i="26"/>
  <c r="I80" i="26"/>
  <c r="H80" i="26"/>
  <c r="G80" i="26"/>
  <c r="F80" i="26"/>
  <c r="I79" i="26"/>
  <c r="H79" i="26"/>
  <c r="G79" i="26"/>
  <c r="F79" i="26"/>
  <c r="I78" i="26"/>
  <c r="H78" i="26"/>
  <c r="G78" i="26"/>
  <c r="F78" i="26"/>
  <c r="I77" i="26"/>
  <c r="H77" i="26"/>
  <c r="G77" i="26"/>
  <c r="F77" i="26"/>
  <c r="I76" i="26"/>
  <c r="H76" i="26"/>
  <c r="G76" i="26"/>
  <c r="F76" i="26"/>
  <c r="I75" i="26"/>
  <c r="H75" i="26"/>
  <c r="G75" i="26"/>
  <c r="F75" i="26"/>
  <c r="I74" i="26"/>
  <c r="H74" i="26"/>
  <c r="G74" i="26"/>
  <c r="F74" i="26"/>
  <c r="I73" i="26"/>
  <c r="H73" i="26"/>
  <c r="G73" i="26"/>
  <c r="F73" i="26"/>
  <c r="I72" i="26"/>
  <c r="H72" i="26"/>
  <c r="G72" i="26"/>
  <c r="F72" i="26"/>
  <c r="I71" i="26"/>
  <c r="H71" i="26"/>
  <c r="G71" i="26"/>
  <c r="F71" i="26"/>
  <c r="I70" i="26"/>
  <c r="H70" i="26"/>
  <c r="G70" i="26"/>
  <c r="F70" i="26"/>
  <c r="I69" i="26"/>
  <c r="H69" i="26"/>
  <c r="G69" i="26"/>
  <c r="F69" i="26"/>
  <c r="I68" i="26"/>
  <c r="H68" i="26"/>
  <c r="G68" i="26"/>
  <c r="F68" i="26"/>
  <c r="I67" i="26"/>
  <c r="H67" i="26"/>
  <c r="G67" i="26"/>
  <c r="F67" i="26"/>
  <c r="I66" i="26"/>
  <c r="H66" i="26"/>
  <c r="G66" i="26"/>
  <c r="F66" i="26"/>
  <c r="I65" i="26"/>
  <c r="H65" i="26"/>
  <c r="G65" i="26"/>
  <c r="F65" i="26"/>
  <c r="I64" i="26"/>
  <c r="H64" i="26"/>
  <c r="G64" i="26"/>
  <c r="F64" i="26"/>
  <c r="I63" i="26"/>
  <c r="H63" i="26"/>
  <c r="G63" i="26"/>
  <c r="F63" i="26"/>
  <c r="I62" i="26"/>
  <c r="H62" i="26"/>
  <c r="G62" i="26"/>
  <c r="F62" i="26"/>
  <c r="I61" i="26"/>
  <c r="H61" i="26"/>
  <c r="G61" i="26"/>
  <c r="F61" i="26"/>
  <c r="I60" i="26"/>
  <c r="H60" i="26"/>
  <c r="G60" i="26"/>
  <c r="F60" i="26"/>
  <c r="I59" i="26"/>
  <c r="H59" i="26"/>
  <c r="G59" i="26"/>
  <c r="F59" i="26"/>
  <c r="I58" i="26"/>
  <c r="H58" i="26"/>
  <c r="G58" i="26"/>
  <c r="F58" i="26"/>
  <c r="I57" i="26"/>
  <c r="H57" i="26"/>
  <c r="G57" i="26"/>
  <c r="F57" i="26"/>
  <c r="I56" i="26"/>
  <c r="H56" i="26"/>
  <c r="G56" i="26"/>
  <c r="F56" i="26"/>
  <c r="I55" i="26"/>
  <c r="H55" i="26"/>
  <c r="G55" i="26"/>
  <c r="F55" i="26"/>
  <c r="I54" i="26"/>
  <c r="H54" i="26"/>
  <c r="G54" i="26"/>
  <c r="F54" i="26"/>
  <c r="I53" i="26"/>
  <c r="H53" i="26"/>
  <c r="G53" i="26"/>
  <c r="F53" i="26"/>
  <c r="I52" i="26"/>
  <c r="H52" i="26"/>
  <c r="G52" i="26"/>
  <c r="F52" i="26"/>
  <c r="I51" i="26"/>
  <c r="H51" i="26"/>
  <c r="G51" i="26"/>
  <c r="F51" i="26"/>
  <c r="I50" i="26"/>
  <c r="H50" i="26"/>
  <c r="G50" i="26"/>
  <c r="F50" i="26"/>
  <c r="I49" i="26"/>
  <c r="H49" i="26"/>
  <c r="G49" i="26"/>
  <c r="F49" i="26"/>
  <c r="I48" i="26"/>
  <c r="H48" i="26"/>
  <c r="G48" i="26"/>
  <c r="F48" i="26"/>
  <c r="I47" i="26"/>
  <c r="H47" i="26"/>
  <c r="G47" i="26"/>
  <c r="F47" i="26"/>
  <c r="I46" i="26"/>
  <c r="H46" i="26"/>
  <c r="G46" i="26"/>
  <c r="F46" i="26"/>
  <c r="I45" i="26"/>
  <c r="H45" i="26"/>
  <c r="G45" i="26"/>
  <c r="F45" i="26"/>
  <c r="I44" i="26"/>
  <c r="H44" i="26"/>
  <c r="G44" i="26"/>
  <c r="F44" i="26"/>
  <c r="I43" i="26"/>
  <c r="H43" i="26"/>
  <c r="G43" i="26"/>
  <c r="F43" i="26"/>
  <c r="I42" i="26"/>
  <c r="H42" i="26"/>
  <c r="G42" i="26"/>
  <c r="F42" i="26"/>
  <c r="I41" i="26"/>
  <c r="H41" i="26"/>
  <c r="G41" i="26"/>
  <c r="F41" i="26"/>
  <c r="I40" i="26"/>
  <c r="H40" i="26"/>
  <c r="G40" i="26"/>
  <c r="F40" i="26"/>
  <c r="I39" i="26"/>
  <c r="H39" i="26"/>
  <c r="G39" i="26"/>
  <c r="F39" i="26"/>
  <c r="I38" i="26"/>
  <c r="H38" i="26"/>
  <c r="G38" i="26"/>
  <c r="F38" i="26"/>
  <c r="I37" i="26"/>
  <c r="H37" i="26"/>
  <c r="G37" i="26"/>
  <c r="F37" i="26"/>
  <c r="I36" i="26"/>
  <c r="H36" i="26"/>
  <c r="G36" i="26"/>
  <c r="F36" i="26"/>
  <c r="I35" i="26"/>
  <c r="H35" i="26"/>
  <c r="G35" i="26"/>
  <c r="F35" i="26"/>
  <c r="I34" i="26"/>
  <c r="H34" i="26"/>
  <c r="G34" i="26"/>
  <c r="F34" i="26"/>
  <c r="I33" i="26"/>
  <c r="H33" i="26"/>
  <c r="G33" i="26"/>
  <c r="F33" i="26"/>
  <c r="I32" i="26"/>
  <c r="H32" i="26"/>
  <c r="G32" i="26"/>
  <c r="F32" i="26"/>
  <c r="I31" i="26"/>
  <c r="H31" i="26"/>
  <c r="G31" i="26"/>
  <c r="F31" i="26"/>
  <c r="I30" i="26"/>
  <c r="H30" i="26"/>
  <c r="G30" i="26"/>
  <c r="F30" i="26"/>
  <c r="I29" i="26"/>
  <c r="H29" i="26"/>
  <c r="G29" i="26"/>
  <c r="F29" i="26"/>
  <c r="I28" i="26"/>
  <c r="H28" i="26"/>
  <c r="G28" i="26"/>
  <c r="F28" i="26"/>
  <c r="I27" i="26"/>
  <c r="H27" i="26"/>
  <c r="G27" i="26"/>
  <c r="F27" i="26"/>
  <c r="I26" i="26"/>
  <c r="H26" i="26"/>
  <c r="G26" i="26"/>
  <c r="F26" i="26"/>
  <c r="I25" i="26"/>
  <c r="H25" i="26"/>
  <c r="G25" i="26"/>
  <c r="F25" i="26"/>
  <c r="I24" i="26"/>
  <c r="H24" i="26"/>
  <c r="G24" i="26"/>
  <c r="F24" i="26"/>
  <c r="I23" i="26"/>
  <c r="H23" i="26"/>
  <c r="G23" i="26"/>
  <c r="F23" i="26"/>
  <c r="I22" i="26"/>
  <c r="H22" i="26"/>
  <c r="G22" i="26"/>
  <c r="F22" i="26"/>
  <c r="I21" i="26"/>
  <c r="H21" i="26"/>
  <c r="G21" i="26"/>
  <c r="F21" i="26"/>
  <c r="I20" i="26"/>
  <c r="H20" i="26"/>
  <c r="G20" i="26"/>
  <c r="F20" i="26"/>
  <c r="I19" i="26"/>
  <c r="H19" i="26"/>
  <c r="G19" i="26"/>
  <c r="F19" i="26"/>
  <c r="I18" i="26"/>
  <c r="H18" i="26"/>
  <c r="G18" i="26"/>
  <c r="F18" i="26"/>
  <c r="I17" i="26"/>
  <c r="H17" i="26"/>
  <c r="G17" i="26"/>
  <c r="F17" i="26"/>
  <c r="I16" i="26"/>
  <c r="H16" i="26"/>
  <c r="G16" i="26"/>
  <c r="F16" i="26"/>
  <c r="I15" i="26"/>
  <c r="H15" i="26"/>
  <c r="G15" i="26"/>
  <c r="F15" i="26"/>
  <c r="I14" i="26"/>
  <c r="H14" i="26"/>
  <c r="G14" i="26"/>
  <c r="F14" i="26"/>
  <c r="I13" i="26"/>
  <c r="H13" i="26"/>
  <c r="G13" i="26"/>
  <c r="F13" i="26"/>
  <c r="I12" i="26"/>
  <c r="H12" i="26"/>
  <c r="G12" i="26"/>
  <c r="F12" i="26"/>
  <c r="D6" i="33"/>
  <c r="M1036" i="21"/>
  <c r="K1036" i="21" s="1"/>
  <c r="M1035" i="21"/>
  <c r="K1035" i="21" s="1"/>
  <c r="Q1035" i="21" s="1"/>
  <c r="M1034" i="21"/>
  <c r="K1034" i="21" s="1"/>
  <c r="Q1034" i="21" s="1"/>
  <c r="M1033" i="21"/>
  <c r="K1033" i="21" s="1"/>
  <c r="Q1033" i="21" s="1"/>
  <c r="F21" i="13"/>
  <c r="F9" i="13"/>
  <c r="F13" i="13" s="1"/>
  <c r="H620" i="3"/>
  <c r="K620" i="3" s="1"/>
  <c r="H621" i="3"/>
  <c r="K621" i="3" s="1"/>
  <c r="H622" i="3"/>
  <c r="H623" i="3"/>
  <c r="H624" i="3"/>
  <c r="K624" i="3" s="1"/>
  <c r="H625" i="3"/>
  <c r="K625" i="3" s="1"/>
  <c r="H626" i="3"/>
  <c r="H627" i="3"/>
  <c r="H628" i="3"/>
  <c r="K628" i="3" s="1"/>
  <c r="H629" i="3"/>
  <c r="K629" i="3" s="1"/>
  <c r="H630" i="3"/>
  <c r="H631" i="3"/>
  <c r="H632" i="3"/>
  <c r="K632" i="3" s="1"/>
  <c r="H633" i="3"/>
  <c r="H634" i="3"/>
  <c r="H635" i="3"/>
  <c r="H636" i="3"/>
  <c r="K636" i="3" s="1"/>
  <c r="H637" i="3"/>
  <c r="K637" i="3" s="1"/>
  <c r="H638" i="3"/>
  <c r="H639" i="3"/>
  <c r="H640" i="3"/>
  <c r="K640" i="3" s="1"/>
  <c r="H641" i="3"/>
  <c r="K641" i="3" s="1"/>
  <c r="H642" i="3"/>
  <c r="H643" i="3"/>
  <c r="H644" i="3"/>
  <c r="K644" i="3" s="1"/>
  <c r="H645" i="3"/>
  <c r="K645" i="3" s="1"/>
  <c r="H646" i="3"/>
  <c r="H647" i="3"/>
  <c r="H648" i="3"/>
  <c r="K648" i="3" s="1"/>
  <c r="H649" i="3"/>
  <c r="H650" i="3"/>
  <c r="K650" i="3" s="1"/>
  <c r="H651" i="3"/>
  <c r="H652" i="3"/>
  <c r="H653" i="3"/>
  <c r="K653" i="3" s="1"/>
  <c r="H654" i="3"/>
  <c r="K654" i="3" s="1"/>
  <c r="H655" i="3"/>
  <c r="H656" i="3"/>
  <c r="H657" i="3"/>
  <c r="K657" i="3" s="1"/>
  <c r="M1032" i="21"/>
  <c r="K1032" i="21" s="1"/>
  <c r="Q1032" i="21" s="1"/>
  <c r="M1031" i="21"/>
  <c r="K1031" i="21" s="1"/>
  <c r="Q1031" i="21" s="1"/>
  <c r="M1030" i="21"/>
  <c r="K1030" i="21" s="1"/>
  <c r="Q1030" i="21" s="1"/>
  <c r="M1029" i="21"/>
  <c r="K1029" i="21" s="1"/>
  <c r="Q1029" i="21" s="1"/>
  <c r="M1028" i="21"/>
  <c r="K1028" i="21" s="1"/>
  <c r="Q1028" i="21" s="1"/>
  <c r="M1027" i="21"/>
  <c r="K1027" i="21" s="1"/>
  <c r="Q1027" i="21" s="1"/>
  <c r="M1026" i="21"/>
  <c r="K1026" i="21" s="1"/>
  <c r="Q1026" i="21" s="1"/>
  <c r="M1025" i="21"/>
  <c r="K1025" i="21" s="1"/>
  <c r="Q1025" i="21" s="1"/>
  <c r="M1024" i="21"/>
  <c r="K1024" i="21" s="1"/>
  <c r="Q1024" i="21" s="1"/>
  <c r="M1023" i="21"/>
  <c r="K1023" i="21" s="1"/>
  <c r="Q1023" i="21" s="1"/>
  <c r="M1022" i="21"/>
  <c r="K1022" i="21" s="1"/>
  <c r="Q1022" i="21" s="1"/>
  <c r="M1021" i="21"/>
  <c r="K1021" i="21" s="1"/>
  <c r="Q1021" i="21" s="1"/>
  <c r="M1020" i="21"/>
  <c r="K1020" i="21" s="1"/>
  <c r="Q1020" i="21" s="1"/>
  <c r="M1019" i="21"/>
  <c r="K1019" i="21" s="1"/>
  <c r="Q1019" i="21" s="1"/>
  <c r="M1018" i="21"/>
  <c r="K1018" i="21" s="1"/>
  <c r="Q1018" i="21" s="1"/>
  <c r="M1017" i="21"/>
  <c r="K1017" i="21" s="1"/>
  <c r="Q1017" i="21" s="1"/>
  <c r="M1016" i="21"/>
  <c r="K1016" i="21" s="1"/>
  <c r="Q1016" i="21" s="1"/>
  <c r="M1015" i="21"/>
  <c r="K1015" i="21" s="1"/>
  <c r="Q1015" i="21" s="1"/>
  <c r="M1014" i="21"/>
  <c r="K1014" i="21" s="1"/>
  <c r="Q1014" i="21" s="1"/>
  <c r="M1013" i="21"/>
  <c r="K1013" i="21" s="1"/>
  <c r="Q1013" i="21" s="1"/>
  <c r="M1012" i="21"/>
  <c r="K1012" i="21" s="1"/>
  <c r="Q1012" i="21" s="1"/>
  <c r="M1011" i="21"/>
  <c r="K1011" i="21" s="1"/>
  <c r="Q1011" i="21" s="1"/>
  <c r="M1010" i="21"/>
  <c r="K1010" i="21" s="1"/>
  <c r="Q1010" i="21" s="1"/>
  <c r="M1009" i="21"/>
  <c r="K1009" i="21" s="1"/>
  <c r="Q1009" i="21" s="1"/>
  <c r="M1008" i="21"/>
  <c r="K1008" i="21" s="1"/>
  <c r="Q1008" i="21" s="1"/>
  <c r="M1007" i="21"/>
  <c r="K1007" i="21" s="1"/>
  <c r="Q1007" i="21" s="1"/>
  <c r="M1006" i="21"/>
  <c r="K1006" i="21" s="1"/>
  <c r="Q1006" i="21" s="1"/>
  <c r="M1005" i="21"/>
  <c r="K1005" i="21" s="1"/>
  <c r="Q1005" i="21" s="1"/>
  <c r="K1004" i="21"/>
  <c r="Q1004" i="21" s="1"/>
  <c r="M1003" i="21"/>
  <c r="K1003" i="21" s="1"/>
  <c r="Q1003" i="21" s="1"/>
  <c r="M1002" i="21"/>
  <c r="K1002" i="21" s="1"/>
  <c r="Q1002" i="21" s="1"/>
  <c r="M1001" i="21"/>
  <c r="K1001" i="21" s="1"/>
  <c r="Q1001" i="21" s="1"/>
  <c r="M1000" i="21"/>
  <c r="K1000" i="21" s="1"/>
  <c r="Q1000" i="21" s="1"/>
  <c r="M999" i="21"/>
  <c r="K999" i="21" s="1"/>
  <c r="Q999" i="21" s="1"/>
  <c r="M998" i="21"/>
  <c r="K998" i="21" s="1"/>
  <c r="Q998" i="21" s="1"/>
  <c r="M997" i="21"/>
  <c r="K997" i="21" s="1"/>
  <c r="Q997" i="21" s="1"/>
  <c r="M996" i="21"/>
  <c r="K996" i="21" s="1"/>
  <c r="Q996" i="21" s="1"/>
  <c r="M995" i="21"/>
  <c r="K995" i="21" s="1"/>
  <c r="Q995" i="21" s="1"/>
  <c r="AC1039" i="2"/>
  <c r="AB1039" i="2"/>
  <c r="AA1039" i="2"/>
  <c r="AC1037" i="2"/>
  <c r="AB1037" i="2"/>
  <c r="AA1037" i="2"/>
  <c r="V1037" i="2"/>
  <c r="U1037" i="2"/>
  <c r="O1037" i="2"/>
  <c r="Q1037" i="2" s="1"/>
  <c r="K1037" i="2"/>
  <c r="V1044" i="2"/>
  <c r="U1044" i="2"/>
  <c r="V1043" i="2"/>
  <c r="U1043" i="2"/>
  <c r="V1042" i="2"/>
  <c r="U1042" i="2"/>
  <c r="V1041" i="2"/>
  <c r="U1041" i="2"/>
  <c r="V1040" i="2"/>
  <c r="U1040" i="2"/>
  <c r="V1039" i="2"/>
  <c r="U1039" i="2"/>
  <c r="V1038" i="2"/>
  <c r="U1038" i="2"/>
  <c r="V1036" i="2"/>
  <c r="U1036" i="2"/>
  <c r="B6" i="23"/>
  <c r="BI2" i="23"/>
  <c r="BJ2" i="23" s="1"/>
  <c r="BK2" i="23" s="1"/>
  <c r="BL2" i="23" s="1"/>
  <c r="BM2" i="23" s="1"/>
  <c r="BN2" i="23" s="1"/>
  <c r="BO2" i="23" s="1"/>
  <c r="BP2" i="23" s="1"/>
  <c r="BQ2" i="23" s="1"/>
  <c r="BR2" i="23" s="1"/>
  <c r="BS2" i="23" s="1"/>
  <c r="BT2" i="23" s="1"/>
  <c r="BU2" i="23" s="1"/>
  <c r="BV2" i="23" s="1"/>
  <c r="BW2" i="23" s="1"/>
  <c r="BX2" i="23" s="1"/>
  <c r="BY2" i="23" s="1"/>
  <c r="BZ2" i="23" s="1"/>
  <c r="CA2" i="23" s="1"/>
  <c r="CB2" i="23" s="1"/>
  <c r="CC2" i="23" s="1"/>
  <c r="CD2" i="23" s="1"/>
  <c r="CE2" i="23" s="1"/>
  <c r="CF2" i="23" s="1"/>
  <c r="CG2" i="23" s="1"/>
  <c r="CH2" i="23" s="1"/>
  <c r="CI2" i="23" s="1"/>
  <c r="CJ2" i="23" s="1"/>
  <c r="CK2" i="23" s="1"/>
  <c r="CL2" i="23" s="1"/>
  <c r="CM2" i="23" s="1"/>
  <c r="CN2" i="23" s="1"/>
  <c r="CO2" i="23" s="1"/>
  <c r="CP2" i="23" s="1"/>
  <c r="CQ2" i="23" s="1"/>
  <c r="CR2" i="23" s="1"/>
  <c r="CS2" i="23" s="1"/>
  <c r="CT2" i="23" s="1"/>
  <c r="CU2" i="23" s="1"/>
  <c r="CV2" i="23" s="1"/>
  <c r="CW2" i="23" s="1"/>
  <c r="CX2" i="23" s="1"/>
  <c r="CY2" i="23" s="1"/>
  <c r="CZ2" i="23" s="1"/>
  <c r="DA2" i="23" s="1"/>
  <c r="DB2" i="23" s="1"/>
  <c r="DC2" i="23" s="1"/>
  <c r="DD2" i="23" s="1"/>
  <c r="DE2" i="23" s="1"/>
  <c r="DF2" i="23" s="1"/>
  <c r="DG2" i="23" s="1"/>
  <c r="DH2" i="23" s="1"/>
  <c r="DI2" i="23" s="1"/>
  <c r="DJ2" i="23" s="1"/>
  <c r="DK2" i="23" s="1"/>
  <c r="DL2" i="23" s="1"/>
  <c r="DM2" i="23" s="1"/>
  <c r="DN2" i="23" s="1"/>
  <c r="DO2" i="23" s="1"/>
  <c r="DP2" i="23" s="1"/>
  <c r="DQ2" i="23" s="1"/>
  <c r="DR2" i="23" s="1"/>
  <c r="DS2" i="23" s="1"/>
  <c r="DT2" i="23" s="1"/>
  <c r="DU2" i="23" s="1"/>
  <c r="DV2" i="23" s="1"/>
  <c r="DW2" i="23" s="1"/>
  <c r="DX2" i="23" s="1"/>
  <c r="DY2" i="23" s="1"/>
  <c r="DZ2" i="23" s="1"/>
  <c r="EA2" i="23" s="1"/>
  <c r="EB2" i="23" s="1"/>
  <c r="EC2" i="23" s="1"/>
  <c r="ED2" i="23" s="1"/>
  <c r="EE2" i="23" s="1"/>
  <c r="EF2" i="23" s="1"/>
  <c r="EG2" i="23" s="1"/>
  <c r="EH2" i="23" s="1"/>
  <c r="EI2" i="23" s="1"/>
  <c r="EJ2" i="23" s="1"/>
  <c r="EK2" i="23" s="1"/>
  <c r="EL2" i="23" s="1"/>
  <c r="EM2" i="23" s="1"/>
  <c r="EN2" i="23" s="1"/>
  <c r="EO2" i="23" s="1"/>
  <c r="EP2" i="23" s="1"/>
  <c r="EQ2" i="23" s="1"/>
  <c r="ER2" i="23" s="1"/>
  <c r="ES2" i="23" s="1"/>
  <c r="ET2" i="23" s="1"/>
  <c r="EU2" i="23" s="1"/>
  <c r="EV2" i="23" s="1"/>
  <c r="EW2" i="23" s="1"/>
  <c r="EX2" i="23" s="1"/>
  <c r="EY2" i="23" s="1"/>
  <c r="EZ2" i="23" s="1"/>
  <c r="FA2" i="23" s="1"/>
  <c r="FB2" i="23" s="1"/>
  <c r="FC2" i="23" s="1"/>
  <c r="FD2" i="23" s="1"/>
  <c r="FE2" i="23" s="1"/>
  <c r="FF2" i="23" s="1"/>
  <c r="FG2" i="23" s="1"/>
  <c r="FH2" i="23" s="1"/>
  <c r="FI2" i="23" s="1"/>
  <c r="FJ2" i="23" s="1"/>
  <c r="FK2" i="23" s="1"/>
  <c r="FL2" i="23" s="1"/>
  <c r="FM2" i="23" s="1"/>
  <c r="FN2" i="23" s="1"/>
  <c r="FO2" i="23" s="1"/>
  <c r="FP2" i="23" s="1"/>
  <c r="FQ2" i="23" s="1"/>
  <c r="FR2" i="23" s="1"/>
  <c r="FS2" i="23" s="1"/>
  <c r="FT2" i="23" s="1"/>
  <c r="FU2" i="23" s="1"/>
  <c r="FV2" i="23" s="1"/>
  <c r="FW2" i="23" s="1"/>
  <c r="FX2" i="23" s="1"/>
  <c r="FY2" i="23" s="1"/>
  <c r="FZ2" i="23" s="1"/>
  <c r="GA2" i="23" s="1"/>
  <c r="GB2" i="23" s="1"/>
  <c r="GC2" i="23" s="1"/>
  <c r="GD2" i="23" s="1"/>
  <c r="GE2" i="23" s="1"/>
  <c r="GF2" i="23" s="1"/>
  <c r="GG2" i="23" s="1"/>
  <c r="GH2" i="23" s="1"/>
  <c r="GI2" i="23" s="1"/>
  <c r="GJ2" i="23" s="1"/>
  <c r="GK2" i="23" s="1"/>
  <c r="GL2" i="23" s="1"/>
  <c r="GM2" i="23" s="1"/>
  <c r="GN2" i="23" s="1"/>
  <c r="GO2" i="23" s="1"/>
  <c r="GP2" i="23" s="1"/>
  <c r="GQ2" i="23" s="1"/>
  <c r="GR2" i="23" s="1"/>
  <c r="GS2" i="23" s="1"/>
  <c r="GT2" i="23" s="1"/>
  <c r="GU2" i="23" s="1"/>
  <c r="GV2" i="23" s="1"/>
  <c r="GW2" i="23" s="1"/>
  <c r="GX2" i="23" s="1"/>
  <c r="GY2" i="23" s="1"/>
  <c r="GZ2" i="23" s="1"/>
  <c r="HA2" i="23" s="1"/>
  <c r="HB2" i="23" s="1"/>
  <c r="HC2" i="23" s="1"/>
  <c r="HD2" i="23" s="1"/>
  <c r="HE2" i="23" s="1"/>
  <c r="HF2" i="23" s="1"/>
  <c r="HG2" i="23" s="1"/>
  <c r="HH2" i="23" s="1"/>
  <c r="HI2" i="23" s="1"/>
  <c r="HJ2" i="23" s="1"/>
  <c r="HK2" i="23" s="1"/>
  <c r="HL2" i="23" s="1"/>
  <c r="HM2" i="23" s="1"/>
  <c r="HN2" i="23" s="1"/>
  <c r="HO2" i="23" s="1"/>
  <c r="HP2" i="23" s="1"/>
  <c r="HQ2" i="23" s="1"/>
  <c r="HR2" i="23" s="1"/>
  <c r="HS2" i="23" s="1"/>
  <c r="HT2" i="23" s="1"/>
  <c r="HU2" i="23" s="1"/>
  <c r="HV2" i="23" s="1"/>
  <c r="HW2" i="23" s="1"/>
  <c r="HX2" i="23" s="1"/>
  <c r="HY2" i="23" s="1"/>
  <c r="HZ2" i="23" s="1"/>
  <c r="IA2" i="23" s="1"/>
  <c r="IB2" i="23" s="1"/>
  <c r="IC2" i="23" s="1"/>
  <c r="ID2" i="23" s="1"/>
  <c r="IE2" i="23" s="1"/>
  <c r="IF2" i="23" s="1"/>
  <c r="IG2" i="23" s="1"/>
  <c r="IH2" i="23" s="1"/>
  <c r="II2" i="23" s="1"/>
  <c r="IJ2" i="23" s="1"/>
  <c r="IK2" i="23" s="1"/>
  <c r="IL2" i="23" s="1"/>
  <c r="IM2" i="23" s="1"/>
  <c r="IN2" i="23" s="1"/>
  <c r="IO2" i="23" s="1"/>
  <c r="IP2" i="23" s="1"/>
  <c r="IQ2" i="23" s="1"/>
  <c r="IR2" i="23" s="1"/>
  <c r="IS2" i="23" s="1"/>
  <c r="IT2" i="23" s="1"/>
  <c r="IU2" i="23" s="1"/>
  <c r="IV2" i="23" s="1"/>
  <c r="IW2" i="23" s="1"/>
  <c r="IX2" i="23" s="1"/>
  <c r="IY2" i="23" s="1"/>
  <c r="IZ2" i="23" s="1"/>
  <c r="JA2" i="23" s="1"/>
  <c r="JB2" i="23" s="1"/>
  <c r="JC2" i="23" s="1"/>
  <c r="JD2" i="23" s="1"/>
  <c r="JE2" i="23" s="1"/>
  <c r="JF2" i="23" s="1"/>
  <c r="JG2" i="23" s="1"/>
  <c r="JH2" i="23" s="1"/>
  <c r="JI2" i="23" s="1"/>
  <c r="JJ2" i="23" s="1"/>
  <c r="JK2" i="23" s="1"/>
  <c r="JL2" i="23" s="1"/>
  <c r="JM2" i="23" s="1"/>
  <c r="JN2" i="23" s="1"/>
  <c r="JO2" i="23" s="1"/>
  <c r="JP2" i="23" s="1"/>
  <c r="JQ2" i="23" s="1"/>
  <c r="JR2" i="23" s="1"/>
  <c r="JS2" i="23" s="1"/>
  <c r="JT2" i="23" s="1"/>
  <c r="JU2" i="23" s="1"/>
  <c r="JV2" i="23" s="1"/>
  <c r="JW2" i="23" s="1"/>
  <c r="JX2" i="23" s="1"/>
  <c r="JY2" i="23" s="1"/>
  <c r="JZ2" i="23" s="1"/>
  <c r="KA2" i="23" s="1"/>
  <c r="KB2" i="23" s="1"/>
  <c r="KC2" i="23" s="1"/>
  <c r="KD2" i="23" s="1"/>
  <c r="KE2" i="23" s="1"/>
  <c r="KF2" i="23" s="1"/>
  <c r="KG2" i="23" s="1"/>
  <c r="KH2" i="23" s="1"/>
  <c r="KI2" i="23" s="1"/>
  <c r="KJ2" i="23" s="1"/>
  <c r="KK2" i="23" s="1"/>
  <c r="KL2" i="23" s="1"/>
  <c r="KM2" i="23" s="1"/>
  <c r="KN2" i="23" s="1"/>
  <c r="KO2" i="23" s="1"/>
  <c r="KP2" i="23" s="1"/>
  <c r="KQ2" i="23" s="1"/>
  <c r="KR2" i="23" s="1"/>
  <c r="KS2" i="23" s="1"/>
  <c r="KT2" i="23" s="1"/>
  <c r="KU2" i="23" s="1"/>
  <c r="KV2" i="23" s="1"/>
  <c r="KW2" i="23" s="1"/>
  <c r="KX2" i="23" s="1"/>
  <c r="KY2" i="23" s="1"/>
  <c r="KZ2" i="23" s="1"/>
  <c r="LA2" i="23" s="1"/>
  <c r="LB2" i="23" s="1"/>
  <c r="LC2" i="23" s="1"/>
  <c r="LD2" i="23" s="1"/>
  <c r="LE2" i="23" s="1"/>
  <c r="LF2" i="23" s="1"/>
  <c r="LG2" i="23" s="1"/>
  <c r="LH2" i="23" s="1"/>
  <c r="LI2" i="23" s="1"/>
  <c r="LJ2" i="23" s="1"/>
  <c r="LK2" i="23" s="1"/>
  <c r="LL2" i="23" s="1"/>
  <c r="LM2" i="23" s="1"/>
  <c r="LN2" i="23" s="1"/>
  <c r="LO2" i="23" s="1"/>
  <c r="LP2" i="23" s="1"/>
  <c r="LQ2" i="23" s="1"/>
  <c r="LR2" i="23" s="1"/>
  <c r="LS2" i="23" s="1"/>
  <c r="LT2" i="23" s="1"/>
  <c r="LU2" i="23" s="1"/>
  <c r="LV2" i="23" s="1"/>
  <c r="LW2" i="23" s="1"/>
  <c r="LX2" i="23" s="1"/>
  <c r="LY2" i="23" s="1"/>
  <c r="LZ2" i="23" s="1"/>
  <c r="MA2" i="23" s="1"/>
  <c r="MB2" i="23" s="1"/>
  <c r="MC2" i="23" s="1"/>
  <c r="MD2" i="23" s="1"/>
  <c r="ME2" i="23" s="1"/>
  <c r="MF2" i="23" s="1"/>
  <c r="MG2" i="23" s="1"/>
  <c r="MH2" i="23" s="1"/>
  <c r="MI2" i="23" s="1"/>
  <c r="MJ2" i="23" s="1"/>
  <c r="MK2" i="23" s="1"/>
  <c r="ML2" i="23" s="1"/>
  <c r="MM2" i="23" s="1"/>
  <c r="MN2" i="23" s="1"/>
  <c r="MO2" i="23" s="1"/>
  <c r="MP2" i="23" s="1"/>
  <c r="MQ2" i="23" s="1"/>
  <c r="MR2" i="23" s="1"/>
  <c r="MS2" i="23" s="1"/>
  <c r="MT2" i="23" s="1"/>
  <c r="MU2" i="23" s="1"/>
  <c r="MV2" i="23" s="1"/>
  <c r="MW2" i="23" s="1"/>
  <c r="MX2" i="23" s="1"/>
  <c r="MY2" i="23" s="1"/>
  <c r="MZ2" i="23" s="1"/>
  <c r="NA2" i="23" s="1"/>
  <c r="NB2" i="23" s="1"/>
  <c r="NC2" i="23" s="1"/>
  <c r="ND2" i="23" s="1"/>
  <c r="NE2" i="23" s="1"/>
  <c r="NF2" i="23" s="1"/>
  <c r="NG2" i="23" s="1"/>
  <c r="A7" i="23"/>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C1054" i="2"/>
  <c r="AB1054" i="2"/>
  <c r="AA1054" i="2"/>
  <c r="V1054" i="2"/>
  <c r="U1054" i="2"/>
  <c r="O1054" i="2"/>
  <c r="Q1054" i="2" s="1"/>
  <c r="K1054" i="2"/>
  <c r="O1207" i="2"/>
  <c r="M1207" i="2" s="1"/>
  <c r="AD1207" i="2" s="1"/>
  <c r="O1206" i="2"/>
  <c r="M1206" i="2" s="1"/>
  <c r="AD1206" i="2" s="1"/>
  <c r="O1205" i="2"/>
  <c r="M1205" i="2" s="1"/>
  <c r="AD1205" i="2" s="1"/>
  <c r="O1204" i="2"/>
  <c r="M1204" i="2" s="1"/>
  <c r="AD1204" i="2" s="1"/>
  <c r="O1203" i="2"/>
  <c r="M1203" i="2" s="1"/>
  <c r="AD1203" i="2" s="1"/>
  <c r="O1202" i="2"/>
  <c r="M1202" i="2" s="1"/>
  <c r="AD1202" i="2" s="1"/>
  <c r="O1201" i="2"/>
  <c r="M1201" i="2" s="1"/>
  <c r="AD1201" i="2" s="1"/>
  <c r="O1200" i="2"/>
  <c r="M1200" i="2" s="1"/>
  <c r="AD1200" i="2" s="1"/>
  <c r="O1199" i="2"/>
  <c r="M1199" i="2" s="1"/>
  <c r="AD1199" i="2" s="1"/>
  <c r="O1198" i="2"/>
  <c r="O1197" i="2"/>
  <c r="M1197" i="2" s="1"/>
  <c r="AD1197" i="2" s="1"/>
  <c r="M1195" i="2"/>
  <c r="AD1195" i="2" s="1"/>
  <c r="O1193" i="2"/>
  <c r="M1193" i="2" s="1"/>
  <c r="AD1193" i="2" s="1"/>
  <c r="O1192" i="2"/>
  <c r="O1191" i="2"/>
  <c r="M1191" i="2" s="1"/>
  <c r="AD1191" i="2" s="1"/>
  <c r="O1190" i="2"/>
  <c r="O1189" i="2"/>
  <c r="M1189" i="2" s="1"/>
  <c r="AD1189" i="2" s="1"/>
  <c r="O1188" i="2"/>
  <c r="O1187" i="2"/>
  <c r="M1187" i="2" s="1"/>
  <c r="AD1187" i="2" s="1"/>
  <c r="O1186" i="2"/>
  <c r="O1185" i="2"/>
  <c r="M1185" i="2" s="1"/>
  <c r="AD1185" i="2" s="1"/>
  <c r="O1184" i="2"/>
  <c r="O1183" i="2"/>
  <c r="O1182" i="2"/>
  <c r="O1181" i="2"/>
  <c r="M1181" i="2" s="1"/>
  <c r="AD1181" i="2" s="1"/>
  <c r="O1180" i="2"/>
  <c r="O1179" i="2"/>
  <c r="M1179" i="2" s="1"/>
  <c r="AD1179" i="2" s="1"/>
  <c r="O1178" i="2"/>
  <c r="O1177" i="2"/>
  <c r="O1176" i="2"/>
  <c r="O1175" i="2"/>
  <c r="M1175" i="2" s="1"/>
  <c r="AD1175" i="2" s="1"/>
  <c r="O1174" i="2"/>
  <c r="O1173" i="2"/>
  <c r="M1173" i="2" s="1"/>
  <c r="AD1173" i="2" s="1"/>
  <c r="O1172" i="2"/>
  <c r="O1171" i="2"/>
  <c r="M1171" i="2" s="1"/>
  <c r="AD1171" i="2" s="1"/>
  <c r="O1170" i="2"/>
  <c r="O1169" i="2"/>
  <c r="M1169" i="2" s="1"/>
  <c r="AD1169" i="2" s="1"/>
  <c r="O1168" i="2"/>
  <c r="Q1168" i="2" s="1"/>
  <c r="O1167" i="2"/>
  <c r="M1167" i="2" s="1"/>
  <c r="AD1167" i="2" s="1"/>
  <c r="O1166" i="2"/>
  <c r="O1165" i="2"/>
  <c r="M1165" i="2" s="1"/>
  <c r="AD1165" i="2" s="1"/>
  <c r="O1164" i="2"/>
  <c r="O1163" i="2"/>
  <c r="M1163" i="2" s="1"/>
  <c r="AD1163" i="2" s="1"/>
  <c r="O1162" i="2"/>
  <c r="O1161" i="2"/>
  <c r="M1161" i="2" s="1"/>
  <c r="AD1161" i="2" s="1"/>
  <c r="O1160" i="2"/>
  <c r="O1159" i="2"/>
  <c r="M1159" i="2" s="1"/>
  <c r="AD1159" i="2" s="1"/>
  <c r="O1158" i="2"/>
  <c r="O1157" i="2"/>
  <c r="M1157" i="2" s="1"/>
  <c r="AD1157" i="2" s="1"/>
  <c r="O1156" i="2"/>
  <c r="O1155" i="2"/>
  <c r="M1155" i="2" s="1"/>
  <c r="AD1155" i="2" s="1"/>
  <c r="O1154" i="2"/>
  <c r="O1153" i="2"/>
  <c r="M1153" i="2" s="1"/>
  <c r="AD1153" i="2" s="1"/>
  <c r="O1152" i="2"/>
  <c r="O1151" i="2"/>
  <c r="M1151" i="2" s="1"/>
  <c r="AD1151" i="2" s="1"/>
  <c r="O1150" i="2"/>
  <c r="O1149" i="2"/>
  <c r="M1149" i="2" s="1"/>
  <c r="AD1149" i="2" s="1"/>
  <c r="O1148" i="2"/>
  <c r="O1147" i="2"/>
  <c r="M1147" i="2" s="1"/>
  <c r="AD1147" i="2" s="1"/>
  <c r="O1146" i="2"/>
  <c r="O1145" i="2"/>
  <c r="O1144" i="2"/>
  <c r="O1143" i="2"/>
  <c r="M1143" i="2" s="1"/>
  <c r="AD1143" i="2" s="1"/>
  <c r="O1142" i="2"/>
  <c r="O1141" i="2"/>
  <c r="M1141" i="2" s="1"/>
  <c r="AD1141" i="2" s="1"/>
  <c r="O1140" i="2"/>
  <c r="O1139" i="2"/>
  <c r="M1139" i="2" s="1"/>
  <c r="AD1139" i="2" s="1"/>
  <c r="O1138" i="2"/>
  <c r="O1137" i="2"/>
  <c r="M1137" i="2" s="1"/>
  <c r="AD1137" i="2" s="1"/>
  <c r="O1136" i="2"/>
  <c r="O1135" i="2"/>
  <c r="M1135" i="2" s="1"/>
  <c r="AD1135" i="2" s="1"/>
  <c r="O1134" i="2"/>
  <c r="O1133" i="2"/>
  <c r="M1133" i="2" s="1"/>
  <c r="AD1133" i="2" s="1"/>
  <c r="O1132" i="2"/>
  <c r="O1131" i="2"/>
  <c r="M1131" i="2" s="1"/>
  <c r="AD1131" i="2" s="1"/>
  <c r="O1130" i="2"/>
  <c r="O1129" i="2"/>
  <c r="M1129" i="2" s="1"/>
  <c r="AD1129" i="2" s="1"/>
  <c r="O1128" i="2"/>
  <c r="O1127" i="2"/>
  <c r="M1127" i="2" s="1"/>
  <c r="AD1127" i="2" s="1"/>
  <c r="O1126" i="2"/>
  <c r="O1125" i="2"/>
  <c r="M1125" i="2" s="1"/>
  <c r="AD1125" i="2" s="1"/>
  <c r="O1124" i="2"/>
  <c r="O1123" i="2"/>
  <c r="M1123" i="2" s="1"/>
  <c r="AD1123" i="2" s="1"/>
  <c r="O1122" i="2"/>
  <c r="O1121" i="2"/>
  <c r="M1121" i="2" s="1"/>
  <c r="AD1121" i="2" s="1"/>
  <c r="O1120" i="2"/>
  <c r="O1119" i="2"/>
  <c r="M1119" i="2" s="1"/>
  <c r="AD1119" i="2" s="1"/>
  <c r="O1118" i="2"/>
  <c r="O1117" i="2"/>
  <c r="M1117" i="2" s="1"/>
  <c r="AD1117" i="2" s="1"/>
  <c r="O1116" i="2"/>
  <c r="O1115" i="2"/>
  <c r="M1115" i="2" s="1"/>
  <c r="AD1115" i="2" s="1"/>
  <c r="O1114" i="2"/>
  <c r="O1113" i="2"/>
  <c r="O1111" i="2"/>
  <c r="M1111" i="2" s="1"/>
  <c r="O1109" i="2"/>
  <c r="M1109" i="2" s="1"/>
  <c r="AD1109" i="2" s="1"/>
  <c r="O1108" i="2"/>
  <c r="M1108" i="2" s="1"/>
  <c r="AD1108" i="2" s="1"/>
  <c r="O1107" i="2"/>
  <c r="M1107" i="2" s="1"/>
  <c r="AD1107" i="2" s="1"/>
  <c r="O1099" i="2"/>
  <c r="M1099" i="2" s="1"/>
  <c r="AD1099" i="2" s="1"/>
  <c r="O1098" i="2"/>
  <c r="M1098" i="2" s="1"/>
  <c r="AD1098" i="2" s="1"/>
  <c r="O1097" i="2"/>
  <c r="M1097" i="2" s="1"/>
  <c r="AD1097" i="2" s="1"/>
  <c r="O1096" i="2"/>
  <c r="M1096" i="2" s="1"/>
  <c r="AD1096" i="2" s="1"/>
  <c r="O1095" i="2"/>
  <c r="M1095" i="2" s="1"/>
  <c r="AD1095" i="2" s="1"/>
  <c r="O1094" i="2"/>
  <c r="M1094" i="2" s="1"/>
  <c r="AD1094" i="2" s="1"/>
  <c r="O1093" i="2"/>
  <c r="M1093" i="2" s="1"/>
  <c r="AD1093" i="2" s="1"/>
  <c r="O1092" i="2"/>
  <c r="M1092" i="2" s="1"/>
  <c r="AD1092" i="2" s="1"/>
  <c r="O1091" i="2"/>
  <c r="M1091" i="2" s="1"/>
  <c r="AD1091" i="2" s="1"/>
  <c r="M1090" i="2"/>
  <c r="AD1090" i="2" s="1"/>
  <c r="O1089" i="2"/>
  <c r="M1089" i="2" s="1"/>
  <c r="AD1089" i="2" s="1"/>
  <c r="O1088" i="2"/>
  <c r="M1088" i="2" s="1"/>
  <c r="AD1088" i="2" s="1"/>
  <c r="O1087" i="2"/>
  <c r="M1087" i="2" s="1"/>
  <c r="AD1087" i="2" s="1"/>
  <c r="O1086" i="2"/>
  <c r="M1086" i="2" s="1"/>
  <c r="AD1086" i="2" s="1"/>
  <c r="O1085" i="2"/>
  <c r="M1085" i="2" s="1"/>
  <c r="AD1085" i="2" s="1"/>
  <c r="O1084" i="2"/>
  <c r="M1084" i="2" s="1"/>
  <c r="AD1084" i="2" s="1"/>
  <c r="O1083" i="2"/>
  <c r="M1083" i="2" s="1"/>
  <c r="AD1083" i="2" s="1"/>
  <c r="O1082" i="2"/>
  <c r="M1082" i="2" s="1"/>
  <c r="AD1082" i="2" s="1"/>
  <c r="O1081" i="2"/>
  <c r="M1081" i="2" s="1"/>
  <c r="AD1081" i="2" s="1"/>
  <c r="O1080" i="2"/>
  <c r="M1080" i="2" s="1"/>
  <c r="AD1080" i="2" s="1"/>
  <c r="O1079" i="2"/>
  <c r="M1079" i="2" s="1"/>
  <c r="AD1079" i="2" s="1"/>
  <c r="O1078" i="2"/>
  <c r="M1078" i="2" s="1"/>
  <c r="AD1078" i="2" s="1"/>
  <c r="O1077" i="2"/>
  <c r="O1076" i="2"/>
  <c r="M1076" i="2" s="1"/>
  <c r="AD1076" i="2" s="1"/>
  <c r="O1075" i="2"/>
  <c r="M1075" i="2" s="1"/>
  <c r="AD1075" i="2" s="1"/>
  <c r="O1074" i="2"/>
  <c r="M1074" i="2" s="1"/>
  <c r="AD1074" i="2" s="1"/>
  <c r="O1073" i="2"/>
  <c r="O1072" i="2"/>
  <c r="M1072" i="2" s="1"/>
  <c r="AD1072" i="2" s="1"/>
  <c r="O1071" i="2"/>
  <c r="M1071" i="2" s="1"/>
  <c r="AD1071" i="2" s="1"/>
  <c r="O1070" i="2"/>
  <c r="M1070" i="2" s="1"/>
  <c r="AD1070" i="2" s="1"/>
  <c r="O1069" i="2"/>
  <c r="M1069" i="2" s="1"/>
  <c r="AD1069" i="2" s="1"/>
  <c r="O1068" i="2"/>
  <c r="M1068" i="2" s="1"/>
  <c r="AD1068" i="2" s="1"/>
  <c r="O1067" i="2"/>
  <c r="M1067" i="2" s="1"/>
  <c r="AD1067" i="2" s="1"/>
  <c r="O1066" i="2"/>
  <c r="M1066" i="2" s="1"/>
  <c r="AD1066" i="2" s="1"/>
  <c r="O1065" i="2"/>
  <c r="O1064" i="2"/>
  <c r="M1064" i="2" s="1"/>
  <c r="AD1064" i="2" s="1"/>
  <c r="O1063" i="2"/>
  <c r="M1063" i="2" s="1"/>
  <c r="AD1063" i="2" s="1"/>
  <c r="O1062" i="2"/>
  <c r="M1062" i="2" s="1"/>
  <c r="AD1062" i="2" s="1"/>
  <c r="O1061" i="2"/>
  <c r="O1060" i="2"/>
  <c r="M1060" i="2" s="1"/>
  <c r="AD1060" i="2" s="1"/>
  <c r="O1059" i="2"/>
  <c r="M1059" i="2" s="1"/>
  <c r="AD1059" i="2" s="1"/>
  <c r="O1058" i="2"/>
  <c r="M1058" i="2" s="1"/>
  <c r="AD1058" i="2" s="1"/>
  <c r="O1057" i="2"/>
  <c r="M1057" i="2" s="1"/>
  <c r="AD1057" i="2" s="1"/>
  <c r="O1056" i="2"/>
  <c r="M1056" i="2" s="1"/>
  <c r="AD1056" i="2" s="1"/>
  <c r="O1055" i="2"/>
  <c r="M1055" i="2" s="1"/>
  <c r="AD1055" i="2" s="1"/>
  <c r="O1053" i="2"/>
  <c r="O1052" i="2"/>
  <c r="M1052" i="2" s="1"/>
  <c r="AD1052" i="2" s="1"/>
  <c r="O1051" i="2"/>
  <c r="M1051" i="2" s="1"/>
  <c r="AD1051" i="2" s="1"/>
  <c r="O1050" i="2"/>
  <c r="M1050" i="2" s="1"/>
  <c r="AD1050" i="2" s="1"/>
  <c r="O1049" i="2"/>
  <c r="O1048" i="2"/>
  <c r="M1048" i="2" s="1"/>
  <c r="AD1048" i="2" s="1"/>
  <c r="O1047" i="2"/>
  <c r="M1047" i="2" s="1"/>
  <c r="AD1047" i="2" s="1"/>
  <c r="O1046" i="2"/>
  <c r="M1046" i="2" s="1"/>
  <c r="AD1046" i="2" s="1"/>
  <c r="O1045" i="2"/>
  <c r="M1045" i="2" s="1"/>
  <c r="AD1045" i="2" s="1"/>
  <c r="O1044" i="2"/>
  <c r="M1044" i="2" s="1"/>
  <c r="AD1044" i="2" s="1"/>
  <c r="O1043" i="2"/>
  <c r="M1043" i="2" s="1"/>
  <c r="AD1043" i="2" s="1"/>
  <c r="O1042" i="2"/>
  <c r="M1042" i="2" s="1"/>
  <c r="AD1042" i="2" s="1"/>
  <c r="O1041" i="2"/>
  <c r="M1041" i="2" s="1"/>
  <c r="AD1041" i="2" s="1"/>
  <c r="O1040" i="2"/>
  <c r="M1040" i="2" s="1"/>
  <c r="AD1040" i="2" s="1"/>
  <c r="K1036" i="2"/>
  <c r="O1036" i="2"/>
  <c r="Q1036" i="2" s="1"/>
  <c r="M1039" i="2"/>
  <c r="AD1037" i="2" s="1"/>
  <c r="O1038" i="2"/>
  <c r="M1038" i="2" s="1"/>
  <c r="AD1036" i="2" s="1"/>
  <c r="O1035" i="2"/>
  <c r="M1035" i="2" s="1"/>
  <c r="AD1035" i="2" s="1"/>
  <c r="O1034" i="2"/>
  <c r="M1034" i="2" s="1"/>
  <c r="AD1034" i="2" s="1"/>
  <c r="O1033" i="2"/>
  <c r="M1033" i="2" s="1"/>
  <c r="AD1033" i="2" s="1"/>
  <c r="O1032" i="2"/>
  <c r="M1032" i="2" s="1"/>
  <c r="AD1032" i="2" s="1"/>
  <c r="O1031" i="2"/>
  <c r="M1031" i="2" s="1"/>
  <c r="AD1031" i="2" s="1"/>
  <c r="O1030" i="2"/>
  <c r="M1030" i="2" s="1"/>
  <c r="AD1030" i="2" s="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3" i="21"/>
  <c r="Q1172" i="21"/>
  <c r="Q1171" i="21"/>
  <c r="Q1170" i="21"/>
  <c r="Q1169" i="21"/>
  <c r="Q1168" i="21"/>
  <c r="Q1167" i="21"/>
  <c r="Q1166" i="21"/>
  <c r="Q1165" i="21"/>
  <c r="Q1164" i="21"/>
  <c r="Q1163" i="21"/>
  <c r="Q1162" i="21"/>
  <c r="Q1161" i="21"/>
  <c r="Q1160" i="21"/>
  <c r="Q1159"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217" i="21"/>
  <c r="P1198" i="21"/>
  <c r="P1197" i="21"/>
  <c r="P1196" i="21"/>
  <c r="P1195" i="21"/>
  <c r="P1194" i="21"/>
  <c r="P1193" i="21"/>
  <c r="P1192" i="21"/>
  <c r="P1191" i="21"/>
  <c r="P1190" i="21"/>
  <c r="P1189" i="21"/>
  <c r="P1188" i="21"/>
  <c r="P1187" i="21"/>
  <c r="P1186" i="21"/>
  <c r="P1185" i="21"/>
  <c r="P1184" i="21"/>
  <c r="P1183" i="21"/>
  <c r="P1182" i="21"/>
  <c r="P1181" i="21"/>
  <c r="P1180" i="21"/>
  <c r="P1179" i="21"/>
  <c r="P1178" i="21"/>
  <c r="P1177" i="21"/>
  <c r="P1176" i="21"/>
  <c r="P1175" i="21"/>
  <c r="P1173" i="21"/>
  <c r="P1172" i="21"/>
  <c r="P1171" i="21"/>
  <c r="P1170" i="21"/>
  <c r="P1169" i="21"/>
  <c r="P1168" i="21"/>
  <c r="P1167" i="21"/>
  <c r="P1166" i="21"/>
  <c r="P1165" i="21"/>
  <c r="P1164" i="21"/>
  <c r="P1163" i="21"/>
  <c r="P1162" i="21"/>
  <c r="P1161" i="21"/>
  <c r="P1160" i="21"/>
  <c r="P1159" i="21"/>
  <c r="P1157" i="21"/>
  <c r="P1156" i="21"/>
  <c r="P1155" i="21"/>
  <c r="P1154" i="21"/>
  <c r="P1153" i="21"/>
  <c r="P1152" i="21"/>
  <c r="P1151" i="21"/>
  <c r="P1150" i="21"/>
  <c r="P1149" i="21"/>
  <c r="P1148" i="21"/>
  <c r="P1147" i="21"/>
  <c r="P1146" i="21"/>
  <c r="P1145" i="21"/>
  <c r="P1144" i="21"/>
  <c r="P1143" i="21"/>
  <c r="P1142" i="21"/>
  <c r="P1141" i="21"/>
  <c r="P1140" i="21"/>
  <c r="P1139" i="21"/>
  <c r="P1138" i="21"/>
  <c r="P1137" i="21"/>
  <c r="P1136" i="21"/>
  <c r="P1135" i="21"/>
  <c r="P1134" i="21"/>
  <c r="P1133" i="21"/>
  <c r="P1132" i="21"/>
  <c r="P1131" i="21"/>
  <c r="P1130" i="21"/>
  <c r="P1129" i="21"/>
  <c r="P1128" i="21"/>
  <c r="P1127" i="21"/>
  <c r="P1126" i="21"/>
  <c r="P1125" i="21"/>
  <c r="P1124" i="21"/>
  <c r="P1123" i="21"/>
  <c r="P1122" i="21"/>
  <c r="P1121" i="21"/>
  <c r="P1120" i="21"/>
  <c r="P1119" i="21"/>
  <c r="P1118" i="21"/>
  <c r="P1117" i="21"/>
  <c r="P1116" i="21"/>
  <c r="P1115" i="21"/>
  <c r="P1114" i="21"/>
  <c r="P1113" i="21"/>
  <c r="P1112" i="21"/>
  <c r="P1111" i="21"/>
  <c r="P1110" i="21"/>
  <c r="P1109" i="21"/>
  <c r="P1108" i="21"/>
  <c r="P1107" i="21"/>
  <c r="P1106" i="21"/>
  <c r="P1105" i="21"/>
  <c r="P1104" i="21"/>
  <c r="P1103" i="21"/>
  <c r="P1102" i="21"/>
  <c r="P1101" i="21"/>
  <c r="P1100" i="21"/>
  <c r="P1099" i="21"/>
  <c r="P1098" i="21"/>
  <c r="P1097" i="21"/>
  <c r="P1096" i="21"/>
  <c r="P1095" i="21"/>
  <c r="P1094" i="21"/>
  <c r="P1093" i="21"/>
  <c r="P1092" i="21"/>
  <c r="P1091" i="21"/>
  <c r="P1090" i="21"/>
  <c r="P1089" i="21"/>
  <c r="P1088" i="21"/>
  <c r="P1087" i="21"/>
  <c r="P1086" i="21"/>
  <c r="P1085" i="21"/>
  <c r="P1084" i="21"/>
  <c r="P1083" i="21"/>
  <c r="P1082" i="21"/>
  <c r="P1081" i="21"/>
  <c r="P1080" i="21"/>
  <c r="P1079" i="21"/>
  <c r="P1078" i="21"/>
  <c r="P1077" i="21"/>
  <c r="P1076" i="21"/>
  <c r="P1075" i="21"/>
  <c r="P1074" i="21"/>
  <c r="P1073" i="21"/>
  <c r="P1072" i="21"/>
  <c r="P1071" i="21"/>
  <c r="P1070" i="21"/>
  <c r="P1069" i="21"/>
  <c r="P1068" i="21"/>
  <c r="P1067" i="21"/>
  <c r="P1066" i="21"/>
  <c r="P1065" i="21"/>
  <c r="P1064" i="21"/>
  <c r="P1063" i="21"/>
  <c r="P1062" i="21"/>
  <c r="P1061" i="21"/>
  <c r="P1060" i="21"/>
  <c r="P1059" i="21"/>
  <c r="P1058" i="21"/>
  <c r="P1057" i="21"/>
  <c r="P1056" i="21"/>
  <c r="P1055" i="21"/>
  <c r="P1054" i="21"/>
  <c r="P1053" i="21"/>
  <c r="P1052" i="21"/>
  <c r="P1051" i="21"/>
  <c r="P1050" i="21"/>
  <c r="P1049" i="21"/>
  <c r="P1048" i="21"/>
  <c r="P1047" i="21"/>
  <c r="P1046" i="21"/>
  <c r="P1045" i="21"/>
  <c r="P1044" i="21"/>
  <c r="P1043" i="21"/>
  <c r="P1042" i="21"/>
  <c r="P1041" i="21"/>
  <c r="P1040" i="21"/>
  <c r="P1039" i="21"/>
  <c r="P1038" i="21"/>
  <c r="P1037" i="21"/>
  <c r="P1036" i="21"/>
  <c r="P1035" i="21"/>
  <c r="P1034" i="21"/>
  <c r="P1033" i="21"/>
  <c r="P1032" i="21"/>
  <c r="P1031" i="21"/>
  <c r="P1030" i="21"/>
  <c r="P1029" i="21"/>
  <c r="P1028" i="21"/>
  <c r="P1027" i="21"/>
  <c r="P1026" i="21"/>
  <c r="P1025" i="21"/>
  <c r="P1024" i="21"/>
  <c r="P1023" i="21"/>
  <c r="P1022" i="21"/>
  <c r="P1021" i="21"/>
  <c r="P1020" i="21"/>
  <c r="P1019" i="21"/>
  <c r="P1018" i="21"/>
  <c r="P1017" i="21"/>
  <c r="P1016" i="21"/>
  <c r="P1015" i="21"/>
  <c r="P1014" i="21"/>
  <c r="P1013" i="21"/>
  <c r="P1012" i="21"/>
  <c r="P1011" i="21"/>
  <c r="P1010" i="21"/>
  <c r="P1009" i="21"/>
  <c r="P1008" i="21"/>
  <c r="P1007" i="21"/>
  <c r="P1006" i="21"/>
  <c r="P1005" i="21"/>
  <c r="P1004" i="21"/>
  <c r="P1003" i="21"/>
  <c r="P1002" i="21"/>
  <c r="P1001" i="21"/>
  <c r="P1000" i="21"/>
  <c r="P999" i="21"/>
  <c r="P998" i="21"/>
  <c r="P997" i="21"/>
  <c r="P996" i="21"/>
  <c r="P995" i="21"/>
  <c r="P994" i="21"/>
  <c r="P993" i="21"/>
  <c r="P992" i="21"/>
  <c r="P991" i="21"/>
  <c r="P990" i="21"/>
  <c r="P989" i="21"/>
  <c r="P988" i="21"/>
  <c r="P987" i="21"/>
  <c r="P986" i="21"/>
  <c r="P985" i="21"/>
  <c r="P984" i="21"/>
  <c r="P983" i="21"/>
  <c r="P982" i="21"/>
  <c r="P981" i="21"/>
  <c r="P980" i="21"/>
  <c r="P979" i="21"/>
  <c r="P978" i="21"/>
  <c r="P977" i="21"/>
  <c r="P976" i="21"/>
  <c r="P975" i="21"/>
  <c r="P974" i="21"/>
  <c r="P973" i="21"/>
  <c r="P972" i="21"/>
  <c r="P971" i="21"/>
  <c r="P970" i="21"/>
  <c r="P969" i="21"/>
  <c r="P968" i="21"/>
  <c r="P967" i="21"/>
  <c r="P966" i="21"/>
  <c r="P965" i="21"/>
  <c r="P964" i="21"/>
  <c r="P963" i="21"/>
  <c r="P962" i="21"/>
  <c r="P961" i="21"/>
  <c r="P960" i="21"/>
  <c r="P959" i="21"/>
  <c r="P958" i="21"/>
  <c r="P957" i="21"/>
  <c r="P956" i="21"/>
  <c r="P955" i="21"/>
  <c r="P954" i="21"/>
  <c r="P953" i="21"/>
  <c r="P952" i="21"/>
  <c r="P951" i="21"/>
  <c r="P950" i="21"/>
  <c r="P949" i="21"/>
  <c r="P948" i="21"/>
  <c r="P947" i="21"/>
  <c r="P946" i="21"/>
  <c r="P945" i="21"/>
  <c r="P944" i="21"/>
  <c r="P943" i="21"/>
  <c r="P942" i="21"/>
  <c r="P941" i="21"/>
  <c r="P940" i="21"/>
  <c r="P939" i="21"/>
  <c r="P938" i="21"/>
  <c r="P937" i="21"/>
  <c r="P936" i="21"/>
  <c r="P935" i="21"/>
  <c r="P934" i="21"/>
  <c r="P933" i="21"/>
  <c r="P932" i="21"/>
  <c r="P931" i="21"/>
  <c r="P930" i="21"/>
  <c r="P929" i="21"/>
  <c r="P928" i="21"/>
  <c r="P927" i="21"/>
  <c r="P926" i="21"/>
  <c r="P925" i="21"/>
  <c r="P924" i="21"/>
  <c r="P923" i="21"/>
  <c r="P922" i="21"/>
  <c r="P921" i="21"/>
  <c r="P920" i="21"/>
  <c r="P919" i="21"/>
  <c r="P918" i="21"/>
  <c r="P917" i="21"/>
  <c r="P916" i="21"/>
  <c r="P915" i="21"/>
  <c r="P914" i="21"/>
  <c r="P913" i="21"/>
  <c r="P912" i="21"/>
  <c r="P911" i="21"/>
  <c r="P910" i="21"/>
  <c r="P909" i="21"/>
  <c r="P908" i="21"/>
  <c r="P907" i="21"/>
  <c r="P906" i="21"/>
  <c r="P905" i="21"/>
  <c r="P904" i="21"/>
  <c r="P903" i="21"/>
  <c r="P902" i="21"/>
  <c r="P901" i="21"/>
  <c r="P900" i="21"/>
  <c r="P899" i="21"/>
  <c r="P898" i="21"/>
  <c r="P897" i="21"/>
  <c r="P896" i="21"/>
  <c r="P895" i="21"/>
  <c r="P894" i="21"/>
  <c r="P893" i="21"/>
  <c r="P892" i="21"/>
  <c r="P891" i="21"/>
  <c r="P890" i="21"/>
  <c r="P889" i="21"/>
  <c r="P888" i="21"/>
  <c r="P887" i="21"/>
  <c r="P886" i="21"/>
  <c r="P885" i="21"/>
  <c r="P884" i="21"/>
  <c r="P883" i="21"/>
  <c r="P882" i="21"/>
  <c r="P881" i="21"/>
  <c r="P880" i="21"/>
  <c r="P879" i="21"/>
  <c r="P878" i="21"/>
  <c r="P877" i="21"/>
  <c r="P876" i="21"/>
  <c r="P875" i="21"/>
  <c r="P874" i="21"/>
  <c r="P873" i="21"/>
  <c r="P872" i="21"/>
  <c r="P871" i="21"/>
  <c r="P870" i="21"/>
  <c r="P869" i="21"/>
  <c r="P868" i="21"/>
  <c r="P867" i="21"/>
  <c r="P866" i="21"/>
  <c r="P865" i="21"/>
  <c r="P864" i="21"/>
  <c r="P863" i="21"/>
  <c r="P862" i="21"/>
  <c r="P861" i="21"/>
  <c r="P860" i="21"/>
  <c r="P859" i="21"/>
  <c r="P858" i="21"/>
  <c r="P857" i="21"/>
  <c r="P856" i="21"/>
  <c r="P855" i="21"/>
  <c r="P854" i="21"/>
  <c r="P853" i="21"/>
  <c r="P852" i="21"/>
  <c r="P851" i="21"/>
  <c r="P850" i="21"/>
  <c r="P849" i="21"/>
  <c r="P848" i="21"/>
  <c r="P847" i="21"/>
  <c r="P846" i="21"/>
  <c r="P845" i="21"/>
  <c r="P844" i="21"/>
  <c r="P843" i="21"/>
  <c r="P842" i="21"/>
  <c r="P841" i="21"/>
  <c r="P840" i="21"/>
  <c r="P839" i="21"/>
  <c r="P838" i="21"/>
  <c r="P837" i="21"/>
  <c r="P836" i="21"/>
  <c r="P835" i="21"/>
  <c r="P834" i="21"/>
  <c r="P833" i="21"/>
  <c r="P832" i="21"/>
  <c r="P831" i="21"/>
  <c r="P830" i="21"/>
  <c r="P829" i="21"/>
  <c r="P828" i="21"/>
  <c r="P827" i="21"/>
  <c r="P826" i="21"/>
  <c r="P825" i="21"/>
  <c r="P824" i="21"/>
  <c r="P823" i="21"/>
  <c r="P822" i="21"/>
  <c r="P821" i="21"/>
  <c r="P820" i="21"/>
  <c r="P819" i="21"/>
  <c r="P818" i="21"/>
  <c r="P817" i="21"/>
  <c r="P816" i="21"/>
  <c r="P815" i="21"/>
  <c r="P814" i="21"/>
  <c r="P813" i="21"/>
  <c r="P812" i="21"/>
  <c r="P811" i="21"/>
  <c r="P810" i="21"/>
  <c r="P809" i="21"/>
  <c r="P808" i="21"/>
  <c r="P807" i="21"/>
  <c r="P806" i="21"/>
  <c r="P805" i="21"/>
  <c r="P804" i="21"/>
  <c r="P803" i="21"/>
  <c r="P802" i="21"/>
  <c r="P801" i="21"/>
  <c r="P800" i="21"/>
  <c r="P799" i="21"/>
  <c r="P798" i="21"/>
  <c r="P797" i="21"/>
  <c r="P796" i="21"/>
  <c r="P795" i="21"/>
  <c r="P794" i="21"/>
  <c r="P793" i="21"/>
  <c r="P792" i="21"/>
  <c r="P791" i="21"/>
  <c r="P790" i="21"/>
  <c r="P789" i="21"/>
  <c r="P788" i="21"/>
  <c r="P787" i="21"/>
  <c r="P786" i="21"/>
  <c r="P785" i="21"/>
  <c r="P784" i="21"/>
  <c r="P783" i="21"/>
  <c r="P782" i="21"/>
  <c r="P781" i="21"/>
  <c r="P780" i="21"/>
  <c r="P779" i="21"/>
  <c r="P778" i="21"/>
  <c r="P777" i="21"/>
  <c r="P776" i="21"/>
  <c r="P775" i="21"/>
  <c r="P774" i="21"/>
  <c r="P773" i="21"/>
  <c r="P772" i="21"/>
  <c r="P771" i="21"/>
  <c r="P770" i="21"/>
  <c r="P769" i="21"/>
  <c r="P768" i="21"/>
  <c r="P767" i="21"/>
  <c r="P766" i="21"/>
  <c r="P765" i="21"/>
  <c r="P764" i="21"/>
  <c r="P763" i="21"/>
  <c r="P762" i="21"/>
  <c r="P761" i="21"/>
  <c r="P760" i="21"/>
  <c r="P759" i="21"/>
  <c r="P758" i="21"/>
  <c r="P757" i="21"/>
  <c r="P756" i="21"/>
  <c r="P755" i="21"/>
  <c r="P754" i="21"/>
  <c r="P753" i="21"/>
  <c r="P752" i="21"/>
  <c r="P751" i="21"/>
  <c r="P750" i="21"/>
  <c r="P749" i="21"/>
  <c r="P748" i="21"/>
  <c r="P747" i="21"/>
  <c r="P746" i="21"/>
  <c r="P745" i="21"/>
  <c r="P744" i="21"/>
  <c r="P743" i="21"/>
  <c r="P742" i="21"/>
  <c r="P741" i="21"/>
  <c r="P740" i="21"/>
  <c r="P739" i="21"/>
  <c r="P738" i="21"/>
  <c r="P737" i="21"/>
  <c r="P736" i="21"/>
  <c r="P735" i="21"/>
  <c r="P734" i="21"/>
  <c r="P733" i="21"/>
  <c r="P732" i="21"/>
  <c r="P731" i="21"/>
  <c r="P730" i="21"/>
  <c r="P729" i="21"/>
  <c r="P728" i="21"/>
  <c r="P727" i="21"/>
  <c r="P726" i="21"/>
  <c r="P725" i="21"/>
  <c r="P724" i="21"/>
  <c r="P723" i="21"/>
  <c r="P722" i="21"/>
  <c r="P721" i="21"/>
  <c r="P720" i="21"/>
  <c r="P719" i="21"/>
  <c r="P718" i="21"/>
  <c r="P717" i="21"/>
  <c r="P716" i="21"/>
  <c r="P715" i="21"/>
  <c r="P714" i="21"/>
  <c r="P713" i="21"/>
  <c r="P712" i="21"/>
  <c r="P711" i="21"/>
  <c r="P710" i="21"/>
  <c r="P709" i="21"/>
  <c r="P708" i="21"/>
  <c r="P707" i="21"/>
  <c r="P706" i="21"/>
  <c r="P705" i="21"/>
  <c r="P704" i="21"/>
  <c r="P703" i="21"/>
  <c r="P702" i="21"/>
  <c r="P701" i="21"/>
  <c r="P700" i="21"/>
  <c r="P699" i="21"/>
  <c r="P698" i="21"/>
  <c r="P697" i="21"/>
  <c r="P696" i="21"/>
  <c r="P695" i="21"/>
  <c r="P694" i="21"/>
  <c r="P693" i="21"/>
  <c r="P692" i="21"/>
  <c r="P691" i="21"/>
  <c r="P690" i="21"/>
  <c r="P689" i="21"/>
  <c r="P688" i="21"/>
  <c r="P687" i="21"/>
  <c r="P686" i="21"/>
  <c r="P685" i="21"/>
  <c r="P684" i="21"/>
  <c r="P683" i="21"/>
  <c r="P682" i="21"/>
  <c r="P681" i="21"/>
  <c r="P680" i="21"/>
  <c r="P679" i="21"/>
  <c r="P678" i="21"/>
  <c r="P677" i="21"/>
  <c r="P676" i="21"/>
  <c r="P675" i="21"/>
  <c r="P674" i="21"/>
  <c r="P673" i="21"/>
  <c r="P672" i="21"/>
  <c r="P671" i="21"/>
  <c r="P670" i="21"/>
  <c r="P669" i="21"/>
  <c r="P668" i="21"/>
  <c r="P667" i="21"/>
  <c r="P666" i="21"/>
  <c r="P665" i="21"/>
  <c r="P664" i="21"/>
  <c r="P663" i="21"/>
  <c r="P662" i="21"/>
  <c r="P661" i="21"/>
  <c r="P660" i="21"/>
  <c r="P659" i="21"/>
  <c r="P658" i="21"/>
  <c r="P657" i="21"/>
  <c r="P656" i="21"/>
  <c r="P655" i="21"/>
  <c r="P654" i="21"/>
  <c r="P653" i="21"/>
  <c r="P652" i="21"/>
  <c r="P651" i="21"/>
  <c r="P650" i="21"/>
  <c r="P649" i="21"/>
  <c r="P648" i="21"/>
  <c r="P647" i="21"/>
  <c r="P646" i="21"/>
  <c r="P645" i="21"/>
  <c r="P644" i="21"/>
  <c r="P643" i="21"/>
  <c r="P642" i="21"/>
  <c r="P641" i="21"/>
  <c r="P640" i="21"/>
  <c r="P639" i="21"/>
  <c r="P638" i="21"/>
  <c r="P637" i="21"/>
  <c r="P636" i="21"/>
  <c r="P635" i="21"/>
  <c r="P634" i="21"/>
  <c r="P633" i="21"/>
  <c r="P632" i="21"/>
  <c r="P631" i="21"/>
  <c r="P630" i="21"/>
  <c r="P629" i="21"/>
  <c r="P628" i="21"/>
  <c r="P627" i="21"/>
  <c r="P626" i="21"/>
  <c r="P625" i="21"/>
  <c r="P624" i="21"/>
  <c r="P623" i="21"/>
  <c r="P622" i="21"/>
  <c r="P621" i="21"/>
  <c r="P620" i="21"/>
  <c r="P619" i="21"/>
  <c r="P618" i="21"/>
  <c r="P617" i="21"/>
  <c r="P616" i="21"/>
  <c r="P615" i="21"/>
  <c r="P614" i="21"/>
  <c r="P613" i="21"/>
  <c r="P612" i="21"/>
  <c r="P611" i="21"/>
  <c r="P610" i="21"/>
  <c r="P609" i="21"/>
  <c r="P608" i="21"/>
  <c r="P607" i="21"/>
  <c r="P606" i="21"/>
  <c r="P605" i="21"/>
  <c r="P604" i="21"/>
  <c r="P603" i="21"/>
  <c r="P602" i="21"/>
  <c r="P601" i="21"/>
  <c r="P600" i="21"/>
  <c r="P599" i="21"/>
  <c r="P598" i="21"/>
  <c r="P597" i="21"/>
  <c r="P596" i="21"/>
  <c r="P595" i="21"/>
  <c r="P594" i="21"/>
  <c r="P593" i="21"/>
  <c r="P592" i="21"/>
  <c r="P591" i="21"/>
  <c r="P590" i="21"/>
  <c r="P589" i="21"/>
  <c r="P588" i="21"/>
  <c r="P587" i="21"/>
  <c r="P586" i="21"/>
  <c r="P585" i="21"/>
  <c r="P584" i="21"/>
  <c r="P583" i="21"/>
  <c r="P582" i="21"/>
  <c r="P581" i="21"/>
  <c r="P580" i="21"/>
  <c r="P579" i="21"/>
  <c r="P578" i="21"/>
  <c r="P577" i="21"/>
  <c r="P576" i="21"/>
  <c r="P575" i="21"/>
  <c r="P574" i="21"/>
  <c r="P573" i="21"/>
  <c r="P572" i="21"/>
  <c r="P571" i="21"/>
  <c r="P570" i="21"/>
  <c r="P569" i="21"/>
  <c r="P568" i="21"/>
  <c r="P567" i="21"/>
  <c r="P566" i="21"/>
  <c r="P565" i="21"/>
  <c r="P564" i="21"/>
  <c r="P563" i="21"/>
  <c r="P562" i="21"/>
  <c r="P561" i="21"/>
  <c r="P560" i="21"/>
  <c r="P559" i="21"/>
  <c r="P558" i="21"/>
  <c r="P557" i="21"/>
  <c r="P556" i="21"/>
  <c r="P555" i="21"/>
  <c r="P554" i="21"/>
  <c r="P553" i="21"/>
  <c r="P552" i="21"/>
  <c r="P551" i="21"/>
  <c r="P550" i="21"/>
  <c r="P549" i="21"/>
  <c r="P548" i="21"/>
  <c r="P547" i="21"/>
  <c r="P546" i="21"/>
  <c r="P545" i="21"/>
  <c r="P544" i="21"/>
  <c r="P543" i="21"/>
  <c r="P542" i="21"/>
  <c r="P541" i="21"/>
  <c r="P540" i="21"/>
  <c r="P539" i="21"/>
  <c r="P538" i="21"/>
  <c r="P537" i="21"/>
  <c r="P536" i="21"/>
  <c r="P535" i="21"/>
  <c r="P534" i="21"/>
  <c r="P533" i="21"/>
  <c r="P532" i="21"/>
  <c r="P531" i="21"/>
  <c r="P530" i="21"/>
  <c r="P529" i="21"/>
  <c r="P528" i="21"/>
  <c r="P527" i="21"/>
  <c r="P526" i="21"/>
  <c r="P525" i="21"/>
  <c r="P524" i="21"/>
  <c r="P523" i="21"/>
  <c r="P522" i="21"/>
  <c r="P521" i="21"/>
  <c r="P520" i="21"/>
  <c r="P519" i="21"/>
  <c r="P518" i="21"/>
  <c r="P517" i="21"/>
  <c r="P516" i="21"/>
  <c r="P515" i="21"/>
  <c r="P514" i="21"/>
  <c r="P513" i="21"/>
  <c r="P512" i="21"/>
  <c r="P511" i="21"/>
  <c r="P510" i="21"/>
  <c r="P509" i="21"/>
  <c r="P508" i="21"/>
  <c r="P507" i="21"/>
  <c r="P506" i="21"/>
  <c r="P505" i="21"/>
  <c r="P504" i="21"/>
  <c r="P503" i="21"/>
  <c r="P502" i="21"/>
  <c r="P501" i="21"/>
  <c r="P500" i="21"/>
  <c r="P499" i="21"/>
  <c r="P498" i="21"/>
  <c r="P497" i="21"/>
  <c r="P496" i="21"/>
  <c r="P495" i="21"/>
  <c r="P494" i="21"/>
  <c r="P493" i="21"/>
  <c r="P492" i="21"/>
  <c r="P491" i="21"/>
  <c r="P490" i="21"/>
  <c r="P489" i="21"/>
  <c r="P488" i="21"/>
  <c r="P487" i="21"/>
  <c r="P486" i="21"/>
  <c r="P485" i="21"/>
  <c r="P484" i="21"/>
  <c r="P483" i="21"/>
  <c r="P482" i="21"/>
  <c r="P481" i="21"/>
  <c r="P480" i="21"/>
  <c r="P479" i="21"/>
  <c r="P478" i="21"/>
  <c r="P477" i="21"/>
  <c r="P476" i="21"/>
  <c r="P475" i="21"/>
  <c r="P474" i="21"/>
  <c r="P473" i="21"/>
  <c r="P472" i="21"/>
  <c r="P471" i="21"/>
  <c r="P470" i="21"/>
  <c r="P469" i="21"/>
  <c r="P468" i="21"/>
  <c r="P467" i="21"/>
  <c r="P466" i="21"/>
  <c r="P465" i="21"/>
  <c r="P464" i="21"/>
  <c r="P463" i="21"/>
  <c r="P462" i="21"/>
  <c r="P461" i="21"/>
  <c r="P460" i="21"/>
  <c r="P459" i="21"/>
  <c r="P458" i="21"/>
  <c r="P457" i="21"/>
  <c r="P456" i="21"/>
  <c r="P455" i="21"/>
  <c r="P454" i="21"/>
  <c r="P453" i="21"/>
  <c r="P452" i="21"/>
  <c r="P451" i="21"/>
  <c r="P450" i="21"/>
  <c r="P449" i="21"/>
  <c r="P448" i="21"/>
  <c r="P447" i="21"/>
  <c r="P446" i="21"/>
  <c r="P445" i="21"/>
  <c r="P444" i="21"/>
  <c r="P443" i="21"/>
  <c r="P442" i="21"/>
  <c r="P441" i="21"/>
  <c r="P440" i="21"/>
  <c r="P439" i="21"/>
  <c r="P438" i="21"/>
  <c r="P437" i="21"/>
  <c r="P436" i="21"/>
  <c r="P435" i="21"/>
  <c r="P434" i="21"/>
  <c r="P433" i="21"/>
  <c r="P432" i="21"/>
  <c r="P431" i="21"/>
  <c r="P430" i="21"/>
  <c r="P429" i="21"/>
  <c r="P428" i="21"/>
  <c r="P427" i="21"/>
  <c r="P426" i="21"/>
  <c r="P425" i="21"/>
  <c r="P424" i="21"/>
  <c r="P423" i="21"/>
  <c r="P422" i="21"/>
  <c r="P421" i="21"/>
  <c r="P420" i="21"/>
  <c r="P419" i="21"/>
  <c r="P418" i="21"/>
  <c r="P417" i="21"/>
  <c r="P416" i="21"/>
  <c r="P415" i="21"/>
  <c r="P414" i="21"/>
  <c r="P413" i="21"/>
  <c r="P412" i="21"/>
  <c r="P411" i="21"/>
  <c r="P410" i="21"/>
  <c r="P409" i="21"/>
  <c r="P408" i="21"/>
  <c r="P407" i="21"/>
  <c r="P406" i="21"/>
  <c r="P405" i="21"/>
  <c r="P404" i="21"/>
  <c r="P403" i="21"/>
  <c r="P402" i="21"/>
  <c r="P401" i="21"/>
  <c r="P400" i="21"/>
  <c r="P399" i="21"/>
  <c r="P398" i="21"/>
  <c r="P397" i="21"/>
  <c r="P396" i="21"/>
  <c r="P395" i="21"/>
  <c r="P394" i="21"/>
  <c r="P393" i="21"/>
  <c r="P392" i="21"/>
  <c r="P391" i="21"/>
  <c r="P390" i="21"/>
  <c r="P389" i="21"/>
  <c r="P388" i="21"/>
  <c r="P387" i="21"/>
  <c r="P386" i="21"/>
  <c r="P385" i="21"/>
  <c r="P384" i="21"/>
  <c r="P383" i="21"/>
  <c r="P382" i="21"/>
  <c r="P381" i="21"/>
  <c r="P380" i="21"/>
  <c r="P379" i="21"/>
  <c r="P378" i="21"/>
  <c r="P377" i="21"/>
  <c r="P376" i="21"/>
  <c r="P375" i="21"/>
  <c r="P374" i="21"/>
  <c r="P373" i="21"/>
  <c r="P372" i="21"/>
  <c r="P371" i="21"/>
  <c r="P370" i="21"/>
  <c r="P369" i="21"/>
  <c r="P368" i="21"/>
  <c r="P367" i="21"/>
  <c r="P366" i="21"/>
  <c r="P365" i="21"/>
  <c r="P364" i="21"/>
  <c r="P363" i="21"/>
  <c r="P362" i="21"/>
  <c r="P361" i="21"/>
  <c r="P360" i="21"/>
  <c r="P359" i="21"/>
  <c r="P358" i="21"/>
  <c r="P357" i="21"/>
  <c r="P356" i="21"/>
  <c r="P355" i="21"/>
  <c r="P354" i="21"/>
  <c r="P353" i="21"/>
  <c r="P352" i="21"/>
  <c r="P351" i="21"/>
  <c r="P350" i="21"/>
  <c r="P349" i="21"/>
  <c r="P348" i="21"/>
  <c r="P347" i="21"/>
  <c r="P346" i="21"/>
  <c r="P345" i="21"/>
  <c r="P344" i="21"/>
  <c r="P343" i="21"/>
  <c r="P342" i="21"/>
  <c r="P341" i="21"/>
  <c r="P340" i="21"/>
  <c r="P339" i="21"/>
  <c r="P338" i="21"/>
  <c r="P337" i="21"/>
  <c r="P336" i="21"/>
  <c r="P335" i="21"/>
  <c r="P334" i="21"/>
  <c r="P333" i="21"/>
  <c r="P332" i="21"/>
  <c r="P331" i="21"/>
  <c r="P330" i="21"/>
  <c r="P329" i="21"/>
  <c r="P328" i="21"/>
  <c r="P327" i="21"/>
  <c r="P326" i="21"/>
  <c r="P325" i="21"/>
  <c r="P324" i="21"/>
  <c r="P323" i="21"/>
  <c r="P322" i="21"/>
  <c r="P321" i="21"/>
  <c r="P320" i="21"/>
  <c r="P319" i="21"/>
  <c r="P318" i="21"/>
  <c r="P317" i="21"/>
  <c r="P316" i="21"/>
  <c r="P315" i="21"/>
  <c r="P314" i="21"/>
  <c r="P313" i="21"/>
  <c r="P312" i="21"/>
  <c r="P311" i="21"/>
  <c r="P310" i="21"/>
  <c r="P309" i="21"/>
  <c r="P308" i="21"/>
  <c r="P307" i="21"/>
  <c r="P306" i="21"/>
  <c r="P305" i="21"/>
  <c r="P304" i="21"/>
  <c r="P303" i="21"/>
  <c r="P302" i="21"/>
  <c r="P301" i="21"/>
  <c r="P300" i="21"/>
  <c r="P299" i="21"/>
  <c r="P298" i="21"/>
  <c r="P297" i="21"/>
  <c r="P296" i="21"/>
  <c r="P295" i="21"/>
  <c r="P294" i="21"/>
  <c r="P293" i="21"/>
  <c r="P292" i="21"/>
  <c r="P291" i="21"/>
  <c r="P290" i="21"/>
  <c r="P289" i="21"/>
  <c r="P288" i="21"/>
  <c r="P287" i="21"/>
  <c r="P286" i="21"/>
  <c r="P285" i="21"/>
  <c r="P284" i="21"/>
  <c r="P283" i="21"/>
  <c r="P282" i="21"/>
  <c r="P281" i="21"/>
  <c r="P280" i="21"/>
  <c r="P279" i="21"/>
  <c r="P278" i="21"/>
  <c r="P277" i="21"/>
  <c r="P276" i="21"/>
  <c r="P275" i="21"/>
  <c r="P274" i="21"/>
  <c r="P273" i="21"/>
  <c r="P272" i="21"/>
  <c r="P271" i="21"/>
  <c r="P270" i="21"/>
  <c r="P269" i="21"/>
  <c r="P268" i="21"/>
  <c r="P267" i="21"/>
  <c r="P266" i="21"/>
  <c r="P265" i="21"/>
  <c r="P264" i="21"/>
  <c r="P263" i="21"/>
  <c r="P262" i="21"/>
  <c r="P261" i="21"/>
  <c r="P260" i="21"/>
  <c r="P259" i="21"/>
  <c r="P258" i="21"/>
  <c r="P257" i="21"/>
  <c r="P256" i="21"/>
  <c r="P255" i="21"/>
  <c r="P254" i="21"/>
  <c r="P253" i="21"/>
  <c r="P252" i="21"/>
  <c r="P251" i="21"/>
  <c r="P250" i="21"/>
  <c r="P249" i="21"/>
  <c r="P248" i="21"/>
  <c r="P247" i="21"/>
  <c r="P246" i="21"/>
  <c r="P245" i="21"/>
  <c r="P244" i="21"/>
  <c r="P243" i="21"/>
  <c r="P242" i="21"/>
  <c r="P241" i="21"/>
  <c r="P240" i="21"/>
  <c r="P239" i="21"/>
  <c r="P238" i="21"/>
  <c r="P237" i="21"/>
  <c r="P236" i="21"/>
  <c r="P235" i="21"/>
  <c r="P234" i="21"/>
  <c r="P233" i="21"/>
  <c r="P232" i="21"/>
  <c r="P231" i="21"/>
  <c r="P230" i="21"/>
  <c r="P229" i="21"/>
  <c r="P228" i="21"/>
  <c r="P227" i="21"/>
  <c r="P226" i="21"/>
  <c r="P225" i="21"/>
  <c r="P224" i="21"/>
  <c r="P223" i="21"/>
  <c r="P222" i="21"/>
  <c r="P221" i="21"/>
  <c r="P220" i="21"/>
  <c r="P219" i="21"/>
  <c r="P218" i="21"/>
  <c r="P217" i="21"/>
  <c r="P216" i="21"/>
  <c r="P215" i="21"/>
  <c r="P214" i="21"/>
  <c r="P213" i="21"/>
  <c r="P212" i="21"/>
  <c r="P211" i="21"/>
  <c r="P210" i="21"/>
  <c r="P209" i="21"/>
  <c r="P208" i="21"/>
  <c r="P207" i="21"/>
  <c r="P206" i="21"/>
  <c r="P205" i="21"/>
  <c r="P204" i="21"/>
  <c r="P203" i="21"/>
  <c r="P202" i="21"/>
  <c r="P201" i="21"/>
  <c r="P200" i="21"/>
  <c r="P199" i="21"/>
  <c r="P198" i="21"/>
  <c r="P197" i="21"/>
  <c r="P196" i="21"/>
  <c r="P195" i="21"/>
  <c r="P194" i="21"/>
  <c r="P193" i="21"/>
  <c r="P192" i="21"/>
  <c r="P191" i="21"/>
  <c r="P190" i="21"/>
  <c r="P189" i="21"/>
  <c r="P188" i="21"/>
  <c r="P187" i="21"/>
  <c r="P186" i="21"/>
  <c r="P185" i="21"/>
  <c r="P184" i="21"/>
  <c r="P183" i="21"/>
  <c r="P182" i="21"/>
  <c r="P181" i="21"/>
  <c r="P180" i="21"/>
  <c r="P179" i="21"/>
  <c r="P178" i="21"/>
  <c r="P177" i="21"/>
  <c r="P176" i="21"/>
  <c r="P175" i="21"/>
  <c r="P174" i="21"/>
  <c r="P173" i="21"/>
  <c r="P172" i="21"/>
  <c r="P171" i="21"/>
  <c r="P170" i="21"/>
  <c r="P169" i="21"/>
  <c r="P168" i="21"/>
  <c r="P167" i="21"/>
  <c r="P166" i="21"/>
  <c r="P165" i="21"/>
  <c r="P164" i="21"/>
  <c r="P163" i="21"/>
  <c r="P162" i="21"/>
  <c r="P161" i="21"/>
  <c r="P160" i="21"/>
  <c r="P159" i="21"/>
  <c r="P158" i="21"/>
  <c r="P157" i="21"/>
  <c r="P156" i="21"/>
  <c r="P155" i="21"/>
  <c r="P154" i="21"/>
  <c r="P153" i="21"/>
  <c r="P152" i="21"/>
  <c r="P151" i="21"/>
  <c r="P150" i="21"/>
  <c r="P149" i="21"/>
  <c r="P148" i="21"/>
  <c r="P147" i="21"/>
  <c r="P146" i="21"/>
  <c r="P145" i="21"/>
  <c r="P144" i="21"/>
  <c r="P143" i="21"/>
  <c r="P142" i="21"/>
  <c r="P141" i="21"/>
  <c r="P140" i="21"/>
  <c r="P139" i="21"/>
  <c r="P138" i="21"/>
  <c r="P137" i="21"/>
  <c r="P136" i="21"/>
  <c r="P135" i="21"/>
  <c r="P134" i="21"/>
  <c r="P133" i="21"/>
  <c r="P132" i="21"/>
  <c r="P131" i="21"/>
  <c r="P130" i="21"/>
  <c r="P129" i="21"/>
  <c r="P128" i="21"/>
  <c r="P127" i="21"/>
  <c r="P126" i="21"/>
  <c r="P125" i="21"/>
  <c r="P124" i="21"/>
  <c r="P123" i="21"/>
  <c r="P122" i="21"/>
  <c r="P121" i="21"/>
  <c r="P120" i="21"/>
  <c r="P119" i="21"/>
  <c r="P118" i="21"/>
  <c r="P117" i="21"/>
  <c r="P116" i="21"/>
  <c r="P115" i="21"/>
  <c r="P114" i="21"/>
  <c r="P113" i="21"/>
  <c r="P112" i="21"/>
  <c r="P111" i="21"/>
  <c r="P110" i="21"/>
  <c r="P109" i="21"/>
  <c r="P108" i="21"/>
  <c r="P107" i="21"/>
  <c r="P106" i="21"/>
  <c r="P105" i="21"/>
  <c r="P104" i="21"/>
  <c r="P103" i="21"/>
  <c r="P102" i="21"/>
  <c r="P101" i="21"/>
  <c r="P100" i="21"/>
  <c r="P99" i="21"/>
  <c r="P98" i="21"/>
  <c r="P97" i="21"/>
  <c r="P96" i="21"/>
  <c r="P95" i="21"/>
  <c r="P94" i="21"/>
  <c r="P93" i="21"/>
  <c r="P92" i="21"/>
  <c r="P91" i="21"/>
  <c r="P90" i="21"/>
  <c r="P89" i="21"/>
  <c r="P88" i="21"/>
  <c r="P87" i="21"/>
  <c r="P86" i="21"/>
  <c r="P85" i="21"/>
  <c r="P84" i="21"/>
  <c r="P83" i="21"/>
  <c r="P82" i="21"/>
  <c r="P81" i="2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18" i="21"/>
  <c r="P17" i="21"/>
  <c r="P16" i="21"/>
  <c r="P15" i="21"/>
  <c r="P14" i="21"/>
  <c r="P13" i="21"/>
  <c r="P12" i="21"/>
  <c r="P11" i="21"/>
  <c r="P10" i="21"/>
  <c r="P9" i="21"/>
  <c r="P8" i="21"/>
  <c r="P7" i="21"/>
  <c r="P6" i="21"/>
  <c r="P5" i="21"/>
  <c r="B13" i="22"/>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14" i="21"/>
  <c r="B915" i="21" s="1"/>
  <c r="B916" i="21" s="1"/>
  <c r="B917" i="21" s="1"/>
  <c r="B918" i="21" s="1"/>
  <c r="B919" i="21" s="1"/>
  <c r="B920" i="21" s="1"/>
  <c r="B921" i="21" s="1"/>
  <c r="B922" i="21" s="1"/>
  <c r="B923" i="21" s="1"/>
  <c r="B924" i="21" s="1"/>
  <c r="B925" i="21" s="1"/>
  <c r="B926" i="21" s="1"/>
  <c r="B927" i="21" s="1"/>
  <c r="B928" i="21" s="1"/>
  <c r="B929" i="21" s="1"/>
  <c r="B930" i="21" s="1"/>
  <c r="B931" i="21" s="1"/>
  <c r="B932" i="21" s="1"/>
  <c r="B933" i="21" s="1"/>
  <c r="B934" i="21" s="1"/>
  <c r="B935" i="21" s="1"/>
  <c r="B936" i="21" s="1"/>
  <c r="B937" i="21" s="1"/>
  <c r="B938" i="21" s="1"/>
  <c r="B939" i="21" s="1"/>
  <c r="B940" i="21" s="1"/>
  <c r="B941" i="21" s="1"/>
  <c r="B942" i="21" s="1"/>
  <c r="B943" i="21" s="1"/>
  <c r="B944" i="21" s="1"/>
  <c r="B945" i="21" s="1"/>
  <c r="B946" i="21" s="1"/>
  <c r="B947" i="21" s="1"/>
  <c r="B948" i="21" s="1"/>
  <c r="B949" i="21" s="1"/>
  <c r="B950" i="21" s="1"/>
  <c r="B951" i="21" s="1"/>
  <c r="B952" i="21" s="1"/>
  <c r="B953" i="21" s="1"/>
  <c r="B954" i="21" s="1"/>
  <c r="B955" i="21" s="1"/>
  <c r="B956" i="21" s="1"/>
  <c r="B957" i="21" s="1"/>
  <c r="B958" i="21" s="1"/>
  <c r="B959" i="21" s="1"/>
  <c r="B960" i="21" s="1"/>
  <c r="B961" i="21" s="1"/>
  <c r="B962" i="21" s="1"/>
  <c r="B963" i="21" s="1"/>
  <c r="B964" i="21" s="1"/>
  <c r="B965" i="21" s="1"/>
  <c r="B966" i="21" s="1"/>
  <c r="B967" i="21" s="1"/>
  <c r="B968" i="21" s="1"/>
  <c r="B969" i="21" s="1"/>
  <c r="B970" i="21" s="1"/>
  <c r="B901" i="21"/>
  <c r="B902" i="21" s="1"/>
  <c r="B903" i="21" s="1"/>
  <c r="B904" i="21" s="1"/>
  <c r="B905" i="21" s="1"/>
  <c r="B906" i="21" s="1"/>
  <c r="B907" i="21" s="1"/>
  <c r="B908" i="21" s="1"/>
  <c r="B909" i="21" s="1"/>
  <c r="B910" i="21" s="1"/>
  <c r="B911" i="21" s="1"/>
  <c r="B912" i="21" s="1"/>
  <c r="M691" i="21"/>
  <c r="K691" i="21" s="1"/>
  <c r="Q691" i="21" s="1"/>
  <c r="M994" i="21"/>
  <c r="K994" i="21" s="1"/>
  <c r="Q994" i="21" s="1"/>
  <c r="M993" i="21"/>
  <c r="M992" i="21"/>
  <c r="M991" i="21"/>
  <c r="K991" i="21" s="1"/>
  <c r="Q991" i="21" s="1"/>
  <c r="M990" i="21"/>
  <c r="K990" i="21" s="1"/>
  <c r="Q990" i="21" s="1"/>
  <c r="M989" i="21"/>
  <c r="K989" i="21" s="1"/>
  <c r="Q989" i="21" s="1"/>
  <c r="M988" i="21"/>
  <c r="M987" i="21"/>
  <c r="K987" i="21" s="1"/>
  <c r="Q987" i="21" s="1"/>
  <c r="M986" i="21"/>
  <c r="K986" i="21" s="1"/>
  <c r="Q986" i="21" s="1"/>
  <c r="M985" i="21"/>
  <c r="K985" i="21" s="1"/>
  <c r="Q985" i="21" s="1"/>
  <c r="M984" i="21"/>
  <c r="M983" i="21"/>
  <c r="K983" i="21" s="1"/>
  <c r="Q983" i="21" s="1"/>
  <c r="M982" i="21"/>
  <c r="K982" i="21" s="1"/>
  <c r="Q982" i="21" s="1"/>
  <c r="M981" i="21"/>
  <c r="M980" i="21"/>
  <c r="M979" i="21"/>
  <c r="K979" i="21" s="1"/>
  <c r="Q979" i="21" s="1"/>
  <c r="M978" i="21"/>
  <c r="K978" i="21" s="1"/>
  <c r="Q978" i="21" s="1"/>
  <c r="M977" i="21"/>
  <c r="K977" i="21" s="1"/>
  <c r="Q977" i="21" s="1"/>
  <c r="M976" i="21"/>
  <c r="M975" i="21"/>
  <c r="K975" i="21" s="1"/>
  <c r="Q975" i="21" s="1"/>
  <c r="M974" i="21"/>
  <c r="K974" i="21" s="1"/>
  <c r="Q974" i="21" s="1"/>
  <c r="M973" i="21"/>
  <c r="M972" i="21"/>
  <c r="M971" i="21"/>
  <c r="K971" i="21" s="1"/>
  <c r="Q971" i="21" s="1"/>
  <c r="M970" i="21"/>
  <c r="K970" i="21" s="1"/>
  <c r="Q970" i="21" s="1"/>
  <c r="M969" i="21"/>
  <c r="K969" i="21" s="1"/>
  <c r="Q969" i="21" s="1"/>
  <c r="M968" i="21"/>
  <c r="M967" i="21"/>
  <c r="K967" i="21" s="1"/>
  <c r="Q967" i="21" s="1"/>
  <c r="M966" i="21"/>
  <c r="K966" i="21" s="1"/>
  <c r="Q966" i="21" s="1"/>
  <c r="M965" i="21"/>
  <c r="M964" i="21"/>
  <c r="K964" i="21" s="1"/>
  <c r="Q964" i="21" s="1"/>
  <c r="M963" i="21"/>
  <c r="K963" i="21" s="1"/>
  <c r="Q963" i="21" s="1"/>
  <c r="M962" i="21"/>
  <c r="K962" i="21" s="1"/>
  <c r="Q962" i="21" s="1"/>
  <c r="M961" i="21"/>
  <c r="M960" i="21"/>
  <c r="K960" i="21" s="1"/>
  <c r="Q960" i="21" s="1"/>
  <c r="M959" i="21"/>
  <c r="K959" i="21" s="1"/>
  <c r="Q959" i="21" s="1"/>
  <c r="M958" i="21"/>
  <c r="K958" i="21" s="1"/>
  <c r="Q958" i="21" s="1"/>
  <c r="M957" i="21"/>
  <c r="M956" i="21"/>
  <c r="K956" i="21" s="1"/>
  <c r="Q956" i="21" s="1"/>
  <c r="M955" i="21"/>
  <c r="K955" i="21" s="1"/>
  <c r="Q955" i="21" s="1"/>
  <c r="M954" i="21"/>
  <c r="K954" i="21" s="1"/>
  <c r="Q954" i="21" s="1"/>
  <c r="M953" i="21"/>
  <c r="K953" i="21" s="1"/>
  <c r="Q953" i="21" s="1"/>
  <c r="M952" i="21"/>
  <c r="K952" i="21" s="1"/>
  <c r="Q952" i="21" s="1"/>
  <c r="M951" i="21"/>
  <c r="K951" i="21" s="1"/>
  <c r="Q951" i="21" s="1"/>
  <c r="M950" i="21"/>
  <c r="K950" i="21" s="1"/>
  <c r="Q950" i="21" s="1"/>
  <c r="M949" i="21"/>
  <c r="M948" i="21"/>
  <c r="K948" i="21" s="1"/>
  <c r="Q948" i="21" s="1"/>
  <c r="M947" i="21"/>
  <c r="K947" i="21" s="1"/>
  <c r="Q947" i="21" s="1"/>
  <c r="M946" i="21"/>
  <c r="K946" i="21" s="1"/>
  <c r="Q946" i="21" s="1"/>
  <c r="M945" i="21"/>
  <c r="K945" i="21" s="1"/>
  <c r="Q945" i="21" s="1"/>
  <c r="M944" i="21"/>
  <c r="K944" i="21" s="1"/>
  <c r="Q944" i="21" s="1"/>
  <c r="M943" i="21"/>
  <c r="K943" i="21" s="1"/>
  <c r="Q943" i="21" s="1"/>
  <c r="M942" i="21"/>
  <c r="K942" i="21" s="1"/>
  <c r="Q942" i="21" s="1"/>
  <c r="M941" i="21"/>
  <c r="M940" i="21"/>
  <c r="K940" i="21" s="1"/>
  <c r="Q940" i="21" s="1"/>
  <c r="M939" i="21"/>
  <c r="K939" i="21" s="1"/>
  <c r="Q939" i="21" s="1"/>
  <c r="M938" i="21"/>
  <c r="K938" i="21" s="1"/>
  <c r="Q938" i="21" s="1"/>
  <c r="M937" i="21"/>
  <c r="M936" i="21"/>
  <c r="K936" i="21" s="1"/>
  <c r="Q936" i="21" s="1"/>
  <c r="M935" i="21"/>
  <c r="K935" i="21" s="1"/>
  <c r="Q935" i="21" s="1"/>
  <c r="M934" i="21"/>
  <c r="K934" i="21" s="1"/>
  <c r="Q934" i="21" s="1"/>
  <c r="M933" i="21"/>
  <c r="K933" i="21" s="1"/>
  <c r="Q933" i="21" s="1"/>
  <c r="M932" i="21"/>
  <c r="K932" i="21" s="1"/>
  <c r="Q932" i="21" s="1"/>
  <c r="M931" i="21"/>
  <c r="K931" i="21" s="1"/>
  <c r="Q931" i="21" s="1"/>
  <c r="M930" i="21"/>
  <c r="M929" i="21"/>
  <c r="K929" i="21" s="1"/>
  <c r="Q929" i="21" s="1"/>
  <c r="M928" i="21"/>
  <c r="M927" i="21"/>
  <c r="K927" i="21" s="1"/>
  <c r="Q927" i="21" s="1"/>
  <c r="M926" i="21"/>
  <c r="K926" i="21" s="1"/>
  <c r="Q926" i="21" s="1"/>
  <c r="M925" i="21"/>
  <c r="K925" i="21" s="1"/>
  <c r="Q925" i="21" s="1"/>
  <c r="M924" i="21"/>
  <c r="M923" i="21"/>
  <c r="K923" i="21" s="1"/>
  <c r="Q923" i="21" s="1"/>
  <c r="M922" i="21"/>
  <c r="M921" i="21"/>
  <c r="M920" i="21"/>
  <c r="K920" i="21" s="1"/>
  <c r="Q920" i="21" s="1"/>
  <c r="M919" i="21"/>
  <c r="K919" i="21" s="1"/>
  <c r="Q919" i="21" s="1"/>
  <c r="M918" i="21"/>
  <c r="K918" i="21" s="1"/>
  <c r="Q918" i="21" s="1"/>
  <c r="M917" i="21"/>
  <c r="K917" i="21" s="1"/>
  <c r="Q917" i="21" s="1"/>
  <c r="M916" i="21"/>
  <c r="M915" i="21"/>
  <c r="K915" i="21" s="1"/>
  <c r="Q915" i="21" s="1"/>
  <c r="M914" i="21"/>
  <c r="K914" i="21" s="1"/>
  <c r="Q914" i="21" s="1"/>
  <c r="M913" i="21"/>
  <c r="K913" i="21" s="1"/>
  <c r="Q913" i="21" s="1"/>
  <c r="M912" i="21"/>
  <c r="M911" i="21"/>
  <c r="K911" i="21" s="1"/>
  <c r="Q911" i="21" s="1"/>
  <c r="M910" i="21"/>
  <c r="K910" i="21" s="1"/>
  <c r="Q910" i="21" s="1"/>
  <c r="M909" i="21"/>
  <c r="K909" i="21" s="1"/>
  <c r="Q909" i="21" s="1"/>
  <c r="M908" i="21"/>
  <c r="K908" i="21" s="1"/>
  <c r="Q908" i="21" s="1"/>
  <c r="M907" i="21"/>
  <c r="K907" i="21" s="1"/>
  <c r="Q907" i="21" s="1"/>
  <c r="M906" i="21"/>
  <c r="K906" i="21" s="1"/>
  <c r="Q906" i="21" s="1"/>
  <c r="M905" i="21"/>
  <c r="K905" i="21" s="1"/>
  <c r="Q905" i="21" s="1"/>
  <c r="M904" i="21"/>
  <c r="K904" i="21" s="1"/>
  <c r="Q904" i="21" s="1"/>
  <c r="M903" i="21"/>
  <c r="K903" i="21" s="1"/>
  <c r="Q903" i="21" s="1"/>
  <c r="M902" i="21"/>
  <c r="K902" i="21" s="1"/>
  <c r="Q902" i="21" s="1"/>
  <c r="M901" i="21"/>
  <c r="K901" i="21" s="1"/>
  <c r="Q901" i="21" s="1"/>
  <c r="M900" i="21"/>
  <c r="M899" i="21"/>
  <c r="K899" i="21" s="1"/>
  <c r="Q899" i="21" s="1"/>
  <c r="M898" i="21"/>
  <c r="M897" i="21"/>
  <c r="K897" i="21" s="1"/>
  <c r="Q897" i="21" s="1"/>
  <c r="M896" i="21"/>
  <c r="M895" i="21"/>
  <c r="K895" i="21" s="1"/>
  <c r="Q895" i="21" s="1"/>
  <c r="M894" i="21"/>
  <c r="K894" i="21" s="1"/>
  <c r="Q894" i="21" s="1"/>
  <c r="M893" i="21"/>
  <c r="K893" i="21" s="1"/>
  <c r="Q893" i="21" s="1"/>
  <c r="M892" i="21"/>
  <c r="M891" i="21"/>
  <c r="K891" i="21" s="1"/>
  <c r="Q891" i="21" s="1"/>
  <c r="M890" i="21"/>
  <c r="K890" i="21" s="1"/>
  <c r="Q890" i="21" s="1"/>
  <c r="M889" i="21"/>
  <c r="K889" i="21" s="1"/>
  <c r="Q889" i="21" s="1"/>
  <c r="M888" i="21"/>
  <c r="K888" i="21" s="1"/>
  <c r="Q888" i="21" s="1"/>
  <c r="M887" i="21"/>
  <c r="K887" i="21" s="1"/>
  <c r="Q887" i="21" s="1"/>
  <c r="M886" i="21"/>
  <c r="K886" i="21" s="1"/>
  <c r="Q886" i="21" s="1"/>
  <c r="M885" i="21"/>
  <c r="K885" i="21" s="1"/>
  <c r="Q885" i="21" s="1"/>
  <c r="M884" i="21"/>
  <c r="M883" i="21"/>
  <c r="K883" i="21" s="1"/>
  <c r="Q883" i="21" s="1"/>
  <c r="M882" i="21"/>
  <c r="M881" i="21"/>
  <c r="K881" i="21" s="1"/>
  <c r="Q881" i="21" s="1"/>
  <c r="M880" i="21"/>
  <c r="M879" i="21"/>
  <c r="K879" i="21" s="1"/>
  <c r="Q879" i="21" s="1"/>
  <c r="M878" i="21"/>
  <c r="K878" i="21" s="1"/>
  <c r="Q878" i="21" s="1"/>
  <c r="M877" i="21"/>
  <c r="K877" i="21" s="1"/>
  <c r="Q877" i="21" s="1"/>
  <c r="M876" i="21"/>
  <c r="M875" i="21"/>
  <c r="K875" i="21" s="1"/>
  <c r="Q875" i="21" s="1"/>
  <c r="M874" i="21"/>
  <c r="K874" i="21" s="1"/>
  <c r="Q874" i="21" s="1"/>
  <c r="M873" i="21"/>
  <c r="K873" i="21" s="1"/>
  <c r="Q873" i="21" s="1"/>
  <c r="M872" i="21"/>
  <c r="M871" i="21"/>
  <c r="K871" i="21" s="1"/>
  <c r="Q871" i="21" s="1"/>
  <c r="M870" i="21"/>
  <c r="K870" i="21" s="1"/>
  <c r="Q870" i="21" s="1"/>
  <c r="M869" i="21"/>
  <c r="K869" i="21" s="1"/>
  <c r="Q869" i="21" s="1"/>
  <c r="M868" i="21"/>
  <c r="K868" i="21" s="1"/>
  <c r="Q868" i="21" s="1"/>
  <c r="M867" i="21"/>
  <c r="K867" i="21" s="1"/>
  <c r="Q867" i="21" s="1"/>
  <c r="M866" i="21"/>
  <c r="K866" i="21" s="1"/>
  <c r="Q866" i="21" s="1"/>
  <c r="M865" i="21"/>
  <c r="K865" i="21" s="1"/>
  <c r="Q865" i="21" s="1"/>
  <c r="M864" i="21"/>
  <c r="M863" i="21"/>
  <c r="K863" i="21" s="1"/>
  <c r="Q863" i="21" s="1"/>
  <c r="M862" i="21"/>
  <c r="M861" i="21"/>
  <c r="K861" i="21" s="1"/>
  <c r="Q861" i="21" s="1"/>
  <c r="M860" i="21"/>
  <c r="K860" i="21" s="1"/>
  <c r="Q860" i="21" s="1"/>
  <c r="M859" i="21"/>
  <c r="K859" i="21" s="1"/>
  <c r="Q859" i="21" s="1"/>
  <c r="M858" i="21"/>
  <c r="K858" i="21" s="1"/>
  <c r="Q858" i="21" s="1"/>
  <c r="M857" i="21"/>
  <c r="K857" i="21" s="1"/>
  <c r="Q857" i="21" s="1"/>
  <c r="M856" i="21"/>
  <c r="M855" i="21"/>
  <c r="K855" i="21" s="1"/>
  <c r="Q855" i="21" s="1"/>
  <c r="M854" i="21"/>
  <c r="K854" i="21" s="1"/>
  <c r="Q854" i="21" s="1"/>
  <c r="M853" i="21"/>
  <c r="K853" i="21" s="1"/>
  <c r="Q853" i="21" s="1"/>
  <c r="M852" i="21"/>
  <c r="M851" i="21"/>
  <c r="K851" i="21" s="1"/>
  <c r="Q851" i="21" s="1"/>
  <c r="M850" i="21"/>
  <c r="M849" i="21"/>
  <c r="K849" i="21" s="1"/>
  <c r="Q849" i="21" s="1"/>
  <c r="M848" i="21"/>
  <c r="M847" i="21"/>
  <c r="K847" i="21" s="1"/>
  <c r="Q847" i="21" s="1"/>
  <c r="M846" i="21"/>
  <c r="K846" i="21" s="1"/>
  <c r="Q846" i="21" s="1"/>
  <c r="M845" i="21"/>
  <c r="K845" i="21" s="1"/>
  <c r="Q845" i="21" s="1"/>
  <c r="M844" i="21"/>
  <c r="M843" i="21"/>
  <c r="K843" i="21" s="1"/>
  <c r="Q843" i="21" s="1"/>
  <c r="M842" i="21"/>
  <c r="K842" i="21" s="1"/>
  <c r="Q842" i="21" s="1"/>
  <c r="M841" i="21"/>
  <c r="K841" i="21" s="1"/>
  <c r="Q841" i="21" s="1"/>
  <c r="M840" i="21"/>
  <c r="K840" i="21" s="1"/>
  <c r="Q840" i="21" s="1"/>
  <c r="M839" i="21"/>
  <c r="K839" i="21" s="1"/>
  <c r="Q839" i="21" s="1"/>
  <c r="M838" i="21"/>
  <c r="K838" i="21" s="1"/>
  <c r="Q838" i="21" s="1"/>
  <c r="M837" i="21"/>
  <c r="K837" i="21" s="1"/>
  <c r="Q837" i="21" s="1"/>
  <c r="M836" i="21"/>
  <c r="M835" i="21"/>
  <c r="K835" i="21" s="1"/>
  <c r="Q835" i="21" s="1"/>
  <c r="M834" i="21"/>
  <c r="K834" i="21" s="1"/>
  <c r="Q834" i="21" s="1"/>
  <c r="M833" i="21"/>
  <c r="K833" i="21" s="1"/>
  <c r="Q833" i="21" s="1"/>
  <c r="M832" i="21"/>
  <c r="M831" i="21"/>
  <c r="K831" i="21" s="1"/>
  <c r="Q831" i="21" s="1"/>
  <c r="M830" i="21"/>
  <c r="K830" i="21" s="1"/>
  <c r="Q830" i="21" s="1"/>
  <c r="M829" i="21"/>
  <c r="K829" i="21" s="1"/>
  <c r="Q829" i="21" s="1"/>
  <c r="M828" i="21"/>
  <c r="M827" i="21"/>
  <c r="K827" i="21" s="1"/>
  <c r="Q827" i="21" s="1"/>
  <c r="M826" i="21"/>
  <c r="K826" i="21" s="1"/>
  <c r="Q826" i="21" s="1"/>
  <c r="M825" i="21"/>
  <c r="K825" i="21" s="1"/>
  <c r="Q825" i="21" s="1"/>
  <c r="M824" i="21"/>
  <c r="K824" i="21" s="1"/>
  <c r="Q824" i="21" s="1"/>
  <c r="M823" i="21"/>
  <c r="K823" i="21" s="1"/>
  <c r="Q823" i="21" s="1"/>
  <c r="M822" i="21"/>
  <c r="K822" i="21" s="1"/>
  <c r="Q822" i="21" s="1"/>
  <c r="M821" i="21"/>
  <c r="M820" i="21"/>
  <c r="K820" i="21" s="1"/>
  <c r="Q820" i="21" s="1"/>
  <c r="M819" i="21"/>
  <c r="K819" i="21" s="1"/>
  <c r="Q819" i="21" s="1"/>
  <c r="M818" i="21"/>
  <c r="K818" i="21" s="1"/>
  <c r="Q818" i="21" s="1"/>
  <c r="M817" i="21"/>
  <c r="M816" i="21"/>
  <c r="K816" i="21" s="1"/>
  <c r="Q816" i="21" s="1"/>
  <c r="M815" i="21"/>
  <c r="K815" i="21" s="1"/>
  <c r="Q815" i="21" s="1"/>
  <c r="M814" i="21"/>
  <c r="K814" i="21" s="1"/>
  <c r="Q814" i="21" s="1"/>
  <c r="M813" i="21"/>
  <c r="K813" i="21" s="1"/>
  <c r="Q813" i="21" s="1"/>
  <c r="M812" i="21"/>
  <c r="M811" i="21"/>
  <c r="K811" i="21" s="1"/>
  <c r="Q811" i="21" s="1"/>
  <c r="M810" i="21"/>
  <c r="K810" i="21" s="1"/>
  <c r="Q810" i="21" s="1"/>
  <c r="M809" i="21"/>
  <c r="K809" i="21" s="1"/>
  <c r="Q809" i="21" s="1"/>
  <c r="M808" i="21"/>
  <c r="K808" i="21" s="1"/>
  <c r="Q808" i="21" s="1"/>
  <c r="M807" i="21"/>
  <c r="K807" i="21" s="1"/>
  <c r="Q807" i="21" s="1"/>
  <c r="M806" i="21"/>
  <c r="K806" i="21" s="1"/>
  <c r="Q806" i="21" s="1"/>
  <c r="M805" i="21"/>
  <c r="K805" i="21" s="1"/>
  <c r="Q805" i="21" s="1"/>
  <c r="M804" i="21"/>
  <c r="M803" i="21"/>
  <c r="K803" i="21" s="1"/>
  <c r="Q803" i="21" s="1"/>
  <c r="M802" i="21"/>
  <c r="K802" i="21" s="1"/>
  <c r="Q802" i="21" s="1"/>
  <c r="M801" i="21"/>
  <c r="K801" i="21" s="1"/>
  <c r="Q801" i="21" s="1"/>
  <c r="M800" i="21"/>
  <c r="M799" i="21"/>
  <c r="K799" i="21" s="1"/>
  <c r="Q799" i="21" s="1"/>
  <c r="M798" i="21"/>
  <c r="K798" i="21" s="1"/>
  <c r="Q798" i="21" s="1"/>
  <c r="M797" i="21"/>
  <c r="M796" i="21"/>
  <c r="K796" i="21" s="1"/>
  <c r="Q796" i="21" s="1"/>
  <c r="M795" i="21"/>
  <c r="K795" i="21" s="1"/>
  <c r="Q795" i="21" s="1"/>
  <c r="M794" i="21"/>
  <c r="K794" i="21" s="1"/>
  <c r="Q794" i="21" s="1"/>
  <c r="M793" i="21"/>
  <c r="K793" i="21" s="1"/>
  <c r="Q793" i="21" s="1"/>
  <c r="M792" i="21"/>
  <c r="K792" i="21" s="1"/>
  <c r="Q792" i="21" s="1"/>
  <c r="M791" i="21"/>
  <c r="K791" i="21" s="1"/>
  <c r="Q791" i="21" s="1"/>
  <c r="M790" i="21"/>
  <c r="K790" i="21" s="1"/>
  <c r="Q790" i="21" s="1"/>
  <c r="M789" i="21"/>
  <c r="K789" i="21" s="1"/>
  <c r="Q789" i="21" s="1"/>
  <c r="M788" i="21"/>
  <c r="K788" i="21" s="1"/>
  <c r="Q788" i="21" s="1"/>
  <c r="M787" i="21"/>
  <c r="K787" i="21" s="1"/>
  <c r="Q787" i="21" s="1"/>
  <c r="M786" i="21"/>
  <c r="K786" i="21" s="1"/>
  <c r="Q786" i="21" s="1"/>
  <c r="M785" i="21"/>
  <c r="K785" i="21" s="1"/>
  <c r="Q785" i="21" s="1"/>
  <c r="M784" i="21"/>
  <c r="K784" i="21" s="1"/>
  <c r="Q784" i="21" s="1"/>
  <c r="M783" i="21"/>
  <c r="K783" i="21" s="1"/>
  <c r="Q783" i="21" s="1"/>
  <c r="M782" i="21"/>
  <c r="M781" i="21"/>
  <c r="K781" i="21" s="1"/>
  <c r="Q781" i="21" s="1"/>
  <c r="M780" i="21"/>
  <c r="K780" i="21" s="1"/>
  <c r="Q780" i="21" s="1"/>
  <c r="M779" i="21"/>
  <c r="K779" i="21" s="1"/>
  <c r="Q779" i="21" s="1"/>
  <c r="M778" i="21"/>
  <c r="K778" i="21" s="1"/>
  <c r="Q778" i="21" s="1"/>
  <c r="M777" i="21"/>
  <c r="K777" i="21" s="1"/>
  <c r="Q777" i="21" s="1"/>
  <c r="M776" i="21"/>
  <c r="K776" i="21" s="1"/>
  <c r="Q776" i="21" s="1"/>
  <c r="M775" i="21"/>
  <c r="K775" i="21" s="1"/>
  <c r="Q775" i="21" s="1"/>
  <c r="M774" i="21"/>
  <c r="K774" i="21" s="1"/>
  <c r="Q774" i="21" s="1"/>
  <c r="M773" i="21"/>
  <c r="K773" i="21" s="1"/>
  <c r="Q773" i="21" s="1"/>
  <c r="M772" i="21"/>
  <c r="M771" i="21"/>
  <c r="K771" i="21" s="1"/>
  <c r="Q771" i="21" s="1"/>
  <c r="M770" i="21"/>
  <c r="M769" i="21"/>
  <c r="K769" i="21" s="1"/>
  <c r="Q769" i="21" s="1"/>
  <c r="M768" i="21"/>
  <c r="K768" i="21" s="1"/>
  <c r="Q768" i="21" s="1"/>
  <c r="M767" i="21"/>
  <c r="K767" i="21" s="1"/>
  <c r="Q767" i="21" s="1"/>
  <c r="M766" i="21"/>
  <c r="K766" i="21" s="1"/>
  <c r="Q766" i="21" s="1"/>
  <c r="M765" i="21"/>
  <c r="K765" i="21" s="1"/>
  <c r="Q765" i="21" s="1"/>
  <c r="M764" i="21"/>
  <c r="K764" i="21" s="1"/>
  <c r="Q764" i="21" s="1"/>
  <c r="M763" i="21"/>
  <c r="K763" i="21" s="1"/>
  <c r="Q763" i="21" s="1"/>
  <c r="M762" i="21"/>
  <c r="K762" i="21" s="1"/>
  <c r="Q762" i="21" s="1"/>
  <c r="M761" i="21"/>
  <c r="K761" i="21" s="1"/>
  <c r="Q761" i="21" s="1"/>
  <c r="M760" i="21"/>
  <c r="K760" i="21" s="1"/>
  <c r="Q760" i="21" s="1"/>
  <c r="M759" i="21"/>
  <c r="K759" i="21" s="1"/>
  <c r="Q759" i="21" s="1"/>
  <c r="M758" i="21"/>
  <c r="K758" i="21" s="1"/>
  <c r="Q758" i="21" s="1"/>
  <c r="M757" i="21"/>
  <c r="K757" i="21" s="1"/>
  <c r="Q757" i="21" s="1"/>
  <c r="M756" i="21"/>
  <c r="K756" i="21" s="1"/>
  <c r="Q756" i="21" s="1"/>
  <c r="M755" i="21"/>
  <c r="K755" i="21" s="1"/>
  <c r="Q755" i="21" s="1"/>
  <c r="M754" i="21"/>
  <c r="M753" i="21"/>
  <c r="K753" i="21" s="1"/>
  <c r="Q753" i="21" s="1"/>
  <c r="M752" i="21"/>
  <c r="K752" i="21" s="1"/>
  <c r="Q752" i="21" s="1"/>
  <c r="M751" i="21"/>
  <c r="K751" i="21" s="1"/>
  <c r="Q751" i="21" s="1"/>
  <c r="M750" i="21"/>
  <c r="K750" i="21" s="1"/>
  <c r="Q750" i="21" s="1"/>
  <c r="M749" i="21"/>
  <c r="K749" i="21" s="1"/>
  <c r="Q749" i="21" s="1"/>
  <c r="M748" i="21"/>
  <c r="K748" i="21" s="1"/>
  <c r="Q748" i="21" s="1"/>
  <c r="M747" i="21"/>
  <c r="K747" i="21" s="1"/>
  <c r="Q747" i="21" s="1"/>
  <c r="M746" i="21"/>
  <c r="K746" i="21" s="1"/>
  <c r="Q746" i="21" s="1"/>
  <c r="M745" i="21"/>
  <c r="K745" i="21" s="1"/>
  <c r="Q745" i="21" s="1"/>
  <c r="M744" i="21"/>
  <c r="K744" i="21" s="1"/>
  <c r="Q744" i="21" s="1"/>
  <c r="M743" i="21"/>
  <c r="K743" i="21" s="1"/>
  <c r="Q743" i="21" s="1"/>
  <c r="M742" i="21"/>
  <c r="K742" i="21" s="1"/>
  <c r="Q742" i="21" s="1"/>
  <c r="M741" i="21"/>
  <c r="K741" i="21" s="1"/>
  <c r="Q741" i="21" s="1"/>
  <c r="M740" i="21"/>
  <c r="K740" i="21" s="1"/>
  <c r="Q740" i="21" s="1"/>
  <c r="M739" i="21"/>
  <c r="K739" i="21" s="1"/>
  <c r="Q739" i="21" s="1"/>
  <c r="M738" i="21"/>
  <c r="M737" i="21"/>
  <c r="K737" i="21" s="1"/>
  <c r="Q737" i="21" s="1"/>
  <c r="M736" i="21"/>
  <c r="K736" i="21" s="1"/>
  <c r="Q736" i="21" s="1"/>
  <c r="M735" i="21"/>
  <c r="K735" i="21" s="1"/>
  <c r="Q735" i="21" s="1"/>
  <c r="M734" i="21"/>
  <c r="K734" i="21" s="1"/>
  <c r="Q734" i="21" s="1"/>
  <c r="M733" i="21"/>
  <c r="K733" i="21" s="1"/>
  <c r="Q733" i="21" s="1"/>
  <c r="M732" i="21"/>
  <c r="K732" i="21" s="1"/>
  <c r="Q732" i="21" s="1"/>
  <c r="M731" i="21"/>
  <c r="K731" i="21" s="1"/>
  <c r="Q731" i="21" s="1"/>
  <c r="M730" i="21"/>
  <c r="K730" i="21" s="1"/>
  <c r="Q730" i="21" s="1"/>
  <c r="M729" i="21"/>
  <c r="K729" i="21" s="1"/>
  <c r="Q729" i="21" s="1"/>
  <c r="M728" i="21"/>
  <c r="K728" i="21" s="1"/>
  <c r="Q728" i="21" s="1"/>
  <c r="M727" i="21"/>
  <c r="K727" i="21" s="1"/>
  <c r="Q727" i="21" s="1"/>
  <c r="M726" i="21"/>
  <c r="K726" i="21" s="1"/>
  <c r="Q726" i="21" s="1"/>
  <c r="M725" i="21"/>
  <c r="K725" i="21" s="1"/>
  <c r="Q725" i="21" s="1"/>
  <c r="M724" i="21"/>
  <c r="M723" i="21"/>
  <c r="K723" i="21" s="1"/>
  <c r="Q723" i="21" s="1"/>
  <c r="M722" i="21"/>
  <c r="K722" i="21" s="1"/>
  <c r="Q722" i="21" s="1"/>
  <c r="M721" i="21"/>
  <c r="K721" i="21" s="1"/>
  <c r="Q721" i="21" s="1"/>
  <c r="M720" i="21"/>
  <c r="K720" i="21" s="1"/>
  <c r="Q720" i="21" s="1"/>
  <c r="M719" i="21"/>
  <c r="K719" i="21" s="1"/>
  <c r="Q719" i="21" s="1"/>
  <c r="M718" i="21"/>
  <c r="K718" i="21" s="1"/>
  <c r="Q718" i="21" s="1"/>
  <c r="M717" i="21"/>
  <c r="K717" i="21" s="1"/>
  <c r="Q717" i="21" s="1"/>
  <c r="M716" i="21"/>
  <c r="K716" i="21" s="1"/>
  <c r="Q716" i="21" s="1"/>
  <c r="M715" i="21"/>
  <c r="K715" i="21" s="1"/>
  <c r="Q715" i="21" s="1"/>
  <c r="M714" i="21"/>
  <c r="K714" i="21" s="1"/>
  <c r="Q714" i="21" s="1"/>
  <c r="M713" i="21"/>
  <c r="K713" i="21" s="1"/>
  <c r="Q713" i="21" s="1"/>
  <c r="M712" i="21"/>
  <c r="K712" i="21" s="1"/>
  <c r="Q712" i="21" s="1"/>
  <c r="M711" i="21"/>
  <c r="K711" i="21" s="1"/>
  <c r="Q711" i="21" s="1"/>
  <c r="M710" i="21"/>
  <c r="M709" i="21"/>
  <c r="K709" i="21" s="1"/>
  <c r="Q709" i="21" s="1"/>
  <c r="M708" i="21"/>
  <c r="K708" i="21" s="1"/>
  <c r="Q708" i="21" s="1"/>
  <c r="M707" i="21"/>
  <c r="K707" i="21" s="1"/>
  <c r="Q707" i="21" s="1"/>
  <c r="M706" i="21"/>
  <c r="K706" i="21" s="1"/>
  <c r="Q706" i="21" s="1"/>
  <c r="M705" i="21"/>
  <c r="K705" i="21" s="1"/>
  <c r="Q705" i="21" s="1"/>
  <c r="M704" i="21"/>
  <c r="K704" i="21" s="1"/>
  <c r="Q704" i="21" s="1"/>
  <c r="M703" i="21"/>
  <c r="K703" i="21" s="1"/>
  <c r="Q703" i="21" s="1"/>
  <c r="M702" i="21"/>
  <c r="K702" i="21" s="1"/>
  <c r="Q702" i="21" s="1"/>
  <c r="M701" i="21"/>
  <c r="K701" i="21" s="1"/>
  <c r="Q701" i="21" s="1"/>
  <c r="M700" i="21"/>
  <c r="K700" i="21" s="1"/>
  <c r="Q700" i="21" s="1"/>
  <c r="M699" i="21"/>
  <c r="K699" i="21" s="1"/>
  <c r="Q699" i="21" s="1"/>
  <c r="M698" i="21"/>
  <c r="K698" i="21" s="1"/>
  <c r="Q698" i="21" s="1"/>
  <c r="M697" i="21"/>
  <c r="K697" i="21" s="1"/>
  <c r="Q697" i="21" s="1"/>
  <c r="M696" i="21"/>
  <c r="K696" i="21" s="1"/>
  <c r="Q696" i="21" s="1"/>
  <c r="M695" i="21"/>
  <c r="K695" i="21" s="1"/>
  <c r="Q695" i="21" s="1"/>
  <c r="M694" i="21"/>
  <c r="K694" i="21" s="1"/>
  <c r="Q694" i="21" s="1"/>
  <c r="M693" i="21"/>
  <c r="K693" i="21" s="1"/>
  <c r="Q693" i="21" s="1"/>
  <c r="M692" i="21"/>
  <c r="K692" i="21" s="1"/>
  <c r="Q692" i="21" s="1"/>
  <c r="M690" i="21"/>
  <c r="K690" i="21" s="1"/>
  <c r="Q690" i="21" s="1"/>
  <c r="M689" i="21"/>
  <c r="K689" i="21" s="1"/>
  <c r="Q689" i="21" s="1"/>
  <c r="M688" i="21"/>
  <c r="M687" i="21"/>
  <c r="K687" i="21" s="1"/>
  <c r="Q687" i="21" s="1"/>
  <c r="M686" i="21"/>
  <c r="K686" i="21" s="1"/>
  <c r="Q686" i="21" s="1"/>
  <c r="M685" i="21"/>
  <c r="K685" i="21" s="1"/>
  <c r="Q685" i="21" s="1"/>
  <c r="M684" i="21"/>
  <c r="K684" i="21" s="1"/>
  <c r="Q684" i="21" s="1"/>
  <c r="M683" i="21"/>
  <c r="M682" i="21"/>
  <c r="K682" i="21" s="1"/>
  <c r="Q682" i="21" s="1"/>
  <c r="M681" i="21"/>
  <c r="M680" i="21"/>
  <c r="K680" i="21" s="1"/>
  <c r="Q680" i="21" s="1"/>
  <c r="M679" i="21"/>
  <c r="K679" i="21" s="1"/>
  <c r="Q679" i="21" s="1"/>
  <c r="M678" i="21"/>
  <c r="K678" i="21" s="1"/>
  <c r="Q678" i="21" s="1"/>
  <c r="M677" i="21"/>
  <c r="K677" i="21" s="1"/>
  <c r="Q677" i="21" s="1"/>
  <c r="M676" i="21"/>
  <c r="K676" i="21" s="1"/>
  <c r="Q676" i="21" s="1"/>
  <c r="M675" i="21"/>
  <c r="K675" i="21" s="1"/>
  <c r="Q675" i="21" s="1"/>
  <c r="M674" i="21"/>
  <c r="K674" i="21" s="1"/>
  <c r="Q674" i="21" s="1"/>
  <c r="M673" i="21"/>
  <c r="K673" i="21" s="1"/>
  <c r="Q673" i="21" s="1"/>
  <c r="M672" i="21"/>
  <c r="K672" i="21" s="1"/>
  <c r="Q672" i="21" s="1"/>
  <c r="M671" i="21"/>
  <c r="K671" i="21" s="1"/>
  <c r="Q671" i="21" s="1"/>
  <c r="M670" i="21"/>
  <c r="K670" i="21" s="1"/>
  <c r="Q670" i="21" s="1"/>
  <c r="M669" i="21"/>
  <c r="K669" i="21" s="1"/>
  <c r="Q669" i="21" s="1"/>
  <c r="M668" i="21"/>
  <c r="K668" i="21" s="1"/>
  <c r="Q668" i="21" s="1"/>
  <c r="M667" i="21"/>
  <c r="K667" i="21" s="1"/>
  <c r="Q667" i="21" s="1"/>
  <c r="M666" i="21"/>
  <c r="K666" i="21" s="1"/>
  <c r="Q666" i="21" s="1"/>
  <c r="M665" i="21"/>
  <c r="K665" i="21" s="1"/>
  <c r="Q665" i="21" s="1"/>
  <c r="M664" i="21"/>
  <c r="K664" i="21" s="1"/>
  <c r="Q664" i="21" s="1"/>
  <c r="M663" i="21"/>
  <c r="K663" i="21" s="1"/>
  <c r="Q663" i="21" s="1"/>
  <c r="M662" i="21"/>
  <c r="K662" i="21" s="1"/>
  <c r="Q662" i="21" s="1"/>
  <c r="M661" i="21"/>
  <c r="K661" i="21" s="1"/>
  <c r="Q661" i="21" s="1"/>
  <c r="M660" i="21"/>
  <c r="K660" i="21" s="1"/>
  <c r="Q660" i="21" s="1"/>
  <c r="M659" i="21"/>
  <c r="K659" i="21" s="1"/>
  <c r="Q659" i="21" s="1"/>
  <c r="M658" i="21"/>
  <c r="K658" i="21" s="1"/>
  <c r="Q658" i="21" s="1"/>
  <c r="M657" i="21"/>
  <c r="K657" i="21" s="1"/>
  <c r="Q657" i="21" s="1"/>
  <c r="M656" i="21"/>
  <c r="K656" i="21" s="1"/>
  <c r="Q656" i="21" s="1"/>
  <c r="M655" i="21"/>
  <c r="M654" i="21"/>
  <c r="K654" i="21" s="1"/>
  <c r="Q654" i="21" s="1"/>
  <c r="M653" i="21"/>
  <c r="K653" i="21" s="1"/>
  <c r="Q653" i="21" s="1"/>
  <c r="M652" i="21"/>
  <c r="K652" i="21" s="1"/>
  <c r="Q652" i="21" s="1"/>
  <c r="M651" i="21"/>
  <c r="K651" i="21" s="1"/>
  <c r="Q651" i="21" s="1"/>
  <c r="M650" i="21"/>
  <c r="K650" i="21" s="1"/>
  <c r="Q650" i="21" s="1"/>
  <c r="M649" i="21"/>
  <c r="K649" i="21" s="1"/>
  <c r="Q649" i="21" s="1"/>
  <c r="M648" i="21"/>
  <c r="K648" i="21" s="1"/>
  <c r="Q648" i="21" s="1"/>
  <c r="M647" i="21"/>
  <c r="K647" i="21" s="1"/>
  <c r="Q647" i="21" s="1"/>
  <c r="M646" i="21"/>
  <c r="K646" i="21" s="1"/>
  <c r="Q646" i="21" s="1"/>
  <c r="M645" i="21"/>
  <c r="K645" i="21" s="1"/>
  <c r="Q645" i="21" s="1"/>
  <c r="M644" i="21"/>
  <c r="K644" i="21" s="1"/>
  <c r="Q644" i="21" s="1"/>
  <c r="M643" i="21"/>
  <c r="K643" i="21" s="1"/>
  <c r="Q643" i="21" s="1"/>
  <c r="M642" i="21"/>
  <c r="K642" i="21" s="1"/>
  <c r="Q642" i="21" s="1"/>
  <c r="M641" i="21"/>
  <c r="K641" i="21" s="1"/>
  <c r="Q641" i="21" s="1"/>
  <c r="M640" i="21"/>
  <c r="K640" i="21" s="1"/>
  <c r="Q640" i="21" s="1"/>
  <c r="M639" i="21"/>
  <c r="K639" i="21" s="1"/>
  <c r="Q639" i="21" s="1"/>
  <c r="M638" i="21"/>
  <c r="K638" i="21" s="1"/>
  <c r="Q638" i="21" s="1"/>
  <c r="M637" i="21"/>
  <c r="K637" i="21" s="1"/>
  <c r="Q637" i="21" s="1"/>
  <c r="M636" i="21"/>
  <c r="K636" i="21" s="1"/>
  <c r="Q636" i="21" s="1"/>
  <c r="M635" i="21"/>
  <c r="K635" i="21" s="1"/>
  <c r="Q635" i="21" s="1"/>
  <c r="M634" i="21"/>
  <c r="K634" i="21" s="1"/>
  <c r="Q634" i="21" s="1"/>
  <c r="M633" i="21"/>
  <c r="K633" i="21" s="1"/>
  <c r="Q633" i="21" s="1"/>
  <c r="M632" i="21"/>
  <c r="M631" i="21"/>
  <c r="K631" i="21" s="1"/>
  <c r="Q631" i="21" s="1"/>
  <c r="M630" i="21"/>
  <c r="K630" i="21" s="1"/>
  <c r="Q630" i="21" s="1"/>
  <c r="M629" i="21"/>
  <c r="K629" i="21" s="1"/>
  <c r="Q629" i="21" s="1"/>
  <c r="M628" i="21"/>
  <c r="K628" i="21" s="1"/>
  <c r="Q628" i="21" s="1"/>
  <c r="M627" i="21"/>
  <c r="K627" i="21" s="1"/>
  <c r="Q627" i="21" s="1"/>
  <c r="M626" i="21"/>
  <c r="K626" i="21" s="1"/>
  <c r="Q626" i="21" s="1"/>
  <c r="M625" i="21"/>
  <c r="K625" i="21" s="1"/>
  <c r="Q625" i="21" s="1"/>
  <c r="M624" i="21"/>
  <c r="M623" i="21"/>
  <c r="K623" i="21" s="1"/>
  <c r="Q623" i="21" s="1"/>
  <c r="M622" i="21"/>
  <c r="K622" i="21" s="1"/>
  <c r="Q622" i="21" s="1"/>
  <c r="M621" i="21"/>
  <c r="K621" i="21" s="1"/>
  <c r="Q621" i="21" s="1"/>
  <c r="M620" i="21"/>
  <c r="K620" i="21" s="1"/>
  <c r="Q620" i="21" s="1"/>
  <c r="M619" i="21"/>
  <c r="K619" i="21" s="1"/>
  <c r="Q619" i="21" s="1"/>
  <c r="M618" i="21"/>
  <c r="K618" i="21" s="1"/>
  <c r="Q618" i="21" s="1"/>
  <c r="M617" i="21"/>
  <c r="K617" i="21" s="1"/>
  <c r="Q617" i="21" s="1"/>
  <c r="M616" i="21"/>
  <c r="K616" i="21" s="1"/>
  <c r="Q616" i="21" s="1"/>
  <c r="M615" i="21"/>
  <c r="K615" i="21" s="1"/>
  <c r="Q615" i="21" s="1"/>
  <c r="M614" i="21"/>
  <c r="K614" i="21" s="1"/>
  <c r="Q614" i="21" s="1"/>
  <c r="M613" i="21"/>
  <c r="K613" i="21" s="1"/>
  <c r="Q613" i="21" s="1"/>
  <c r="M612" i="21"/>
  <c r="M611" i="21"/>
  <c r="K611" i="21" s="1"/>
  <c r="Q611" i="21" s="1"/>
  <c r="M610" i="21"/>
  <c r="K610" i="21" s="1"/>
  <c r="Q610" i="21" s="1"/>
  <c r="M609" i="21"/>
  <c r="K609" i="21" s="1"/>
  <c r="Q609" i="21" s="1"/>
  <c r="M608" i="21"/>
  <c r="M607" i="21"/>
  <c r="K607" i="21" s="1"/>
  <c r="Q607" i="21" s="1"/>
  <c r="M606" i="21"/>
  <c r="K606" i="21" s="1"/>
  <c r="Q606" i="21" s="1"/>
  <c r="M605" i="21"/>
  <c r="K605" i="21" s="1"/>
  <c r="Q605" i="21" s="1"/>
  <c r="M604" i="21"/>
  <c r="K604" i="21" s="1"/>
  <c r="Q604" i="21" s="1"/>
  <c r="M603" i="21"/>
  <c r="K603" i="21" s="1"/>
  <c r="Q603" i="21" s="1"/>
  <c r="M602" i="21"/>
  <c r="K602" i="21" s="1"/>
  <c r="Q602" i="21" s="1"/>
  <c r="M601" i="21"/>
  <c r="K601" i="21" s="1"/>
  <c r="Q601" i="21" s="1"/>
  <c r="M600" i="21"/>
  <c r="K600" i="21" s="1"/>
  <c r="Q600" i="21" s="1"/>
  <c r="M599" i="21"/>
  <c r="K599" i="21" s="1"/>
  <c r="Q599" i="21" s="1"/>
  <c r="M598" i="21"/>
  <c r="K598" i="21" s="1"/>
  <c r="Q598" i="21" s="1"/>
  <c r="M597" i="21"/>
  <c r="K597" i="21" s="1"/>
  <c r="Q597" i="21" s="1"/>
  <c r="M596" i="21"/>
  <c r="K596" i="21" s="1"/>
  <c r="Q596" i="21" s="1"/>
  <c r="M595" i="21"/>
  <c r="K595" i="21" s="1"/>
  <c r="Q595" i="21" s="1"/>
  <c r="M594" i="21"/>
  <c r="K594" i="21" s="1"/>
  <c r="Q594" i="21" s="1"/>
  <c r="M593" i="21"/>
  <c r="K593" i="21" s="1"/>
  <c r="Q593" i="21" s="1"/>
  <c r="M592" i="21"/>
  <c r="K592" i="21" s="1"/>
  <c r="Q592" i="21" s="1"/>
  <c r="M591" i="21"/>
  <c r="K591" i="21" s="1"/>
  <c r="Q591" i="21" s="1"/>
  <c r="M590" i="21"/>
  <c r="K590" i="21" s="1"/>
  <c r="Q590" i="21" s="1"/>
  <c r="M589" i="21"/>
  <c r="M588" i="21"/>
  <c r="K588" i="21" s="1"/>
  <c r="Q588" i="21" s="1"/>
  <c r="M587" i="21"/>
  <c r="K587" i="21" s="1"/>
  <c r="Q587" i="21" s="1"/>
  <c r="M586" i="21"/>
  <c r="K586" i="21" s="1"/>
  <c r="Q586" i="21" s="1"/>
  <c r="M585" i="21"/>
  <c r="K585" i="21" s="1"/>
  <c r="Q585" i="21" s="1"/>
  <c r="M584" i="21"/>
  <c r="K584" i="21" s="1"/>
  <c r="Q584" i="21" s="1"/>
  <c r="M583" i="21"/>
  <c r="K583" i="21" s="1"/>
  <c r="Q583" i="21" s="1"/>
  <c r="M582" i="21"/>
  <c r="K582" i="21" s="1"/>
  <c r="Q582" i="21" s="1"/>
  <c r="M581" i="21"/>
  <c r="K581" i="21" s="1"/>
  <c r="Q581" i="21" s="1"/>
  <c r="M580" i="21"/>
  <c r="K580" i="21" s="1"/>
  <c r="Q580" i="21" s="1"/>
  <c r="M579" i="21"/>
  <c r="K579" i="21" s="1"/>
  <c r="Q579" i="21" s="1"/>
  <c r="M578" i="21"/>
  <c r="K578" i="21" s="1"/>
  <c r="Q578" i="21" s="1"/>
  <c r="M577" i="21"/>
  <c r="K577" i="21" s="1"/>
  <c r="Q577" i="21" s="1"/>
  <c r="M576" i="21"/>
  <c r="K576" i="21" s="1"/>
  <c r="Q576" i="21" s="1"/>
  <c r="M575" i="21"/>
  <c r="K575" i="21" s="1"/>
  <c r="Q575" i="21" s="1"/>
  <c r="M574" i="21"/>
  <c r="K574" i="21" s="1"/>
  <c r="Q574" i="21" s="1"/>
  <c r="M573" i="21"/>
  <c r="K573" i="21" s="1"/>
  <c r="Q573" i="21" s="1"/>
  <c r="M572" i="21"/>
  <c r="K572" i="21" s="1"/>
  <c r="Q572" i="21" s="1"/>
  <c r="M571" i="21"/>
  <c r="M570" i="21"/>
  <c r="K570" i="21" s="1"/>
  <c r="Q570" i="21" s="1"/>
  <c r="M569" i="21"/>
  <c r="K569" i="21" s="1"/>
  <c r="Q569" i="21" s="1"/>
  <c r="M568" i="21"/>
  <c r="K568" i="21" s="1"/>
  <c r="Q568" i="21" s="1"/>
  <c r="M567" i="21"/>
  <c r="K567" i="21" s="1"/>
  <c r="Q567" i="21" s="1"/>
  <c r="M566" i="21"/>
  <c r="K566" i="21" s="1"/>
  <c r="Q566" i="21" s="1"/>
  <c r="M565" i="21"/>
  <c r="K565" i="21" s="1"/>
  <c r="Q565" i="21" s="1"/>
  <c r="M564" i="21"/>
  <c r="M563" i="21"/>
  <c r="K563" i="21" s="1"/>
  <c r="Q563" i="21" s="1"/>
  <c r="M562" i="21"/>
  <c r="K562" i="21" s="1"/>
  <c r="Q562" i="21" s="1"/>
  <c r="M561" i="21"/>
  <c r="K561" i="21" s="1"/>
  <c r="Q561" i="21" s="1"/>
  <c r="M560" i="21"/>
  <c r="K560" i="21" s="1"/>
  <c r="Q560" i="21" s="1"/>
  <c r="M559" i="21"/>
  <c r="K559" i="21" s="1"/>
  <c r="Q559" i="21" s="1"/>
  <c r="M558" i="21"/>
  <c r="K558" i="21" s="1"/>
  <c r="Q558" i="21" s="1"/>
  <c r="M557" i="21"/>
  <c r="K557" i="21" s="1"/>
  <c r="Q557" i="21" s="1"/>
  <c r="M556" i="21"/>
  <c r="M555" i="21"/>
  <c r="K555" i="21" s="1"/>
  <c r="Q555" i="21" s="1"/>
  <c r="M554" i="21"/>
  <c r="K554" i="21" s="1"/>
  <c r="Q554" i="21" s="1"/>
  <c r="M553" i="21"/>
  <c r="K553" i="21" s="1"/>
  <c r="Q553" i="21" s="1"/>
  <c r="M552" i="21"/>
  <c r="K552" i="21" s="1"/>
  <c r="Q552" i="21" s="1"/>
  <c r="M551" i="21"/>
  <c r="K551" i="21" s="1"/>
  <c r="M550" i="21"/>
  <c r="K550" i="21" s="1"/>
  <c r="Q550" i="21" s="1"/>
  <c r="M549" i="21"/>
  <c r="K549" i="21" s="1"/>
  <c r="Q549" i="21" s="1"/>
  <c r="M548" i="21"/>
  <c r="M547" i="21"/>
  <c r="K547" i="21" s="1"/>
  <c r="Q547" i="21" s="1"/>
  <c r="M546" i="21"/>
  <c r="K546" i="21" s="1"/>
  <c r="Q546" i="21" s="1"/>
  <c r="M545" i="21"/>
  <c r="K545" i="21" s="1"/>
  <c r="Q545" i="21" s="1"/>
  <c r="M544" i="21"/>
  <c r="K544" i="21" s="1"/>
  <c r="Q544" i="21" s="1"/>
  <c r="M543" i="21"/>
  <c r="K543" i="21" s="1"/>
  <c r="Q543" i="21" s="1"/>
  <c r="M542" i="21"/>
  <c r="K542" i="21" s="1"/>
  <c r="Q542" i="21" s="1"/>
  <c r="M541" i="21"/>
  <c r="K541" i="21" s="1"/>
  <c r="Q541" i="21" s="1"/>
  <c r="M540" i="21"/>
  <c r="M539" i="21"/>
  <c r="K539" i="21" s="1"/>
  <c r="Q539" i="21" s="1"/>
  <c r="M538" i="21"/>
  <c r="K538" i="21" s="1"/>
  <c r="Q538" i="21" s="1"/>
  <c r="M537" i="21"/>
  <c r="K537" i="21" s="1"/>
  <c r="Q537" i="21" s="1"/>
  <c r="M536" i="21"/>
  <c r="K536" i="21" s="1"/>
  <c r="Q536" i="21" s="1"/>
  <c r="M535" i="21"/>
  <c r="K535" i="21" s="1"/>
  <c r="Q535" i="21" s="1"/>
  <c r="M534" i="21"/>
  <c r="M533" i="21"/>
  <c r="K533" i="21" s="1"/>
  <c r="Q533" i="21" s="1"/>
  <c r="M532" i="21"/>
  <c r="M531" i="21"/>
  <c r="K531" i="21" s="1"/>
  <c r="Q531" i="21" s="1"/>
  <c r="M530" i="21"/>
  <c r="K530" i="21" s="1"/>
  <c r="Q530" i="21" s="1"/>
  <c r="M529" i="21"/>
  <c r="K529" i="21" s="1"/>
  <c r="Q529" i="21" s="1"/>
  <c r="M528" i="21"/>
  <c r="K528" i="21" s="1"/>
  <c r="Q528" i="21" s="1"/>
  <c r="M527" i="21"/>
  <c r="K527" i="21" s="1"/>
  <c r="Q527" i="21" s="1"/>
  <c r="M526" i="21"/>
  <c r="K526" i="21" s="1"/>
  <c r="Q526" i="21" s="1"/>
  <c r="M525" i="21"/>
  <c r="K525" i="21" s="1"/>
  <c r="Q525" i="21" s="1"/>
  <c r="M524" i="21"/>
  <c r="M523" i="21"/>
  <c r="K523" i="21" s="1"/>
  <c r="Q523" i="21" s="1"/>
  <c r="M522" i="21"/>
  <c r="K522" i="21" s="1"/>
  <c r="Q522" i="21" s="1"/>
  <c r="M521" i="21"/>
  <c r="K521" i="21" s="1"/>
  <c r="Q521" i="21" s="1"/>
  <c r="M520" i="21"/>
  <c r="K520" i="21" s="1"/>
  <c r="Q520" i="21" s="1"/>
  <c r="M519" i="21"/>
  <c r="K519" i="21" s="1"/>
  <c r="Q519" i="21" s="1"/>
  <c r="M518" i="21"/>
  <c r="K518" i="21" s="1"/>
  <c r="Q518" i="21" s="1"/>
  <c r="M517" i="21"/>
  <c r="K517" i="21" s="1"/>
  <c r="Q517" i="21" s="1"/>
  <c r="M516" i="21"/>
  <c r="M515" i="21"/>
  <c r="K515" i="21" s="1"/>
  <c r="Q515" i="21" s="1"/>
  <c r="M514" i="21"/>
  <c r="M513" i="21"/>
  <c r="K513" i="21" s="1"/>
  <c r="Q513" i="21" s="1"/>
  <c r="M512" i="21"/>
  <c r="K512" i="21" s="1"/>
  <c r="Q512" i="21" s="1"/>
  <c r="M511" i="21"/>
  <c r="K511" i="21" s="1"/>
  <c r="Q511" i="21" s="1"/>
  <c r="M510" i="21"/>
  <c r="K510" i="21" s="1"/>
  <c r="Q510" i="21" s="1"/>
  <c r="M509" i="21"/>
  <c r="K509" i="21" s="1"/>
  <c r="Q509" i="21" s="1"/>
  <c r="M508" i="21"/>
  <c r="K508" i="21" s="1"/>
  <c r="Q508" i="21" s="1"/>
  <c r="M507" i="21"/>
  <c r="K507" i="21" s="1"/>
  <c r="Q507" i="21" s="1"/>
  <c r="M506" i="21"/>
  <c r="K506" i="21" s="1"/>
  <c r="Q506" i="21" s="1"/>
  <c r="M505" i="21"/>
  <c r="K505" i="21" s="1"/>
  <c r="Q505" i="21" s="1"/>
  <c r="M504" i="21"/>
  <c r="K504" i="21" s="1"/>
  <c r="Q504" i="21" s="1"/>
  <c r="M503" i="21"/>
  <c r="K503" i="21" s="1"/>
  <c r="Q503" i="21" s="1"/>
  <c r="M502" i="21"/>
  <c r="K502" i="21" s="1"/>
  <c r="Q502" i="21" s="1"/>
  <c r="M501" i="21"/>
  <c r="K501" i="21" s="1"/>
  <c r="Q501" i="21" s="1"/>
  <c r="M500" i="21"/>
  <c r="K500" i="21" s="1"/>
  <c r="Q500" i="21" s="1"/>
  <c r="M499" i="21"/>
  <c r="K499" i="21" s="1"/>
  <c r="Q499" i="21" s="1"/>
  <c r="M498" i="21"/>
  <c r="K498" i="21" s="1"/>
  <c r="Q498" i="21" s="1"/>
  <c r="M497" i="21"/>
  <c r="K497" i="21" s="1"/>
  <c r="Q497" i="21" s="1"/>
  <c r="M496" i="21"/>
  <c r="K496" i="21" s="1"/>
  <c r="Q496" i="21" s="1"/>
  <c r="M495" i="21"/>
  <c r="K495" i="21" s="1"/>
  <c r="Q495" i="21" s="1"/>
  <c r="M494" i="21"/>
  <c r="K494" i="21" s="1"/>
  <c r="Q494" i="21" s="1"/>
  <c r="M493" i="21"/>
  <c r="K493" i="21" s="1"/>
  <c r="Q493" i="21" s="1"/>
  <c r="M492" i="21"/>
  <c r="K492" i="21" s="1"/>
  <c r="Q492" i="21" s="1"/>
  <c r="M491" i="21"/>
  <c r="M490" i="21"/>
  <c r="K490" i="21" s="1"/>
  <c r="Q490" i="21" s="1"/>
  <c r="M489" i="21"/>
  <c r="K489" i="21" s="1"/>
  <c r="Q489" i="21" s="1"/>
  <c r="M488" i="21"/>
  <c r="K488" i="21" s="1"/>
  <c r="Q488" i="21" s="1"/>
  <c r="M487" i="21"/>
  <c r="K487" i="21" s="1"/>
  <c r="Q487" i="21" s="1"/>
  <c r="M486" i="21"/>
  <c r="K486" i="21" s="1"/>
  <c r="Q486" i="21" s="1"/>
  <c r="M485" i="21"/>
  <c r="K485" i="21" s="1"/>
  <c r="Q485" i="21" s="1"/>
  <c r="M484" i="21"/>
  <c r="K484" i="21" s="1"/>
  <c r="Q484" i="21" s="1"/>
  <c r="M483" i="21"/>
  <c r="K483" i="21" s="1"/>
  <c r="Q483" i="21" s="1"/>
  <c r="M482" i="21"/>
  <c r="K482" i="21" s="1"/>
  <c r="Q482" i="21" s="1"/>
  <c r="M481" i="21"/>
  <c r="K481" i="21" s="1"/>
  <c r="Q481" i="21" s="1"/>
  <c r="M480" i="21"/>
  <c r="K480" i="21" s="1"/>
  <c r="Q480" i="21" s="1"/>
  <c r="M479" i="21"/>
  <c r="K479" i="21" s="1"/>
  <c r="Q479" i="21" s="1"/>
  <c r="M478" i="21"/>
  <c r="K478" i="21" s="1"/>
  <c r="Q478" i="21" s="1"/>
  <c r="M477" i="21"/>
  <c r="K477" i="21" s="1"/>
  <c r="Q477" i="21" s="1"/>
  <c r="M476" i="21"/>
  <c r="K476" i="21" s="1"/>
  <c r="Q476" i="21" s="1"/>
  <c r="M475" i="21"/>
  <c r="K475" i="21" s="1"/>
  <c r="Q475" i="21" s="1"/>
  <c r="M474" i="21"/>
  <c r="K474" i="21" s="1"/>
  <c r="Q474" i="21" s="1"/>
  <c r="M473" i="21"/>
  <c r="K473" i="21" s="1"/>
  <c r="Q473" i="21" s="1"/>
  <c r="M472" i="21"/>
  <c r="K472" i="21" s="1"/>
  <c r="Q472" i="21" s="1"/>
  <c r="M471" i="21"/>
  <c r="K471" i="21" s="1"/>
  <c r="Q471" i="21" s="1"/>
  <c r="M470" i="21"/>
  <c r="K470" i="21" s="1"/>
  <c r="Q470" i="21" s="1"/>
  <c r="M469" i="21"/>
  <c r="K469" i="21" s="1"/>
  <c r="Q469" i="21" s="1"/>
  <c r="M468" i="21"/>
  <c r="K468" i="21" s="1"/>
  <c r="Q468" i="21" s="1"/>
  <c r="M467" i="21"/>
  <c r="K467" i="21" s="1"/>
  <c r="Q467" i="21" s="1"/>
  <c r="M466" i="21"/>
  <c r="K466" i="21" s="1"/>
  <c r="Q466" i="21" s="1"/>
  <c r="M465" i="21"/>
  <c r="K465" i="21" s="1"/>
  <c r="Q465" i="21" s="1"/>
  <c r="M464" i="21"/>
  <c r="K464" i="21" s="1"/>
  <c r="Q464" i="21" s="1"/>
  <c r="M463" i="21"/>
  <c r="K463" i="21" s="1"/>
  <c r="Q463" i="21" s="1"/>
  <c r="M462" i="21"/>
  <c r="K462" i="21" s="1"/>
  <c r="Q462" i="21" s="1"/>
  <c r="M461" i="21"/>
  <c r="K461" i="21" s="1"/>
  <c r="Q461" i="21" s="1"/>
  <c r="M460" i="21"/>
  <c r="K460" i="21" s="1"/>
  <c r="Q460" i="21" s="1"/>
  <c r="M459" i="21"/>
  <c r="K459" i="21" s="1"/>
  <c r="Q459" i="21" s="1"/>
  <c r="M458" i="21"/>
  <c r="K458" i="21" s="1"/>
  <c r="Q458" i="21" s="1"/>
  <c r="M457" i="21"/>
  <c r="M456" i="21"/>
  <c r="K456" i="21" s="1"/>
  <c r="Q456" i="21" s="1"/>
  <c r="M455" i="21"/>
  <c r="K455" i="21" s="1"/>
  <c r="Q455" i="21" s="1"/>
  <c r="M454" i="21"/>
  <c r="K454" i="21" s="1"/>
  <c r="Q454" i="21" s="1"/>
  <c r="M453" i="21"/>
  <c r="K453" i="21" s="1"/>
  <c r="Q453" i="21" s="1"/>
  <c r="M452" i="21"/>
  <c r="K452" i="21" s="1"/>
  <c r="Q452" i="21" s="1"/>
  <c r="M451" i="21"/>
  <c r="M450" i="21"/>
  <c r="K450" i="21" s="1"/>
  <c r="Q450" i="21" s="1"/>
  <c r="M449" i="21"/>
  <c r="K449" i="21" s="1"/>
  <c r="Q449" i="21" s="1"/>
  <c r="M448" i="21"/>
  <c r="K448" i="21" s="1"/>
  <c r="Q448" i="21" s="1"/>
  <c r="M447" i="21"/>
  <c r="K447" i="21" s="1"/>
  <c r="Q447" i="21" s="1"/>
  <c r="M446" i="21"/>
  <c r="K446" i="21" s="1"/>
  <c r="Q446" i="21" s="1"/>
  <c r="M445" i="21"/>
  <c r="K445" i="21" s="1"/>
  <c r="Q445" i="21" s="1"/>
  <c r="M444" i="21"/>
  <c r="K444" i="21" s="1"/>
  <c r="Q444" i="21" s="1"/>
  <c r="M443" i="21"/>
  <c r="K443" i="21" s="1"/>
  <c r="Q443" i="21" s="1"/>
  <c r="M442" i="21"/>
  <c r="K442" i="21" s="1"/>
  <c r="Q442" i="21" s="1"/>
  <c r="M441" i="21"/>
  <c r="K441" i="21" s="1"/>
  <c r="Q441" i="21" s="1"/>
  <c r="M440" i="21"/>
  <c r="K440" i="21" s="1"/>
  <c r="Q440" i="21" s="1"/>
  <c r="M439" i="21"/>
  <c r="K439" i="21" s="1"/>
  <c r="Q439" i="21" s="1"/>
  <c r="M438" i="21"/>
  <c r="K438" i="21" s="1"/>
  <c r="Q438" i="21" s="1"/>
  <c r="M437" i="21"/>
  <c r="K437" i="21" s="1"/>
  <c r="Q437" i="21" s="1"/>
  <c r="M436" i="21"/>
  <c r="K436" i="21" s="1"/>
  <c r="Q436" i="21" s="1"/>
  <c r="M435" i="21"/>
  <c r="K435" i="21" s="1"/>
  <c r="Q435" i="21" s="1"/>
  <c r="M434" i="21"/>
  <c r="M433" i="21"/>
  <c r="K433" i="21" s="1"/>
  <c r="Q433" i="21" s="1"/>
  <c r="M432" i="21"/>
  <c r="K432" i="21" s="1"/>
  <c r="Q432" i="21" s="1"/>
  <c r="M431" i="21"/>
  <c r="K431" i="21" s="1"/>
  <c r="Q431" i="21" s="1"/>
  <c r="M430" i="21"/>
  <c r="K430" i="21" s="1"/>
  <c r="Q430" i="21" s="1"/>
  <c r="M429" i="21"/>
  <c r="K429" i="21" s="1"/>
  <c r="Q429" i="21" s="1"/>
  <c r="M428" i="21"/>
  <c r="K428" i="21" s="1"/>
  <c r="Q428" i="21" s="1"/>
  <c r="M427" i="21"/>
  <c r="M426" i="21"/>
  <c r="K426" i="21" s="1"/>
  <c r="Q426" i="21" s="1"/>
  <c r="M425" i="21"/>
  <c r="K425" i="21" s="1"/>
  <c r="Q425" i="21" s="1"/>
  <c r="M424" i="21"/>
  <c r="K424" i="21" s="1"/>
  <c r="Q424" i="21" s="1"/>
  <c r="M423" i="21"/>
  <c r="K423" i="21" s="1"/>
  <c r="Q423" i="21" s="1"/>
  <c r="M422" i="21"/>
  <c r="K422" i="21" s="1"/>
  <c r="Q422" i="21" s="1"/>
  <c r="M421" i="21"/>
  <c r="K421" i="21" s="1"/>
  <c r="Q421" i="21" s="1"/>
  <c r="M420" i="21"/>
  <c r="K420" i="21" s="1"/>
  <c r="Q420" i="21" s="1"/>
  <c r="M419" i="21"/>
  <c r="K419" i="21" s="1"/>
  <c r="Q419" i="21" s="1"/>
  <c r="M418" i="21"/>
  <c r="K418" i="21" s="1"/>
  <c r="Q418" i="21" s="1"/>
  <c r="M417" i="21"/>
  <c r="K417" i="21" s="1"/>
  <c r="Q417" i="21" s="1"/>
  <c r="M416" i="21"/>
  <c r="K416" i="21" s="1"/>
  <c r="Q416" i="21" s="1"/>
  <c r="M415" i="21"/>
  <c r="K415" i="21" s="1"/>
  <c r="Q415" i="21" s="1"/>
  <c r="M414" i="21"/>
  <c r="K414" i="21" s="1"/>
  <c r="Q414" i="21" s="1"/>
  <c r="M413" i="21"/>
  <c r="K413" i="21" s="1"/>
  <c r="Q413" i="21" s="1"/>
  <c r="M412" i="21"/>
  <c r="M411" i="21"/>
  <c r="K411" i="21" s="1"/>
  <c r="Q411" i="21" s="1"/>
  <c r="M410" i="21"/>
  <c r="K410" i="21" s="1"/>
  <c r="Q410" i="21" s="1"/>
  <c r="M409" i="21"/>
  <c r="K409" i="21" s="1"/>
  <c r="Q409" i="21" s="1"/>
  <c r="M408" i="21"/>
  <c r="K408" i="21" s="1"/>
  <c r="Q408" i="21" s="1"/>
  <c r="M407" i="21"/>
  <c r="K407" i="21" s="1"/>
  <c r="Q407" i="21" s="1"/>
  <c r="M406" i="21"/>
  <c r="K406" i="21" s="1"/>
  <c r="Q406" i="21" s="1"/>
  <c r="M405" i="21"/>
  <c r="K405" i="21" s="1"/>
  <c r="Q405" i="21" s="1"/>
  <c r="M404" i="21"/>
  <c r="K404" i="21" s="1"/>
  <c r="Q404" i="21" s="1"/>
  <c r="M403" i="21"/>
  <c r="K403" i="21" s="1"/>
  <c r="Q403" i="21" s="1"/>
  <c r="M402" i="21"/>
  <c r="K402" i="21" s="1"/>
  <c r="Q402" i="21" s="1"/>
  <c r="M401" i="21"/>
  <c r="K401" i="21" s="1"/>
  <c r="Q401" i="21" s="1"/>
  <c r="M400" i="21"/>
  <c r="K400" i="21" s="1"/>
  <c r="Q400" i="21" s="1"/>
  <c r="M399" i="21"/>
  <c r="K399" i="21" s="1"/>
  <c r="Q399" i="21" s="1"/>
  <c r="M398" i="21"/>
  <c r="K398" i="21" s="1"/>
  <c r="Q398" i="21" s="1"/>
  <c r="M397" i="21"/>
  <c r="K397" i="21" s="1"/>
  <c r="Q397" i="21" s="1"/>
  <c r="M396" i="21"/>
  <c r="K396" i="21" s="1"/>
  <c r="Q396" i="21" s="1"/>
  <c r="M395" i="21"/>
  <c r="K395" i="21" s="1"/>
  <c r="Q395" i="21" s="1"/>
  <c r="M394" i="21"/>
  <c r="K394" i="21" s="1"/>
  <c r="Q394" i="21" s="1"/>
  <c r="M393" i="21"/>
  <c r="K393" i="21" s="1"/>
  <c r="Q393" i="21" s="1"/>
  <c r="M392" i="21"/>
  <c r="K392" i="21" s="1"/>
  <c r="Q392" i="21" s="1"/>
  <c r="M391" i="21"/>
  <c r="K391" i="21" s="1"/>
  <c r="Q391" i="21" s="1"/>
  <c r="M390" i="21"/>
  <c r="K390" i="21" s="1"/>
  <c r="Q390" i="21" s="1"/>
  <c r="M389" i="21"/>
  <c r="K389" i="21" s="1"/>
  <c r="Q389" i="21" s="1"/>
  <c r="M388" i="21"/>
  <c r="K388" i="21" s="1"/>
  <c r="Q388" i="21" s="1"/>
  <c r="M387" i="21"/>
  <c r="K387" i="21" s="1"/>
  <c r="Q387" i="21" s="1"/>
  <c r="M386" i="21"/>
  <c r="M385" i="21"/>
  <c r="K385" i="21" s="1"/>
  <c r="Q385" i="21" s="1"/>
  <c r="M384" i="21"/>
  <c r="K384" i="21" s="1"/>
  <c r="Q384" i="21" s="1"/>
  <c r="M383" i="21"/>
  <c r="M382" i="21"/>
  <c r="K382" i="21" s="1"/>
  <c r="Q382" i="21" s="1"/>
  <c r="M381" i="21"/>
  <c r="K381" i="21" s="1"/>
  <c r="Q381" i="21" s="1"/>
  <c r="M380" i="21"/>
  <c r="K380" i="21" s="1"/>
  <c r="Q380" i="21" s="1"/>
  <c r="M379" i="21"/>
  <c r="K379" i="21" s="1"/>
  <c r="Q379" i="21" s="1"/>
  <c r="M378" i="21"/>
  <c r="K378" i="21" s="1"/>
  <c r="Q378" i="21" s="1"/>
  <c r="M377" i="21"/>
  <c r="K377" i="21" s="1"/>
  <c r="Q377" i="21" s="1"/>
  <c r="M376" i="21"/>
  <c r="K376" i="21" s="1"/>
  <c r="Q376" i="21" s="1"/>
  <c r="M375" i="21"/>
  <c r="K375" i="21" s="1"/>
  <c r="Q375" i="21" s="1"/>
  <c r="M374" i="21"/>
  <c r="K374" i="21" s="1"/>
  <c r="Q374" i="21" s="1"/>
  <c r="M373" i="21"/>
  <c r="K373" i="21" s="1"/>
  <c r="Q373" i="21" s="1"/>
  <c r="M372" i="21"/>
  <c r="K372" i="21" s="1"/>
  <c r="Q372" i="21" s="1"/>
  <c r="M371" i="21"/>
  <c r="K371" i="21" s="1"/>
  <c r="Q371" i="21" s="1"/>
  <c r="M370" i="21"/>
  <c r="K370" i="21" s="1"/>
  <c r="Q370" i="21" s="1"/>
  <c r="M369" i="21"/>
  <c r="K369" i="21" s="1"/>
  <c r="Q369" i="21" s="1"/>
  <c r="M368" i="21"/>
  <c r="K368" i="21" s="1"/>
  <c r="Q368" i="21" s="1"/>
  <c r="M367" i="21"/>
  <c r="K367" i="21" s="1"/>
  <c r="Q367" i="21" s="1"/>
  <c r="M366" i="21"/>
  <c r="K366" i="21" s="1"/>
  <c r="Q366" i="21" s="1"/>
  <c r="M365" i="21"/>
  <c r="M364" i="21"/>
  <c r="K364" i="21" s="1"/>
  <c r="Q364" i="21" s="1"/>
  <c r="M363" i="21"/>
  <c r="M362" i="21"/>
  <c r="K362" i="21" s="1"/>
  <c r="Q362" i="21" s="1"/>
  <c r="M361" i="21"/>
  <c r="K361" i="21" s="1"/>
  <c r="Q361" i="21" s="1"/>
  <c r="M360" i="21"/>
  <c r="K360" i="21" s="1"/>
  <c r="Q360" i="21" s="1"/>
  <c r="M359" i="21"/>
  <c r="K359" i="21" s="1"/>
  <c r="Q359" i="21" s="1"/>
  <c r="M358" i="21"/>
  <c r="K358" i="21" s="1"/>
  <c r="Q358" i="21" s="1"/>
  <c r="M357" i="21"/>
  <c r="K357" i="21" s="1"/>
  <c r="Q357" i="21" s="1"/>
  <c r="M356" i="21"/>
  <c r="K356" i="21" s="1"/>
  <c r="Q356" i="21" s="1"/>
  <c r="M355" i="21"/>
  <c r="K355" i="21" s="1"/>
  <c r="Q355" i="21" s="1"/>
  <c r="M354" i="21"/>
  <c r="K354" i="21" s="1"/>
  <c r="Q354" i="21" s="1"/>
  <c r="M353" i="21"/>
  <c r="K353" i="21" s="1"/>
  <c r="Q353" i="21" s="1"/>
  <c r="M352" i="21"/>
  <c r="K352" i="21" s="1"/>
  <c r="Q352" i="21" s="1"/>
  <c r="M351" i="21"/>
  <c r="K351" i="21" s="1"/>
  <c r="Q351" i="21" s="1"/>
  <c r="M350" i="21"/>
  <c r="K350" i="21" s="1"/>
  <c r="Q350" i="21" s="1"/>
  <c r="M349" i="21"/>
  <c r="K349" i="21" s="1"/>
  <c r="Q349" i="21" s="1"/>
  <c r="M348" i="21"/>
  <c r="K348" i="21" s="1"/>
  <c r="Q348" i="21" s="1"/>
  <c r="M347" i="21"/>
  <c r="K347" i="21" s="1"/>
  <c r="Q347" i="21" s="1"/>
  <c r="M346" i="21"/>
  <c r="K346" i="21" s="1"/>
  <c r="Q346" i="21" s="1"/>
  <c r="M345" i="21"/>
  <c r="K345" i="21" s="1"/>
  <c r="Q345" i="21" s="1"/>
  <c r="M344" i="21"/>
  <c r="K344" i="21" s="1"/>
  <c r="Q344" i="21" s="1"/>
  <c r="M343" i="21"/>
  <c r="M342" i="21"/>
  <c r="K342" i="21" s="1"/>
  <c r="Q342" i="21" s="1"/>
  <c r="M341" i="21"/>
  <c r="K341" i="21" s="1"/>
  <c r="Q341" i="21" s="1"/>
  <c r="M340" i="21"/>
  <c r="M339" i="21"/>
  <c r="K339" i="21" s="1"/>
  <c r="Q339" i="21" s="1"/>
  <c r="M338" i="21"/>
  <c r="K338" i="21" s="1"/>
  <c r="Q338" i="21" s="1"/>
  <c r="M337" i="21"/>
  <c r="K337" i="21" s="1"/>
  <c r="Q337" i="21" s="1"/>
  <c r="M336" i="21"/>
  <c r="K336" i="21" s="1"/>
  <c r="Q336" i="21" s="1"/>
  <c r="M335" i="21"/>
  <c r="M334" i="21"/>
  <c r="K334" i="21" s="1"/>
  <c r="Q334" i="21" s="1"/>
  <c r="M333" i="21"/>
  <c r="K333" i="21" s="1"/>
  <c r="Q333" i="21" s="1"/>
  <c r="M332" i="21"/>
  <c r="K332" i="21" s="1"/>
  <c r="Q332" i="21" s="1"/>
  <c r="M331" i="21"/>
  <c r="K331" i="21" s="1"/>
  <c r="Q331" i="21" s="1"/>
  <c r="M330" i="21"/>
  <c r="K330" i="21" s="1"/>
  <c r="Q330" i="21" s="1"/>
  <c r="M329" i="21"/>
  <c r="K329" i="21" s="1"/>
  <c r="Q329" i="21" s="1"/>
  <c r="M328" i="21"/>
  <c r="K328" i="21" s="1"/>
  <c r="Q328" i="21" s="1"/>
  <c r="M327" i="21"/>
  <c r="K327" i="21" s="1"/>
  <c r="Q327" i="21" s="1"/>
  <c r="M326" i="21"/>
  <c r="K326" i="21" s="1"/>
  <c r="Q326" i="21" s="1"/>
  <c r="M325" i="21"/>
  <c r="K325" i="21" s="1"/>
  <c r="Q325" i="21" s="1"/>
  <c r="M324" i="21"/>
  <c r="K324" i="21" s="1"/>
  <c r="Q324" i="21" s="1"/>
  <c r="M323" i="21"/>
  <c r="K323" i="21" s="1"/>
  <c r="Q323" i="21" s="1"/>
  <c r="M322" i="21"/>
  <c r="K322" i="21" s="1"/>
  <c r="Q322" i="21" s="1"/>
  <c r="M321" i="21"/>
  <c r="K321" i="21" s="1"/>
  <c r="Q321" i="21" s="1"/>
  <c r="M320" i="21"/>
  <c r="M319" i="21"/>
  <c r="K319" i="21" s="1"/>
  <c r="Q319" i="21" s="1"/>
  <c r="M318" i="21"/>
  <c r="K318" i="21" s="1"/>
  <c r="Q318" i="21" s="1"/>
  <c r="M317" i="21"/>
  <c r="K317" i="21" s="1"/>
  <c r="Q317" i="21" s="1"/>
  <c r="M316" i="21"/>
  <c r="K316" i="21" s="1"/>
  <c r="Q316" i="21" s="1"/>
  <c r="M315" i="21"/>
  <c r="M314" i="21"/>
  <c r="K314" i="21" s="1"/>
  <c r="Q314" i="21" s="1"/>
  <c r="M313" i="21"/>
  <c r="K313" i="21" s="1"/>
  <c r="Q313" i="21" s="1"/>
  <c r="M312" i="21"/>
  <c r="K312" i="21" s="1"/>
  <c r="M311" i="21"/>
  <c r="K311" i="21" s="1"/>
  <c r="Q311" i="21" s="1"/>
  <c r="M310" i="21"/>
  <c r="K310" i="21" s="1"/>
  <c r="Q310" i="21" s="1"/>
  <c r="M309" i="21"/>
  <c r="K309" i="21" s="1"/>
  <c r="Q309" i="21" s="1"/>
  <c r="M308" i="21"/>
  <c r="K308" i="21" s="1"/>
  <c r="Q308" i="21" s="1"/>
  <c r="M307" i="21"/>
  <c r="K307" i="21" s="1"/>
  <c r="Q307" i="21" s="1"/>
  <c r="M306" i="21"/>
  <c r="K306" i="21" s="1"/>
  <c r="Q306" i="21" s="1"/>
  <c r="M305" i="21"/>
  <c r="K305" i="21" s="1"/>
  <c r="Q305" i="21" s="1"/>
  <c r="M304" i="21"/>
  <c r="K304" i="21" s="1"/>
  <c r="Q304" i="21" s="1"/>
  <c r="M303" i="21"/>
  <c r="M302" i="21"/>
  <c r="K302" i="21" s="1"/>
  <c r="Q302" i="21" s="1"/>
  <c r="M301" i="21"/>
  <c r="K301" i="21" s="1"/>
  <c r="Q301" i="21" s="1"/>
  <c r="M300" i="21"/>
  <c r="K300" i="21" s="1"/>
  <c r="Q300" i="21" s="1"/>
  <c r="M299" i="21"/>
  <c r="K299" i="21" s="1"/>
  <c r="Q299" i="21" s="1"/>
  <c r="M298" i="21"/>
  <c r="K298" i="21" s="1"/>
  <c r="Q298" i="21" s="1"/>
  <c r="M297" i="21"/>
  <c r="K297" i="21" s="1"/>
  <c r="Q297" i="21" s="1"/>
  <c r="M296" i="21"/>
  <c r="K296" i="21" s="1"/>
  <c r="Q296" i="21" s="1"/>
  <c r="M295" i="21"/>
  <c r="K295" i="21" s="1"/>
  <c r="Q295" i="21" s="1"/>
  <c r="M294" i="21"/>
  <c r="K294" i="21" s="1"/>
  <c r="Q294" i="21" s="1"/>
  <c r="M293" i="21"/>
  <c r="K293" i="21" s="1"/>
  <c r="Q293" i="21" s="1"/>
  <c r="M292" i="21"/>
  <c r="K292" i="21" s="1"/>
  <c r="Q292" i="21" s="1"/>
  <c r="M291" i="21"/>
  <c r="M290" i="21"/>
  <c r="K290" i="21" s="1"/>
  <c r="Q290" i="21" s="1"/>
  <c r="M289" i="21"/>
  <c r="K289" i="21" s="1"/>
  <c r="Q289" i="21" s="1"/>
  <c r="M288" i="21"/>
  <c r="K288" i="21" s="1"/>
  <c r="Q288" i="21" s="1"/>
  <c r="M287" i="21"/>
  <c r="K287" i="21" s="1"/>
  <c r="Q287" i="21" s="1"/>
  <c r="M286" i="21"/>
  <c r="K286" i="21" s="1"/>
  <c r="Q286" i="21" s="1"/>
  <c r="M285" i="21"/>
  <c r="K285" i="21" s="1"/>
  <c r="Q285" i="21" s="1"/>
  <c r="M284" i="21"/>
  <c r="K284" i="21" s="1"/>
  <c r="Q284" i="21" s="1"/>
  <c r="M283" i="21"/>
  <c r="K283" i="21" s="1"/>
  <c r="Q283" i="21" s="1"/>
  <c r="M282" i="21"/>
  <c r="K282" i="21" s="1"/>
  <c r="Q282" i="21" s="1"/>
  <c r="M281" i="21"/>
  <c r="K281" i="21" s="1"/>
  <c r="Q281" i="21" s="1"/>
  <c r="M280" i="21"/>
  <c r="M279" i="21"/>
  <c r="K279" i="21" s="1"/>
  <c r="Q279" i="21" s="1"/>
  <c r="M278" i="21"/>
  <c r="K278" i="21" s="1"/>
  <c r="Q278" i="21" s="1"/>
  <c r="M277" i="21"/>
  <c r="K277" i="21" s="1"/>
  <c r="Q277" i="21" s="1"/>
  <c r="M276" i="21"/>
  <c r="K276" i="21" s="1"/>
  <c r="Q276" i="21" s="1"/>
  <c r="M275" i="21"/>
  <c r="K275" i="21" s="1"/>
  <c r="Q275" i="21" s="1"/>
  <c r="M274" i="21"/>
  <c r="K274" i="21" s="1"/>
  <c r="Q274" i="21" s="1"/>
  <c r="M273" i="21"/>
  <c r="K273" i="21" s="1"/>
  <c r="Q273" i="21" s="1"/>
  <c r="M272" i="21"/>
  <c r="M271" i="21"/>
  <c r="K271" i="21" s="1"/>
  <c r="Q271" i="21" s="1"/>
  <c r="M270" i="21"/>
  <c r="K270" i="21" s="1"/>
  <c r="Q270" i="21" s="1"/>
  <c r="M269" i="21"/>
  <c r="K269" i="21" s="1"/>
  <c r="Q269" i="21" s="1"/>
  <c r="M268" i="21"/>
  <c r="M267" i="21"/>
  <c r="K267" i="21" s="1"/>
  <c r="Q267" i="21" s="1"/>
  <c r="M266" i="21"/>
  <c r="K266" i="21" s="1"/>
  <c r="Q266" i="21" s="1"/>
  <c r="M265" i="21"/>
  <c r="K265" i="21" s="1"/>
  <c r="Q265" i="21" s="1"/>
  <c r="M264" i="21"/>
  <c r="M263" i="21"/>
  <c r="K263" i="21" s="1"/>
  <c r="Q263" i="21" s="1"/>
  <c r="M262" i="21"/>
  <c r="K262" i="21" s="1"/>
  <c r="Q262" i="21" s="1"/>
  <c r="M261" i="21"/>
  <c r="K261" i="21" s="1"/>
  <c r="Q261" i="21" s="1"/>
  <c r="M260" i="21"/>
  <c r="M259" i="21"/>
  <c r="K259" i="21" s="1"/>
  <c r="Q259" i="21" s="1"/>
  <c r="M258" i="21"/>
  <c r="K258" i="21" s="1"/>
  <c r="Q258" i="21" s="1"/>
  <c r="M257" i="21"/>
  <c r="K257" i="21" s="1"/>
  <c r="Q257" i="21" s="1"/>
  <c r="M256" i="21"/>
  <c r="K256" i="21" s="1"/>
  <c r="Q256" i="21" s="1"/>
  <c r="M255" i="21"/>
  <c r="K255" i="21" s="1"/>
  <c r="Q255" i="21" s="1"/>
  <c r="M254" i="21"/>
  <c r="K254" i="21" s="1"/>
  <c r="Q254" i="21" s="1"/>
  <c r="M253" i="21"/>
  <c r="K253" i="21" s="1"/>
  <c r="Q253" i="21" s="1"/>
  <c r="M252" i="21"/>
  <c r="M251" i="21"/>
  <c r="K251" i="21" s="1"/>
  <c r="Q251" i="21" s="1"/>
  <c r="M250" i="21"/>
  <c r="K250" i="21" s="1"/>
  <c r="Q250" i="21" s="1"/>
  <c r="M249" i="21"/>
  <c r="K249" i="21" s="1"/>
  <c r="Q249" i="21" s="1"/>
  <c r="M248" i="21"/>
  <c r="K248" i="21" s="1"/>
  <c r="Q248" i="21" s="1"/>
  <c r="M247" i="21"/>
  <c r="K247" i="21" s="1"/>
  <c r="Q247" i="21" s="1"/>
  <c r="M246" i="21"/>
  <c r="K246" i="21" s="1"/>
  <c r="Q246" i="21" s="1"/>
  <c r="M245" i="21"/>
  <c r="K245" i="21" s="1"/>
  <c r="Q245" i="21" s="1"/>
  <c r="M244" i="21"/>
  <c r="K244" i="21" s="1"/>
  <c r="Q244" i="21" s="1"/>
  <c r="M243" i="21"/>
  <c r="K243" i="21" s="1"/>
  <c r="Q243" i="21" s="1"/>
  <c r="M242" i="21"/>
  <c r="K242" i="21" s="1"/>
  <c r="Q242" i="21" s="1"/>
  <c r="M241" i="21"/>
  <c r="K241" i="21" s="1"/>
  <c r="Q241" i="21" s="1"/>
  <c r="M240" i="21"/>
  <c r="K240" i="21" s="1"/>
  <c r="Q240" i="21" s="1"/>
  <c r="M239" i="21"/>
  <c r="K239" i="21" s="1"/>
  <c r="Q239" i="21" s="1"/>
  <c r="M238" i="21"/>
  <c r="K238" i="21" s="1"/>
  <c r="Q238" i="21" s="1"/>
  <c r="M237" i="21"/>
  <c r="K237" i="21" s="1"/>
  <c r="Q237" i="21" s="1"/>
  <c r="M236" i="21"/>
  <c r="M235" i="21"/>
  <c r="K235" i="21" s="1"/>
  <c r="Q235" i="21" s="1"/>
  <c r="M234" i="21"/>
  <c r="K234" i="21" s="1"/>
  <c r="Q234" i="21" s="1"/>
  <c r="M233" i="21"/>
  <c r="K233" i="21" s="1"/>
  <c r="Q233" i="21" s="1"/>
  <c r="M232" i="21"/>
  <c r="M231" i="21"/>
  <c r="K231" i="21" s="1"/>
  <c r="Q231" i="21" s="1"/>
  <c r="M230" i="21"/>
  <c r="K230" i="21" s="1"/>
  <c r="Q230" i="21" s="1"/>
  <c r="M229" i="21"/>
  <c r="K229" i="21" s="1"/>
  <c r="Q229" i="21" s="1"/>
  <c r="M228" i="21"/>
  <c r="M227" i="21"/>
  <c r="K227" i="21" s="1"/>
  <c r="Q227" i="21" s="1"/>
  <c r="M226" i="21"/>
  <c r="K226" i="21" s="1"/>
  <c r="Q226" i="21" s="1"/>
  <c r="M225" i="21"/>
  <c r="K225" i="21" s="1"/>
  <c r="Q225" i="21" s="1"/>
  <c r="M224" i="21"/>
  <c r="M223" i="21"/>
  <c r="K223" i="21" s="1"/>
  <c r="Q223" i="21" s="1"/>
  <c r="M222" i="21"/>
  <c r="K222" i="21" s="1"/>
  <c r="Q222" i="21" s="1"/>
  <c r="M221" i="21"/>
  <c r="K221" i="21" s="1"/>
  <c r="Q221" i="21" s="1"/>
  <c r="M220" i="21"/>
  <c r="K220" i="21" s="1"/>
  <c r="Q220" i="21" s="1"/>
  <c r="M219" i="21"/>
  <c r="K219" i="21" s="1"/>
  <c r="Q219" i="21" s="1"/>
  <c r="M218" i="21"/>
  <c r="K218" i="21" s="1"/>
  <c r="Q218" i="21" s="1"/>
  <c r="M217" i="21"/>
  <c r="M216" i="21"/>
  <c r="K216" i="21" s="1"/>
  <c r="Q216" i="21" s="1"/>
  <c r="M215" i="21"/>
  <c r="K215" i="21" s="1"/>
  <c r="Q215" i="21" s="1"/>
  <c r="M214" i="21"/>
  <c r="K214" i="21" s="1"/>
  <c r="Q214" i="21" s="1"/>
  <c r="M213" i="21"/>
  <c r="K213" i="21" s="1"/>
  <c r="Q213" i="21" s="1"/>
  <c r="M212" i="21"/>
  <c r="M211" i="21"/>
  <c r="K211" i="21" s="1"/>
  <c r="Q211" i="21" s="1"/>
  <c r="M210" i="21"/>
  <c r="K210" i="21" s="1"/>
  <c r="Q210" i="21" s="1"/>
  <c r="M209" i="21"/>
  <c r="K209" i="21" s="1"/>
  <c r="Q209" i="21" s="1"/>
  <c r="M208" i="21"/>
  <c r="K208" i="21" s="1"/>
  <c r="Q208" i="21" s="1"/>
  <c r="M207" i="21"/>
  <c r="K207" i="21" s="1"/>
  <c r="Q207" i="21" s="1"/>
  <c r="M206" i="21"/>
  <c r="K206" i="21" s="1"/>
  <c r="Q206" i="21" s="1"/>
  <c r="M205" i="21"/>
  <c r="K205" i="21" s="1"/>
  <c r="Q205" i="21" s="1"/>
  <c r="M204" i="21"/>
  <c r="M203" i="21"/>
  <c r="K203" i="21" s="1"/>
  <c r="Q203" i="21" s="1"/>
  <c r="M202" i="21"/>
  <c r="K202" i="21" s="1"/>
  <c r="Q202" i="21" s="1"/>
  <c r="M201" i="21"/>
  <c r="K201" i="21" s="1"/>
  <c r="Q201" i="21" s="1"/>
  <c r="M200" i="21"/>
  <c r="K200" i="21" s="1"/>
  <c r="Q200" i="21" s="1"/>
  <c r="M199" i="21"/>
  <c r="K199" i="21" s="1"/>
  <c r="Q199" i="21" s="1"/>
  <c r="M198" i="21"/>
  <c r="K198" i="21" s="1"/>
  <c r="Q198" i="21" s="1"/>
  <c r="M197" i="21"/>
  <c r="K197" i="21" s="1"/>
  <c r="Q197" i="21" s="1"/>
  <c r="M196" i="21"/>
  <c r="M195" i="21"/>
  <c r="K195" i="21" s="1"/>
  <c r="Q195" i="21" s="1"/>
  <c r="M194" i="21"/>
  <c r="K194" i="21" s="1"/>
  <c r="Q194" i="21" s="1"/>
  <c r="M193" i="21"/>
  <c r="K193" i="21" s="1"/>
  <c r="Q193" i="21" s="1"/>
  <c r="M192" i="21"/>
  <c r="K192" i="21" s="1"/>
  <c r="Q192" i="21" s="1"/>
  <c r="M191" i="21"/>
  <c r="K191" i="21" s="1"/>
  <c r="Q191" i="21" s="1"/>
  <c r="M190" i="21"/>
  <c r="K190" i="21" s="1"/>
  <c r="Q190" i="21" s="1"/>
  <c r="M189" i="21"/>
  <c r="K189" i="21" s="1"/>
  <c r="Q189" i="21" s="1"/>
  <c r="M188" i="21"/>
  <c r="M187" i="21"/>
  <c r="K187" i="21" s="1"/>
  <c r="Q187" i="21" s="1"/>
  <c r="M186" i="21"/>
  <c r="K186" i="21" s="1"/>
  <c r="Q186" i="21" s="1"/>
  <c r="M185" i="21"/>
  <c r="K185" i="21" s="1"/>
  <c r="Q185" i="21" s="1"/>
  <c r="M184" i="21"/>
  <c r="K184" i="21" s="1"/>
  <c r="Q184" i="21" s="1"/>
  <c r="M183" i="21"/>
  <c r="K183" i="21" s="1"/>
  <c r="Q183" i="21" s="1"/>
  <c r="M182" i="21"/>
  <c r="K182" i="21" s="1"/>
  <c r="Q182" i="21" s="1"/>
  <c r="M181" i="21"/>
  <c r="K181" i="21" s="1"/>
  <c r="Q181" i="21" s="1"/>
  <c r="M180" i="21"/>
  <c r="M179" i="21"/>
  <c r="K179" i="21" s="1"/>
  <c r="Q179" i="21" s="1"/>
  <c r="M178" i="21"/>
  <c r="K178" i="21" s="1"/>
  <c r="Q178" i="21" s="1"/>
  <c r="M177" i="21"/>
  <c r="K177" i="21" s="1"/>
  <c r="Q177" i="21" s="1"/>
  <c r="M176" i="21"/>
  <c r="K176" i="21" s="1"/>
  <c r="Q176" i="21" s="1"/>
  <c r="M175" i="21"/>
  <c r="K175" i="21" s="1"/>
  <c r="Q175" i="21" s="1"/>
  <c r="M174" i="21"/>
  <c r="K174" i="21" s="1"/>
  <c r="Q174" i="21" s="1"/>
  <c r="M173" i="21"/>
  <c r="K173" i="21" s="1"/>
  <c r="Q173" i="21" s="1"/>
  <c r="M172" i="21"/>
  <c r="M171" i="21"/>
  <c r="K171" i="21" s="1"/>
  <c r="Q171" i="21" s="1"/>
  <c r="M170" i="21"/>
  <c r="K170" i="21" s="1"/>
  <c r="Q170" i="21" s="1"/>
  <c r="M169" i="21"/>
  <c r="K169" i="21" s="1"/>
  <c r="Q169" i="21" s="1"/>
  <c r="M168" i="21"/>
  <c r="K168" i="21" s="1"/>
  <c r="Q168" i="21" s="1"/>
  <c r="M167" i="21"/>
  <c r="M166" i="21"/>
  <c r="K166" i="21" s="1"/>
  <c r="Q166" i="21" s="1"/>
  <c r="M165" i="21"/>
  <c r="K165" i="21" s="1"/>
  <c r="Q165" i="21" s="1"/>
  <c r="M164" i="21"/>
  <c r="M163" i="21"/>
  <c r="K163" i="21" s="1"/>
  <c r="Q163" i="21" s="1"/>
  <c r="M162" i="21"/>
  <c r="K162" i="21" s="1"/>
  <c r="Q162" i="21" s="1"/>
  <c r="M161" i="21"/>
  <c r="K161" i="21" s="1"/>
  <c r="Q161" i="21" s="1"/>
  <c r="M160" i="21"/>
  <c r="K160" i="21" s="1"/>
  <c r="Q160" i="21" s="1"/>
  <c r="M159" i="21"/>
  <c r="K159" i="21" s="1"/>
  <c r="Q159" i="21" s="1"/>
  <c r="M158" i="21"/>
  <c r="K158" i="21" s="1"/>
  <c r="Q158" i="21" s="1"/>
  <c r="M157" i="21"/>
  <c r="K157" i="21" s="1"/>
  <c r="Q157" i="21" s="1"/>
  <c r="M156" i="21"/>
  <c r="M155" i="21"/>
  <c r="K155" i="21" s="1"/>
  <c r="Q155" i="21" s="1"/>
  <c r="M154" i="21"/>
  <c r="K154" i="21" s="1"/>
  <c r="Q154" i="21" s="1"/>
  <c r="M153" i="21"/>
  <c r="K153" i="21" s="1"/>
  <c r="Q153" i="21" s="1"/>
  <c r="M152" i="21"/>
  <c r="K152" i="21" s="1"/>
  <c r="Q152" i="21" s="1"/>
  <c r="M151" i="21"/>
  <c r="K151" i="21" s="1"/>
  <c r="Q151" i="21" s="1"/>
  <c r="M150" i="21"/>
  <c r="K150" i="21" s="1"/>
  <c r="Q150" i="21" s="1"/>
  <c r="M149" i="21"/>
  <c r="K149" i="21" s="1"/>
  <c r="Q149" i="21" s="1"/>
  <c r="M148" i="21"/>
  <c r="M147" i="21"/>
  <c r="K147" i="21" s="1"/>
  <c r="Q147" i="21" s="1"/>
  <c r="M146" i="21"/>
  <c r="K146" i="21" s="1"/>
  <c r="Q146" i="21" s="1"/>
  <c r="M145" i="21"/>
  <c r="K145" i="21" s="1"/>
  <c r="Q145" i="21" s="1"/>
  <c r="M144" i="21"/>
  <c r="K144" i="21" s="1"/>
  <c r="Q144" i="21" s="1"/>
  <c r="M143" i="21"/>
  <c r="K143" i="21" s="1"/>
  <c r="Q143" i="21" s="1"/>
  <c r="M142" i="21"/>
  <c r="K142" i="21" s="1"/>
  <c r="Q142" i="21" s="1"/>
  <c r="M141" i="21"/>
  <c r="K141" i="21" s="1"/>
  <c r="Q141" i="21" s="1"/>
  <c r="M140" i="21"/>
  <c r="M139" i="21"/>
  <c r="K139" i="21" s="1"/>
  <c r="Q139" i="21" s="1"/>
  <c r="M138" i="21"/>
  <c r="K138" i="21" s="1"/>
  <c r="Q138" i="21" s="1"/>
  <c r="M137" i="21"/>
  <c r="K137" i="21" s="1"/>
  <c r="Q137" i="21" s="1"/>
  <c r="M136" i="21"/>
  <c r="K136" i="21" s="1"/>
  <c r="Q136" i="21" s="1"/>
  <c r="M135" i="21"/>
  <c r="K135" i="21" s="1"/>
  <c r="Q135" i="21" s="1"/>
  <c r="M134" i="21"/>
  <c r="K134" i="21" s="1"/>
  <c r="Q134" i="21" s="1"/>
  <c r="M133" i="21"/>
  <c r="K133" i="21" s="1"/>
  <c r="Q133" i="21" s="1"/>
  <c r="M132" i="21"/>
  <c r="M131" i="21"/>
  <c r="K131" i="21" s="1"/>
  <c r="Q131" i="21" s="1"/>
  <c r="M130" i="21"/>
  <c r="K130" i="21" s="1"/>
  <c r="Q130" i="21" s="1"/>
  <c r="M129" i="21"/>
  <c r="K129" i="21" s="1"/>
  <c r="Q129" i="21" s="1"/>
  <c r="M128" i="21"/>
  <c r="K128" i="21" s="1"/>
  <c r="Q128" i="21" s="1"/>
  <c r="M127" i="21"/>
  <c r="K127" i="21" s="1"/>
  <c r="Q127" i="21" s="1"/>
  <c r="M126" i="21"/>
  <c r="K126" i="21" s="1"/>
  <c r="Q126" i="21" s="1"/>
  <c r="M125" i="21"/>
  <c r="K125" i="21" s="1"/>
  <c r="Q125" i="21" s="1"/>
  <c r="M124" i="21"/>
  <c r="M123" i="21"/>
  <c r="K123" i="21" s="1"/>
  <c r="Q123" i="21" s="1"/>
  <c r="M122" i="21"/>
  <c r="K122" i="21" s="1"/>
  <c r="Q122" i="21" s="1"/>
  <c r="M121" i="21"/>
  <c r="K121" i="21" s="1"/>
  <c r="Q121" i="21" s="1"/>
  <c r="M120" i="21"/>
  <c r="K120" i="21" s="1"/>
  <c r="Q120" i="21" s="1"/>
  <c r="M119" i="21"/>
  <c r="K119" i="21" s="1"/>
  <c r="Q119" i="21" s="1"/>
  <c r="M118" i="21"/>
  <c r="K118" i="21" s="1"/>
  <c r="Q118" i="21" s="1"/>
  <c r="M117" i="21"/>
  <c r="K117" i="21" s="1"/>
  <c r="Q117" i="21" s="1"/>
  <c r="M116" i="21"/>
  <c r="M115" i="21"/>
  <c r="K115" i="21" s="1"/>
  <c r="Q115" i="21" s="1"/>
  <c r="M114" i="21"/>
  <c r="K114" i="21" s="1"/>
  <c r="Q114" i="21" s="1"/>
  <c r="M113" i="21"/>
  <c r="K113" i="21" s="1"/>
  <c r="Q113" i="21" s="1"/>
  <c r="M112" i="21"/>
  <c r="K112" i="21" s="1"/>
  <c r="Q112" i="21" s="1"/>
  <c r="M111" i="21"/>
  <c r="K111" i="21" s="1"/>
  <c r="Q111" i="21" s="1"/>
  <c r="M110" i="21"/>
  <c r="K110" i="21" s="1"/>
  <c r="Q110" i="21" s="1"/>
  <c r="M109" i="21"/>
  <c r="K109" i="21" s="1"/>
  <c r="Q109" i="21" s="1"/>
  <c r="M108" i="21"/>
  <c r="M107" i="21"/>
  <c r="K107" i="21" s="1"/>
  <c r="Q107" i="21" s="1"/>
  <c r="M106" i="21"/>
  <c r="K106" i="21" s="1"/>
  <c r="Q106" i="21" s="1"/>
  <c r="M105" i="21"/>
  <c r="K105" i="21" s="1"/>
  <c r="Q105" i="21" s="1"/>
  <c r="M104" i="21"/>
  <c r="K104" i="21" s="1"/>
  <c r="Q104" i="21" s="1"/>
  <c r="M103" i="21"/>
  <c r="K103" i="21" s="1"/>
  <c r="Q103" i="21" s="1"/>
  <c r="M102" i="21"/>
  <c r="K102" i="21" s="1"/>
  <c r="Q102" i="21" s="1"/>
  <c r="M101" i="21"/>
  <c r="K101" i="21" s="1"/>
  <c r="Q101" i="21" s="1"/>
  <c r="M100" i="21"/>
  <c r="M99" i="21"/>
  <c r="K99" i="21" s="1"/>
  <c r="Q99" i="21" s="1"/>
  <c r="M98" i="21"/>
  <c r="K98" i="21" s="1"/>
  <c r="Q98" i="21" s="1"/>
  <c r="M97" i="21"/>
  <c r="K97" i="21" s="1"/>
  <c r="Q97" i="21" s="1"/>
  <c r="M96" i="21"/>
  <c r="K96" i="21" s="1"/>
  <c r="Q96" i="21" s="1"/>
  <c r="M95" i="21"/>
  <c r="K95" i="21" s="1"/>
  <c r="Q95" i="21" s="1"/>
  <c r="M94" i="21"/>
  <c r="K94" i="21" s="1"/>
  <c r="Q94" i="21" s="1"/>
  <c r="M93" i="21"/>
  <c r="K93" i="21" s="1"/>
  <c r="Q93" i="21" s="1"/>
  <c r="M92" i="21"/>
  <c r="M91" i="21"/>
  <c r="K91" i="21" s="1"/>
  <c r="Q91" i="21" s="1"/>
  <c r="M90" i="21"/>
  <c r="K90" i="21" s="1"/>
  <c r="Q90" i="21" s="1"/>
  <c r="M89" i="21"/>
  <c r="K89" i="21" s="1"/>
  <c r="Q89" i="21" s="1"/>
  <c r="M88" i="21"/>
  <c r="K88" i="21" s="1"/>
  <c r="Q88" i="21" s="1"/>
  <c r="M87" i="21"/>
  <c r="K87" i="21" s="1"/>
  <c r="Q87" i="21" s="1"/>
  <c r="M86" i="21"/>
  <c r="K86" i="21" s="1"/>
  <c r="Q86" i="21" s="1"/>
  <c r="M85" i="21"/>
  <c r="K85" i="21" s="1"/>
  <c r="Q85" i="21" s="1"/>
  <c r="M84" i="21"/>
  <c r="M83" i="21"/>
  <c r="K83" i="21" s="1"/>
  <c r="Q83" i="21" s="1"/>
  <c r="M82" i="21"/>
  <c r="K82" i="21" s="1"/>
  <c r="Q82" i="21" s="1"/>
  <c r="M81" i="21"/>
  <c r="K81" i="21" s="1"/>
  <c r="Q81" i="21" s="1"/>
  <c r="M80" i="21"/>
  <c r="K80" i="21" s="1"/>
  <c r="Q80" i="21" s="1"/>
  <c r="M79" i="21"/>
  <c r="M78" i="21"/>
  <c r="K78" i="21" s="1"/>
  <c r="Q78" i="21" s="1"/>
  <c r="M77" i="21"/>
  <c r="K77" i="21" s="1"/>
  <c r="Q77" i="21" s="1"/>
  <c r="M76" i="21"/>
  <c r="M75" i="21"/>
  <c r="K75" i="21" s="1"/>
  <c r="Q75" i="21" s="1"/>
  <c r="M74" i="21"/>
  <c r="K74" i="21" s="1"/>
  <c r="Q74" i="21" s="1"/>
  <c r="M73" i="21"/>
  <c r="K73" i="21" s="1"/>
  <c r="Q73" i="21" s="1"/>
  <c r="M72" i="21"/>
  <c r="K72" i="21" s="1"/>
  <c r="Q72" i="21" s="1"/>
  <c r="M71" i="21"/>
  <c r="K71" i="21" s="1"/>
  <c r="Q71" i="21" s="1"/>
  <c r="M70" i="21"/>
  <c r="K70" i="21" s="1"/>
  <c r="Q70" i="21" s="1"/>
  <c r="M69" i="21"/>
  <c r="K69" i="21" s="1"/>
  <c r="Q69" i="21" s="1"/>
  <c r="M68" i="21"/>
  <c r="M67" i="21"/>
  <c r="K67" i="21" s="1"/>
  <c r="Q67" i="21" s="1"/>
  <c r="M66" i="21"/>
  <c r="K66" i="21" s="1"/>
  <c r="Q66" i="21" s="1"/>
  <c r="M65" i="21"/>
  <c r="K65" i="21" s="1"/>
  <c r="Q65" i="21" s="1"/>
  <c r="M64" i="21"/>
  <c r="K64" i="21" s="1"/>
  <c r="Q64" i="21" s="1"/>
  <c r="M63" i="21"/>
  <c r="K63" i="21" s="1"/>
  <c r="Q63" i="21" s="1"/>
  <c r="M62" i="21"/>
  <c r="K62" i="21" s="1"/>
  <c r="Q62" i="21" s="1"/>
  <c r="M61" i="21"/>
  <c r="K61" i="21" s="1"/>
  <c r="Q61" i="21" s="1"/>
  <c r="M60" i="21"/>
  <c r="M59" i="21"/>
  <c r="K59" i="21" s="1"/>
  <c r="Q59" i="21" s="1"/>
  <c r="M58" i="21"/>
  <c r="K58" i="21" s="1"/>
  <c r="Q58" i="21" s="1"/>
  <c r="M57" i="21"/>
  <c r="K57" i="21" s="1"/>
  <c r="Q57" i="21" s="1"/>
  <c r="M56" i="21"/>
  <c r="K56" i="21" s="1"/>
  <c r="Q56" i="21" s="1"/>
  <c r="M55" i="21"/>
  <c r="K55" i="21" s="1"/>
  <c r="Q55" i="21" s="1"/>
  <c r="M54" i="21"/>
  <c r="K54" i="21" s="1"/>
  <c r="Q54" i="21" s="1"/>
  <c r="M53" i="21"/>
  <c r="K53" i="21" s="1"/>
  <c r="Q53" i="21" s="1"/>
  <c r="M52" i="21"/>
  <c r="M51" i="21"/>
  <c r="K51" i="21" s="1"/>
  <c r="Q51" i="21" s="1"/>
  <c r="M50" i="21"/>
  <c r="K50" i="21" s="1"/>
  <c r="Q50" i="21" s="1"/>
  <c r="M49" i="21"/>
  <c r="K49" i="21" s="1"/>
  <c r="Q49" i="21" s="1"/>
  <c r="M48" i="21"/>
  <c r="M47" i="21"/>
  <c r="K47" i="21" s="1"/>
  <c r="Q47" i="21" s="1"/>
  <c r="M46" i="21"/>
  <c r="K46" i="21" s="1"/>
  <c r="Q46" i="21" s="1"/>
  <c r="M45" i="21"/>
  <c r="K45" i="21" s="1"/>
  <c r="Q45" i="21" s="1"/>
  <c r="M44" i="21"/>
  <c r="K44" i="21" s="1"/>
  <c r="Q44" i="21" s="1"/>
  <c r="M43" i="21"/>
  <c r="K43" i="21" s="1"/>
  <c r="Q43" i="21" s="1"/>
  <c r="M42" i="21"/>
  <c r="K42" i="21" s="1"/>
  <c r="Q42" i="21" s="1"/>
  <c r="M41" i="21"/>
  <c r="K41" i="21" s="1"/>
  <c r="Q41" i="21" s="1"/>
  <c r="M40" i="21"/>
  <c r="M39" i="21"/>
  <c r="K39" i="21" s="1"/>
  <c r="Q39" i="21" s="1"/>
  <c r="M38" i="21"/>
  <c r="K38" i="21" s="1"/>
  <c r="Q38" i="21" s="1"/>
  <c r="M37" i="21"/>
  <c r="K37" i="21" s="1"/>
  <c r="Q37" i="21" s="1"/>
  <c r="M36" i="21"/>
  <c r="M35" i="21"/>
  <c r="K35" i="21" s="1"/>
  <c r="Q35" i="21" s="1"/>
  <c r="M34" i="21"/>
  <c r="K34" i="21" s="1"/>
  <c r="Q34" i="21" s="1"/>
  <c r="M33" i="21"/>
  <c r="K33" i="21" s="1"/>
  <c r="Q33" i="21" s="1"/>
  <c r="M32" i="21"/>
  <c r="M31" i="21"/>
  <c r="K31" i="21" s="1"/>
  <c r="Q31" i="21" s="1"/>
  <c r="M30" i="21"/>
  <c r="K30" i="21" s="1"/>
  <c r="Q30" i="21" s="1"/>
  <c r="M29" i="21"/>
  <c r="K29" i="21" s="1"/>
  <c r="Q29" i="21" s="1"/>
  <c r="M28" i="21"/>
  <c r="M27" i="21"/>
  <c r="K27" i="21" s="1"/>
  <c r="Q27" i="21" s="1"/>
  <c r="M26" i="21"/>
  <c r="K26" i="21" s="1"/>
  <c r="Q26" i="21" s="1"/>
  <c r="M25" i="21"/>
  <c r="K25" i="21" s="1"/>
  <c r="Q25" i="21" s="1"/>
  <c r="M24" i="21"/>
  <c r="M23" i="21"/>
  <c r="K23" i="21" s="1"/>
  <c r="Q23" i="21" s="1"/>
  <c r="M22" i="21"/>
  <c r="K22" i="21" s="1"/>
  <c r="Q22" i="21" s="1"/>
  <c r="M21" i="21"/>
  <c r="K21" i="21" s="1"/>
  <c r="Q21" i="21" s="1"/>
  <c r="M20" i="21"/>
  <c r="K20" i="21" s="1"/>
  <c r="Q20" i="21" s="1"/>
  <c r="M19" i="21"/>
  <c r="K19" i="21" s="1"/>
  <c r="Q19" i="21" s="1"/>
  <c r="M18" i="21"/>
  <c r="K18" i="21" s="1"/>
  <c r="Q18" i="21" s="1"/>
  <c r="M17" i="21"/>
  <c r="K17" i="21" s="1"/>
  <c r="Q17" i="21" s="1"/>
  <c r="M16" i="21"/>
  <c r="M15" i="21"/>
  <c r="K15" i="21" s="1"/>
  <c r="Q15" i="21" s="1"/>
  <c r="M14" i="21"/>
  <c r="K14" i="21" s="1"/>
  <c r="Q14" i="21" s="1"/>
  <c r="M13" i="21"/>
  <c r="K13" i="21" s="1"/>
  <c r="Q13" i="21" s="1"/>
  <c r="M12" i="21"/>
  <c r="M11" i="21"/>
  <c r="K11" i="21" s="1"/>
  <c r="Q11" i="21" s="1"/>
  <c r="M10" i="21"/>
  <c r="K10" i="21" s="1"/>
  <c r="Q10" i="21" s="1"/>
  <c r="M9" i="21"/>
  <c r="K9" i="21" s="1"/>
  <c r="Q9" i="21" s="1"/>
  <c r="M8" i="21"/>
  <c r="M7" i="21"/>
  <c r="K7" i="21" s="1"/>
  <c r="Q7" i="21" s="1"/>
  <c r="M6" i="21"/>
  <c r="K6" i="21" s="1"/>
  <c r="Q6" i="21" s="1"/>
  <c r="A20" i="2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225" i="21" s="1"/>
  <c r="A226" i="21" s="1"/>
  <c r="A227" i="21" s="1"/>
  <c r="A228" i="21" s="1"/>
  <c r="A229" i="21" s="1"/>
  <c r="A230" i="21" s="1"/>
  <c r="A231" i="21" s="1"/>
  <c r="A232" i="21" s="1"/>
  <c r="A233" i="21" s="1"/>
  <c r="A234" i="21" s="1"/>
  <c r="A235" i="21" s="1"/>
  <c r="A236" i="21" s="1"/>
  <c r="A237" i="21" s="1"/>
  <c r="A238" i="21" s="1"/>
  <c r="A239" i="21" s="1"/>
  <c r="A240" i="21" s="1"/>
  <c r="A241" i="21" s="1"/>
  <c r="A242" i="21" s="1"/>
  <c r="A243" i="21" s="1"/>
  <c r="A244" i="21" s="1"/>
  <c r="A245" i="21" s="1"/>
  <c r="A246" i="21" s="1"/>
  <c r="A247" i="21" s="1"/>
  <c r="A248" i="21" s="1"/>
  <c r="A249" i="21" s="1"/>
  <c r="A250" i="21" s="1"/>
  <c r="A251" i="21" s="1"/>
  <c r="A252" i="21" s="1"/>
  <c r="A253" i="21" s="1"/>
  <c r="A254" i="21" s="1"/>
  <c r="A255" i="21" s="1"/>
  <c r="A256" i="21" s="1"/>
  <c r="A257" i="21" s="1"/>
  <c r="A258" i="21" s="1"/>
  <c r="A259" i="21" s="1"/>
  <c r="A260" i="21" s="1"/>
  <c r="A261" i="21" s="1"/>
  <c r="A262" i="21" s="1"/>
  <c r="A263" i="21" s="1"/>
  <c r="A264" i="21" s="1"/>
  <c r="A265" i="21" s="1"/>
  <c r="A266" i="21" s="1"/>
  <c r="A267" i="21" s="1"/>
  <c r="A268" i="21" s="1"/>
  <c r="A269" i="21" s="1"/>
  <c r="A270" i="21" s="1"/>
  <c r="A271" i="21" s="1"/>
  <c r="A272" i="21" s="1"/>
  <c r="A273" i="21" s="1"/>
  <c r="A274" i="21" s="1"/>
  <c r="A275" i="21" s="1"/>
  <c r="A276" i="21" s="1"/>
  <c r="A277" i="21" s="1"/>
  <c r="A278" i="21" s="1"/>
  <c r="A279" i="21" s="1"/>
  <c r="A280" i="21" s="1"/>
  <c r="A281" i="21" s="1"/>
  <c r="A282" i="21" s="1"/>
  <c r="A283" i="21" s="1"/>
  <c r="A284" i="21" s="1"/>
  <c r="A285" i="21" s="1"/>
  <c r="A286" i="21" s="1"/>
  <c r="A287" i="21" s="1"/>
  <c r="A288" i="21" s="1"/>
  <c r="A289" i="21" s="1"/>
  <c r="A290" i="21" s="1"/>
  <c r="A291" i="21" s="1"/>
  <c r="A292" i="21" s="1"/>
  <c r="A293" i="21" s="1"/>
  <c r="A294" i="21" s="1"/>
  <c r="A295" i="21" s="1"/>
  <c r="A296" i="21" s="1"/>
  <c r="A297" i="21" s="1"/>
  <c r="A298" i="21" s="1"/>
  <c r="A299" i="21" s="1"/>
  <c r="A300" i="21" s="1"/>
  <c r="A301" i="21" s="1"/>
  <c r="A302" i="21" s="1"/>
  <c r="A303" i="21" s="1"/>
  <c r="A304" i="21" s="1"/>
  <c r="A305" i="21" s="1"/>
  <c r="A306" i="21" s="1"/>
  <c r="A307" i="21" s="1"/>
  <c r="A308" i="21" s="1"/>
  <c r="A309" i="21" s="1"/>
  <c r="A310" i="21" s="1"/>
  <c r="A311" i="21" s="1"/>
  <c r="A312" i="21" s="1"/>
  <c r="A313" i="21" s="1"/>
  <c r="A314" i="21" s="1"/>
  <c r="A315" i="21" s="1"/>
  <c r="A316" i="21" s="1"/>
  <c r="A317" i="21" s="1"/>
  <c r="A318" i="21" s="1"/>
  <c r="A319" i="21" s="1"/>
  <c r="A320" i="21" s="1"/>
  <c r="A321" i="21" s="1"/>
  <c r="A322" i="21" s="1"/>
  <c r="A323" i="21" s="1"/>
  <c r="A324" i="21" s="1"/>
  <c r="A325" i="21" s="1"/>
  <c r="A326" i="21" s="1"/>
  <c r="A327" i="21" s="1"/>
  <c r="A328" i="21" s="1"/>
  <c r="A329" i="21" s="1"/>
  <c r="A330" i="21" s="1"/>
  <c r="A331" i="21" s="1"/>
  <c r="A332" i="21" s="1"/>
  <c r="A333" i="21" s="1"/>
  <c r="A334" i="21" s="1"/>
  <c r="A335" i="21" s="1"/>
  <c r="A336" i="21" s="1"/>
  <c r="A337" i="21" s="1"/>
  <c r="A338" i="21" s="1"/>
  <c r="A339" i="21" s="1"/>
  <c r="A340" i="21" s="1"/>
  <c r="A341" i="21" s="1"/>
  <c r="A342" i="21" s="1"/>
  <c r="A343" i="21" s="1"/>
  <c r="A344" i="21" s="1"/>
  <c r="A345" i="21" s="1"/>
  <c r="A346" i="21" s="1"/>
  <c r="A347" i="21" s="1"/>
  <c r="A348" i="21" s="1"/>
  <c r="A349" i="21" s="1"/>
  <c r="A350" i="21" s="1"/>
  <c r="A351" i="21" s="1"/>
  <c r="A352" i="21" s="1"/>
  <c r="A353" i="21" s="1"/>
  <c r="A354" i="21" s="1"/>
  <c r="A355" i="21" s="1"/>
  <c r="A356" i="21" s="1"/>
  <c r="A357" i="21" s="1"/>
  <c r="A358" i="21" s="1"/>
  <c r="A359" i="21" s="1"/>
  <c r="A360" i="21" s="1"/>
  <c r="A361" i="21" s="1"/>
  <c r="A362" i="21" s="1"/>
  <c r="A363" i="21" s="1"/>
  <c r="A364" i="21" s="1"/>
  <c r="A365" i="21" s="1"/>
  <c r="A366" i="21" s="1"/>
  <c r="A367" i="21" s="1"/>
  <c r="A368" i="21" s="1"/>
  <c r="A369" i="21" s="1"/>
  <c r="A370" i="21" s="1"/>
  <c r="A371" i="21" s="1"/>
  <c r="A372" i="21" s="1"/>
  <c r="A373" i="21" s="1"/>
  <c r="A374" i="21" s="1"/>
  <c r="A375" i="21" s="1"/>
  <c r="A376" i="21" s="1"/>
  <c r="A377" i="21" s="1"/>
  <c r="A378" i="21" s="1"/>
  <c r="A379" i="21" s="1"/>
  <c r="A380" i="21" s="1"/>
  <c r="A381" i="21" s="1"/>
  <c r="A382" i="21" s="1"/>
  <c r="A383" i="21" s="1"/>
  <c r="A384" i="21" s="1"/>
  <c r="A385" i="21" s="1"/>
  <c r="A386" i="21" s="1"/>
  <c r="A387" i="21" s="1"/>
  <c r="A388" i="21" s="1"/>
  <c r="A389" i="21" s="1"/>
  <c r="A390" i="21" s="1"/>
  <c r="A391" i="21" s="1"/>
  <c r="A392" i="21" s="1"/>
  <c r="A393" i="21" s="1"/>
  <c r="A394" i="21" s="1"/>
  <c r="A395" i="21" s="1"/>
  <c r="A396" i="21" s="1"/>
  <c r="A397" i="21" s="1"/>
  <c r="A398" i="21" s="1"/>
  <c r="A399" i="21" s="1"/>
  <c r="A400" i="21" s="1"/>
  <c r="A401" i="21" s="1"/>
  <c r="A402" i="21" s="1"/>
  <c r="A403" i="21" s="1"/>
  <c r="A404" i="21" s="1"/>
  <c r="A405" i="21" s="1"/>
  <c r="A406" i="21" s="1"/>
  <c r="A407" i="21" s="1"/>
  <c r="A408" i="21" s="1"/>
  <c r="A409" i="21" s="1"/>
  <c r="A410" i="21" s="1"/>
  <c r="A411" i="21" s="1"/>
  <c r="A412" i="21" s="1"/>
  <c r="A413" i="21" s="1"/>
  <c r="A414" i="21" s="1"/>
  <c r="A415" i="21" s="1"/>
  <c r="A416" i="21" s="1"/>
  <c r="A417" i="21" s="1"/>
  <c r="A418" i="21" s="1"/>
  <c r="A419" i="21" s="1"/>
  <c r="A420" i="21" s="1"/>
  <c r="A421" i="21" s="1"/>
  <c r="A422" i="21" s="1"/>
  <c r="A423" i="21" s="1"/>
  <c r="A424" i="21" s="1"/>
  <c r="A425" i="21" s="1"/>
  <c r="A426" i="21" s="1"/>
  <c r="A427" i="21" s="1"/>
  <c r="A428" i="21" s="1"/>
  <c r="A429" i="21" s="1"/>
  <c r="A430" i="21" s="1"/>
  <c r="A431" i="21" s="1"/>
  <c r="A432" i="21" s="1"/>
  <c r="A433" i="21" s="1"/>
  <c r="A434" i="21" s="1"/>
  <c r="A435" i="21" s="1"/>
  <c r="A436" i="21" s="1"/>
  <c r="A437" i="21" s="1"/>
  <c r="A438" i="21" s="1"/>
  <c r="A439" i="21" s="1"/>
  <c r="A440" i="21" s="1"/>
  <c r="A441" i="21" s="1"/>
  <c r="A442" i="21" s="1"/>
  <c r="A443" i="21" s="1"/>
  <c r="A444" i="21" s="1"/>
  <c r="A445" i="21" s="1"/>
  <c r="A446" i="21" s="1"/>
  <c r="A447" i="21" s="1"/>
  <c r="A448" i="21" s="1"/>
  <c r="A449" i="21" s="1"/>
  <c r="A450" i="21" s="1"/>
  <c r="A451" i="21" s="1"/>
  <c r="A452" i="21" s="1"/>
  <c r="A453" i="21" s="1"/>
  <c r="A454" i="21" s="1"/>
  <c r="A455" i="21" s="1"/>
  <c r="A456" i="21" s="1"/>
  <c r="A457" i="21" s="1"/>
  <c r="A458" i="21" s="1"/>
  <c r="A459" i="21" s="1"/>
  <c r="A460" i="21" s="1"/>
  <c r="A461" i="21" s="1"/>
  <c r="A462" i="21" s="1"/>
  <c r="A463" i="21" s="1"/>
  <c r="A464" i="21" s="1"/>
  <c r="A465" i="21" s="1"/>
  <c r="A466" i="21" s="1"/>
  <c r="A467" i="21" s="1"/>
  <c r="A468" i="21" s="1"/>
  <c r="A469" i="21" s="1"/>
  <c r="A470" i="21" s="1"/>
  <c r="A471" i="21" s="1"/>
  <c r="A472" i="21" s="1"/>
  <c r="A473" i="21" s="1"/>
  <c r="A474" i="21" s="1"/>
  <c r="A475" i="21" s="1"/>
  <c r="A476" i="21" s="1"/>
  <c r="A477" i="21" s="1"/>
  <c r="A478" i="21" s="1"/>
  <c r="A479" i="21" s="1"/>
  <c r="A480" i="21" s="1"/>
  <c r="A481" i="21" s="1"/>
  <c r="A482" i="21" s="1"/>
  <c r="A483" i="21" s="1"/>
  <c r="A484" i="21" s="1"/>
  <c r="A485" i="21" s="1"/>
  <c r="A486" i="21" s="1"/>
  <c r="A487" i="21" s="1"/>
  <c r="A488" i="21" s="1"/>
  <c r="A489" i="21" s="1"/>
  <c r="A490" i="21" s="1"/>
  <c r="A491" i="21" s="1"/>
  <c r="A492" i="21" s="1"/>
  <c r="A493" i="21" s="1"/>
  <c r="A494" i="21" s="1"/>
  <c r="A495" i="21" s="1"/>
  <c r="A496" i="21" s="1"/>
  <c r="A497" i="21" s="1"/>
  <c r="A498" i="21" s="1"/>
  <c r="A499" i="21" s="1"/>
  <c r="A500" i="21" s="1"/>
  <c r="A501" i="21" s="1"/>
  <c r="A502" i="21" s="1"/>
  <c r="A503" i="21" s="1"/>
  <c r="A504" i="21" s="1"/>
  <c r="A505" i="21" s="1"/>
  <c r="A506" i="21" s="1"/>
  <c r="A507" i="21" s="1"/>
  <c r="A508" i="21" s="1"/>
  <c r="A509" i="21" s="1"/>
  <c r="A510" i="21" s="1"/>
  <c r="A511" i="21" s="1"/>
  <c r="A512" i="21" s="1"/>
  <c r="A513" i="21" s="1"/>
  <c r="A514" i="21" s="1"/>
  <c r="A515" i="21" s="1"/>
  <c r="A516" i="21" s="1"/>
  <c r="A517" i="21" s="1"/>
  <c r="A518" i="21" s="1"/>
  <c r="A519" i="21" s="1"/>
  <c r="A520" i="21" s="1"/>
  <c r="A521" i="21" s="1"/>
  <c r="A522" i="21" s="1"/>
  <c r="A523" i="21" s="1"/>
  <c r="A524" i="21" s="1"/>
  <c r="A525" i="21" s="1"/>
  <c r="A526" i="21" s="1"/>
  <c r="A527" i="21" s="1"/>
  <c r="A528" i="21" s="1"/>
  <c r="A529" i="21" s="1"/>
  <c r="A530" i="21" s="1"/>
  <c r="A531" i="21" s="1"/>
  <c r="A532" i="21" s="1"/>
  <c r="A533" i="21" s="1"/>
  <c r="A534" i="21" s="1"/>
  <c r="A535" i="21" s="1"/>
  <c r="A536" i="21" s="1"/>
  <c r="A537" i="21" s="1"/>
  <c r="A538" i="21" s="1"/>
  <c r="A539" i="21" s="1"/>
  <c r="A540" i="21" s="1"/>
  <c r="A541" i="21" s="1"/>
  <c r="A542" i="21" s="1"/>
  <c r="A543" i="21" s="1"/>
  <c r="A544" i="21" s="1"/>
  <c r="A545" i="21" s="1"/>
  <c r="A546" i="21" s="1"/>
  <c r="A547" i="21" s="1"/>
  <c r="A548" i="21" s="1"/>
  <c r="A549" i="21" s="1"/>
  <c r="A550" i="21" s="1"/>
  <c r="A551" i="21" s="1"/>
  <c r="A552" i="21" s="1"/>
  <c r="A553" i="21" s="1"/>
  <c r="A554" i="21" s="1"/>
  <c r="A555" i="21" s="1"/>
  <c r="A556" i="21" s="1"/>
  <c r="A557" i="21" s="1"/>
  <c r="A558" i="21" s="1"/>
  <c r="A559" i="21" s="1"/>
  <c r="A560" i="21" s="1"/>
  <c r="A561" i="21" s="1"/>
  <c r="A562" i="21" s="1"/>
  <c r="A563" i="21" s="1"/>
  <c r="A564" i="21" s="1"/>
  <c r="A565" i="21" s="1"/>
  <c r="A566" i="21" s="1"/>
  <c r="A567" i="21" s="1"/>
  <c r="A568" i="21" s="1"/>
  <c r="A569" i="21" s="1"/>
  <c r="A570" i="21" s="1"/>
  <c r="A571" i="21" s="1"/>
  <c r="A572" i="21" s="1"/>
  <c r="A573" i="21" s="1"/>
  <c r="A574" i="21" s="1"/>
  <c r="A575" i="21" s="1"/>
  <c r="A576" i="21" s="1"/>
  <c r="A577" i="21" s="1"/>
  <c r="A578" i="21" s="1"/>
  <c r="A579" i="21" s="1"/>
  <c r="A580" i="21" s="1"/>
  <c r="A581" i="21" s="1"/>
  <c r="A582" i="21" s="1"/>
  <c r="A583" i="21" s="1"/>
  <c r="A584" i="21" s="1"/>
  <c r="A585" i="21" s="1"/>
  <c r="A586" i="21" s="1"/>
  <c r="A587" i="21" s="1"/>
  <c r="A588" i="21" s="1"/>
  <c r="A589" i="21" s="1"/>
  <c r="A590" i="21" s="1"/>
  <c r="A591" i="21" s="1"/>
  <c r="A592" i="21" s="1"/>
  <c r="A593" i="21" s="1"/>
  <c r="A594" i="21" s="1"/>
  <c r="A595" i="21" s="1"/>
  <c r="A596" i="21" s="1"/>
  <c r="A597" i="21" s="1"/>
  <c r="A598" i="21" s="1"/>
  <c r="A599" i="21" s="1"/>
  <c r="A600" i="21" s="1"/>
  <c r="A601" i="21" s="1"/>
  <c r="A602" i="21" s="1"/>
  <c r="A603" i="21" s="1"/>
  <c r="A604" i="21" s="1"/>
  <c r="A605" i="21" s="1"/>
  <c r="A606" i="21" s="1"/>
  <c r="A607" i="21" s="1"/>
  <c r="A608" i="21" s="1"/>
  <c r="A609" i="21" s="1"/>
  <c r="A610" i="21" s="1"/>
  <c r="A611" i="21" s="1"/>
  <c r="A612" i="21" s="1"/>
  <c r="A613" i="21" s="1"/>
  <c r="A614" i="21" s="1"/>
  <c r="A615" i="21" s="1"/>
  <c r="A616" i="21" s="1"/>
  <c r="A617" i="21" s="1"/>
  <c r="A618" i="21" s="1"/>
  <c r="A619" i="21" s="1"/>
  <c r="A620" i="21" s="1"/>
  <c r="A621" i="21" s="1"/>
  <c r="A622" i="21" s="1"/>
  <c r="A623" i="21" s="1"/>
  <c r="A624" i="21" s="1"/>
  <c r="A625" i="21" s="1"/>
  <c r="A626" i="21" s="1"/>
  <c r="A627" i="21" s="1"/>
  <c r="A628" i="21" s="1"/>
  <c r="A629" i="21" s="1"/>
  <c r="A630" i="21" s="1"/>
  <c r="A631" i="21" s="1"/>
  <c r="A632" i="21" s="1"/>
  <c r="A633" i="21" s="1"/>
  <c r="A634" i="21" s="1"/>
  <c r="A635" i="21" s="1"/>
  <c r="A636" i="21" s="1"/>
  <c r="A637" i="21" s="1"/>
  <c r="A638" i="21" s="1"/>
  <c r="A639" i="21" s="1"/>
  <c r="A640" i="21" s="1"/>
  <c r="A641" i="21" s="1"/>
  <c r="A642" i="21" s="1"/>
  <c r="A643" i="21" s="1"/>
  <c r="A644" i="21" s="1"/>
  <c r="A645" i="21" s="1"/>
  <c r="A646" i="21" s="1"/>
  <c r="A647" i="21" s="1"/>
  <c r="A648" i="21" s="1"/>
  <c r="A649" i="21" s="1"/>
  <c r="A650" i="21" s="1"/>
  <c r="A651" i="21" s="1"/>
  <c r="A652" i="21" s="1"/>
  <c r="A653" i="21" s="1"/>
  <c r="A654" i="21" s="1"/>
  <c r="A655" i="21" s="1"/>
  <c r="A656" i="21" s="1"/>
  <c r="A657" i="21" s="1"/>
  <c r="A658" i="21" s="1"/>
  <c r="A659" i="21" s="1"/>
  <c r="A660" i="21" s="1"/>
  <c r="A661" i="21" s="1"/>
  <c r="A662" i="21" s="1"/>
  <c r="A663" i="21" s="1"/>
  <c r="A664" i="21" s="1"/>
  <c r="A665" i="21" s="1"/>
  <c r="A666" i="21" s="1"/>
  <c r="A667" i="21" s="1"/>
  <c r="A668" i="21" s="1"/>
  <c r="A669" i="21" s="1"/>
  <c r="A670" i="21" s="1"/>
  <c r="A671" i="21" s="1"/>
  <c r="A672" i="21" s="1"/>
  <c r="A673" i="21" s="1"/>
  <c r="A674" i="21" s="1"/>
  <c r="A675" i="21" s="1"/>
  <c r="A676" i="21" s="1"/>
  <c r="A677" i="21" s="1"/>
  <c r="A678" i="21" s="1"/>
  <c r="A679" i="21" s="1"/>
  <c r="A680" i="21" s="1"/>
  <c r="A681" i="21" s="1"/>
  <c r="A682" i="21" s="1"/>
  <c r="A683" i="21" s="1"/>
  <c r="A684" i="21" s="1"/>
  <c r="A685" i="21" s="1"/>
  <c r="A686" i="21" s="1"/>
  <c r="A687" i="21" s="1"/>
  <c r="A688" i="21" s="1"/>
  <c r="A689" i="21" s="1"/>
  <c r="A690" i="21" s="1"/>
  <c r="A691" i="21" s="1"/>
  <c r="A692" i="21" s="1"/>
  <c r="A693" i="21" s="1"/>
  <c r="A694" i="21" s="1"/>
  <c r="A695" i="21" s="1"/>
  <c r="A696" i="21" s="1"/>
  <c r="A697" i="21" s="1"/>
  <c r="A698" i="21" s="1"/>
  <c r="A699" i="21" s="1"/>
  <c r="A700" i="21" s="1"/>
  <c r="A701" i="21" s="1"/>
  <c r="A702" i="21" s="1"/>
  <c r="A703" i="21" s="1"/>
  <c r="A704" i="21" s="1"/>
  <c r="A705" i="21" s="1"/>
  <c r="A706" i="21" s="1"/>
  <c r="A707" i="21" s="1"/>
  <c r="A708" i="21" s="1"/>
  <c r="A709" i="21" s="1"/>
  <c r="A710" i="21" s="1"/>
  <c r="A711" i="21" s="1"/>
  <c r="A712" i="21" s="1"/>
  <c r="A713" i="21" s="1"/>
  <c r="A714" i="21" s="1"/>
  <c r="A715" i="21" s="1"/>
  <c r="A716" i="21" s="1"/>
  <c r="A717" i="21" s="1"/>
  <c r="A718" i="21" s="1"/>
  <c r="A719" i="21" s="1"/>
  <c r="A720" i="21" s="1"/>
  <c r="A721" i="21" s="1"/>
  <c r="A722" i="21" s="1"/>
  <c r="A723" i="21" s="1"/>
  <c r="A724" i="21" s="1"/>
  <c r="A725" i="21" s="1"/>
  <c r="A726" i="21" s="1"/>
  <c r="A727" i="21" s="1"/>
  <c r="A728" i="21" s="1"/>
  <c r="A729" i="21" s="1"/>
  <c r="A730" i="21" s="1"/>
  <c r="A731" i="21" s="1"/>
  <c r="A732" i="21" s="1"/>
  <c r="A733" i="21" s="1"/>
  <c r="A734" i="21" s="1"/>
  <c r="A735" i="21" s="1"/>
  <c r="A736" i="21" s="1"/>
  <c r="A737" i="21" s="1"/>
  <c r="A738" i="21" s="1"/>
  <c r="A739" i="21" s="1"/>
  <c r="A740" i="21" s="1"/>
  <c r="A741" i="21" s="1"/>
  <c r="A742" i="21" s="1"/>
  <c r="A743" i="21" s="1"/>
  <c r="A744" i="21" s="1"/>
  <c r="A745" i="21" s="1"/>
  <c r="A746" i="21" s="1"/>
  <c r="A747" i="21" s="1"/>
  <c r="A748" i="21" s="1"/>
  <c r="A749" i="21" s="1"/>
  <c r="A750" i="21" s="1"/>
  <c r="A751" i="21" s="1"/>
  <c r="A752" i="21" s="1"/>
  <c r="A753" i="21" s="1"/>
  <c r="A754" i="21" s="1"/>
  <c r="A755" i="21" s="1"/>
  <c r="A756" i="21" s="1"/>
  <c r="A757" i="21" s="1"/>
  <c r="A758" i="21" s="1"/>
  <c r="A759" i="21" s="1"/>
  <c r="A760" i="21" s="1"/>
  <c r="A761" i="21" s="1"/>
  <c r="A762" i="21" s="1"/>
  <c r="A763" i="21" s="1"/>
  <c r="A764" i="21" s="1"/>
  <c r="A765" i="21" s="1"/>
  <c r="A766" i="21" s="1"/>
  <c r="A767" i="21" s="1"/>
  <c r="A768" i="21" s="1"/>
  <c r="A769" i="21" s="1"/>
  <c r="A770" i="21" s="1"/>
  <c r="A771" i="21" s="1"/>
  <c r="A772" i="21" s="1"/>
  <c r="A773" i="21" s="1"/>
  <c r="A774" i="21" s="1"/>
  <c r="A775" i="21" s="1"/>
  <c r="A776" i="21" s="1"/>
  <c r="A777" i="21" s="1"/>
  <c r="A778" i="21" s="1"/>
  <c r="A779" i="21" s="1"/>
  <c r="A780" i="21" s="1"/>
  <c r="A781" i="21" s="1"/>
  <c r="A782" i="21" s="1"/>
  <c r="A783" i="21" s="1"/>
  <c r="A784" i="21" s="1"/>
  <c r="A785" i="21" s="1"/>
  <c r="A786" i="21" s="1"/>
  <c r="A787" i="21" s="1"/>
  <c r="A788" i="21" s="1"/>
  <c r="A789" i="21" s="1"/>
  <c r="A790" i="21" s="1"/>
  <c r="A791" i="21" s="1"/>
  <c r="A792" i="21" s="1"/>
  <c r="A793" i="21" s="1"/>
  <c r="A794" i="21" s="1"/>
  <c r="A795" i="21" s="1"/>
  <c r="A796" i="21" s="1"/>
  <c r="A797" i="21" s="1"/>
  <c r="A798" i="21" s="1"/>
  <c r="A799" i="21" s="1"/>
  <c r="A800" i="21" s="1"/>
  <c r="A801" i="21" s="1"/>
  <c r="A802" i="21" s="1"/>
  <c r="A803" i="21" s="1"/>
  <c r="A804" i="21" s="1"/>
  <c r="A805" i="21" s="1"/>
  <c r="A806" i="21" s="1"/>
  <c r="A807" i="21" s="1"/>
  <c r="A808" i="21" s="1"/>
  <c r="A809" i="21" s="1"/>
  <c r="A810" i="21" s="1"/>
  <c r="A811" i="21" s="1"/>
  <c r="A812" i="21" s="1"/>
  <c r="A813" i="21" s="1"/>
  <c r="A814" i="21" s="1"/>
  <c r="A815" i="21" s="1"/>
  <c r="A816" i="21" s="1"/>
  <c r="A817" i="21" s="1"/>
  <c r="A818" i="21" s="1"/>
  <c r="A819" i="21" s="1"/>
  <c r="A820" i="21" s="1"/>
  <c r="A821" i="21" s="1"/>
  <c r="A822" i="21" s="1"/>
  <c r="A823" i="21" s="1"/>
  <c r="A824" i="21" s="1"/>
  <c r="A825" i="21" s="1"/>
  <c r="A826" i="21" s="1"/>
  <c r="A827" i="21" s="1"/>
  <c r="A828" i="21" s="1"/>
  <c r="A829" i="21" s="1"/>
  <c r="A830" i="21" s="1"/>
  <c r="A831" i="21" s="1"/>
  <c r="A832" i="21" s="1"/>
  <c r="A833" i="21" s="1"/>
  <c r="A834" i="21" s="1"/>
  <c r="A835" i="21" s="1"/>
  <c r="A836" i="21" s="1"/>
  <c r="A837" i="21" s="1"/>
  <c r="A838" i="21" s="1"/>
  <c r="A839" i="21" s="1"/>
  <c r="A840" i="21" s="1"/>
  <c r="A841" i="21" s="1"/>
  <c r="A842" i="21" s="1"/>
  <c r="A843" i="21" s="1"/>
  <c r="A844" i="21" s="1"/>
  <c r="A845" i="21" s="1"/>
  <c r="A846" i="21" s="1"/>
  <c r="A847" i="21" s="1"/>
  <c r="A848" i="21" s="1"/>
  <c r="A849" i="21" s="1"/>
  <c r="A850" i="21" s="1"/>
  <c r="A851" i="21" s="1"/>
  <c r="A852" i="21" s="1"/>
  <c r="A853" i="21" s="1"/>
  <c r="A854" i="21" s="1"/>
  <c r="A855" i="21" s="1"/>
  <c r="A856" i="21" s="1"/>
  <c r="A857" i="21" s="1"/>
  <c r="A858" i="21" s="1"/>
  <c r="A859" i="21" s="1"/>
  <c r="A860" i="21" s="1"/>
  <c r="A861" i="21" s="1"/>
  <c r="A862" i="21" s="1"/>
  <c r="A863" i="21" s="1"/>
  <c r="A864" i="21" s="1"/>
  <c r="A865" i="21" s="1"/>
  <c r="A866" i="21" s="1"/>
  <c r="A867" i="21" s="1"/>
  <c r="A868" i="21" s="1"/>
  <c r="A869" i="21" s="1"/>
  <c r="A870" i="21" s="1"/>
  <c r="A871" i="21" s="1"/>
  <c r="A872" i="21" s="1"/>
  <c r="A873" i="21" s="1"/>
  <c r="A874" i="21" s="1"/>
  <c r="A875" i="21" s="1"/>
  <c r="A876" i="21" s="1"/>
  <c r="A877" i="21" s="1"/>
  <c r="A878" i="21" s="1"/>
  <c r="A879" i="21" s="1"/>
  <c r="A880" i="21" s="1"/>
  <c r="A881" i="21" s="1"/>
  <c r="A882" i="21" s="1"/>
  <c r="A883" i="21" s="1"/>
  <c r="A884" i="21" s="1"/>
  <c r="A885" i="21" s="1"/>
  <c r="A886" i="21" s="1"/>
  <c r="A887" i="21" s="1"/>
  <c r="A888" i="21" s="1"/>
  <c r="A889" i="21" s="1"/>
  <c r="A890" i="21" s="1"/>
  <c r="A891" i="21" s="1"/>
  <c r="A892" i="21" s="1"/>
  <c r="A893" i="21" s="1"/>
  <c r="A894" i="21" s="1"/>
  <c r="A895" i="21" s="1"/>
  <c r="A896" i="21" s="1"/>
  <c r="A897" i="21" s="1"/>
  <c r="A898" i="21" s="1"/>
  <c r="A899" i="21" s="1"/>
  <c r="A900" i="21" s="1"/>
  <c r="A901" i="21" s="1"/>
  <c r="A902" i="21" s="1"/>
  <c r="A903" i="21" s="1"/>
  <c r="A904" i="21" s="1"/>
  <c r="A905" i="21" s="1"/>
  <c r="A906" i="21" s="1"/>
  <c r="A907" i="21" s="1"/>
  <c r="A908" i="21" s="1"/>
  <c r="A909" i="21" s="1"/>
  <c r="A910" i="21" s="1"/>
  <c r="A911" i="21" s="1"/>
  <c r="A912" i="21" s="1"/>
  <c r="A913" i="21" s="1"/>
  <c r="A914" i="21" s="1"/>
  <c r="A915" i="21" s="1"/>
  <c r="A916" i="21" s="1"/>
  <c r="A917" i="21" s="1"/>
  <c r="A918" i="21" s="1"/>
  <c r="A919" i="21" s="1"/>
  <c r="A920" i="21" s="1"/>
  <c r="A921" i="21" s="1"/>
  <c r="A922" i="21" s="1"/>
  <c r="A923" i="21" s="1"/>
  <c r="A924" i="21" s="1"/>
  <c r="A925" i="21" s="1"/>
  <c r="A926" i="21" s="1"/>
  <c r="A927" i="21" s="1"/>
  <c r="A928" i="21" s="1"/>
  <c r="A929" i="21" s="1"/>
  <c r="A930" i="21" s="1"/>
  <c r="A931" i="21" s="1"/>
  <c r="A932" i="21" s="1"/>
  <c r="A933" i="21" s="1"/>
  <c r="A934" i="21" s="1"/>
  <c r="A935" i="21" s="1"/>
  <c r="A936" i="21" s="1"/>
  <c r="A937" i="21" s="1"/>
  <c r="A938" i="21" s="1"/>
  <c r="A939" i="21" s="1"/>
  <c r="A940" i="21" s="1"/>
  <c r="A941" i="21" s="1"/>
  <c r="A942" i="21" s="1"/>
  <c r="A943" i="21" s="1"/>
  <c r="A944" i="21" s="1"/>
  <c r="A945" i="21" s="1"/>
  <c r="A946" i="21" s="1"/>
  <c r="A947" i="21" s="1"/>
  <c r="A948" i="21" s="1"/>
  <c r="A949" i="21" s="1"/>
  <c r="A950" i="21" s="1"/>
  <c r="A951" i="21" s="1"/>
  <c r="A952" i="21" s="1"/>
  <c r="A953" i="21" s="1"/>
  <c r="A954" i="21" s="1"/>
  <c r="A955" i="21" s="1"/>
  <c r="A956" i="21" s="1"/>
  <c r="A957" i="21" s="1"/>
  <c r="A958" i="21" s="1"/>
  <c r="A959" i="21" s="1"/>
  <c r="A960" i="21" s="1"/>
  <c r="A961" i="21" s="1"/>
  <c r="A962" i="21" s="1"/>
  <c r="A963" i="21" s="1"/>
  <c r="A964" i="21" s="1"/>
  <c r="A965" i="21" s="1"/>
  <c r="A966" i="21" s="1"/>
  <c r="A967" i="21" s="1"/>
  <c r="A968" i="21" s="1"/>
  <c r="A969" i="21" s="1"/>
  <c r="A970" i="21" s="1"/>
  <c r="A971" i="21" s="1"/>
  <c r="A972" i="21" s="1"/>
  <c r="A973" i="21" s="1"/>
  <c r="A974" i="21" s="1"/>
  <c r="A975" i="21" s="1"/>
  <c r="A976" i="21" s="1"/>
  <c r="A977" i="21" s="1"/>
  <c r="A978" i="21" s="1"/>
  <c r="A979" i="21" s="1"/>
  <c r="A980" i="21" s="1"/>
  <c r="A981" i="21" s="1"/>
  <c r="A982" i="21" s="1"/>
  <c r="A983" i="21" s="1"/>
  <c r="A984" i="21" s="1"/>
  <c r="A985" i="21" s="1"/>
  <c r="A986" i="21" s="1"/>
  <c r="A987" i="21" s="1"/>
  <c r="A988" i="21" s="1"/>
  <c r="A989" i="21" s="1"/>
  <c r="A990" i="21" s="1"/>
  <c r="A991" i="21" s="1"/>
  <c r="A992" i="21" s="1"/>
  <c r="A993" i="21" s="1"/>
  <c r="A994" i="21" s="1"/>
  <c r="A995" i="21" s="1"/>
  <c r="A996" i="21" s="1"/>
  <c r="A997" i="21" s="1"/>
  <c r="A998" i="21" s="1"/>
  <c r="A999" i="21" s="1"/>
  <c r="A1000" i="21" s="1"/>
  <c r="A1001" i="21" s="1"/>
  <c r="A1002" i="21" s="1"/>
  <c r="A1003" i="21" s="1"/>
  <c r="A1004" i="21" s="1"/>
  <c r="A1005" i="21" s="1"/>
  <c r="A1006" i="21" s="1"/>
  <c r="A1007" i="21" s="1"/>
  <c r="A1008" i="21" s="1"/>
  <c r="A1009" i="21" s="1"/>
  <c r="A1010" i="21" s="1"/>
  <c r="A1011" i="21" s="1"/>
  <c r="A1012" i="21" s="1"/>
  <c r="A1013" i="21" s="1"/>
  <c r="A1014" i="21" s="1"/>
  <c r="A1015" i="21" s="1"/>
  <c r="A1016" i="21" s="1"/>
  <c r="A1017" i="21" s="1"/>
  <c r="A1018" i="21" s="1"/>
  <c r="A1019" i="21" s="1"/>
  <c r="A1020" i="21" s="1"/>
  <c r="A1021" i="21" s="1"/>
  <c r="A1022" i="21" s="1"/>
  <c r="A1023" i="21" s="1"/>
  <c r="A1024" i="21" s="1"/>
  <c r="A1025" i="21" s="1"/>
  <c r="A1026" i="21" s="1"/>
  <c r="A1027" i="21" s="1"/>
  <c r="A1028" i="21" s="1"/>
  <c r="A1029" i="21" s="1"/>
  <c r="A1030" i="21" s="1"/>
  <c r="A1031" i="21" s="1"/>
  <c r="A1032" i="21" s="1"/>
  <c r="A1033" i="21" s="1"/>
  <c r="A1034" i="21" s="1"/>
  <c r="A1035" i="21" s="1"/>
  <c r="A1036" i="21" s="1"/>
  <c r="A1037" i="21" s="1"/>
  <c r="A1038" i="21" s="1"/>
  <c r="A1039" i="21" s="1"/>
  <c r="A1040" i="21" s="1"/>
  <c r="A1041" i="21" s="1"/>
  <c r="A1042" i="21" s="1"/>
  <c r="A1043" i="21" s="1"/>
  <c r="A1044" i="21" s="1"/>
  <c r="A1045" i="21" s="1"/>
  <c r="A1046" i="21" s="1"/>
  <c r="A1047" i="21" s="1"/>
  <c r="A1048" i="21" s="1"/>
  <c r="A1049" i="21" s="1"/>
  <c r="A1050" i="21" s="1"/>
  <c r="A1051" i="21" s="1"/>
  <c r="A1052" i="21" s="1"/>
  <c r="A1053" i="21" s="1"/>
  <c r="A1054" i="21" s="1"/>
  <c r="A1055" i="21" s="1"/>
  <c r="A1056" i="21" s="1"/>
  <c r="A1057" i="21" s="1"/>
  <c r="A1058" i="21" s="1"/>
  <c r="A1059" i="21" s="1"/>
  <c r="A1060" i="21" s="1"/>
  <c r="A1061" i="21" s="1"/>
  <c r="A1062" i="21" s="1"/>
  <c r="A1063" i="21" s="1"/>
  <c r="A1064" i="21" s="1"/>
  <c r="A1065" i="21" s="1"/>
  <c r="A1066" i="21" s="1"/>
  <c r="A1067" i="21" s="1"/>
  <c r="A1068" i="21" s="1"/>
  <c r="A1069" i="21" s="1"/>
  <c r="A1070" i="21" s="1"/>
  <c r="A1071" i="21" s="1"/>
  <c r="A1072" i="21" s="1"/>
  <c r="A1073" i="21" s="1"/>
  <c r="A1074" i="21" s="1"/>
  <c r="A1075" i="21" s="1"/>
  <c r="A1076" i="21" s="1"/>
  <c r="A1077" i="21" s="1"/>
  <c r="A1078" i="21" s="1"/>
  <c r="A1079" i="21" s="1"/>
  <c r="A1080" i="21" s="1"/>
  <c r="A1081" i="21" s="1"/>
  <c r="A1082" i="21" s="1"/>
  <c r="A1083" i="21" s="1"/>
  <c r="A1084" i="21" s="1"/>
  <c r="A1085" i="21" s="1"/>
  <c r="A1086" i="21" s="1"/>
  <c r="A1087" i="21" s="1"/>
  <c r="A1088" i="21" s="1"/>
  <c r="A1089" i="21" s="1"/>
  <c r="A1090" i="21" s="1"/>
  <c r="A1091" i="21" s="1"/>
  <c r="A1092" i="21" s="1"/>
  <c r="A1093" i="21" s="1"/>
  <c r="A1094" i="21" s="1"/>
  <c r="A1095" i="21" s="1"/>
  <c r="A1096" i="21" s="1"/>
  <c r="A1097" i="21" s="1"/>
  <c r="A1098" i="21" s="1"/>
  <c r="A1099" i="21" s="1"/>
  <c r="A1100" i="21" s="1"/>
  <c r="A1101" i="21" s="1"/>
  <c r="A1102" i="21" s="1"/>
  <c r="A1103" i="21" s="1"/>
  <c r="A1104" i="21" s="1"/>
  <c r="A1105" i="21" s="1"/>
  <c r="A1106" i="21" s="1"/>
  <c r="A1107" i="21" s="1"/>
  <c r="A1108" i="21" s="1"/>
  <c r="A1109" i="21" s="1"/>
  <c r="A1110" i="21" s="1"/>
  <c r="A1111" i="21" s="1"/>
  <c r="A1112" i="21" s="1"/>
  <c r="A1113" i="21" s="1"/>
  <c r="A1114" i="21" s="1"/>
  <c r="A1115" i="21" s="1"/>
  <c r="A1116" i="21" s="1"/>
  <c r="A1117" i="21" s="1"/>
  <c r="A1118" i="21" s="1"/>
  <c r="A1119" i="21" s="1"/>
  <c r="A1120" i="21" s="1"/>
  <c r="A1121" i="21" s="1"/>
  <c r="A1122" i="21" s="1"/>
  <c r="A1123" i="21" s="1"/>
  <c r="A1124" i="21" s="1"/>
  <c r="A1125" i="21" s="1"/>
  <c r="A1126" i="21" s="1"/>
  <c r="A1127" i="21" s="1"/>
  <c r="A1128" i="21" s="1"/>
  <c r="A1129" i="21" s="1"/>
  <c r="A1130" i="21" s="1"/>
  <c r="A1131" i="21" s="1"/>
  <c r="A1132" i="21" s="1"/>
  <c r="A1133" i="21" s="1"/>
  <c r="A1134" i="21" s="1"/>
  <c r="A1135" i="21" s="1"/>
  <c r="A1136" i="21" s="1"/>
  <c r="A1137" i="21" s="1"/>
  <c r="A1138" i="21" s="1"/>
  <c r="A1139" i="21" s="1"/>
  <c r="A1140" i="21" s="1"/>
  <c r="A1141" i="21" s="1"/>
  <c r="A1142" i="21" s="1"/>
  <c r="A1143" i="21" s="1"/>
  <c r="A1144" i="21" s="1"/>
  <c r="A1145" i="21" s="1"/>
  <c r="A1146" i="21" s="1"/>
  <c r="A1147" i="21" s="1"/>
  <c r="A1148" i="21" s="1"/>
  <c r="A1149" i="21" s="1"/>
  <c r="A1150" i="21" s="1"/>
  <c r="A1151" i="21" s="1"/>
  <c r="A1152" i="21" s="1"/>
  <c r="A1153" i="21" s="1"/>
  <c r="A1154" i="21" s="1"/>
  <c r="A1155" i="21" s="1"/>
  <c r="A1156" i="21" s="1"/>
  <c r="A1157" i="21" s="1"/>
  <c r="A1158" i="21" s="1"/>
  <c r="A1159" i="21" s="1"/>
  <c r="A1160" i="21" s="1"/>
  <c r="A1161" i="21" s="1"/>
  <c r="A1162" i="21" s="1"/>
  <c r="A1163" i="21" s="1"/>
  <c r="A1164" i="21" s="1"/>
  <c r="A1165" i="21" s="1"/>
  <c r="A1166" i="21" s="1"/>
  <c r="A1167" i="21" s="1"/>
  <c r="A1168" i="21" s="1"/>
  <c r="A1169" i="21" s="1"/>
  <c r="A1170" i="21" s="1"/>
  <c r="A1171" i="21" s="1"/>
  <c r="A1172" i="21" s="1"/>
  <c r="A1173" i="21" s="1"/>
  <c r="A1174" i="21" s="1"/>
  <c r="A1175" i="21" s="1"/>
  <c r="A1176" i="21" s="1"/>
  <c r="A1177" i="21" s="1"/>
  <c r="A1178" i="21" s="1"/>
  <c r="A1179" i="21" s="1"/>
  <c r="A1180" i="21" s="1"/>
  <c r="A1181" i="21" s="1"/>
  <c r="A1182" i="21" s="1"/>
  <c r="A1183" i="21" s="1"/>
  <c r="A1184" i="21" s="1"/>
  <c r="A1185" i="21" s="1"/>
  <c r="A1186" i="21" s="1"/>
  <c r="A1187" i="21" s="1"/>
  <c r="A1188" i="21" s="1"/>
  <c r="A1189" i="21" s="1"/>
  <c r="A1190" i="21" s="1"/>
  <c r="A1191" i="21" s="1"/>
  <c r="A1192" i="21" s="1"/>
  <c r="A1193" i="21" s="1"/>
  <c r="A1194" i="21" s="1"/>
  <c r="A1195" i="21" s="1"/>
  <c r="A1196" i="21" s="1"/>
  <c r="A1197" i="21" s="1"/>
  <c r="A1198" i="21" s="1"/>
  <c r="A1199" i="21" s="1"/>
  <c r="A1200" i="21" s="1"/>
  <c r="A1201" i="21" s="1"/>
  <c r="A1202" i="21" s="1"/>
  <c r="A1203" i="21" s="1"/>
  <c r="A1204" i="21" s="1"/>
  <c r="A1205" i="21" s="1"/>
  <c r="A1206" i="21" s="1"/>
  <c r="A1207" i="21" s="1"/>
  <c r="A1208" i="21" s="1"/>
  <c r="A1209" i="21" s="1"/>
  <c r="A1210" i="21" s="1"/>
  <c r="A1211" i="21" s="1"/>
  <c r="A1212" i="21" s="1"/>
  <c r="A1213" i="21" s="1"/>
  <c r="A1214" i="21" s="1"/>
  <c r="A1215" i="21" s="1"/>
  <c r="A1216" i="21" s="1"/>
  <c r="A1217" i="21" s="1"/>
  <c r="A1218" i="21" s="1"/>
  <c r="A1219" i="21" s="1"/>
  <c r="A1220" i="21" s="1"/>
  <c r="A1221" i="21" s="1"/>
  <c r="A1222" i="21" s="1"/>
  <c r="A1223" i="21" s="1"/>
  <c r="A1224" i="21" s="1"/>
  <c r="A1225" i="21" s="1"/>
  <c r="A1226" i="21" s="1"/>
  <c r="A1227" i="21" s="1"/>
  <c r="A1228" i="21" s="1"/>
  <c r="A1229" i="21" s="1"/>
  <c r="A1230" i="21" s="1"/>
  <c r="A1231" i="21" s="1"/>
  <c r="A1232" i="21" s="1"/>
  <c r="A1233" i="21" s="1"/>
  <c r="A1234" i="21" s="1"/>
  <c r="A1235" i="21" s="1"/>
  <c r="A1236" i="21" s="1"/>
  <c r="A1237" i="21" s="1"/>
  <c r="A1238" i="21" s="1"/>
  <c r="A1239" i="21" s="1"/>
  <c r="A1240" i="21" s="1"/>
  <c r="A1241" i="21" s="1"/>
  <c r="A1242" i="21" s="1"/>
  <c r="A1243" i="21" s="1"/>
  <c r="A1244" i="21" s="1"/>
  <c r="A1245" i="21" s="1"/>
  <c r="A1246" i="21" s="1"/>
  <c r="A1247" i="21" s="1"/>
  <c r="A1248" i="21" s="1"/>
  <c r="A1249" i="21" s="1"/>
  <c r="A1250" i="21" s="1"/>
  <c r="A1251" i="21" s="1"/>
  <c r="A1252" i="21" s="1"/>
  <c r="A1253" i="21" s="1"/>
  <c r="A1254" i="21" s="1"/>
  <c r="A1255" i="21" s="1"/>
  <c r="A1256" i="21" s="1"/>
  <c r="A1257" i="21" s="1"/>
  <c r="A1258" i="21" s="1"/>
  <c r="A1259" i="21" s="1"/>
  <c r="A1260" i="21" s="1"/>
  <c r="A1261" i="21" s="1"/>
  <c r="A1262" i="21" s="1"/>
  <c r="A1263" i="21" s="1"/>
  <c r="A1264" i="21" s="1"/>
  <c r="A1265" i="21" s="1"/>
  <c r="A1266" i="21" s="1"/>
  <c r="A1267" i="21" s="1"/>
  <c r="A1268" i="21" s="1"/>
  <c r="A1269" i="21" s="1"/>
  <c r="A1270" i="21" s="1"/>
  <c r="A1271" i="21" s="1"/>
  <c r="A1272" i="21" s="1"/>
  <c r="A1273" i="21" s="1"/>
  <c r="A1274" i="21" s="1"/>
  <c r="A1275" i="21" s="1"/>
  <c r="A1276" i="21" s="1"/>
  <c r="A1277" i="21" s="1"/>
  <c r="A1278" i="21" s="1"/>
  <c r="A1279" i="21" s="1"/>
  <c r="A1280" i="21" s="1"/>
  <c r="A1281" i="21" s="1"/>
  <c r="A1282" i="21" s="1"/>
  <c r="A1283" i="21" s="1"/>
  <c r="A1284" i="21" s="1"/>
  <c r="A1285" i="21" s="1"/>
  <c r="A1286" i="21" s="1"/>
  <c r="A1287" i="21" s="1"/>
  <c r="A1288" i="21" s="1"/>
  <c r="A1289" i="21" s="1"/>
  <c r="A1290" i="21" s="1"/>
  <c r="A1291" i="21" s="1"/>
  <c r="A1292" i="21" s="1"/>
  <c r="A1293" i="21" s="1"/>
  <c r="A1294" i="21" s="1"/>
  <c r="A1295" i="21" s="1"/>
  <c r="A1296" i="21" s="1"/>
  <c r="A1297" i="21" s="1"/>
  <c r="A1298" i="21" s="1"/>
  <c r="A1299" i="21" s="1"/>
  <c r="A1300" i="21" s="1"/>
  <c r="A1301" i="21" s="1"/>
  <c r="A1302" i="21" s="1"/>
  <c r="A1303" i="21" s="1"/>
  <c r="A1304" i="21" s="1"/>
  <c r="A1305" i="21" s="1"/>
  <c r="A1306" i="21" s="1"/>
  <c r="A1307" i="21" s="1"/>
  <c r="A1308" i="21" s="1"/>
  <c r="A1309" i="21" s="1"/>
  <c r="A1310" i="21" s="1"/>
  <c r="A1311" i="21" s="1"/>
  <c r="A1312" i="21" s="1"/>
  <c r="A1313" i="21" s="1"/>
  <c r="A1314" i="21" s="1"/>
  <c r="A1315" i="21" s="1"/>
  <c r="A1316" i="21" s="1"/>
  <c r="A1317" i="21" s="1"/>
  <c r="A1318" i="21" s="1"/>
  <c r="A1319" i="21" s="1"/>
  <c r="A1320" i="21" s="1"/>
  <c r="A1321" i="21" s="1"/>
  <c r="A1322" i="21" s="1"/>
  <c r="A1323" i="21" s="1"/>
  <c r="A1324" i="21" s="1"/>
  <c r="A1325" i="21" s="1"/>
  <c r="A1326" i="21" s="1"/>
  <c r="A1327" i="21" s="1"/>
  <c r="A1328" i="21" s="1"/>
  <c r="A1329" i="21" s="1"/>
  <c r="A1330" i="21" s="1"/>
  <c r="A1331" i="21" s="1"/>
  <c r="A1332" i="21" s="1"/>
  <c r="A1333" i="21" s="1"/>
  <c r="A1334" i="21" s="1"/>
  <c r="A1335" i="21" s="1"/>
  <c r="A1336" i="21" s="1"/>
  <c r="A1337" i="21" s="1"/>
  <c r="A1338" i="21" s="1"/>
  <c r="A1339" i="21" s="1"/>
  <c r="A1340" i="21" s="1"/>
  <c r="A1341" i="21" s="1"/>
  <c r="A1342" i="21" s="1"/>
  <c r="A1343" i="21" s="1"/>
  <c r="A1344" i="21" s="1"/>
  <c r="A1345" i="21" s="1"/>
  <c r="A1346" i="21" s="1"/>
  <c r="A1347" i="21" s="1"/>
  <c r="A1348" i="21" s="1"/>
  <c r="A1349" i="21" s="1"/>
  <c r="A1350" i="21" s="1"/>
  <c r="A1351" i="21" s="1"/>
  <c r="A1352" i="21" s="1"/>
  <c r="A1353" i="21" s="1"/>
  <c r="A1354" i="21" s="1"/>
  <c r="A1355" i="21" s="1"/>
  <c r="A1356" i="21" s="1"/>
  <c r="A1357" i="21" s="1"/>
  <c r="A1358" i="21" s="1"/>
  <c r="A1359" i="21" s="1"/>
  <c r="A1360" i="21" s="1"/>
  <c r="A1361" i="21" s="1"/>
  <c r="A1362" i="21" s="1"/>
  <c r="A1363" i="21" s="1"/>
  <c r="A1364" i="21" s="1"/>
  <c r="A1365" i="21" s="1"/>
  <c r="A1366" i="21" s="1"/>
  <c r="A1367" i="21" s="1"/>
  <c r="A1368" i="21" s="1"/>
  <c r="A1369" i="21" s="1"/>
  <c r="A1370" i="21" s="1"/>
  <c r="A1371" i="21" s="1"/>
  <c r="A1372" i="21" s="1"/>
  <c r="A1373" i="21" s="1"/>
  <c r="A1374" i="21" s="1"/>
  <c r="A1375" i="21" s="1"/>
  <c r="A1376" i="21" s="1"/>
  <c r="A1377" i="21" s="1"/>
  <c r="A1378" i="21" s="1"/>
  <c r="A1379" i="21" s="1"/>
  <c r="A1380" i="21" s="1"/>
  <c r="A1381" i="21" s="1"/>
  <c r="A1382" i="21" s="1"/>
  <c r="A1383" i="21" s="1"/>
  <c r="A1384" i="21" s="1"/>
  <c r="A1385" i="21" s="1"/>
  <c r="A1386" i="21" s="1"/>
  <c r="A1387" i="21" s="1"/>
  <c r="A1388" i="21" s="1"/>
  <c r="A1389" i="21" s="1"/>
  <c r="A1390" i="21" s="1"/>
  <c r="A1391" i="21" s="1"/>
  <c r="A1392" i="21" s="1"/>
  <c r="A1393" i="21" s="1"/>
  <c r="A1394" i="21" s="1"/>
  <c r="A1395" i="21" s="1"/>
  <c r="A1396" i="21" s="1"/>
  <c r="A1397" i="21" s="1"/>
  <c r="A1398" i="21" s="1"/>
  <c r="A1399" i="21" s="1"/>
  <c r="A1400" i="21" s="1"/>
  <c r="A1401" i="21" s="1"/>
  <c r="A1402" i="21" s="1"/>
  <c r="A1403" i="21" s="1"/>
  <c r="A1404" i="21" s="1"/>
  <c r="A1405" i="21" s="1"/>
  <c r="A1406" i="21" s="1"/>
  <c r="A1407" i="21" s="1"/>
  <c r="A1408" i="21" s="1"/>
  <c r="A1409" i="21" s="1"/>
  <c r="A1410" i="21" s="1"/>
  <c r="A1411" i="21" s="1"/>
  <c r="A1412" i="21" s="1"/>
  <c r="A1413" i="21" s="1"/>
  <c r="A1414" i="21" s="1"/>
  <c r="A1415" i="21" s="1"/>
  <c r="A1416" i="21" s="1"/>
  <c r="A1417" i="21" s="1"/>
  <c r="A1418" i="21" s="1"/>
  <c r="A1419" i="21" s="1"/>
  <c r="A1420" i="21" s="1"/>
  <c r="A1421" i="21" s="1"/>
  <c r="A1422" i="21" s="1"/>
  <c r="A1423" i="21" s="1"/>
  <c r="A1424" i="21" s="1"/>
  <c r="A1425" i="21" s="1"/>
  <c r="A1426" i="21" s="1"/>
  <c r="A1427" i="21" s="1"/>
  <c r="A1428" i="21" s="1"/>
  <c r="A1429" i="21" s="1"/>
  <c r="A1430" i="21" s="1"/>
  <c r="A1431" i="21" s="1"/>
  <c r="A1432" i="21" s="1"/>
  <c r="A1433" i="21" s="1"/>
  <c r="A1434" i="21" s="1"/>
  <c r="A1435" i="21" s="1"/>
  <c r="A1436" i="21" s="1"/>
  <c r="A1437" i="21" s="1"/>
  <c r="A1438" i="21" s="1"/>
  <c r="A1439" i="21" s="1"/>
  <c r="A1440" i="21" s="1"/>
  <c r="A1441" i="21" s="1"/>
  <c r="A1442" i="21" s="1"/>
  <c r="A1443" i="21" s="1"/>
  <c r="A1444" i="21" s="1"/>
  <c r="A1445" i="21" s="1"/>
  <c r="A1446" i="21" s="1"/>
  <c r="A1447" i="21" s="1"/>
  <c r="A1448" i="21" s="1"/>
  <c r="A1449" i="21" s="1"/>
  <c r="A1450" i="21" s="1"/>
  <c r="A1451" i="21" s="1"/>
  <c r="A1452" i="21" s="1"/>
  <c r="A1453" i="21" s="1"/>
  <c r="A1454" i="21" s="1"/>
  <c r="A1455" i="21" s="1"/>
  <c r="A1456" i="21" s="1"/>
  <c r="A1457" i="21" s="1"/>
  <c r="A1458" i="21" s="1"/>
  <c r="A1459" i="21" s="1"/>
  <c r="A1460" i="21" s="1"/>
  <c r="A1461" i="21" s="1"/>
  <c r="A1462" i="21" s="1"/>
  <c r="A1463" i="21" s="1"/>
  <c r="A1464" i="21" s="1"/>
  <c r="A1465" i="21" s="1"/>
  <c r="A1466" i="21" s="1"/>
  <c r="A1467" i="21" s="1"/>
  <c r="A1468" i="21" s="1"/>
  <c r="A1469" i="21" s="1"/>
  <c r="A1470" i="21" s="1"/>
  <c r="A1471" i="21" s="1"/>
  <c r="A1472" i="21" s="1"/>
  <c r="A1473" i="21" s="1"/>
  <c r="A1474" i="21" s="1"/>
  <c r="A1475" i="21" s="1"/>
  <c r="A1476" i="21" s="1"/>
  <c r="A1477" i="21" s="1"/>
  <c r="A1478" i="21" s="1"/>
  <c r="A1479" i="21" s="1"/>
  <c r="A1480" i="21" s="1"/>
  <c r="A1481" i="21" s="1"/>
  <c r="A1482" i="21" s="1"/>
  <c r="A1483" i="21" s="1"/>
  <c r="A1484" i="21" s="1"/>
  <c r="A1485" i="21" s="1"/>
  <c r="A1486" i="21" s="1"/>
  <c r="A1487" i="21" s="1"/>
  <c r="A1488" i="21" s="1"/>
  <c r="A1489" i="21" s="1"/>
  <c r="A1490" i="21" s="1"/>
  <c r="A1491" i="21" s="1"/>
  <c r="A1492" i="21" s="1"/>
  <c r="A1493" i="21" s="1"/>
  <c r="A1494" i="21" s="1"/>
  <c r="A1495" i="21" s="1"/>
  <c r="A1496" i="21" s="1"/>
  <c r="A1497" i="21" s="1"/>
  <c r="A1498" i="21" s="1"/>
  <c r="A1499" i="21" s="1"/>
  <c r="A1500" i="21" s="1"/>
  <c r="A1501" i="21" s="1"/>
  <c r="A1502" i="21" s="1"/>
  <c r="A1503" i="21" s="1"/>
  <c r="A1504" i="21" s="1"/>
  <c r="A1505" i="21" s="1"/>
  <c r="A1506" i="21" s="1"/>
  <c r="A1507" i="21" s="1"/>
  <c r="A1508" i="21" s="1"/>
  <c r="A1509" i="21" s="1"/>
  <c r="A1510" i="21" s="1"/>
  <c r="A1511" i="21" s="1"/>
  <c r="A1512" i="21" s="1"/>
  <c r="A1513" i="21" s="1"/>
  <c r="A1514" i="21" s="1"/>
  <c r="A1515" i="21" s="1"/>
  <c r="A1516" i="21" s="1"/>
  <c r="A1517" i="21" s="1"/>
  <c r="A1518" i="21" s="1"/>
  <c r="A1519" i="21" s="1"/>
  <c r="A1520" i="21" s="1"/>
  <c r="A1521" i="21" s="1"/>
  <c r="A1522" i="21" s="1"/>
  <c r="A1523" i="21" s="1"/>
  <c r="A1524" i="21" s="1"/>
  <c r="A1525" i="21" s="1"/>
  <c r="A1526" i="21" s="1"/>
  <c r="A1527" i="21" s="1"/>
  <c r="A1528" i="21" s="1"/>
  <c r="A1529" i="21" s="1"/>
  <c r="A1530" i="21" s="1"/>
  <c r="A1531" i="21" s="1"/>
  <c r="A1532" i="21" s="1"/>
  <c r="A1533" i="21" s="1"/>
  <c r="A1534" i="21" s="1"/>
  <c r="A1535" i="21" s="1"/>
  <c r="A1536" i="21" s="1"/>
  <c r="A1537" i="21" s="1"/>
  <c r="A1538" i="21" s="1"/>
  <c r="A1539" i="21" s="1"/>
  <c r="A1540" i="21" s="1"/>
  <c r="A1541" i="21" s="1"/>
  <c r="A1542" i="21" s="1"/>
  <c r="A1543" i="21" s="1"/>
  <c r="A1544" i="21" s="1"/>
  <c r="A1545" i="21" s="1"/>
  <c r="A1546" i="21" s="1"/>
  <c r="A1547" i="21" s="1"/>
  <c r="A1548" i="21" s="1"/>
  <c r="A1549" i="21" s="1"/>
  <c r="A1550" i="21" s="1"/>
  <c r="A1551" i="21" s="1"/>
  <c r="A1552" i="21" s="1"/>
  <c r="A1553" i="21" s="1"/>
  <c r="A1554" i="21" s="1"/>
  <c r="A1555" i="21" s="1"/>
  <c r="A1556" i="21" s="1"/>
  <c r="A1557" i="21" s="1"/>
  <c r="A1558" i="21" s="1"/>
  <c r="A1559" i="21" s="1"/>
  <c r="A1560" i="21" s="1"/>
  <c r="A1561" i="21" s="1"/>
  <c r="A1562" i="21" s="1"/>
  <c r="A1563" i="21" s="1"/>
  <c r="A1564" i="21" s="1"/>
  <c r="A1565" i="21" s="1"/>
  <c r="A1566" i="21" s="1"/>
  <c r="A1567" i="21" s="1"/>
  <c r="A1568" i="21" s="1"/>
  <c r="A1569" i="21" s="1"/>
  <c r="A1570" i="21" s="1"/>
  <c r="A1571" i="21" s="1"/>
  <c r="A1572" i="21" s="1"/>
  <c r="A1573" i="21" s="1"/>
  <c r="A1574" i="21" s="1"/>
  <c r="A1575" i="21" s="1"/>
  <c r="A1576" i="21" s="1"/>
  <c r="A1577" i="21" s="1"/>
  <c r="A1578" i="21" s="1"/>
  <c r="A1579" i="21" s="1"/>
  <c r="A1580" i="21" s="1"/>
  <c r="A1581" i="21" s="1"/>
  <c r="A1582" i="21" s="1"/>
  <c r="A1583" i="21" s="1"/>
  <c r="A1584" i="21" s="1"/>
  <c r="A1585" i="21" s="1"/>
  <c r="A1586" i="21" s="1"/>
  <c r="A1587" i="21" s="1"/>
  <c r="A1588" i="21" s="1"/>
  <c r="A1589" i="21" s="1"/>
  <c r="A1590" i="21" s="1"/>
  <c r="A1591" i="21" s="1"/>
  <c r="A1592" i="21" s="1"/>
  <c r="A1593" i="21" s="1"/>
  <c r="A1594" i="21" s="1"/>
  <c r="A1595" i="21" s="1"/>
  <c r="A1596" i="21" s="1"/>
  <c r="A1597" i="21" s="1"/>
  <c r="A1598" i="21" s="1"/>
  <c r="A1599" i="21" s="1"/>
  <c r="A1600" i="21" s="1"/>
  <c r="A1601" i="21" s="1"/>
  <c r="A1602" i="21" s="1"/>
  <c r="A1603" i="21" s="1"/>
  <c r="A1604" i="21" s="1"/>
  <c r="A1605" i="21" s="1"/>
  <c r="A1606" i="21" s="1"/>
  <c r="A1607" i="21" s="1"/>
  <c r="A1608" i="21" s="1"/>
  <c r="A1609" i="21" s="1"/>
  <c r="A1610" i="21" s="1"/>
  <c r="A1611" i="21" s="1"/>
  <c r="A1612" i="21" s="1"/>
  <c r="A1613" i="21" s="1"/>
  <c r="A1614" i="21" s="1"/>
  <c r="A1615" i="21" s="1"/>
  <c r="A1616" i="21" s="1"/>
  <c r="A1617" i="21" s="1"/>
  <c r="A1618" i="21" s="1"/>
  <c r="A1619" i="21" s="1"/>
  <c r="A1620" i="21" s="1"/>
  <c r="A1621" i="21" s="1"/>
  <c r="A1622" i="21" s="1"/>
  <c r="A1623" i="21" s="1"/>
  <c r="A1624" i="21" s="1"/>
  <c r="A1625" i="21" s="1"/>
  <c r="A1626" i="21" s="1"/>
  <c r="A1627" i="21" s="1"/>
  <c r="A1628" i="21" s="1"/>
  <c r="A1629" i="21" s="1"/>
  <c r="A1630" i="21" s="1"/>
  <c r="A1631" i="21" s="1"/>
  <c r="A1632" i="21" s="1"/>
  <c r="A1633" i="21" s="1"/>
  <c r="A1634" i="21" s="1"/>
  <c r="A1635" i="21" s="1"/>
  <c r="A1636" i="21" s="1"/>
  <c r="A1637" i="21" s="1"/>
  <c r="A1638" i="21" s="1"/>
  <c r="A1639" i="21" s="1"/>
  <c r="A1640" i="21" s="1"/>
  <c r="A1641" i="21" s="1"/>
  <c r="A1642" i="21" s="1"/>
  <c r="A1643" i="21" s="1"/>
  <c r="A1644" i="21" s="1"/>
  <c r="A1645" i="21" s="1"/>
  <c r="A1646" i="21" s="1"/>
  <c r="A1647" i="21" s="1"/>
  <c r="A1648" i="21" s="1"/>
  <c r="A1649" i="21" s="1"/>
  <c r="A1650" i="21" s="1"/>
  <c r="A1651" i="21" s="1"/>
  <c r="A1652" i="21" s="1"/>
  <c r="A1653" i="21" s="1"/>
  <c r="A1654" i="21" s="1"/>
  <c r="A1655" i="21" s="1"/>
  <c r="A1656" i="21" s="1"/>
  <c r="A1657" i="21" s="1"/>
  <c r="A1658" i="21" s="1"/>
  <c r="A1659" i="21" s="1"/>
  <c r="A1660" i="21" s="1"/>
  <c r="A1661" i="21" s="1"/>
  <c r="A1662" i="21" s="1"/>
  <c r="A1663" i="21" s="1"/>
  <c r="A1664" i="21" s="1"/>
  <c r="A1665" i="21" s="1"/>
  <c r="A1666" i="21" s="1"/>
  <c r="A1667" i="21" s="1"/>
  <c r="A1668" i="21" s="1"/>
  <c r="A1669" i="21" s="1"/>
  <c r="A1670" i="21" s="1"/>
  <c r="A1671" i="21" s="1"/>
  <c r="A1672" i="21" s="1"/>
  <c r="A1673" i="21" s="1"/>
  <c r="A1674" i="21" s="1"/>
  <c r="A1675" i="21" s="1"/>
  <c r="A1676" i="21" s="1"/>
  <c r="A1677" i="21" s="1"/>
  <c r="A1678" i="21" s="1"/>
  <c r="A1679" i="21" s="1"/>
  <c r="A1680" i="21" s="1"/>
  <c r="A1681" i="21" s="1"/>
  <c r="A1682" i="21" s="1"/>
  <c r="A1683" i="21" s="1"/>
  <c r="A1684" i="21" s="1"/>
  <c r="A1685" i="21" s="1"/>
  <c r="A1686" i="21" s="1"/>
  <c r="A1687" i="21" s="1"/>
  <c r="A1688" i="21" s="1"/>
  <c r="A1689" i="21" s="1"/>
  <c r="A1690" i="21" s="1"/>
  <c r="A1691" i="21" s="1"/>
  <c r="A1692" i="21" s="1"/>
  <c r="A1693" i="21" s="1"/>
  <c r="A1694" i="21" s="1"/>
  <c r="A1695" i="21" s="1"/>
  <c r="A1696" i="21" s="1"/>
  <c r="A1697" i="21" s="1"/>
  <c r="A1698" i="21" s="1"/>
  <c r="A1699" i="21" s="1"/>
  <c r="A1700" i="21" s="1"/>
  <c r="A1701" i="21" s="1"/>
  <c r="A1702" i="21" s="1"/>
  <c r="A1703" i="21" s="1"/>
  <c r="A1704" i="21" s="1"/>
  <c r="A1705" i="21" s="1"/>
  <c r="A1706" i="21" s="1"/>
  <c r="A1707" i="21" s="1"/>
  <c r="A1708" i="21" s="1"/>
  <c r="A1709" i="21" s="1"/>
  <c r="A1710" i="21" s="1"/>
  <c r="A1711" i="21" s="1"/>
  <c r="A1712" i="21" s="1"/>
  <c r="A1713" i="21" s="1"/>
  <c r="A1714" i="21" s="1"/>
  <c r="A1715" i="21" s="1"/>
  <c r="A1716" i="21" s="1"/>
  <c r="A1717" i="21" s="1"/>
  <c r="A1718" i="21" s="1"/>
  <c r="A1719" i="21" s="1"/>
  <c r="A1720" i="21" s="1"/>
  <c r="A1721" i="21" s="1"/>
  <c r="A1722" i="21" s="1"/>
  <c r="A1723" i="21" s="1"/>
  <c r="A1724" i="21" s="1"/>
  <c r="A1725" i="21" s="1"/>
  <c r="A1726" i="21" s="1"/>
  <c r="A1727" i="21" s="1"/>
  <c r="A1728" i="21" s="1"/>
  <c r="A1729" i="21" s="1"/>
  <c r="A1730" i="21" s="1"/>
  <c r="A1731" i="21" s="1"/>
  <c r="A1732" i="21" s="1"/>
  <c r="A1733" i="21" s="1"/>
  <c r="A1734" i="21" s="1"/>
  <c r="A1735" i="21" s="1"/>
  <c r="A1736" i="21" s="1"/>
  <c r="A1737" i="21" s="1"/>
  <c r="A1738" i="21" s="1"/>
  <c r="A1739" i="21" s="1"/>
  <c r="A1740" i="21" s="1"/>
  <c r="A1741" i="21" s="1"/>
  <c r="A1742" i="21" s="1"/>
  <c r="A1743" i="21" s="1"/>
  <c r="A1744" i="21" s="1"/>
  <c r="A1745" i="21" s="1"/>
  <c r="A1746" i="21" s="1"/>
  <c r="A1747" i="21" s="1"/>
  <c r="A1748" i="21" s="1"/>
  <c r="A1749" i="21" s="1"/>
  <c r="A1750" i="21" s="1"/>
  <c r="A1751" i="21" s="1"/>
  <c r="A1752" i="21" s="1"/>
  <c r="A1753" i="21" s="1"/>
  <c r="A1754" i="21" s="1"/>
  <c r="A1755" i="21" s="1"/>
  <c r="A1756" i="21" s="1"/>
  <c r="A1757" i="21" s="1"/>
  <c r="A1758" i="21" s="1"/>
  <c r="A1759" i="21" s="1"/>
  <c r="A1760" i="21" s="1"/>
  <c r="A1761" i="21" s="1"/>
  <c r="A1762" i="21" s="1"/>
  <c r="A1763" i="21" s="1"/>
  <c r="A1764" i="21" s="1"/>
  <c r="A1765" i="21" s="1"/>
  <c r="A1766" i="21" s="1"/>
  <c r="A1767" i="21" s="1"/>
  <c r="A1768" i="21" s="1"/>
  <c r="A1769" i="21" s="1"/>
  <c r="A1770" i="21" s="1"/>
  <c r="A1771" i="21" s="1"/>
  <c r="A1772" i="21" s="1"/>
  <c r="A1773" i="21" s="1"/>
  <c r="A1774" i="21" s="1"/>
  <c r="A1775" i="21" s="1"/>
  <c r="A1776" i="21" s="1"/>
  <c r="A1777" i="21" s="1"/>
  <c r="A1778" i="21" s="1"/>
  <c r="A1779" i="21" s="1"/>
  <c r="A1780" i="21" s="1"/>
  <c r="A1781" i="21" s="1"/>
  <c r="A1782" i="21" s="1"/>
  <c r="A1783" i="21" s="1"/>
  <c r="A1784" i="21" s="1"/>
  <c r="A1785" i="21" s="1"/>
  <c r="A1786" i="21" s="1"/>
  <c r="A1787" i="21" s="1"/>
  <c r="A1788" i="21" s="1"/>
  <c r="A1789" i="21" s="1"/>
  <c r="A1790" i="21" s="1"/>
  <c r="A1791" i="21" s="1"/>
  <c r="A1792" i="21" s="1"/>
  <c r="A1793" i="21" s="1"/>
  <c r="A1794" i="21" s="1"/>
  <c r="A1795" i="21" s="1"/>
  <c r="A1796" i="21" s="1"/>
  <c r="A1797" i="21" s="1"/>
  <c r="A1798" i="21" s="1"/>
  <c r="A1799" i="21" s="1"/>
  <c r="A1800" i="21" s="1"/>
  <c r="A1801" i="21" s="1"/>
  <c r="A1802" i="21" s="1"/>
  <c r="A1803" i="21" s="1"/>
  <c r="A1804" i="21" s="1"/>
  <c r="A1805" i="21" s="1"/>
  <c r="A1806" i="21" s="1"/>
  <c r="A1807" i="21" s="1"/>
  <c r="A1808" i="21" s="1"/>
  <c r="A1809" i="21" s="1"/>
  <c r="A1810" i="21" s="1"/>
  <c r="A1811" i="21" s="1"/>
  <c r="A1812" i="21" s="1"/>
  <c r="A1813" i="21" s="1"/>
  <c r="A1814" i="21" s="1"/>
  <c r="A1815" i="21" s="1"/>
  <c r="A1816" i="21" s="1"/>
  <c r="A1817" i="21" s="1"/>
  <c r="A1818" i="21" s="1"/>
  <c r="A1819" i="21" s="1"/>
  <c r="A1820" i="21" s="1"/>
  <c r="A1821" i="21" s="1"/>
  <c r="A1822" i="21" s="1"/>
  <c r="A1823" i="21" s="1"/>
  <c r="A1824" i="21" s="1"/>
  <c r="A1825" i="21" s="1"/>
  <c r="A1826" i="21" s="1"/>
  <c r="A1827" i="21" s="1"/>
  <c r="A1828" i="21" s="1"/>
  <c r="A1829" i="21" s="1"/>
  <c r="A1830" i="21" s="1"/>
  <c r="A1831" i="21" s="1"/>
  <c r="A1832" i="21" s="1"/>
  <c r="A1833" i="21" s="1"/>
  <c r="A1834" i="21" s="1"/>
  <c r="A1835" i="21" s="1"/>
  <c r="A1836" i="21" s="1"/>
  <c r="A1837" i="21" s="1"/>
  <c r="A1838" i="21" s="1"/>
  <c r="A1839" i="21" s="1"/>
  <c r="A1840" i="21" s="1"/>
  <c r="A1841" i="21" s="1"/>
  <c r="A1842" i="21" s="1"/>
  <c r="A1843" i="21" s="1"/>
  <c r="A1844" i="21" s="1"/>
  <c r="A1845" i="21" s="1"/>
  <c r="A1846" i="21" s="1"/>
  <c r="A1847" i="21" s="1"/>
  <c r="A1848" i="21" s="1"/>
  <c r="A1849" i="21" s="1"/>
  <c r="A1850" i="21" s="1"/>
  <c r="A1851" i="21" s="1"/>
  <c r="A1852" i="21" s="1"/>
  <c r="A1853" i="21" s="1"/>
  <c r="A1854" i="21" s="1"/>
  <c r="A1855" i="21" s="1"/>
  <c r="A1856" i="21" s="1"/>
  <c r="A1857" i="21" s="1"/>
  <c r="A1858" i="21" s="1"/>
  <c r="A1859" i="21" s="1"/>
  <c r="A1860" i="21" s="1"/>
  <c r="A1861" i="21" s="1"/>
  <c r="A1862" i="21" s="1"/>
  <c r="A1863" i="21" s="1"/>
  <c r="A1864" i="21" s="1"/>
  <c r="A1865" i="21" s="1"/>
  <c r="A1866" i="21" s="1"/>
  <c r="A1867" i="21" s="1"/>
  <c r="A1868" i="21" s="1"/>
  <c r="A1869" i="21" s="1"/>
  <c r="A1870" i="21" s="1"/>
  <c r="A1871" i="21" s="1"/>
  <c r="A1872" i="21" s="1"/>
  <c r="A1873" i="21" s="1"/>
  <c r="A1874" i="21" s="1"/>
  <c r="A1875" i="21" s="1"/>
  <c r="A1876" i="21" s="1"/>
  <c r="A1877" i="21" s="1"/>
  <c r="A1878" i="21" s="1"/>
  <c r="A1879" i="21" s="1"/>
  <c r="A1880" i="21" s="1"/>
  <c r="A1881" i="21" s="1"/>
  <c r="A1882" i="21" s="1"/>
  <c r="A1883" i="21" s="1"/>
  <c r="A1884" i="21" s="1"/>
  <c r="A1885" i="21" s="1"/>
  <c r="A1886" i="21" s="1"/>
  <c r="A1887" i="21" s="1"/>
  <c r="A1888" i="21" s="1"/>
  <c r="A1889" i="21" s="1"/>
  <c r="A1890" i="21" s="1"/>
  <c r="A1891" i="21" s="1"/>
  <c r="A1892" i="21" s="1"/>
  <c r="A1893" i="21" s="1"/>
  <c r="A1894" i="21" s="1"/>
  <c r="A1895" i="21" s="1"/>
  <c r="A1896" i="21" s="1"/>
  <c r="A1897" i="21" s="1"/>
  <c r="A1898" i="21" s="1"/>
  <c r="A1899" i="21" s="1"/>
  <c r="A1900" i="21" s="1"/>
  <c r="A1901" i="21" s="1"/>
  <c r="A1902" i="21" s="1"/>
  <c r="A1903" i="21" s="1"/>
  <c r="A1904" i="21" s="1"/>
  <c r="A1905" i="21" s="1"/>
  <c r="A1906" i="21" s="1"/>
  <c r="A1907" i="21" s="1"/>
  <c r="A1908" i="21" s="1"/>
  <c r="A1909" i="21" s="1"/>
  <c r="A1910" i="21" s="1"/>
  <c r="A1911" i="21" s="1"/>
  <c r="A1912" i="21" s="1"/>
  <c r="A1913" i="21" s="1"/>
  <c r="A1914" i="21" s="1"/>
  <c r="A1915" i="21" s="1"/>
  <c r="A1916" i="21" s="1"/>
  <c r="A1917" i="21" s="1"/>
  <c r="A1918" i="21" s="1"/>
  <c r="A1919" i="21" s="1"/>
  <c r="A1920" i="21" s="1"/>
  <c r="A1921" i="21" s="1"/>
  <c r="A1922" i="21" s="1"/>
  <c r="A1923" i="21" s="1"/>
  <c r="A1924" i="21" s="1"/>
  <c r="A1925" i="21" s="1"/>
  <c r="A1926" i="21" s="1"/>
  <c r="A1927" i="21" s="1"/>
  <c r="A1928" i="21" s="1"/>
  <c r="A1929" i="21" s="1"/>
  <c r="A1930" i="21" s="1"/>
  <c r="A1931" i="21" s="1"/>
  <c r="A1932" i="21" s="1"/>
  <c r="A1933" i="21" s="1"/>
  <c r="A1934" i="21" s="1"/>
  <c r="A1935" i="21" s="1"/>
  <c r="A1936" i="21" s="1"/>
  <c r="A1937" i="21" s="1"/>
  <c r="A1938" i="21" s="1"/>
  <c r="A1939" i="21" s="1"/>
  <c r="A1940" i="21" s="1"/>
  <c r="A1941" i="21" s="1"/>
  <c r="A1942" i="21" s="1"/>
  <c r="A1943" i="21" s="1"/>
  <c r="A1944" i="21" s="1"/>
  <c r="A1945" i="21" s="1"/>
  <c r="A1946" i="21" s="1"/>
  <c r="A1947" i="21" s="1"/>
  <c r="A1948" i="21" s="1"/>
  <c r="A1949" i="21" s="1"/>
  <c r="A1950" i="21" s="1"/>
  <c r="A1951" i="21" s="1"/>
  <c r="A1952" i="21" s="1"/>
  <c r="A1953" i="21" s="1"/>
  <c r="A1954" i="21" s="1"/>
  <c r="A1955" i="21" s="1"/>
  <c r="A1956" i="21" s="1"/>
  <c r="A1957" i="21" s="1"/>
  <c r="A1958" i="21" s="1"/>
  <c r="A1959" i="21" s="1"/>
  <c r="A1960" i="21" s="1"/>
  <c r="A1961" i="21" s="1"/>
  <c r="A1962" i="21" s="1"/>
  <c r="A1963" i="21" s="1"/>
  <c r="A1964" i="21" s="1"/>
  <c r="A1965" i="21" s="1"/>
  <c r="A1966" i="21" s="1"/>
  <c r="A1967" i="21" s="1"/>
  <c r="A1968" i="21" s="1"/>
  <c r="A1969" i="21" s="1"/>
  <c r="A1970" i="21" s="1"/>
  <c r="A1971" i="21" s="1"/>
  <c r="A1972" i="21" s="1"/>
  <c r="A1973" i="21" s="1"/>
  <c r="A1974" i="21" s="1"/>
  <c r="A1975" i="21" s="1"/>
  <c r="A1976" i="21" s="1"/>
  <c r="A1977" i="21" s="1"/>
  <c r="A1978" i="21" s="1"/>
  <c r="A1979" i="21" s="1"/>
  <c r="A1980" i="21" s="1"/>
  <c r="A1981" i="21" s="1"/>
  <c r="A1982" i="21" s="1"/>
  <c r="A1983" i="21" s="1"/>
  <c r="A1984" i="21" s="1"/>
  <c r="A1985" i="21" s="1"/>
  <c r="A1986" i="21" s="1"/>
  <c r="A1987" i="21" s="1"/>
  <c r="A1988" i="21" s="1"/>
  <c r="A1989" i="21" s="1"/>
  <c r="A1990" i="21" s="1"/>
  <c r="A1991" i="21" s="1"/>
  <c r="A1992" i="21" s="1"/>
  <c r="A1993" i="21" s="1"/>
  <c r="A1994" i="21" s="1"/>
  <c r="A1995" i="21" s="1"/>
  <c r="A1996" i="21" s="1"/>
  <c r="A1997" i="21" s="1"/>
  <c r="A1998" i="21" s="1"/>
  <c r="A1999" i="21" s="1"/>
  <c r="A2000" i="21" s="1"/>
  <c r="A2001" i="21" s="1"/>
  <c r="A2002" i="21" s="1"/>
  <c r="A2003" i="21" s="1"/>
  <c r="A2004" i="21" s="1"/>
  <c r="A2005" i="21" s="1"/>
  <c r="M5" i="21"/>
  <c r="J48" i="7"/>
  <c r="I48" i="7"/>
  <c r="H48" i="7"/>
  <c r="K48" i="7" s="1"/>
  <c r="AC1206" i="2"/>
  <c r="AB1206" i="2"/>
  <c r="AA1206" i="2"/>
  <c r="V1206" i="2"/>
  <c r="U1206" i="2"/>
  <c r="K1206" i="2"/>
  <c r="L1" i="8"/>
  <c r="D49" i="9" s="1"/>
  <c r="H5" i="20"/>
  <c r="G21" i="20"/>
  <c r="G14" i="20"/>
  <c r="G7" i="20"/>
  <c r="G5" i="20"/>
  <c r="F21" i="20"/>
  <c r="F14" i="20"/>
  <c r="F7" i="20"/>
  <c r="F5" i="20"/>
  <c r="E21" i="20"/>
  <c r="E14" i="20"/>
  <c r="E7" i="20"/>
  <c r="E5" i="20"/>
  <c r="D5" i="20"/>
  <c r="H21" i="20"/>
  <c r="H14" i="20"/>
  <c r="H7" i="20"/>
  <c r="C91" i="12"/>
  <c r="C90" i="12" s="1"/>
  <c r="AC1207" i="2"/>
  <c r="AB1207" i="2"/>
  <c r="AA1207" i="2"/>
  <c r="V1207" i="2"/>
  <c r="U1207" i="2"/>
  <c r="K1207" i="2"/>
  <c r="AC1205" i="2"/>
  <c r="AB1205" i="2"/>
  <c r="AA1205" i="2"/>
  <c r="V1205" i="2"/>
  <c r="U1205" i="2"/>
  <c r="Q1205" i="2"/>
  <c r="K1205" i="2"/>
  <c r="AC1204" i="2"/>
  <c r="AB1204" i="2"/>
  <c r="AA1204" i="2"/>
  <c r="V1204" i="2"/>
  <c r="U1204" i="2"/>
  <c r="K1204" i="2"/>
  <c r="AC1203" i="2"/>
  <c r="AB1203" i="2"/>
  <c r="AA1203" i="2"/>
  <c r="V1203" i="2"/>
  <c r="U1203" i="2"/>
  <c r="K1203" i="2"/>
  <c r="AC1202" i="2"/>
  <c r="AB1202" i="2"/>
  <c r="AA1202" i="2"/>
  <c r="V1202" i="2"/>
  <c r="U1202" i="2"/>
  <c r="Q1202" i="2"/>
  <c r="K1202" i="2"/>
  <c r="AC1201" i="2"/>
  <c r="AB1201" i="2"/>
  <c r="AA1201" i="2"/>
  <c r="V1201" i="2"/>
  <c r="U1201" i="2"/>
  <c r="Q1201" i="2"/>
  <c r="K1201" i="2"/>
  <c r="AC1200" i="2"/>
  <c r="AB1200" i="2"/>
  <c r="AA1200" i="2"/>
  <c r="V1200" i="2"/>
  <c r="U1200" i="2"/>
  <c r="Q1200" i="2"/>
  <c r="K1200" i="2"/>
  <c r="AC1199" i="2"/>
  <c r="AB1199" i="2"/>
  <c r="AA1199" i="2"/>
  <c r="V1199" i="2"/>
  <c r="U1199" i="2"/>
  <c r="K1199" i="2"/>
  <c r="AC1198" i="2"/>
  <c r="AB1198" i="2"/>
  <c r="AA1198" i="2"/>
  <c r="V1198" i="2"/>
  <c r="U1198" i="2"/>
  <c r="K1198" i="2"/>
  <c r="AC1197" i="2"/>
  <c r="AB1197" i="2"/>
  <c r="AA1197" i="2"/>
  <c r="V1197" i="2"/>
  <c r="U1197" i="2"/>
  <c r="Q1197" i="2"/>
  <c r="K1197" i="2"/>
  <c r="AC1195" i="2"/>
  <c r="AB1195" i="2"/>
  <c r="AA1195" i="2"/>
  <c r="V1195" i="2"/>
  <c r="U1195" i="2"/>
  <c r="K1195" i="2"/>
  <c r="AC1194" i="2"/>
  <c r="AB1194" i="2"/>
  <c r="AA1194" i="2"/>
  <c r="V1194" i="2"/>
  <c r="U1194" i="2"/>
  <c r="K1194" i="2"/>
  <c r="AC1193" i="2"/>
  <c r="AB1193" i="2"/>
  <c r="AA1193" i="2"/>
  <c r="V1193" i="2"/>
  <c r="U1193" i="2"/>
  <c r="K1193" i="2"/>
  <c r="AC1192" i="2"/>
  <c r="AB1192" i="2"/>
  <c r="AA1192" i="2"/>
  <c r="V1192" i="2"/>
  <c r="U1192" i="2"/>
  <c r="K1192" i="2"/>
  <c r="AC1191" i="2"/>
  <c r="AB1191" i="2"/>
  <c r="AA1191" i="2"/>
  <c r="V1191" i="2"/>
  <c r="U1191" i="2"/>
  <c r="K1191" i="2"/>
  <c r="AC1190" i="2"/>
  <c r="AB1190" i="2"/>
  <c r="AA1190" i="2"/>
  <c r="V1190" i="2"/>
  <c r="U1190" i="2"/>
  <c r="K1190" i="2"/>
  <c r="AC1189" i="2"/>
  <c r="AB1189" i="2"/>
  <c r="AA1189" i="2"/>
  <c r="V1189" i="2"/>
  <c r="U1189" i="2"/>
  <c r="K1189" i="2"/>
  <c r="AC1188" i="2"/>
  <c r="AB1188" i="2"/>
  <c r="AA1188" i="2"/>
  <c r="V1188" i="2"/>
  <c r="U1188" i="2"/>
  <c r="K1188" i="2"/>
  <c r="AC1187" i="2"/>
  <c r="AB1187" i="2"/>
  <c r="AA1187" i="2"/>
  <c r="V1187" i="2"/>
  <c r="U1187" i="2"/>
  <c r="K1187" i="2"/>
  <c r="AC1186" i="2"/>
  <c r="AB1186" i="2"/>
  <c r="AA1186" i="2"/>
  <c r="V1186" i="2"/>
  <c r="U1186" i="2"/>
  <c r="K1186" i="2"/>
  <c r="AC1185" i="2"/>
  <c r="AB1185" i="2"/>
  <c r="AA1185" i="2"/>
  <c r="V1185" i="2"/>
  <c r="U1185" i="2"/>
  <c r="K1185" i="2"/>
  <c r="AC1184" i="2"/>
  <c r="AB1184" i="2"/>
  <c r="AA1184" i="2"/>
  <c r="V1184" i="2"/>
  <c r="U1184" i="2"/>
  <c r="K1184" i="2"/>
  <c r="AC1183" i="2"/>
  <c r="AB1183" i="2"/>
  <c r="AA1183" i="2"/>
  <c r="V1183" i="2"/>
  <c r="U1183" i="2"/>
  <c r="K1183" i="2"/>
  <c r="AC1182" i="2"/>
  <c r="AB1182" i="2"/>
  <c r="AA1182" i="2"/>
  <c r="V1182" i="2"/>
  <c r="U1182" i="2"/>
  <c r="K1182" i="2"/>
  <c r="AC1181" i="2"/>
  <c r="AB1181" i="2"/>
  <c r="AA1181" i="2"/>
  <c r="V1181" i="2"/>
  <c r="U1181" i="2"/>
  <c r="K1181" i="2"/>
  <c r="AC1180" i="2"/>
  <c r="AB1180" i="2"/>
  <c r="AA1180" i="2"/>
  <c r="V1180" i="2"/>
  <c r="U1180" i="2"/>
  <c r="K1180" i="2"/>
  <c r="AC1179" i="2"/>
  <c r="AB1179" i="2"/>
  <c r="AA1179" i="2"/>
  <c r="V1179" i="2"/>
  <c r="U1179" i="2"/>
  <c r="K1179" i="2"/>
  <c r="AC1178" i="2"/>
  <c r="AB1178" i="2"/>
  <c r="AA1178" i="2"/>
  <c r="V1178" i="2"/>
  <c r="U1178" i="2"/>
  <c r="K1178" i="2"/>
  <c r="AC1177" i="2"/>
  <c r="AB1177" i="2"/>
  <c r="AA1177" i="2"/>
  <c r="V1177" i="2"/>
  <c r="U1177" i="2"/>
  <c r="K1177" i="2"/>
  <c r="AC1176" i="2"/>
  <c r="AB1176" i="2"/>
  <c r="AA1176" i="2"/>
  <c r="V1176" i="2"/>
  <c r="U1176" i="2"/>
  <c r="K1176" i="2"/>
  <c r="AC1175" i="2"/>
  <c r="AB1175" i="2"/>
  <c r="AA1175" i="2"/>
  <c r="V1175" i="2"/>
  <c r="U1175" i="2"/>
  <c r="K1175" i="2"/>
  <c r="AC1174" i="2"/>
  <c r="AB1174" i="2"/>
  <c r="AA1174" i="2"/>
  <c r="V1174" i="2"/>
  <c r="U1174" i="2"/>
  <c r="K1174" i="2"/>
  <c r="AC1173" i="2"/>
  <c r="AB1173" i="2"/>
  <c r="AA1173" i="2"/>
  <c r="V1173" i="2"/>
  <c r="U1173" i="2"/>
  <c r="K1173" i="2"/>
  <c r="AC1172" i="2"/>
  <c r="AB1172" i="2"/>
  <c r="AA1172" i="2"/>
  <c r="V1172" i="2"/>
  <c r="U1172" i="2"/>
  <c r="K1172" i="2"/>
  <c r="AC1171" i="2"/>
  <c r="AB1171" i="2"/>
  <c r="AA1171" i="2"/>
  <c r="V1171" i="2"/>
  <c r="U1171" i="2"/>
  <c r="K1171" i="2"/>
  <c r="AC1170" i="2"/>
  <c r="AB1170" i="2"/>
  <c r="AA1170" i="2"/>
  <c r="V1170" i="2"/>
  <c r="U1170" i="2"/>
  <c r="K1170" i="2"/>
  <c r="AC1169" i="2"/>
  <c r="AB1169" i="2"/>
  <c r="AA1169" i="2"/>
  <c r="V1169" i="2"/>
  <c r="U1169" i="2"/>
  <c r="K1169" i="2"/>
  <c r="AC1168" i="2"/>
  <c r="AB1168" i="2"/>
  <c r="AA1168" i="2"/>
  <c r="V1168" i="2"/>
  <c r="U1168" i="2"/>
  <c r="K1168" i="2"/>
  <c r="AC1167" i="2"/>
  <c r="AB1167" i="2"/>
  <c r="AA1167" i="2"/>
  <c r="V1167" i="2"/>
  <c r="U1167" i="2"/>
  <c r="K1167" i="2"/>
  <c r="AC1166" i="2"/>
  <c r="AB1166" i="2"/>
  <c r="AA1166" i="2"/>
  <c r="V1166" i="2"/>
  <c r="U1166" i="2"/>
  <c r="K1166" i="2"/>
  <c r="AC1165" i="2"/>
  <c r="AB1165" i="2"/>
  <c r="AA1165" i="2"/>
  <c r="V1165" i="2"/>
  <c r="U1165" i="2"/>
  <c r="K1165" i="2"/>
  <c r="AC1164" i="2"/>
  <c r="AB1164" i="2"/>
  <c r="AA1164" i="2"/>
  <c r="V1164" i="2"/>
  <c r="U1164" i="2"/>
  <c r="K1164" i="2"/>
  <c r="AC1163" i="2"/>
  <c r="AB1163" i="2"/>
  <c r="AA1163" i="2"/>
  <c r="V1163" i="2"/>
  <c r="U1163" i="2"/>
  <c r="K1163" i="2"/>
  <c r="AC1162" i="2"/>
  <c r="AB1162" i="2"/>
  <c r="AA1162" i="2"/>
  <c r="V1162" i="2"/>
  <c r="U1162" i="2"/>
  <c r="K1162" i="2"/>
  <c r="AC1161" i="2"/>
  <c r="AB1161" i="2"/>
  <c r="AA1161" i="2"/>
  <c r="V1161" i="2"/>
  <c r="U1161" i="2"/>
  <c r="K1161" i="2"/>
  <c r="AC1160" i="2"/>
  <c r="AB1160" i="2"/>
  <c r="AA1160" i="2"/>
  <c r="V1160" i="2"/>
  <c r="U1160" i="2"/>
  <c r="K1160" i="2"/>
  <c r="AC1159" i="2"/>
  <c r="AB1159" i="2"/>
  <c r="AA1159" i="2"/>
  <c r="V1159" i="2"/>
  <c r="U1159" i="2"/>
  <c r="K1159" i="2"/>
  <c r="AC1158" i="2"/>
  <c r="AB1158" i="2"/>
  <c r="AA1158" i="2"/>
  <c r="V1158" i="2"/>
  <c r="U1158" i="2"/>
  <c r="K1158" i="2"/>
  <c r="AC1157" i="2"/>
  <c r="AB1157" i="2"/>
  <c r="AA1157" i="2"/>
  <c r="V1157" i="2"/>
  <c r="U1157" i="2"/>
  <c r="K1157" i="2"/>
  <c r="AC1156" i="2"/>
  <c r="AB1156" i="2"/>
  <c r="AA1156" i="2"/>
  <c r="V1156" i="2"/>
  <c r="U1156" i="2"/>
  <c r="K1156" i="2"/>
  <c r="AC1155" i="2"/>
  <c r="AB1155" i="2"/>
  <c r="AA1155" i="2"/>
  <c r="V1155" i="2"/>
  <c r="U1155" i="2"/>
  <c r="K1155" i="2"/>
  <c r="AC1154" i="2"/>
  <c r="AB1154" i="2"/>
  <c r="AA1154" i="2"/>
  <c r="V1154" i="2"/>
  <c r="U1154" i="2"/>
  <c r="K1154" i="2"/>
  <c r="AC1153" i="2"/>
  <c r="AB1153" i="2"/>
  <c r="AA1153" i="2"/>
  <c r="V1153" i="2"/>
  <c r="U1153" i="2"/>
  <c r="K1153" i="2"/>
  <c r="AC1152" i="2"/>
  <c r="AB1152" i="2"/>
  <c r="AA1152" i="2"/>
  <c r="V1152" i="2"/>
  <c r="U1152" i="2"/>
  <c r="K1152" i="2"/>
  <c r="AC1151" i="2"/>
  <c r="AB1151" i="2"/>
  <c r="AA1151" i="2"/>
  <c r="V1151" i="2"/>
  <c r="U1151" i="2"/>
  <c r="K1151" i="2"/>
  <c r="AC1150" i="2"/>
  <c r="AB1150" i="2"/>
  <c r="AA1150" i="2"/>
  <c r="V1150" i="2"/>
  <c r="U1150" i="2"/>
  <c r="K1150" i="2"/>
  <c r="AC1149" i="2"/>
  <c r="AB1149" i="2"/>
  <c r="AA1149" i="2"/>
  <c r="V1149" i="2"/>
  <c r="U1149" i="2"/>
  <c r="K1149" i="2"/>
  <c r="AC1148" i="2"/>
  <c r="AB1148" i="2"/>
  <c r="AA1148" i="2"/>
  <c r="V1148" i="2"/>
  <c r="U1148" i="2"/>
  <c r="K1148" i="2"/>
  <c r="AC1147" i="2"/>
  <c r="AB1147" i="2"/>
  <c r="AA1147" i="2"/>
  <c r="V1147" i="2"/>
  <c r="U1147" i="2"/>
  <c r="K1147" i="2"/>
  <c r="AC1146" i="2"/>
  <c r="AB1146" i="2"/>
  <c r="AA1146" i="2"/>
  <c r="V1146" i="2"/>
  <c r="U1146" i="2"/>
  <c r="K1146" i="2"/>
  <c r="AC1145" i="2"/>
  <c r="AB1145" i="2"/>
  <c r="AA1145" i="2"/>
  <c r="V1145" i="2"/>
  <c r="U1145" i="2"/>
  <c r="K1145" i="2"/>
  <c r="AC1144" i="2"/>
  <c r="AB1144" i="2"/>
  <c r="AA1144" i="2"/>
  <c r="V1144" i="2"/>
  <c r="U1144" i="2"/>
  <c r="K1144" i="2"/>
  <c r="AC1143" i="2"/>
  <c r="AB1143" i="2"/>
  <c r="AA1143" i="2"/>
  <c r="V1143" i="2"/>
  <c r="U1143" i="2"/>
  <c r="K1143" i="2"/>
  <c r="AC1142" i="2"/>
  <c r="AB1142" i="2"/>
  <c r="AA1142" i="2"/>
  <c r="U1142" i="2"/>
  <c r="K1142" i="2"/>
  <c r="AC1141" i="2"/>
  <c r="AB1141" i="2"/>
  <c r="AA1141" i="2"/>
  <c r="U1141" i="2"/>
  <c r="K1141" i="2"/>
  <c r="AC1140" i="2"/>
  <c r="AB1140" i="2"/>
  <c r="AA1140" i="2"/>
  <c r="V1140" i="2"/>
  <c r="U1140" i="2"/>
  <c r="K1140" i="2"/>
  <c r="AC1139" i="2"/>
  <c r="AB1139" i="2"/>
  <c r="AA1139" i="2"/>
  <c r="V1139" i="2"/>
  <c r="U1139" i="2"/>
  <c r="K1139" i="2"/>
  <c r="AC1138" i="2"/>
  <c r="AB1138" i="2"/>
  <c r="AA1138" i="2"/>
  <c r="V1138" i="2"/>
  <c r="U1138" i="2"/>
  <c r="K1138" i="2"/>
  <c r="AC1137" i="2"/>
  <c r="AB1137" i="2"/>
  <c r="AA1137" i="2"/>
  <c r="V1137" i="2"/>
  <c r="U1137" i="2"/>
  <c r="K1137" i="2"/>
  <c r="AC1136" i="2"/>
  <c r="AB1136" i="2"/>
  <c r="AA1136" i="2"/>
  <c r="V1136" i="2"/>
  <c r="U1136" i="2"/>
  <c r="K1136" i="2"/>
  <c r="AC1135" i="2"/>
  <c r="AB1135" i="2"/>
  <c r="AA1135" i="2"/>
  <c r="V1135" i="2"/>
  <c r="U1135" i="2"/>
  <c r="K1135" i="2"/>
  <c r="AC1134" i="2"/>
  <c r="AB1134" i="2"/>
  <c r="AA1134" i="2"/>
  <c r="V1134" i="2"/>
  <c r="U1134" i="2"/>
  <c r="K1134" i="2"/>
  <c r="AC1133" i="2"/>
  <c r="AB1133" i="2"/>
  <c r="AA1133" i="2"/>
  <c r="V1133" i="2"/>
  <c r="U1133" i="2"/>
  <c r="K1133" i="2"/>
  <c r="AC1132" i="2"/>
  <c r="AB1132" i="2"/>
  <c r="AA1132" i="2"/>
  <c r="V1132" i="2"/>
  <c r="U1132" i="2"/>
  <c r="K1132" i="2"/>
  <c r="AC1131" i="2"/>
  <c r="AB1131" i="2"/>
  <c r="AA1131" i="2"/>
  <c r="V1131" i="2"/>
  <c r="U1131" i="2"/>
  <c r="K1131" i="2"/>
  <c r="AC1130" i="2"/>
  <c r="AB1130" i="2"/>
  <c r="AA1130" i="2"/>
  <c r="V1130" i="2"/>
  <c r="U1130" i="2"/>
  <c r="K1130" i="2"/>
  <c r="AC1129" i="2"/>
  <c r="AB1129" i="2"/>
  <c r="AA1129" i="2"/>
  <c r="V1129" i="2"/>
  <c r="U1129" i="2"/>
  <c r="K1129" i="2"/>
  <c r="AC1128" i="2"/>
  <c r="AB1128" i="2"/>
  <c r="AA1128" i="2"/>
  <c r="V1128" i="2"/>
  <c r="U1128" i="2"/>
  <c r="K1128" i="2"/>
  <c r="AC1127" i="2"/>
  <c r="AB1127" i="2"/>
  <c r="AA1127" i="2"/>
  <c r="V1127" i="2"/>
  <c r="U1127" i="2"/>
  <c r="K1127" i="2"/>
  <c r="AC1126" i="2"/>
  <c r="AB1126" i="2"/>
  <c r="AA1126" i="2"/>
  <c r="V1126" i="2"/>
  <c r="U1126" i="2"/>
  <c r="K1126" i="2"/>
  <c r="AC1125" i="2"/>
  <c r="AB1125" i="2"/>
  <c r="AA1125" i="2"/>
  <c r="V1125" i="2"/>
  <c r="U1125" i="2"/>
  <c r="K1125" i="2"/>
  <c r="AC1124" i="2"/>
  <c r="AB1124" i="2"/>
  <c r="AA1124" i="2"/>
  <c r="V1124" i="2"/>
  <c r="U1124" i="2"/>
  <c r="K1124" i="2"/>
  <c r="AC1123" i="2"/>
  <c r="AB1123" i="2"/>
  <c r="AA1123" i="2"/>
  <c r="V1123" i="2"/>
  <c r="U1123" i="2"/>
  <c r="K1123" i="2"/>
  <c r="AC1122" i="2"/>
  <c r="AB1122" i="2"/>
  <c r="AA1122" i="2"/>
  <c r="V1122" i="2"/>
  <c r="U1122" i="2"/>
  <c r="K1122" i="2"/>
  <c r="AC1121" i="2"/>
  <c r="AB1121" i="2"/>
  <c r="AA1121" i="2"/>
  <c r="V1121" i="2"/>
  <c r="U1121" i="2"/>
  <c r="K1121" i="2"/>
  <c r="AC1120" i="2"/>
  <c r="AB1120" i="2"/>
  <c r="AA1120" i="2"/>
  <c r="V1120" i="2"/>
  <c r="U1120" i="2"/>
  <c r="K1120" i="2"/>
  <c r="AC1119" i="2"/>
  <c r="AB1119" i="2"/>
  <c r="AA1119" i="2"/>
  <c r="V1119" i="2"/>
  <c r="U1119" i="2"/>
  <c r="K1119" i="2"/>
  <c r="AC1118" i="2"/>
  <c r="AB1118" i="2"/>
  <c r="AA1118" i="2"/>
  <c r="V1118" i="2"/>
  <c r="U1118" i="2"/>
  <c r="K1118" i="2"/>
  <c r="AC1117" i="2"/>
  <c r="AB1117" i="2"/>
  <c r="AA1117" i="2"/>
  <c r="V1117" i="2"/>
  <c r="U1117" i="2"/>
  <c r="K1117" i="2"/>
  <c r="AC1116" i="2"/>
  <c r="AB1116" i="2"/>
  <c r="AA1116" i="2"/>
  <c r="V1116" i="2"/>
  <c r="U1116" i="2"/>
  <c r="K1116" i="2"/>
  <c r="AC1115" i="2"/>
  <c r="AB1115" i="2"/>
  <c r="AA1115" i="2"/>
  <c r="V1115" i="2"/>
  <c r="U1115" i="2"/>
  <c r="K1115" i="2"/>
  <c r="AC1114" i="2"/>
  <c r="AB1114" i="2"/>
  <c r="AA1114" i="2"/>
  <c r="V1114" i="2"/>
  <c r="U1114" i="2"/>
  <c r="K1114" i="2"/>
  <c r="L1" i="5"/>
  <c r="D46" i="9" s="1"/>
  <c r="J200" i="5"/>
  <c r="I200" i="5"/>
  <c r="H200" i="5"/>
  <c r="K200" i="5" s="1"/>
  <c r="J199" i="5"/>
  <c r="I199" i="5"/>
  <c r="H199" i="5"/>
  <c r="K199" i="5" s="1"/>
  <c r="J198" i="5"/>
  <c r="I198" i="5"/>
  <c r="H198" i="5"/>
  <c r="K198" i="5" s="1"/>
  <c r="J197" i="5"/>
  <c r="I197" i="5"/>
  <c r="H197" i="5"/>
  <c r="K197" i="5" s="1"/>
  <c r="J196" i="5"/>
  <c r="I196" i="5"/>
  <c r="H196" i="5"/>
  <c r="K196" i="5" s="1"/>
  <c r="J195" i="5"/>
  <c r="I195" i="5"/>
  <c r="H195" i="5"/>
  <c r="K195" i="5" s="1"/>
  <c r="J194" i="5"/>
  <c r="I194" i="5"/>
  <c r="H194" i="5"/>
  <c r="K194" i="5" s="1"/>
  <c r="J193" i="5"/>
  <c r="I193" i="5"/>
  <c r="H193" i="5"/>
  <c r="K193" i="5" s="1"/>
  <c r="J192" i="5"/>
  <c r="I192" i="5"/>
  <c r="H192" i="5"/>
  <c r="K192" i="5" s="1"/>
  <c r="J191" i="5"/>
  <c r="I191" i="5"/>
  <c r="H191" i="5"/>
  <c r="K191" i="5" s="1"/>
  <c r="J190" i="5"/>
  <c r="I190" i="5"/>
  <c r="H190" i="5"/>
  <c r="K190" i="5" s="1"/>
  <c r="J189" i="5"/>
  <c r="I189" i="5"/>
  <c r="H189" i="5"/>
  <c r="K189" i="5" s="1"/>
  <c r="J188" i="5"/>
  <c r="I188" i="5"/>
  <c r="H188" i="5"/>
  <c r="K188" i="5" s="1"/>
  <c r="J187" i="5"/>
  <c r="I187" i="5"/>
  <c r="H187" i="5"/>
  <c r="K187" i="5" s="1"/>
  <c r="J186" i="5"/>
  <c r="I186" i="5"/>
  <c r="H186" i="5"/>
  <c r="K186" i="5" s="1"/>
  <c r="J185" i="5"/>
  <c r="I185" i="5"/>
  <c r="H185" i="5"/>
  <c r="K185" i="5" s="1"/>
  <c r="J184" i="5"/>
  <c r="I184" i="5"/>
  <c r="H184" i="5"/>
  <c r="K184" i="5" s="1"/>
  <c r="J183" i="5"/>
  <c r="I183" i="5"/>
  <c r="H183" i="5"/>
  <c r="K183" i="5" s="1"/>
  <c r="J182" i="5"/>
  <c r="I182" i="5"/>
  <c r="H182" i="5"/>
  <c r="K182" i="5" s="1"/>
  <c r="J181" i="5"/>
  <c r="I181" i="5"/>
  <c r="H181" i="5"/>
  <c r="K181" i="5" s="1"/>
  <c r="J180" i="5"/>
  <c r="I180" i="5"/>
  <c r="H180" i="5"/>
  <c r="K180" i="5" s="1"/>
  <c r="J179" i="5"/>
  <c r="I179" i="5"/>
  <c r="H179" i="5"/>
  <c r="K179" i="5" s="1"/>
  <c r="J178" i="5"/>
  <c r="I178" i="5"/>
  <c r="H178" i="5"/>
  <c r="K178" i="5" s="1"/>
  <c r="J177" i="5"/>
  <c r="I177" i="5"/>
  <c r="H177" i="5"/>
  <c r="K177" i="5" s="1"/>
  <c r="J176" i="5"/>
  <c r="I176" i="5"/>
  <c r="H176" i="5"/>
  <c r="K176" i="5" s="1"/>
  <c r="J175" i="5"/>
  <c r="I175" i="5"/>
  <c r="H175" i="5"/>
  <c r="K175" i="5" s="1"/>
  <c r="J174" i="5"/>
  <c r="I174" i="5"/>
  <c r="H174" i="5"/>
  <c r="K174" i="5" s="1"/>
  <c r="J173" i="5"/>
  <c r="I173" i="5"/>
  <c r="H173" i="5"/>
  <c r="K173" i="5" s="1"/>
  <c r="J172" i="5"/>
  <c r="I172" i="5"/>
  <c r="H172" i="5"/>
  <c r="K172" i="5" s="1"/>
  <c r="J171" i="5"/>
  <c r="I171" i="5"/>
  <c r="H171" i="5"/>
  <c r="K171" i="5" s="1"/>
  <c r="J170" i="5"/>
  <c r="I170" i="5"/>
  <c r="H170" i="5"/>
  <c r="K170" i="5" s="1"/>
  <c r="J169" i="5"/>
  <c r="I169" i="5"/>
  <c r="H169" i="5"/>
  <c r="K169" i="5" s="1"/>
  <c r="J168" i="5"/>
  <c r="I168" i="5"/>
  <c r="H168" i="5"/>
  <c r="K168" i="5" s="1"/>
  <c r="J167" i="5"/>
  <c r="I167" i="5"/>
  <c r="H167" i="5"/>
  <c r="K167" i="5" s="1"/>
  <c r="J166" i="5"/>
  <c r="I166" i="5"/>
  <c r="H166" i="5"/>
  <c r="K166" i="5" s="1"/>
  <c r="J165" i="5"/>
  <c r="I165" i="5"/>
  <c r="H165" i="5"/>
  <c r="K165" i="5" s="1"/>
  <c r="J164" i="5"/>
  <c r="I164" i="5"/>
  <c r="H164" i="5"/>
  <c r="K164" i="5" s="1"/>
  <c r="J163" i="5"/>
  <c r="I163" i="5"/>
  <c r="H163" i="5"/>
  <c r="K163" i="5" s="1"/>
  <c r="J162" i="5"/>
  <c r="I162" i="5"/>
  <c r="H162" i="5"/>
  <c r="K162" i="5" s="1"/>
  <c r="J161" i="5"/>
  <c r="I161" i="5"/>
  <c r="H161" i="5"/>
  <c r="K161" i="5" s="1"/>
  <c r="J160" i="5"/>
  <c r="I160" i="5"/>
  <c r="H160" i="5"/>
  <c r="K160" i="5" s="1"/>
  <c r="J159" i="5"/>
  <c r="I159" i="5"/>
  <c r="H159" i="5"/>
  <c r="K159" i="5" s="1"/>
  <c r="J158" i="5"/>
  <c r="I158" i="5"/>
  <c r="H158" i="5"/>
  <c r="K158" i="5" s="1"/>
  <c r="J157" i="5"/>
  <c r="I157" i="5"/>
  <c r="H157" i="5"/>
  <c r="K157" i="5" s="1"/>
  <c r="J156" i="5"/>
  <c r="I156" i="5"/>
  <c r="H156" i="5"/>
  <c r="K156" i="5" s="1"/>
  <c r="J155" i="5"/>
  <c r="I155" i="5"/>
  <c r="H155" i="5"/>
  <c r="K155" i="5" s="1"/>
  <c r="J154" i="5"/>
  <c r="I154" i="5"/>
  <c r="H154" i="5"/>
  <c r="K154" i="5" s="1"/>
  <c r="J153" i="5"/>
  <c r="I153" i="5"/>
  <c r="H153" i="5"/>
  <c r="K153" i="5" s="1"/>
  <c r="J152" i="5"/>
  <c r="I152" i="5"/>
  <c r="H152" i="5"/>
  <c r="K152" i="5" s="1"/>
  <c r="J151" i="5"/>
  <c r="I151" i="5"/>
  <c r="H151" i="5"/>
  <c r="K151" i="5" s="1"/>
  <c r="L1" i="7"/>
  <c r="D48" i="9" s="1"/>
  <c r="E48" i="9" s="1"/>
  <c r="J49" i="7"/>
  <c r="I49" i="7"/>
  <c r="H49" i="7"/>
  <c r="K49" i="7" s="1"/>
  <c r="J47" i="7"/>
  <c r="I47" i="7"/>
  <c r="H47" i="7"/>
  <c r="K47" i="7" s="1"/>
  <c r="J46" i="7"/>
  <c r="I46" i="7"/>
  <c r="H46" i="7"/>
  <c r="K46" i="7" s="1"/>
  <c r="J45" i="7"/>
  <c r="I45" i="7"/>
  <c r="H45" i="7"/>
  <c r="K45" i="7" s="1"/>
  <c r="J44" i="7"/>
  <c r="I44" i="7"/>
  <c r="H44" i="7"/>
  <c r="K44" i="7" s="1"/>
  <c r="J43" i="7"/>
  <c r="I43" i="7"/>
  <c r="H43" i="7"/>
  <c r="K43" i="7" s="1"/>
  <c r="J42" i="7"/>
  <c r="I42" i="7"/>
  <c r="H42" i="7"/>
  <c r="K42" i="7" s="1"/>
  <c r="J41" i="7"/>
  <c r="I41" i="7"/>
  <c r="H41" i="7"/>
  <c r="K41" i="7" s="1"/>
  <c r="L1" i="6"/>
  <c r="D47" i="9" s="1"/>
  <c r="J101" i="6"/>
  <c r="I101" i="6"/>
  <c r="H101" i="6"/>
  <c r="K101" i="6" s="1"/>
  <c r="J100" i="6"/>
  <c r="I100" i="6"/>
  <c r="H100" i="6"/>
  <c r="K100" i="6" s="1"/>
  <c r="J99" i="6"/>
  <c r="I99" i="6"/>
  <c r="H99" i="6"/>
  <c r="K99" i="6" s="1"/>
  <c r="J98" i="6"/>
  <c r="I98" i="6"/>
  <c r="H98" i="6"/>
  <c r="K98" i="6" s="1"/>
  <c r="J97" i="6"/>
  <c r="I97" i="6"/>
  <c r="H97" i="6"/>
  <c r="K97" i="6" s="1"/>
  <c r="J96" i="6"/>
  <c r="I96" i="6"/>
  <c r="H96" i="6"/>
  <c r="K96" i="6" s="1"/>
  <c r="J95" i="6"/>
  <c r="I95" i="6"/>
  <c r="H95" i="6"/>
  <c r="K95" i="6" s="1"/>
  <c r="J94" i="6"/>
  <c r="I94" i="6"/>
  <c r="H94" i="6"/>
  <c r="K94" i="6" s="1"/>
  <c r="J93" i="6"/>
  <c r="I93" i="6"/>
  <c r="H93" i="6"/>
  <c r="K93" i="6" s="1"/>
  <c r="J92" i="6"/>
  <c r="I92" i="6"/>
  <c r="H92" i="6"/>
  <c r="K92" i="6" s="1"/>
  <c r="J91" i="6"/>
  <c r="I91" i="6"/>
  <c r="H91" i="6"/>
  <c r="K91" i="6" s="1"/>
  <c r="J90" i="6"/>
  <c r="I90" i="6"/>
  <c r="H90" i="6"/>
  <c r="K90" i="6" s="1"/>
  <c r="J89" i="6"/>
  <c r="I89" i="6"/>
  <c r="H89" i="6"/>
  <c r="K89" i="6" s="1"/>
  <c r="J88" i="6"/>
  <c r="I88" i="6"/>
  <c r="H88" i="6"/>
  <c r="K88" i="6" s="1"/>
  <c r="J87" i="6"/>
  <c r="I87" i="6"/>
  <c r="H87" i="6"/>
  <c r="K87" i="6" s="1"/>
  <c r="J86" i="6"/>
  <c r="I86" i="6"/>
  <c r="H86" i="6"/>
  <c r="K86" i="6" s="1"/>
  <c r="J85" i="6"/>
  <c r="I85" i="6"/>
  <c r="H85" i="6"/>
  <c r="K85" i="6" s="1"/>
  <c r="J84" i="6"/>
  <c r="I84" i="6"/>
  <c r="H84" i="6"/>
  <c r="K84" i="6" s="1"/>
  <c r="J83" i="6"/>
  <c r="I83" i="6"/>
  <c r="H83" i="6"/>
  <c r="K83" i="6" s="1"/>
  <c r="J82" i="6"/>
  <c r="I82" i="6"/>
  <c r="H82" i="6"/>
  <c r="K82" i="6" s="1"/>
  <c r="J81" i="6"/>
  <c r="I81" i="6"/>
  <c r="H81" i="6"/>
  <c r="K81" i="6" s="1"/>
  <c r="J80" i="6"/>
  <c r="I80" i="6"/>
  <c r="H80" i="6"/>
  <c r="K80" i="6" s="1"/>
  <c r="J79" i="6"/>
  <c r="I79" i="6"/>
  <c r="H79" i="6"/>
  <c r="K79" i="6" s="1"/>
  <c r="J78" i="6"/>
  <c r="I78" i="6"/>
  <c r="H78" i="6"/>
  <c r="K78" i="6" s="1"/>
  <c r="J77" i="6"/>
  <c r="I77" i="6"/>
  <c r="H77" i="6"/>
  <c r="K77" i="6" s="1"/>
  <c r="J76" i="6"/>
  <c r="I76" i="6"/>
  <c r="H76" i="6"/>
  <c r="K76" i="6" s="1"/>
  <c r="J75" i="6"/>
  <c r="I75" i="6"/>
  <c r="H75" i="6"/>
  <c r="K75" i="6" s="1"/>
  <c r="J74" i="6"/>
  <c r="I74" i="6"/>
  <c r="H74" i="6"/>
  <c r="K74" i="6" s="1"/>
  <c r="J73" i="6"/>
  <c r="I73" i="6"/>
  <c r="H73" i="6"/>
  <c r="K73" i="6" s="1"/>
  <c r="J72" i="6"/>
  <c r="I72" i="6"/>
  <c r="H72" i="6"/>
  <c r="K72" i="6" s="1"/>
  <c r="J71" i="6"/>
  <c r="I71" i="6"/>
  <c r="H71" i="6"/>
  <c r="K71" i="6" s="1"/>
  <c r="J70" i="6"/>
  <c r="I70" i="6"/>
  <c r="H70" i="6"/>
  <c r="K70" i="6" s="1"/>
  <c r="J69" i="6"/>
  <c r="I69" i="6"/>
  <c r="H69" i="6"/>
  <c r="K69" i="6" s="1"/>
  <c r="J68" i="6"/>
  <c r="I68" i="6"/>
  <c r="H68" i="6"/>
  <c r="K68" i="6" s="1"/>
  <c r="J67" i="6"/>
  <c r="I67" i="6"/>
  <c r="H67" i="6"/>
  <c r="K67" i="6" s="1"/>
  <c r="J66" i="6"/>
  <c r="I66" i="6"/>
  <c r="H66" i="6"/>
  <c r="K66" i="6" s="1"/>
  <c r="J65" i="6"/>
  <c r="I65" i="6"/>
  <c r="H65" i="6"/>
  <c r="K65" i="6" s="1"/>
  <c r="J64" i="6"/>
  <c r="I64" i="6"/>
  <c r="H64" i="6"/>
  <c r="K64" i="6" s="1"/>
  <c r="J63" i="6"/>
  <c r="I63" i="6"/>
  <c r="H63" i="6"/>
  <c r="K63" i="6" s="1"/>
  <c r="J62" i="6"/>
  <c r="I62" i="6"/>
  <c r="H62" i="6"/>
  <c r="J61" i="6"/>
  <c r="I61" i="6"/>
  <c r="H61" i="6"/>
  <c r="K61" i="6" s="1"/>
  <c r="J60" i="6"/>
  <c r="I60" i="6"/>
  <c r="H60" i="6"/>
  <c r="K60" i="6" s="1"/>
  <c r="J150" i="5"/>
  <c r="I150" i="5"/>
  <c r="H150" i="5"/>
  <c r="K150" i="5" s="1"/>
  <c r="J149" i="5"/>
  <c r="I149" i="5"/>
  <c r="H149" i="5"/>
  <c r="K149" i="5" s="1"/>
  <c r="J148" i="5"/>
  <c r="I148" i="5"/>
  <c r="H148" i="5"/>
  <c r="K148" i="5" s="1"/>
  <c r="J147" i="5"/>
  <c r="I147" i="5"/>
  <c r="H147" i="5"/>
  <c r="K147" i="5" s="1"/>
  <c r="J146" i="5"/>
  <c r="I146" i="5"/>
  <c r="K146" i="5"/>
  <c r="J145" i="5"/>
  <c r="I145" i="5"/>
  <c r="J144" i="5"/>
  <c r="I144" i="5"/>
  <c r="K144" i="5"/>
  <c r="J300" i="4"/>
  <c r="I300" i="4"/>
  <c r="H300" i="4"/>
  <c r="K300" i="4" s="1"/>
  <c r="J299" i="4"/>
  <c r="I299" i="4"/>
  <c r="H299" i="4"/>
  <c r="K299" i="4" s="1"/>
  <c r="J298" i="4"/>
  <c r="I298" i="4"/>
  <c r="H298" i="4"/>
  <c r="K298" i="4" s="1"/>
  <c r="J297" i="4"/>
  <c r="I297" i="4"/>
  <c r="H297" i="4"/>
  <c r="K297" i="4" s="1"/>
  <c r="J801" i="3"/>
  <c r="I801" i="3"/>
  <c r="H801" i="3"/>
  <c r="K801" i="3" s="1"/>
  <c r="J800" i="3"/>
  <c r="I800" i="3"/>
  <c r="H800" i="3"/>
  <c r="K800" i="3" s="1"/>
  <c r="J799" i="3"/>
  <c r="I799" i="3"/>
  <c r="H799" i="3"/>
  <c r="K799" i="3" s="1"/>
  <c r="J798" i="3"/>
  <c r="I798" i="3"/>
  <c r="H798" i="3"/>
  <c r="K798" i="3" s="1"/>
  <c r="J797" i="3"/>
  <c r="I797" i="3"/>
  <c r="H797" i="3"/>
  <c r="K797" i="3" s="1"/>
  <c r="J796" i="3"/>
  <c r="I796" i="3"/>
  <c r="H796" i="3"/>
  <c r="K796" i="3" s="1"/>
  <c r="J795" i="3"/>
  <c r="I795" i="3"/>
  <c r="H795" i="3"/>
  <c r="K795" i="3" s="1"/>
  <c r="J794" i="3"/>
  <c r="I794" i="3"/>
  <c r="H794" i="3"/>
  <c r="K794" i="3" s="1"/>
  <c r="J793" i="3"/>
  <c r="I793" i="3"/>
  <c r="H793" i="3"/>
  <c r="K793" i="3" s="1"/>
  <c r="K792" i="3"/>
  <c r="J792" i="3"/>
  <c r="I792" i="3"/>
  <c r="H792" i="3"/>
  <c r="J791" i="3"/>
  <c r="I791" i="3"/>
  <c r="H791" i="3"/>
  <c r="K791" i="3" s="1"/>
  <c r="J790" i="3"/>
  <c r="I790" i="3"/>
  <c r="H790" i="3"/>
  <c r="K790" i="3" s="1"/>
  <c r="J789" i="3"/>
  <c r="I789" i="3"/>
  <c r="H789" i="3"/>
  <c r="K789" i="3" s="1"/>
  <c r="J788" i="3"/>
  <c r="I788" i="3"/>
  <c r="H788" i="3"/>
  <c r="K788" i="3" s="1"/>
  <c r="J787" i="3"/>
  <c r="I787" i="3"/>
  <c r="H787" i="3"/>
  <c r="K787" i="3" s="1"/>
  <c r="J786" i="3"/>
  <c r="I786" i="3"/>
  <c r="H786" i="3"/>
  <c r="K786" i="3" s="1"/>
  <c r="J785" i="3"/>
  <c r="I785" i="3"/>
  <c r="H785" i="3"/>
  <c r="K785" i="3" s="1"/>
  <c r="J784" i="3"/>
  <c r="I784" i="3"/>
  <c r="H784" i="3"/>
  <c r="K784" i="3" s="1"/>
  <c r="J783" i="3"/>
  <c r="I783" i="3"/>
  <c r="K783" i="3"/>
  <c r="J782" i="3"/>
  <c r="I782" i="3"/>
  <c r="K782" i="3"/>
  <c r="J781" i="3"/>
  <c r="I781" i="3"/>
  <c r="K781" i="3"/>
  <c r="J780" i="3"/>
  <c r="I780" i="3"/>
  <c r="K780" i="3"/>
  <c r="J779" i="3"/>
  <c r="I779" i="3"/>
  <c r="K779" i="3"/>
  <c r="J778" i="3"/>
  <c r="I778" i="3"/>
  <c r="K778" i="3"/>
  <c r="J777" i="3"/>
  <c r="I777" i="3"/>
  <c r="K777" i="3"/>
  <c r="J776" i="3"/>
  <c r="I776" i="3"/>
  <c r="H776" i="3"/>
  <c r="K776" i="3" s="1"/>
  <c r="J775" i="3"/>
  <c r="I775" i="3"/>
  <c r="H775" i="3"/>
  <c r="K775" i="3" s="1"/>
  <c r="J774" i="3"/>
  <c r="I774" i="3"/>
  <c r="H774" i="3"/>
  <c r="K774" i="3" s="1"/>
  <c r="J773" i="3"/>
  <c r="I773" i="3"/>
  <c r="H773" i="3"/>
  <c r="K773" i="3" s="1"/>
  <c r="J772" i="3"/>
  <c r="I772" i="3"/>
  <c r="H772" i="3"/>
  <c r="K772" i="3" s="1"/>
  <c r="J771" i="3"/>
  <c r="I771" i="3"/>
  <c r="H771" i="3"/>
  <c r="K771" i="3" s="1"/>
  <c r="J770" i="3"/>
  <c r="I770" i="3"/>
  <c r="H770" i="3"/>
  <c r="K770" i="3" s="1"/>
  <c r="J769" i="3"/>
  <c r="I769" i="3"/>
  <c r="H769" i="3"/>
  <c r="K769" i="3" s="1"/>
  <c r="J768" i="3"/>
  <c r="I768" i="3"/>
  <c r="H768" i="3"/>
  <c r="K768" i="3" s="1"/>
  <c r="J767" i="3"/>
  <c r="I767" i="3"/>
  <c r="H767" i="3"/>
  <c r="K767" i="3" s="1"/>
  <c r="J765" i="3"/>
  <c r="I765" i="3"/>
  <c r="H765" i="3"/>
  <c r="K765" i="3" s="1"/>
  <c r="J764" i="3"/>
  <c r="I764" i="3"/>
  <c r="H764" i="3"/>
  <c r="K764" i="3" s="1"/>
  <c r="J763" i="3"/>
  <c r="I763" i="3"/>
  <c r="H763" i="3"/>
  <c r="K763" i="3" s="1"/>
  <c r="J762" i="3"/>
  <c r="I762" i="3"/>
  <c r="H762" i="3"/>
  <c r="K762" i="3" s="1"/>
  <c r="J761" i="3"/>
  <c r="I761" i="3"/>
  <c r="H761" i="3"/>
  <c r="K761" i="3" s="1"/>
  <c r="J760" i="3"/>
  <c r="I760" i="3"/>
  <c r="H760" i="3"/>
  <c r="K760" i="3" s="1"/>
  <c r="J759" i="3"/>
  <c r="I759" i="3"/>
  <c r="H759" i="3"/>
  <c r="K759" i="3" s="1"/>
  <c r="J758" i="3"/>
  <c r="I758" i="3"/>
  <c r="H758" i="3"/>
  <c r="K758" i="3" s="1"/>
  <c r="K757" i="3"/>
  <c r="J757" i="3"/>
  <c r="I757" i="3"/>
  <c r="H757" i="3"/>
  <c r="J756" i="3"/>
  <c r="I756" i="3"/>
  <c r="H756" i="3"/>
  <c r="K756" i="3" s="1"/>
  <c r="J755" i="3"/>
  <c r="I755" i="3"/>
  <c r="H755" i="3"/>
  <c r="K755" i="3" s="1"/>
  <c r="J754" i="3"/>
  <c r="I754" i="3"/>
  <c r="H754" i="3"/>
  <c r="K754" i="3" s="1"/>
  <c r="J753" i="3"/>
  <c r="I753" i="3"/>
  <c r="H753" i="3"/>
  <c r="K753" i="3" s="1"/>
  <c r="J752" i="3"/>
  <c r="I752" i="3"/>
  <c r="H752" i="3"/>
  <c r="K752" i="3" s="1"/>
  <c r="J751" i="3"/>
  <c r="I751" i="3"/>
  <c r="H751" i="3"/>
  <c r="K751" i="3" s="1"/>
  <c r="J750" i="3"/>
  <c r="I750" i="3"/>
  <c r="H750" i="3"/>
  <c r="K750" i="3" s="1"/>
  <c r="J749" i="3"/>
  <c r="I749" i="3"/>
  <c r="H749" i="3"/>
  <c r="K749" i="3" s="1"/>
  <c r="J748" i="3"/>
  <c r="I748" i="3"/>
  <c r="H748" i="3"/>
  <c r="K748" i="3" s="1"/>
  <c r="J747" i="3"/>
  <c r="I747" i="3"/>
  <c r="H747" i="3"/>
  <c r="K747" i="3" s="1"/>
  <c r="J746" i="3"/>
  <c r="I746" i="3"/>
  <c r="H746" i="3"/>
  <c r="K746" i="3" s="1"/>
  <c r="J745" i="3"/>
  <c r="I745" i="3"/>
  <c r="H745" i="3"/>
  <c r="K745" i="3" s="1"/>
  <c r="J744" i="3"/>
  <c r="I744" i="3"/>
  <c r="H744" i="3"/>
  <c r="K744" i="3" s="1"/>
  <c r="J743" i="3"/>
  <c r="I743" i="3"/>
  <c r="H743" i="3"/>
  <c r="K743" i="3" s="1"/>
  <c r="J742" i="3"/>
  <c r="I742" i="3"/>
  <c r="H742" i="3"/>
  <c r="K742" i="3" s="1"/>
  <c r="J741" i="3"/>
  <c r="I741" i="3"/>
  <c r="H741" i="3"/>
  <c r="K741" i="3" s="1"/>
  <c r="J740" i="3"/>
  <c r="I740" i="3"/>
  <c r="H740" i="3"/>
  <c r="K740" i="3" s="1"/>
  <c r="J739" i="3"/>
  <c r="I739" i="3"/>
  <c r="H739" i="3"/>
  <c r="K739" i="3" s="1"/>
  <c r="J738" i="3"/>
  <c r="I738" i="3"/>
  <c r="H738" i="3"/>
  <c r="K738" i="3" s="1"/>
  <c r="J737" i="3"/>
  <c r="I737" i="3"/>
  <c r="H737" i="3"/>
  <c r="K737" i="3" s="1"/>
  <c r="J736" i="3"/>
  <c r="I736" i="3"/>
  <c r="H736" i="3"/>
  <c r="K736" i="3" s="1"/>
  <c r="J735" i="3"/>
  <c r="I735" i="3"/>
  <c r="H735" i="3"/>
  <c r="K735" i="3" s="1"/>
  <c r="J734" i="3"/>
  <c r="I734" i="3"/>
  <c r="H734" i="3"/>
  <c r="K734" i="3" s="1"/>
  <c r="K733" i="3"/>
  <c r="J733" i="3"/>
  <c r="I733" i="3"/>
  <c r="J732" i="3"/>
  <c r="I732" i="3"/>
  <c r="K732" i="3"/>
  <c r="J731" i="3"/>
  <c r="I731" i="3"/>
  <c r="K731" i="3"/>
  <c r="J730" i="3"/>
  <c r="I730" i="3"/>
  <c r="K730" i="3"/>
  <c r="K729" i="3"/>
  <c r="J729" i="3"/>
  <c r="I729" i="3"/>
  <c r="J728" i="3"/>
  <c r="I728" i="3"/>
  <c r="K728" i="3"/>
  <c r="K727" i="3"/>
  <c r="J727" i="3"/>
  <c r="I727" i="3"/>
  <c r="J726" i="3"/>
  <c r="I726" i="3"/>
  <c r="K726" i="3"/>
  <c r="J725" i="3"/>
  <c r="I725" i="3"/>
  <c r="K725" i="3"/>
  <c r="J724" i="3"/>
  <c r="I724" i="3"/>
  <c r="K724" i="3"/>
  <c r="J723" i="3"/>
  <c r="I723" i="3"/>
  <c r="K723" i="3"/>
  <c r="J722" i="3"/>
  <c r="I722" i="3"/>
  <c r="K722" i="3"/>
  <c r="K721" i="3"/>
  <c r="J721" i="3"/>
  <c r="I721" i="3"/>
  <c r="J720" i="3"/>
  <c r="I720" i="3"/>
  <c r="K720" i="3"/>
  <c r="K719" i="3"/>
  <c r="J719" i="3"/>
  <c r="I719" i="3"/>
  <c r="D45" i="9"/>
  <c r="D44" i="9"/>
  <c r="AD221" i="2"/>
  <c r="A9" i="2"/>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O7" i="2"/>
  <c r="Q7" i="2" s="1"/>
  <c r="AC7" i="2"/>
  <c r="AB7" i="2"/>
  <c r="AA7" i="2"/>
  <c r="V7" i="2"/>
  <c r="U7" i="2"/>
  <c r="D71" i="12"/>
  <c r="AC1113" i="2"/>
  <c r="AC1109" i="2"/>
  <c r="AC1108" i="2"/>
  <c r="AC1107" i="2"/>
  <c r="AC1099" i="2"/>
  <c r="AC1098" i="2"/>
  <c r="AC1097" i="2"/>
  <c r="AC1096" i="2"/>
  <c r="AC1095" i="2"/>
  <c r="AC1094" i="2"/>
  <c r="AC1093" i="2"/>
  <c r="AC1092" i="2"/>
  <c r="AC1091" i="2"/>
  <c r="AC1090" i="2"/>
  <c r="AC1089" i="2"/>
  <c r="AC1088" i="2"/>
  <c r="AC1087" i="2"/>
  <c r="AC1086" i="2"/>
  <c r="AC1085" i="2"/>
  <c r="AC1084" i="2"/>
  <c r="AC1083" i="2"/>
  <c r="AC1082" i="2"/>
  <c r="AC1081" i="2"/>
  <c r="AC1080" i="2"/>
  <c r="AC1079" i="2"/>
  <c r="AC1078" i="2"/>
  <c r="AC1077" i="2"/>
  <c r="AC1076" i="2"/>
  <c r="AC1075" i="2"/>
  <c r="AC1074" i="2"/>
  <c r="AC1073" i="2"/>
  <c r="AC1072" i="2"/>
  <c r="AC1071" i="2"/>
  <c r="AC1070" i="2"/>
  <c r="AC1069" i="2"/>
  <c r="AC1068" i="2"/>
  <c r="AC1067" i="2"/>
  <c r="AC1066" i="2"/>
  <c r="AC1065" i="2"/>
  <c r="AC1064" i="2"/>
  <c r="AC1063" i="2"/>
  <c r="AC1062" i="2"/>
  <c r="AC1061" i="2"/>
  <c r="AC1060" i="2"/>
  <c r="AC1059" i="2"/>
  <c r="AC1058" i="2"/>
  <c r="AC1057" i="2"/>
  <c r="AC1056" i="2"/>
  <c r="AC1055" i="2"/>
  <c r="AC1053" i="2"/>
  <c r="AC1052" i="2"/>
  <c r="AC1051" i="2"/>
  <c r="AC1050" i="2"/>
  <c r="AC1049" i="2"/>
  <c r="AC1048" i="2"/>
  <c r="AC1047" i="2"/>
  <c r="AC1046" i="2"/>
  <c r="AC1045" i="2"/>
  <c r="AC1044" i="2"/>
  <c r="AC1043" i="2"/>
  <c r="AC1042" i="2"/>
  <c r="AC1041" i="2"/>
  <c r="AC1040" i="2"/>
  <c r="AC1038" i="2"/>
  <c r="AC1036" i="2"/>
  <c r="AC1035" i="2"/>
  <c r="AC1034" i="2"/>
  <c r="AC1033" i="2"/>
  <c r="AC1032" i="2"/>
  <c r="AC1031" i="2"/>
  <c r="AC1030" i="2"/>
  <c r="AC1029" i="2"/>
  <c r="AC1028" i="2"/>
  <c r="AC1027" i="2"/>
  <c r="AC1026" i="2"/>
  <c r="AC1025" i="2"/>
  <c r="AC1024" i="2"/>
  <c r="AC1023" i="2"/>
  <c r="AC1022" i="2"/>
  <c r="AC1021" i="2"/>
  <c r="AC1020" i="2"/>
  <c r="AC1019" i="2"/>
  <c r="AC1018" i="2"/>
  <c r="AC1017" i="2"/>
  <c r="AC1016" i="2"/>
  <c r="AC1015" i="2"/>
  <c r="AC1014" i="2"/>
  <c r="AC1013" i="2"/>
  <c r="AC1012" i="2"/>
  <c r="AC1011" i="2"/>
  <c r="AC1010" i="2"/>
  <c r="AC1009" i="2"/>
  <c r="AC1008" i="2"/>
  <c r="AC1007" i="2"/>
  <c r="AC1006" i="2"/>
  <c r="AC1005" i="2"/>
  <c r="AC1004" i="2"/>
  <c r="AC1003" i="2"/>
  <c r="AC1002" i="2"/>
  <c r="AC1001" i="2"/>
  <c r="AC1000" i="2"/>
  <c r="AC999" i="2"/>
  <c r="AC998" i="2"/>
  <c r="AC997" i="2"/>
  <c r="AC996" i="2"/>
  <c r="AC995" i="2"/>
  <c r="AC994" i="2"/>
  <c r="AC993" i="2"/>
  <c r="AC992" i="2"/>
  <c r="AC991" i="2"/>
  <c r="AC990" i="2"/>
  <c r="AC989" i="2"/>
  <c r="AC988" i="2"/>
  <c r="AC987" i="2"/>
  <c r="AC986" i="2"/>
  <c r="AC985" i="2"/>
  <c r="AC984" i="2"/>
  <c r="AC983" i="2"/>
  <c r="AC982" i="2"/>
  <c r="AC981" i="2"/>
  <c r="AC980" i="2"/>
  <c r="AC979" i="2"/>
  <c r="AC978" i="2"/>
  <c r="AC977" i="2"/>
  <c r="AC976" i="2"/>
  <c r="AC975" i="2"/>
  <c r="AC974" i="2"/>
  <c r="AC973" i="2"/>
  <c r="AC972" i="2"/>
  <c r="AC971" i="2"/>
  <c r="AC970" i="2"/>
  <c r="AC969" i="2"/>
  <c r="AC968" i="2"/>
  <c r="AC967" i="2"/>
  <c r="AC966" i="2"/>
  <c r="AC965" i="2"/>
  <c r="AC964" i="2"/>
  <c r="AC963" i="2"/>
  <c r="AC962" i="2"/>
  <c r="AC961" i="2"/>
  <c r="AC960" i="2"/>
  <c r="AC959" i="2"/>
  <c r="AC958" i="2"/>
  <c r="AC957" i="2"/>
  <c r="AC956" i="2"/>
  <c r="AC955" i="2"/>
  <c r="AC954" i="2"/>
  <c r="AC953" i="2"/>
  <c r="AC952" i="2"/>
  <c r="AC951" i="2"/>
  <c r="AC950" i="2"/>
  <c r="AC949" i="2"/>
  <c r="AC948" i="2"/>
  <c r="AC947" i="2"/>
  <c r="AC946" i="2"/>
  <c r="AC945" i="2"/>
  <c r="AC944" i="2"/>
  <c r="AC943" i="2"/>
  <c r="AC942" i="2"/>
  <c r="AC941" i="2"/>
  <c r="AC940" i="2"/>
  <c r="AC939" i="2"/>
  <c r="AC938" i="2"/>
  <c r="AC937" i="2"/>
  <c r="AC936" i="2"/>
  <c r="AC935" i="2"/>
  <c r="AC934" i="2"/>
  <c r="AC933" i="2"/>
  <c r="AC932" i="2"/>
  <c r="AC931" i="2"/>
  <c r="AC930" i="2"/>
  <c r="AC929" i="2"/>
  <c r="AC928" i="2"/>
  <c r="AC927" i="2"/>
  <c r="AC926" i="2"/>
  <c r="AC925" i="2"/>
  <c r="AC924" i="2"/>
  <c r="AC923" i="2"/>
  <c r="AC922" i="2"/>
  <c r="AC921" i="2"/>
  <c r="AC920" i="2"/>
  <c r="AC919" i="2"/>
  <c r="AC918" i="2"/>
  <c r="AC917" i="2"/>
  <c r="AC916" i="2"/>
  <c r="AC915" i="2"/>
  <c r="AC914" i="2"/>
  <c r="AC913" i="2"/>
  <c r="AC912" i="2"/>
  <c r="AC911" i="2"/>
  <c r="AC910" i="2"/>
  <c r="AC909" i="2"/>
  <c r="AC908" i="2"/>
  <c r="AC907" i="2"/>
  <c r="AC906" i="2"/>
  <c r="AC905" i="2"/>
  <c r="AC904" i="2"/>
  <c r="AC903" i="2"/>
  <c r="AC902" i="2"/>
  <c r="AC901" i="2"/>
  <c r="AC900" i="2"/>
  <c r="AC899" i="2"/>
  <c r="AC898" i="2"/>
  <c r="AC897" i="2"/>
  <c r="AC896" i="2"/>
  <c r="AC895" i="2"/>
  <c r="AC894" i="2"/>
  <c r="AC893" i="2"/>
  <c r="AC892" i="2"/>
  <c r="AC891" i="2"/>
  <c r="AC890" i="2"/>
  <c r="AC889" i="2"/>
  <c r="AC888" i="2"/>
  <c r="AC887" i="2"/>
  <c r="AC886" i="2"/>
  <c r="AC885" i="2"/>
  <c r="AC884" i="2"/>
  <c r="AC883" i="2"/>
  <c r="AC882" i="2"/>
  <c r="AC881" i="2"/>
  <c r="AC880" i="2"/>
  <c r="AC879" i="2"/>
  <c r="AC878" i="2"/>
  <c r="AC877" i="2"/>
  <c r="AC876" i="2"/>
  <c r="AC875" i="2"/>
  <c r="AC874" i="2"/>
  <c r="AC873" i="2"/>
  <c r="AC872" i="2"/>
  <c r="AC871" i="2"/>
  <c r="AC870" i="2"/>
  <c r="AC869" i="2"/>
  <c r="AC868" i="2"/>
  <c r="AC867" i="2"/>
  <c r="AC866" i="2"/>
  <c r="AC865" i="2"/>
  <c r="AC864" i="2"/>
  <c r="AC863" i="2"/>
  <c r="AC862" i="2"/>
  <c r="AC861" i="2"/>
  <c r="AC860" i="2"/>
  <c r="AC859" i="2"/>
  <c r="AC858" i="2"/>
  <c r="AC857" i="2"/>
  <c r="AC856" i="2"/>
  <c r="AC855" i="2"/>
  <c r="AC854" i="2"/>
  <c r="AC853" i="2"/>
  <c r="AC852" i="2"/>
  <c r="AC851" i="2"/>
  <c r="AC850" i="2"/>
  <c r="AC849" i="2"/>
  <c r="AC848" i="2"/>
  <c r="AC847" i="2"/>
  <c r="AC846" i="2"/>
  <c r="AC845" i="2"/>
  <c r="AC844" i="2"/>
  <c r="AC843" i="2"/>
  <c r="AC842" i="2"/>
  <c r="AC841" i="2"/>
  <c r="AC840" i="2"/>
  <c r="AC839" i="2"/>
  <c r="AC838" i="2"/>
  <c r="AC837" i="2"/>
  <c r="AC836" i="2"/>
  <c r="AC835" i="2"/>
  <c r="AC834" i="2"/>
  <c r="AC833" i="2"/>
  <c r="AC832" i="2"/>
  <c r="AC831" i="2"/>
  <c r="AC830" i="2"/>
  <c r="AC829" i="2"/>
  <c r="AC828" i="2"/>
  <c r="AC827" i="2"/>
  <c r="AC826" i="2"/>
  <c r="AC825" i="2"/>
  <c r="AC824" i="2"/>
  <c r="AC823" i="2"/>
  <c r="AC822" i="2"/>
  <c r="AC821" i="2"/>
  <c r="AC820" i="2"/>
  <c r="AC819" i="2"/>
  <c r="AC818" i="2"/>
  <c r="AC817" i="2"/>
  <c r="AC816" i="2"/>
  <c r="AC815" i="2"/>
  <c r="AC814" i="2"/>
  <c r="AC813" i="2"/>
  <c r="AC812" i="2"/>
  <c r="AC811" i="2"/>
  <c r="AC810" i="2"/>
  <c r="AC809" i="2"/>
  <c r="AC808" i="2"/>
  <c r="AC807" i="2"/>
  <c r="AC806" i="2"/>
  <c r="AC805" i="2"/>
  <c r="AC804" i="2"/>
  <c r="AC803" i="2"/>
  <c r="AC802" i="2"/>
  <c r="AC801" i="2"/>
  <c r="AC800" i="2"/>
  <c r="AC799" i="2"/>
  <c r="AC798" i="2"/>
  <c r="AC797" i="2"/>
  <c r="AC796" i="2"/>
  <c r="AC795" i="2"/>
  <c r="AC794" i="2"/>
  <c r="AC793" i="2"/>
  <c r="AC792" i="2"/>
  <c r="AC791" i="2"/>
  <c r="AC790" i="2"/>
  <c r="AC789" i="2"/>
  <c r="AC788" i="2"/>
  <c r="AC787" i="2"/>
  <c r="AC786" i="2"/>
  <c r="AC785" i="2"/>
  <c r="AC784" i="2"/>
  <c r="AC783" i="2"/>
  <c r="AC782" i="2"/>
  <c r="AC781" i="2"/>
  <c r="AC780" i="2"/>
  <c r="AC779" i="2"/>
  <c r="AC778" i="2"/>
  <c r="AC777" i="2"/>
  <c r="AC776" i="2"/>
  <c r="AC775" i="2"/>
  <c r="AC774" i="2"/>
  <c r="AC773" i="2"/>
  <c r="AC772" i="2"/>
  <c r="AC771" i="2"/>
  <c r="AC770" i="2"/>
  <c r="AC769" i="2"/>
  <c r="AC768" i="2"/>
  <c r="AC767" i="2"/>
  <c r="AC766" i="2"/>
  <c r="AC765" i="2"/>
  <c r="AC764" i="2"/>
  <c r="AC763" i="2"/>
  <c r="AC762" i="2"/>
  <c r="AC761" i="2"/>
  <c r="AC760" i="2"/>
  <c r="AC759" i="2"/>
  <c r="AC758" i="2"/>
  <c r="AC757" i="2"/>
  <c r="AC756" i="2"/>
  <c r="AC755" i="2"/>
  <c r="AC754" i="2"/>
  <c r="AC753" i="2"/>
  <c r="AC752" i="2"/>
  <c r="AC751" i="2"/>
  <c r="AC750" i="2"/>
  <c r="AC749" i="2"/>
  <c r="AC748" i="2"/>
  <c r="AC747" i="2"/>
  <c r="AC746" i="2"/>
  <c r="AC745" i="2"/>
  <c r="AC744" i="2"/>
  <c r="AC743" i="2"/>
  <c r="AC742" i="2"/>
  <c r="AC741" i="2"/>
  <c r="AC740" i="2"/>
  <c r="AC739" i="2"/>
  <c r="AC738" i="2"/>
  <c r="AC737" i="2"/>
  <c r="AC736" i="2"/>
  <c r="AC735" i="2"/>
  <c r="AC734" i="2"/>
  <c r="AC733" i="2"/>
  <c r="AC732" i="2"/>
  <c r="AC731" i="2"/>
  <c r="AC730" i="2"/>
  <c r="AC729" i="2"/>
  <c r="AC728" i="2"/>
  <c r="AC727" i="2"/>
  <c r="AC726" i="2"/>
  <c r="AC725" i="2"/>
  <c r="AC724" i="2"/>
  <c r="AC723" i="2"/>
  <c r="AC722" i="2"/>
  <c r="AC721" i="2"/>
  <c r="AC720" i="2"/>
  <c r="AC719" i="2"/>
  <c r="AC718" i="2"/>
  <c r="AC717" i="2"/>
  <c r="AC716" i="2"/>
  <c r="AC715" i="2"/>
  <c r="AC714" i="2"/>
  <c r="AC713" i="2"/>
  <c r="AC712" i="2"/>
  <c r="AC711" i="2"/>
  <c r="AC710" i="2"/>
  <c r="AC709" i="2"/>
  <c r="AC708" i="2"/>
  <c r="AC707" i="2"/>
  <c r="AC706" i="2"/>
  <c r="AC705" i="2"/>
  <c r="AC704" i="2"/>
  <c r="AC703" i="2"/>
  <c r="AC702" i="2"/>
  <c r="AC701" i="2"/>
  <c r="AC700" i="2"/>
  <c r="AC699" i="2"/>
  <c r="AC698" i="2"/>
  <c r="AC697" i="2"/>
  <c r="AC696" i="2"/>
  <c r="AC695" i="2"/>
  <c r="AC694" i="2"/>
  <c r="AC693" i="2"/>
  <c r="AC692" i="2"/>
  <c r="AC691" i="2"/>
  <c r="AC690" i="2"/>
  <c r="AC689" i="2"/>
  <c r="AC688" i="2"/>
  <c r="AC687" i="2"/>
  <c r="AC686" i="2"/>
  <c r="AC685" i="2"/>
  <c r="AC684" i="2"/>
  <c r="AC683" i="2"/>
  <c r="AC682" i="2"/>
  <c r="AC681" i="2"/>
  <c r="AC680" i="2"/>
  <c r="AC679" i="2"/>
  <c r="AC678" i="2"/>
  <c r="AC677" i="2"/>
  <c r="AC676" i="2"/>
  <c r="AC675" i="2"/>
  <c r="AC674" i="2"/>
  <c r="AC673" i="2"/>
  <c r="AC672" i="2"/>
  <c r="AC671" i="2"/>
  <c r="AC670" i="2"/>
  <c r="AC669" i="2"/>
  <c r="AC668" i="2"/>
  <c r="AC667" i="2"/>
  <c r="AC666" i="2"/>
  <c r="AC665" i="2"/>
  <c r="AC664" i="2"/>
  <c r="AC663" i="2"/>
  <c r="AC662" i="2"/>
  <c r="AC661" i="2"/>
  <c r="AC660" i="2"/>
  <c r="AC659" i="2"/>
  <c r="AC658" i="2"/>
  <c r="AC657" i="2"/>
  <c r="AC656" i="2"/>
  <c r="AC655" i="2"/>
  <c r="AC654" i="2"/>
  <c r="AC653" i="2"/>
  <c r="AC652" i="2"/>
  <c r="AC651" i="2"/>
  <c r="AC650" i="2"/>
  <c r="AC649" i="2"/>
  <c r="AC648" i="2"/>
  <c r="AC647" i="2"/>
  <c r="AC646" i="2"/>
  <c r="AC645" i="2"/>
  <c r="AC644" i="2"/>
  <c r="AC643" i="2"/>
  <c r="AC642" i="2"/>
  <c r="AC641" i="2"/>
  <c r="AC640" i="2"/>
  <c r="AC639" i="2"/>
  <c r="AC638" i="2"/>
  <c r="AC637" i="2"/>
  <c r="AC636" i="2"/>
  <c r="AC635" i="2"/>
  <c r="AC634" i="2"/>
  <c r="AC633" i="2"/>
  <c r="AC632" i="2"/>
  <c r="AC631" i="2"/>
  <c r="AC630"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4"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1"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7"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8"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AC20" i="2"/>
  <c r="AC19" i="2"/>
  <c r="AC18" i="2"/>
  <c r="AC17" i="2"/>
  <c r="AC16" i="2"/>
  <c r="AC15" i="2"/>
  <c r="AC14" i="2"/>
  <c r="AC13" i="2"/>
  <c r="AC12" i="2"/>
  <c r="AC11" i="2"/>
  <c r="AC10" i="2"/>
  <c r="AC9" i="2"/>
  <c r="AC8" i="2"/>
  <c r="K656" i="3"/>
  <c r="K655" i="3"/>
  <c r="H12" i="14"/>
  <c r="H13" i="14"/>
  <c r="D5" i="16"/>
  <c r="D6" i="16"/>
  <c r="C5" i="16"/>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H49" i="6"/>
  <c r="K49" i="6" s="1"/>
  <c r="H59" i="6"/>
  <c r="K59" i="6" s="1"/>
  <c r="H58" i="6"/>
  <c r="K58" i="6" s="1"/>
  <c r="H57" i="6"/>
  <c r="K57" i="6" s="1"/>
  <c r="H56" i="6"/>
  <c r="K56" i="6" s="1"/>
  <c r="H55" i="6"/>
  <c r="K55" i="6" s="1"/>
  <c r="H54" i="6"/>
  <c r="K54" i="6" s="1"/>
  <c r="H53" i="6"/>
  <c r="K53" i="6" s="1"/>
  <c r="H52" i="6"/>
  <c r="K52" i="6" s="1"/>
  <c r="H51" i="6"/>
  <c r="K51" i="6" s="1"/>
  <c r="H50" i="6"/>
  <c r="K50" i="6" s="1"/>
  <c r="H48" i="6"/>
  <c r="K48" i="6" s="1"/>
  <c r="H47" i="6"/>
  <c r="K47" i="6" s="1"/>
  <c r="H46" i="6"/>
  <c r="K46" i="6" s="1"/>
  <c r="H45" i="6"/>
  <c r="K45" i="6" s="1"/>
  <c r="H44" i="6"/>
  <c r="K44" i="6" s="1"/>
  <c r="H43" i="6"/>
  <c r="K43" i="6" s="1"/>
  <c r="H42" i="6"/>
  <c r="K42" i="6" s="1"/>
  <c r="H41" i="6"/>
  <c r="K41" i="6" s="1"/>
  <c r="H40" i="6"/>
  <c r="K40" i="6" s="1"/>
  <c r="H39" i="6"/>
  <c r="K39" i="6" s="1"/>
  <c r="H38" i="6"/>
  <c r="K38" i="6" s="1"/>
  <c r="H37" i="6"/>
  <c r="K37" i="6" s="1"/>
  <c r="H36" i="6"/>
  <c r="K36" i="6" s="1"/>
  <c r="H35" i="6"/>
  <c r="K35" i="6" s="1"/>
  <c r="H34" i="6"/>
  <c r="K34" i="6" s="1"/>
  <c r="H33" i="6"/>
  <c r="K33" i="6" s="1"/>
  <c r="H32" i="6"/>
  <c r="K32" i="6" s="1"/>
  <c r="H31" i="6"/>
  <c r="K31" i="6" s="1"/>
  <c r="H30" i="6"/>
  <c r="K30" i="6" s="1"/>
  <c r="H29" i="6"/>
  <c r="K29" i="6" s="1"/>
  <c r="H28" i="6"/>
  <c r="K28" i="6" s="1"/>
  <c r="H27" i="6"/>
  <c r="K27" i="6" s="1"/>
  <c r="H26" i="6"/>
  <c r="K26" i="6" s="1"/>
  <c r="H24" i="6"/>
  <c r="K24" i="6" s="1"/>
  <c r="H23" i="6"/>
  <c r="K23" i="6" s="1"/>
  <c r="H22" i="6"/>
  <c r="K22" i="6" s="1"/>
  <c r="H21" i="6"/>
  <c r="K21" i="6" s="1"/>
  <c r="H20" i="6"/>
  <c r="K20" i="6" s="1"/>
  <c r="H19" i="6"/>
  <c r="K19" i="6" s="1"/>
  <c r="H18" i="6"/>
  <c r="K18" i="6" s="1"/>
  <c r="H17" i="6"/>
  <c r="K17" i="6" s="1"/>
  <c r="H16" i="6"/>
  <c r="K16" i="6" s="1"/>
  <c r="H15" i="6"/>
  <c r="K15" i="6" s="1"/>
  <c r="H14" i="6"/>
  <c r="K14" i="6" s="1"/>
  <c r="H13" i="6"/>
  <c r="K13" i="6" s="1"/>
  <c r="H12" i="6"/>
  <c r="K12" i="6" s="1"/>
  <c r="H11" i="6"/>
  <c r="K11" i="6" s="1"/>
  <c r="H10" i="6"/>
  <c r="K10" i="6" s="1"/>
  <c r="H9" i="6"/>
  <c r="K9" i="6" s="1"/>
  <c r="H8" i="6"/>
  <c r="K8" i="6" s="1"/>
  <c r="H7" i="6"/>
  <c r="K7" i="6" s="1"/>
  <c r="J10" i="8"/>
  <c r="I10" i="8"/>
  <c r="J9" i="8"/>
  <c r="I9" i="8"/>
  <c r="J8" i="8"/>
  <c r="I8" i="8"/>
  <c r="J7" i="8"/>
  <c r="H11" i="20" s="1"/>
  <c r="I7" i="8"/>
  <c r="H16" i="20" s="1"/>
  <c r="J40" i="7"/>
  <c r="I40" i="7"/>
  <c r="J39" i="7"/>
  <c r="I39" i="7"/>
  <c r="J38" i="7"/>
  <c r="I38" i="7"/>
  <c r="J37" i="7"/>
  <c r="I37" i="7"/>
  <c r="J36" i="7"/>
  <c r="I36" i="7"/>
  <c r="J35" i="7"/>
  <c r="I35" i="7"/>
  <c r="J34" i="7"/>
  <c r="I34" i="7"/>
  <c r="J33" i="7"/>
  <c r="I33" i="7"/>
  <c r="J32" i="7"/>
  <c r="I32" i="7"/>
  <c r="J31" i="7"/>
  <c r="I31" i="7"/>
  <c r="J30" i="7"/>
  <c r="I30" i="7"/>
  <c r="J29" i="7"/>
  <c r="I29" i="7"/>
  <c r="J28" i="7"/>
  <c r="I28" i="7"/>
  <c r="J27" i="7"/>
  <c r="I27" i="7"/>
  <c r="J26" i="7"/>
  <c r="I26" i="7"/>
  <c r="J25" i="7"/>
  <c r="I25" i="7"/>
  <c r="J24" i="7"/>
  <c r="I24" i="7"/>
  <c r="J23" i="7"/>
  <c r="I23" i="7"/>
  <c r="J22" i="7"/>
  <c r="I22" i="7"/>
  <c r="J21" i="7"/>
  <c r="I21" i="7"/>
  <c r="J20" i="7"/>
  <c r="I20" i="7"/>
  <c r="J19" i="7"/>
  <c r="I19" i="7"/>
  <c r="J18" i="7"/>
  <c r="I18" i="7"/>
  <c r="J17" i="7"/>
  <c r="I17" i="7"/>
  <c r="J16" i="7"/>
  <c r="I16" i="7"/>
  <c r="J15" i="7"/>
  <c r="I15" i="7"/>
  <c r="J14" i="7"/>
  <c r="I14" i="7"/>
  <c r="J13" i="7"/>
  <c r="I13" i="7"/>
  <c r="J12" i="7"/>
  <c r="I12" i="7"/>
  <c r="J11" i="7"/>
  <c r="I11" i="7"/>
  <c r="J10" i="7"/>
  <c r="I10" i="7"/>
  <c r="J9" i="7"/>
  <c r="I9" i="7"/>
  <c r="J8" i="7"/>
  <c r="I8" i="7"/>
  <c r="J7" i="7"/>
  <c r="G12" i="20" s="1"/>
  <c r="I7" i="7"/>
  <c r="G15" i="20" s="1"/>
  <c r="J59" i="6"/>
  <c r="I59" i="6"/>
  <c r="J58" i="6"/>
  <c r="I58" i="6"/>
  <c r="J57" i="6"/>
  <c r="I57" i="6"/>
  <c r="J56" i="6"/>
  <c r="I56" i="6"/>
  <c r="J55" i="6"/>
  <c r="I55" i="6"/>
  <c r="J54" i="6"/>
  <c r="I54" i="6"/>
  <c r="J53" i="6"/>
  <c r="I53" i="6"/>
  <c r="J52" i="6"/>
  <c r="I52" i="6"/>
  <c r="J51" i="6"/>
  <c r="I51" i="6"/>
  <c r="J50" i="6"/>
  <c r="I50" i="6"/>
  <c r="J49" i="6"/>
  <c r="I49" i="6"/>
  <c r="J48" i="6"/>
  <c r="I48" i="6"/>
  <c r="J47" i="6"/>
  <c r="I47" i="6"/>
  <c r="J46" i="6"/>
  <c r="I46" i="6"/>
  <c r="J45" i="6"/>
  <c r="I45" i="6"/>
  <c r="J44" i="6"/>
  <c r="I44" i="6"/>
  <c r="J43" i="6"/>
  <c r="I43" i="6"/>
  <c r="J42" i="6"/>
  <c r="I42" i="6"/>
  <c r="J41" i="6"/>
  <c r="I41" i="6"/>
  <c r="J40" i="6"/>
  <c r="I40" i="6"/>
  <c r="J39" i="6"/>
  <c r="I39" i="6"/>
  <c r="J38" i="6"/>
  <c r="I38" i="6"/>
  <c r="J37" i="6"/>
  <c r="I37" i="6"/>
  <c r="J36" i="6"/>
  <c r="I36" i="6"/>
  <c r="J35" i="6"/>
  <c r="I35" i="6"/>
  <c r="J34" i="6"/>
  <c r="I34" i="6"/>
  <c r="J33" i="6"/>
  <c r="I33" i="6"/>
  <c r="J32" i="6"/>
  <c r="I32" i="6"/>
  <c r="J31" i="6"/>
  <c r="I31" i="6"/>
  <c r="J30" i="6"/>
  <c r="I30" i="6"/>
  <c r="J29" i="6"/>
  <c r="I29" i="6"/>
  <c r="J28" i="6"/>
  <c r="I28" i="6"/>
  <c r="J27" i="6"/>
  <c r="I27" i="6"/>
  <c r="J26" i="6"/>
  <c r="I26" i="6"/>
  <c r="J24" i="6"/>
  <c r="I24" i="6"/>
  <c r="J23" i="6"/>
  <c r="I23" i="6"/>
  <c r="J22" i="6"/>
  <c r="I22" i="6"/>
  <c r="J21" i="6"/>
  <c r="I21" i="6"/>
  <c r="J20" i="6"/>
  <c r="I20" i="6"/>
  <c r="J19" i="6"/>
  <c r="I19" i="6"/>
  <c r="J18" i="6"/>
  <c r="I18" i="6"/>
  <c r="J17" i="6"/>
  <c r="I17" i="6"/>
  <c r="J16" i="6"/>
  <c r="I16" i="6"/>
  <c r="J15" i="6"/>
  <c r="I15" i="6"/>
  <c r="J14" i="6"/>
  <c r="I14" i="6"/>
  <c r="J13" i="6"/>
  <c r="I13" i="6"/>
  <c r="J12" i="6"/>
  <c r="I12" i="6"/>
  <c r="J11" i="6"/>
  <c r="I11" i="6"/>
  <c r="J10" i="6"/>
  <c r="I10" i="6"/>
  <c r="J9" i="6"/>
  <c r="I9" i="6"/>
  <c r="J8" i="6"/>
  <c r="I8" i="6"/>
  <c r="J7" i="6"/>
  <c r="I7" i="6"/>
  <c r="J143" i="5"/>
  <c r="I143" i="5"/>
  <c r="J142" i="5"/>
  <c r="I142" i="5"/>
  <c r="J141" i="5"/>
  <c r="I141" i="5"/>
  <c r="J140" i="5"/>
  <c r="I140" i="5"/>
  <c r="J139" i="5"/>
  <c r="I139" i="5"/>
  <c r="J138" i="5"/>
  <c r="I138" i="5"/>
  <c r="J137" i="5"/>
  <c r="I137" i="5"/>
  <c r="J136" i="5"/>
  <c r="I136" i="5"/>
  <c r="J135" i="5"/>
  <c r="I135" i="5"/>
  <c r="J134" i="5"/>
  <c r="I134" i="5"/>
  <c r="J133" i="5"/>
  <c r="I133" i="5"/>
  <c r="J132" i="5"/>
  <c r="I132" i="5"/>
  <c r="J131" i="5"/>
  <c r="I131" i="5"/>
  <c r="J130" i="5"/>
  <c r="I130" i="5"/>
  <c r="J129" i="5"/>
  <c r="I129" i="5"/>
  <c r="J128" i="5"/>
  <c r="I128" i="5"/>
  <c r="J127" i="5"/>
  <c r="I127" i="5"/>
  <c r="J126" i="5"/>
  <c r="I126" i="5"/>
  <c r="J125" i="5"/>
  <c r="I125" i="5"/>
  <c r="J124" i="5"/>
  <c r="I124" i="5"/>
  <c r="J123" i="5"/>
  <c r="I123" i="5"/>
  <c r="J122" i="5"/>
  <c r="I122" i="5"/>
  <c r="J121" i="5"/>
  <c r="I121" i="5"/>
  <c r="J120" i="5"/>
  <c r="I120" i="5"/>
  <c r="J119" i="5"/>
  <c r="I119" i="5"/>
  <c r="J118" i="5"/>
  <c r="I118" i="5"/>
  <c r="J117" i="5"/>
  <c r="I117" i="5"/>
  <c r="J116" i="5"/>
  <c r="I116" i="5"/>
  <c r="J115" i="5"/>
  <c r="I115" i="5"/>
  <c r="J114" i="5"/>
  <c r="I114" i="5"/>
  <c r="J113" i="5"/>
  <c r="I113" i="5"/>
  <c r="J112" i="5"/>
  <c r="I112" i="5"/>
  <c r="J111" i="5"/>
  <c r="I111" i="5"/>
  <c r="J110" i="5"/>
  <c r="I110" i="5"/>
  <c r="J109" i="5"/>
  <c r="I109" i="5"/>
  <c r="J108" i="5"/>
  <c r="I108" i="5"/>
  <c r="J107" i="5"/>
  <c r="I107" i="5"/>
  <c r="J106" i="5"/>
  <c r="I106" i="5"/>
  <c r="J105" i="5"/>
  <c r="I105" i="5"/>
  <c r="J104" i="5"/>
  <c r="I104" i="5"/>
  <c r="J103" i="5"/>
  <c r="I103" i="5"/>
  <c r="J102" i="5"/>
  <c r="I102" i="5"/>
  <c r="J101" i="5"/>
  <c r="I101" i="5"/>
  <c r="J100" i="5"/>
  <c r="I100" i="5"/>
  <c r="J99" i="5"/>
  <c r="I99" i="5"/>
  <c r="J98" i="5"/>
  <c r="I98" i="5"/>
  <c r="J97" i="5"/>
  <c r="I97" i="5"/>
  <c r="J96" i="5"/>
  <c r="I96" i="5"/>
  <c r="J95" i="5"/>
  <c r="I95" i="5"/>
  <c r="J94" i="5"/>
  <c r="I94" i="5"/>
  <c r="J93" i="5"/>
  <c r="I93" i="5"/>
  <c r="J92" i="5"/>
  <c r="I92" i="5"/>
  <c r="J91" i="5"/>
  <c r="I91" i="5"/>
  <c r="J90" i="5"/>
  <c r="I90" i="5"/>
  <c r="J89" i="5"/>
  <c r="I89" i="5"/>
  <c r="J88" i="5"/>
  <c r="I88" i="5"/>
  <c r="J87" i="5"/>
  <c r="I87" i="5"/>
  <c r="J86" i="5"/>
  <c r="I86" i="5"/>
  <c r="J85" i="5"/>
  <c r="I85" i="5"/>
  <c r="J84" i="5"/>
  <c r="I84" i="5"/>
  <c r="J83" i="5"/>
  <c r="I83" i="5"/>
  <c r="J82" i="5"/>
  <c r="I82" i="5"/>
  <c r="J81" i="5"/>
  <c r="I81" i="5"/>
  <c r="J80" i="5"/>
  <c r="I80" i="5"/>
  <c r="J79" i="5"/>
  <c r="I79" i="5"/>
  <c r="J78" i="5"/>
  <c r="I78" i="5"/>
  <c r="J77" i="5"/>
  <c r="I77" i="5"/>
  <c r="J76" i="5"/>
  <c r="I76" i="5"/>
  <c r="J75" i="5"/>
  <c r="I75" i="5"/>
  <c r="J74" i="5"/>
  <c r="I74" i="5"/>
  <c r="J73" i="5"/>
  <c r="I73" i="5"/>
  <c r="J72" i="5"/>
  <c r="I72" i="5"/>
  <c r="J71" i="5"/>
  <c r="I71" i="5"/>
  <c r="J70" i="5"/>
  <c r="I70" i="5"/>
  <c r="J69" i="5"/>
  <c r="I69" i="5"/>
  <c r="J68" i="5"/>
  <c r="I68" i="5"/>
  <c r="J67" i="5"/>
  <c r="I67" i="5"/>
  <c r="J66" i="5"/>
  <c r="I66" i="5"/>
  <c r="J65" i="5"/>
  <c r="I65" i="5"/>
  <c r="J64" i="5"/>
  <c r="I64" i="5"/>
  <c r="J63" i="5"/>
  <c r="I63" i="5"/>
  <c r="J62" i="5"/>
  <c r="I62" i="5"/>
  <c r="J61" i="5"/>
  <c r="I61" i="5"/>
  <c r="J60" i="5"/>
  <c r="I60" i="5"/>
  <c r="J59" i="5"/>
  <c r="I59" i="5"/>
  <c r="J58" i="5"/>
  <c r="I58" i="5"/>
  <c r="J57" i="5"/>
  <c r="I57" i="5"/>
  <c r="J56" i="5"/>
  <c r="I56" i="5"/>
  <c r="J55" i="5"/>
  <c r="I55" i="5"/>
  <c r="J54" i="5"/>
  <c r="I54" i="5"/>
  <c r="J53" i="5"/>
  <c r="I53" i="5"/>
  <c r="J52" i="5"/>
  <c r="I52" i="5"/>
  <c r="J51" i="5"/>
  <c r="I51" i="5"/>
  <c r="J50" i="5"/>
  <c r="I50" i="5"/>
  <c r="J49" i="5"/>
  <c r="I49" i="5"/>
  <c r="J48" i="5"/>
  <c r="I48" i="5"/>
  <c r="J47" i="5"/>
  <c r="I47" i="5"/>
  <c r="J46" i="5"/>
  <c r="I46" i="5"/>
  <c r="J45" i="5"/>
  <c r="I45" i="5"/>
  <c r="J44" i="5"/>
  <c r="I44" i="5"/>
  <c r="J43" i="5"/>
  <c r="I43" i="5"/>
  <c r="J42" i="5"/>
  <c r="I42" i="5"/>
  <c r="J41" i="5"/>
  <c r="I41" i="5"/>
  <c r="J40" i="5"/>
  <c r="I40" i="5"/>
  <c r="J39" i="5"/>
  <c r="I39" i="5"/>
  <c r="J38" i="5"/>
  <c r="I38" i="5"/>
  <c r="J37" i="5"/>
  <c r="I37" i="5"/>
  <c r="J36" i="5"/>
  <c r="I36" i="5"/>
  <c r="J35" i="5"/>
  <c r="I35" i="5"/>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J16" i="5"/>
  <c r="I16" i="5"/>
  <c r="J15" i="5"/>
  <c r="I15" i="5"/>
  <c r="J14" i="5"/>
  <c r="I14" i="5"/>
  <c r="J13" i="5"/>
  <c r="I13" i="5"/>
  <c r="J12" i="5"/>
  <c r="I12" i="5"/>
  <c r="J11" i="5"/>
  <c r="I11" i="5"/>
  <c r="J10" i="5"/>
  <c r="I10" i="5"/>
  <c r="J9" i="5"/>
  <c r="I9" i="5"/>
  <c r="J8" i="5"/>
  <c r="I8" i="5"/>
  <c r="J7" i="5"/>
  <c r="I7" i="5"/>
  <c r="J296" i="4"/>
  <c r="I296" i="4"/>
  <c r="J295" i="4"/>
  <c r="I295" i="4"/>
  <c r="J294" i="4"/>
  <c r="I294" i="4"/>
  <c r="J293" i="4"/>
  <c r="I293" i="4"/>
  <c r="J292" i="4"/>
  <c r="I292" i="4"/>
  <c r="J291" i="4"/>
  <c r="I291" i="4"/>
  <c r="J290" i="4"/>
  <c r="I290" i="4"/>
  <c r="J289" i="4"/>
  <c r="I289" i="4"/>
  <c r="J288" i="4"/>
  <c r="I288" i="4"/>
  <c r="J287" i="4"/>
  <c r="I287" i="4"/>
  <c r="J286" i="4"/>
  <c r="I286" i="4"/>
  <c r="J285" i="4"/>
  <c r="I285" i="4"/>
  <c r="J284" i="4"/>
  <c r="I284" i="4"/>
  <c r="J283" i="4"/>
  <c r="I283" i="4"/>
  <c r="J282" i="4"/>
  <c r="I282" i="4"/>
  <c r="J281" i="4"/>
  <c r="I281" i="4"/>
  <c r="J280" i="4"/>
  <c r="I280" i="4"/>
  <c r="J279" i="4"/>
  <c r="I279" i="4"/>
  <c r="J278" i="4"/>
  <c r="I278" i="4"/>
  <c r="J277" i="4"/>
  <c r="I277" i="4"/>
  <c r="J276" i="4"/>
  <c r="I276" i="4"/>
  <c r="J275" i="4"/>
  <c r="I275" i="4"/>
  <c r="J274" i="4"/>
  <c r="I274" i="4"/>
  <c r="J273" i="4"/>
  <c r="I273" i="4"/>
  <c r="J272" i="4"/>
  <c r="I272" i="4"/>
  <c r="J271" i="4"/>
  <c r="I271" i="4"/>
  <c r="J270" i="4"/>
  <c r="I270" i="4"/>
  <c r="J269" i="4"/>
  <c r="I269" i="4"/>
  <c r="J268" i="4"/>
  <c r="I268" i="4"/>
  <c r="J267" i="4"/>
  <c r="I267" i="4"/>
  <c r="J266" i="4"/>
  <c r="I266" i="4"/>
  <c r="J265" i="4"/>
  <c r="I265" i="4"/>
  <c r="J264" i="4"/>
  <c r="I264" i="4"/>
  <c r="J263" i="4"/>
  <c r="I263" i="4"/>
  <c r="J262" i="4"/>
  <c r="I262" i="4"/>
  <c r="J261" i="4"/>
  <c r="I261" i="4"/>
  <c r="J260" i="4"/>
  <c r="I260" i="4"/>
  <c r="J259" i="4"/>
  <c r="I259" i="4"/>
  <c r="J258" i="4"/>
  <c r="I258" i="4"/>
  <c r="J257" i="4"/>
  <c r="I257" i="4"/>
  <c r="J256" i="4"/>
  <c r="I256" i="4"/>
  <c r="J255" i="4"/>
  <c r="I255" i="4"/>
  <c r="J254" i="4"/>
  <c r="I254" i="4"/>
  <c r="J253" i="4"/>
  <c r="I253" i="4"/>
  <c r="J252" i="4"/>
  <c r="I252" i="4"/>
  <c r="J251" i="4"/>
  <c r="I251" i="4"/>
  <c r="J250" i="4"/>
  <c r="I250" i="4"/>
  <c r="J249" i="4"/>
  <c r="I249" i="4"/>
  <c r="J248" i="4"/>
  <c r="I248" i="4"/>
  <c r="J247" i="4"/>
  <c r="I247" i="4"/>
  <c r="J246" i="4"/>
  <c r="I246" i="4"/>
  <c r="J245" i="4"/>
  <c r="I245" i="4"/>
  <c r="J244" i="4"/>
  <c r="I244" i="4"/>
  <c r="J243" i="4"/>
  <c r="I243" i="4"/>
  <c r="J242" i="4"/>
  <c r="I242" i="4"/>
  <c r="J241" i="4"/>
  <c r="I241" i="4"/>
  <c r="J240" i="4"/>
  <c r="I240" i="4"/>
  <c r="J239" i="4"/>
  <c r="I239" i="4"/>
  <c r="J238" i="4"/>
  <c r="I238" i="4"/>
  <c r="J237" i="4"/>
  <c r="I237" i="4"/>
  <c r="J236" i="4"/>
  <c r="I236" i="4"/>
  <c r="J235" i="4"/>
  <c r="I235" i="4"/>
  <c r="J234" i="4"/>
  <c r="I234" i="4"/>
  <c r="J233" i="4"/>
  <c r="I233" i="4"/>
  <c r="J232" i="4"/>
  <c r="I232" i="4"/>
  <c r="J231" i="4"/>
  <c r="I231" i="4"/>
  <c r="J230" i="4"/>
  <c r="I230" i="4"/>
  <c r="J229" i="4"/>
  <c r="I229" i="4"/>
  <c r="J228" i="4"/>
  <c r="I228" i="4"/>
  <c r="J227" i="4"/>
  <c r="I227" i="4"/>
  <c r="J226" i="4"/>
  <c r="I226" i="4"/>
  <c r="J225" i="4"/>
  <c r="I225" i="4"/>
  <c r="J224" i="4"/>
  <c r="I224" i="4"/>
  <c r="J223" i="4"/>
  <c r="I223" i="4"/>
  <c r="J222" i="4"/>
  <c r="I222" i="4"/>
  <c r="J221" i="4"/>
  <c r="I221" i="4"/>
  <c r="J220" i="4"/>
  <c r="I220" i="4"/>
  <c r="J219" i="4"/>
  <c r="I219" i="4"/>
  <c r="J218" i="4"/>
  <c r="I218" i="4"/>
  <c r="J217" i="4"/>
  <c r="I217" i="4"/>
  <c r="J216" i="4"/>
  <c r="I216" i="4"/>
  <c r="J215" i="4"/>
  <c r="I215" i="4"/>
  <c r="J214" i="4"/>
  <c r="I214" i="4"/>
  <c r="J213" i="4"/>
  <c r="I213" i="4"/>
  <c r="J212" i="4"/>
  <c r="I212" i="4"/>
  <c r="J211" i="4"/>
  <c r="I211" i="4"/>
  <c r="J210" i="4"/>
  <c r="I210" i="4"/>
  <c r="J209" i="4"/>
  <c r="I209" i="4"/>
  <c r="J208" i="4"/>
  <c r="I208" i="4"/>
  <c r="J207" i="4"/>
  <c r="I207" i="4"/>
  <c r="J206" i="4"/>
  <c r="I206" i="4"/>
  <c r="J205" i="4"/>
  <c r="I205" i="4"/>
  <c r="J204" i="4"/>
  <c r="I204" i="4"/>
  <c r="J203" i="4"/>
  <c r="I203" i="4"/>
  <c r="J202" i="4"/>
  <c r="I202" i="4"/>
  <c r="J201" i="4"/>
  <c r="I201" i="4"/>
  <c r="J200" i="4"/>
  <c r="I200" i="4"/>
  <c r="J199" i="4"/>
  <c r="I199" i="4"/>
  <c r="J198" i="4"/>
  <c r="I198" i="4"/>
  <c r="J197" i="4"/>
  <c r="I197" i="4"/>
  <c r="J196" i="4"/>
  <c r="I196" i="4"/>
  <c r="J195" i="4"/>
  <c r="I195" i="4"/>
  <c r="J194" i="4"/>
  <c r="I194" i="4"/>
  <c r="J193" i="4"/>
  <c r="I193" i="4"/>
  <c r="J192" i="4"/>
  <c r="I192" i="4"/>
  <c r="J191" i="4"/>
  <c r="I191" i="4"/>
  <c r="J190" i="4"/>
  <c r="I190" i="4"/>
  <c r="J189" i="4"/>
  <c r="I189" i="4"/>
  <c r="J188" i="4"/>
  <c r="I188" i="4"/>
  <c r="J187" i="4"/>
  <c r="I187" i="4"/>
  <c r="J186" i="4"/>
  <c r="I186" i="4"/>
  <c r="J185" i="4"/>
  <c r="I185" i="4"/>
  <c r="J184" i="4"/>
  <c r="I184" i="4"/>
  <c r="J183" i="4"/>
  <c r="I183" i="4"/>
  <c r="J182" i="4"/>
  <c r="I182" i="4"/>
  <c r="J181" i="4"/>
  <c r="I181" i="4"/>
  <c r="J180" i="4"/>
  <c r="I180" i="4"/>
  <c r="J179" i="4"/>
  <c r="I179" i="4"/>
  <c r="J178" i="4"/>
  <c r="I178" i="4"/>
  <c r="J177" i="4"/>
  <c r="I177" i="4"/>
  <c r="J176" i="4"/>
  <c r="I176" i="4"/>
  <c r="J175" i="4"/>
  <c r="I175" i="4"/>
  <c r="J174" i="4"/>
  <c r="I174" i="4"/>
  <c r="J173" i="4"/>
  <c r="I173" i="4"/>
  <c r="J172" i="4"/>
  <c r="I172" i="4"/>
  <c r="J171" i="4"/>
  <c r="I171" i="4"/>
  <c r="J170" i="4"/>
  <c r="I170" i="4"/>
  <c r="J169" i="4"/>
  <c r="I169" i="4"/>
  <c r="J168" i="4"/>
  <c r="I168" i="4"/>
  <c r="J167" i="4"/>
  <c r="I167" i="4"/>
  <c r="J166" i="4"/>
  <c r="I166" i="4"/>
  <c r="J165" i="4"/>
  <c r="I165" i="4"/>
  <c r="J164" i="4"/>
  <c r="I164" i="4"/>
  <c r="J163" i="4"/>
  <c r="I163" i="4"/>
  <c r="J162" i="4"/>
  <c r="I162" i="4"/>
  <c r="J161" i="4"/>
  <c r="I161" i="4"/>
  <c r="J160" i="4"/>
  <c r="I160" i="4"/>
  <c r="J159" i="4"/>
  <c r="I159" i="4"/>
  <c r="J158" i="4"/>
  <c r="I158" i="4"/>
  <c r="J157" i="4"/>
  <c r="I157" i="4"/>
  <c r="J156" i="4"/>
  <c r="I156" i="4"/>
  <c r="J155" i="4"/>
  <c r="I155" i="4"/>
  <c r="J154" i="4"/>
  <c r="I154" i="4"/>
  <c r="J153" i="4"/>
  <c r="I153" i="4"/>
  <c r="J152" i="4"/>
  <c r="I152" i="4"/>
  <c r="J151" i="4"/>
  <c r="I151" i="4"/>
  <c r="J150" i="4"/>
  <c r="I150" i="4"/>
  <c r="J149" i="4"/>
  <c r="I149" i="4"/>
  <c r="J148" i="4"/>
  <c r="I148" i="4"/>
  <c r="J147" i="4"/>
  <c r="I147" i="4"/>
  <c r="J146" i="4"/>
  <c r="I146" i="4"/>
  <c r="J145" i="4"/>
  <c r="I145" i="4"/>
  <c r="J144" i="4"/>
  <c r="I144" i="4"/>
  <c r="J143" i="4"/>
  <c r="I143" i="4"/>
  <c r="J142" i="4"/>
  <c r="I142" i="4"/>
  <c r="J141" i="4"/>
  <c r="I141" i="4"/>
  <c r="J140" i="4"/>
  <c r="I140" i="4"/>
  <c r="J139" i="4"/>
  <c r="I139" i="4"/>
  <c r="J138" i="4"/>
  <c r="I138" i="4"/>
  <c r="J137" i="4"/>
  <c r="I137" i="4"/>
  <c r="J136" i="4"/>
  <c r="I136" i="4"/>
  <c r="J135" i="4"/>
  <c r="I135" i="4"/>
  <c r="J134" i="4"/>
  <c r="I134" i="4"/>
  <c r="J133" i="4"/>
  <c r="I133" i="4"/>
  <c r="J132" i="4"/>
  <c r="I132" i="4"/>
  <c r="J131" i="4"/>
  <c r="I131" i="4"/>
  <c r="J130" i="4"/>
  <c r="I130" i="4"/>
  <c r="J129" i="4"/>
  <c r="I129" i="4"/>
  <c r="J128" i="4"/>
  <c r="I128" i="4"/>
  <c r="J127" i="4"/>
  <c r="I127" i="4"/>
  <c r="J126" i="4"/>
  <c r="I126" i="4"/>
  <c r="J125" i="4"/>
  <c r="I125" i="4"/>
  <c r="J124" i="4"/>
  <c r="I124" i="4"/>
  <c r="J123" i="4"/>
  <c r="I123" i="4"/>
  <c r="J122" i="4"/>
  <c r="I122" i="4"/>
  <c r="J121" i="4"/>
  <c r="I121" i="4"/>
  <c r="J120" i="4"/>
  <c r="I120" i="4"/>
  <c r="J119" i="4"/>
  <c r="I119" i="4"/>
  <c r="J118" i="4"/>
  <c r="I118" i="4"/>
  <c r="J117" i="4"/>
  <c r="I117" i="4"/>
  <c r="J116" i="4"/>
  <c r="I116" i="4"/>
  <c r="J115" i="4"/>
  <c r="I115" i="4"/>
  <c r="J114" i="4"/>
  <c r="I114" i="4"/>
  <c r="J113" i="4"/>
  <c r="I113" i="4"/>
  <c r="J112" i="4"/>
  <c r="I112" i="4"/>
  <c r="J111" i="4"/>
  <c r="I111" i="4"/>
  <c r="J110" i="4"/>
  <c r="I110" i="4"/>
  <c r="J109" i="4"/>
  <c r="I109" i="4"/>
  <c r="J108" i="4"/>
  <c r="I108" i="4"/>
  <c r="J107" i="4"/>
  <c r="I107" i="4"/>
  <c r="J106" i="4"/>
  <c r="I106" i="4"/>
  <c r="J105" i="4"/>
  <c r="I105" i="4"/>
  <c r="J104" i="4"/>
  <c r="I104" i="4"/>
  <c r="J103" i="4"/>
  <c r="I103" i="4"/>
  <c r="J102" i="4"/>
  <c r="I102" i="4"/>
  <c r="J101" i="4"/>
  <c r="I101" i="4"/>
  <c r="J100" i="4"/>
  <c r="I100" i="4"/>
  <c r="J99" i="4"/>
  <c r="I99" i="4"/>
  <c r="J98" i="4"/>
  <c r="I98" i="4"/>
  <c r="J97" i="4"/>
  <c r="I97" i="4"/>
  <c r="J96" i="4"/>
  <c r="I96" i="4"/>
  <c r="J95" i="4"/>
  <c r="I95" i="4"/>
  <c r="J94" i="4"/>
  <c r="I94" i="4"/>
  <c r="J93" i="4"/>
  <c r="I93" i="4"/>
  <c r="J92" i="4"/>
  <c r="I92" i="4"/>
  <c r="J91" i="4"/>
  <c r="I91" i="4"/>
  <c r="J90" i="4"/>
  <c r="I90" i="4"/>
  <c r="J89" i="4"/>
  <c r="I89" i="4"/>
  <c r="J88" i="4"/>
  <c r="I88" i="4"/>
  <c r="J87" i="4"/>
  <c r="I87" i="4"/>
  <c r="J86" i="4"/>
  <c r="I86" i="4"/>
  <c r="J85" i="4"/>
  <c r="I85" i="4"/>
  <c r="J84" i="4"/>
  <c r="I84" i="4"/>
  <c r="J83" i="4"/>
  <c r="I83" i="4"/>
  <c r="J82" i="4"/>
  <c r="I82" i="4"/>
  <c r="J81" i="4"/>
  <c r="I81" i="4"/>
  <c r="J80" i="4"/>
  <c r="I80" i="4"/>
  <c r="J79" i="4"/>
  <c r="I79" i="4"/>
  <c r="J78" i="4"/>
  <c r="I78" i="4"/>
  <c r="J77" i="4"/>
  <c r="I77" i="4"/>
  <c r="J76" i="4"/>
  <c r="I76" i="4"/>
  <c r="J75" i="4"/>
  <c r="I75" i="4"/>
  <c r="J74" i="4"/>
  <c r="I74" i="4"/>
  <c r="J73" i="4"/>
  <c r="I73" i="4"/>
  <c r="J72" i="4"/>
  <c r="I72" i="4"/>
  <c r="J71" i="4"/>
  <c r="I71" i="4"/>
  <c r="J70" i="4"/>
  <c r="I70" i="4"/>
  <c r="J69" i="4"/>
  <c r="I69" i="4"/>
  <c r="J68" i="4"/>
  <c r="I68" i="4"/>
  <c r="J67" i="4"/>
  <c r="I67" i="4"/>
  <c r="J66" i="4"/>
  <c r="I66" i="4"/>
  <c r="J65" i="4"/>
  <c r="I65" i="4"/>
  <c r="J64" i="4"/>
  <c r="I64" i="4"/>
  <c r="J63" i="4"/>
  <c r="I63" i="4"/>
  <c r="J62" i="4"/>
  <c r="I62" i="4"/>
  <c r="J61" i="4"/>
  <c r="I61" i="4"/>
  <c r="J60" i="4"/>
  <c r="I60" i="4"/>
  <c r="J59" i="4"/>
  <c r="I59" i="4"/>
  <c r="J58" i="4"/>
  <c r="I58" i="4"/>
  <c r="J57" i="4"/>
  <c r="I57" i="4"/>
  <c r="J56" i="4"/>
  <c r="I56" i="4"/>
  <c r="J55" i="4"/>
  <c r="I55" i="4"/>
  <c r="J54" i="4"/>
  <c r="I54" i="4"/>
  <c r="J53" i="4"/>
  <c r="I53" i="4"/>
  <c r="J52" i="4"/>
  <c r="I52" i="4"/>
  <c r="J51" i="4"/>
  <c r="I51" i="4"/>
  <c r="J50" i="4"/>
  <c r="I50" i="4"/>
  <c r="J49" i="4"/>
  <c r="I49" i="4"/>
  <c r="J48" i="4"/>
  <c r="I48" i="4"/>
  <c r="J47" i="4"/>
  <c r="I47" i="4"/>
  <c r="J46" i="4"/>
  <c r="I46" i="4"/>
  <c r="J45" i="4"/>
  <c r="I45" i="4"/>
  <c r="J44" i="4"/>
  <c r="I44" i="4"/>
  <c r="J43" i="4"/>
  <c r="I43" i="4"/>
  <c r="J42" i="4"/>
  <c r="I42" i="4"/>
  <c r="J41" i="4"/>
  <c r="I41" i="4"/>
  <c r="J40" i="4"/>
  <c r="I40" i="4"/>
  <c r="J39" i="4"/>
  <c r="I39" i="4"/>
  <c r="J38" i="4"/>
  <c r="I38" i="4"/>
  <c r="J37" i="4"/>
  <c r="I37" i="4"/>
  <c r="J36" i="4"/>
  <c r="I36" i="4"/>
  <c r="J35" i="4"/>
  <c r="I35" i="4"/>
  <c r="J34" i="4"/>
  <c r="I34" i="4"/>
  <c r="J33" i="4"/>
  <c r="I33" i="4"/>
  <c r="J32" i="4"/>
  <c r="I32" i="4"/>
  <c r="J31" i="4"/>
  <c r="I31" i="4"/>
  <c r="J30" i="4"/>
  <c r="I30" i="4"/>
  <c r="J29" i="4"/>
  <c r="I29" i="4"/>
  <c r="J28" i="4"/>
  <c r="I28" i="4"/>
  <c r="J27" i="4"/>
  <c r="I27" i="4"/>
  <c r="J26" i="4"/>
  <c r="I26" i="4"/>
  <c r="J25" i="4"/>
  <c r="I25" i="4"/>
  <c r="J24" i="4"/>
  <c r="I24" i="4"/>
  <c r="J23" i="4"/>
  <c r="I23" i="4"/>
  <c r="J22" i="4"/>
  <c r="I22" i="4"/>
  <c r="J21" i="4"/>
  <c r="I21" i="4"/>
  <c r="J20" i="4"/>
  <c r="I20" i="4"/>
  <c r="J19" i="4"/>
  <c r="I19" i="4"/>
  <c r="J18" i="4"/>
  <c r="I18" i="4"/>
  <c r="J17" i="4"/>
  <c r="I17" i="4"/>
  <c r="J16" i="4"/>
  <c r="I16" i="4"/>
  <c r="J15" i="4"/>
  <c r="I15" i="4"/>
  <c r="J14" i="4"/>
  <c r="I14" i="4"/>
  <c r="J13" i="4"/>
  <c r="I13" i="4"/>
  <c r="J12" i="4"/>
  <c r="I12" i="4"/>
  <c r="J11" i="4"/>
  <c r="I11" i="4"/>
  <c r="J10" i="4"/>
  <c r="I10" i="4"/>
  <c r="J9" i="4"/>
  <c r="I9" i="4"/>
  <c r="J8" i="4"/>
  <c r="I8" i="4"/>
  <c r="J7" i="4"/>
  <c r="I7" i="4"/>
  <c r="J718" i="3"/>
  <c r="I718" i="3"/>
  <c r="J717" i="3"/>
  <c r="I717" i="3"/>
  <c r="J716" i="3"/>
  <c r="I716" i="3"/>
  <c r="J715" i="3"/>
  <c r="I715" i="3"/>
  <c r="J714" i="3"/>
  <c r="I714" i="3"/>
  <c r="J713" i="3"/>
  <c r="I713" i="3"/>
  <c r="J712" i="3"/>
  <c r="I712" i="3"/>
  <c r="J711" i="3"/>
  <c r="I711" i="3"/>
  <c r="J710" i="3"/>
  <c r="I710" i="3"/>
  <c r="J709" i="3"/>
  <c r="I709" i="3"/>
  <c r="J708" i="3"/>
  <c r="I708" i="3"/>
  <c r="J707" i="3"/>
  <c r="I707" i="3"/>
  <c r="J706" i="3"/>
  <c r="I706" i="3"/>
  <c r="J705" i="3"/>
  <c r="I705" i="3"/>
  <c r="J702" i="3"/>
  <c r="I702" i="3"/>
  <c r="J701" i="3"/>
  <c r="I701" i="3"/>
  <c r="J700" i="3"/>
  <c r="I700" i="3"/>
  <c r="J699" i="3"/>
  <c r="I699" i="3"/>
  <c r="J698" i="3"/>
  <c r="I698" i="3"/>
  <c r="J697" i="3"/>
  <c r="I697" i="3"/>
  <c r="J696" i="3"/>
  <c r="I696" i="3"/>
  <c r="J695" i="3"/>
  <c r="I695" i="3"/>
  <c r="J694" i="3"/>
  <c r="I694" i="3"/>
  <c r="J693" i="3"/>
  <c r="I693" i="3"/>
  <c r="J692" i="3"/>
  <c r="I692" i="3"/>
  <c r="J691" i="3"/>
  <c r="I691" i="3"/>
  <c r="J690" i="3"/>
  <c r="I690" i="3"/>
  <c r="J689" i="3"/>
  <c r="I689" i="3"/>
  <c r="J688" i="3"/>
  <c r="I688" i="3"/>
  <c r="J687" i="3"/>
  <c r="I687" i="3"/>
  <c r="J686" i="3"/>
  <c r="I686" i="3"/>
  <c r="J685" i="3"/>
  <c r="I685" i="3"/>
  <c r="J684" i="3"/>
  <c r="I684" i="3"/>
  <c r="J683" i="3"/>
  <c r="I683" i="3"/>
  <c r="J682" i="3"/>
  <c r="I682" i="3"/>
  <c r="J681" i="3"/>
  <c r="I681" i="3"/>
  <c r="J680" i="3"/>
  <c r="I680" i="3"/>
  <c r="J679" i="3"/>
  <c r="I679" i="3"/>
  <c r="J678" i="3"/>
  <c r="I678" i="3"/>
  <c r="J677" i="3"/>
  <c r="I677" i="3"/>
  <c r="J676" i="3"/>
  <c r="I676" i="3"/>
  <c r="J675" i="3"/>
  <c r="I675" i="3"/>
  <c r="J674" i="3"/>
  <c r="I674" i="3"/>
  <c r="J673" i="3"/>
  <c r="I673" i="3"/>
  <c r="J672" i="3"/>
  <c r="I672" i="3"/>
  <c r="J671" i="3"/>
  <c r="I671" i="3"/>
  <c r="J670" i="3"/>
  <c r="I670" i="3"/>
  <c r="J669" i="3"/>
  <c r="I669" i="3"/>
  <c r="J668" i="3"/>
  <c r="I668" i="3"/>
  <c r="J667" i="3"/>
  <c r="I667" i="3"/>
  <c r="J666" i="3"/>
  <c r="I666" i="3"/>
  <c r="J665" i="3"/>
  <c r="I665" i="3"/>
  <c r="J664" i="3"/>
  <c r="I664" i="3"/>
  <c r="J663" i="3"/>
  <c r="I663" i="3"/>
  <c r="J662" i="3"/>
  <c r="I662" i="3"/>
  <c r="J661" i="3"/>
  <c r="I661" i="3"/>
  <c r="J660" i="3"/>
  <c r="I660" i="3"/>
  <c r="J659" i="3"/>
  <c r="I659" i="3"/>
  <c r="J658" i="3"/>
  <c r="I658" i="3"/>
  <c r="J657" i="3"/>
  <c r="I657" i="3"/>
  <c r="J656" i="3"/>
  <c r="I656" i="3"/>
  <c r="J655" i="3"/>
  <c r="I655" i="3"/>
  <c r="J654" i="3"/>
  <c r="I654" i="3"/>
  <c r="J653" i="3"/>
  <c r="I653" i="3"/>
  <c r="J652" i="3"/>
  <c r="I652" i="3"/>
  <c r="J651" i="3"/>
  <c r="I651" i="3"/>
  <c r="J650" i="3"/>
  <c r="I650" i="3"/>
  <c r="J649" i="3"/>
  <c r="I649" i="3"/>
  <c r="J648" i="3"/>
  <c r="I648" i="3"/>
  <c r="J647" i="3"/>
  <c r="I647" i="3"/>
  <c r="J646" i="3"/>
  <c r="I646" i="3"/>
  <c r="J645" i="3"/>
  <c r="I645" i="3"/>
  <c r="J644" i="3"/>
  <c r="I644" i="3"/>
  <c r="J643" i="3"/>
  <c r="I643" i="3"/>
  <c r="J642" i="3"/>
  <c r="I642" i="3"/>
  <c r="J641" i="3"/>
  <c r="I641" i="3"/>
  <c r="J640" i="3"/>
  <c r="I640" i="3"/>
  <c r="J639" i="3"/>
  <c r="I639" i="3"/>
  <c r="J638" i="3"/>
  <c r="I638" i="3"/>
  <c r="J637" i="3"/>
  <c r="I637" i="3"/>
  <c r="J636" i="3"/>
  <c r="I636" i="3"/>
  <c r="J635" i="3"/>
  <c r="I635" i="3"/>
  <c r="J634" i="3"/>
  <c r="I634" i="3"/>
  <c r="J633" i="3"/>
  <c r="I633" i="3"/>
  <c r="J632" i="3"/>
  <c r="I632" i="3"/>
  <c r="J631" i="3"/>
  <c r="I631" i="3"/>
  <c r="J630" i="3"/>
  <c r="I630" i="3"/>
  <c r="J629" i="3"/>
  <c r="I629" i="3"/>
  <c r="J628" i="3"/>
  <c r="I628" i="3"/>
  <c r="J627" i="3"/>
  <c r="I627" i="3"/>
  <c r="J626" i="3"/>
  <c r="I626" i="3"/>
  <c r="J625" i="3"/>
  <c r="I625" i="3"/>
  <c r="J624" i="3"/>
  <c r="I624" i="3"/>
  <c r="J623" i="3"/>
  <c r="I623" i="3"/>
  <c r="J622" i="3"/>
  <c r="I622" i="3"/>
  <c r="J621" i="3"/>
  <c r="I621" i="3"/>
  <c r="J620" i="3"/>
  <c r="I620" i="3"/>
  <c r="J619" i="3"/>
  <c r="I619" i="3"/>
  <c r="J618" i="3"/>
  <c r="I618" i="3"/>
  <c r="J617" i="3"/>
  <c r="I617" i="3"/>
  <c r="J616" i="3"/>
  <c r="I616" i="3"/>
  <c r="J615" i="3"/>
  <c r="I615" i="3"/>
  <c r="J614" i="3"/>
  <c r="I614" i="3"/>
  <c r="J613" i="3"/>
  <c r="I613" i="3"/>
  <c r="J612" i="3"/>
  <c r="I612" i="3"/>
  <c r="J611" i="3"/>
  <c r="I611" i="3"/>
  <c r="J610" i="3"/>
  <c r="I610" i="3"/>
  <c r="J609" i="3"/>
  <c r="I609" i="3"/>
  <c r="J608" i="3"/>
  <c r="I608" i="3"/>
  <c r="J607" i="3"/>
  <c r="I607" i="3"/>
  <c r="J606" i="3"/>
  <c r="I606" i="3"/>
  <c r="J605" i="3"/>
  <c r="I605" i="3"/>
  <c r="J604" i="3"/>
  <c r="I604" i="3"/>
  <c r="J603" i="3"/>
  <c r="I603" i="3"/>
  <c r="J602" i="3"/>
  <c r="I602" i="3"/>
  <c r="J601" i="3"/>
  <c r="I601" i="3"/>
  <c r="J600" i="3"/>
  <c r="I600" i="3"/>
  <c r="J599" i="3"/>
  <c r="I599" i="3"/>
  <c r="J598" i="3"/>
  <c r="I598" i="3"/>
  <c r="J597" i="3"/>
  <c r="I597" i="3"/>
  <c r="J596" i="3"/>
  <c r="I596" i="3"/>
  <c r="J595" i="3"/>
  <c r="I595" i="3"/>
  <c r="J594" i="3"/>
  <c r="I594" i="3"/>
  <c r="J593" i="3"/>
  <c r="I593" i="3"/>
  <c r="J592" i="3"/>
  <c r="I592" i="3"/>
  <c r="J591" i="3"/>
  <c r="I591" i="3"/>
  <c r="J590" i="3"/>
  <c r="I590" i="3"/>
  <c r="J589" i="3"/>
  <c r="I589" i="3"/>
  <c r="J588" i="3"/>
  <c r="I588" i="3"/>
  <c r="J587" i="3"/>
  <c r="I587" i="3"/>
  <c r="J586" i="3"/>
  <c r="I586" i="3"/>
  <c r="J585" i="3"/>
  <c r="I585" i="3"/>
  <c r="J584" i="3"/>
  <c r="I584" i="3"/>
  <c r="J583" i="3"/>
  <c r="I583" i="3"/>
  <c r="J582" i="3"/>
  <c r="I582" i="3"/>
  <c r="J581" i="3"/>
  <c r="I581" i="3"/>
  <c r="J580" i="3"/>
  <c r="I580" i="3"/>
  <c r="J579" i="3"/>
  <c r="I579" i="3"/>
  <c r="J578" i="3"/>
  <c r="I578" i="3"/>
  <c r="J577" i="3"/>
  <c r="I577" i="3"/>
  <c r="J576" i="3"/>
  <c r="I576" i="3"/>
  <c r="J575" i="3"/>
  <c r="I575" i="3"/>
  <c r="J574" i="3"/>
  <c r="I574" i="3"/>
  <c r="J573" i="3"/>
  <c r="I573" i="3"/>
  <c r="J572" i="3"/>
  <c r="I572" i="3"/>
  <c r="J571" i="3"/>
  <c r="I571" i="3"/>
  <c r="J570" i="3"/>
  <c r="I570" i="3"/>
  <c r="J569" i="3"/>
  <c r="I569" i="3"/>
  <c r="J568" i="3"/>
  <c r="I568" i="3"/>
  <c r="J567" i="3"/>
  <c r="I567" i="3"/>
  <c r="J566" i="3"/>
  <c r="I566" i="3"/>
  <c r="J565" i="3"/>
  <c r="I565" i="3"/>
  <c r="J564" i="3"/>
  <c r="I564" i="3"/>
  <c r="J563" i="3"/>
  <c r="I563" i="3"/>
  <c r="J562" i="3"/>
  <c r="I562" i="3"/>
  <c r="J561" i="3"/>
  <c r="I561" i="3"/>
  <c r="J560" i="3"/>
  <c r="I560" i="3"/>
  <c r="J559" i="3"/>
  <c r="I559" i="3"/>
  <c r="J558" i="3"/>
  <c r="I558" i="3"/>
  <c r="J557" i="3"/>
  <c r="I557" i="3"/>
  <c r="J556" i="3"/>
  <c r="I556" i="3"/>
  <c r="J555" i="3"/>
  <c r="I555" i="3"/>
  <c r="J554" i="3"/>
  <c r="I554" i="3"/>
  <c r="J553" i="3"/>
  <c r="I553" i="3"/>
  <c r="J552" i="3"/>
  <c r="I552" i="3"/>
  <c r="J551" i="3"/>
  <c r="I551" i="3"/>
  <c r="J550" i="3"/>
  <c r="I550" i="3"/>
  <c r="J549" i="3"/>
  <c r="I549" i="3"/>
  <c r="J548" i="3"/>
  <c r="I548" i="3"/>
  <c r="J547" i="3"/>
  <c r="I547" i="3"/>
  <c r="J546" i="3"/>
  <c r="I546" i="3"/>
  <c r="J545" i="3"/>
  <c r="I545" i="3"/>
  <c r="J544" i="3"/>
  <c r="I544" i="3"/>
  <c r="J543" i="3"/>
  <c r="I543" i="3"/>
  <c r="J542" i="3"/>
  <c r="I542" i="3"/>
  <c r="J541" i="3"/>
  <c r="I541" i="3"/>
  <c r="J540" i="3"/>
  <c r="I540" i="3"/>
  <c r="J539" i="3"/>
  <c r="I539" i="3"/>
  <c r="J538" i="3"/>
  <c r="I538" i="3"/>
  <c r="J537" i="3"/>
  <c r="I537" i="3"/>
  <c r="J536" i="3"/>
  <c r="I536" i="3"/>
  <c r="J535" i="3"/>
  <c r="I535" i="3"/>
  <c r="J534" i="3"/>
  <c r="I534" i="3"/>
  <c r="J533" i="3"/>
  <c r="I533" i="3"/>
  <c r="J532" i="3"/>
  <c r="I532" i="3"/>
  <c r="J531" i="3"/>
  <c r="I531" i="3"/>
  <c r="J530" i="3"/>
  <c r="I530" i="3"/>
  <c r="J529" i="3"/>
  <c r="I529" i="3"/>
  <c r="J528" i="3"/>
  <c r="I528" i="3"/>
  <c r="J527" i="3"/>
  <c r="I527" i="3"/>
  <c r="J526" i="3"/>
  <c r="I526" i="3"/>
  <c r="J525" i="3"/>
  <c r="I525" i="3"/>
  <c r="J524" i="3"/>
  <c r="I524" i="3"/>
  <c r="J523" i="3"/>
  <c r="I523" i="3"/>
  <c r="J522" i="3"/>
  <c r="I522" i="3"/>
  <c r="J521" i="3"/>
  <c r="I521" i="3"/>
  <c r="J520" i="3"/>
  <c r="I520" i="3"/>
  <c r="J519" i="3"/>
  <c r="I519" i="3"/>
  <c r="J518" i="3"/>
  <c r="I518" i="3"/>
  <c r="J517" i="3"/>
  <c r="I517" i="3"/>
  <c r="J516" i="3"/>
  <c r="I516" i="3"/>
  <c r="J515" i="3"/>
  <c r="I515" i="3"/>
  <c r="J514" i="3"/>
  <c r="I514" i="3"/>
  <c r="J513" i="3"/>
  <c r="I513" i="3"/>
  <c r="J512" i="3"/>
  <c r="I512" i="3"/>
  <c r="J511" i="3"/>
  <c r="I511" i="3"/>
  <c r="J510" i="3"/>
  <c r="I510" i="3"/>
  <c r="J509" i="3"/>
  <c r="I509" i="3"/>
  <c r="J508" i="3"/>
  <c r="I508" i="3"/>
  <c r="J507" i="3"/>
  <c r="I507" i="3"/>
  <c r="J506" i="3"/>
  <c r="I506" i="3"/>
  <c r="J505" i="3"/>
  <c r="I505" i="3"/>
  <c r="J504" i="3"/>
  <c r="I504" i="3"/>
  <c r="J503" i="3"/>
  <c r="I503" i="3"/>
  <c r="J502" i="3"/>
  <c r="I502" i="3"/>
  <c r="J501" i="3"/>
  <c r="I501" i="3"/>
  <c r="J500" i="3"/>
  <c r="I500" i="3"/>
  <c r="J499" i="3"/>
  <c r="I499" i="3"/>
  <c r="J498" i="3"/>
  <c r="I498" i="3"/>
  <c r="J497" i="3"/>
  <c r="I497" i="3"/>
  <c r="J496" i="3"/>
  <c r="I496" i="3"/>
  <c r="J495" i="3"/>
  <c r="I495" i="3"/>
  <c r="J494" i="3"/>
  <c r="I494" i="3"/>
  <c r="J493" i="3"/>
  <c r="I493" i="3"/>
  <c r="J492" i="3"/>
  <c r="I492" i="3"/>
  <c r="J491" i="3"/>
  <c r="I491" i="3"/>
  <c r="J490" i="3"/>
  <c r="I490" i="3"/>
  <c r="J489" i="3"/>
  <c r="I489" i="3"/>
  <c r="J488" i="3"/>
  <c r="I488" i="3"/>
  <c r="J487" i="3"/>
  <c r="I487" i="3"/>
  <c r="J486" i="3"/>
  <c r="I486" i="3"/>
  <c r="J485" i="3"/>
  <c r="I485" i="3"/>
  <c r="J484" i="3"/>
  <c r="I484" i="3"/>
  <c r="J483" i="3"/>
  <c r="I483" i="3"/>
  <c r="J482" i="3"/>
  <c r="I482" i="3"/>
  <c r="J481" i="3"/>
  <c r="I481" i="3"/>
  <c r="J480" i="3"/>
  <c r="I480" i="3"/>
  <c r="J479" i="3"/>
  <c r="I479" i="3"/>
  <c r="J478" i="3"/>
  <c r="I478" i="3"/>
  <c r="J477" i="3"/>
  <c r="I477" i="3"/>
  <c r="J476" i="3"/>
  <c r="I476" i="3"/>
  <c r="J475" i="3"/>
  <c r="I475" i="3"/>
  <c r="J474" i="3"/>
  <c r="I474" i="3"/>
  <c r="J473" i="3"/>
  <c r="I473" i="3"/>
  <c r="J472" i="3"/>
  <c r="I472" i="3"/>
  <c r="J471" i="3"/>
  <c r="I471" i="3"/>
  <c r="J470" i="3"/>
  <c r="I470" i="3"/>
  <c r="J469" i="3"/>
  <c r="I469" i="3"/>
  <c r="J468" i="3"/>
  <c r="I468" i="3"/>
  <c r="J467" i="3"/>
  <c r="I467" i="3"/>
  <c r="J466" i="3"/>
  <c r="I466" i="3"/>
  <c r="J465" i="3"/>
  <c r="I465" i="3"/>
  <c r="J464" i="3"/>
  <c r="I464" i="3"/>
  <c r="J463" i="3"/>
  <c r="I463" i="3"/>
  <c r="J462" i="3"/>
  <c r="I462" i="3"/>
  <c r="J461" i="3"/>
  <c r="I461" i="3"/>
  <c r="J460" i="3"/>
  <c r="I460" i="3"/>
  <c r="J459" i="3"/>
  <c r="I459" i="3"/>
  <c r="J458" i="3"/>
  <c r="I458" i="3"/>
  <c r="J457" i="3"/>
  <c r="I457" i="3"/>
  <c r="J456" i="3"/>
  <c r="I456" i="3"/>
  <c r="J455" i="3"/>
  <c r="I455" i="3"/>
  <c r="J454" i="3"/>
  <c r="I454" i="3"/>
  <c r="J453" i="3"/>
  <c r="I453" i="3"/>
  <c r="J452" i="3"/>
  <c r="I452" i="3"/>
  <c r="J451" i="3"/>
  <c r="I451" i="3"/>
  <c r="J450" i="3"/>
  <c r="I450" i="3"/>
  <c r="J449" i="3"/>
  <c r="I449" i="3"/>
  <c r="J448" i="3"/>
  <c r="I448" i="3"/>
  <c r="J447" i="3"/>
  <c r="I447" i="3"/>
  <c r="J446" i="3"/>
  <c r="I446" i="3"/>
  <c r="J445" i="3"/>
  <c r="I445" i="3"/>
  <c r="J444" i="3"/>
  <c r="I444" i="3"/>
  <c r="J443" i="3"/>
  <c r="I443" i="3"/>
  <c r="J442" i="3"/>
  <c r="I442" i="3"/>
  <c r="J441" i="3"/>
  <c r="I441" i="3"/>
  <c r="J440" i="3"/>
  <c r="I440" i="3"/>
  <c r="J439" i="3"/>
  <c r="I439" i="3"/>
  <c r="J438" i="3"/>
  <c r="I438" i="3"/>
  <c r="J437" i="3"/>
  <c r="I437" i="3"/>
  <c r="J436" i="3"/>
  <c r="I436" i="3"/>
  <c r="J435" i="3"/>
  <c r="I435" i="3"/>
  <c r="J434" i="3"/>
  <c r="I434" i="3"/>
  <c r="J433" i="3"/>
  <c r="I433" i="3"/>
  <c r="J432" i="3"/>
  <c r="I432" i="3"/>
  <c r="J431" i="3"/>
  <c r="I431" i="3"/>
  <c r="J430" i="3"/>
  <c r="I430" i="3"/>
  <c r="J429" i="3"/>
  <c r="I429" i="3"/>
  <c r="J428" i="3"/>
  <c r="I428" i="3"/>
  <c r="J427" i="3"/>
  <c r="I427" i="3"/>
  <c r="J426" i="3"/>
  <c r="I426" i="3"/>
  <c r="J425" i="3"/>
  <c r="I425" i="3"/>
  <c r="J424" i="3"/>
  <c r="I424" i="3"/>
  <c r="J423" i="3"/>
  <c r="I423" i="3"/>
  <c r="J422" i="3"/>
  <c r="I422" i="3"/>
  <c r="J421" i="3"/>
  <c r="I421" i="3"/>
  <c r="J420" i="3"/>
  <c r="I420" i="3"/>
  <c r="J419" i="3"/>
  <c r="I419" i="3"/>
  <c r="J418" i="3"/>
  <c r="I418" i="3"/>
  <c r="J417" i="3"/>
  <c r="I417" i="3"/>
  <c r="J416" i="3"/>
  <c r="I416" i="3"/>
  <c r="J415" i="3"/>
  <c r="I415" i="3"/>
  <c r="J414" i="3"/>
  <c r="I414" i="3"/>
  <c r="J413" i="3"/>
  <c r="I413" i="3"/>
  <c r="J412" i="3"/>
  <c r="I412" i="3"/>
  <c r="J411" i="3"/>
  <c r="I411" i="3"/>
  <c r="J410" i="3"/>
  <c r="I410" i="3"/>
  <c r="J409" i="3"/>
  <c r="I409" i="3"/>
  <c r="J408" i="3"/>
  <c r="I408" i="3"/>
  <c r="J407" i="3"/>
  <c r="I407" i="3"/>
  <c r="J406" i="3"/>
  <c r="I406" i="3"/>
  <c r="J405" i="3"/>
  <c r="I405" i="3"/>
  <c r="J404" i="3"/>
  <c r="I404" i="3"/>
  <c r="J403" i="3"/>
  <c r="I403" i="3"/>
  <c r="J402" i="3"/>
  <c r="I402" i="3"/>
  <c r="J401" i="3"/>
  <c r="I401" i="3"/>
  <c r="J400" i="3"/>
  <c r="I400" i="3"/>
  <c r="J399" i="3"/>
  <c r="I399" i="3"/>
  <c r="J398" i="3"/>
  <c r="I398" i="3"/>
  <c r="J397" i="3"/>
  <c r="I397" i="3"/>
  <c r="J396" i="3"/>
  <c r="I396" i="3"/>
  <c r="J395" i="3"/>
  <c r="I395" i="3"/>
  <c r="J394" i="3"/>
  <c r="I394" i="3"/>
  <c r="J393" i="3"/>
  <c r="I393" i="3"/>
  <c r="J392" i="3"/>
  <c r="I392" i="3"/>
  <c r="J391" i="3"/>
  <c r="I391" i="3"/>
  <c r="J390" i="3"/>
  <c r="I390" i="3"/>
  <c r="J389" i="3"/>
  <c r="I389" i="3"/>
  <c r="J388" i="3"/>
  <c r="I388" i="3"/>
  <c r="J387" i="3"/>
  <c r="I387" i="3"/>
  <c r="J386" i="3"/>
  <c r="I386" i="3"/>
  <c r="J385" i="3"/>
  <c r="I385" i="3"/>
  <c r="J384" i="3"/>
  <c r="I384" i="3"/>
  <c r="J383" i="3"/>
  <c r="I383" i="3"/>
  <c r="J382" i="3"/>
  <c r="I382" i="3"/>
  <c r="J381" i="3"/>
  <c r="I381" i="3"/>
  <c r="J380" i="3"/>
  <c r="I380" i="3"/>
  <c r="J379" i="3"/>
  <c r="I379" i="3"/>
  <c r="J378" i="3"/>
  <c r="I378" i="3"/>
  <c r="J377" i="3"/>
  <c r="I377" i="3"/>
  <c r="J376" i="3"/>
  <c r="I376" i="3"/>
  <c r="J375" i="3"/>
  <c r="I375" i="3"/>
  <c r="J374" i="3"/>
  <c r="I374" i="3"/>
  <c r="J373" i="3"/>
  <c r="I373" i="3"/>
  <c r="J372" i="3"/>
  <c r="I372" i="3"/>
  <c r="J371" i="3"/>
  <c r="I371" i="3"/>
  <c r="J370" i="3"/>
  <c r="I370" i="3"/>
  <c r="J369" i="3"/>
  <c r="I369" i="3"/>
  <c r="J368" i="3"/>
  <c r="I368" i="3"/>
  <c r="J367" i="3"/>
  <c r="I367" i="3"/>
  <c r="J366" i="3"/>
  <c r="I366" i="3"/>
  <c r="J365" i="3"/>
  <c r="I365" i="3"/>
  <c r="J364" i="3"/>
  <c r="I364" i="3"/>
  <c r="J363" i="3"/>
  <c r="I363" i="3"/>
  <c r="J362" i="3"/>
  <c r="I362" i="3"/>
  <c r="J361" i="3"/>
  <c r="I361" i="3"/>
  <c r="J360" i="3"/>
  <c r="I360" i="3"/>
  <c r="J359" i="3"/>
  <c r="I359" i="3"/>
  <c r="J358" i="3"/>
  <c r="I358" i="3"/>
  <c r="J357" i="3"/>
  <c r="I357" i="3"/>
  <c r="J356" i="3"/>
  <c r="I356" i="3"/>
  <c r="J355" i="3"/>
  <c r="I355" i="3"/>
  <c r="J354" i="3"/>
  <c r="I354" i="3"/>
  <c r="J353" i="3"/>
  <c r="I353" i="3"/>
  <c r="J352" i="3"/>
  <c r="I352" i="3"/>
  <c r="J351" i="3"/>
  <c r="I351" i="3"/>
  <c r="J350" i="3"/>
  <c r="I350" i="3"/>
  <c r="J349" i="3"/>
  <c r="I349" i="3"/>
  <c r="J348" i="3"/>
  <c r="I348" i="3"/>
  <c r="J347" i="3"/>
  <c r="I347" i="3"/>
  <c r="J346" i="3"/>
  <c r="I346" i="3"/>
  <c r="J345" i="3"/>
  <c r="I345" i="3"/>
  <c r="J344" i="3"/>
  <c r="I344" i="3"/>
  <c r="J343" i="3"/>
  <c r="I343" i="3"/>
  <c r="J342" i="3"/>
  <c r="I342" i="3"/>
  <c r="J341" i="3"/>
  <c r="I341" i="3"/>
  <c r="J340" i="3"/>
  <c r="I340" i="3"/>
  <c r="J339" i="3"/>
  <c r="I339" i="3"/>
  <c r="J338" i="3"/>
  <c r="I338" i="3"/>
  <c r="J337" i="3"/>
  <c r="I337" i="3"/>
  <c r="J336" i="3"/>
  <c r="I336" i="3"/>
  <c r="J335" i="3"/>
  <c r="I335" i="3"/>
  <c r="J334" i="3"/>
  <c r="I334" i="3"/>
  <c r="J333" i="3"/>
  <c r="I333" i="3"/>
  <c r="J332" i="3"/>
  <c r="I332" i="3"/>
  <c r="J331" i="3"/>
  <c r="I331" i="3"/>
  <c r="J330" i="3"/>
  <c r="I330" i="3"/>
  <c r="J329" i="3"/>
  <c r="I329" i="3"/>
  <c r="J328" i="3"/>
  <c r="I328" i="3"/>
  <c r="J327" i="3"/>
  <c r="I327" i="3"/>
  <c r="J326" i="3"/>
  <c r="I326" i="3"/>
  <c r="J325" i="3"/>
  <c r="I325" i="3"/>
  <c r="J324" i="3"/>
  <c r="I324" i="3"/>
  <c r="J323" i="3"/>
  <c r="I323" i="3"/>
  <c r="J322" i="3"/>
  <c r="I322" i="3"/>
  <c r="J321" i="3"/>
  <c r="I321" i="3"/>
  <c r="J320" i="3"/>
  <c r="I320" i="3"/>
  <c r="J319" i="3"/>
  <c r="I319" i="3"/>
  <c r="J318" i="3"/>
  <c r="I318" i="3"/>
  <c r="J317" i="3"/>
  <c r="I317" i="3"/>
  <c r="J316" i="3"/>
  <c r="I316" i="3"/>
  <c r="J315" i="3"/>
  <c r="I315" i="3"/>
  <c r="J314" i="3"/>
  <c r="I314" i="3"/>
  <c r="J313" i="3"/>
  <c r="I313" i="3"/>
  <c r="J312" i="3"/>
  <c r="I312" i="3"/>
  <c r="J311" i="3"/>
  <c r="I311" i="3"/>
  <c r="J310" i="3"/>
  <c r="I310" i="3"/>
  <c r="J309" i="3"/>
  <c r="I309" i="3"/>
  <c r="J308" i="3"/>
  <c r="I308" i="3"/>
  <c r="J307" i="3"/>
  <c r="I307" i="3"/>
  <c r="J306" i="3"/>
  <c r="I306" i="3"/>
  <c r="J305" i="3"/>
  <c r="I305" i="3"/>
  <c r="J304" i="3"/>
  <c r="I304" i="3"/>
  <c r="J303" i="3"/>
  <c r="I303" i="3"/>
  <c r="J302" i="3"/>
  <c r="I302" i="3"/>
  <c r="J301" i="3"/>
  <c r="I301" i="3"/>
  <c r="J300" i="3"/>
  <c r="I300" i="3"/>
  <c r="J299" i="3"/>
  <c r="I299" i="3"/>
  <c r="J298" i="3"/>
  <c r="I298" i="3"/>
  <c r="J297" i="3"/>
  <c r="I297" i="3"/>
  <c r="J296" i="3"/>
  <c r="I296" i="3"/>
  <c r="J295" i="3"/>
  <c r="I295" i="3"/>
  <c r="J294" i="3"/>
  <c r="I294" i="3"/>
  <c r="J293" i="3"/>
  <c r="I293" i="3"/>
  <c r="J292" i="3"/>
  <c r="I292" i="3"/>
  <c r="J291" i="3"/>
  <c r="I291" i="3"/>
  <c r="J290" i="3"/>
  <c r="I290" i="3"/>
  <c r="J289" i="3"/>
  <c r="I289" i="3"/>
  <c r="J288" i="3"/>
  <c r="I288" i="3"/>
  <c r="J287" i="3"/>
  <c r="I287" i="3"/>
  <c r="J286" i="3"/>
  <c r="I286" i="3"/>
  <c r="J285" i="3"/>
  <c r="I285" i="3"/>
  <c r="J284" i="3"/>
  <c r="I284" i="3"/>
  <c r="J283" i="3"/>
  <c r="I283" i="3"/>
  <c r="J282" i="3"/>
  <c r="I282" i="3"/>
  <c r="J281" i="3"/>
  <c r="I281" i="3"/>
  <c r="J280" i="3"/>
  <c r="I280" i="3"/>
  <c r="J279" i="3"/>
  <c r="I279" i="3"/>
  <c r="J278" i="3"/>
  <c r="I278" i="3"/>
  <c r="J277" i="3"/>
  <c r="I277" i="3"/>
  <c r="J276" i="3"/>
  <c r="I276" i="3"/>
  <c r="J275" i="3"/>
  <c r="I275" i="3"/>
  <c r="J274" i="3"/>
  <c r="I274" i="3"/>
  <c r="J273" i="3"/>
  <c r="I273" i="3"/>
  <c r="J272" i="3"/>
  <c r="I272" i="3"/>
  <c r="J271" i="3"/>
  <c r="I271" i="3"/>
  <c r="J270" i="3"/>
  <c r="I270" i="3"/>
  <c r="J269" i="3"/>
  <c r="I269" i="3"/>
  <c r="J268" i="3"/>
  <c r="I268" i="3"/>
  <c r="J267" i="3"/>
  <c r="I267" i="3"/>
  <c r="J266" i="3"/>
  <c r="I266" i="3"/>
  <c r="J265" i="3"/>
  <c r="I265" i="3"/>
  <c r="J264" i="3"/>
  <c r="I264" i="3"/>
  <c r="J263" i="3"/>
  <c r="I263" i="3"/>
  <c r="J262" i="3"/>
  <c r="I262" i="3"/>
  <c r="J261" i="3"/>
  <c r="I261" i="3"/>
  <c r="J260" i="3"/>
  <c r="I260" i="3"/>
  <c r="J259" i="3"/>
  <c r="I259" i="3"/>
  <c r="J258" i="3"/>
  <c r="I258" i="3"/>
  <c r="J257" i="3"/>
  <c r="I257" i="3"/>
  <c r="J256" i="3"/>
  <c r="I256" i="3"/>
  <c r="J255" i="3"/>
  <c r="I255" i="3"/>
  <c r="J254" i="3"/>
  <c r="I254" i="3"/>
  <c r="J253" i="3"/>
  <c r="I253" i="3"/>
  <c r="J252" i="3"/>
  <c r="I252" i="3"/>
  <c r="J251" i="3"/>
  <c r="I251" i="3"/>
  <c r="J250" i="3"/>
  <c r="I250" i="3"/>
  <c r="J249" i="3"/>
  <c r="I249" i="3"/>
  <c r="J248" i="3"/>
  <c r="I248" i="3"/>
  <c r="J247" i="3"/>
  <c r="I247" i="3"/>
  <c r="J246" i="3"/>
  <c r="I246" i="3"/>
  <c r="J245" i="3"/>
  <c r="I245" i="3"/>
  <c r="J244" i="3"/>
  <c r="I244" i="3"/>
  <c r="J243" i="3"/>
  <c r="I243" i="3"/>
  <c r="J242" i="3"/>
  <c r="I242" i="3"/>
  <c r="J241" i="3"/>
  <c r="I241" i="3"/>
  <c r="J240" i="3"/>
  <c r="I240" i="3"/>
  <c r="J239" i="3"/>
  <c r="I239" i="3"/>
  <c r="J238" i="3"/>
  <c r="I238" i="3"/>
  <c r="J237" i="3"/>
  <c r="I237" i="3"/>
  <c r="J236" i="3"/>
  <c r="I236" i="3"/>
  <c r="J235" i="3"/>
  <c r="I235" i="3"/>
  <c r="J234" i="3"/>
  <c r="I234" i="3"/>
  <c r="J233" i="3"/>
  <c r="I233" i="3"/>
  <c r="J232" i="3"/>
  <c r="I232" i="3"/>
  <c r="J231" i="3"/>
  <c r="I231" i="3"/>
  <c r="J230" i="3"/>
  <c r="I230" i="3"/>
  <c r="J229" i="3"/>
  <c r="I229" i="3"/>
  <c r="J228" i="3"/>
  <c r="I228" i="3"/>
  <c r="J227" i="3"/>
  <c r="I227" i="3"/>
  <c r="J226" i="3"/>
  <c r="I226" i="3"/>
  <c r="J225" i="3"/>
  <c r="I225" i="3"/>
  <c r="J224" i="3"/>
  <c r="I224" i="3"/>
  <c r="J223" i="3"/>
  <c r="I223" i="3"/>
  <c r="J222" i="3"/>
  <c r="I222" i="3"/>
  <c r="J221" i="3"/>
  <c r="I221" i="3"/>
  <c r="J220" i="3"/>
  <c r="I220" i="3"/>
  <c r="J219" i="3"/>
  <c r="I219" i="3"/>
  <c r="J218" i="3"/>
  <c r="I218" i="3"/>
  <c r="J217" i="3"/>
  <c r="I217" i="3"/>
  <c r="J216" i="3"/>
  <c r="I216" i="3"/>
  <c r="J215" i="3"/>
  <c r="I215" i="3"/>
  <c r="J214" i="3"/>
  <c r="I214" i="3"/>
  <c r="J213" i="3"/>
  <c r="I213" i="3"/>
  <c r="J212" i="3"/>
  <c r="I212" i="3"/>
  <c r="J211" i="3"/>
  <c r="I211" i="3"/>
  <c r="J210" i="3"/>
  <c r="I210" i="3"/>
  <c r="J209" i="3"/>
  <c r="I209" i="3"/>
  <c r="J208" i="3"/>
  <c r="I208" i="3"/>
  <c r="J207" i="3"/>
  <c r="I207" i="3"/>
  <c r="J206" i="3"/>
  <c r="I206" i="3"/>
  <c r="J205" i="3"/>
  <c r="I205" i="3"/>
  <c r="J204" i="3"/>
  <c r="I204" i="3"/>
  <c r="J203" i="3"/>
  <c r="I203" i="3"/>
  <c r="J202" i="3"/>
  <c r="I202" i="3"/>
  <c r="J201" i="3"/>
  <c r="I201" i="3"/>
  <c r="J200" i="3"/>
  <c r="I200" i="3"/>
  <c r="J199" i="3"/>
  <c r="I199" i="3"/>
  <c r="J198" i="3"/>
  <c r="I198" i="3"/>
  <c r="J197" i="3"/>
  <c r="I197" i="3"/>
  <c r="J196" i="3"/>
  <c r="I196" i="3"/>
  <c r="J195" i="3"/>
  <c r="I195" i="3"/>
  <c r="J194" i="3"/>
  <c r="I194" i="3"/>
  <c r="J193" i="3"/>
  <c r="I193" i="3"/>
  <c r="J192" i="3"/>
  <c r="I192" i="3"/>
  <c r="J191" i="3"/>
  <c r="I191" i="3"/>
  <c r="J190" i="3"/>
  <c r="I190" i="3"/>
  <c r="J189" i="3"/>
  <c r="I189" i="3"/>
  <c r="J188" i="3"/>
  <c r="I188" i="3"/>
  <c r="J187" i="3"/>
  <c r="I187" i="3"/>
  <c r="J186" i="3"/>
  <c r="I186" i="3"/>
  <c r="J185" i="3"/>
  <c r="I185" i="3"/>
  <c r="J184" i="3"/>
  <c r="I184" i="3"/>
  <c r="J183" i="3"/>
  <c r="I183" i="3"/>
  <c r="J182" i="3"/>
  <c r="I182" i="3"/>
  <c r="J181" i="3"/>
  <c r="I181" i="3"/>
  <c r="J180" i="3"/>
  <c r="I180" i="3"/>
  <c r="J179" i="3"/>
  <c r="I179" i="3"/>
  <c r="J178" i="3"/>
  <c r="I178" i="3"/>
  <c r="J177" i="3"/>
  <c r="I177" i="3"/>
  <c r="J176" i="3"/>
  <c r="I176" i="3"/>
  <c r="J175" i="3"/>
  <c r="I175" i="3"/>
  <c r="J174" i="3"/>
  <c r="I174" i="3"/>
  <c r="J173" i="3"/>
  <c r="I173" i="3"/>
  <c r="J172" i="3"/>
  <c r="I172" i="3"/>
  <c r="J171" i="3"/>
  <c r="I171" i="3"/>
  <c r="J170" i="3"/>
  <c r="I170" i="3"/>
  <c r="J169" i="3"/>
  <c r="I169" i="3"/>
  <c r="J168" i="3"/>
  <c r="I168" i="3"/>
  <c r="J167" i="3"/>
  <c r="I167" i="3"/>
  <c r="J166" i="3"/>
  <c r="I166" i="3"/>
  <c r="J165" i="3"/>
  <c r="I165" i="3"/>
  <c r="J164" i="3"/>
  <c r="I164" i="3"/>
  <c r="J163" i="3"/>
  <c r="I163" i="3"/>
  <c r="J162" i="3"/>
  <c r="I162" i="3"/>
  <c r="J161" i="3"/>
  <c r="I161" i="3"/>
  <c r="J160" i="3"/>
  <c r="I160" i="3"/>
  <c r="J159" i="3"/>
  <c r="I159" i="3"/>
  <c r="J158" i="3"/>
  <c r="I158" i="3"/>
  <c r="J157" i="3"/>
  <c r="I157" i="3"/>
  <c r="J156" i="3"/>
  <c r="I156" i="3"/>
  <c r="J155" i="3"/>
  <c r="I155" i="3"/>
  <c r="J154" i="3"/>
  <c r="I154" i="3"/>
  <c r="J153" i="3"/>
  <c r="I153" i="3"/>
  <c r="J152" i="3"/>
  <c r="I152" i="3"/>
  <c r="J151" i="3"/>
  <c r="I151" i="3"/>
  <c r="J150" i="3"/>
  <c r="I150" i="3"/>
  <c r="J149" i="3"/>
  <c r="I149" i="3"/>
  <c r="J148" i="3"/>
  <c r="I148" i="3"/>
  <c r="J147" i="3"/>
  <c r="I147" i="3"/>
  <c r="J146" i="3"/>
  <c r="I146" i="3"/>
  <c r="J145" i="3"/>
  <c r="I145" i="3"/>
  <c r="J144" i="3"/>
  <c r="I144" i="3"/>
  <c r="J143" i="3"/>
  <c r="I143" i="3"/>
  <c r="J142" i="3"/>
  <c r="I142" i="3"/>
  <c r="J141" i="3"/>
  <c r="I141" i="3"/>
  <c r="J140" i="3"/>
  <c r="I140" i="3"/>
  <c r="J139" i="3"/>
  <c r="I139" i="3"/>
  <c r="J138" i="3"/>
  <c r="I138" i="3"/>
  <c r="J137" i="3"/>
  <c r="I137" i="3"/>
  <c r="J136" i="3"/>
  <c r="I136" i="3"/>
  <c r="J135" i="3"/>
  <c r="I135" i="3"/>
  <c r="J134" i="3"/>
  <c r="I134" i="3"/>
  <c r="J133" i="3"/>
  <c r="I133" i="3"/>
  <c r="J132" i="3"/>
  <c r="I132" i="3"/>
  <c r="J131" i="3"/>
  <c r="I131" i="3"/>
  <c r="J130" i="3"/>
  <c r="I130" i="3"/>
  <c r="J129" i="3"/>
  <c r="I129" i="3"/>
  <c r="J128" i="3"/>
  <c r="I128" i="3"/>
  <c r="J127" i="3"/>
  <c r="I127" i="3"/>
  <c r="J126" i="3"/>
  <c r="I126" i="3"/>
  <c r="J125" i="3"/>
  <c r="I125" i="3"/>
  <c r="J124" i="3"/>
  <c r="I124" i="3"/>
  <c r="J123" i="3"/>
  <c r="I123" i="3"/>
  <c r="J122" i="3"/>
  <c r="I122" i="3"/>
  <c r="J121" i="3"/>
  <c r="I121" i="3"/>
  <c r="J120" i="3"/>
  <c r="I120" i="3"/>
  <c r="J119" i="3"/>
  <c r="I119" i="3"/>
  <c r="J118" i="3"/>
  <c r="I118" i="3"/>
  <c r="J117" i="3"/>
  <c r="I117" i="3"/>
  <c r="J116" i="3"/>
  <c r="I116" i="3"/>
  <c r="J115" i="3"/>
  <c r="I115" i="3"/>
  <c r="J114" i="3"/>
  <c r="I114" i="3"/>
  <c r="J113" i="3"/>
  <c r="I113" i="3"/>
  <c r="J112" i="3"/>
  <c r="I112" i="3"/>
  <c r="J111" i="3"/>
  <c r="I111" i="3"/>
  <c r="J110" i="3"/>
  <c r="I110" i="3"/>
  <c r="J109" i="3"/>
  <c r="I109" i="3"/>
  <c r="J108" i="3"/>
  <c r="I108" i="3"/>
  <c r="J107" i="3"/>
  <c r="I107" i="3"/>
  <c r="J106" i="3"/>
  <c r="I106" i="3"/>
  <c r="J105" i="3"/>
  <c r="I105" i="3"/>
  <c r="J104" i="3"/>
  <c r="I104" i="3"/>
  <c r="J103" i="3"/>
  <c r="I103" i="3"/>
  <c r="J102" i="3"/>
  <c r="I102" i="3"/>
  <c r="J101" i="3"/>
  <c r="I101" i="3"/>
  <c r="J100" i="3"/>
  <c r="I100" i="3"/>
  <c r="J99" i="3"/>
  <c r="I99" i="3"/>
  <c r="J98" i="3"/>
  <c r="I98" i="3"/>
  <c r="J97" i="3"/>
  <c r="I97" i="3"/>
  <c r="J96" i="3"/>
  <c r="I96" i="3"/>
  <c r="J95" i="3"/>
  <c r="I95" i="3"/>
  <c r="J94" i="3"/>
  <c r="I94" i="3"/>
  <c r="J93" i="3"/>
  <c r="I93" i="3"/>
  <c r="J92" i="3"/>
  <c r="I92" i="3"/>
  <c r="J91" i="3"/>
  <c r="I91" i="3"/>
  <c r="J90" i="3"/>
  <c r="I90" i="3"/>
  <c r="J89" i="3"/>
  <c r="I89" i="3"/>
  <c r="J88" i="3"/>
  <c r="I88" i="3"/>
  <c r="J87" i="3"/>
  <c r="I87" i="3"/>
  <c r="J86" i="3"/>
  <c r="I86" i="3"/>
  <c r="J85" i="3"/>
  <c r="I85" i="3"/>
  <c r="J84" i="3"/>
  <c r="I84" i="3"/>
  <c r="J83" i="3"/>
  <c r="I83"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J43" i="3"/>
  <c r="I43" i="3"/>
  <c r="J42" i="3"/>
  <c r="I42" i="3"/>
  <c r="J41" i="3"/>
  <c r="I41" i="3"/>
  <c r="J40" i="3"/>
  <c r="I40" i="3"/>
  <c r="J39" i="3"/>
  <c r="I39" i="3"/>
  <c r="J38" i="3"/>
  <c r="I38" i="3"/>
  <c r="J37" i="3"/>
  <c r="I37" i="3"/>
  <c r="J36" i="3"/>
  <c r="I36" i="3"/>
  <c r="J35" i="3"/>
  <c r="I35" i="3"/>
  <c r="J34" i="3"/>
  <c r="I34" i="3"/>
  <c r="J33" i="3"/>
  <c r="I33" i="3"/>
  <c r="J32" i="3"/>
  <c r="I32" i="3"/>
  <c r="J31" i="3"/>
  <c r="I31" i="3"/>
  <c r="J30" i="3"/>
  <c r="I30" i="3"/>
  <c r="J29" i="3"/>
  <c r="I29" i="3"/>
  <c r="J28" i="3"/>
  <c r="I28" i="3"/>
  <c r="J27" i="3"/>
  <c r="I27" i="3"/>
  <c r="J26" i="3"/>
  <c r="I26" i="3"/>
  <c r="J25" i="3"/>
  <c r="I25" i="3"/>
  <c r="J24" i="3"/>
  <c r="I24" i="3"/>
  <c r="J23" i="3"/>
  <c r="I23" i="3"/>
  <c r="J22" i="3"/>
  <c r="I22" i="3"/>
  <c r="J21" i="3"/>
  <c r="I21" i="3"/>
  <c r="J20" i="3"/>
  <c r="I20" i="3"/>
  <c r="J19" i="3"/>
  <c r="I19" i="3"/>
  <c r="J18" i="3"/>
  <c r="I18" i="3"/>
  <c r="J17" i="3"/>
  <c r="I17" i="3"/>
  <c r="J16" i="3"/>
  <c r="I16" i="3"/>
  <c r="J15" i="3"/>
  <c r="I15" i="3"/>
  <c r="J14" i="3"/>
  <c r="I14" i="3"/>
  <c r="J13" i="3"/>
  <c r="I13" i="3"/>
  <c r="J12" i="3"/>
  <c r="I12" i="3"/>
  <c r="J11" i="3"/>
  <c r="I11" i="3"/>
  <c r="J10" i="3"/>
  <c r="I10" i="3"/>
  <c r="J9" i="3"/>
  <c r="I9" i="3"/>
  <c r="J8" i="3"/>
  <c r="I8" i="3"/>
  <c r="J7" i="3"/>
  <c r="I7" i="3"/>
  <c r="B141" i="11"/>
  <c r="B142" i="11" s="1"/>
  <c r="H10" i="8"/>
  <c r="K10" i="8" s="1"/>
  <c r="H9" i="8"/>
  <c r="K9" i="8" s="1"/>
  <c r="H7" i="8"/>
  <c r="H8" i="8"/>
  <c r="K8" i="8" s="1"/>
  <c r="H40" i="7"/>
  <c r="K40" i="7" s="1"/>
  <c r="H39" i="7"/>
  <c r="K39" i="7" s="1"/>
  <c r="H38" i="7"/>
  <c r="K38" i="7" s="1"/>
  <c r="H37" i="7"/>
  <c r="K37" i="7" s="1"/>
  <c r="H36" i="7"/>
  <c r="K36" i="7" s="1"/>
  <c r="H35" i="7"/>
  <c r="K35" i="7" s="1"/>
  <c r="H34" i="7"/>
  <c r="K34" i="7" s="1"/>
  <c r="H33" i="7"/>
  <c r="K33" i="7" s="1"/>
  <c r="H32" i="7"/>
  <c r="K32" i="7" s="1"/>
  <c r="H31" i="7"/>
  <c r="K31" i="7" s="1"/>
  <c r="H30" i="7"/>
  <c r="K30" i="7" s="1"/>
  <c r="H29" i="7"/>
  <c r="K29" i="7" s="1"/>
  <c r="H28" i="7"/>
  <c r="K28" i="7" s="1"/>
  <c r="H27" i="7"/>
  <c r="K27" i="7" s="1"/>
  <c r="H26" i="7"/>
  <c r="K26" i="7" s="1"/>
  <c r="H25" i="7"/>
  <c r="K25" i="7" s="1"/>
  <c r="H24" i="7"/>
  <c r="K24" i="7" s="1"/>
  <c r="H23" i="7"/>
  <c r="K23" i="7" s="1"/>
  <c r="H22" i="7"/>
  <c r="K22" i="7" s="1"/>
  <c r="H21" i="7"/>
  <c r="K21" i="7" s="1"/>
  <c r="H20" i="7"/>
  <c r="K20" i="7" s="1"/>
  <c r="H19" i="7"/>
  <c r="K19" i="7" s="1"/>
  <c r="H18" i="7"/>
  <c r="K18" i="7" s="1"/>
  <c r="H17" i="7"/>
  <c r="K17" i="7" s="1"/>
  <c r="H16" i="7"/>
  <c r="K16" i="7" s="1"/>
  <c r="H15" i="7"/>
  <c r="K15" i="7" s="1"/>
  <c r="H14" i="7"/>
  <c r="K14" i="7" s="1"/>
  <c r="H13" i="7"/>
  <c r="K13" i="7" s="1"/>
  <c r="H12" i="7"/>
  <c r="K12" i="7" s="1"/>
  <c r="H11" i="7"/>
  <c r="K11" i="7" s="1"/>
  <c r="H10" i="7"/>
  <c r="K10" i="7" s="1"/>
  <c r="H9" i="7"/>
  <c r="K9" i="7" s="1"/>
  <c r="H7" i="7"/>
  <c r="H8" i="7"/>
  <c r="K8" i="7" s="1"/>
  <c r="K143" i="5"/>
  <c r="K142" i="5"/>
  <c r="H141" i="5"/>
  <c r="K141" i="5" s="1"/>
  <c r="H140" i="5"/>
  <c r="K140" i="5" s="1"/>
  <c r="H139" i="5"/>
  <c r="K139" i="5"/>
  <c r="H138" i="5"/>
  <c r="K138" i="5" s="1"/>
  <c r="H137" i="5"/>
  <c r="K137" i="5" s="1"/>
  <c r="K136" i="5"/>
  <c r="K135" i="5"/>
  <c r="H134" i="5"/>
  <c r="K134" i="5" s="1"/>
  <c r="H133" i="5"/>
  <c r="K133" i="5" s="1"/>
  <c r="H132" i="5"/>
  <c r="K132" i="5" s="1"/>
  <c r="H131" i="5"/>
  <c r="K131" i="5" s="1"/>
  <c r="H130" i="5"/>
  <c r="K130" i="5" s="1"/>
  <c r="H129" i="5"/>
  <c r="K129" i="5" s="1"/>
  <c r="H128" i="5"/>
  <c r="K128" i="5" s="1"/>
  <c r="H127" i="5"/>
  <c r="K127" i="5"/>
  <c r="H126" i="5"/>
  <c r="K126" i="5" s="1"/>
  <c r="H125" i="5"/>
  <c r="K125" i="5"/>
  <c r="H124" i="5"/>
  <c r="K124" i="5" s="1"/>
  <c r="H123" i="5"/>
  <c r="K123" i="5" s="1"/>
  <c r="H122" i="5"/>
  <c r="K122" i="5" s="1"/>
  <c r="H121" i="5"/>
  <c r="K121" i="5" s="1"/>
  <c r="H120" i="5"/>
  <c r="K120" i="5" s="1"/>
  <c r="H119" i="5"/>
  <c r="K119" i="5"/>
  <c r="H118" i="5"/>
  <c r="K118" i="5" s="1"/>
  <c r="H117" i="5"/>
  <c r="K117" i="5" s="1"/>
  <c r="H116" i="5"/>
  <c r="K116" i="5" s="1"/>
  <c r="H115" i="5"/>
  <c r="K115" i="5" s="1"/>
  <c r="H114" i="5"/>
  <c r="K114" i="5" s="1"/>
  <c r="H113" i="5"/>
  <c r="K113" i="5" s="1"/>
  <c r="H112" i="5"/>
  <c r="K112" i="5" s="1"/>
  <c r="H111" i="5"/>
  <c r="K111" i="5"/>
  <c r="H110" i="5"/>
  <c r="K110" i="5" s="1"/>
  <c r="H109" i="5"/>
  <c r="K109" i="5"/>
  <c r="H108" i="5"/>
  <c r="K108" i="5" s="1"/>
  <c r="H107" i="5"/>
  <c r="K107" i="5" s="1"/>
  <c r="H106" i="5"/>
  <c r="K106" i="5" s="1"/>
  <c r="H105" i="5"/>
  <c r="K105" i="5" s="1"/>
  <c r="H104" i="5"/>
  <c r="K104" i="5" s="1"/>
  <c r="H103" i="5"/>
  <c r="K103" i="5"/>
  <c r="H102" i="5"/>
  <c r="K102" i="5" s="1"/>
  <c r="H101" i="5"/>
  <c r="K101" i="5" s="1"/>
  <c r="H100" i="5"/>
  <c r="K100" i="5" s="1"/>
  <c r="H99" i="5"/>
  <c r="K99" i="5" s="1"/>
  <c r="H98" i="5"/>
  <c r="K98" i="5" s="1"/>
  <c r="H97" i="5"/>
  <c r="K97" i="5" s="1"/>
  <c r="H96" i="5"/>
  <c r="K96" i="5" s="1"/>
  <c r="H95" i="5"/>
  <c r="K95" i="5"/>
  <c r="H94" i="5"/>
  <c r="K94" i="5" s="1"/>
  <c r="H93" i="5"/>
  <c r="K93" i="5"/>
  <c r="H92" i="5"/>
  <c r="K92" i="5" s="1"/>
  <c r="H91" i="5"/>
  <c r="K91" i="5" s="1"/>
  <c r="H90" i="5"/>
  <c r="K90" i="5" s="1"/>
  <c r="H89" i="5"/>
  <c r="K89" i="5" s="1"/>
  <c r="H88" i="5"/>
  <c r="K88" i="5" s="1"/>
  <c r="H87" i="5"/>
  <c r="K87" i="5"/>
  <c r="H86" i="5"/>
  <c r="K86" i="5" s="1"/>
  <c r="H85" i="5"/>
  <c r="K85" i="5" s="1"/>
  <c r="H84" i="5"/>
  <c r="K84" i="5" s="1"/>
  <c r="H83" i="5"/>
  <c r="K83" i="5" s="1"/>
  <c r="H82" i="5"/>
  <c r="K82" i="5" s="1"/>
  <c r="H81" i="5"/>
  <c r="K81" i="5" s="1"/>
  <c r="H80" i="5"/>
  <c r="K80" i="5" s="1"/>
  <c r="H79" i="5"/>
  <c r="K79" i="5"/>
  <c r="H78" i="5"/>
  <c r="K78" i="5" s="1"/>
  <c r="H77" i="5"/>
  <c r="K77" i="5"/>
  <c r="H76" i="5"/>
  <c r="K76" i="5" s="1"/>
  <c r="H75" i="5"/>
  <c r="K75" i="5" s="1"/>
  <c r="H74" i="5"/>
  <c r="K74" i="5" s="1"/>
  <c r="H73" i="5"/>
  <c r="K73" i="5" s="1"/>
  <c r="H72" i="5"/>
  <c r="K72" i="5" s="1"/>
  <c r="H71" i="5"/>
  <c r="K71" i="5"/>
  <c r="H70" i="5"/>
  <c r="K70" i="5" s="1"/>
  <c r="H69" i="5"/>
  <c r="K69" i="5" s="1"/>
  <c r="H68" i="5"/>
  <c r="K68" i="5" s="1"/>
  <c r="H67" i="5"/>
  <c r="K67" i="5" s="1"/>
  <c r="H66" i="5"/>
  <c r="K66" i="5" s="1"/>
  <c r="H65" i="5"/>
  <c r="K65" i="5" s="1"/>
  <c r="H64" i="5"/>
  <c r="K64" i="5" s="1"/>
  <c r="H63" i="5"/>
  <c r="K63" i="5"/>
  <c r="H62" i="5"/>
  <c r="K62" i="5" s="1"/>
  <c r="H61" i="5"/>
  <c r="K61" i="5"/>
  <c r="H60" i="5"/>
  <c r="K60" i="5" s="1"/>
  <c r="H59" i="5"/>
  <c r="K59" i="5" s="1"/>
  <c r="H58" i="5"/>
  <c r="K58" i="5" s="1"/>
  <c r="H57" i="5"/>
  <c r="K57" i="5" s="1"/>
  <c r="H56" i="5"/>
  <c r="K56" i="5" s="1"/>
  <c r="H55" i="5"/>
  <c r="K55" i="5"/>
  <c r="H54" i="5"/>
  <c r="K54" i="5" s="1"/>
  <c r="H53" i="5"/>
  <c r="K53" i="5" s="1"/>
  <c r="H52" i="5"/>
  <c r="K52" i="5" s="1"/>
  <c r="H51" i="5"/>
  <c r="K51" i="5" s="1"/>
  <c r="H50" i="5"/>
  <c r="K50" i="5" s="1"/>
  <c r="H49" i="5"/>
  <c r="K49" i="5" s="1"/>
  <c r="H48" i="5"/>
  <c r="K48" i="5" s="1"/>
  <c r="H47" i="5"/>
  <c r="K47" i="5"/>
  <c r="H46" i="5"/>
  <c r="K46" i="5" s="1"/>
  <c r="H45" i="5"/>
  <c r="K45" i="5"/>
  <c r="H44" i="5"/>
  <c r="K44" i="5" s="1"/>
  <c r="H43" i="5"/>
  <c r="K43" i="5" s="1"/>
  <c r="H42" i="5"/>
  <c r="K42" i="5" s="1"/>
  <c r="H41" i="5"/>
  <c r="K41" i="5" s="1"/>
  <c r="H40" i="5"/>
  <c r="K40" i="5" s="1"/>
  <c r="H39" i="5"/>
  <c r="K39" i="5"/>
  <c r="H38" i="5"/>
  <c r="K38" i="5" s="1"/>
  <c r="H37" i="5"/>
  <c r="K37" i="5" s="1"/>
  <c r="H36" i="5"/>
  <c r="K36" i="5" s="1"/>
  <c r="H35" i="5"/>
  <c r="K35" i="5" s="1"/>
  <c r="H34" i="5"/>
  <c r="K34" i="5" s="1"/>
  <c r="H33" i="5"/>
  <c r="K33" i="5" s="1"/>
  <c r="H32" i="5"/>
  <c r="K32" i="5" s="1"/>
  <c r="H31" i="5"/>
  <c r="K31" i="5"/>
  <c r="H30" i="5"/>
  <c r="K30" i="5" s="1"/>
  <c r="H29" i="5"/>
  <c r="K29" i="5"/>
  <c r="H28" i="5"/>
  <c r="K28" i="5" s="1"/>
  <c r="H27" i="5"/>
  <c r="K27" i="5" s="1"/>
  <c r="H26" i="5"/>
  <c r="K26" i="5" s="1"/>
  <c r="H25" i="5"/>
  <c r="K25" i="5" s="1"/>
  <c r="H24" i="5"/>
  <c r="K24" i="5" s="1"/>
  <c r="H23" i="5"/>
  <c r="K23" i="5"/>
  <c r="H22" i="5"/>
  <c r="K22" i="5" s="1"/>
  <c r="H21" i="5"/>
  <c r="K21" i="5" s="1"/>
  <c r="H20" i="5"/>
  <c r="K20" i="5" s="1"/>
  <c r="H19" i="5"/>
  <c r="K19" i="5" s="1"/>
  <c r="H18" i="5"/>
  <c r="K18" i="5" s="1"/>
  <c r="H17" i="5"/>
  <c r="K17" i="5" s="1"/>
  <c r="H16" i="5"/>
  <c r="K16" i="5" s="1"/>
  <c r="H15" i="5"/>
  <c r="K15" i="5"/>
  <c r="H14" i="5"/>
  <c r="K14" i="5" s="1"/>
  <c r="H13" i="5"/>
  <c r="K13" i="5"/>
  <c r="H12" i="5"/>
  <c r="K12" i="5" s="1"/>
  <c r="H11" i="5"/>
  <c r="K11" i="5" s="1"/>
  <c r="H10" i="5"/>
  <c r="K10" i="5" s="1"/>
  <c r="H9" i="5"/>
  <c r="K9" i="5" s="1"/>
  <c r="H7" i="5"/>
  <c r="K7" i="5" s="1"/>
  <c r="H8" i="5"/>
  <c r="K8" i="5"/>
  <c r="H296" i="4"/>
  <c r="K296" i="4" s="1"/>
  <c r="H295" i="4"/>
  <c r="K295" i="4" s="1"/>
  <c r="H294" i="4"/>
  <c r="K294" i="4" s="1"/>
  <c r="H293" i="4"/>
  <c r="K293" i="4" s="1"/>
  <c r="H292" i="4"/>
  <c r="K292" i="4" s="1"/>
  <c r="H291" i="4"/>
  <c r="K291" i="4" s="1"/>
  <c r="H290" i="4"/>
  <c r="K290" i="4" s="1"/>
  <c r="H289" i="4"/>
  <c r="K289" i="4"/>
  <c r="H288" i="4"/>
  <c r="K288" i="4" s="1"/>
  <c r="H287" i="4"/>
  <c r="K287" i="4"/>
  <c r="H286" i="4"/>
  <c r="K286" i="4" s="1"/>
  <c r="H285" i="4"/>
  <c r="K285" i="4" s="1"/>
  <c r="H284" i="4"/>
  <c r="K284" i="4" s="1"/>
  <c r="H283" i="4"/>
  <c r="K283" i="4" s="1"/>
  <c r="H282" i="4"/>
  <c r="K282" i="4" s="1"/>
  <c r="H281" i="4"/>
  <c r="K281" i="4"/>
  <c r="H280" i="4"/>
  <c r="K280" i="4" s="1"/>
  <c r="H279" i="4"/>
  <c r="K279" i="4" s="1"/>
  <c r="H278" i="4"/>
  <c r="K278" i="4" s="1"/>
  <c r="H277" i="4"/>
  <c r="K277" i="4" s="1"/>
  <c r="H276" i="4"/>
  <c r="K276" i="4" s="1"/>
  <c r="H275" i="4"/>
  <c r="K275" i="4" s="1"/>
  <c r="H274" i="4"/>
  <c r="K274" i="4" s="1"/>
  <c r="H273" i="4"/>
  <c r="K273" i="4"/>
  <c r="H272" i="4"/>
  <c r="K272" i="4" s="1"/>
  <c r="H271" i="4"/>
  <c r="K271" i="4"/>
  <c r="H270" i="4"/>
  <c r="K270" i="4" s="1"/>
  <c r="H269" i="4"/>
  <c r="K269" i="4" s="1"/>
  <c r="H268" i="4"/>
  <c r="K268" i="4" s="1"/>
  <c r="H267" i="4"/>
  <c r="K267" i="4" s="1"/>
  <c r="H266" i="4"/>
  <c r="K266" i="4" s="1"/>
  <c r="H265" i="4"/>
  <c r="K265" i="4" s="1"/>
  <c r="H264" i="4"/>
  <c r="K264" i="4" s="1"/>
  <c r="K263" i="4"/>
  <c r="H262" i="4"/>
  <c r="K262" i="4" s="1"/>
  <c r="K261" i="4"/>
  <c r="K260" i="4"/>
  <c r="K259" i="4"/>
  <c r="K258" i="4"/>
  <c r="K257" i="4"/>
  <c r="K256" i="4"/>
  <c r="K255" i="4"/>
  <c r="K254" i="4"/>
  <c r="K253" i="4"/>
  <c r="K252" i="4"/>
  <c r="K251" i="4"/>
  <c r="K250" i="4"/>
  <c r="K249" i="4"/>
  <c r="H248" i="4"/>
  <c r="K248" i="4" s="1"/>
  <c r="H247" i="4"/>
  <c r="K247" i="4" s="1"/>
  <c r="H246" i="4"/>
  <c r="K246" i="4" s="1"/>
  <c r="H245" i="4"/>
  <c r="K245" i="4" s="1"/>
  <c r="H244" i="4"/>
  <c r="K244" i="4" s="1"/>
  <c r="H243" i="4"/>
  <c r="K243" i="4" s="1"/>
  <c r="H242" i="4"/>
  <c r="K242" i="4" s="1"/>
  <c r="H241" i="4"/>
  <c r="K241" i="4" s="1"/>
  <c r="H240" i="4"/>
  <c r="K240" i="4" s="1"/>
  <c r="H239" i="4"/>
  <c r="K239" i="4" s="1"/>
  <c r="H238" i="4"/>
  <c r="K238" i="4" s="1"/>
  <c r="H237" i="4"/>
  <c r="K237" i="4"/>
  <c r="H236" i="4"/>
  <c r="K236" i="4" s="1"/>
  <c r="H235" i="4"/>
  <c r="K235" i="4" s="1"/>
  <c r="H234" i="4"/>
  <c r="K234" i="4"/>
  <c r="H233" i="4"/>
  <c r="K233" i="4" s="1"/>
  <c r="K232" i="4"/>
  <c r="H231" i="4"/>
  <c r="K231" i="4" s="1"/>
  <c r="H230" i="4"/>
  <c r="K230" i="4" s="1"/>
  <c r="H229" i="4"/>
  <c r="K229" i="4" s="1"/>
  <c r="H228" i="4"/>
  <c r="K228" i="4" s="1"/>
  <c r="H227" i="4"/>
  <c r="K227" i="4" s="1"/>
  <c r="H226" i="4"/>
  <c r="K226" i="4" s="1"/>
  <c r="H225" i="4"/>
  <c r="K225" i="4" s="1"/>
  <c r="H224" i="4"/>
  <c r="K224" i="4" s="1"/>
  <c r="H223" i="4"/>
  <c r="K223" i="4" s="1"/>
  <c r="H222" i="4"/>
  <c r="K222" i="4" s="1"/>
  <c r="H221" i="4"/>
  <c r="K221" i="4" s="1"/>
  <c r="H220" i="4"/>
  <c r="K220" i="4" s="1"/>
  <c r="H219" i="4"/>
  <c r="K219" i="4" s="1"/>
  <c r="H218" i="4"/>
  <c r="K218" i="4" s="1"/>
  <c r="H217" i="4"/>
  <c r="K217" i="4" s="1"/>
  <c r="H216" i="4"/>
  <c r="K216" i="4" s="1"/>
  <c r="H215" i="4"/>
  <c r="K215" i="4" s="1"/>
  <c r="H214" i="4"/>
  <c r="K214" i="4" s="1"/>
  <c r="H213" i="4"/>
  <c r="K213" i="4" s="1"/>
  <c r="H212" i="4"/>
  <c r="K212" i="4" s="1"/>
  <c r="H211" i="4"/>
  <c r="K211" i="4" s="1"/>
  <c r="H210" i="4"/>
  <c r="K210" i="4" s="1"/>
  <c r="H209" i="4"/>
  <c r="K209" i="4" s="1"/>
  <c r="H208" i="4"/>
  <c r="K208" i="4" s="1"/>
  <c r="H207" i="4"/>
  <c r="K207" i="4" s="1"/>
  <c r="H206" i="4"/>
  <c r="K206" i="4" s="1"/>
  <c r="H205" i="4"/>
  <c r="K205" i="4" s="1"/>
  <c r="H204" i="4"/>
  <c r="K204" i="4" s="1"/>
  <c r="H203" i="4"/>
  <c r="K203" i="4" s="1"/>
  <c r="H202" i="4"/>
  <c r="K202" i="4" s="1"/>
  <c r="H201" i="4"/>
  <c r="K201" i="4" s="1"/>
  <c r="H200" i="4"/>
  <c r="K200" i="4" s="1"/>
  <c r="H199" i="4"/>
  <c r="K199" i="4" s="1"/>
  <c r="H198" i="4"/>
  <c r="K198" i="4" s="1"/>
  <c r="H197" i="4"/>
  <c r="K197" i="4" s="1"/>
  <c r="H196" i="4"/>
  <c r="K196" i="4" s="1"/>
  <c r="H195" i="4"/>
  <c r="K195" i="4" s="1"/>
  <c r="H194" i="4"/>
  <c r="K194" i="4" s="1"/>
  <c r="H193" i="4"/>
  <c r="K193" i="4" s="1"/>
  <c r="H192" i="4"/>
  <c r="K192" i="4" s="1"/>
  <c r="H191" i="4"/>
  <c r="K191" i="4" s="1"/>
  <c r="H190" i="4"/>
  <c r="K190" i="4" s="1"/>
  <c r="H189" i="4"/>
  <c r="K189" i="4" s="1"/>
  <c r="H188" i="4"/>
  <c r="K188" i="4" s="1"/>
  <c r="H187" i="4"/>
  <c r="K187" i="4" s="1"/>
  <c r="H186" i="4"/>
  <c r="K186" i="4" s="1"/>
  <c r="H185" i="4"/>
  <c r="K185" i="4" s="1"/>
  <c r="H184" i="4"/>
  <c r="K184" i="4" s="1"/>
  <c r="H183" i="4"/>
  <c r="K183" i="4" s="1"/>
  <c r="H182" i="4"/>
  <c r="K182" i="4" s="1"/>
  <c r="H181" i="4"/>
  <c r="K181" i="4" s="1"/>
  <c r="H180" i="4"/>
  <c r="K180" i="4" s="1"/>
  <c r="H179" i="4"/>
  <c r="K179" i="4" s="1"/>
  <c r="H178" i="4"/>
  <c r="K178" i="4" s="1"/>
  <c r="H177" i="4"/>
  <c r="K177" i="4" s="1"/>
  <c r="H176" i="4"/>
  <c r="K176" i="4" s="1"/>
  <c r="H175" i="4"/>
  <c r="K175" i="4" s="1"/>
  <c r="H174" i="4"/>
  <c r="K174" i="4" s="1"/>
  <c r="H173" i="4"/>
  <c r="K173" i="4" s="1"/>
  <c r="H172" i="4"/>
  <c r="K172" i="4" s="1"/>
  <c r="H171" i="4"/>
  <c r="K171" i="4" s="1"/>
  <c r="H170" i="4"/>
  <c r="K170" i="4" s="1"/>
  <c r="H169" i="4"/>
  <c r="K169" i="4" s="1"/>
  <c r="H168" i="4"/>
  <c r="K168" i="4" s="1"/>
  <c r="H167" i="4"/>
  <c r="K167" i="4" s="1"/>
  <c r="H166" i="4"/>
  <c r="K166" i="4" s="1"/>
  <c r="H165" i="4"/>
  <c r="K165" i="4" s="1"/>
  <c r="H164" i="4"/>
  <c r="K164" i="4" s="1"/>
  <c r="H163" i="4"/>
  <c r="K163" i="4" s="1"/>
  <c r="H162" i="4"/>
  <c r="K162" i="4" s="1"/>
  <c r="H161" i="4"/>
  <c r="K161" i="4" s="1"/>
  <c r="H160" i="4"/>
  <c r="K160" i="4" s="1"/>
  <c r="H159" i="4"/>
  <c r="K159" i="4" s="1"/>
  <c r="H158" i="4"/>
  <c r="K158" i="4" s="1"/>
  <c r="H157" i="4"/>
  <c r="K157" i="4" s="1"/>
  <c r="H156" i="4"/>
  <c r="K156" i="4" s="1"/>
  <c r="H155" i="4"/>
  <c r="K155" i="4" s="1"/>
  <c r="H154" i="4"/>
  <c r="K154" i="4" s="1"/>
  <c r="H153" i="4"/>
  <c r="K153" i="4" s="1"/>
  <c r="H152" i="4"/>
  <c r="K152" i="4" s="1"/>
  <c r="H151" i="4"/>
  <c r="K151" i="4" s="1"/>
  <c r="H150" i="4"/>
  <c r="K150" i="4" s="1"/>
  <c r="H149" i="4"/>
  <c r="K149" i="4" s="1"/>
  <c r="H148" i="4"/>
  <c r="K148" i="4" s="1"/>
  <c r="H147" i="4"/>
  <c r="K147" i="4" s="1"/>
  <c r="H146" i="4"/>
  <c r="K146" i="4" s="1"/>
  <c r="H145" i="4"/>
  <c r="K145" i="4" s="1"/>
  <c r="H144" i="4"/>
  <c r="K144" i="4" s="1"/>
  <c r="H143" i="4"/>
  <c r="K143" i="4" s="1"/>
  <c r="H142" i="4"/>
  <c r="K142" i="4" s="1"/>
  <c r="H141" i="4"/>
  <c r="K141" i="4" s="1"/>
  <c r="H140" i="4"/>
  <c r="K140" i="4" s="1"/>
  <c r="H139" i="4"/>
  <c r="K139" i="4" s="1"/>
  <c r="H138" i="4"/>
  <c r="K138" i="4" s="1"/>
  <c r="H137" i="4"/>
  <c r="K137" i="4" s="1"/>
  <c r="H136" i="4"/>
  <c r="K136" i="4" s="1"/>
  <c r="H135" i="4"/>
  <c r="K135" i="4" s="1"/>
  <c r="H134" i="4"/>
  <c r="K134" i="4" s="1"/>
  <c r="H133" i="4"/>
  <c r="K133" i="4" s="1"/>
  <c r="H132" i="4"/>
  <c r="K132" i="4" s="1"/>
  <c r="H131" i="4"/>
  <c r="K131" i="4" s="1"/>
  <c r="H130" i="4"/>
  <c r="K130" i="4" s="1"/>
  <c r="H129" i="4"/>
  <c r="K129" i="4" s="1"/>
  <c r="H128" i="4"/>
  <c r="K128" i="4" s="1"/>
  <c r="H127" i="4"/>
  <c r="K127" i="4" s="1"/>
  <c r="H126" i="4"/>
  <c r="K126" i="4" s="1"/>
  <c r="H125" i="4"/>
  <c r="K125" i="4" s="1"/>
  <c r="H124" i="4"/>
  <c r="K124" i="4" s="1"/>
  <c r="H123" i="4"/>
  <c r="K123" i="4" s="1"/>
  <c r="H122" i="4"/>
  <c r="K122" i="4" s="1"/>
  <c r="H121" i="4"/>
  <c r="K121" i="4" s="1"/>
  <c r="H120" i="4"/>
  <c r="K120" i="4" s="1"/>
  <c r="H119" i="4"/>
  <c r="K119" i="4" s="1"/>
  <c r="H118" i="4"/>
  <c r="K118" i="4" s="1"/>
  <c r="H117" i="4"/>
  <c r="K117" i="4" s="1"/>
  <c r="H116" i="4"/>
  <c r="K116" i="4" s="1"/>
  <c r="H115" i="4"/>
  <c r="K115" i="4" s="1"/>
  <c r="H114" i="4"/>
  <c r="K114" i="4" s="1"/>
  <c r="H113" i="4"/>
  <c r="K113" i="4" s="1"/>
  <c r="H112" i="4"/>
  <c r="K112" i="4" s="1"/>
  <c r="H111" i="4"/>
  <c r="K111" i="4" s="1"/>
  <c r="H110" i="4"/>
  <c r="K110" i="4" s="1"/>
  <c r="H109" i="4"/>
  <c r="K109" i="4" s="1"/>
  <c r="H108" i="4"/>
  <c r="K108" i="4" s="1"/>
  <c r="H107" i="4"/>
  <c r="K107" i="4" s="1"/>
  <c r="H106" i="4"/>
  <c r="K106" i="4" s="1"/>
  <c r="H105" i="4"/>
  <c r="K105" i="4" s="1"/>
  <c r="H104" i="4"/>
  <c r="K104" i="4" s="1"/>
  <c r="H103" i="4"/>
  <c r="K103" i="4" s="1"/>
  <c r="H102" i="4"/>
  <c r="K102" i="4" s="1"/>
  <c r="H101" i="4"/>
  <c r="K101" i="4" s="1"/>
  <c r="H100" i="4"/>
  <c r="K100" i="4" s="1"/>
  <c r="H99" i="4"/>
  <c r="K99" i="4" s="1"/>
  <c r="H98" i="4"/>
  <c r="K98" i="4" s="1"/>
  <c r="H97" i="4"/>
  <c r="K97" i="4" s="1"/>
  <c r="H96" i="4"/>
  <c r="K96" i="4" s="1"/>
  <c r="H95" i="4"/>
  <c r="K95" i="4" s="1"/>
  <c r="H94" i="4"/>
  <c r="K94" i="4" s="1"/>
  <c r="H93" i="4"/>
  <c r="K93" i="4" s="1"/>
  <c r="H92" i="4"/>
  <c r="K92" i="4" s="1"/>
  <c r="H91" i="4"/>
  <c r="K91" i="4" s="1"/>
  <c r="H90" i="4"/>
  <c r="K90" i="4" s="1"/>
  <c r="H89" i="4"/>
  <c r="K89" i="4" s="1"/>
  <c r="H88" i="4"/>
  <c r="K88" i="4" s="1"/>
  <c r="H87" i="4"/>
  <c r="K87" i="4" s="1"/>
  <c r="H86" i="4"/>
  <c r="K86" i="4" s="1"/>
  <c r="H85" i="4"/>
  <c r="K85" i="4" s="1"/>
  <c r="H84" i="4"/>
  <c r="K84" i="4" s="1"/>
  <c r="H83" i="4"/>
  <c r="K83" i="4" s="1"/>
  <c r="H82" i="4"/>
  <c r="K82" i="4" s="1"/>
  <c r="H81" i="4"/>
  <c r="K81" i="4" s="1"/>
  <c r="H80" i="4"/>
  <c r="K80" i="4" s="1"/>
  <c r="H79" i="4"/>
  <c r="K79" i="4" s="1"/>
  <c r="H78" i="4"/>
  <c r="K78" i="4" s="1"/>
  <c r="H77" i="4"/>
  <c r="K77" i="4" s="1"/>
  <c r="H76" i="4"/>
  <c r="K76" i="4" s="1"/>
  <c r="H75" i="4"/>
  <c r="K75" i="4" s="1"/>
  <c r="H74" i="4"/>
  <c r="K74" i="4" s="1"/>
  <c r="H73" i="4"/>
  <c r="K73" i="4" s="1"/>
  <c r="H72" i="4"/>
  <c r="K72" i="4" s="1"/>
  <c r="H71" i="4"/>
  <c r="K71" i="4" s="1"/>
  <c r="H70" i="4"/>
  <c r="K70" i="4" s="1"/>
  <c r="H69" i="4"/>
  <c r="K69" i="4" s="1"/>
  <c r="H68" i="4"/>
  <c r="K68" i="4" s="1"/>
  <c r="H67" i="4"/>
  <c r="K67" i="4" s="1"/>
  <c r="H66" i="4"/>
  <c r="K66" i="4" s="1"/>
  <c r="H65" i="4"/>
  <c r="K65" i="4" s="1"/>
  <c r="H64" i="4"/>
  <c r="K64" i="4" s="1"/>
  <c r="H63" i="4"/>
  <c r="K63" i="4" s="1"/>
  <c r="H62" i="4"/>
  <c r="K62" i="4" s="1"/>
  <c r="H61" i="4"/>
  <c r="K61" i="4" s="1"/>
  <c r="H60" i="4"/>
  <c r="K60" i="4" s="1"/>
  <c r="H59" i="4"/>
  <c r="K59" i="4" s="1"/>
  <c r="H58" i="4"/>
  <c r="K58" i="4" s="1"/>
  <c r="H57" i="4"/>
  <c r="K57" i="4" s="1"/>
  <c r="H56" i="4"/>
  <c r="K56" i="4" s="1"/>
  <c r="H55" i="4"/>
  <c r="K55" i="4" s="1"/>
  <c r="H54" i="4"/>
  <c r="K54" i="4" s="1"/>
  <c r="H53" i="4"/>
  <c r="K53" i="4" s="1"/>
  <c r="H52" i="4"/>
  <c r="K52" i="4" s="1"/>
  <c r="H51" i="4"/>
  <c r="K51" i="4" s="1"/>
  <c r="H50" i="4"/>
  <c r="K50" i="4" s="1"/>
  <c r="H49" i="4"/>
  <c r="K49" i="4" s="1"/>
  <c r="H48" i="4"/>
  <c r="K48" i="4" s="1"/>
  <c r="H47" i="4"/>
  <c r="K47" i="4" s="1"/>
  <c r="H46" i="4"/>
  <c r="K46" i="4" s="1"/>
  <c r="H45" i="4"/>
  <c r="K45" i="4" s="1"/>
  <c r="H44" i="4"/>
  <c r="K44" i="4" s="1"/>
  <c r="H43" i="4"/>
  <c r="K43" i="4" s="1"/>
  <c r="H42" i="4"/>
  <c r="K42" i="4" s="1"/>
  <c r="H41" i="4"/>
  <c r="K41" i="4" s="1"/>
  <c r="H40" i="4"/>
  <c r="K40" i="4" s="1"/>
  <c r="H39" i="4"/>
  <c r="K39" i="4" s="1"/>
  <c r="H38" i="4"/>
  <c r="K38" i="4" s="1"/>
  <c r="H37" i="4"/>
  <c r="K37" i="4" s="1"/>
  <c r="H36" i="4"/>
  <c r="K36" i="4" s="1"/>
  <c r="H35" i="4"/>
  <c r="K35" i="4" s="1"/>
  <c r="H34" i="4"/>
  <c r="K34" i="4" s="1"/>
  <c r="H33" i="4"/>
  <c r="K33" i="4" s="1"/>
  <c r="H32" i="4"/>
  <c r="K32" i="4" s="1"/>
  <c r="H31" i="4"/>
  <c r="K31" i="4" s="1"/>
  <c r="H30" i="4"/>
  <c r="K30" i="4" s="1"/>
  <c r="H29" i="4"/>
  <c r="K29" i="4" s="1"/>
  <c r="H28" i="4"/>
  <c r="K28" i="4" s="1"/>
  <c r="H27" i="4"/>
  <c r="K27" i="4" s="1"/>
  <c r="H26" i="4"/>
  <c r="K26" i="4" s="1"/>
  <c r="H25" i="4"/>
  <c r="K25" i="4" s="1"/>
  <c r="H24" i="4"/>
  <c r="K24" i="4" s="1"/>
  <c r="H23" i="4"/>
  <c r="K23" i="4" s="1"/>
  <c r="H22" i="4"/>
  <c r="K22" i="4" s="1"/>
  <c r="H21" i="4"/>
  <c r="K21" i="4" s="1"/>
  <c r="H20" i="4"/>
  <c r="K20" i="4" s="1"/>
  <c r="H19" i="4"/>
  <c r="K19" i="4" s="1"/>
  <c r="H18" i="4"/>
  <c r="K18" i="4" s="1"/>
  <c r="H17" i="4"/>
  <c r="K17" i="4" s="1"/>
  <c r="H16" i="4"/>
  <c r="K16" i="4" s="1"/>
  <c r="H15" i="4"/>
  <c r="K15" i="4" s="1"/>
  <c r="H14" i="4"/>
  <c r="K14" i="4" s="1"/>
  <c r="H13" i="4"/>
  <c r="K13" i="4" s="1"/>
  <c r="H12" i="4"/>
  <c r="K12" i="4" s="1"/>
  <c r="H11" i="4"/>
  <c r="K11" i="4" s="1"/>
  <c r="H10" i="4"/>
  <c r="K10" i="4" s="1"/>
  <c r="H9" i="4"/>
  <c r="K9" i="4" s="1"/>
  <c r="H7" i="4"/>
  <c r="H8" i="4"/>
  <c r="K8" i="4" s="1"/>
  <c r="K718" i="3"/>
  <c r="K717" i="3"/>
  <c r="K716" i="3"/>
  <c r="K715" i="3"/>
  <c r="K714" i="3"/>
  <c r="K713" i="3"/>
  <c r="K712" i="3"/>
  <c r="K711" i="3"/>
  <c r="K710" i="3"/>
  <c r="K709" i="3"/>
  <c r="K708" i="3"/>
  <c r="K707" i="3"/>
  <c r="K706" i="3"/>
  <c r="K705" i="3"/>
  <c r="K702" i="3"/>
  <c r="K701" i="3"/>
  <c r="K700" i="3"/>
  <c r="K699" i="3"/>
  <c r="K698" i="3"/>
  <c r="K697" i="3"/>
  <c r="K696" i="3"/>
  <c r="K695" i="3"/>
  <c r="K694" i="3"/>
  <c r="K693" i="3"/>
  <c r="K692" i="3"/>
  <c r="K691" i="3"/>
  <c r="K690" i="3"/>
  <c r="K689" i="3"/>
  <c r="K688" i="3"/>
  <c r="K687" i="3"/>
  <c r="K686" i="3"/>
  <c r="K685" i="3"/>
  <c r="K684" i="3"/>
  <c r="K683" i="3"/>
  <c r="K682" i="3"/>
  <c r="K681" i="3"/>
  <c r="H680" i="3"/>
  <c r="K680" i="3" s="1"/>
  <c r="H679" i="3"/>
  <c r="K679" i="3" s="1"/>
  <c r="H678" i="3"/>
  <c r="K678" i="3" s="1"/>
  <c r="H677" i="3"/>
  <c r="K677" i="3" s="1"/>
  <c r="H676" i="3"/>
  <c r="K676" i="3" s="1"/>
  <c r="H675" i="3"/>
  <c r="K675" i="3" s="1"/>
  <c r="H674" i="3"/>
  <c r="K674" i="3" s="1"/>
  <c r="H673" i="3"/>
  <c r="K673" i="3" s="1"/>
  <c r="H672" i="3"/>
  <c r="K672" i="3" s="1"/>
  <c r="H671" i="3"/>
  <c r="K671" i="3" s="1"/>
  <c r="H670" i="3"/>
  <c r="K670" i="3" s="1"/>
  <c r="H669" i="3"/>
  <c r="K669" i="3" s="1"/>
  <c r="H668" i="3"/>
  <c r="K668" i="3" s="1"/>
  <c r="H667" i="3"/>
  <c r="K667" i="3" s="1"/>
  <c r="H666" i="3"/>
  <c r="K666" i="3" s="1"/>
  <c r="H665" i="3"/>
  <c r="K665" i="3" s="1"/>
  <c r="K664" i="3"/>
  <c r="K663" i="3"/>
  <c r="K662" i="3"/>
  <c r="K661" i="3"/>
  <c r="K660" i="3"/>
  <c r="K659" i="3"/>
  <c r="K658" i="3"/>
  <c r="K652" i="3"/>
  <c r="K651" i="3"/>
  <c r="K649" i="3"/>
  <c r="K647" i="3"/>
  <c r="K646" i="3"/>
  <c r="K643" i="3"/>
  <c r="K642" i="3"/>
  <c r="K639" i="3"/>
  <c r="K638" i="3"/>
  <c r="K635" i="3"/>
  <c r="K634" i="3"/>
  <c r="K633" i="3"/>
  <c r="K631" i="3"/>
  <c r="K630" i="3"/>
  <c r="K627" i="3"/>
  <c r="K626" i="3"/>
  <c r="K623" i="3"/>
  <c r="K622" i="3"/>
  <c r="H619" i="3"/>
  <c r="K619" i="3" s="1"/>
  <c r="H618" i="3"/>
  <c r="K618" i="3" s="1"/>
  <c r="H617" i="3"/>
  <c r="K617" i="3" s="1"/>
  <c r="H616" i="3"/>
  <c r="K616" i="3" s="1"/>
  <c r="H615" i="3"/>
  <c r="K615" i="3" s="1"/>
  <c r="H614" i="3"/>
  <c r="K614" i="3" s="1"/>
  <c r="H613" i="3"/>
  <c r="K613" i="3" s="1"/>
  <c r="H612" i="3"/>
  <c r="K612" i="3" s="1"/>
  <c r="H611" i="3"/>
  <c r="K611" i="3" s="1"/>
  <c r="H610" i="3"/>
  <c r="K610" i="3" s="1"/>
  <c r="H609" i="3"/>
  <c r="K609" i="3" s="1"/>
  <c r="H608" i="3"/>
  <c r="K608" i="3" s="1"/>
  <c r="H607" i="3"/>
  <c r="K607" i="3" s="1"/>
  <c r="H606" i="3"/>
  <c r="K606" i="3" s="1"/>
  <c r="H605" i="3"/>
  <c r="K605" i="3" s="1"/>
  <c r="H604" i="3"/>
  <c r="K604" i="3" s="1"/>
  <c r="H603" i="3"/>
  <c r="K603" i="3" s="1"/>
  <c r="H602" i="3"/>
  <c r="K602" i="3" s="1"/>
  <c r="H601" i="3"/>
  <c r="K601" i="3" s="1"/>
  <c r="H600" i="3"/>
  <c r="K600" i="3" s="1"/>
  <c r="H599" i="3"/>
  <c r="K599" i="3" s="1"/>
  <c r="H598" i="3"/>
  <c r="K598" i="3" s="1"/>
  <c r="H597" i="3"/>
  <c r="K597" i="3" s="1"/>
  <c r="H596" i="3"/>
  <c r="K596" i="3" s="1"/>
  <c r="H595" i="3"/>
  <c r="K595" i="3" s="1"/>
  <c r="H594" i="3"/>
  <c r="K594" i="3" s="1"/>
  <c r="H593" i="3"/>
  <c r="K593" i="3"/>
  <c r="H592" i="3"/>
  <c r="K592" i="3" s="1"/>
  <c r="H591" i="3"/>
  <c r="K591" i="3" s="1"/>
  <c r="H590" i="3"/>
  <c r="K590" i="3" s="1"/>
  <c r="H589" i="3"/>
  <c r="K589" i="3" s="1"/>
  <c r="H588" i="3"/>
  <c r="K588" i="3" s="1"/>
  <c r="H587" i="3"/>
  <c r="K587" i="3" s="1"/>
  <c r="H586" i="3"/>
  <c r="K586" i="3" s="1"/>
  <c r="H585" i="3"/>
  <c r="K585" i="3" s="1"/>
  <c r="H584" i="3"/>
  <c r="K584" i="3" s="1"/>
  <c r="H583" i="3"/>
  <c r="K583" i="3" s="1"/>
  <c r="H582" i="3"/>
  <c r="K582" i="3" s="1"/>
  <c r="H581" i="3"/>
  <c r="K581" i="3" s="1"/>
  <c r="H580" i="3"/>
  <c r="K580" i="3" s="1"/>
  <c r="H579" i="3"/>
  <c r="K579" i="3" s="1"/>
  <c r="H578" i="3"/>
  <c r="K578" i="3" s="1"/>
  <c r="H577" i="3"/>
  <c r="K577" i="3" s="1"/>
  <c r="H576" i="3"/>
  <c r="K576" i="3" s="1"/>
  <c r="H575" i="3"/>
  <c r="K575" i="3" s="1"/>
  <c r="H574" i="3"/>
  <c r="K574" i="3" s="1"/>
  <c r="H573" i="3"/>
  <c r="K573" i="3" s="1"/>
  <c r="H572" i="3"/>
  <c r="K572" i="3" s="1"/>
  <c r="H571" i="3"/>
  <c r="K571" i="3" s="1"/>
  <c r="H570" i="3"/>
  <c r="K570" i="3" s="1"/>
  <c r="H569" i="3"/>
  <c r="K569" i="3" s="1"/>
  <c r="H568" i="3"/>
  <c r="K568" i="3" s="1"/>
  <c r="H567" i="3"/>
  <c r="K567" i="3" s="1"/>
  <c r="H566" i="3"/>
  <c r="K566" i="3" s="1"/>
  <c r="H565" i="3"/>
  <c r="K565" i="3" s="1"/>
  <c r="H564" i="3"/>
  <c r="K564" i="3" s="1"/>
  <c r="H563" i="3"/>
  <c r="K563" i="3" s="1"/>
  <c r="H562" i="3"/>
  <c r="K562" i="3" s="1"/>
  <c r="H561" i="3"/>
  <c r="K561" i="3"/>
  <c r="H560" i="3"/>
  <c r="K560" i="3" s="1"/>
  <c r="H559" i="3"/>
  <c r="K559" i="3" s="1"/>
  <c r="H558" i="3"/>
  <c r="K558" i="3" s="1"/>
  <c r="H557" i="3"/>
  <c r="K557" i="3" s="1"/>
  <c r="H556" i="3"/>
  <c r="K556" i="3" s="1"/>
  <c r="H555" i="3"/>
  <c r="K555" i="3" s="1"/>
  <c r="H554" i="3"/>
  <c r="K554" i="3" s="1"/>
  <c r="H553" i="3"/>
  <c r="K553" i="3"/>
  <c r="H552" i="3"/>
  <c r="K552" i="3" s="1"/>
  <c r="H551" i="3"/>
  <c r="K551" i="3" s="1"/>
  <c r="H550" i="3"/>
  <c r="K550" i="3" s="1"/>
  <c r="H549" i="3"/>
  <c r="K549" i="3" s="1"/>
  <c r="H548" i="3"/>
  <c r="K548" i="3" s="1"/>
  <c r="H547" i="3"/>
  <c r="K547" i="3" s="1"/>
  <c r="H546" i="3"/>
  <c r="K546" i="3" s="1"/>
  <c r="H545" i="3"/>
  <c r="K545" i="3" s="1"/>
  <c r="H544" i="3"/>
  <c r="K544" i="3" s="1"/>
  <c r="H543" i="3"/>
  <c r="K543" i="3" s="1"/>
  <c r="H542" i="3"/>
  <c r="K542" i="3" s="1"/>
  <c r="H541" i="3"/>
  <c r="K541" i="3" s="1"/>
  <c r="H540" i="3"/>
  <c r="K540" i="3" s="1"/>
  <c r="H539" i="3"/>
  <c r="K539" i="3" s="1"/>
  <c r="H538" i="3"/>
  <c r="K538" i="3" s="1"/>
  <c r="H537" i="3"/>
  <c r="K537" i="3" s="1"/>
  <c r="H536" i="3"/>
  <c r="K536" i="3" s="1"/>
  <c r="H535" i="3"/>
  <c r="K535" i="3" s="1"/>
  <c r="H534" i="3"/>
  <c r="K534" i="3" s="1"/>
  <c r="H533" i="3"/>
  <c r="K533" i="3" s="1"/>
  <c r="H532" i="3"/>
  <c r="K532" i="3" s="1"/>
  <c r="H531" i="3"/>
  <c r="K531" i="3" s="1"/>
  <c r="H530" i="3"/>
  <c r="K530" i="3" s="1"/>
  <c r="H529" i="3"/>
  <c r="K529" i="3" s="1"/>
  <c r="H528" i="3"/>
  <c r="K528" i="3" s="1"/>
  <c r="H527" i="3"/>
  <c r="K527" i="3" s="1"/>
  <c r="H526" i="3"/>
  <c r="K526" i="3" s="1"/>
  <c r="H525" i="3"/>
  <c r="K525" i="3" s="1"/>
  <c r="H524" i="3"/>
  <c r="K524" i="3" s="1"/>
  <c r="H523" i="3"/>
  <c r="K523" i="3" s="1"/>
  <c r="H522" i="3"/>
  <c r="K522" i="3" s="1"/>
  <c r="H521" i="3"/>
  <c r="K521" i="3"/>
  <c r="H520" i="3"/>
  <c r="K520" i="3" s="1"/>
  <c r="H519" i="3"/>
  <c r="K519" i="3" s="1"/>
  <c r="H518" i="3"/>
  <c r="K518" i="3" s="1"/>
  <c r="H517" i="3"/>
  <c r="K517" i="3" s="1"/>
  <c r="H516" i="3"/>
  <c r="K516" i="3" s="1"/>
  <c r="H515" i="3"/>
  <c r="K515" i="3" s="1"/>
  <c r="H514" i="3"/>
  <c r="K514" i="3" s="1"/>
  <c r="H513" i="3"/>
  <c r="K513" i="3" s="1"/>
  <c r="H512" i="3"/>
  <c r="K512" i="3" s="1"/>
  <c r="H511" i="3"/>
  <c r="K511" i="3" s="1"/>
  <c r="H510" i="3"/>
  <c r="K510" i="3" s="1"/>
  <c r="H509" i="3"/>
  <c r="K509" i="3" s="1"/>
  <c r="H508" i="3"/>
  <c r="K508" i="3" s="1"/>
  <c r="H507" i="3"/>
  <c r="K507" i="3" s="1"/>
  <c r="H506" i="3"/>
  <c r="K506" i="3" s="1"/>
  <c r="H505" i="3"/>
  <c r="K505" i="3" s="1"/>
  <c r="H504" i="3"/>
  <c r="K504" i="3" s="1"/>
  <c r="H503" i="3"/>
  <c r="K503" i="3" s="1"/>
  <c r="H502" i="3"/>
  <c r="K502" i="3" s="1"/>
  <c r="H501" i="3"/>
  <c r="K501" i="3" s="1"/>
  <c r="H500" i="3"/>
  <c r="K500" i="3" s="1"/>
  <c r="H499" i="3"/>
  <c r="K499" i="3" s="1"/>
  <c r="H498" i="3"/>
  <c r="K498" i="3" s="1"/>
  <c r="H497" i="3"/>
  <c r="K497" i="3"/>
  <c r="H496" i="3"/>
  <c r="K496" i="3" s="1"/>
  <c r="H495" i="3"/>
  <c r="K495" i="3" s="1"/>
  <c r="H494" i="3"/>
  <c r="K494" i="3" s="1"/>
  <c r="H493" i="3"/>
  <c r="K493" i="3" s="1"/>
  <c r="H492" i="3"/>
  <c r="K492" i="3" s="1"/>
  <c r="H491" i="3"/>
  <c r="K491" i="3" s="1"/>
  <c r="H490" i="3"/>
  <c r="K490" i="3" s="1"/>
  <c r="H489" i="3"/>
  <c r="K489" i="3"/>
  <c r="H488" i="3"/>
  <c r="K488" i="3" s="1"/>
  <c r="H487" i="3"/>
  <c r="K487" i="3" s="1"/>
  <c r="H486" i="3"/>
  <c r="K486" i="3" s="1"/>
  <c r="H485" i="3"/>
  <c r="K485" i="3" s="1"/>
  <c r="H484" i="3"/>
  <c r="K484" i="3" s="1"/>
  <c r="H483" i="3"/>
  <c r="K483" i="3" s="1"/>
  <c r="H482" i="3"/>
  <c r="K482" i="3" s="1"/>
  <c r="H481" i="3"/>
  <c r="K481" i="3" s="1"/>
  <c r="H480" i="3"/>
  <c r="K480" i="3" s="1"/>
  <c r="H479" i="3"/>
  <c r="K479" i="3" s="1"/>
  <c r="H478" i="3"/>
  <c r="K478" i="3" s="1"/>
  <c r="H477" i="3"/>
  <c r="K477" i="3" s="1"/>
  <c r="H476" i="3"/>
  <c r="K476" i="3" s="1"/>
  <c r="H475" i="3"/>
  <c r="K475" i="3" s="1"/>
  <c r="H474" i="3"/>
  <c r="K474" i="3" s="1"/>
  <c r="H473" i="3"/>
  <c r="K473" i="3" s="1"/>
  <c r="H472" i="3"/>
  <c r="K472" i="3" s="1"/>
  <c r="H471" i="3"/>
  <c r="K471" i="3" s="1"/>
  <c r="H470" i="3"/>
  <c r="K470" i="3" s="1"/>
  <c r="H469" i="3"/>
  <c r="K469" i="3" s="1"/>
  <c r="H468" i="3"/>
  <c r="K468" i="3" s="1"/>
  <c r="H467" i="3"/>
  <c r="K467" i="3" s="1"/>
  <c r="H466" i="3"/>
  <c r="K466" i="3" s="1"/>
  <c r="H465" i="3"/>
  <c r="K465" i="3" s="1"/>
  <c r="H464" i="3"/>
  <c r="K464" i="3" s="1"/>
  <c r="H463" i="3"/>
  <c r="K463" i="3" s="1"/>
  <c r="H462" i="3"/>
  <c r="K462" i="3" s="1"/>
  <c r="H461" i="3"/>
  <c r="K461" i="3" s="1"/>
  <c r="H460" i="3"/>
  <c r="K460" i="3" s="1"/>
  <c r="H459" i="3"/>
  <c r="K459" i="3" s="1"/>
  <c r="H458" i="3"/>
  <c r="K458" i="3" s="1"/>
  <c r="H457" i="3"/>
  <c r="K457" i="3"/>
  <c r="H456" i="3"/>
  <c r="K456" i="3" s="1"/>
  <c r="H455" i="3"/>
  <c r="K455" i="3" s="1"/>
  <c r="H454" i="3"/>
  <c r="K454" i="3" s="1"/>
  <c r="H453" i="3"/>
  <c r="K453" i="3" s="1"/>
  <c r="H452" i="3"/>
  <c r="K452" i="3" s="1"/>
  <c r="H451" i="3"/>
  <c r="K451" i="3" s="1"/>
  <c r="H450" i="3"/>
  <c r="K450" i="3" s="1"/>
  <c r="H449" i="3"/>
  <c r="K449" i="3" s="1"/>
  <c r="H448" i="3"/>
  <c r="K448" i="3" s="1"/>
  <c r="H447" i="3"/>
  <c r="K447" i="3" s="1"/>
  <c r="H446" i="3"/>
  <c r="K446" i="3" s="1"/>
  <c r="H445" i="3"/>
  <c r="K445" i="3" s="1"/>
  <c r="H444" i="3"/>
  <c r="K444" i="3" s="1"/>
  <c r="H443" i="3"/>
  <c r="K443" i="3" s="1"/>
  <c r="H442" i="3"/>
  <c r="K442" i="3" s="1"/>
  <c r="H441" i="3"/>
  <c r="K441" i="3"/>
  <c r="H440" i="3"/>
  <c r="K440" i="3" s="1"/>
  <c r="H439" i="3"/>
  <c r="K439" i="3"/>
  <c r="H438" i="3"/>
  <c r="K438" i="3" s="1"/>
  <c r="H437" i="3"/>
  <c r="K437" i="3" s="1"/>
  <c r="H436" i="3"/>
  <c r="K436" i="3" s="1"/>
  <c r="H435" i="3"/>
  <c r="K435" i="3" s="1"/>
  <c r="H434" i="3"/>
  <c r="K434" i="3" s="1"/>
  <c r="H433" i="3"/>
  <c r="K433" i="3" s="1"/>
  <c r="H432" i="3"/>
  <c r="K432" i="3" s="1"/>
  <c r="H431" i="3"/>
  <c r="K431" i="3" s="1"/>
  <c r="H430" i="3"/>
  <c r="K430" i="3" s="1"/>
  <c r="H429" i="3"/>
  <c r="K429" i="3" s="1"/>
  <c r="H428" i="3"/>
  <c r="K428" i="3" s="1"/>
  <c r="H427" i="3"/>
  <c r="K427" i="3" s="1"/>
  <c r="H426" i="3"/>
  <c r="K426" i="3" s="1"/>
  <c r="H425" i="3"/>
  <c r="K425" i="3"/>
  <c r="H424" i="3"/>
  <c r="K424" i="3" s="1"/>
  <c r="H423" i="3"/>
  <c r="K423" i="3" s="1"/>
  <c r="H422" i="3"/>
  <c r="K422" i="3" s="1"/>
  <c r="H421" i="3"/>
  <c r="K421" i="3" s="1"/>
  <c r="H420" i="3"/>
  <c r="K420" i="3" s="1"/>
  <c r="H419" i="3"/>
  <c r="K419" i="3" s="1"/>
  <c r="H418" i="3"/>
  <c r="K418" i="3" s="1"/>
  <c r="H417" i="3"/>
  <c r="K417" i="3" s="1"/>
  <c r="H416" i="3"/>
  <c r="K416" i="3" s="1"/>
  <c r="H415" i="3"/>
  <c r="K415" i="3" s="1"/>
  <c r="H414" i="3"/>
  <c r="K414" i="3" s="1"/>
  <c r="H413" i="3"/>
  <c r="K413" i="3" s="1"/>
  <c r="H412" i="3"/>
  <c r="K412" i="3" s="1"/>
  <c r="H411" i="3"/>
  <c r="K411" i="3" s="1"/>
  <c r="H410" i="3"/>
  <c r="K410" i="3" s="1"/>
  <c r="H409" i="3"/>
  <c r="K409" i="3"/>
  <c r="H408" i="3"/>
  <c r="K408" i="3" s="1"/>
  <c r="H407" i="3"/>
  <c r="K407" i="3"/>
  <c r="H406" i="3"/>
  <c r="K406" i="3" s="1"/>
  <c r="H405" i="3"/>
  <c r="K405" i="3" s="1"/>
  <c r="H404" i="3"/>
  <c r="K404" i="3" s="1"/>
  <c r="H403" i="3"/>
  <c r="K403" i="3" s="1"/>
  <c r="H402" i="3"/>
  <c r="K402" i="3" s="1"/>
  <c r="H401" i="3"/>
  <c r="K401" i="3" s="1"/>
  <c r="H400" i="3"/>
  <c r="K400" i="3" s="1"/>
  <c r="H399" i="3"/>
  <c r="K399" i="3" s="1"/>
  <c r="H398" i="3"/>
  <c r="K398" i="3" s="1"/>
  <c r="H397" i="3"/>
  <c r="K397" i="3" s="1"/>
  <c r="H396" i="3"/>
  <c r="K396" i="3" s="1"/>
  <c r="H395" i="3"/>
  <c r="K395" i="3" s="1"/>
  <c r="H394" i="3"/>
  <c r="K394" i="3" s="1"/>
  <c r="H393" i="3"/>
  <c r="K393" i="3"/>
  <c r="H392" i="3"/>
  <c r="K392" i="3" s="1"/>
  <c r="H391" i="3"/>
  <c r="K391" i="3" s="1"/>
  <c r="H390" i="3"/>
  <c r="K390" i="3" s="1"/>
  <c r="H389" i="3"/>
  <c r="K389" i="3" s="1"/>
  <c r="H388" i="3"/>
  <c r="K388" i="3" s="1"/>
  <c r="H387" i="3"/>
  <c r="K387" i="3" s="1"/>
  <c r="H386" i="3"/>
  <c r="K386" i="3" s="1"/>
  <c r="H385" i="3"/>
  <c r="K385" i="3" s="1"/>
  <c r="H384" i="3"/>
  <c r="K384" i="3" s="1"/>
  <c r="H383" i="3"/>
  <c r="K383" i="3" s="1"/>
  <c r="H382" i="3"/>
  <c r="K382" i="3" s="1"/>
  <c r="H381" i="3"/>
  <c r="K381" i="3" s="1"/>
  <c r="H380" i="3"/>
  <c r="K380" i="3" s="1"/>
  <c r="H379" i="3"/>
  <c r="K379" i="3" s="1"/>
  <c r="H378" i="3"/>
  <c r="K378" i="3" s="1"/>
  <c r="H377" i="3"/>
  <c r="K377" i="3"/>
  <c r="H376" i="3"/>
  <c r="K376" i="3" s="1"/>
  <c r="H375" i="3"/>
  <c r="K375" i="3"/>
  <c r="H374" i="3"/>
  <c r="K374" i="3" s="1"/>
  <c r="H373" i="3"/>
  <c r="K373" i="3" s="1"/>
  <c r="H372" i="3"/>
  <c r="K372" i="3" s="1"/>
  <c r="H371" i="3"/>
  <c r="K371" i="3" s="1"/>
  <c r="H370" i="3"/>
  <c r="K370" i="3" s="1"/>
  <c r="H369" i="3"/>
  <c r="K369" i="3" s="1"/>
  <c r="H368" i="3"/>
  <c r="K368" i="3" s="1"/>
  <c r="H367" i="3"/>
  <c r="K367" i="3" s="1"/>
  <c r="H366" i="3"/>
  <c r="K366" i="3" s="1"/>
  <c r="H365" i="3"/>
  <c r="K365" i="3" s="1"/>
  <c r="H364" i="3"/>
  <c r="K364" i="3" s="1"/>
  <c r="H363" i="3"/>
  <c r="K363" i="3" s="1"/>
  <c r="H362" i="3"/>
  <c r="K362" i="3" s="1"/>
  <c r="H361" i="3"/>
  <c r="K361" i="3"/>
  <c r="H360" i="3"/>
  <c r="K360" i="3" s="1"/>
  <c r="H359" i="3"/>
  <c r="K359" i="3" s="1"/>
  <c r="H358" i="3"/>
  <c r="K358" i="3" s="1"/>
  <c r="H357" i="3"/>
  <c r="K357" i="3" s="1"/>
  <c r="H356" i="3"/>
  <c r="K356" i="3" s="1"/>
  <c r="H355" i="3"/>
  <c r="K355" i="3" s="1"/>
  <c r="H354" i="3"/>
  <c r="K354" i="3" s="1"/>
  <c r="H353" i="3"/>
  <c r="K353" i="3" s="1"/>
  <c r="H352" i="3"/>
  <c r="K352" i="3" s="1"/>
  <c r="H351" i="3"/>
  <c r="K351" i="3" s="1"/>
  <c r="H350" i="3"/>
  <c r="K350" i="3" s="1"/>
  <c r="H349" i="3"/>
  <c r="K349" i="3" s="1"/>
  <c r="H348" i="3"/>
  <c r="K348" i="3" s="1"/>
  <c r="H347" i="3"/>
  <c r="K347" i="3" s="1"/>
  <c r="H346" i="3"/>
  <c r="K346" i="3" s="1"/>
  <c r="H345" i="3"/>
  <c r="K345" i="3"/>
  <c r="H344" i="3"/>
  <c r="K344" i="3" s="1"/>
  <c r="H343" i="3"/>
  <c r="K343" i="3"/>
  <c r="H342" i="3"/>
  <c r="K342" i="3" s="1"/>
  <c r="H341" i="3"/>
  <c r="K341" i="3" s="1"/>
  <c r="H340" i="3"/>
  <c r="K340" i="3" s="1"/>
  <c r="H339" i="3"/>
  <c r="K339" i="3" s="1"/>
  <c r="H338" i="3"/>
  <c r="K338" i="3" s="1"/>
  <c r="H337" i="3"/>
  <c r="K337" i="3" s="1"/>
  <c r="H336" i="3"/>
  <c r="K336" i="3" s="1"/>
  <c r="H335" i="3"/>
  <c r="K335" i="3" s="1"/>
  <c r="H334" i="3"/>
  <c r="K334" i="3" s="1"/>
  <c r="H333" i="3"/>
  <c r="K333" i="3" s="1"/>
  <c r="H332" i="3"/>
  <c r="K332" i="3" s="1"/>
  <c r="H331" i="3"/>
  <c r="K331" i="3" s="1"/>
  <c r="H330" i="3"/>
  <c r="K330" i="3" s="1"/>
  <c r="H329" i="3"/>
  <c r="K329" i="3"/>
  <c r="H328" i="3"/>
  <c r="K328" i="3" s="1"/>
  <c r="H327" i="3"/>
  <c r="K327" i="3" s="1"/>
  <c r="H326" i="3"/>
  <c r="K326" i="3" s="1"/>
  <c r="H325" i="3"/>
  <c r="K325" i="3" s="1"/>
  <c r="H324" i="3"/>
  <c r="K324" i="3" s="1"/>
  <c r="H323" i="3"/>
  <c r="K323" i="3" s="1"/>
  <c r="H322" i="3"/>
  <c r="K322" i="3" s="1"/>
  <c r="H321" i="3"/>
  <c r="K321" i="3" s="1"/>
  <c r="H320" i="3"/>
  <c r="K320" i="3" s="1"/>
  <c r="H319" i="3"/>
  <c r="K319" i="3" s="1"/>
  <c r="H318" i="3"/>
  <c r="K318" i="3" s="1"/>
  <c r="H317" i="3"/>
  <c r="K317" i="3" s="1"/>
  <c r="H316" i="3"/>
  <c r="K316" i="3" s="1"/>
  <c r="H315" i="3"/>
  <c r="K315" i="3" s="1"/>
  <c r="H314" i="3"/>
  <c r="K314" i="3" s="1"/>
  <c r="H313" i="3"/>
  <c r="K313" i="3"/>
  <c r="H312" i="3"/>
  <c r="K312" i="3" s="1"/>
  <c r="H311" i="3"/>
  <c r="K311" i="3"/>
  <c r="H310" i="3"/>
  <c r="K310" i="3" s="1"/>
  <c r="H309" i="3"/>
  <c r="K309" i="3" s="1"/>
  <c r="H308" i="3"/>
  <c r="K308" i="3" s="1"/>
  <c r="H307" i="3"/>
  <c r="K307" i="3" s="1"/>
  <c r="H306" i="3"/>
  <c r="K306" i="3" s="1"/>
  <c r="H305" i="3"/>
  <c r="K305" i="3" s="1"/>
  <c r="H304" i="3"/>
  <c r="K304" i="3" s="1"/>
  <c r="H303" i="3"/>
  <c r="K303" i="3" s="1"/>
  <c r="H302" i="3"/>
  <c r="K302" i="3" s="1"/>
  <c r="H301" i="3"/>
  <c r="K301" i="3" s="1"/>
  <c r="H300" i="3"/>
  <c r="K300" i="3" s="1"/>
  <c r="H299" i="3"/>
  <c r="K299" i="3" s="1"/>
  <c r="H298" i="3"/>
  <c r="K298" i="3" s="1"/>
  <c r="H297" i="3"/>
  <c r="K297" i="3" s="1"/>
  <c r="H296" i="3"/>
  <c r="K296" i="3" s="1"/>
  <c r="H295" i="3"/>
  <c r="K295" i="3" s="1"/>
  <c r="H294" i="3"/>
  <c r="K294" i="3" s="1"/>
  <c r="H293" i="3"/>
  <c r="K293" i="3" s="1"/>
  <c r="H292" i="3"/>
  <c r="K292" i="3" s="1"/>
  <c r="H291" i="3"/>
  <c r="K291" i="3" s="1"/>
  <c r="H290" i="3"/>
  <c r="K290" i="3" s="1"/>
  <c r="H289" i="3"/>
  <c r="K289" i="3" s="1"/>
  <c r="H288" i="3"/>
  <c r="K288" i="3" s="1"/>
  <c r="H287" i="3"/>
  <c r="K287" i="3" s="1"/>
  <c r="H286" i="3"/>
  <c r="K286" i="3" s="1"/>
  <c r="H285" i="3"/>
  <c r="K285" i="3" s="1"/>
  <c r="H284" i="3"/>
  <c r="K284" i="3" s="1"/>
  <c r="H283" i="3"/>
  <c r="K283" i="3" s="1"/>
  <c r="H282" i="3"/>
  <c r="K282" i="3" s="1"/>
  <c r="H281" i="3"/>
  <c r="K281" i="3" s="1"/>
  <c r="H280" i="3"/>
  <c r="K280" i="3" s="1"/>
  <c r="H279" i="3"/>
  <c r="K279" i="3" s="1"/>
  <c r="H278" i="3"/>
  <c r="K278" i="3" s="1"/>
  <c r="H277" i="3"/>
  <c r="K277" i="3" s="1"/>
  <c r="H276" i="3"/>
  <c r="K276" i="3" s="1"/>
  <c r="H275" i="3"/>
  <c r="K275" i="3" s="1"/>
  <c r="H274" i="3"/>
  <c r="K274" i="3" s="1"/>
  <c r="H273" i="3"/>
  <c r="K273" i="3" s="1"/>
  <c r="H272" i="3"/>
  <c r="K272" i="3" s="1"/>
  <c r="H271" i="3"/>
  <c r="K271" i="3" s="1"/>
  <c r="H270" i="3"/>
  <c r="K270" i="3" s="1"/>
  <c r="H269" i="3"/>
  <c r="K269" i="3" s="1"/>
  <c r="H268" i="3"/>
  <c r="K268" i="3" s="1"/>
  <c r="H267" i="3"/>
  <c r="K267" i="3" s="1"/>
  <c r="H266" i="3"/>
  <c r="K266" i="3" s="1"/>
  <c r="H265" i="3"/>
  <c r="K265" i="3" s="1"/>
  <c r="H264" i="3"/>
  <c r="K264" i="3" s="1"/>
  <c r="H263" i="3"/>
  <c r="K263" i="3" s="1"/>
  <c r="H262" i="3"/>
  <c r="K262" i="3" s="1"/>
  <c r="H261" i="3"/>
  <c r="K261" i="3" s="1"/>
  <c r="H260" i="3"/>
  <c r="K260" i="3" s="1"/>
  <c r="H259" i="3"/>
  <c r="K259" i="3" s="1"/>
  <c r="H258" i="3"/>
  <c r="K258" i="3" s="1"/>
  <c r="H257" i="3"/>
  <c r="K257" i="3" s="1"/>
  <c r="H256" i="3"/>
  <c r="K256" i="3" s="1"/>
  <c r="H255" i="3"/>
  <c r="K255" i="3" s="1"/>
  <c r="H254" i="3"/>
  <c r="K254" i="3" s="1"/>
  <c r="H253" i="3"/>
  <c r="K253" i="3" s="1"/>
  <c r="H252" i="3"/>
  <c r="K252" i="3" s="1"/>
  <c r="H251" i="3"/>
  <c r="K251" i="3" s="1"/>
  <c r="H250" i="3"/>
  <c r="K250" i="3" s="1"/>
  <c r="H249" i="3"/>
  <c r="K249" i="3" s="1"/>
  <c r="H248" i="3"/>
  <c r="K248" i="3" s="1"/>
  <c r="H247" i="3"/>
  <c r="K247" i="3" s="1"/>
  <c r="H246" i="3"/>
  <c r="K246" i="3" s="1"/>
  <c r="H245" i="3"/>
  <c r="K245" i="3" s="1"/>
  <c r="H244" i="3"/>
  <c r="K244" i="3" s="1"/>
  <c r="H243" i="3"/>
  <c r="K243" i="3" s="1"/>
  <c r="H242" i="3"/>
  <c r="K242" i="3" s="1"/>
  <c r="H241" i="3"/>
  <c r="K241" i="3" s="1"/>
  <c r="H240" i="3"/>
  <c r="K240" i="3" s="1"/>
  <c r="H239" i="3"/>
  <c r="K239" i="3" s="1"/>
  <c r="H238" i="3"/>
  <c r="K238" i="3" s="1"/>
  <c r="H237" i="3"/>
  <c r="K237" i="3" s="1"/>
  <c r="H236" i="3"/>
  <c r="K236" i="3" s="1"/>
  <c r="H235" i="3"/>
  <c r="K235" i="3" s="1"/>
  <c r="H234" i="3"/>
  <c r="K234" i="3" s="1"/>
  <c r="H233" i="3"/>
  <c r="K233" i="3" s="1"/>
  <c r="H232" i="3"/>
  <c r="K232" i="3" s="1"/>
  <c r="H231" i="3"/>
  <c r="K231" i="3" s="1"/>
  <c r="H230" i="3"/>
  <c r="K230" i="3" s="1"/>
  <c r="H229" i="3"/>
  <c r="K229" i="3" s="1"/>
  <c r="H228" i="3"/>
  <c r="K228" i="3" s="1"/>
  <c r="H227" i="3"/>
  <c r="K227" i="3" s="1"/>
  <c r="H226" i="3"/>
  <c r="K226" i="3" s="1"/>
  <c r="H225" i="3"/>
  <c r="K225" i="3" s="1"/>
  <c r="H224" i="3"/>
  <c r="K224" i="3" s="1"/>
  <c r="H223" i="3"/>
  <c r="K223" i="3" s="1"/>
  <c r="H222" i="3"/>
  <c r="K222" i="3" s="1"/>
  <c r="H221" i="3"/>
  <c r="K221" i="3" s="1"/>
  <c r="H220" i="3"/>
  <c r="K220" i="3" s="1"/>
  <c r="H219" i="3"/>
  <c r="K219" i="3" s="1"/>
  <c r="H218" i="3"/>
  <c r="K218" i="3" s="1"/>
  <c r="H217" i="3"/>
  <c r="K217" i="3" s="1"/>
  <c r="H216" i="3"/>
  <c r="K216" i="3" s="1"/>
  <c r="H215" i="3"/>
  <c r="K215" i="3" s="1"/>
  <c r="H214" i="3"/>
  <c r="K214" i="3" s="1"/>
  <c r="H213" i="3"/>
  <c r="K213" i="3" s="1"/>
  <c r="H212" i="3"/>
  <c r="K212" i="3" s="1"/>
  <c r="H211" i="3"/>
  <c r="K211" i="3" s="1"/>
  <c r="H210" i="3"/>
  <c r="K210" i="3" s="1"/>
  <c r="H209" i="3"/>
  <c r="K209" i="3" s="1"/>
  <c r="H208" i="3"/>
  <c r="K208" i="3" s="1"/>
  <c r="H207" i="3"/>
  <c r="K207" i="3" s="1"/>
  <c r="H206" i="3"/>
  <c r="K206" i="3" s="1"/>
  <c r="H205" i="3"/>
  <c r="K205" i="3" s="1"/>
  <c r="H204" i="3"/>
  <c r="K204" i="3" s="1"/>
  <c r="H203" i="3"/>
  <c r="K203" i="3" s="1"/>
  <c r="H202" i="3"/>
  <c r="K202" i="3" s="1"/>
  <c r="H201" i="3"/>
  <c r="K201" i="3" s="1"/>
  <c r="H200" i="3"/>
  <c r="K200" i="3" s="1"/>
  <c r="H199" i="3"/>
  <c r="K199" i="3" s="1"/>
  <c r="H198" i="3"/>
  <c r="K198" i="3" s="1"/>
  <c r="H197" i="3"/>
  <c r="K197" i="3" s="1"/>
  <c r="H196" i="3"/>
  <c r="K196" i="3" s="1"/>
  <c r="H195" i="3"/>
  <c r="K195" i="3" s="1"/>
  <c r="H194" i="3"/>
  <c r="K194" i="3" s="1"/>
  <c r="H193" i="3"/>
  <c r="K193" i="3" s="1"/>
  <c r="H192" i="3"/>
  <c r="K192" i="3" s="1"/>
  <c r="H191" i="3"/>
  <c r="K191" i="3" s="1"/>
  <c r="H190" i="3"/>
  <c r="K190" i="3" s="1"/>
  <c r="H189" i="3"/>
  <c r="K189" i="3" s="1"/>
  <c r="H188" i="3"/>
  <c r="K188" i="3" s="1"/>
  <c r="H187" i="3"/>
  <c r="K187" i="3" s="1"/>
  <c r="H186" i="3"/>
  <c r="K186" i="3"/>
  <c r="H185" i="3"/>
  <c r="K185" i="3" s="1"/>
  <c r="H184" i="3"/>
  <c r="K184" i="3" s="1"/>
  <c r="H183" i="3"/>
  <c r="K183" i="3" s="1"/>
  <c r="H182" i="3"/>
  <c r="K182" i="3" s="1"/>
  <c r="H181" i="3"/>
  <c r="K181" i="3" s="1"/>
  <c r="H180" i="3"/>
  <c r="K180" i="3" s="1"/>
  <c r="H179" i="3"/>
  <c r="K179" i="3" s="1"/>
  <c r="H178" i="3"/>
  <c r="K178" i="3" s="1"/>
  <c r="H177" i="3"/>
  <c r="K177" i="3" s="1"/>
  <c r="H176" i="3"/>
  <c r="K176" i="3" s="1"/>
  <c r="H175" i="3"/>
  <c r="K175" i="3" s="1"/>
  <c r="H174" i="3"/>
  <c r="K174" i="3" s="1"/>
  <c r="H173" i="3"/>
  <c r="K173" i="3" s="1"/>
  <c r="H172" i="3"/>
  <c r="K172" i="3" s="1"/>
  <c r="H171" i="3"/>
  <c r="K171" i="3" s="1"/>
  <c r="H170" i="3"/>
  <c r="K170" i="3" s="1"/>
  <c r="H169" i="3"/>
  <c r="K169" i="3" s="1"/>
  <c r="H168" i="3"/>
  <c r="K168" i="3" s="1"/>
  <c r="H167" i="3"/>
  <c r="K167" i="3" s="1"/>
  <c r="H166" i="3"/>
  <c r="K166" i="3" s="1"/>
  <c r="H165" i="3"/>
  <c r="K165" i="3" s="1"/>
  <c r="H164" i="3"/>
  <c r="K164" i="3" s="1"/>
  <c r="H163" i="3"/>
  <c r="K163" i="3" s="1"/>
  <c r="H162" i="3"/>
  <c r="K162" i="3" s="1"/>
  <c r="H161" i="3"/>
  <c r="K161" i="3" s="1"/>
  <c r="H160" i="3"/>
  <c r="K160" i="3" s="1"/>
  <c r="H159" i="3"/>
  <c r="K159" i="3" s="1"/>
  <c r="H158" i="3"/>
  <c r="K158" i="3"/>
  <c r="H157" i="3"/>
  <c r="K157" i="3" s="1"/>
  <c r="H156" i="3"/>
  <c r="K156" i="3" s="1"/>
  <c r="H155" i="3"/>
  <c r="K155" i="3" s="1"/>
  <c r="H154" i="3"/>
  <c r="K154" i="3"/>
  <c r="H153" i="3"/>
  <c r="K153" i="3" s="1"/>
  <c r="H152" i="3"/>
  <c r="K152" i="3" s="1"/>
  <c r="H151" i="3"/>
  <c r="K151" i="3" s="1"/>
  <c r="H150" i="3"/>
  <c r="K150" i="3" s="1"/>
  <c r="H149" i="3"/>
  <c r="K149" i="3" s="1"/>
  <c r="H148" i="3"/>
  <c r="K148" i="3" s="1"/>
  <c r="H147" i="3"/>
  <c r="K147" i="3" s="1"/>
  <c r="H146" i="3"/>
  <c r="K146" i="3" s="1"/>
  <c r="H145" i="3"/>
  <c r="K145" i="3" s="1"/>
  <c r="H144" i="3"/>
  <c r="K144" i="3" s="1"/>
  <c r="H143" i="3"/>
  <c r="K143" i="3" s="1"/>
  <c r="H142" i="3"/>
  <c r="K142" i="3" s="1"/>
  <c r="H141" i="3"/>
  <c r="K141" i="3" s="1"/>
  <c r="H140" i="3"/>
  <c r="K140" i="3" s="1"/>
  <c r="H139" i="3"/>
  <c r="K139" i="3" s="1"/>
  <c r="H138" i="3"/>
  <c r="K138" i="3" s="1"/>
  <c r="H137" i="3"/>
  <c r="K137" i="3" s="1"/>
  <c r="H136" i="3"/>
  <c r="K136" i="3" s="1"/>
  <c r="H135" i="3"/>
  <c r="K135" i="3" s="1"/>
  <c r="H134" i="3"/>
  <c r="K134" i="3" s="1"/>
  <c r="H133" i="3"/>
  <c r="K133" i="3" s="1"/>
  <c r="H132" i="3"/>
  <c r="K132" i="3" s="1"/>
  <c r="H131" i="3"/>
  <c r="K131" i="3" s="1"/>
  <c r="H130" i="3"/>
  <c r="K130" i="3" s="1"/>
  <c r="H129" i="3"/>
  <c r="K129" i="3" s="1"/>
  <c r="H128" i="3"/>
  <c r="K128" i="3" s="1"/>
  <c r="H127" i="3"/>
  <c r="K127" i="3" s="1"/>
  <c r="H126" i="3"/>
  <c r="K126" i="3" s="1"/>
  <c r="H125" i="3"/>
  <c r="K125" i="3" s="1"/>
  <c r="H124" i="3"/>
  <c r="K124" i="3" s="1"/>
  <c r="H123" i="3"/>
  <c r="K123" i="3" s="1"/>
  <c r="H122" i="3"/>
  <c r="K122" i="3"/>
  <c r="H121" i="3"/>
  <c r="K121" i="3" s="1"/>
  <c r="H120" i="3"/>
  <c r="K120" i="3" s="1"/>
  <c r="H119" i="3"/>
  <c r="K119" i="3" s="1"/>
  <c r="H118" i="3"/>
  <c r="K118" i="3" s="1"/>
  <c r="H117" i="3"/>
  <c r="K117" i="3" s="1"/>
  <c r="H116" i="3"/>
  <c r="K116" i="3" s="1"/>
  <c r="H115" i="3"/>
  <c r="K115" i="3" s="1"/>
  <c r="H114" i="3"/>
  <c r="K114" i="3" s="1"/>
  <c r="H113" i="3"/>
  <c r="K113" i="3" s="1"/>
  <c r="H112" i="3"/>
  <c r="K112" i="3" s="1"/>
  <c r="H111" i="3"/>
  <c r="K111" i="3" s="1"/>
  <c r="H110" i="3"/>
  <c r="K110" i="3" s="1"/>
  <c r="H109" i="3"/>
  <c r="K109" i="3" s="1"/>
  <c r="H108" i="3"/>
  <c r="K108" i="3" s="1"/>
  <c r="H107" i="3"/>
  <c r="K107" i="3" s="1"/>
  <c r="H106" i="3"/>
  <c r="K106" i="3" s="1"/>
  <c r="H105" i="3"/>
  <c r="K105" i="3" s="1"/>
  <c r="H104" i="3"/>
  <c r="K104" i="3" s="1"/>
  <c r="H103" i="3"/>
  <c r="K103" i="3" s="1"/>
  <c r="H102" i="3"/>
  <c r="K102" i="3" s="1"/>
  <c r="H101" i="3"/>
  <c r="K101" i="3" s="1"/>
  <c r="H100" i="3"/>
  <c r="K100" i="3" s="1"/>
  <c r="H99" i="3"/>
  <c r="K99" i="3" s="1"/>
  <c r="H98" i="3"/>
  <c r="K98" i="3" s="1"/>
  <c r="H97" i="3"/>
  <c r="K97" i="3" s="1"/>
  <c r="H96" i="3"/>
  <c r="K96" i="3" s="1"/>
  <c r="H95" i="3"/>
  <c r="K95" i="3" s="1"/>
  <c r="H94" i="3"/>
  <c r="K94" i="3"/>
  <c r="H93" i="3"/>
  <c r="K93" i="3" s="1"/>
  <c r="H92" i="3"/>
  <c r="K92" i="3" s="1"/>
  <c r="H91" i="3"/>
  <c r="K91" i="3" s="1"/>
  <c r="H90" i="3"/>
  <c r="K90" i="3"/>
  <c r="H89" i="3"/>
  <c r="K89" i="3" s="1"/>
  <c r="H88" i="3"/>
  <c r="K88" i="3" s="1"/>
  <c r="H87" i="3"/>
  <c r="K87" i="3" s="1"/>
  <c r="H86" i="3"/>
  <c r="K86" i="3" s="1"/>
  <c r="H85" i="3"/>
  <c r="K85" i="3" s="1"/>
  <c r="H84" i="3"/>
  <c r="K84" i="3" s="1"/>
  <c r="H83" i="3"/>
  <c r="K83" i="3" s="1"/>
  <c r="H82" i="3"/>
  <c r="K82" i="3" s="1"/>
  <c r="H81" i="3"/>
  <c r="K81" i="3" s="1"/>
  <c r="H80" i="3"/>
  <c r="K80" i="3" s="1"/>
  <c r="H79" i="3"/>
  <c r="K79" i="3" s="1"/>
  <c r="H78" i="3"/>
  <c r="K78" i="3" s="1"/>
  <c r="H77" i="3"/>
  <c r="K77" i="3" s="1"/>
  <c r="H76" i="3"/>
  <c r="K76" i="3" s="1"/>
  <c r="H75" i="3"/>
  <c r="K75" i="3" s="1"/>
  <c r="H74" i="3"/>
  <c r="K74" i="3" s="1"/>
  <c r="H73" i="3"/>
  <c r="K73" i="3" s="1"/>
  <c r="H72" i="3"/>
  <c r="K72" i="3" s="1"/>
  <c r="H71" i="3"/>
  <c r="K71" i="3" s="1"/>
  <c r="H70" i="3"/>
  <c r="K70" i="3" s="1"/>
  <c r="H69" i="3"/>
  <c r="K69" i="3" s="1"/>
  <c r="H68" i="3"/>
  <c r="K68" i="3" s="1"/>
  <c r="H67" i="3"/>
  <c r="K67" i="3" s="1"/>
  <c r="H66" i="3"/>
  <c r="K66" i="3" s="1"/>
  <c r="H65" i="3"/>
  <c r="K65" i="3" s="1"/>
  <c r="H64" i="3"/>
  <c r="K64" i="3" s="1"/>
  <c r="H63" i="3"/>
  <c r="K63" i="3" s="1"/>
  <c r="H62" i="3"/>
  <c r="K62" i="3" s="1"/>
  <c r="H61" i="3"/>
  <c r="K61" i="3" s="1"/>
  <c r="H60" i="3"/>
  <c r="K60" i="3" s="1"/>
  <c r="H59" i="3"/>
  <c r="K59" i="3" s="1"/>
  <c r="H58" i="3"/>
  <c r="K58" i="3"/>
  <c r="H57" i="3"/>
  <c r="K57" i="3" s="1"/>
  <c r="H56" i="3"/>
  <c r="K56" i="3" s="1"/>
  <c r="H55" i="3"/>
  <c r="K55" i="3" s="1"/>
  <c r="H54" i="3"/>
  <c r="K54" i="3" s="1"/>
  <c r="H53" i="3"/>
  <c r="K53" i="3" s="1"/>
  <c r="H52" i="3"/>
  <c r="K52" i="3" s="1"/>
  <c r="H51" i="3"/>
  <c r="K51" i="3" s="1"/>
  <c r="H50" i="3"/>
  <c r="K50" i="3" s="1"/>
  <c r="H49" i="3"/>
  <c r="K49" i="3" s="1"/>
  <c r="H48" i="3"/>
  <c r="K48" i="3" s="1"/>
  <c r="H47" i="3"/>
  <c r="K47" i="3" s="1"/>
  <c r="H46" i="3"/>
  <c r="K46" i="3" s="1"/>
  <c r="H45" i="3"/>
  <c r="K45" i="3" s="1"/>
  <c r="H44" i="3"/>
  <c r="K44" i="3" s="1"/>
  <c r="H43" i="3"/>
  <c r="K43" i="3" s="1"/>
  <c r="H42" i="3"/>
  <c r="K42" i="3" s="1"/>
  <c r="H41" i="3"/>
  <c r="K41" i="3" s="1"/>
  <c r="H40" i="3"/>
  <c r="K40" i="3" s="1"/>
  <c r="H39" i="3"/>
  <c r="K39" i="3" s="1"/>
  <c r="H38" i="3"/>
  <c r="K38" i="3" s="1"/>
  <c r="H37" i="3"/>
  <c r="K37" i="3" s="1"/>
  <c r="H36" i="3"/>
  <c r="K36" i="3" s="1"/>
  <c r="H35" i="3"/>
  <c r="K35" i="3" s="1"/>
  <c r="H34" i="3"/>
  <c r="K34" i="3" s="1"/>
  <c r="H33" i="3"/>
  <c r="K33" i="3" s="1"/>
  <c r="H32" i="3"/>
  <c r="K32" i="3" s="1"/>
  <c r="H31" i="3"/>
  <c r="K31" i="3" s="1"/>
  <c r="H30" i="3"/>
  <c r="K30" i="3"/>
  <c r="H29" i="3"/>
  <c r="K29" i="3" s="1"/>
  <c r="H28" i="3"/>
  <c r="K28" i="3" s="1"/>
  <c r="H27" i="3"/>
  <c r="K27" i="3" s="1"/>
  <c r="H26" i="3"/>
  <c r="K26" i="3"/>
  <c r="H25" i="3"/>
  <c r="K25" i="3" s="1"/>
  <c r="H24" i="3"/>
  <c r="K24" i="3" s="1"/>
  <c r="H23" i="3"/>
  <c r="K23" i="3" s="1"/>
  <c r="H22" i="3"/>
  <c r="K22" i="3" s="1"/>
  <c r="H21" i="3"/>
  <c r="K21" i="3" s="1"/>
  <c r="H20" i="3"/>
  <c r="K20" i="3" s="1"/>
  <c r="H19" i="3"/>
  <c r="K19" i="3" s="1"/>
  <c r="H18" i="3"/>
  <c r="K18" i="3" s="1"/>
  <c r="H17" i="3"/>
  <c r="K17" i="3" s="1"/>
  <c r="H16" i="3"/>
  <c r="K16" i="3" s="1"/>
  <c r="H15" i="3"/>
  <c r="K15" i="3" s="1"/>
  <c r="H14" i="3"/>
  <c r="K14" i="3" s="1"/>
  <c r="H13" i="3"/>
  <c r="K13" i="3" s="1"/>
  <c r="H12" i="3"/>
  <c r="K12" i="3" s="1"/>
  <c r="H11" i="3"/>
  <c r="K11" i="3" s="1"/>
  <c r="H10" i="3"/>
  <c r="K10" i="3" s="1"/>
  <c r="H9" i="3"/>
  <c r="H8" i="3"/>
  <c r="K8" i="3" s="1"/>
  <c r="H7" i="3"/>
  <c r="K1113" i="2"/>
  <c r="K1111" i="2"/>
  <c r="K1109" i="2"/>
  <c r="K1108" i="2"/>
  <c r="K1107" i="2"/>
  <c r="K1099" i="2"/>
  <c r="K1098" i="2"/>
  <c r="K1097" i="2"/>
  <c r="K1096" i="2"/>
  <c r="K1095" i="2"/>
  <c r="K1094" i="2"/>
  <c r="K1093" i="2"/>
  <c r="K1092" i="2"/>
  <c r="K1091" i="2"/>
  <c r="K1090" i="2"/>
  <c r="K1089" i="2"/>
  <c r="K1088" i="2"/>
  <c r="K1087" i="2"/>
  <c r="K1086" i="2"/>
  <c r="K1085" i="2"/>
  <c r="K1084"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K1053" i="2"/>
  <c r="K1052" i="2"/>
  <c r="K1051" i="2"/>
  <c r="K1050" i="2"/>
  <c r="K1049" i="2"/>
  <c r="K1048" i="2"/>
  <c r="K1047" i="2"/>
  <c r="K1046" i="2"/>
  <c r="K1045" i="2"/>
  <c r="K1044" i="2"/>
  <c r="K1043" i="2"/>
  <c r="K1042" i="2"/>
  <c r="K1041" i="2"/>
  <c r="K1040" i="2"/>
  <c r="K1039" i="2"/>
  <c r="K1038" i="2"/>
  <c r="K1035" i="2"/>
  <c r="K1034" i="2"/>
  <c r="K1033" i="2"/>
  <c r="K1032" i="2"/>
  <c r="K1031" i="2"/>
  <c r="K1030" i="2"/>
  <c r="K1029" i="2"/>
  <c r="K1028" i="2"/>
  <c r="K1027" i="2"/>
  <c r="K1026" i="2"/>
  <c r="K1025" i="2"/>
  <c r="K1024" i="2"/>
  <c r="K1023" i="2"/>
  <c r="K1022" i="2"/>
  <c r="K1021" i="2"/>
  <c r="K1020" i="2"/>
  <c r="K1019" i="2"/>
  <c r="K1018" i="2"/>
  <c r="K1017" i="2"/>
  <c r="K1016" i="2"/>
  <c r="K1015" i="2"/>
  <c r="K1014" i="2"/>
  <c r="K1013" i="2"/>
  <c r="K1012" i="2"/>
  <c r="K1011" i="2"/>
  <c r="K1010" i="2"/>
  <c r="K1009" i="2"/>
  <c r="K1008" i="2"/>
  <c r="K1007" i="2"/>
  <c r="K1006" i="2"/>
  <c r="K1005" i="2"/>
  <c r="K1004" i="2"/>
  <c r="K1003" i="2"/>
  <c r="K1002" i="2"/>
  <c r="K1001" i="2"/>
  <c r="K1000" i="2"/>
  <c r="K999" i="2"/>
  <c r="K998" i="2"/>
  <c r="K997" i="2"/>
  <c r="K996" i="2"/>
  <c r="K995" i="2"/>
  <c r="K994" i="2"/>
  <c r="K993" i="2"/>
  <c r="K992" i="2"/>
  <c r="K991" i="2"/>
  <c r="K990" i="2"/>
  <c r="K989" i="2"/>
  <c r="K988" i="2"/>
  <c r="K987" i="2"/>
  <c r="K986" i="2"/>
  <c r="K985" i="2"/>
  <c r="K984" i="2"/>
  <c r="K983" i="2"/>
  <c r="K982" i="2"/>
  <c r="K981" i="2"/>
  <c r="K980" i="2"/>
  <c r="K979" i="2"/>
  <c r="K978" i="2"/>
  <c r="K977" i="2"/>
  <c r="K976" i="2"/>
  <c r="K975" i="2"/>
  <c r="K974" i="2"/>
  <c r="K973" i="2"/>
  <c r="K972" i="2"/>
  <c r="K971" i="2"/>
  <c r="K970" i="2"/>
  <c r="K969" i="2"/>
  <c r="K968" i="2"/>
  <c r="K967" i="2"/>
  <c r="K966" i="2"/>
  <c r="K965" i="2"/>
  <c r="K964" i="2"/>
  <c r="K963" i="2"/>
  <c r="K962" i="2"/>
  <c r="K961" i="2"/>
  <c r="K960" i="2"/>
  <c r="K959" i="2"/>
  <c r="K958" i="2"/>
  <c r="K957" i="2"/>
  <c r="K956" i="2"/>
  <c r="K955" i="2"/>
  <c r="K954" i="2"/>
  <c r="K953" i="2"/>
  <c r="K952" i="2"/>
  <c r="K951" i="2"/>
  <c r="K950" i="2"/>
  <c r="K949" i="2"/>
  <c r="K948" i="2"/>
  <c r="K947" i="2"/>
  <c r="K946" i="2"/>
  <c r="K945" i="2"/>
  <c r="K944" i="2"/>
  <c r="K943" i="2"/>
  <c r="K942" i="2"/>
  <c r="K941" i="2"/>
  <c r="K940" i="2"/>
  <c r="K939" i="2"/>
  <c r="K938" i="2"/>
  <c r="K937" i="2"/>
  <c r="K936" i="2"/>
  <c r="K935" i="2"/>
  <c r="K934" i="2"/>
  <c r="K933" i="2"/>
  <c r="K932" i="2"/>
  <c r="K931" i="2"/>
  <c r="K930" i="2"/>
  <c r="K929" i="2"/>
  <c r="K928" i="2"/>
  <c r="K927" i="2"/>
  <c r="K926" i="2"/>
  <c r="K925" i="2"/>
  <c r="K924" i="2"/>
  <c r="K923" i="2"/>
  <c r="K922" i="2"/>
  <c r="K921" i="2"/>
  <c r="K920" i="2"/>
  <c r="K919" i="2"/>
  <c r="K918" i="2"/>
  <c r="K917" i="2"/>
  <c r="K916" i="2"/>
  <c r="K915" i="2"/>
  <c r="K914" i="2"/>
  <c r="K913" i="2"/>
  <c r="K912" i="2"/>
  <c r="K911" i="2"/>
  <c r="K910" i="2"/>
  <c r="K909" i="2"/>
  <c r="K908" i="2"/>
  <c r="K907" i="2"/>
  <c r="K906" i="2"/>
  <c r="K905" i="2"/>
  <c r="K904" i="2"/>
  <c r="K903" i="2"/>
  <c r="K902" i="2"/>
  <c r="K901" i="2"/>
  <c r="K900" i="2"/>
  <c r="K899" i="2"/>
  <c r="K898" i="2"/>
  <c r="K897" i="2"/>
  <c r="K896" i="2"/>
  <c r="K895" i="2"/>
  <c r="K894" i="2"/>
  <c r="K893" i="2"/>
  <c r="K892" i="2"/>
  <c r="K891" i="2"/>
  <c r="K890" i="2"/>
  <c r="K889" i="2"/>
  <c r="K888" i="2"/>
  <c r="K887" i="2"/>
  <c r="K886" i="2"/>
  <c r="K885" i="2"/>
  <c r="K884" i="2"/>
  <c r="K883" i="2"/>
  <c r="K882" i="2"/>
  <c r="K881" i="2"/>
  <c r="K880" i="2"/>
  <c r="K879" i="2"/>
  <c r="K878" i="2"/>
  <c r="K877" i="2"/>
  <c r="K876" i="2"/>
  <c r="K875" i="2"/>
  <c r="K874" i="2"/>
  <c r="K873" i="2"/>
  <c r="K872" i="2"/>
  <c r="K871" i="2"/>
  <c r="K870" i="2"/>
  <c r="K869" i="2"/>
  <c r="K868" i="2"/>
  <c r="K867" i="2"/>
  <c r="K866" i="2"/>
  <c r="K865" i="2"/>
  <c r="K864" i="2"/>
  <c r="K863" i="2"/>
  <c r="K862" i="2"/>
  <c r="K861" i="2"/>
  <c r="K860" i="2"/>
  <c r="K859" i="2"/>
  <c r="K858" i="2"/>
  <c r="K857" i="2"/>
  <c r="K856" i="2"/>
  <c r="K855" i="2"/>
  <c r="K854" i="2"/>
  <c r="K853" i="2"/>
  <c r="K852" i="2"/>
  <c r="K851" i="2"/>
  <c r="K850" i="2"/>
  <c r="K849" i="2"/>
  <c r="K848" i="2"/>
  <c r="K847" i="2"/>
  <c r="K846" i="2"/>
  <c r="K845" i="2"/>
  <c r="K844" i="2"/>
  <c r="K843" i="2"/>
  <c r="K842" i="2"/>
  <c r="K841" i="2"/>
  <c r="K840" i="2"/>
  <c r="K839" i="2"/>
  <c r="K838" i="2"/>
  <c r="K837" i="2"/>
  <c r="K836" i="2"/>
  <c r="K835" i="2"/>
  <c r="K834" i="2"/>
  <c r="K833" i="2"/>
  <c r="K832" i="2"/>
  <c r="K831" i="2"/>
  <c r="K830" i="2"/>
  <c r="K829" i="2"/>
  <c r="K828" i="2"/>
  <c r="K827" i="2"/>
  <c r="K826" i="2"/>
  <c r="K825" i="2"/>
  <c r="K824" i="2"/>
  <c r="K823" i="2"/>
  <c r="K822" i="2"/>
  <c r="K821" i="2"/>
  <c r="K820" i="2"/>
  <c r="K819" i="2"/>
  <c r="K818" i="2"/>
  <c r="K817" i="2"/>
  <c r="K816" i="2"/>
  <c r="K815" i="2"/>
  <c r="K814" i="2"/>
  <c r="K813" i="2"/>
  <c r="K812" i="2"/>
  <c r="K811" i="2"/>
  <c r="K810" i="2"/>
  <c r="K809" i="2"/>
  <c r="K808" i="2"/>
  <c r="K807" i="2"/>
  <c r="K806" i="2"/>
  <c r="K805" i="2"/>
  <c r="K804" i="2"/>
  <c r="K803" i="2"/>
  <c r="K802" i="2"/>
  <c r="K801" i="2"/>
  <c r="K800" i="2"/>
  <c r="K799" i="2"/>
  <c r="K798" i="2"/>
  <c r="K797" i="2"/>
  <c r="K796" i="2"/>
  <c r="K795" i="2"/>
  <c r="K794" i="2"/>
  <c r="K793" i="2"/>
  <c r="K792" i="2"/>
  <c r="K791" i="2"/>
  <c r="K790" i="2"/>
  <c r="K789" i="2"/>
  <c r="K788" i="2"/>
  <c r="K787" i="2"/>
  <c r="K786" i="2"/>
  <c r="K785" i="2"/>
  <c r="K784" i="2"/>
  <c r="K783" i="2"/>
  <c r="K782" i="2"/>
  <c r="K781" i="2"/>
  <c r="K780" i="2"/>
  <c r="K779" i="2"/>
  <c r="K778" i="2"/>
  <c r="K777" i="2"/>
  <c r="K776" i="2"/>
  <c r="K775" i="2"/>
  <c r="K774" i="2"/>
  <c r="K773" i="2"/>
  <c r="K772" i="2"/>
  <c r="K771" i="2"/>
  <c r="K770" i="2"/>
  <c r="K769" i="2"/>
  <c r="K768" i="2"/>
  <c r="K767" i="2"/>
  <c r="K766" i="2"/>
  <c r="K765" i="2"/>
  <c r="K764" i="2"/>
  <c r="K763" i="2"/>
  <c r="K762" i="2"/>
  <c r="K761" i="2"/>
  <c r="K760" i="2"/>
  <c r="K759" i="2"/>
  <c r="K758" i="2"/>
  <c r="K757" i="2"/>
  <c r="K756" i="2"/>
  <c r="K755" i="2"/>
  <c r="K754" i="2"/>
  <c r="K753" i="2"/>
  <c r="K752" i="2"/>
  <c r="K751" i="2"/>
  <c r="K750" i="2"/>
  <c r="K749" i="2"/>
  <c r="K748" i="2"/>
  <c r="K747" i="2"/>
  <c r="K746" i="2"/>
  <c r="K745" i="2"/>
  <c r="K744" i="2"/>
  <c r="K743" i="2"/>
  <c r="K742" i="2"/>
  <c r="K741" i="2"/>
  <c r="K740" i="2"/>
  <c r="K739" i="2"/>
  <c r="K738" i="2"/>
  <c r="K737" i="2"/>
  <c r="K736" i="2"/>
  <c r="K735" i="2"/>
  <c r="K734" i="2"/>
  <c r="K733"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K685" i="2"/>
  <c r="K684" i="2"/>
  <c r="K683" i="2"/>
  <c r="K682" i="2"/>
  <c r="K681" i="2"/>
  <c r="K680" i="2"/>
  <c r="K679" i="2"/>
  <c r="K678" i="2"/>
  <c r="K677" i="2"/>
  <c r="K676" i="2"/>
  <c r="K675" i="2"/>
  <c r="K674" i="2"/>
  <c r="K673" i="2"/>
  <c r="K672" i="2"/>
  <c r="K671" i="2"/>
  <c r="K670" i="2"/>
  <c r="K669" i="2"/>
  <c r="K668" i="2"/>
  <c r="K667" i="2"/>
  <c r="K666" i="2"/>
  <c r="K665" i="2"/>
  <c r="K664" i="2"/>
  <c r="K663" i="2"/>
  <c r="K662" i="2"/>
  <c r="K661" i="2"/>
  <c r="K660" i="2"/>
  <c r="K659" i="2"/>
  <c r="K658" i="2"/>
  <c r="K657" i="2"/>
  <c r="K656" i="2"/>
  <c r="K655" i="2"/>
  <c r="K654" i="2"/>
  <c r="K653" i="2"/>
  <c r="K652" i="2"/>
  <c r="K651" i="2"/>
  <c r="K650" i="2"/>
  <c r="K649" i="2"/>
  <c r="K648" i="2"/>
  <c r="K647" i="2"/>
  <c r="K646" i="2"/>
  <c r="K645" i="2"/>
  <c r="K644" i="2"/>
  <c r="K643" i="2"/>
  <c r="K642" i="2"/>
  <c r="K641" i="2"/>
  <c r="K640" i="2"/>
  <c r="K639" i="2"/>
  <c r="K638" i="2"/>
  <c r="K637" i="2"/>
  <c r="K636" i="2"/>
  <c r="K635" i="2"/>
  <c r="K634" i="2"/>
  <c r="K633" i="2"/>
  <c r="K632" i="2"/>
  <c r="K631" i="2"/>
  <c r="K630" i="2"/>
  <c r="K629" i="2"/>
  <c r="K628" i="2"/>
  <c r="K627" i="2"/>
  <c r="K626" i="2"/>
  <c r="K625" i="2"/>
  <c r="K624" i="2"/>
  <c r="K623" i="2"/>
  <c r="K622" i="2"/>
  <c r="K621" i="2"/>
  <c r="K620" i="2"/>
  <c r="K619" i="2"/>
  <c r="K618" i="2"/>
  <c r="K617" i="2"/>
  <c r="K616" i="2"/>
  <c r="K615" i="2"/>
  <c r="K614" i="2"/>
  <c r="K613" i="2"/>
  <c r="K612" i="2"/>
  <c r="K611" i="2"/>
  <c r="K610" i="2"/>
  <c r="K609" i="2"/>
  <c r="K608" i="2"/>
  <c r="K607" i="2"/>
  <c r="K606" i="2"/>
  <c r="K605" i="2"/>
  <c r="K604" i="2"/>
  <c r="K603" i="2"/>
  <c r="K602" i="2"/>
  <c r="K601" i="2"/>
  <c r="K600" i="2"/>
  <c r="K599" i="2"/>
  <c r="K598" i="2"/>
  <c r="K597" i="2"/>
  <c r="K596" i="2"/>
  <c r="K595" i="2"/>
  <c r="K594" i="2"/>
  <c r="K593" i="2"/>
  <c r="K592" i="2"/>
  <c r="K591" i="2"/>
  <c r="K590" i="2"/>
  <c r="K589" i="2"/>
  <c r="K588" i="2"/>
  <c r="K587" i="2"/>
  <c r="K586" i="2"/>
  <c r="K585" i="2"/>
  <c r="K584" i="2"/>
  <c r="K583" i="2"/>
  <c r="K582" i="2"/>
  <c r="K581" i="2"/>
  <c r="K580" i="2"/>
  <c r="K579" i="2"/>
  <c r="K578" i="2"/>
  <c r="K577" i="2"/>
  <c r="K576" i="2"/>
  <c r="K575" i="2"/>
  <c r="K574" i="2"/>
  <c r="K573" i="2"/>
  <c r="K572" i="2"/>
  <c r="K571" i="2"/>
  <c r="K570" i="2"/>
  <c r="K569" i="2"/>
  <c r="K568" i="2"/>
  <c r="K567" i="2"/>
  <c r="K566" i="2"/>
  <c r="K565" i="2"/>
  <c r="K564" i="2"/>
  <c r="K563" i="2"/>
  <c r="K562" i="2"/>
  <c r="K561" i="2"/>
  <c r="K560" i="2"/>
  <c r="K559" i="2"/>
  <c r="K558" i="2"/>
  <c r="K557" i="2"/>
  <c r="K556" i="2"/>
  <c r="K555" i="2"/>
  <c r="K554" i="2"/>
  <c r="K553" i="2"/>
  <c r="K552" i="2"/>
  <c r="K551" i="2"/>
  <c r="K550" i="2"/>
  <c r="K549" i="2"/>
  <c r="K548" i="2"/>
  <c r="K547" i="2"/>
  <c r="K546" i="2"/>
  <c r="K545" i="2"/>
  <c r="K544" i="2"/>
  <c r="K543" i="2"/>
  <c r="K542" i="2"/>
  <c r="K541" i="2"/>
  <c r="K540" i="2"/>
  <c r="K539" i="2"/>
  <c r="K538" i="2"/>
  <c r="K537"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AA1024" i="2"/>
  <c r="AB1024" i="2"/>
  <c r="O1029" i="2"/>
  <c r="M1029" i="2" s="1"/>
  <c r="AD1029" i="2" s="1"/>
  <c r="U1024" i="2"/>
  <c r="V1024" i="2"/>
  <c r="O1024" i="2"/>
  <c r="Q1024" i="2" s="1"/>
  <c r="O1028" i="2"/>
  <c r="M1028" i="2" s="1"/>
  <c r="AD1028" i="2" s="1"/>
  <c r="O1027" i="2"/>
  <c r="M1027" i="2" s="1"/>
  <c r="AD1027" i="2" s="1"/>
  <c r="O1026" i="2"/>
  <c r="O1025" i="2"/>
  <c r="M1025" i="2" s="1"/>
  <c r="AD1025" i="2" s="1"/>
  <c r="O1020" i="2"/>
  <c r="O1023" i="2"/>
  <c r="M1023" i="2" s="1"/>
  <c r="AD1023" i="2" s="1"/>
  <c r="O1022" i="2"/>
  <c r="M1022" i="2" s="1"/>
  <c r="AD1022" i="2" s="1"/>
  <c r="O1021" i="2"/>
  <c r="M1021" i="2" s="1"/>
  <c r="AD1021" i="2" s="1"/>
  <c r="O1019" i="2"/>
  <c r="M1019" i="2" s="1"/>
  <c r="AD1019" i="2" s="1"/>
  <c r="O1018" i="2"/>
  <c r="M1018" i="2" s="1"/>
  <c r="AD1018" i="2" s="1"/>
  <c r="O1017" i="2"/>
  <c r="M1017" i="2" s="1"/>
  <c r="AD1017" i="2" s="1"/>
  <c r="U1020" i="2"/>
  <c r="U1019" i="2"/>
  <c r="U1021" i="2"/>
  <c r="U1022" i="2"/>
  <c r="U1023" i="2"/>
  <c r="U1113" i="2"/>
  <c r="U1109" i="2"/>
  <c r="U1108" i="2"/>
  <c r="U1107"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3" i="2"/>
  <c r="U1052" i="2"/>
  <c r="U1051" i="2"/>
  <c r="U1050" i="2"/>
  <c r="U1049" i="2"/>
  <c r="U1048" i="2"/>
  <c r="U1047" i="2"/>
  <c r="U1046" i="2"/>
  <c r="U1045" i="2"/>
  <c r="U1035" i="2"/>
  <c r="U1034" i="2"/>
  <c r="U1033" i="2"/>
  <c r="U1032" i="2"/>
  <c r="U1031" i="2"/>
  <c r="U1030" i="2"/>
  <c r="U1029" i="2"/>
  <c r="U1028" i="2"/>
  <c r="U1027" i="2"/>
  <c r="U1026" i="2"/>
  <c r="U1025" i="2"/>
  <c r="U1018" i="2"/>
  <c r="U1017" i="2"/>
  <c r="U1016" i="2"/>
  <c r="U1015" i="2"/>
  <c r="U1014" i="2"/>
  <c r="U1013" i="2"/>
  <c r="U1012" i="2"/>
  <c r="U1011" i="2"/>
  <c r="U1010" i="2"/>
  <c r="U1009" i="2"/>
  <c r="U1008" i="2"/>
  <c r="U1007" i="2"/>
  <c r="U1006" i="2"/>
  <c r="U1005" i="2"/>
  <c r="U1004" i="2"/>
  <c r="U1003" i="2"/>
  <c r="U1002" i="2"/>
  <c r="U1001" i="2"/>
  <c r="U1000" i="2"/>
  <c r="U999" i="2"/>
  <c r="U998" i="2"/>
  <c r="U997" i="2"/>
  <c r="U996" i="2"/>
  <c r="U995" i="2"/>
  <c r="U994" i="2"/>
  <c r="U993" i="2"/>
  <c r="U992" i="2"/>
  <c r="U991" i="2"/>
  <c r="U990" i="2"/>
  <c r="U989" i="2"/>
  <c r="U988" i="2"/>
  <c r="U987" i="2"/>
  <c r="U986" i="2"/>
  <c r="U985" i="2"/>
  <c r="U984" i="2"/>
  <c r="U983" i="2"/>
  <c r="U982" i="2"/>
  <c r="U981" i="2"/>
  <c r="U980" i="2"/>
  <c r="U979" i="2"/>
  <c r="U978" i="2"/>
  <c r="U977" i="2"/>
  <c r="U976" i="2"/>
  <c r="U975" i="2"/>
  <c r="U974" i="2"/>
  <c r="U973" i="2"/>
  <c r="U972" i="2"/>
  <c r="U971" i="2"/>
  <c r="U970" i="2"/>
  <c r="U969" i="2"/>
  <c r="U968" i="2"/>
  <c r="U967" i="2"/>
  <c r="U966" i="2"/>
  <c r="U965" i="2"/>
  <c r="U964" i="2"/>
  <c r="U963" i="2"/>
  <c r="U962" i="2"/>
  <c r="U961" i="2"/>
  <c r="U960" i="2"/>
  <c r="U959" i="2"/>
  <c r="U958" i="2"/>
  <c r="U957" i="2"/>
  <c r="U956"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8" i="2"/>
  <c r="U299"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V1017" i="2"/>
  <c r="V1018" i="2"/>
  <c r="V1113" i="2"/>
  <c r="V1109" i="2"/>
  <c r="V1108" i="2"/>
  <c r="V1107" i="2"/>
  <c r="V1099" i="2"/>
  <c r="V1098" i="2"/>
  <c r="V1097" i="2"/>
  <c r="V1096" i="2"/>
  <c r="V1095" i="2"/>
  <c r="V1094" i="2"/>
  <c r="V1093" i="2"/>
  <c r="V1092" i="2"/>
  <c r="V1091" i="2"/>
  <c r="V1090" i="2"/>
  <c r="V1089" i="2"/>
  <c r="V1088" i="2"/>
  <c r="V1087" i="2"/>
  <c r="V1086" i="2"/>
  <c r="V1085" i="2"/>
  <c r="V1084" i="2"/>
  <c r="V1083" i="2"/>
  <c r="V1082" i="2"/>
  <c r="V1081" i="2"/>
  <c r="V1080" i="2"/>
  <c r="V1079" i="2"/>
  <c r="V1078" i="2"/>
  <c r="V1077" i="2"/>
  <c r="V1076" i="2"/>
  <c r="V1075" i="2"/>
  <c r="V1074" i="2"/>
  <c r="V1073" i="2"/>
  <c r="V1072" i="2"/>
  <c r="V1071" i="2"/>
  <c r="V1070" i="2"/>
  <c r="V1069" i="2"/>
  <c r="V1068" i="2"/>
  <c r="V1067" i="2"/>
  <c r="V1066" i="2"/>
  <c r="V1065" i="2"/>
  <c r="V1064" i="2"/>
  <c r="V1063" i="2"/>
  <c r="V1062" i="2"/>
  <c r="V1061" i="2"/>
  <c r="V1060" i="2"/>
  <c r="V1059" i="2"/>
  <c r="V1058" i="2"/>
  <c r="V1057" i="2"/>
  <c r="V1056" i="2"/>
  <c r="V1055" i="2"/>
  <c r="V1053" i="2"/>
  <c r="V1052" i="2"/>
  <c r="V1051" i="2"/>
  <c r="V1050" i="2"/>
  <c r="V1049" i="2"/>
  <c r="V1048" i="2"/>
  <c r="V1047" i="2"/>
  <c r="V1046" i="2"/>
  <c r="V1045" i="2"/>
  <c r="V1035" i="2"/>
  <c r="V1034" i="2"/>
  <c r="V1033" i="2"/>
  <c r="V1032" i="2"/>
  <c r="V1031" i="2"/>
  <c r="V1030" i="2"/>
  <c r="V1029" i="2"/>
  <c r="V1028" i="2"/>
  <c r="V1027" i="2"/>
  <c r="V1026" i="2"/>
  <c r="V1025" i="2"/>
  <c r="V1023" i="2"/>
  <c r="V1022" i="2"/>
  <c r="V1021" i="2"/>
  <c r="V1020" i="2"/>
  <c r="V1019" i="2"/>
  <c r="V1016" i="2"/>
  <c r="V1015" i="2"/>
  <c r="V1014" i="2"/>
  <c r="V1013" i="2"/>
  <c r="V1012" i="2"/>
  <c r="V1011" i="2"/>
  <c r="V1010" i="2"/>
  <c r="V1009" i="2"/>
  <c r="V1008" i="2"/>
  <c r="V1007" i="2"/>
  <c r="V1006" i="2"/>
  <c r="V1005" i="2"/>
  <c r="V1004" i="2"/>
  <c r="V1003" i="2"/>
  <c r="V1002" i="2"/>
  <c r="V1001" i="2"/>
  <c r="V1000" i="2"/>
  <c r="V999" i="2"/>
  <c r="V998" i="2"/>
  <c r="V997" i="2"/>
  <c r="V996" i="2"/>
  <c r="V995" i="2"/>
  <c r="V994" i="2"/>
  <c r="V993" i="2"/>
  <c r="V992" i="2"/>
  <c r="V991" i="2"/>
  <c r="V990" i="2"/>
  <c r="V989" i="2"/>
  <c r="V988" i="2"/>
  <c r="V987" i="2"/>
  <c r="V986" i="2"/>
  <c r="V985" i="2"/>
  <c r="V984" i="2"/>
  <c r="V983" i="2"/>
  <c r="V982" i="2"/>
  <c r="V981" i="2"/>
  <c r="V980" i="2"/>
  <c r="V979" i="2"/>
  <c r="V978" i="2"/>
  <c r="V977" i="2"/>
  <c r="V976" i="2"/>
  <c r="V975" i="2"/>
  <c r="V974" i="2"/>
  <c r="V973" i="2"/>
  <c r="V972" i="2"/>
  <c r="V971" i="2"/>
  <c r="V970" i="2"/>
  <c r="V969" i="2"/>
  <c r="V968" i="2"/>
  <c r="V967" i="2"/>
  <c r="V966" i="2"/>
  <c r="V965" i="2"/>
  <c r="V964" i="2"/>
  <c r="V963" i="2"/>
  <c r="V962" i="2"/>
  <c r="V961" i="2"/>
  <c r="V960" i="2"/>
  <c r="V959" i="2"/>
  <c r="V958" i="2"/>
  <c r="V957" i="2"/>
  <c r="V956" i="2"/>
  <c r="V955" i="2"/>
  <c r="V954" i="2"/>
  <c r="V953" i="2"/>
  <c r="V952" i="2"/>
  <c r="V951" i="2"/>
  <c r="V950" i="2"/>
  <c r="V949" i="2"/>
  <c r="V948" i="2"/>
  <c r="V947" i="2"/>
  <c r="V946" i="2"/>
  <c r="V945" i="2"/>
  <c r="V944" i="2"/>
  <c r="V943" i="2"/>
  <c r="V942" i="2"/>
  <c r="V941" i="2"/>
  <c r="V940" i="2"/>
  <c r="V939" i="2"/>
  <c r="V938" i="2"/>
  <c r="V937" i="2"/>
  <c r="V936" i="2"/>
  <c r="V935" i="2"/>
  <c r="V934" i="2"/>
  <c r="V933" i="2"/>
  <c r="V932" i="2"/>
  <c r="V931" i="2"/>
  <c r="V930" i="2"/>
  <c r="V929" i="2"/>
  <c r="V928" i="2"/>
  <c r="V927" i="2"/>
  <c r="V926" i="2"/>
  <c r="V925" i="2"/>
  <c r="V924" i="2"/>
  <c r="V923" i="2"/>
  <c r="V922" i="2"/>
  <c r="V921" i="2"/>
  <c r="V920" i="2"/>
  <c r="V919" i="2"/>
  <c r="V918" i="2"/>
  <c r="V917" i="2"/>
  <c r="V916" i="2"/>
  <c r="V915" i="2"/>
  <c r="V914" i="2"/>
  <c r="V913" i="2"/>
  <c r="V912" i="2"/>
  <c r="V911" i="2"/>
  <c r="V910" i="2"/>
  <c r="V909" i="2"/>
  <c r="V908" i="2"/>
  <c r="V907" i="2"/>
  <c r="V906" i="2"/>
  <c r="V905" i="2"/>
  <c r="V904" i="2"/>
  <c r="V903" i="2"/>
  <c r="V902" i="2"/>
  <c r="V901" i="2"/>
  <c r="V900" i="2"/>
  <c r="V899" i="2"/>
  <c r="V898" i="2"/>
  <c r="V897" i="2"/>
  <c r="V896" i="2"/>
  <c r="V895" i="2"/>
  <c r="V894" i="2"/>
  <c r="V893" i="2"/>
  <c r="V892" i="2"/>
  <c r="V891" i="2"/>
  <c r="V890" i="2"/>
  <c r="V889" i="2"/>
  <c r="V888" i="2"/>
  <c r="V887" i="2"/>
  <c r="V886" i="2"/>
  <c r="V885" i="2"/>
  <c r="V884" i="2"/>
  <c r="V883" i="2"/>
  <c r="V882" i="2"/>
  <c r="V881" i="2"/>
  <c r="V880" i="2"/>
  <c r="V879" i="2"/>
  <c r="V878" i="2"/>
  <c r="V877" i="2"/>
  <c r="V876" i="2"/>
  <c r="V875" i="2"/>
  <c r="V874" i="2"/>
  <c r="V873" i="2"/>
  <c r="V872" i="2"/>
  <c r="V871" i="2"/>
  <c r="V870" i="2"/>
  <c r="V869" i="2"/>
  <c r="V868" i="2"/>
  <c r="V867" i="2"/>
  <c r="V866" i="2"/>
  <c r="V865" i="2"/>
  <c r="V864" i="2"/>
  <c r="V863" i="2"/>
  <c r="V862" i="2"/>
  <c r="V861" i="2"/>
  <c r="V860" i="2"/>
  <c r="V859" i="2"/>
  <c r="V858" i="2"/>
  <c r="V857" i="2"/>
  <c r="V856" i="2"/>
  <c r="V855" i="2"/>
  <c r="V854" i="2"/>
  <c r="V853" i="2"/>
  <c r="V852" i="2"/>
  <c r="V851" i="2"/>
  <c r="V850" i="2"/>
  <c r="V849" i="2"/>
  <c r="V848" i="2"/>
  <c r="V847" i="2"/>
  <c r="V846" i="2"/>
  <c r="V845" i="2"/>
  <c r="V844" i="2"/>
  <c r="V843" i="2"/>
  <c r="V842" i="2"/>
  <c r="V841" i="2"/>
  <c r="V840" i="2"/>
  <c r="V839" i="2"/>
  <c r="V838" i="2"/>
  <c r="V837" i="2"/>
  <c r="V836" i="2"/>
  <c r="V835" i="2"/>
  <c r="V834" i="2"/>
  <c r="V833" i="2"/>
  <c r="V832" i="2"/>
  <c r="V831" i="2"/>
  <c r="V830" i="2"/>
  <c r="V829" i="2"/>
  <c r="V828" i="2"/>
  <c r="V827" i="2"/>
  <c r="V826" i="2"/>
  <c r="V825" i="2"/>
  <c r="V824" i="2"/>
  <c r="V823" i="2"/>
  <c r="V822" i="2"/>
  <c r="V821" i="2"/>
  <c r="V820" i="2"/>
  <c r="V819" i="2"/>
  <c r="V818" i="2"/>
  <c r="V817" i="2"/>
  <c r="V816" i="2"/>
  <c r="V815" i="2"/>
  <c r="V814" i="2"/>
  <c r="V813" i="2"/>
  <c r="V812" i="2"/>
  <c r="V811" i="2"/>
  <c r="V810" i="2"/>
  <c r="V809" i="2"/>
  <c r="V808" i="2"/>
  <c r="V807" i="2"/>
  <c r="V806" i="2"/>
  <c r="V805" i="2"/>
  <c r="V804" i="2"/>
  <c r="V803" i="2"/>
  <c r="V802" i="2"/>
  <c r="V801" i="2"/>
  <c r="V800" i="2"/>
  <c r="V799" i="2"/>
  <c r="V798" i="2"/>
  <c r="V797" i="2"/>
  <c r="V796" i="2"/>
  <c r="V795" i="2"/>
  <c r="V794" i="2"/>
  <c r="V793" i="2"/>
  <c r="V792" i="2"/>
  <c r="V791" i="2"/>
  <c r="V790" i="2"/>
  <c r="V789" i="2"/>
  <c r="V788" i="2"/>
  <c r="V787" i="2"/>
  <c r="V786" i="2"/>
  <c r="V785" i="2"/>
  <c r="V784" i="2"/>
  <c r="V783" i="2"/>
  <c r="V782" i="2"/>
  <c r="V781" i="2"/>
  <c r="V780" i="2"/>
  <c r="V779" i="2"/>
  <c r="V778" i="2"/>
  <c r="V777" i="2"/>
  <c r="V776" i="2"/>
  <c r="V775" i="2"/>
  <c r="V774" i="2"/>
  <c r="V773" i="2"/>
  <c r="V772" i="2"/>
  <c r="V771" i="2"/>
  <c r="V770" i="2"/>
  <c r="V769" i="2"/>
  <c r="V768" i="2"/>
  <c r="V767" i="2"/>
  <c r="V766" i="2"/>
  <c r="V765" i="2"/>
  <c r="V764" i="2"/>
  <c r="V763" i="2"/>
  <c r="V762" i="2"/>
  <c r="V761" i="2"/>
  <c r="V760" i="2"/>
  <c r="V759" i="2"/>
  <c r="V758" i="2"/>
  <c r="V757" i="2"/>
  <c r="V756" i="2"/>
  <c r="V755" i="2"/>
  <c r="V754" i="2"/>
  <c r="V753" i="2"/>
  <c r="V752" i="2"/>
  <c r="V751" i="2"/>
  <c r="V750" i="2"/>
  <c r="V749" i="2"/>
  <c r="V748" i="2"/>
  <c r="V747" i="2"/>
  <c r="V746" i="2"/>
  <c r="V745" i="2"/>
  <c r="V744" i="2"/>
  <c r="V743" i="2"/>
  <c r="V742" i="2"/>
  <c r="V741" i="2"/>
  <c r="V740" i="2"/>
  <c r="V739" i="2"/>
  <c r="V738" i="2"/>
  <c r="V737" i="2"/>
  <c r="V736" i="2"/>
  <c r="V735" i="2"/>
  <c r="V734" i="2"/>
  <c r="V733" i="2"/>
  <c r="V732" i="2"/>
  <c r="V731" i="2"/>
  <c r="V730" i="2"/>
  <c r="V729" i="2"/>
  <c r="V728" i="2"/>
  <c r="V727" i="2"/>
  <c r="V726" i="2"/>
  <c r="V725" i="2"/>
  <c r="V724" i="2"/>
  <c r="V723" i="2"/>
  <c r="V722" i="2"/>
  <c r="V721" i="2"/>
  <c r="V720" i="2"/>
  <c r="V719" i="2"/>
  <c r="V718" i="2"/>
  <c r="V717" i="2"/>
  <c r="V716" i="2"/>
  <c r="V715" i="2"/>
  <c r="V714" i="2"/>
  <c r="V713" i="2"/>
  <c r="V712" i="2"/>
  <c r="V711" i="2"/>
  <c r="V710" i="2"/>
  <c r="V709" i="2"/>
  <c r="V708" i="2"/>
  <c r="V707" i="2"/>
  <c r="V706" i="2"/>
  <c r="V705" i="2"/>
  <c r="V704" i="2"/>
  <c r="V703" i="2"/>
  <c r="V702" i="2"/>
  <c r="V701" i="2"/>
  <c r="V700" i="2"/>
  <c r="V699" i="2"/>
  <c r="V698" i="2"/>
  <c r="V697" i="2"/>
  <c r="V696" i="2"/>
  <c r="V695" i="2"/>
  <c r="V694" i="2"/>
  <c r="V693" i="2"/>
  <c r="V692" i="2"/>
  <c r="V691" i="2"/>
  <c r="V690" i="2"/>
  <c r="V689" i="2"/>
  <c r="V688" i="2"/>
  <c r="V687" i="2"/>
  <c r="V686" i="2"/>
  <c r="V685" i="2"/>
  <c r="V684" i="2"/>
  <c r="V683" i="2"/>
  <c r="V682" i="2"/>
  <c r="V681" i="2"/>
  <c r="V680" i="2"/>
  <c r="V679" i="2"/>
  <c r="V678" i="2"/>
  <c r="V677" i="2"/>
  <c r="V676" i="2"/>
  <c r="V675" i="2"/>
  <c r="V674" i="2"/>
  <c r="V673" i="2"/>
  <c r="V672" i="2"/>
  <c r="V671" i="2"/>
  <c r="V670" i="2"/>
  <c r="V669" i="2"/>
  <c r="V668" i="2"/>
  <c r="V667" i="2"/>
  <c r="V666" i="2"/>
  <c r="V665" i="2"/>
  <c r="V664" i="2"/>
  <c r="V663" i="2"/>
  <c r="V662" i="2"/>
  <c r="V661" i="2"/>
  <c r="V660" i="2"/>
  <c r="V659" i="2"/>
  <c r="V658" i="2"/>
  <c r="V657" i="2"/>
  <c r="V656" i="2"/>
  <c r="V655" i="2"/>
  <c r="V654" i="2"/>
  <c r="V653" i="2"/>
  <c r="V652" i="2"/>
  <c r="V651" i="2"/>
  <c r="V650" i="2"/>
  <c r="V649" i="2"/>
  <c r="V648" i="2"/>
  <c r="V647" i="2"/>
  <c r="V646" i="2"/>
  <c r="V645" i="2"/>
  <c r="V644" i="2"/>
  <c r="V643" i="2"/>
  <c r="V642" i="2"/>
  <c r="V641" i="2"/>
  <c r="V640" i="2"/>
  <c r="V639" i="2"/>
  <c r="V638" i="2"/>
  <c r="V637" i="2"/>
  <c r="V636" i="2"/>
  <c r="V635" i="2"/>
  <c r="V634" i="2"/>
  <c r="V633" i="2"/>
  <c r="V632" i="2"/>
  <c r="V631" i="2"/>
  <c r="V630" i="2"/>
  <c r="V629" i="2"/>
  <c r="V628" i="2"/>
  <c r="V627" i="2"/>
  <c r="V626" i="2"/>
  <c r="V625" i="2"/>
  <c r="V624" i="2"/>
  <c r="V623" i="2"/>
  <c r="V622" i="2"/>
  <c r="V621" i="2"/>
  <c r="V620" i="2"/>
  <c r="V619" i="2"/>
  <c r="V618" i="2"/>
  <c r="V617" i="2"/>
  <c r="V616" i="2"/>
  <c r="V615" i="2"/>
  <c r="V614" i="2"/>
  <c r="V613" i="2"/>
  <c r="V612" i="2"/>
  <c r="V611" i="2"/>
  <c r="V610" i="2"/>
  <c r="V609" i="2"/>
  <c r="V608" i="2"/>
  <c r="V607" i="2"/>
  <c r="V606" i="2"/>
  <c r="V605" i="2"/>
  <c r="V604" i="2"/>
  <c r="V603" i="2"/>
  <c r="V602" i="2"/>
  <c r="V601" i="2"/>
  <c r="V600" i="2"/>
  <c r="V599" i="2"/>
  <c r="V598" i="2"/>
  <c r="V597" i="2"/>
  <c r="V596" i="2"/>
  <c r="V595" i="2"/>
  <c r="V594" i="2"/>
  <c r="V593" i="2"/>
  <c r="V592" i="2"/>
  <c r="V591" i="2"/>
  <c r="V590" i="2"/>
  <c r="V589" i="2"/>
  <c r="V588" i="2"/>
  <c r="V587" i="2"/>
  <c r="V586" i="2"/>
  <c r="V585" i="2"/>
  <c r="V584" i="2"/>
  <c r="V583" i="2"/>
  <c r="V582" i="2"/>
  <c r="V581" i="2"/>
  <c r="V580" i="2"/>
  <c r="V579" i="2"/>
  <c r="V578" i="2"/>
  <c r="V577" i="2"/>
  <c r="V576" i="2"/>
  <c r="V575" i="2"/>
  <c r="V574" i="2"/>
  <c r="V573" i="2"/>
  <c r="V572" i="2"/>
  <c r="V571" i="2"/>
  <c r="V570" i="2"/>
  <c r="V569" i="2"/>
  <c r="V568" i="2"/>
  <c r="V567" i="2"/>
  <c r="V566" i="2"/>
  <c r="V565" i="2"/>
  <c r="V564" i="2"/>
  <c r="V563" i="2"/>
  <c r="V562" i="2"/>
  <c r="V561" i="2"/>
  <c r="V560" i="2"/>
  <c r="V559" i="2"/>
  <c r="V558" i="2"/>
  <c r="V557" i="2"/>
  <c r="V556" i="2"/>
  <c r="V555" i="2"/>
  <c r="V554" i="2"/>
  <c r="V553" i="2"/>
  <c r="V552" i="2"/>
  <c r="V551" i="2"/>
  <c r="V550" i="2"/>
  <c r="V549" i="2"/>
  <c r="V548" i="2"/>
  <c r="V547" i="2"/>
  <c r="V546" i="2"/>
  <c r="V545" i="2"/>
  <c r="V544" i="2"/>
  <c r="V543" i="2"/>
  <c r="V542" i="2"/>
  <c r="V541" i="2"/>
  <c r="V540" i="2"/>
  <c r="V539" i="2"/>
  <c r="V538" i="2"/>
  <c r="V537" i="2"/>
  <c r="V536" i="2"/>
  <c r="V535" i="2"/>
  <c r="V534" i="2"/>
  <c r="V533" i="2"/>
  <c r="V532" i="2"/>
  <c r="V531" i="2"/>
  <c r="V530" i="2"/>
  <c r="V529" i="2"/>
  <c r="V528" i="2"/>
  <c r="V527" i="2"/>
  <c r="V526" i="2"/>
  <c r="V525" i="2"/>
  <c r="V524" i="2"/>
  <c r="V523" i="2"/>
  <c r="V522" i="2"/>
  <c r="V521" i="2"/>
  <c r="V520" i="2"/>
  <c r="V519" i="2"/>
  <c r="V518" i="2"/>
  <c r="V517" i="2"/>
  <c r="V516" i="2"/>
  <c r="V515" i="2"/>
  <c r="V514" i="2"/>
  <c r="V513" i="2"/>
  <c r="V512" i="2"/>
  <c r="V511" i="2"/>
  <c r="V510" i="2"/>
  <c r="V509" i="2"/>
  <c r="V508" i="2"/>
  <c r="V507" i="2"/>
  <c r="V506" i="2"/>
  <c r="V505" i="2"/>
  <c r="V504" i="2"/>
  <c r="V503" i="2"/>
  <c r="V502" i="2"/>
  <c r="V501" i="2"/>
  <c r="V500" i="2"/>
  <c r="V499" i="2"/>
  <c r="V498" i="2"/>
  <c r="V497" i="2"/>
  <c r="V496" i="2"/>
  <c r="V495" i="2"/>
  <c r="V494" i="2"/>
  <c r="V493" i="2"/>
  <c r="V492" i="2"/>
  <c r="V491" i="2"/>
  <c r="V490" i="2"/>
  <c r="V489" i="2"/>
  <c r="V488" i="2"/>
  <c r="V487" i="2"/>
  <c r="V486" i="2"/>
  <c r="V485" i="2"/>
  <c r="V484" i="2"/>
  <c r="V483" i="2"/>
  <c r="V482" i="2"/>
  <c r="V481" i="2"/>
  <c r="V480" i="2"/>
  <c r="V479" i="2"/>
  <c r="V478" i="2"/>
  <c r="V477" i="2"/>
  <c r="V476" i="2"/>
  <c r="V475" i="2"/>
  <c r="V474" i="2"/>
  <c r="V473" i="2"/>
  <c r="V472" i="2"/>
  <c r="V471" i="2"/>
  <c r="V470" i="2"/>
  <c r="V469" i="2"/>
  <c r="V468" i="2"/>
  <c r="V467" i="2"/>
  <c r="V466" i="2"/>
  <c r="V465" i="2"/>
  <c r="V464" i="2"/>
  <c r="V463" i="2"/>
  <c r="V462" i="2"/>
  <c r="V461" i="2"/>
  <c r="V460" i="2"/>
  <c r="V459" i="2"/>
  <c r="V458" i="2"/>
  <c r="V457" i="2"/>
  <c r="V456" i="2"/>
  <c r="V455" i="2"/>
  <c r="V454" i="2"/>
  <c r="V453" i="2"/>
  <c r="V452" i="2"/>
  <c r="V451" i="2"/>
  <c r="V450" i="2"/>
  <c r="V449" i="2"/>
  <c r="V448" i="2"/>
  <c r="V447" i="2"/>
  <c r="V446" i="2"/>
  <c r="V445" i="2"/>
  <c r="V444" i="2"/>
  <c r="V443" i="2"/>
  <c r="V442" i="2"/>
  <c r="V441" i="2"/>
  <c r="V440" i="2"/>
  <c r="V439" i="2"/>
  <c r="V438" i="2"/>
  <c r="V437" i="2"/>
  <c r="V436" i="2"/>
  <c r="V435" i="2"/>
  <c r="V434" i="2"/>
  <c r="V433" i="2"/>
  <c r="V432" i="2"/>
  <c r="V431" i="2"/>
  <c r="V430" i="2"/>
  <c r="V429" i="2"/>
  <c r="V428" i="2"/>
  <c r="V427" i="2"/>
  <c r="V426" i="2"/>
  <c r="V425" i="2"/>
  <c r="V424" i="2"/>
  <c r="V423" i="2"/>
  <c r="V422" i="2"/>
  <c r="V421" i="2"/>
  <c r="V420" i="2"/>
  <c r="V419" i="2"/>
  <c r="V418" i="2"/>
  <c r="V417" i="2"/>
  <c r="V416" i="2"/>
  <c r="V415" i="2"/>
  <c r="V414" i="2"/>
  <c r="V413" i="2"/>
  <c r="V412" i="2"/>
  <c r="V411" i="2"/>
  <c r="V410" i="2"/>
  <c r="V409" i="2"/>
  <c r="V408" i="2"/>
  <c r="V407" i="2"/>
  <c r="V406" i="2"/>
  <c r="V405" i="2"/>
  <c r="V404" i="2"/>
  <c r="V403" i="2"/>
  <c r="V402" i="2"/>
  <c r="V401" i="2"/>
  <c r="V400" i="2"/>
  <c r="V399" i="2"/>
  <c r="V398" i="2"/>
  <c r="V397" i="2"/>
  <c r="V396" i="2"/>
  <c r="V395" i="2"/>
  <c r="V394" i="2"/>
  <c r="V393" i="2"/>
  <c r="V392" i="2"/>
  <c r="V391" i="2"/>
  <c r="V390" i="2"/>
  <c r="V389" i="2"/>
  <c r="V388" i="2"/>
  <c r="V387" i="2"/>
  <c r="V386" i="2"/>
  <c r="V385" i="2"/>
  <c r="V384" i="2"/>
  <c r="V383" i="2"/>
  <c r="V382" i="2"/>
  <c r="V381" i="2"/>
  <c r="V380" i="2"/>
  <c r="V379" i="2"/>
  <c r="V378" i="2"/>
  <c r="V377" i="2"/>
  <c r="V376" i="2"/>
  <c r="V375" i="2"/>
  <c r="V374" i="2"/>
  <c r="V373" i="2"/>
  <c r="V372" i="2"/>
  <c r="V371" i="2"/>
  <c r="V370" i="2"/>
  <c r="V369" i="2"/>
  <c r="V368" i="2"/>
  <c r="V367" i="2"/>
  <c r="V366" i="2"/>
  <c r="V365" i="2"/>
  <c r="V364" i="2"/>
  <c r="V363" i="2"/>
  <c r="V362" i="2"/>
  <c r="V361" i="2"/>
  <c r="V360" i="2"/>
  <c r="V359" i="2"/>
  <c r="V358" i="2"/>
  <c r="V357" i="2"/>
  <c r="V356" i="2"/>
  <c r="V355" i="2"/>
  <c r="V354" i="2"/>
  <c r="V353" i="2"/>
  <c r="V352" i="2"/>
  <c r="V351" i="2"/>
  <c r="V350" i="2"/>
  <c r="V349" i="2"/>
  <c r="V348" i="2"/>
  <c r="V347" i="2"/>
  <c r="V346" i="2"/>
  <c r="V345" i="2"/>
  <c r="V344" i="2"/>
  <c r="V343" i="2"/>
  <c r="V342" i="2"/>
  <c r="V341" i="2"/>
  <c r="V340" i="2"/>
  <c r="V339" i="2"/>
  <c r="V338" i="2"/>
  <c r="V337" i="2"/>
  <c r="V336" i="2"/>
  <c r="V335" i="2"/>
  <c r="V334" i="2"/>
  <c r="V333" i="2"/>
  <c r="V332" i="2"/>
  <c r="V331" i="2"/>
  <c r="V330" i="2"/>
  <c r="V329" i="2"/>
  <c r="V328" i="2"/>
  <c r="V327" i="2"/>
  <c r="V326" i="2"/>
  <c r="V325" i="2"/>
  <c r="V324" i="2"/>
  <c r="V323" i="2"/>
  <c r="V322" i="2"/>
  <c r="V321" i="2"/>
  <c r="V320" i="2"/>
  <c r="V319" i="2"/>
  <c r="V318" i="2"/>
  <c r="V317" i="2"/>
  <c r="V316" i="2"/>
  <c r="V315" i="2"/>
  <c r="V314" i="2"/>
  <c r="V313" i="2"/>
  <c r="V312" i="2"/>
  <c r="V311" i="2"/>
  <c r="V310" i="2"/>
  <c r="V309" i="2"/>
  <c r="V308" i="2"/>
  <c r="V307" i="2"/>
  <c r="V306" i="2"/>
  <c r="V305" i="2"/>
  <c r="V304" i="2"/>
  <c r="V303" i="2"/>
  <c r="V302" i="2"/>
  <c r="V301" i="2"/>
  <c r="V300" i="2"/>
  <c r="V298" i="2"/>
  <c r="V299" i="2"/>
  <c r="V297" i="2"/>
  <c r="V296" i="2"/>
  <c r="V295" i="2"/>
  <c r="V294" i="2"/>
  <c r="V293" i="2"/>
  <c r="V292" i="2"/>
  <c r="V291" i="2"/>
  <c r="V290" i="2"/>
  <c r="V289" i="2"/>
  <c r="V288" i="2"/>
  <c r="V287" i="2"/>
  <c r="V286" i="2"/>
  <c r="V285" i="2"/>
  <c r="V284" i="2"/>
  <c r="V283" i="2"/>
  <c r="V282" i="2"/>
  <c r="V281" i="2"/>
  <c r="V280" i="2"/>
  <c r="V279" i="2"/>
  <c r="V278" i="2"/>
  <c r="V277" i="2"/>
  <c r="V276" i="2"/>
  <c r="V275" i="2"/>
  <c r="V274" i="2"/>
  <c r="V273" i="2"/>
  <c r="V272" i="2"/>
  <c r="V271" i="2"/>
  <c r="V270" i="2"/>
  <c r="V269" i="2"/>
  <c r="V268" i="2"/>
  <c r="V267" i="2"/>
  <c r="V266" i="2"/>
  <c r="V265" i="2"/>
  <c r="V264" i="2"/>
  <c r="V263" i="2"/>
  <c r="V262" i="2"/>
  <c r="V261" i="2"/>
  <c r="V260" i="2"/>
  <c r="V259" i="2"/>
  <c r="V258" i="2"/>
  <c r="V257" i="2"/>
  <c r="V256" i="2"/>
  <c r="V255" i="2"/>
  <c r="V254" i="2"/>
  <c r="V253" i="2"/>
  <c r="V252" i="2"/>
  <c r="V251" i="2"/>
  <c r="V250" i="2"/>
  <c r="V249" i="2"/>
  <c r="V248" i="2"/>
  <c r="V247" i="2"/>
  <c r="V246" i="2"/>
  <c r="V245" i="2"/>
  <c r="V244" i="2"/>
  <c r="V243" i="2"/>
  <c r="V242" i="2"/>
  <c r="V241" i="2"/>
  <c r="V240" i="2"/>
  <c r="V239" i="2"/>
  <c r="V238" i="2"/>
  <c r="V237" i="2"/>
  <c r="V236" i="2"/>
  <c r="V235" i="2"/>
  <c r="V234" i="2"/>
  <c r="V233" i="2"/>
  <c r="V232" i="2"/>
  <c r="V231" i="2"/>
  <c r="V230" i="2"/>
  <c r="V229" i="2"/>
  <c r="V228" i="2"/>
  <c r="V227" i="2"/>
  <c r="V226" i="2"/>
  <c r="V225" i="2"/>
  <c r="V224" i="2"/>
  <c r="V223" i="2"/>
  <c r="V222" i="2"/>
  <c r="V221" i="2"/>
  <c r="V220" i="2"/>
  <c r="V219" i="2"/>
  <c r="V218" i="2"/>
  <c r="V217" i="2"/>
  <c r="V216" i="2"/>
  <c r="V215" i="2"/>
  <c r="V214" i="2"/>
  <c r="V213" i="2"/>
  <c r="V212" i="2"/>
  <c r="V211" i="2"/>
  <c r="V210" i="2"/>
  <c r="V209" i="2"/>
  <c r="V208" i="2"/>
  <c r="V207" i="2"/>
  <c r="V206" i="2"/>
  <c r="V205" i="2"/>
  <c r="V204" i="2"/>
  <c r="V203" i="2"/>
  <c r="V202" i="2"/>
  <c r="V201" i="2"/>
  <c r="V200" i="2"/>
  <c r="V199" i="2"/>
  <c r="V198" i="2"/>
  <c r="V197" i="2"/>
  <c r="V196" i="2"/>
  <c r="V195" i="2"/>
  <c r="V194" i="2"/>
  <c r="V193" i="2"/>
  <c r="V192" i="2"/>
  <c r="V191" i="2"/>
  <c r="V190" i="2"/>
  <c r="V189" i="2"/>
  <c r="V188" i="2"/>
  <c r="V187" i="2"/>
  <c r="V186" i="2"/>
  <c r="V185" i="2"/>
  <c r="V184" i="2"/>
  <c r="V183" i="2"/>
  <c r="V182" i="2"/>
  <c r="V181" i="2"/>
  <c r="V180" i="2"/>
  <c r="V179" i="2"/>
  <c r="V178" i="2"/>
  <c r="V177" i="2"/>
  <c r="V176" i="2"/>
  <c r="V175" i="2"/>
  <c r="V174" i="2"/>
  <c r="V173" i="2"/>
  <c r="V172" i="2"/>
  <c r="V171" i="2"/>
  <c r="V170" i="2"/>
  <c r="V169" i="2"/>
  <c r="V168" i="2"/>
  <c r="V167" i="2"/>
  <c r="V166" i="2"/>
  <c r="V165" i="2"/>
  <c r="V164" i="2"/>
  <c r="V163" i="2"/>
  <c r="V162" i="2"/>
  <c r="V161" i="2"/>
  <c r="V160" i="2"/>
  <c r="V159" i="2"/>
  <c r="V158" i="2"/>
  <c r="V157" i="2"/>
  <c r="V156" i="2"/>
  <c r="V155" i="2"/>
  <c r="V154" i="2"/>
  <c r="V153" i="2"/>
  <c r="V152" i="2"/>
  <c r="V151" i="2"/>
  <c r="V150" i="2"/>
  <c r="V149" i="2"/>
  <c r="V148" i="2"/>
  <c r="V147" i="2"/>
  <c r="V146" i="2"/>
  <c r="V145" i="2"/>
  <c r="V144" i="2"/>
  <c r="V143" i="2"/>
  <c r="V142" i="2"/>
  <c r="V141" i="2"/>
  <c r="V140" i="2"/>
  <c r="V139" i="2"/>
  <c r="V138" i="2"/>
  <c r="V137" i="2"/>
  <c r="V136" i="2"/>
  <c r="V135" i="2"/>
  <c r="V134" i="2"/>
  <c r="V133" i="2"/>
  <c r="V132" i="2"/>
  <c r="V131" i="2"/>
  <c r="V130" i="2"/>
  <c r="V129" i="2"/>
  <c r="V128" i="2"/>
  <c r="V127" i="2"/>
  <c r="V126" i="2"/>
  <c r="V125" i="2"/>
  <c r="V124" i="2"/>
  <c r="V123" i="2"/>
  <c r="V122" i="2"/>
  <c r="V121" i="2"/>
  <c r="V120" i="2"/>
  <c r="V119" i="2"/>
  <c r="V118" i="2"/>
  <c r="V117" i="2"/>
  <c r="V116" i="2"/>
  <c r="V115" i="2"/>
  <c r="V114" i="2"/>
  <c r="V113" i="2"/>
  <c r="V112" i="2"/>
  <c r="V111" i="2"/>
  <c r="V110" i="2"/>
  <c r="V109" i="2"/>
  <c r="V108" i="2"/>
  <c r="V107" i="2"/>
  <c r="V106" i="2"/>
  <c r="V105" i="2"/>
  <c r="V104" i="2"/>
  <c r="V103" i="2"/>
  <c r="V102" i="2"/>
  <c r="V101" i="2"/>
  <c r="V100" i="2"/>
  <c r="V99" i="2"/>
  <c r="V98" i="2"/>
  <c r="V97" i="2"/>
  <c r="V96" i="2"/>
  <c r="V95" i="2"/>
  <c r="V94" i="2"/>
  <c r="V93" i="2"/>
  <c r="V92" i="2"/>
  <c r="V91" i="2"/>
  <c r="V90" i="2"/>
  <c r="V89" i="2"/>
  <c r="V88" i="2"/>
  <c r="V87" i="2"/>
  <c r="V86" i="2"/>
  <c r="V85" i="2"/>
  <c r="V84" i="2"/>
  <c r="V83" i="2"/>
  <c r="V82" i="2"/>
  <c r="V81" i="2"/>
  <c r="V80" i="2"/>
  <c r="V79" i="2"/>
  <c r="V78" i="2"/>
  <c r="V77" i="2"/>
  <c r="V76" i="2"/>
  <c r="V75" i="2"/>
  <c r="V74" i="2"/>
  <c r="V73" i="2"/>
  <c r="V72" i="2"/>
  <c r="V71" i="2"/>
  <c r="V70" i="2"/>
  <c r="V69" i="2"/>
  <c r="V68" i="2"/>
  <c r="V67" i="2"/>
  <c r="V66" i="2"/>
  <c r="V65" i="2"/>
  <c r="V64" i="2"/>
  <c r="V63" i="2"/>
  <c r="V62" i="2"/>
  <c r="V61" i="2"/>
  <c r="V60" i="2"/>
  <c r="V59" i="2"/>
  <c r="V58" i="2"/>
  <c r="V57" i="2"/>
  <c r="V56" i="2"/>
  <c r="V55" i="2"/>
  <c r="V54" i="2"/>
  <c r="V53" i="2"/>
  <c r="V52" i="2"/>
  <c r="V51" i="2"/>
  <c r="V50" i="2"/>
  <c r="V49" i="2"/>
  <c r="V48" i="2"/>
  <c r="V47" i="2"/>
  <c r="V46" i="2"/>
  <c r="V45" i="2"/>
  <c r="V44" i="2"/>
  <c r="V43" i="2"/>
  <c r="V42" i="2"/>
  <c r="V41" i="2"/>
  <c r="V40" i="2"/>
  <c r="V39" i="2"/>
  <c r="V38" i="2"/>
  <c r="V37" i="2"/>
  <c r="V36" i="2"/>
  <c r="V35" i="2"/>
  <c r="V34" i="2"/>
  <c r="V33" i="2"/>
  <c r="V32" i="2"/>
  <c r="V31" i="2"/>
  <c r="V30" i="2"/>
  <c r="V29" i="2"/>
  <c r="V28" i="2"/>
  <c r="V27" i="2"/>
  <c r="V26" i="2"/>
  <c r="V25" i="2"/>
  <c r="V24" i="2"/>
  <c r="V23" i="2"/>
  <c r="V22" i="2"/>
  <c r="V21" i="2"/>
  <c r="V20" i="2"/>
  <c r="V19" i="2"/>
  <c r="V18" i="2"/>
  <c r="V17" i="2"/>
  <c r="V16" i="2"/>
  <c r="V15" i="2"/>
  <c r="V14" i="2"/>
  <c r="V13" i="2"/>
  <c r="V12" i="2"/>
  <c r="V11" i="2"/>
  <c r="V10" i="2"/>
  <c r="V9" i="2"/>
  <c r="V8" i="2"/>
  <c r="E88" i="1" s="1"/>
  <c r="F6" i="12"/>
  <c r="F5" i="12" s="1"/>
  <c r="F7" i="12"/>
  <c r="AA1113" i="2"/>
  <c r="AA1109" i="2"/>
  <c r="AA1108" i="2"/>
  <c r="AA1107" i="2"/>
  <c r="AA1099" i="2"/>
  <c r="AA1098" i="2"/>
  <c r="AA1097" i="2"/>
  <c r="AA1096" i="2"/>
  <c r="AA1095" i="2"/>
  <c r="AA1094" i="2"/>
  <c r="AA1093" i="2"/>
  <c r="AA1092" i="2"/>
  <c r="AA1091" i="2"/>
  <c r="AA1090" i="2"/>
  <c r="AA1089" i="2"/>
  <c r="AA1088" i="2"/>
  <c r="AA1087" i="2"/>
  <c r="AA1086" i="2"/>
  <c r="AA1085" i="2"/>
  <c r="AA1084" i="2"/>
  <c r="AA1083" i="2"/>
  <c r="AA1082" i="2"/>
  <c r="AA1081" i="2"/>
  <c r="AA1080" i="2"/>
  <c r="AA1079" i="2"/>
  <c r="AA1078" i="2"/>
  <c r="AA1077" i="2"/>
  <c r="AA1076" i="2"/>
  <c r="AA1075" i="2"/>
  <c r="AA1074" i="2"/>
  <c r="AA1073" i="2"/>
  <c r="AA1072" i="2"/>
  <c r="AA1071" i="2"/>
  <c r="AA1070" i="2"/>
  <c r="AA1069" i="2"/>
  <c r="AA1068" i="2"/>
  <c r="AA1067" i="2"/>
  <c r="AA1066" i="2"/>
  <c r="AA1065" i="2"/>
  <c r="AA1064" i="2"/>
  <c r="AA1063" i="2"/>
  <c r="AA1062" i="2"/>
  <c r="AA1061" i="2"/>
  <c r="AA1060" i="2"/>
  <c r="AA1059" i="2"/>
  <c r="AA1058" i="2"/>
  <c r="AA1057" i="2"/>
  <c r="AA1056" i="2"/>
  <c r="AA1055" i="2"/>
  <c r="AA1053" i="2"/>
  <c r="AA1052" i="2"/>
  <c r="AA1051" i="2"/>
  <c r="AA1050" i="2"/>
  <c r="AA1049" i="2"/>
  <c r="AA1048" i="2"/>
  <c r="AA1047" i="2"/>
  <c r="AA1046" i="2"/>
  <c r="AA1045" i="2"/>
  <c r="AA1044" i="2"/>
  <c r="AA1043" i="2"/>
  <c r="AA1042" i="2"/>
  <c r="AA1041" i="2"/>
  <c r="AA1040" i="2"/>
  <c r="AA1038" i="2"/>
  <c r="AA1036" i="2"/>
  <c r="AA1035" i="2"/>
  <c r="AA1034" i="2"/>
  <c r="AA1033" i="2"/>
  <c r="AA1032" i="2"/>
  <c r="AA1031" i="2"/>
  <c r="AA1030" i="2"/>
  <c r="AA1029" i="2"/>
  <c r="AA1028" i="2"/>
  <c r="AA1027" i="2"/>
  <c r="AA1026" i="2"/>
  <c r="AA1025" i="2"/>
  <c r="AA1023" i="2"/>
  <c r="AA1022" i="2"/>
  <c r="AA1021" i="2"/>
  <c r="AA1020" i="2"/>
  <c r="AA1019" i="2"/>
  <c r="AA1018" i="2"/>
  <c r="AA1017" i="2"/>
  <c r="AA1016" i="2"/>
  <c r="AA1015" i="2"/>
  <c r="AA1014" i="2"/>
  <c r="AA1013" i="2"/>
  <c r="AA1012" i="2"/>
  <c r="AA1011" i="2"/>
  <c r="AA1010" i="2"/>
  <c r="AA1009" i="2"/>
  <c r="AA1008" i="2"/>
  <c r="AA1007" i="2"/>
  <c r="AA1006" i="2"/>
  <c r="AA1005" i="2"/>
  <c r="AA1004" i="2"/>
  <c r="AA1003" i="2"/>
  <c r="AA1002" i="2"/>
  <c r="AA1001" i="2"/>
  <c r="AA1000" i="2"/>
  <c r="AA999" i="2"/>
  <c r="AA998" i="2"/>
  <c r="AA997" i="2"/>
  <c r="AA996" i="2"/>
  <c r="AA995" i="2"/>
  <c r="AA994" i="2"/>
  <c r="AA993" i="2"/>
  <c r="AA992" i="2"/>
  <c r="AA991" i="2"/>
  <c r="AA990" i="2"/>
  <c r="AA989" i="2"/>
  <c r="AA988" i="2"/>
  <c r="AA987" i="2"/>
  <c r="AA986" i="2"/>
  <c r="AA985" i="2"/>
  <c r="AA984" i="2"/>
  <c r="AA983" i="2"/>
  <c r="AA982" i="2"/>
  <c r="AA981" i="2"/>
  <c r="AA980" i="2"/>
  <c r="AA979" i="2"/>
  <c r="AA978" i="2"/>
  <c r="AA977" i="2"/>
  <c r="AA976" i="2"/>
  <c r="AA975" i="2"/>
  <c r="AA974" i="2"/>
  <c r="AA973" i="2"/>
  <c r="AA972" i="2"/>
  <c r="AA971" i="2"/>
  <c r="AA970" i="2"/>
  <c r="AA969" i="2"/>
  <c r="AA968" i="2"/>
  <c r="AA967" i="2"/>
  <c r="AA966" i="2"/>
  <c r="AA965" i="2"/>
  <c r="AA964" i="2"/>
  <c r="AA963" i="2"/>
  <c r="AA962" i="2"/>
  <c r="AA961" i="2"/>
  <c r="AA960" i="2"/>
  <c r="AA959" i="2"/>
  <c r="AA958" i="2"/>
  <c r="AA957" i="2"/>
  <c r="AA956" i="2"/>
  <c r="AA955" i="2"/>
  <c r="AA954" i="2"/>
  <c r="AA953" i="2"/>
  <c r="AA952" i="2"/>
  <c r="AA951" i="2"/>
  <c r="AA950" i="2"/>
  <c r="AA949" i="2"/>
  <c r="AA948" i="2"/>
  <c r="AA947" i="2"/>
  <c r="AA946" i="2"/>
  <c r="AA945" i="2"/>
  <c r="AA944" i="2"/>
  <c r="AA943" i="2"/>
  <c r="AA942" i="2"/>
  <c r="AA941" i="2"/>
  <c r="AA940" i="2"/>
  <c r="AA939" i="2"/>
  <c r="AA938" i="2"/>
  <c r="AA937" i="2"/>
  <c r="AA936" i="2"/>
  <c r="AA935" i="2"/>
  <c r="AA934" i="2"/>
  <c r="AA933" i="2"/>
  <c r="AA932" i="2"/>
  <c r="AA931" i="2"/>
  <c r="AA930" i="2"/>
  <c r="AA929" i="2"/>
  <c r="AA928" i="2"/>
  <c r="AA927" i="2"/>
  <c r="AA926" i="2"/>
  <c r="AA925" i="2"/>
  <c r="AA924" i="2"/>
  <c r="AA923" i="2"/>
  <c r="AA922" i="2"/>
  <c r="AA921" i="2"/>
  <c r="AA920" i="2"/>
  <c r="AA919" i="2"/>
  <c r="AA918" i="2"/>
  <c r="AA917" i="2"/>
  <c r="AA916" i="2"/>
  <c r="AA915" i="2"/>
  <c r="AA914" i="2"/>
  <c r="AA913" i="2"/>
  <c r="AA912" i="2"/>
  <c r="AA911" i="2"/>
  <c r="AA910" i="2"/>
  <c r="AA909" i="2"/>
  <c r="AA908" i="2"/>
  <c r="AA907" i="2"/>
  <c r="AA906" i="2"/>
  <c r="AA905" i="2"/>
  <c r="AA904" i="2"/>
  <c r="AA903" i="2"/>
  <c r="AA902" i="2"/>
  <c r="AA901" i="2"/>
  <c r="AA900" i="2"/>
  <c r="AA899" i="2"/>
  <c r="AA898" i="2"/>
  <c r="AA897" i="2"/>
  <c r="AA896" i="2"/>
  <c r="AA895" i="2"/>
  <c r="AA894" i="2"/>
  <c r="AA893" i="2"/>
  <c r="AA892" i="2"/>
  <c r="AA891" i="2"/>
  <c r="AA890" i="2"/>
  <c r="AA889" i="2"/>
  <c r="AA888" i="2"/>
  <c r="AA887" i="2"/>
  <c r="AA886" i="2"/>
  <c r="AA885" i="2"/>
  <c r="AA884" i="2"/>
  <c r="AA883" i="2"/>
  <c r="AA882" i="2"/>
  <c r="AA881" i="2"/>
  <c r="AA880" i="2"/>
  <c r="AA879" i="2"/>
  <c r="AA878" i="2"/>
  <c r="AA877" i="2"/>
  <c r="AA876" i="2"/>
  <c r="AA875" i="2"/>
  <c r="AA874" i="2"/>
  <c r="AA873" i="2"/>
  <c r="AA872" i="2"/>
  <c r="AA871" i="2"/>
  <c r="AA870" i="2"/>
  <c r="AA869" i="2"/>
  <c r="AA868" i="2"/>
  <c r="AA867" i="2"/>
  <c r="AA866" i="2"/>
  <c r="AA865" i="2"/>
  <c r="AA864" i="2"/>
  <c r="AA863" i="2"/>
  <c r="AA862" i="2"/>
  <c r="AA861" i="2"/>
  <c r="AA860" i="2"/>
  <c r="AA859" i="2"/>
  <c r="AA858" i="2"/>
  <c r="AA857" i="2"/>
  <c r="AA856" i="2"/>
  <c r="AA855" i="2"/>
  <c r="AA854" i="2"/>
  <c r="AA853" i="2"/>
  <c r="AA852" i="2"/>
  <c r="AA851" i="2"/>
  <c r="AA850" i="2"/>
  <c r="AA849" i="2"/>
  <c r="AA848" i="2"/>
  <c r="AA847" i="2"/>
  <c r="AA846" i="2"/>
  <c r="AA845" i="2"/>
  <c r="AA844" i="2"/>
  <c r="AA843" i="2"/>
  <c r="AA842" i="2"/>
  <c r="AA841" i="2"/>
  <c r="AA840" i="2"/>
  <c r="AA839" i="2"/>
  <c r="AA838" i="2"/>
  <c r="AA837" i="2"/>
  <c r="AA836" i="2"/>
  <c r="AA835" i="2"/>
  <c r="AA834" i="2"/>
  <c r="AA833" i="2"/>
  <c r="AA832" i="2"/>
  <c r="AA831" i="2"/>
  <c r="AA830" i="2"/>
  <c r="AA829" i="2"/>
  <c r="AA828" i="2"/>
  <c r="AA827" i="2"/>
  <c r="AA826" i="2"/>
  <c r="AA825" i="2"/>
  <c r="AA824" i="2"/>
  <c r="AA823" i="2"/>
  <c r="AA822" i="2"/>
  <c r="AA821" i="2"/>
  <c r="AA820" i="2"/>
  <c r="AA819" i="2"/>
  <c r="AA818" i="2"/>
  <c r="AA817" i="2"/>
  <c r="AA816" i="2"/>
  <c r="AA815" i="2"/>
  <c r="AA814" i="2"/>
  <c r="AA813" i="2"/>
  <c r="AA812" i="2"/>
  <c r="AA811" i="2"/>
  <c r="AA810" i="2"/>
  <c r="AA809" i="2"/>
  <c r="AA808" i="2"/>
  <c r="AA807" i="2"/>
  <c r="AA806" i="2"/>
  <c r="AA805" i="2"/>
  <c r="AA804" i="2"/>
  <c r="AA803" i="2"/>
  <c r="AA802" i="2"/>
  <c r="AA801" i="2"/>
  <c r="AA800" i="2"/>
  <c r="AA799" i="2"/>
  <c r="AA798" i="2"/>
  <c r="AA797" i="2"/>
  <c r="AA796" i="2"/>
  <c r="AA795" i="2"/>
  <c r="AA794" i="2"/>
  <c r="AA793" i="2"/>
  <c r="AA792" i="2"/>
  <c r="AA791" i="2"/>
  <c r="AA790" i="2"/>
  <c r="AA789" i="2"/>
  <c r="AA788" i="2"/>
  <c r="AA787" i="2"/>
  <c r="AA786" i="2"/>
  <c r="AA785" i="2"/>
  <c r="AA784" i="2"/>
  <c r="AA783" i="2"/>
  <c r="AA782" i="2"/>
  <c r="AA781" i="2"/>
  <c r="AA780" i="2"/>
  <c r="AA779" i="2"/>
  <c r="AA778" i="2"/>
  <c r="AA777" i="2"/>
  <c r="AA776" i="2"/>
  <c r="AA775" i="2"/>
  <c r="AA774" i="2"/>
  <c r="AA773" i="2"/>
  <c r="AA772" i="2"/>
  <c r="AA771" i="2"/>
  <c r="AA770" i="2"/>
  <c r="AA769" i="2"/>
  <c r="AA768" i="2"/>
  <c r="AA767" i="2"/>
  <c r="AA766" i="2"/>
  <c r="AA765" i="2"/>
  <c r="AA764" i="2"/>
  <c r="AA763" i="2"/>
  <c r="AA762" i="2"/>
  <c r="AA761" i="2"/>
  <c r="AA760" i="2"/>
  <c r="AA759" i="2"/>
  <c r="AA758" i="2"/>
  <c r="AA757" i="2"/>
  <c r="AA756" i="2"/>
  <c r="AA755" i="2"/>
  <c r="AA754" i="2"/>
  <c r="AA753" i="2"/>
  <c r="AA752" i="2"/>
  <c r="AA751" i="2"/>
  <c r="AA750" i="2"/>
  <c r="AA749" i="2"/>
  <c r="AA748" i="2"/>
  <c r="AA747" i="2"/>
  <c r="AA746" i="2"/>
  <c r="AA745" i="2"/>
  <c r="AA744" i="2"/>
  <c r="AA743" i="2"/>
  <c r="AA742" i="2"/>
  <c r="AA741" i="2"/>
  <c r="AA740" i="2"/>
  <c r="AA739" i="2"/>
  <c r="AA738" i="2"/>
  <c r="AA737" i="2"/>
  <c r="AA736" i="2"/>
  <c r="AA735" i="2"/>
  <c r="AA734" i="2"/>
  <c r="AA733" i="2"/>
  <c r="AA732" i="2"/>
  <c r="AA731" i="2"/>
  <c r="AA730" i="2"/>
  <c r="AA729" i="2"/>
  <c r="AA728" i="2"/>
  <c r="AA727" i="2"/>
  <c r="AA726" i="2"/>
  <c r="AA725" i="2"/>
  <c r="AA724" i="2"/>
  <c r="AA723" i="2"/>
  <c r="AA722" i="2"/>
  <c r="AA721" i="2"/>
  <c r="AA720" i="2"/>
  <c r="AA719" i="2"/>
  <c r="AA718" i="2"/>
  <c r="AA717" i="2"/>
  <c r="AA716" i="2"/>
  <c r="AA715" i="2"/>
  <c r="AA714" i="2"/>
  <c r="AA713" i="2"/>
  <c r="AA712" i="2"/>
  <c r="AA711" i="2"/>
  <c r="AA710" i="2"/>
  <c r="AA709" i="2"/>
  <c r="AA708" i="2"/>
  <c r="AA707" i="2"/>
  <c r="AA706" i="2"/>
  <c r="AA705" i="2"/>
  <c r="AA704" i="2"/>
  <c r="AA703" i="2"/>
  <c r="AA702" i="2"/>
  <c r="AA701" i="2"/>
  <c r="AA700" i="2"/>
  <c r="AA699" i="2"/>
  <c r="AA698" i="2"/>
  <c r="AA697" i="2"/>
  <c r="AA696" i="2"/>
  <c r="AA695" i="2"/>
  <c r="AA694" i="2"/>
  <c r="AA693" i="2"/>
  <c r="AA692" i="2"/>
  <c r="AA691" i="2"/>
  <c r="AA690" i="2"/>
  <c r="AA689" i="2"/>
  <c r="AA688" i="2"/>
  <c r="AA687" i="2"/>
  <c r="AA686" i="2"/>
  <c r="AA685" i="2"/>
  <c r="AA684" i="2"/>
  <c r="AA683" i="2"/>
  <c r="AA682" i="2"/>
  <c r="AA681" i="2"/>
  <c r="AA680" i="2"/>
  <c r="AA679" i="2"/>
  <c r="AA678" i="2"/>
  <c r="AA677" i="2"/>
  <c r="AA676" i="2"/>
  <c r="AA675" i="2"/>
  <c r="AA674" i="2"/>
  <c r="AA673" i="2"/>
  <c r="AA672" i="2"/>
  <c r="AA671" i="2"/>
  <c r="AA670" i="2"/>
  <c r="AA669" i="2"/>
  <c r="AA668" i="2"/>
  <c r="AA667" i="2"/>
  <c r="AA666" i="2"/>
  <c r="AA665" i="2"/>
  <c r="AA664" i="2"/>
  <c r="AA663" i="2"/>
  <c r="AA662" i="2"/>
  <c r="AA661" i="2"/>
  <c r="AA660" i="2"/>
  <c r="AA659" i="2"/>
  <c r="AA658" i="2"/>
  <c r="AA657" i="2"/>
  <c r="AA656" i="2"/>
  <c r="AA655" i="2"/>
  <c r="AA654" i="2"/>
  <c r="AA653" i="2"/>
  <c r="AA652" i="2"/>
  <c r="AA651" i="2"/>
  <c r="AA650" i="2"/>
  <c r="AA649" i="2"/>
  <c r="AA648" i="2"/>
  <c r="AA647" i="2"/>
  <c r="AA646" i="2"/>
  <c r="AA645" i="2"/>
  <c r="AA644" i="2"/>
  <c r="AA643" i="2"/>
  <c r="AA642" i="2"/>
  <c r="AA641" i="2"/>
  <c r="AA640" i="2"/>
  <c r="AA639" i="2"/>
  <c r="AA638" i="2"/>
  <c r="AA637" i="2"/>
  <c r="AA636" i="2"/>
  <c r="AA635" i="2"/>
  <c r="AA634" i="2"/>
  <c r="AA633" i="2"/>
  <c r="AA632" i="2"/>
  <c r="AA631" i="2"/>
  <c r="AA630" i="2"/>
  <c r="AA629" i="2"/>
  <c r="AA628" i="2"/>
  <c r="AA627" i="2"/>
  <c r="AA626" i="2"/>
  <c r="AA625" i="2"/>
  <c r="AA624" i="2"/>
  <c r="AA623" i="2"/>
  <c r="AA622" i="2"/>
  <c r="AA621" i="2"/>
  <c r="AA620" i="2"/>
  <c r="AA619" i="2"/>
  <c r="AA618" i="2"/>
  <c r="AA617" i="2"/>
  <c r="AA616" i="2"/>
  <c r="AA615" i="2"/>
  <c r="AA614" i="2"/>
  <c r="AA613" i="2"/>
  <c r="AA612" i="2"/>
  <c r="AA611" i="2"/>
  <c r="AA610" i="2"/>
  <c r="AA609" i="2"/>
  <c r="AA608" i="2"/>
  <c r="AA607" i="2"/>
  <c r="AA606" i="2"/>
  <c r="AA605" i="2"/>
  <c r="AA604" i="2"/>
  <c r="AA603" i="2"/>
  <c r="AA602" i="2"/>
  <c r="AA601" i="2"/>
  <c r="AA600" i="2"/>
  <c r="AA599" i="2"/>
  <c r="AA598" i="2"/>
  <c r="AA597" i="2"/>
  <c r="AA596" i="2"/>
  <c r="AA595" i="2"/>
  <c r="AA594" i="2"/>
  <c r="AA593" i="2"/>
  <c r="AA592" i="2"/>
  <c r="AA591" i="2"/>
  <c r="AA590" i="2"/>
  <c r="AA589" i="2"/>
  <c r="AA588" i="2"/>
  <c r="AA587" i="2"/>
  <c r="AA586" i="2"/>
  <c r="AA585" i="2"/>
  <c r="AA584" i="2"/>
  <c r="AA583" i="2"/>
  <c r="AA582" i="2"/>
  <c r="AA581" i="2"/>
  <c r="AA580" i="2"/>
  <c r="AA579" i="2"/>
  <c r="AA578" i="2"/>
  <c r="AA577" i="2"/>
  <c r="AA576" i="2"/>
  <c r="AA575" i="2"/>
  <c r="AA574" i="2"/>
  <c r="AA573" i="2"/>
  <c r="AA572" i="2"/>
  <c r="AA571" i="2"/>
  <c r="AA570" i="2"/>
  <c r="AA569" i="2"/>
  <c r="AA568" i="2"/>
  <c r="AA567" i="2"/>
  <c r="AA566" i="2"/>
  <c r="AA565" i="2"/>
  <c r="AA564" i="2"/>
  <c r="AA563" i="2"/>
  <c r="AA562" i="2"/>
  <c r="AA561" i="2"/>
  <c r="AA560" i="2"/>
  <c r="AA559" i="2"/>
  <c r="AA558" i="2"/>
  <c r="AA557" i="2"/>
  <c r="AA556" i="2"/>
  <c r="AA555" i="2"/>
  <c r="AA554" i="2"/>
  <c r="AA553" i="2"/>
  <c r="AA552" i="2"/>
  <c r="AA551" i="2"/>
  <c r="AA550" i="2"/>
  <c r="AA549" i="2"/>
  <c r="AA548" i="2"/>
  <c r="AA547" i="2"/>
  <c r="AA546" i="2"/>
  <c r="AA545" i="2"/>
  <c r="AA544" i="2"/>
  <c r="AA543" i="2"/>
  <c r="AA542" i="2"/>
  <c r="AA541" i="2"/>
  <c r="AA540" i="2"/>
  <c r="AA539" i="2"/>
  <c r="AA538" i="2"/>
  <c r="AA537" i="2"/>
  <c r="AA536" i="2"/>
  <c r="AA535" i="2"/>
  <c r="AA534" i="2"/>
  <c r="AA533" i="2"/>
  <c r="AA532" i="2"/>
  <c r="AA531" i="2"/>
  <c r="AA530" i="2"/>
  <c r="AA529" i="2"/>
  <c r="AA528" i="2"/>
  <c r="AA527" i="2"/>
  <c r="AA526" i="2"/>
  <c r="AA525" i="2"/>
  <c r="AA524" i="2"/>
  <c r="AA523" i="2"/>
  <c r="AA522" i="2"/>
  <c r="AA521" i="2"/>
  <c r="AA520" i="2"/>
  <c r="AA519" i="2"/>
  <c r="AA518" i="2"/>
  <c r="AA517" i="2"/>
  <c r="AA516" i="2"/>
  <c r="AA515" i="2"/>
  <c r="AA514" i="2"/>
  <c r="AA513" i="2"/>
  <c r="AA512" i="2"/>
  <c r="AA511" i="2"/>
  <c r="AA510" i="2"/>
  <c r="AA509" i="2"/>
  <c r="AA508" i="2"/>
  <c r="AA507" i="2"/>
  <c r="AA506" i="2"/>
  <c r="AA505" i="2"/>
  <c r="AA504" i="2"/>
  <c r="AA503" i="2"/>
  <c r="AA502" i="2"/>
  <c r="AA501" i="2"/>
  <c r="AA500" i="2"/>
  <c r="AA499" i="2"/>
  <c r="AA498" i="2"/>
  <c r="AA497" i="2"/>
  <c r="AA496" i="2"/>
  <c r="AA495" i="2"/>
  <c r="AA494" i="2"/>
  <c r="AA493" i="2"/>
  <c r="AA492" i="2"/>
  <c r="AA491" i="2"/>
  <c r="AA490" i="2"/>
  <c r="AA489" i="2"/>
  <c r="AA488" i="2"/>
  <c r="AA487" i="2"/>
  <c r="AA486" i="2"/>
  <c r="AA485" i="2"/>
  <c r="AA484" i="2"/>
  <c r="AA483" i="2"/>
  <c r="AA482" i="2"/>
  <c r="AA481" i="2"/>
  <c r="AA480" i="2"/>
  <c r="AA479" i="2"/>
  <c r="AA478" i="2"/>
  <c r="AA477" i="2"/>
  <c r="AA476" i="2"/>
  <c r="AA475" i="2"/>
  <c r="AA474" i="2"/>
  <c r="AA473" i="2"/>
  <c r="AA472" i="2"/>
  <c r="AA471" i="2"/>
  <c r="AA470" i="2"/>
  <c r="AA469" i="2"/>
  <c r="AA468" i="2"/>
  <c r="AA467" i="2"/>
  <c r="AA466" i="2"/>
  <c r="AA465" i="2"/>
  <c r="AA464" i="2"/>
  <c r="AA463" i="2"/>
  <c r="AA462" i="2"/>
  <c r="AA461" i="2"/>
  <c r="AA460" i="2"/>
  <c r="AA459" i="2"/>
  <c r="AA458" i="2"/>
  <c r="AA457" i="2"/>
  <c r="AA456" i="2"/>
  <c r="AA455" i="2"/>
  <c r="AA454" i="2"/>
  <c r="AA453" i="2"/>
  <c r="AA452" i="2"/>
  <c r="AA451" i="2"/>
  <c r="AA450" i="2"/>
  <c r="AA449" i="2"/>
  <c r="AA448" i="2"/>
  <c r="AA447" i="2"/>
  <c r="AA446" i="2"/>
  <c r="AA445" i="2"/>
  <c r="AA444" i="2"/>
  <c r="AA443" i="2"/>
  <c r="AA442" i="2"/>
  <c r="AA441" i="2"/>
  <c r="AA440" i="2"/>
  <c r="AA439" i="2"/>
  <c r="AA438" i="2"/>
  <c r="AA437" i="2"/>
  <c r="AA436" i="2"/>
  <c r="AA435" i="2"/>
  <c r="AA434" i="2"/>
  <c r="AA433" i="2"/>
  <c r="AA432" i="2"/>
  <c r="AA431" i="2"/>
  <c r="AA430" i="2"/>
  <c r="AA429" i="2"/>
  <c r="AA428" i="2"/>
  <c r="AA427" i="2"/>
  <c r="AA426" i="2"/>
  <c r="AA425" i="2"/>
  <c r="AA424" i="2"/>
  <c r="AA423" i="2"/>
  <c r="AA422" i="2"/>
  <c r="AA421" i="2"/>
  <c r="AA420" i="2"/>
  <c r="AA419" i="2"/>
  <c r="AA418" i="2"/>
  <c r="AA417" i="2"/>
  <c r="AA416" i="2"/>
  <c r="AA415" i="2"/>
  <c r="AA414" i="2"/>
  <c r="AA413" i="2"/>
  <c r="AA412" i="2"/>
  <c r="AA411" i="2"/>
  <c r="AA410" i="2"/>
  <c r="AA409" i="2"/>
  <c r="AA408" i="2"/>
  <c r="AA407" i="2"/>
  <c r="AA406" i="2"/>
  <c r="AA405" i="2"/>
  <c r="AA404" i="2"/>
  <c r="AA403" i="2"/>
  <c r="AA402" i="2"/>
  <c r="AA401" i="2"/>
  <c r="AA400" i="2"/>
  <c r="AA399" i="2"/>
  <c r="AA398" i="2"/>
  <c r="AA397" i="2"/>
  <c r="AA396" i="2"/>
  <c r="AA395" i="2"/>
  <c r="AA394" i="2"/>
  <c r="AA393" i="2"/>
  <c r="AA392" i="2"/>
  <c r="AA391" i="2"/>
  <c r="AA390" i="2"/>
  <c r="AA389" i="2"/>
  <c r="AA388" i="2"/>
  <c r="AA387" i="2"/>
  <c r="AA386" i="2"/>
  <c r="AA385" i="2"/>
  <c r="AA384" i="2"/>
  <c r="AA383" i="2"/>
  <c r="AA382" i="2"/>
  <c r="AA381" i="2"/>
  <c r="AA380" i="2"/>
  <c r="AA379" i="2"/>
  <c r="AA378" i="2"/>
  <c r="AA377" i="2"/>
  <c r="AA376" i="2"/>
  <c r="AA375" i="2"/>
  <c r="AA374" i="2"/>
  <c r="AA373" i="2"/>
  <c r="AA372" i="2"/>
  <c r="AA371" i="2"/>
  <c r="AA370" i="2"/>
  <c r="AA369" i="2"/>
  <c r="AA368" i="2"/>
  <c r="AA367" i="2"/>
  <c r="AA366" i="2"/>
  <c r="AA365" i="2"/>
  <c r="AA364" i="2"/>
  <c r="AA363" i="2"/>
  <c r="AA362" i="2"/>
  <c r="AA361" i="2"/>
  <c r="AA360" i="2"/>
  <c r="AA359" i="2"/>
  <c r="AA358" i="2"/>
  <c r="AA357" i="2"/>
  <c r="AA356" i="2"/>
  <c r="AA355" i="2"/>
  <c r="AA354" i="2"/>
  <c r="AA353" i="2"/>
  <c r="AA352" i="2"/>
  <c r="AA351" i="2"/>
  <c r="AA350" i="2"/>
  <c r="AA349" i="2"/>
  <c r="AA348" i="2"/>
  <c r="AA347" i="2"/>
  <c r="AA346" i="2"/>
  <c r="AA345" i="2"/>
  <c r="AA344" i="2"/>
  <c r="AA343" i="2"/>
  <c r="AA342" i="2"/>
  <c r="AA341" i="2"/>
  <c r="AA340" i="2"/>
  <c r="AA339" i="2"/>
  <c r="AA338" i="2"/>
  <c r="AA337" i="2"/>
  <c r="AA336" i="2"/>
  <c r="AA335" i="2"/>
  <c r="AA334" i="2"/>
  <c r="AA333" i="2"/>
  <c r="AA332" i="2"/>
  <c r="AA331" i="2"/>
  <c r="AA330" i="2"/>
  <c r="AA329" i="2"/>
  <c r="AA328" i="2"/>
  <c r="AA327" i="2"/>
  <c r="AA326" i="2"/>
  <c r="AA325" i="2"/>
  <c r="AA324" i="2"/>
  <c r="AA323" i="2"/>
  <c r="AA322" i="2"/>
  <c r="AA321" i="2"/>
  <c r="AA320" i="2"/>
  <c r="AA319" i="2"/>
  <c r="AA318" i="2"/>
  <c r="AA317" i="2"/>
  <c r="AA316" i="2"/>
  <c r="AA315" i="2"/>
  <c r="AA314" i="2"/>
  <c r="AA313" i="2"/>
  <c r="AA312" i="2"/>
  <c r="AA311" i="2"/>
  <c r="AA310" i="2"/>
  <c r="AA309" i="2"/>
  <c r="AA308" i="2"/>
  <c r="AA307" i="2"/>
  <c r="AA306" i="2"/>
  <c r="AA305" i="2"/>
  <c r="AA304" i="2"/>
  <c r="AA303" i="2"/>
  <c r="AA302" i="2"/>
  <c r="AA301" i="2"/>
  <c r="AA300" i="2"/>
  <c r="AA298" i="2"/>
  <c r="AA299" i="2"/>
  <c r="AA297" i="2"/>
  <c r="AA296" i="2"/>
  <c r="AA295" i="2"/>
  <c r="AA294" i="2"/>
  <c r="AA293" i="2"/>
  <c r="AA292" i="2"/>
  <c r="AA291" i="2"/>
  <c r="AA290" i="2"/>
  <c r="AA289" i="2"/>
  <c r="AA288" i="2"/>
  <c r="AA287" i="2"/>
  <c r="AA286" i="2"/>
  <c r="AA285" i="2"/>
  <c r="AA284" i="2"/>
  <c r="AA283" i="2"/>
  <c r="AA282" i="2"/>
  <c r="AA281" i="2"/>
  <c r="AA280" i="2"/>
  <c r="AA279" i="2"/>
  <c r="AA278" i="2"/>
  <c r="AA277" i="2"/>
  <c r="AA276" i="2"/>
  <c r="AA275" i="2"/>
  <c r="AA274" i="2"/>
  <c r="AA273" i="2"/>
  <c r="AA272" i="2"/>
  <c r="AA271" i="2"/>
  <c r="AA270" i="2"/>
  <c r="AA269" i="2"/>
  <c r="AA268" i="2"/>
  <c r="AA267" i="2"/>
  <c r="AA266" i="2"/>
  <c r="AA265" i="2"/>
  <c r="AA264" i="2"/>
  <c r="AA263" i="2"/>
  <c r="AA262" i="2"/>
  <c r="AA261" i="2"/>
  <c r="AA260" i="2"/>
  <c r="AA259" i="2"/>
  <c r="AA258" i="2"/>
  <c r="AA257" i="2"/>
  <c r="AA256" i="2"/>
  <c r="AA255" i="2"/>
  <c r="AA254" i="2"/>
  <c r="AA253" i="2"/>
  <c r="AA252" i="2"/>
  <c r="AA251" i="2"/>
  <c r="AA250" i="2"/>
  <c r="AA249" i="2"/>
  <c r="AA248" i="2"/>
  <c r="AA247" i="2"/>
  <c r="AA246" i="2"/>
  <c r="AA245" i="2"/>
  <c r="AA244" i="2"/>
  <c r="AA243" i="2"/>
  <c r="AA242" i="2"/>
  <c r="AA241" i="2"/>
  <c r="AA240" i="2"/>
  <c r="AA239" i="2"/>
  <c r="AA238" i="2"/>
  <c r="AA237" i="2"/>
  <c r="AA236" i="2"/>
  <c r="AA235" i="2"/>
  <c r="AA234" i="2"/>
  <c r="AA233" i="2"/>
  <c r="AA232" i="2"/>
  <c r="AA231" i="2"/>
  <c r="AA230" i="2"/>
  <c r="AA229" i="2"/>
  <c r="AA228" i="2"/>
  <c r="AA227" i="2"/>
  <c r="AA226" i="2"/>
  <c r="AA225" i="2"/>
  <c r="AA224" i="2"/>
  <c r="AA223" i="2"/>
  <c r="AA222" i="2"/>
  <c r="AA221" i="2"/>
  <c r="AA220" i="2"/>
  <c r="AA219" i="2"/>
  <c r="AA218" i="2"/>
  <c r="AA217" i="2"/>
  <c r="AA216" i="2"/>
  <c r="AA215" i="2"/>
  <c r="AA214" i="2"/>
  <c r="AA213" i="2"/>
  <c r="AA212" i="2"/>
  <c r="AA211" i="2"/>
  <c r="AA210" i="2"/>
  <c r="AA209" i="2"/>
  <c r="AA208" i="2"/>
  <c r="AA207" i="2"/>
  <c r="AA206" i="2"/>
  <c r="AA205" i="2"/>
  <c r="AA204" i="2"/>
  <c r="AA203" i="2"/>
  <c r="AA202" i="2"/>
  <c r="AA201" i="2"/>
  <c r="AA200" i="2"/>
  <c r="AA199" i="2"/>
  <c r="AA198" i="2"/>
  <c r="AA197" i="2"/>
  <c r="AA196" i="2"/>
  <c r="AA195" i="2"/>
  <c r="AA194" i="2"/>
  <c r="AA193" i="2"/>
  <c r="AA192" i="2"/>
  <c r="AA191" i="2"/>
  <c r="AA190" i="2"/>
  <c r="AA189" i="2"/>
  <c r="AA188" i="2"/>
  <c r="AA187" i="2"/>
  <c r="AA186" i="2"/>
  <c r="AA185" i="2"/>
  <c r="AA184" i="2"/>
  <c r="AA183" i="2"/>
  <c r="AA182" i="2"/>
  <c r="AA181" i="2"/>
  <c r="AA180" i="2"/>
  <c r="AA179" i="2"/>
  <c r="AA178" i="2"/>
  <c r="AA177" i="2"/>
  <c r="AA176" i="2"/>
  <c r="AA175" i="2"/>
  <c r="AA174" i="2"/>
  <c r="AA173" i="2"/>
  <c r="AA172" i="2"/>
  <c r="AA171" i="2"/>
  <c r="AA170" i="2"/>
  <c r="AA169" i="2"/>
  <c r="AA168" i="2"/>
  <c r="AA167" i="2"/>
  <c r="AA166" i="2"/>
  <c r="AA165" i="2"/>
  <c r="AA164" i="2"/>
  <c r="AA163" i="2"/>
  <c r="AA162" i="2"/>
  <c r="AA161" i="2"/>
  <c r="AA160" i="2"/>
  <c r="AA159" i="2"/>
  <c r="AA158" i="2"/>
  <c r="AA157" i="2"/>
  <c r="AA156" i="2"/>
  <c r="AA155" i="2"/>
  <c r="AA154" i="2"/>
  <c r="AA153" i="2"/>
  <c r="AA152" i="2"/>
  <c r="AA151" i="2"/>
  <c r="AA150" i="2"/>
  <c r="AA149" i="2"/>
  <c r="AA148" i="2"/>
  <c r="AA147" i="2"/>
  <c r="AA146" i="2"/>
  <c r="AA145" i="2"/>
  <c r="AA144" i="2"/>
  <c r="AA143" i="2"/>
  <c r="AA142" i="2"/>
  <c r="AA141" i="2"/>
  <c r="AA140" i="2"/>
  <c r="AA139" i="2"/>
  <c r="AA138" i="2"/>
  <c r="AA137" i="2"/>
  <c r="AA136" i="2"/>
  <c r="AA135" i="2"/>
  <c r="AA134" i="2"/>
  <c r="AA133" i="2"/>
  <c r="AA132" i="2"/>
  <c r="AA131" i="2"/>
  <c r="AA130" i="2"/>
  <c r="AA129" i="2"/>
  <c r="AA128" i="2"/>
  <c r="AA127" i="2"/>
  <c r="AA126" i="2"/>
  <c r="AA125" i="2"/>
  <c r="AA124" i="2"/>
  <c r="AA123" i="2"/>
  <c r="AA122" i="2"/>
  <c r="AA121" i="2"/>
  <c r="AA120" i="2"/>
  <c r="AA119" i="2"/>
  <c r="AA118" i="2"/>
  <c r="AA117" i="2"/>
  <c r="AA116" i="2"/>
  <c r="AA115" i="2"/>
  <c r="AA114" i="2"/>
  <c r="AA113" i="2"/>
  <c r="AA112" i="2"/>
  <c r="AA111" i="2"/>
  <c r="AA110" i="2"/>
  <c r="AA109" i="2"/>
  <c r="AA108" i="2"/>
  <c r="AA107" i="2"/>
  <c r="AA106" i="2"/>
  <c r="AA105" i="2"/>
  <c r="AA104" i="2"/>
  <c r="AA103" i="2"/>
  <c r="AA102" i="2"/>
  <c r="AA101" i="2"/>
  <c r="AA100" i="2"/>
  <c r="AA99" i="2"/>
  <c r="AA98" i="2"/>
  <c r="AA97" i="2"/>
  <c r="AA96" i="2"/>
  <c r="AA95" i="2"/>
  <c r="AA94" i="2"/>
  <c r="AA93" i="2"/>
  <c r="AA92" i="2"/>
  <c r="AA91" i="2"/>
  <c r="AA90" i="2"/>
  <c r="AA89" i="2"/>
  <c r="AA88" i="2"/>
  <c r="AA87" i="2"/>
  <c r="AA86" i="2"/>
  <c r="AA85" i="2"/>
  <c r="AA84" i="2"/>
  <c r="AA83" i="2"/>
  <c r="AA82" i="2"/>
  <c r="AA81" i="2"/>
  <c r="AA80" i="2"/>
  <c r="AA79" i="2"/>
  <c r="AA78" i="2"/>
  <c r="AA77" i="2"/>
  <c r="AA76" i="2"/>
  <c r="AA75" i="2"/>
  <c r="AA74" i="2"/>
  <c r="AA73" i="2"/>
  <c r="AA72" i="2"/>
  <c r="AA71" i="2"/>
  <c r="AA70" i="2"/>
  <c r="AA69" i="2"/>
  <c r="AA68" i="2"/>
  <c r="AA67" i="2"/>
  <c r="AA66" i="2"/>
  <c r="AA65" i="2"/>
  <c r="AA64" i="2"/>
  <c r="AA63" i="2"/>
  <c r="AA62" i="2"/>
  <c r="AA61" i="2"/>
  <c r="AA60" i="2"/>
  <c r="AA59" i="2"/>
  <c r="AA58" i="2"/>
  <c r="AA57" i="2"/>
  <c r="AA56" i="2"/>
  <c r="AA55" i="2"/>
  <c r="AA54"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A28" i="2"/>
  <c r="AA27" i="2"/>
  <c r="AA26" i="2"/>
  <c r="AA25" i="2"/>
  <c r="AA24" i="2"/>
  <c r="AA23" i="2"/>
  <c r="AA22" i="2"/>
  <c r="AA21" i="2"/>
  <c r="AA20" i="2"/>
  <c r="AA19" i="2"/>
  <c r="AA18" i="2"/>
  <c r="AA17" i="2"/>
  <c r="AA16" i="2"/>
  <c r="AA15" i="2"/>
  <c r="AA14" i="2"/>
  <c r="AA13" i="2"/>
  <c r="AA12" i="2"/>
  <c r="AA11" i="2"/>
  <c r="AA10" i="2"/>
  <c r="AA9" i="2"/>
  <c r="AA8" i="2"/>
  <c r="AB1113" i="2"/>
  <c r="AB1109" i="2"/>
  <c r="AB1108" i="2"/>
  <c r="AB1107"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3" i="2"/>
  <c r="AB1052" i="2"/>
  <c r="AB1051" i="2"/>
  <c r="AB1050" i="2"/>
  <c r="AB1049" i="2"/>
  <c r="AB1048" i="2"/>
  <c r="AB1047" i="2"/>
  <c r="AB1046" i="2"/>
  <c r="AB1045" i="2"/>
  <c r="AB1044" i="2"/>
  <c r="AB1043" i="2"/>
  <c r="AB1042" i="2"/>
  <c r="AB1041" i="2"/>
  <c r="AB1040" i="2"/>
  <c r="AB1038" i="2"/>
  <c r="AB1036" i="2"/>
  <c r="AB1035" i="2"/>
  <c r="AB1034" i="2"/>
  <c r="AB1033" i="2"/>
  <c r="AB1032" i="2"/>
  <c r="AB1031" i="2"/>
  <c r="AB1030" i="2"/>
  <c r="AB1029" i="2"/>
  <c r="AB1028" i="2"/>
  <c r="AB1027" i="2"/>
  <c r="AB1026" i="2"/>
  <c r="AB1025" i="2"/>
  <c r="AB1023"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8" i="2"/>
  <c r="AB299"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AB14" i="2"/>
  <c r="AB13" i="2"/>
  <c r="AB12" i="2"/>
  <c r="AB11" i="2"/>
  <c r="AB10" i="2"/>
  <c r="AB9" i="2"/>
  <c r="AB8" i="2"/>
  <c r="A8" i="7"/>
  <c r="A9" i="7" s="1"/>
  <c r="A10" i="7" s="1"/>
  <c r="A11" i="7" s="1"/>
  <c r="A12" i="7" s="1"/>
  <c r="A13" i="7" s="1"/>
  <c r="A14" i="7" s="1"/>
  <c r="A15" i="7" s="1"/>
  <c r="A16" i="7" s="1"/>
  <c r="A17" i="7" s="1"/>
  <c r="A18" i="7" s="1"/>
  <c r="A19" i="7" s="1"/>
  <c r="A20" i="7" s="1"/>
  <c r="A21" i="7" s="1"/>
  <c r="A22" i="7" s="1"/>
  <c r="A23" i="7" s="1"/>
  <c r="A24" i="7" s="1"/>
  <c r="A25" i="7" s="1"/>
  <c r="A26" i="7" s="1"/>
  <c r="A27" i="7" s="1"/>
  <c r="A28" i="7" s="1"/>
  <c r="A29" i="7" s="1"/>
  <c r="O8" i="2"/>
  <c r="O9" i="2"/>
  <c r="O10" i="2"/>
  <c r="O11" i="2"/>
  <c r="M11" i="2" s="1"/>
  <c r="AD11" i="2" s="1"/>
  <c r="O12" i="2"/>
  <c r="M12" i="2" s="1"/>
  <c r="AD12" i="2" s="1"/>
  <c r="O13" i="2"/>
  <c r="O14" i="2"/>
  <c r="M14" i="2" s="1"/>
  <c r="AD14" i="2" s="1"/>
  <c r="O15" i="2"/>
  <c r="M15" i="2" s="1"/>
  <c r="AD15" i="2" s="1"/>
  <c r="O16" i="2"/>
  <c r="M16" i="2" s="1"/>
  <c r="AD16" i="2" s="1"/>
  <c r="O17" i="2"/>
  <c r="O18" i="2"/>
  <c r="M18" i="2" s="1"/>
  <c r="AD18" i="2" s="1"/>
  <c r="O19" i="2"/>
  <c r="O20" i="2"/>
  <c r="M20" i="2" s="1"/>
  <c r="AD20" i="2" s="1"/>
  <c r="O21" i="2"/>
  <c r="O22" i="2"/>
  <c r="M22" i="2" s="1"/>
  <c r="AD22" i="2" s="1"/>
  <c r="O23" i="2"/>
  <c r="O24" i="2"/>
  <c r="O25" i="2"/>
  <c r="Q25" i="2" s="1"/>
  <c r="O26" i="2"/>
  <c r="M26" i="2" s="1"/>
  <c r="AD26" i="2" s="1"/>
  <c r="O27" i="2"/>
  <c r="M27" i="2" s="1"/>
  <c r="AD27" i="2" s="1"/>
  <c r="O28" i="2"/>
  <c r="M28" i="2" s="1"/>
  <c r="AD28" i="2" s="1"/>
  <c r="O29" i="2"/>
  <c r="O30" i="2"/>
  <c r="M30" i="2" s="1"/>
  <c r="AD30" i="2" s="1"/>
  <c r="O31" i="2"/>
  <c r="O32" i="2"/>
  <c r="M32" i="2" s="1"/>
  <c r="AD32" i="2" s="1"/>
  <c r="O33" i="2"/>
  <c r="Q33" i="2" s="1"/>
  <c r="O34" i="2"/>
  <c r="O35" i="2"/>
  <c r="O36" i="2"/>
  <c r="M36" i="2" s="1"/>
  <c r="AD36" i="2" s="1"/>
  <c r="O37" i="2"/>
  <c r="M37" i="2" s="1"/>
  <c r="AD37" i="2" s="1"/>
  <c r="O38" i="2"/>
  <c r="O39" i="2"/>
  <c r="M39" i="2" s="1"/>
  <c r="AD39" i="2" s="1"/>
  <c r="O40" i="2"/>
  <c r="M40" i="2" s="1"/>
  <c r="AD40" i="2" s="1"/>
  <c r="O41" i="2"/>
  <c r="M41" i="2" s="1"/>
  <c r="AD41" i="2" s="1"/>
  <c r="O42" i="2"/>
  <c r="Q42" i="2" s="1"/>
  <c r="O43" i="2"/>
  <c r="M43" i="2" s="1"/>
  <c r="AD43" i="2" s="1"/>
  <c r="O44" i="2"/>
  <c r="M44" i="2" s="1"/>
  <c r="AD44" i="2" s="1"/>
  <c r="O45" i="2"/>
  <c r="O46" i="2"/>
  <c r="M46" i="2" s="1"/>
  <c r="AD46" i="2" s="1"/>
  <c r="O47" i="2"/>
  <c r="M47" i="2" s="1"/>
  <c r="AD47" i="2" s="1"/>
  <c r="O48" i="2"/>
  <c r="Q48" i="2" s="1"/>
  <c r="O49" i="2"/>
  <c r="M49" i="2" s="1"/>
  <c r="AD49" i="2" s="1"/>
  <c r="O50" i="2"/>
  <c r="Q50" i="2" s="1"/>
  <c r="O51" i="2"/>
  <c r="O52" i="2"/>
  <c r="Q52" i="2" s="1"/>
  <c r="O53" i="2"/>
  <c r="M53" i="2" s="1"/>
  <c r="AD53" i="2" s="1"/>
  <c r="O54" i="2"/>
  <c r="O55" i="2"/>
  <c r="O56" i="2"/>
  <c r="M56" i="2" s="1"/>
  <c r="AD56" i="2" s="1"/>
  <c r="O57" i="2"/>
  <c r="M57" i="2" s="1"/>
  <c r="AD57" i="2" s="1"/>
  <c r="O58" i="2"/>
  <c r="M58" i="2" s="1"/>
  <c r="AD58" i="2" s="1"/>
  <c r="O59" i="2"/>
  <c r="Q59" i="2" s="1"/>
  <c r="O60" i="2"/>
  <c r="M60" i="2" s="1"/>
  <c r="AD60" i="2" s="1"/>
  <c r="O61" i="2"/>
  <c r="O62" i="2"/>
  <c r="M62" i="2" s="1"/>
  <c r="AD62" i="2" s="1"/>
  <c r="O63" i="2"/>
  <c r="M63" i="2" s="1"/>
  <c r="AD63" i="2" s="1"/>
  <c r="O64" i="2"/>
  <c r="Q64" i="2" s="1"/>
  <c r="O65" i="2"/>
  <c r="Q65" i="2" s="1"/>
  <c r="O66" i="2"/>
  <c r="O67" i="2"/>
  <c r="M67" i="2" s="1"/>
  <c r="AD67" i="2" s="1"/>
  <c r="O68" i="2"/>
  <c r="M68" i="2" s="1"/>
  <c r="AD68" i="2" s="1"/>
  <c r="O69" i="2"/>
  <c r="M69" i="2" s="1"/>
  <c r="AD69" i="2" s="1"/>
  <c r="O70" i="2"/>
  <c r="O71" i="2"/>
  <c r="Q71" i="2" s="1"/>
  <c r="O72" i="2"/>
  <c r="M72" i="2" s="1"/>
  <c r="AD72" i="2" s="1"/>
  <c r="O73" i="2"/>
  <c r="O74" i="2"/>
  <c r="O75" i="2"/>
  <c r="M75" i="2" s="1"/>
  <c r="AD75" i="2" s="1"/>
  <c r="O76" i="2"/>
  <c r="M76" i="2" s="1"/>
  <c r="AD76" i="2" s="1"/>
  <c r="O77" i="2"/>
  <c r="Q77" i="2" s="1"/>
  <c r="O78" i="2"/>
  <c r="M78" i="2" s="1"/>
  <c r="AD78" i="2" s="1"/>
  <c r="O79" i="2"/>
  <c r="M79" i="2" s="1"/>
  <c r="AD79" i="2" s="1"/>
  <c r="O80" i="2"/>
  <c r="O81" i="2"/>
  <c r="O82" i="2"/>
  <c r="Q82" i="2" s="1"/>
  <c r="O83" i="2"/>
  <c r="O84" i="2"/>
  <c r="O85" i="2"/>
  <c r="Q85" i="2" s="1"/>
  <c r="O86" i="2"/>
  <c r="Q86" i="2" s="1"/>
  <c r="O87" i="2"/>
  <c r="O88" i="2"/>
  <c r="M88" i="2" s="1"/>
  <c r="AD88" i="2" s="1"/>
  <c r="O89" i="2"/>
  <c r="O90" i="2"/>
  <c r="M90" i="2" s="1"/>
  <c r="AD90" i="2" s="1"/>
  <c r="O91" i="2"/>
  <c r="M91" i="2" s="1"/>
  <c r="AD91" i="2" s="1"/>
  <c r="O92" i="2"/>
  <c r="M92" i="2" s="1"/>
  <c r="AD92" i="2" s="1"/>
  <c r="O93" i="2"/>
  <c r="Q93" i="2" s="1"/>
  <c r="O94" i="2"/>
  <c r="O95" i="2"/>
  <c r="M95" i="2" s="1"/>
  <c r="AD95" i="2" s="1"/>
  <c r="O96" i="2"/>
  <c r="Q96" i="2" s="1"/>
  <c r="O97" i="2"/>
  <c r="Q97" i="2" s="1"/>
  <c r="O98" i="2"/>
  <c r="O99" i="2"/>
  <c r="M99" i="2" s="1"/>
  <c r="AD99" i="2" s="1"/>
  <c r="O100" i="2"/>
  <c r="M100" i="2" s="1"/>
  <c r="AD100" i="2" s="1"/>
  <c r="O101" i="2"/>
  <c r="Q101" i="2" s="1"/>
  <c r="O102" i="2"/>
  <c r="Q102" i="2" s="1"/>
  <c r="O103" i="2"/>
  <c r="M103" i="2" s="1"/>
  <c r="AD103" i="2" s="1"/>
  <c r="O104" i="2"/>
  <c r="M104" i="2" s="1"/>
  <c r="AD104" i="2" s="1"/>
  <c r="O105" i="2"/>
  <c r="M105" i="2" s="1"/>
  <c r="AD105" i="2" s="1"/>
  <c r="O106" i="2"/>
  <c r="Q106" i="2" s="1"/>
  <c r="O107" i="2"/>
  <c r="M107" i="2" s="1"/>
  <c r="AD107" i="2" s="1"/>
  <c r="O108" i="2"/>
  <c r="M108" i="2" s="1"/>
  <c r="AD108" i="2" s="1"/>
  <c r="O109" i="2"/>
  <c r="Q109" i="2" s="1"/>
  <c r="O110" i="2"/>
  <c r="M110" i="2" s="1"/>
  <c r="AD110" i="2" s="1"/>
  <c r="O111" i="2"/>
  <c r="M111" i="2" s="1"/>
  <c r="AD111" i="2" s="1"/>
  <c r="O112" i="2"/>
  <c r="M112" i="2" s="1"/>
  <c r="AD112" i="2" s="1"/>
  <c r="O113" i="2"/>
  <c r="M113" i="2" s="1"/>
  <c r="AD113" i="2" s="1"/>
  <c r="O114" i="2"/>
  <c r="O115" i="2"/>
  <c r="M115" i="2" s="1"/>
  <c r="AD115" i="2" s="1"/>
  <c r="O116" i="2"/>
  <c r="O117" i="2"/>
  <c r="Q117" i="2" s="1"/>
  <c r="O118" i="2"/>
  <c r="O119" i="2"/>
  <c r="M119" i="2" s="1"/>
  <c r="AD119" i="2" s="1"/>
  <c r="O120" i="2"/>
  <c r="O121" i="2"/>
  <c r="Q121" i="2" s="1"/>
  <c r="O122" i="2"/>
  <c r="Q122" i="2" s="1"/>
  <c r="O123" i="2"/>
  <c r="Q123" i="2" s="1"/>
  <c r="O124" i="2"/>
  <c r="O125" i="2"/>
  <c r="Q125" i="2" s="1"/>
  <c r="O126" i="2"/>
  <c r="O127" i="2"/>
  <c r="M127" i="2" s="1"/>
  <c r="AD127" i="2" s="1"/>
  <c r="O128" i="2"/>
  <c r="M128" i="2" s="1"/>
  <c r="AD128" i="2" s="1"/>
  <c r="O129" i="2"/>
  <c r="Q129" i="2" s="1"/>
  <c r="O130" i="2"/>
  <c r="M130" i="2" s="1"/>
  <c r="AD130" i="2" s="1"/>
  <c r="O131" i="2"/>
  <c r="O132" i="2"/>
  <c r="Q132" i="2" s="1"/>
  <c r="O133" i="2"/>
  <c r="M133" i="2" s="1"/>
  <c r="AD133" i="2" s="1"/>
  <c r="O134" i="2"/>
  <c r="M134" i="2" s="1"/>
  <c r="AD134" i="2" s="1"/>
  <c r="O135" i="2"/>
  <c r="M135" i="2" s="1"/>
  <c r="AD135" i="2" s="1"/>
  <c r="O136" i="2"/>
  <c r="M136" i="2" s="1"/>
  <c r="AD136" i="2" s="1"/>
  <c r="O137" i="2"/>
  <c r="M137" i="2" s="1"/>
  <c r="AD137" i="2" s="1"/>
  <c r="O138" i="2"/>
  <c r="M138" i="2" s="1"/>
  <c r="AD138" i="2" s="1"/>
  <c r="O139" i="2"/>
  <c r="M139" i="2" s="1"/>
  <c r="AD139" i="2" s="1"/>
  <c r="O140" i="2"/>
  <c r="O141" i="2"/>
  <c r="M141" i="2" s="1"/>
  <c r="AD141" i="2" s="1"/>
  <c r="O142" i="2"/>
  <c r="Q142" i="2" s="1"/>
  <c r="O143" i="2"/>
  <c r="Q143" i="2" s="1"/>
  <c r="O144" i="2"/>
  <c r="M144" i="2" s="1"/>
  <c r="AD144" i="2" s="1"/>
  <c r="O145" i="2"/>
  <c r="M145" i="2" s="1"/>
  <c r="AD145" i="2" s="1"/>
  <c r="O146" i="2"/>
  <c r="M146" i="2" s="1"/>
  <c r="AD146" i="2" s="1"/>
  <c r="O147" i="2"/>
  <c r="M147" i="2" s="1"/>
  <c r="AD147" i="2" s="1"/>
  <c r="O148" i="2"/>
  <c r="M148" i="2" s="1"/>
  <c r="AD148" i="2" s="1"/>
  <c r="O149" i="2"/>
  <c r="O150" i="2"/>
  <c r="O151" i="2"/>
  <c r="Q151" i="2" s="1"/>
  <c r="O152" i="2"/>
  <c r="M152" i="2" s="1"/>
  <c r="AD152" i="2" s="1"/>
  <c r="O153" i="2"/>
  <c r="O154" i="2"/>
  <c r="O155" i="2"/>
  <c r="O156" i="2"/>
  <c r="M156" i="2" s="1"/>
  <c r="AD156" i="2" s="1"/>
  <c r="O157" i="2"/>
  <c r="O158" i="2"/>
  <c r="M158" i="2" s="1"/>
  <c r="AD158" i="2" s="1"/>
  <c r="O159" i="2"/>
  <c r="Q159" i="2" s="1"/>
  <c r="O160" i="2"/>
  <c r="O161" i="2"/>
  <c r="O162" i="2"/>
  <c r="M162" i="2" s="1"/>
  <c r="AD162" i="2" s="1"/>
  <c r="O163" i="2"/>
  <c r="M163" i="2" s="1"/>
  <c r="AD163" i="2" s="1"/>
  <c r="O164" i="2"/>
  <c r="O165" i="2"/>
  <c r="O166" i="2"/>
  <c r="M166" i="2" s="1"/>
  <c r="AD166" i="2" s="1"/>
  <c r="O167" i="2"/>
  <c r="Q167" i="2" s="1"/>
  <c r="O168" i="2"/>
  <c r="O169" i="2"/>
  <c r="M169" i="2" s="1"/>
  <c r="AD169" i="2" s="1"/>
  <c r="O170" i="2"/>
  <c r="Q170" i="2" s="1"/>
  <c r="O171" i="2"/>
  <c r="M171" i="2" s="1"/>
  <c r="AD171" i="2" s="1"/>
  <c r="O172" i="2"/>
  <c r="M172" i="2" s="1"/>
  <c r="AD172" i="2" s="1"/>
  <c r="O173" i="2"/>
  <c r="M173" i="2" s="1"/>
  <c r="AD173" i="2" s="1"/>
  <c r="O174" i="2"/>
  <c r="Q174" i="2" s="1"/>
  <c r="O175" i="2"/>
  <c r="Q175" i="2" s="1"/>
  <c r="O176" i="2"/>
  <c r="Q176" i="2" s="1"/>
  <c r="O177" i="2"/>
  <c r="O178" i="2"/>
  <c r="Q178" i="2" s="1"/>
  <c r="O179" i="2"/>
  <c r="M179" i="2" s="1"/>
  <c r="AD179" i="2" s="1"/>
  <c r="O180" i="2"/>
  <c r="M180" i="2" s="1"/>
  <c r="AD180" i="2" s="1"/>
  <c r="O181" i="2"/>
  <c r="O182" i="2"/>
  <c r="M182" i="2" s="1"/>
  <c r="AD182" i="2" s="1"/>
  <c r="O183" i="2"/>
  <c r="Q183" i="2" s="1"/>
  <c r="O184" i="2"/>
  <c r="Q184" i="2" s="1"/>
  <c r="O185" i="2"/>
  <c r="M185" i="2" s="1"/>
  <c r="AD185" i="2" s="1"/>
  <c r="O186" i="2"/>
  <c r="Q186" i="2" s="1"/>
  <c r="O187" i="2"/>
  <c r="Q187" i="2" s="1"/>
  <c r="O188" i="2"/>
  <c r="O189" i="2"/>
  <c r="M189" i="2" s="1"/>
  <c r="AD189" i="2" s="1"/>
  <c r="O190" i="2"/>
  <c r="M190" i="2" s="1"/>
  <c r="AD190" i="2" s="1"/>
  <c r="O191" i="2"/>
  <c r="Q191" i="2" s="1"/>
  <c r="O192" i="2"/>
  <c r="Q192" i="2" s="1"/>
  <c r="O193" i="2"/>
  <c r="M193" i="2" s="1"/>
  <c r="AD193" i="2" s="1"/>
  <c r="O194" i="2"/>
  <c r="M194" i="2" s="1"/>
  <c r="AD194" i="2" s="1"/>
  <c r="O195" i="2"/>
  <c r="M195" i="2" s="1"/>
  <c r="AD195" i="2" s="1"/>
  <c r="O196" i="2"/>
  <c r="O197" i="2"/>
  <c r="O198" i="2"/>
  <c r="M198" i="2" s="1"/>
  <c r="AD198" i="2" s="1"/>
  <c r="O199" i="2"/>
  <c r="M199" i="2" s="1"/>
  <c r="AD199" i="2" s="1"/>
  <c r="O200" i="2"/>
  <c r="O201" i="2"/>
  <c r="O202" i="2"/>
  <c r="M202" i="2" s="1"/>
  <c r="AD202" i="2" s="1"/>
  <c r="O203" i="2"/>
  <c r="M203" i="2" s="1"/>
  <c r="AD203" i="2" s="1"/>
  <c r="O204" i="2"/>
  <c r="M204" i="2" s="1"/>
  <c r="AD204" i="2" s="1"/>
  <c r="O205" i="2"/>
  <c r="M205" i="2" s="1"/>
  <c r="AD205" i="2" s="1"/>
  <c r="O206" i="2"/>
  <c r="Q206" i="2" s="1"/>
  <c r="O207" i="2"/>
  <c r="Q207" i="2" s="1"/>
  <c r="O208" i="2"/>
  <c r="Q208" i="2" s="1"/>
  <c r="O209" i="2"/>
  <c r="O210" i="2"/>
  <c r="M210" i="2" s="1"/>
  <c r="AD210" i="2" s="1"/>
  <c r="O211" i="2"/>
  <c r="M211" i="2" s="1"/>
  <c r="AD211" i="2" s="1"/>
  <c r="O212" i="2"/>
  <c r="O213" i="2"/>
  <c r="Q213" i="2" s="1"/>
  <c r="O214" i="2"/>
  <c r="Q214" i="2" s="1"/>
  <c r="O215" i="2"/>
  <c r="M215" i="2" s="1"/>
  <c r="AD215" i="2" s="1"/>
  <c r="O216" i="2"/>
  <c r="O217" i="2"/>
  <c r="Q217" i="2" s="1"/>
  <c r="O218" i="2"/>
  <c r="M218" i="2" s="1"/>
  <c r="AD218" i="2" s="1"/>
  <c r="O219" i="2"/>
  <c r="M219" i="2" s="1"/>
  <c r="AD219" i="2" s="1"/>
  <c r="O220" i="2"/>
  <c r="O221" i="2"/>
  <c r="Q221" i="2" s="1"/>
  <c r="O222" i="2"/>
  <c r="M222" i="2" s="1"/>
  <c r="AD222" i="2" s="1"/>
  <c r="O223" i="2"/>
  <c r="Q223" i="2" s="1"/>
  <c r="O224" i="2"/>
  <c r="Q224" i="2" s="1"/>
  <c r="O225" i="2"/>
  <c r="M225" i="2" s="1"/>
  <c r="AD225" i="2" s="1"/>
  <c r="O226" i="2"/>
  <c r="M226" i="2" s="1"/>
  <c r="AD226" i="2" s="1"/>
  <c r="O227" i="2"/>
  <c r="O228" i="2"/>
  <c r="Q228" i="2" s="1"/>
  <c r="O229" i="2"/>
  <c r="M229" i="2" s="1"/>
  <c r="AD229" i="2" s="1"/>
  <c r="O230" i="2"/>
  <c r="O231" i="2"/>
  <c r="M231" i="2" s="1"/>
  <c r="AD231" i="2" s="1"/>
  <c r="O232" i="2"/>
  <c r="Q232" i="2" s="1"/>
  <c r="O233" i="2"/>
  <c r="Q233" i="2" s="1"/>
  <c r="O234" i="2"/>
  <c r="M234" i="2" s="1"/>
  <c r="AD234" i="2" s="1"/>
  <c r="O235" i="2"/>
  <c r="M235" i="2" s="1"/>
  <c r="AD235" i="2" s="1"/>
  <c r="O236" i="2"/>
  <c r="Q236" i="2" s="1"/>
  <c r="O237" i="2"/>
  <c r="O238" i="2"/>
  <c r="M238" i="2" s="1"/>
  <c r="AD238" i="2" s="1"/>
  <c r="O239" i="2"/>
  <c r="Q239" i="2" s="1"/>
  <c r="O240" i="2"/>
  <c r="Q240" i="2" s="1"/>
  <c r="O241" i="2"/>
  <c r="M241" i="2" s="1"/>
  <c r="AD241" i="2" s="1"/>
  <c r="O242" i="2"/>
  <c r="O243" i="2"/>
  <c r="M243" i="2" s="1"/>
  <c r="AD243" i="2" s="1"/>
  <c r="O244" i="2"/>
  <c r="Q244" i="2" s="1"/>
  <c r="O245" i="2"/>
  <c r="M245" i="2" s="1"/>
  <c r="AD245" i="2" s="1"/>
  <c r="O246" i="2"/>
  <c r="Q246" i="2" s="1"/>
  <c r="O247" i="2"/>
  <c r="Q247" i="2" s="1"/>
  <c r="O248" i="2"/>
  <c r="M248" i="2" s="1"/>
  <c r="AD248" i="2" s="1"/>
  <c r="O249" i="2"/>
  <c r="O250" i="2"/>
  <c r="M250" i="2" s="1"/>
  <c r="AD250" i="2" s="1"/>
  <c r="O251" i="2"/>
  <c r="M251" i="2" s="1"/>
  <c r="AD251" i="2" s="1"/>
  <c r="O252" i="2"/>
  <c r="Q252" i="2" s="1"/>
  <c r="O253" i="2"/>
  <c r="Q253" i="2" s="1"/>
  <c r="O254" i="2"/>
  <c r="M254" i="2" s="1"/>
  <c r="AD254" i="2" s="1"/>
  <c r="O255" i="2"/>
  <c r="M255" i="2" s="1"/>
  <c r="AD255" i="2" s="1"/>
  <c r="O256" i="2"/>
  <c r="M256" i="2" s="1"/>
  <c r="AD256" i="2" s="1"/>
  <c r="O257" i="2"/>
  <c r="M257" i="2" s="1"/>
  <c r="AD257" i="2" s="1"/>
  <c r="O258" i="2"/>
  <c r="Q258" i="2" s="1"/>
  <c r="O259" i="2"/>
  <c r="O260" i="2"/>
  <c r="M260" i="2" s="1"/>
  <c r="AD260" i="2" s="1"/>
  <c r="O261" i="2"/>
  <c r="M261" i="2" s="1"/>
  <c r="AD261" i="2" s="1"/>
  <c r="O262" i="2"/>
  <c r="M262" i="2" s="1"/>
  <c r="AD262" i="2" s="1"/>
  <c r="O263" i="2"/>
  <c r="M263" i="2" s="1"/>
  <c r="AD263" i="2" s="1"/>
  <c r="O264" i="2"/>
  <c r="M264" i="2" s="1"/>
  <c r="AD264" i="2" s="1"/>
  <c r="O265" i="2"/>
  <c r="M265" i="2" s="1"/>
  <c r="AD265" i="2" s="1"/>
  <c r="O266" i="2"/>
  <c r="M266" i="2" s="1"/>
  <c r="AD266" i="2" s="1"/>
  <c r="O267" i="2"/>
  <c r="O268" i="2"/>
  <c r="M268" i="2" s="1"/>
  <c r="AD268" i="2" s="1"/>
  <c r="O269" i="2"/>
  <c r="M269" i="2" s="1"/>
  <c r="AD269" i="2" s="1"/>
  <c r="O270" i="2"/>
  <c r="M270" i="2" s="1"/>
  <c r="AD270" i="2" s="1"/>
  <c r="O271" i="2"/>
  <c r="O272" i="2"/>
  <c r="M272" i="2" s="1"/>
  <c r="AD272" i="2" s="1"/>
  <c r="O273" i="2"/>
  <c r="Q273" i="2" s="1"/>
  <c r="O274" i="2"/>
  <c r="Q274" i="2" s="1"/>
  <c r="O275" i="2"/>
  <c r="Q275" i="2" s="1"/>
  <c r="O276" i="2"/>
  <c r="M276" i="2" s="1"/>
  <c r="AD276" i="2" s="1"/>
  <c r="O277" i="2"/>
  <c r="M277" i="2" s="1"/>
  <c r="AD277" i="2" s="1"/>
  <c r="O278" i="2"/>
  <c r="O279" i="2"/>
  <c r="O280" i="2"/>
  <c r="M280" i="2" s="1"/>
  <c r="AD280" i="2" s="1"/>
  <c r="O281" i="2"/>
  <c r="M281" i="2" s="1"/>
  <c r="AD281" i="2" s="1"/>
  <c r="O282" i="2"/>
  <c r="M282" i="2" s="1"/>
  <c r="AD282" i="2" s="1"/>
  <c r="O283" i="2"/>
  <c r="O284" i="2"/>
  <c r="M284" i="2" s="1"/>
  <c r="AD284" i="2" s="1"/>
  <c r="O285" i="2"/>
  <c r="M285" i="2" s="1"/>
  <c r="AD285" i="2" s="1"/>
  <c r="O286" i="2"/>
  <c r="M286" i="2" s="1"/>
  <c r="AD286" i="2" s="1"/>
  <c r="O287" i="2"/>
  <c r="O288" i="2"/>
  <c r="O289" i="2"/>
  <c r="O290" i="2"/>
  <c r="Q290" i="2" s="1"/>
  <c r="O291" i="2"/>
  <c r="O292" i="2"/>
  <c r="O293" i="2"/>
  <c r="M293" i="2" s="1"/>
  <c r="AD293" i="2" s="1"/>
  <c r="O294" i="2"/>
  <c r="M294" i="2" s="1"/>
  <c r="AD294" i="2" s="1"/>
  <c r="O295" i="2"/>
  <c r="O296" i="2"/>
  <c r="O297" i="2"/>
  <c r="M297" i="2" s="1"/>
  <c r="AD297" i="2" s="1"/>
  <c r="O299" i="2"/>
  <c r="O298" i="2"/>
  <c r="O300" i="2"/>
  <c r="O301" i="2"/>
  <c r="M301" i="2" s="1"/>
  <c r="AD301" i="2" s="1"/>
  <c r="O302" i="2"/>
  <c r="M302" i="2" s="1"/>
  <c r="AD302" i="2" s="1"/>
  <c r="O303" i="2"/>
  <c r="M303" i="2" s="1"/>
  <c r="AD303" i="2" s="1"/>
  <c r="O304" i="2"/>
  <c r="M304" i="2" s="1"/>
  <c r="AD304" i="2" s="1"/>
  <c r="O305" i="2"/>
  <c r="Q305" i="2" s="1"/>
  <c r="O306" i="2"/>
  <c r="Q306" i="2" s="1"/>
  <c r="O307" i="2"/>
  <c r="O308" i="2"/>
  <c r="M308" i="2" s="1"/>
  <c r="AD308" i="2" s="1"/>
  <c r="O309" i="2"/>
  <c r="Q309" i="2" s="1"/>
  <c r="O310" i="2"/>
  <c r="O311" i="2"/>
  <c r="Q311" i="2" s="1"/>
  <c r="O312" i="2"/>
  <c r="M312" i="2" s="1"/>
  <c r="AD312" i="2" s="1"/>
  <c r="O313" i="2"/>
  <c r="M313" i="2" s="1"/>
  <c r="AD313" i="2" s="1"/>
  <c r="O314" i="2"/>
  <c r="M314" i="2" s="1"/>
  <c r="AD314" i="2" s="1"/>
  <c r="O315" i="2"/>
  <c r="O316" i="2"/>
  <c r="M316" i="2" s="1"/>
  <c r="AD316" i="2" s="1"/>
  <c r="O317" i="2"/>
  <c r="O318" i="2"/>
  <c r="M318" i="2" s="1"/>
  <c r="AD318" i="2" s="1"/>
  <c r="O319" i="2"/>
  <c r="Q319" i="2" s="1"/>
  <c r="O320" i="2"/>
  <c r="Q320" i="2" s="1"/>
  <c r="O321" i="2"/>
  <c r="O322" i="2"/>
  <c r="M322" i="2" s="1"/>
  <c r="AD322" i="2" s="1"/>
  <c r="O323" i="2"/>
  <c r="M323" i="2" s="1"/>
  <c r="AD323" i="2" s="1"/>
  <c r="O324" i="2"/>
  <c r="M324" i="2" s="1"/>
  <c r="AD324" i="2" s="1"/>
  <c r="O325" i="2"/>
  <c r="Q325" i="2" s="1"/>
  <c r="O326" i="2"/>
  <c r="Q326" i="2" s="1"/>
  <c r="O327" i="2"/>
  <c r="M327" i="2" s="1"/>
  <c r="AD327" i="2" s="1"/>
  <c r="O328" i="2"/>
  <c r="Q328" i="2" s="1"/>
  <c r="O329" i="2"/>
  <c r="M329" i="2" s="1"/>
  <c r="AD329" i="2" s="1"/>
  <c r="O330" i="2"/>
  <c r="M330" i="2" s="1"/>
  <c r="AD330" i="2" s="1"/>
  <c r="O331" i="2"/>
  <c r="Q331" i="2" s="1"/>
  <c r="O332" i="2"/>
  <c r="O333" i="2"/>
  <c r="M333" i="2" s="1"/>
  <c r="AD333" i="2" s="1"/>
  <c r="O334" i="2"/>
  <c r="M334" i="2" s="1"/>
  <c r="AD334" i="2" s="1"/>
  <c r="O335" i="2"/>
  <c r="O336" i="2"/>
  <c r="M336" i="2" s="1"/>
  <c r="AD336" i="2" s="1"/>
  <c r="O337" i="2"/>
  <c r="Q337" i="2" s="1"/>
  <c r="O338" i="2"/>
  <c r="M338" i="2" s="1"/>
  <c r="AD338" i="2" s="1"/>
  <c r="O339" i="2"/>
  <c r="O340" i="2"/>
  <c r="O341" i="2"/>
  <c r="M341" i="2" s="1"/>
  <c r="AD341" i="2" s="1"/>
  <c r="O342" i="2"/>
  <c r="O343" i="2"/>
  <c r="Q343" i="2" s="1"/>
  <c r="O344" i="2"/>
  <c r="M344" i="2" s="1"/>
  <c r="AD344" i="2" s="1"/>
  <c r="O345" i="2"/>
  <c r="O346" i="2"/>
  <c r="M346" i="2" s="1"/>
  <c r="AD346" i="2" s="1"/>
  <c r="O347" i="2"/>
  <c r="Q347" i="2" s="1"/>
  <c r="O348" i="2"/>
  <c r="Q348" i="2" s="1"/>
  <c r="O349" i="2"/>
  <c r="M349" i="2" s="1"/>
  <c r="AD349" i="2" s="1"/>
  <c r="O350" i="2"/>
  <c r="M350" i="2" s="1"/>
  <c r="AD350" i="2" s="1"/>
  <c r="O351" i="2"/>
  <c r="M351" i="2" s="1"/>
  <c r="AD351" i="2" s="1"/>
  <c r="O352" i="2"/>
  <c r="O353" i="2"/>
  <c r="Q353" i="2" s="1"/>
  <c r="O354" i="2"/>
  <c r="M354" i="2" s="1"/>
  <c r="AD354" i="2" s="1"/>
  <c r="O355" i="2"/>
  <c r="M355" i="2" s="1"/>
  <c r="AD355" i="2" s="1"/>
  <c r="O356" i="2"/>
  <c r="O357" i="2"/>
  <c r="Q357" i="2" s="1"/>
  <c r="O358" i="2"/>
  <c r="O359" i="2"/>
  <c r="Q359" i="2" s="1"/>
  <c r="O360" i="2"/>
  <c r="O361" i="2"/>
  <c r="Q361" i="2" s="1"/>
  <c r="O362" i="2"/>
  <c r="M362" i="2" s="1"/>
  <c r="AD362" i="2" s="1"/>
  <c r="O363" i="2"/>
  <c r="O364" i="2"/>
  <c r="O365" i="2"/>
  <c r="M365" i="2" s="1"/>
  <c r="AD365" i="2" s="1"/>
  <c r="O366" i="2"/>
  <c r="O367" i="2"/>
  <c r="M367" i="2" s="1"/>
  <c r="AD367" i="2" s="1"/>
  <c r="O368" i="2"/>
  <c r="Q368" i="2" s="1"/>
  <c r="O369" i="2"/>
  <c r="Q369" i="2" s="1"/>
  <c r="O370" i="2"/>
  <c r="O371" i="2"/>
  <c r="Q371" i="2" s="1"/>
  <c r="O372" i="2"/>
  <c r="O373" i="2"/>
  <c r="Q373" i="2" s="1"/>
  <c r="O374" i="2"/>
  <c r="O375" i="2"/>
  <c r="M375" i="2" s="1"/>
  <c r="AD375" i="2" s="1"/>
  <c r="O376" i="2"/>
  <c r="Q376" i="2" s="1"/>
  <c r="O377" i="2"/>
  <c r="O378" i="2"/>
  <c r="Q378" i="2" s="1"/>
  <c r="O379" i="2"/>
  <c r="Q379" i="2" s="1"/>
  <c r="O380" i="2"/>
  <c r="O381" i="2"/>
  <c r="Q381" i="2" s="1"/>
  <c r="O382" i="2"/>
  <c r="M382" i="2" s="1"/>
  <c r="AD382" i="2" s="1"/>
  <c r="O383" i="2"/>
  <c r="O384" i="2"/>
  <c r="O385" i="2"/>
  <c r="O386" i="2"/>
  <c r="M386" i="2" s="1"/>
  <c r="AD386" i="2" s="1"/>
  <c r="O387" i="2"/>
  <c r="Q387" i="2" s="1"/>
  <c r="O388" i="2"/>
  <c r="M388" i="2" s="1"/>
  <c r="AD388" i="2" s="1"/>
  <c r="O389" i="2"/>
  <c r="Q389" i="2" s="1"/>
  <c r="O390" i="2"/>
  <c r="O391" i="2"/>
  <c r="Q391" i="2" s="1"/>
  <c r="O392" i="2"/>
  <c r="Q392" i="2" s="1"/>
  <c r="O393" i="2"/>
  <c r="Q393" i="2" s="1"/>
  <c r="O394" i="2"/>
  <c r="M394" i="2" s="1"/>
  <c r="AD394" i="2" s="1"/>
  <c r="O395" i="2"/>
  <c r="M395" i="2" s="1"/>
  <c r="AD395" i="2" s="1"/>
  <c r="O396" i="2"/>
  <c r="O397" i="2"/>
  <c r="Q397" i="2" s="1"/>
  <c r="O398" i="2"/>
  <c r="M398" i="2" s="1"/>
  <c r="AD398" i="2" s="1"/>
  <c r="O399" i="2"/>
  <c r="M399" i="2" s="1"/>
  <c r="AD399" i="2" s="1"/>
  <c r="O400" i="2"/>
  <c r="Q400" i="2" s="1"/>
  <c r="O401" i="2"/>
  <c r="O402" i="2"/>
  <c r="O403" i="2"/>
  <c r="M403" i="2" s="1"/>
  <c r="AD403" i="2" s="1"/>
  <c r="O404" i="2"/>
  <c r="O405" i="2"/>
  <c r="Q405" i="2" s="1"/>
  <c r="O406" i="2"/>
  <c r="M406" i="2" s="1"/>
  <c r="AD406" i="2" s="1"/>
  <c r="O407" i="2"/>
  <c r="M407" i="2" s="1"/>
  <c r="AD407" i="2" s="1"/>
  <c r="O408" i="2"/>
  <c r="O409" i="2"/>
  <c r="Q409" i="2" s="1"/>
  <c r="O410" i="2"/>
  <c r="O411" i="2"/>
  <c r="O412" i="2"/>
  <c r="M412" i="2" s="1"/>
  <c r="AD412" i="2" s="1"/>
  <c r="O413" i="2"/>
  <c r="M413" i="2" s="1"/>
  <c r="AD413" i="2" s="1"/>
  <c r="O414" i="2"/>
  <c r="O415" i="2"/>
  <c r="M415" i="2" s="1"/>
  <c r="AD415" i="2" s="1"/>
  <c r="O416" i="2"/>
  <c r="M416" i="2" s="1"/>
  <c r="AD416" i="2" s="1"/>
  <c r="O417" i="2"/>
  <c r="Q417" i="2" s="1"/>
  <c r="O418" i="2"/>
  <c r="O419" i="2"/>
  <c r="M419" i="2" s="1"/>
  <c r="AD419" i="2" s="1"/>
  <c r="O420" i="2"/>
  <c r="O421" i="2"/>
  <c r="M421" i="2" s="1"/>
  <c r="AD421" i="2" s="1"/>
  <c r="O422" i="2"/>
  <c r="M422" i="2" s="1"/>
  <c r="AD422" i="2" s="1"/>
  <c r="O423" i="2"/>
  <c r="O424" i="2"/>
  <c r="O425" i="2"/>
  <c r="Q425" i="2" s="1"/>
  <c r="O426" i="2"/>
  <c r="O427" i="2"/>
  <c r="O428" i="2"/>
  <c r="M428" i="2" s="1"/>
  <c r="AD428" i="2" s="1"/>
  <c r="O429" i="2"/>
  <c r="M429" i="2" s="1"/>
  <c r="AD429" i="2" s="1"/>
  <c r="O430" i="2"/>
  <c r="O431" i="2"/>
  <c r="M431" i="2" s="1"/>
  <c r="AD431" i="2" s="1"/>
  <c r="O432" i="2"/>
  <c r="M432" i="2" s="1"/>
  <c r="AD432" i="2" s="1"/>
  <c r="O433" i="2"/>
  <c r="M433" i="2" s="1"/>
  <c r="AD433" i="2" s="1"/>
  <c r="O434" i="2"/>
  <c r="Q434" i="2" s="1"/>
  <c r="O435" i="2"/>
  <c r="Q435" i="2" s="1"/>
  <c r="O436" i="2"/>
  <c r="M436" i="2" s="1"/>
  <c r="AD436" i="2" s="1"/>
  <c r="O437" i="2"/>
  <c r="Q437" i="2" s="1"/>
  <c r="O438" i="2"/>
  <c r="M438" i="2" s="1"/>
  <c r="AD438" i="2" s="1"/>
  <c r="O439" i="2"/>
  <c r="M439" i="2" s="1"/>
  <c r="AD439" i="2" s="1"/>
  <c r="O440" i="2"/>
  <c r="M440" i="2" s="1"/>
  <c r="AD440" i="2" s="1"/>
  <c r="O441" i="2"/>
  <c r="M441" i="2" s="1"/>
  <c r="AD441" i="2" s="1"/>
  <c r="O442" i="2"/>
  <c r="M442" i="2" s="1"/>
  <c r="AD442" i="2" s="1"/>
  <c r="O443" i="2"/>
  <c r="M443" i="2" s="1"/>
  <c r="AD443" i="2" s="1"/>
  <c r="O444" i="2"/>
  <c r="M444" i="2" s="1"/>
  <c r="AD444" i="2" s="1"/>
  <c r="O445" i="2"/>
  <c r="M445" i="2" s="1"/>
  <c r="AD445" i="2" s="1"/>
  <c r="O446" i="2"/>
  <c r="M446" i="2" s="1"/>
  <c r="AD446" i="2" s="1"/>
  <c r="O447" i="2"/>
  <c r="M447" i="2" s="1"/>
  <c r="AD447" i="2" s="1"/>
  <c r="O448" i="2"/>
  <c r="M448" i="2" s="1"/>
  <c r="AD448" i="2" s="1"/>
  <c r="O449" i="2"/>
  <c r="M449" i="2" s="1"/>
  <c r="AD449" i="2" s="1"/>
  <c r="O450" i="2"/>
  <c r="M450" i="2" s="1"/>
  <c r="AD450" i="2" s="1"/>
  <c r="O451" i="2"/>
  <c r="Q451" i="2" s="1"/>
  <c r="O452" i="2"/>
  <c r="Q452" i="2" s="1"/>
  <c r="O453" i="2"/>
  <c r="M453" i="2" s="1"/>
  <c r="AD453" i="2" s="1"/>
  <c r="O454" i="2"/>
  <c r="M454" i="2" s="1"/>
  <c r="AD454" i="2" s="1"/>
  <c r="O455" i="2"/>
  <c r="M455" i="2" s="1"/>
  <c r="AD455" i="2" s="1"/>
  <c r="O456" i="2"/>
  <c r="M456" i="2" s="1"/>
  <c r="AD456" i="2" s="1"/>
  <c r="O457" i="2"/>
  <c r="M457" i="2" s="1"/>
  <c r="AD457" i="2" s="1"/>
  <c r="O458" i="2"/>
  <c r="M458" i="2" s="1"/>
  <c r="AD458" i="2" s="1"/>
  <c r="O459" i="2"/>
  <c r="M459" i="2" s="1"/>
  <c r="AD459" i="2" s="1"/>
  <c r="O460" i="2"/>
  <c r="Q460" i="2" s="1"/>
  <c r="O461" i="2"/>
  <c r="M461" i="2" s="1"/>
  <c r="AD461" i="2" s="1"/>
  <c r="O462" i="2"/>
  <c r="O463" i="2"/>
  <c r="O464" i="2"/>
  <c r="M464" i="2" s="1"/>
  <c r="AD464" i="2" s="1"/>
  <c r="O465" i="2"/>
  <c r="M465" i="2" s="1"/>
  <c r="AD465" i="2" s="1"/>
  <c r="O466" i="2"/>
  <c r="M466" i="2" s="1"/>
  <c r="AD466" i="2" s="1"/>
  <c r="O467" i="2"/>
  <c r="O468" i="2"/>
  <c r="Q468" i="2" s="1"/>
  <c r="O469" i="2"/>
  <c r="Q469" i="2" s="1"/>
  <c r="O470" i="2"/>
  <c r="M470" i="2" s="1"/>
  <c r="AD470" i="2" s="1"/>
  <c r="O471" i="2"/>
  <c r="O472" i="2"/>
  <c r="M472" i="2" s="1"/>
  <c r="AD472" i="2" s="1"/>
  <c r="O473" i="2"/>
  <c r="M473" i="2" s="1"/>
  <c r="AD473" i="2" s="1"/>
  <c r="O474" i="2"/>
  <c r="O475" i="2"/>
  <c r="O476" i="2"/>
  <c r="O477" i="2"/>
  <c r="M477" i="2" s="1"/>
  <c r="AD477" i="2" s="1"/>
  <c r="O478" i="2"/>
  <c r="O479" i="2"/>
  <c r="Q479" i="2" s="1"/>
  <c r="O480" i="2"/>
  <c r="M480" i="2" s="1"/>
  <c r="AD480" i="2" s="1"/>
  <c r="O481" i="2"/>
  <c r="M481" i="2" s="1"/>
  <c r="AD481" i="2" s="1"/>
  <c r="O482" i="2"/>
  <c r="M482" i="2" s="1"/>
  <c r="AD482" i="2" s="1"/>
  <c r="O483" i="2"/>
  <c r="O484" i="2"/>
  <c r="Q484" i="2" s="1"/>
  <c r="O485" i="2"/>
  <c r="O486" i="2"/>
  <c r="M486" i="2" s="1"/>
  <c r="AD486" i="2" s="1"/>
  <c r="O487" i="2"/>
  <c r="O488" i="2"/>
  <c r="M488" i="2" s="1"/>
  <c r="AD488" i="2" s="1"/>
  <c r="O489" i="2"/>
  <c r="M489" i="2" s="1"/>
  <c r="AD489" i="2" s="1"/>
  <c r="O490" i="2"/>
  <c r="M490" i="2" s="1"/>
  <c r="AD490" i="2" s="1"/>
  <c r="O491" i="2"/>
  <c r="O492" i="2"/>
  <c r="O493" i="2"/>
  <c r="M493" i="2" s="1"/>
  <c r="AD493" i="2" s="1"/>
  <c r="O494" i="2"/>
  <c r="M494" i="2" s="1"/>
  <c r="AD494" i="2" s="1"/>
  <c r="O495" i="2"/>
  <c r="O496" i="2"/>
  <c r="O497" i="2"/>
  <c r="M497" i="2" s="1"/>
  <c r="AD497" i="2" s="1"/>
  <c r="O498" i="2"/>
  <c r="M498" i="2" s="1"/>
  <c r="AD498" i="2" s="1"/>
  <c r="O499" i="2"/>
  <c r="O500" i="2"/>
  <c r="Q500" i="2" s="1"/>
  <c r="O501" i="2"/>
  <c r="M501" i="2" s="1"/>
  <c r="AD501" i="2" s="1"/>
  <c r="O502" i="2"/>
  <c r="M502" i="2" s="1"/>
  <c r="AD502" i="2" s="1"/>
  <c r="O503" i="2"/>
  <c r="M503" i="2" s="1"/>
  <c r="AD503" i="2" s="1"/>
  <c r="O504" i="2"/>
  <c r="M504" i="2" s="1"/>
  <c r="AD504" i="2" s="1"/>
  <c r="O505" i="2"/>
  <c r="M505" i="2" s="1"/>
  <c r="AD505" i="2" s="1"/>
  <c r="O506" i="2"/>
  <c r="O507" i="2"/>
  <c r="Q507" i="2" s="1"/>
  <c r="O508" i="2"/>
  <c r="Q508" i="2" s="1"/>
  <c r="O509" i="2"/>
  <c r="O510" i="2"/>
  <c r="O511" i="2"/>
  <c r="O512" i="2"/>
  <c r="O513" i="2"/>
  <c r="Q513" i="2" s="1"/>
  <c r="O514" i="2"/>
  <c r="O515" i="2"/>
  <c r="O516" i="2"/>
  <c r="O517" i="2"/>
  <c r="M517" i="2" s="1"/>
  <c r="AD517" i="2" s="1"/>
  <c r="O518" i="2"/>
  <c r="Q518" i="2" s="1"/>
  <c r="O519" i="2"/>
  <c r="O520" i="2"/>
  <c r="M520" i="2" s="1"/>
  <c r="AD520" i="2" s="1"/>
  <c r="O521" i="2"/>
  <c r="M521" i="2" s="1"/>
  <c r="AD521" i="2" s="1"/>
  <c r="O522" i="2"/>
  <c r="M522" i="2" s="1"/>
  <c r="AD522" i="2" s="1"/>
  <c r="O523" i="2"/>
  <c r="Q523" i="2" s="1"/>
  <c r="O524" i="2"/>
  <c r="O525" i="2"/>
  <c r="M525" i="2" s="1"/>
  <c r="AD525" i="2" s="1"/>
  <c r="O526" i="2"/>
  <c r="Q526" i="2" s="1"/>
  <c r="O527" i="2"/>
  <c r="O528" i="2"/>
  <c r="O529" i="2"/>
  <c r="Q529" i="2" s="1"/>
  <c r="O530" i="2"/>
  <c r="M530" i="2" s="1"/>
  <c r="AD530" i="2" s="1"/>
  <c r="O531" i="2"/>
  <c r="Q531" i="2" s="1"/>
  <c r="O532" i="2"/>
  <c r="M532" i="2" s="1"/>
  <c r="AD532" i="2" s="1"/>
  <c r="O533" i="2"/>
  <c r="Q533" i="2" s="1"/>
  <c r="O534" i="2"/>
  <c r="O535" i="2"/>
  <c r="M535" i="2" s="1"/>
  <c r="AD535" i="2" s="1"/>
  <c r="O536" i="2"/>
  <c r="M536" i="2" s="1"/>
  <c r="AD536" i="2" s="1"/>
  <c r="O537" i="2"/>
  <c r="M537" i="2" s="1"/>
  <c r="AD537" i="2" s="1"/>
  <c r="O538" i="2"/>
  <c r="O539" i="2"/>
  <c r="O540" i="2"/>
  <c r="O541" i="2"/>
  <c r="O542" i="2"/>
  <c r="M542" i="2" s="1"/>
  <c r="AD542" i="2" s="1"/>
  <c r="O543" i="2"/>
  <c r="M543" i="2" s="1"/>
  <c r="AD543" i="2" s="1"/>
  <c r="O544" i="2"/>
  <c r="M544" i="2" s="1"/>
  <c r="AD544" i="2" s="1"/>
  <c r="O545" i="2"/>
  <c r="M545" i="2" s="1"/>
  <c r="AD545" i="2" s="1"/>
  <c r="O546" i="2"/>
  <c r="O547" i="2"/>
  <c r="O548" i="2"/>
  <c r="Q548" i="2" s="1"/>
  <c r="O549" i="2"/>
  <c r="M549" i="2" s="1"/>
  <c r="AD549" i="2" s="1"/>
  <c r="O550" i="2"/>
  <c r="M550" i="2" s="1"/>
  <c r="AD550" i="2" s="1"/>
  <c r="O551" i="2"/>
  <c r="M551" i="2" s="1"/>
  <c r="AD551" i="2" s="1"/>
  <c r="O552" i="2"/>
  <c r="M552" i="2" s="1"/>
  <c r="AD552" i="2" s="1"/>
  <c r="O553" i="2"/>
  <c r="M553" i="2" s="1"/>
  <c r="AD553" i="2" s="1"/>
  <c r="O554" i="2"/>
  <c r="O555" i="2"/>
  <c r="O556" i="2"/>
  <c r="M556" i="2" s="1"/>
  <c r="AD556" i="2" s="1"/>
  <c r="O557" i="2"/>
  <c r="M557" i="2" s="1"/>
  <c r="AD557" i="2" s="1"/>
  <c r="O558" i="2"/>
  <c r="O559" i="2"/>
  <c r="O560" i="2"/>
  <c r="Q560" i="2" s="1"/>
  <c r="O561" i="2"/>
  <c r="M561" i="2" s="1"/>
  <c r="AD561" i="2" s="1"/>
  <c r="O562" i="2"/>
  <c r="Q562" i="2" s="1"/>
  <c r="O563" i="2"/>
  <c r="Q563" i="2" s="1"/>
  <c r="O564" i="2"/>
  <c r="M564" i="2" s="1"/>
  <c r="AD564" i="2" s="1"/>
  <c r="O565" i="2"/>
  <c r="Q565" i="2" s="1"/>
  <c r="O566" i="2"/>
  <c r="O567" i="2"/>
  <c r="M567" i="2" s="1"/>
  <c r="AD567" i="2" s="1"/>
  <c r="O568" i="2"/>
  <c r="M568" i="2" s="1"/>
  <c r="AD568" i="2" s="1"/>
  <c r="O569" i="2"/>
  <c r="O570" i="2"/>
  <c r="O571" i="2"/>
  <c r="M571" i="2" s="1"/>
  <c r="AD571" i="2" s="1"/>
  <c r="O572" i="2"/>
  <c r="O573" i="2"/>
  <c r="M573" i="2" s="1"/>
  <c r="AD573" i="2" s="1"/>
  <c r="O574" i="2"/>
  <c r="M574" i="2" s="1"/>
  <c r="AD574" i="2" s="1"/>
  <c r="O575" i="2"/>
  <c r="O576" i="2"/>
  <c r="Q576" i="2" s="1"/>
  <c r="O577" i="2"/>
  <c r="M577" i="2" s="1"/>
  <c r="AD577" i="2" s="1"/>
  <c r="O578" i="2"/>
  <c r="M578" i="2" s="1"/>
  <c r="AD578" i="2" s="1"/>
  <c r="O579" i="2"/>
  <c r="O580" i="2"/>
  <c r="M580" i="2" s="1"/>
  <c r="AD580" i="2" s="1"/>
  <c r="O581" i="2"/>
  <c r="O582" i="2"/>
  <c r="Q582" i="2" s="1"/>
  <c r="O583" i="2"/>
  <c r="M583" i="2" s="1"/>
  <c r="AD583" i="2" s="1"/>
  <c r="O584" i="2"/>
  <c r="Q584" i="2" s="1"/>
  <c r="O585" i="2"/>
  <c r="M585" i="2" s="1"/>
  <c r="AD585" i="2" s="1"/>
  <c r="O586" i="2"/>
  <c r="M586" i="2" s="1"/>
  <c r="AD586" i="2" s="1"/>
  <c r="O587" i="2"/>
  <c r="M587" i="2" s="1"/>
  <c r="AD587" i="2" s="1"/>
  <c r="O588" i="2"/>
  <c r="M588" i="2" s="1"/>
  <c r="AD588" i="2" s="1"/>
  <c r="O589" i="2"/>
  <c r="M589" i="2" s="1"/>
  <c r="AD589" i="2" s="1"/>
  <c r="O590" i="2"/>
  <c r="M590" i="2" s="1"/>
  <c r="AD590" i="2" s="1"/>
  <c r="O591" i="2"/>
  <c r="M591" i="2" s="1"/>
  <c r="AD591" i="2" s="1"/>
  <c r="O592" i="2"/>
  <c r="M592" i="2" s="1"/>
  <c r="AD592" i="2" s="1"/>
  <c r="O593" i="2"/>
  <c r="Q593" i="2" s="1"/>
  <c r="O594" i="2"/>
  <c r="Q594" i="2" s="1"/>
  <c r="O595" i="2"/>
  <c r="Q595" i="2" s="1"/>
  <c r="O596" i="2"/>
  <c r="M596" i="2" s="1"/>
  <c r="AD596" i="2" s="1"/>
  <c r="O597" i="2"/>
  <c r="M597" i="2" s="1"/>
  <c r="AD597" i="2" s="1"/>
  <c r="O598" i="2"/>
  <c r="M598" i="2" s="1"/>
  <c r="AD598" i="2" s="1"/>
  <c r="O599" i="2"/>
  <c r="M599" i="2" s="1"/>
  <c r="AD599" i="2" s="1"/>
  <c r="O600" i="2"/>
  <c r="O601" i="2"/>
  <c r="O602" i="2"/>
  <c r="Q602" i="2" s="1"/>
  <c r="O603" i="2"/>
  <c r="M603" i="2" s="1"/>
  <c r="AD603" i="2" s="1"/>
  <c r="O604" i="2"/>
  <c r="O605" i="2"/>
  <c r="O606" i="2"/>
  <c r="M606" i="2" s="1"/>
  <c r="AD606" i="2" s="1"/>
  <c r="O607" i="2"/>
  <c r="Q607" i="2" s="1"/>
  <c r="O608" i="2"/>
  <c r="M608" i="2" s="1"/>
  <c r="AD608" i="2" s="1"/>
  <c r="O609" i="2"/>
  <c r="O610" i="2"/>
  <c r="O611" i="2"/>
  <c r="Q611" i="2" s="1"/>
  <c r="O612" i="2"/>
  <c r="O613" i="2"/>
  <c r="M613" i="2" s="1"/>
  <c r="AD613" i="2" s="1"/>
  <c r="O614" i="2"/>
  <c r="O615" i="2"/>
  <c r="M615" i="2" s="1"/>
  <c r="AD615" i="2" s="1"/>
  <c r="O616" i="2"/>
  <c r="O617" i="2"/>
  <c r="M617" i="2" s="1"/>
  <c r="AD617" i="2" s="1"/>
  <c r="O618" i="2"/>
  <c r="M618" i="2" s="1"/>
  <c r="AD618" i="2" s="1"/>
  <c r="O619" i="2"/>
  <c r="M619" i="2" s="1"/>
  <c r="AD619" i="2" s="1"/>
  <c r="O620" i="2"/>
  <c r="M620" i="2" s="1"/>
  <c r="AD620" i="2" s="1"/>
  <c r="O621" i="2"/>
  <c r="M621" i="2" s="1"/>
  <c r="AD621" i="2" s="1"/>
  <c r="O622" i="2"/>
  <c r="M622" i="2" s="1"/>
  <c r="AD622" i="2" s="1"/>
  <c r="O623" i="2"/>
  <c r="O624" i="2"/>
  <c r="O625" i="2"/>
  <c r="O626" i="2"/>
  <c r="M626" i="2" s="1"/>
  <c r="AD626" i="2" s="1"/>
  <c r="O627" i="2"/>
  <c r="O628" i="2"/>
  <c r="O629" i="2"/>
  <c r="O630" i="2"/>
  <c r="M630" i="2" s="1"/>
  <c r="AD630" i="2" s="1"/>
  <c r="O631" i="2"/>
  <c r="Q631" i="2" s="1"/>
  <c r="O632" i="2"/>
  <c r="O633" i="2"/>
  <c r="M633" i="2" s="1"/>
  <c r="AD633" i="2" s="1"/>
  <c r="O634" i="2"/>
  <c r="O635" i="2"/>
  <c r="M635" i="2" s="1"/>
  <c r="AD635" i="2" s="1"/>
  <c r="O636" i="2"/>
  <c r="Q636" i="2" s="1"/>
  <c r="O637" i="2"/>
  <c r="M637" i="2" s="1"/>
  <c r="AD637" i="2" s="1"/>
  <c r="O638" i="2"/>
  <c r="M638" i="2" s="1"/>
  <c r="AD638" i="2" s="1"/>
  <c r="O639" i="2"/>
  <c r="M639" i="2" s="1"/>
  <c r="AD639" i="2" s="1"/>
  <c r="O640" i="2"/>
  <c r="M640" i="2" s="1"/>
  <c r="AD640" i="2" s="1"/>
  <c r="O641" i="2"/>
  <c r="M641" i="2" s="1"/>
  <c r="AD641" i="2" s="1"/>
  <c r="O642" i="2"/>
  <c r="M642" i="2" s="1"/>
  <c r="AD642" i="2" s="1"/>
  <c r="O643" i="2"/>
  <c r="O644" i="2"/>
  <c r="M644" i="2" s="1"/>
  <c r="AD644" i="2" s="1"/>
  <c r="O645" i="2"/>
  <c r="M645" i="2" s="1"/>
  <c r="AD645" i="2" s="1"/>
  <c r="O646" i="2"/>
  <c r="Q646" i="2" s="1"/>
  <c r="O647" i="2"/>
  <c r="M647" i="2" s="1"/>
  <c r="AD647" i="2" s="1"/>
  <c r="O648" i="2"/>
  <c r="O649" i="2"/>
  <c r="Q649" i="2" s="1"/>
  <c r="O650" i="2"/>
  <c r="M650" i="2" s="1"/>
  <c r="AD650" i="2" s="1"/>
  <c r="O651" i="2"/>
  <c r="M651" i="2" s="1"/>
  <c r="AD651" i="2" s="1"/>
  <c r="O652" i="2"/>
  <c r="M652" i="2" s="1"/>
  <c r="AD652" i="2" s="1"/>
  <c r="O653" i="2"/>
  <c r="O654" i="2"/>
  <c r="M654" i="2" s="1"/>
  <c r="AD654" i="2" s="1"/>
  <c r="O655" i="2"/>
  <c r="O656" i="2"/>
  <c r="M656" i="2" s="1"/>
  <c r="AD656" i="2" s="1"/>
  <c r="O657" i="2"/>
  <c r="M657" i="2" s="1"/>
  <c r="AD657" i="2" s="1"/>
  <c r="O658" i="2"/>
  <c r="Q658" i="2" s="1"/>
  <c r="O659" i="2"/>
  <c r="O660" i="2"/>
  <c r="M660" i="2" s="1"/>
  <c r="AD660" i="2" s="1"/>
  <c r="O661" i="2"/>
  <c r="O662" i="2"/>
  <c r="M662" i="2" s="1"/>
  <c r="AD662" i="2" s="1"/>
  <c r="O663" i="2"/>
  <c r="O664" i="2"/>
  <c r="O665" i="2"/>
  <c r="Q665" i="2" s="1"/>
  <c r="O666" i="2"/>
  <c r="M666" i="2" s="1"/>
  <c r="AD666" i="2" s="1"/>
  <c r="O667" i="2"/>
  <c r="M667" i="2" s="1"/>
  <c r="AD667" i="2" s="1"/>
  <c r="O668" i="2"/>
  <c r="O669" i="2"/>
  <c r="M669" i="2" s="1"/>
  <c r="AD669" i="2" s="1"/>
  <c r="O670" i="2"/>
  <c r="O671" i="2"/>
  <c r="M671" i="2" s="1"/>
  <c r="AD671" i="2" s="1"/>
  <c r="O672" i="2"/>
  <c r="O673" i="2"/>
  <c r="Q673" i="2" s="1"/>
  <c r="O674" i="2"/>
  <c r="Q674" i="2" s="1"/>
  <c r="O675" i="2"/>
  <c r="M675" i="2" s="1"/>
  <c r="AD675" i="2" s="1"/>
  <c r="O676" i="2"/>
  <c r="Q676" i="2" s="1"/>
  <c r="O677" i="2"/>
  <c r="M677" i="2" s="1"/>
  <c r="AD677" i="2" s="1"/>
  <c r="O678" i="2"/>
  <c r="M678" i="2" s="1"/>
  <c r="AD678" i="2" s="1"/>
  <c r="O679" i="2"/>
  <c r="Q679" i="2" s="1"/>
  <c r="O680" i="2"/>
  <c r="O681" i="2"/>
  <c r="O682" i="2"/>
  <c r="Q682" i="2" s="1"/>
  <c r="O683" i="2"/>
  <c r="O684" i="2"/>
  <c r="O685" i="2"/>
  <c r="O686" i="2"/>
  <c r="O687" i="2"/>
  <c r="O688" i="2"/>
  <c r="O689" i="2"/>
  <c r="Q689" i="2" s="1"/>
  <c r="O690" i="2"/>
  <c r="Q690" i="2" s="1"/>
  <c r="O691" i="2"/>
  <c r="Q691" i="2" s="1"/>
  <c r="O692" i="2"/>
  <c r="Q692" i="2" s="1"/>
  <c r="O693" i="2"/>
  <c r="M693" i="2" s="1"/>
  <c r="AD693" i="2" s="1"/>
  <c r="O694" i="2"/>
  <c r="M694" i="2" s="1"/>
  <c r="AD694" i="2" s="1"/>
  <c r="O695" i="2"/>
  <c r="M695" i="2" s="1"/>
  <c r="AD695" i="2" s="1"/>
  <c r="O696" i="2"/>
  <c r="Q696" i="2" s="1"/>
  <c r="O697" i="2"/>
  <c r="Q697" i="2" s="1"/>
  <c r="O698" i="2"/>
  <c r="O699" i="2"/>
  <c r="M699" i="2" s="1"/>
  <c r="AD699" i="2" s="1"/>
  <c r="O700" i="2"/>
  <c r="Q700" i="2" s="1"/>
  <c r="O701" i="2"/>
  <c r="M701" i="2" s="1"/>
  <c r="AD701" i="2" s="1"/>
  <c r="O702" i="2"/>
  <c r="M702" i="2" s="1"/>
  <c r="AD702" i="2" s="1"/>
  <c r="O703" i="2"/>
  <c r="M703" i="2" s="1"/>
  <c r="AD703" i="2" s="1"/>
  <c r="O704" i="2"/>
  <c r="O705" i="2"/>
  <c r="M705" i="2" s="1"/>
  <c r="AD705" i="2" s="1"/>
  <c r="O706" i="2"/>
  <c r="M706" i="2" s="1"/>
  <c r="AD706" i="2" s="1"/>
  <c r="O707" i="2"/>
  <c r="M707" i="2" s="1"/>
  <c r="AD707" i="2" s="1"/>
  <c r="O708" i="2"/>
  <c r="Q708" i="2" s="1"/>
  <c r="O709" i="2"/>
  <c r="M709" i="2" s="1"/>
  <c r="AD709" i="2" s="1"/>
  <c r="O710" i="2"/>
  <c r="M710" i="2" s="1"/>
  <c r="AD710" i="2" s="1"/>
  <c r="O711" i="2"/>
  <c r="M711" i="2" s="1"/>
  <c r="AD711" i="2" s="1"/>
  <c r="O712" i="2"/>
  <c r="Q712" i="2" s="1"/>
  <c r="O713" i="2"/>
  <c r="M713" i="2" s="1"/>
  <c r="AD713" i="2" s="1"/>
  <c r="O714" i="2"/>
  <c r="Q714" i="2" s="1"/>
  <c r="O715" i="2"/>
  <c r="M715" i="2" s="1"/>
  <c r="AD715" i="2" s="1"/>
  <c r="O716" i="2"/>
  <c r="O717" i="2"/>
  <c r="M717" i="2" s="1"/>
  <c r="AD717" i="2" s="1"/>
  <c r="O718" i="2"/>
  <c r="O719" i="2"/>
  <c r="M719" i="2" s="1"/>
  <c r="AD719" i="2" s="1"/>
  <c r="O720" i="2"/>
  <c r="O721" i="2"/>
  <c r="O722" i="2"/>
  <c r="Q722" i="2" s="1"/>
  <c r="O723" i="2"/>
  <c r="Q723" i="2" s="1"/>
  <c r="O724" i="2"/>
  <c r="M724" i="2" s="1"/>
  <c r="AD724" i="2" s="1"/>
  <c r="O725" i="2"/>
  <c r="O726" i="2"/>
  <c r="M726" i="2" s="1"/>
  <c r="AD726" i="2" s="1"/>
  <c r="O727" i="2"/>
  <c r="M727" i="2" s="1"/>
  <c r="AD727" i="2" s="1"/>
  <c r="O728" i="2"/>
  <c r="M728" i="2" s="1"/>
  <c r="AD728" i="2" s="1"/>
  <c r="O729" i="2"/>
  <c r="O730" i="2"/>
  <c r="M730" i="2" s="1"/>
  <c r="AD730" i="2" s="1"/>
  <c r="O731" i="2"/>
  <c r="M731" i="2" s="1"/>
  <c r="AD731" i="2" s="1"/>
  <c r="O732" i="2"/>
  <c r="Q732" i="2" s="1"/>
  <c r="O733" i="2"/>
  <c r="M733" i="2" s="1"/>
  <c r="AD733" i="2" s="1"/>
  <c r="O734" i="2"/>
  <c r="M734" i="2" s="1"/>
  <c r="AD734" i="2" s="1"/>
  <c r="O735" i="2"/>
  <c r="M735" i="2" s="1"/>
  <c r="AD735" i="2" s="1"/>
  <c r="O736" i="2"/>
  <c r="Q736" i="2" s="1"/>
  <c r="O737" i="2"/>
  <c r="M737" i="2" s="1"/>
  <c r="AD737" i="2" s="1"/>
  <c r="O738" i="2"/>
  <c r="M738" i="2" s="1"/>
  <c r="AD738" i="2" s="1"/>
  <c r="O739" i="2"/>
  <c r="M739" i="2" s="1"/>
  <c r="AD739" i="2" s="1"/>
  <c r="O740" i="2"/>
  <c r="M740" i="2" s="1"/>
  <c r="AD740" i="2" s="1"/>
  <c r="O741" i="2"/>
  <c r="M741" i="2" s="1"/>
  <c r="AD741" i="2" s="1"/>
  <c r="O742" i="2"/>
  <c r="M742" i="2" s="1"/>
  <c r="AD742" i="2" s="1"/>
  <c r="O743" i="2"/>
  <c r="O744" i="2"/>
  <c r="O745" i="2"/>
  <c r="M745" i="2" s="1"/>
  <c r="AD745" i="2" s="1"/>
  <c r="O746" i="2"/>
  <c r="M746" i="2" s="1"/>
  <c r="AD746" i="2" s="1"/>
  <c r="O747" i="2"/>
  <c r="O748" i="2"/>
  <c r="O749" i="2"/>
  <c r="O750" i="2"/>
  <c r="M750" i="2" s="1"/>
  <c r="AD750" i="2" s="1"/>
  <c r="O751" i="2"/>
  <c r="O752" i="2"/>
  <c r="O753" i="2"/>
  <c r="M753" i="2" s="1"/>
  <c r="AD753" i="2" s="1"/>
  <c r="O754" i="2"/>
  <c r="M754" i="2" s="1"/>
  <c r="AD754" i="2" s="1"/>
  <c r="O755" i="2"/>
  <c r="O756" i="2"/>
  <c r="M756" i="2" s="1"/>
  <c r="AD756" i="2" s="1"/>
  <c r="O757" i="2"/>
  <c r="M757" i="2" s="1"/>
  <c r="AD757" i="2" s="1"/>
  <c r="O758" i="2"/>
  <c r="M758" i="2" s="1"/>
  <c r="AD758" i="2" s="1"/>
  <c r="O759" i="2"/>
  <c r="O760" i="2"/>
  <c r="O761" i="2"/>
  <c r="O762" i="2"/>
  <c r="M762" i="2" s="1"/>
  <c r="AD762" i="2" s="1"/>
  <c r="O763" i="2"/>
  <c r="M763" i="2" s="1"/>
  <c r="AD763" i="2" s="1"/>
  <c r="O764" i="2"/>
  <c r="M764" i="2" s="1"/>
  <c r="AD764" i="2" s="1"/>
  <c r="O765" i="2"/>
  <c r="M765" i="2" s="1"/>
  <c r="AD765" i="2" s="1"/>
  <c r="O766" i="2"/>
  <c r="Q766" i="2" s="1"/>
  <c r="O767" i="2"/>
  <c r="M767" i="2" s="1"/>
  <c r="AD767" i="2" s="1"/>
  <c r="O768" i="2"/>
  <c r="O769" i="2"/>
  <c r="M769" i="2" s="1"/>
  <c r="AD769" i="2" s="1"/>
  <c r="O770" i="2"/>
  <c r="O771" i="2"/>
  <c r="M771" i="2" s="1"/>
  <c r="AD771" i="2" s="1"/>
  <c r="O772" i="2"/>
  <c r="Q772" i="2" s="1"/>
  <c r="O773" i="2"/>
  <c r="O774" i="2"/>
  <c r="M774" i="2" s="1"/>
  <c r="AD774" i="2" s="1"/>
  <c r="O775" i="2"/>
  <c r="Q775" i="2" s="1"/>
  <c r="O776" i="2"/>
  <c r="M776" i="2" s="1"/>
  <c r="AD776" i="2" s="1"/>
  <c r="O777" i="2"/>
  <c r="M777" i="2" s="1"/>
  <c r="AD777" i="2" s="1"/>
  <c r="O778" i="2"/>
  <c r="M778" i="2" s="1"/>
  <c r="AD778" i="2" s="1"/>
  <c r="O779" i="2"/>
  <c r="Q779" i="2" s="1"/>
  <c r="O780" i="2"/>
  <c r="O781" i="2"/>
  <c r="M781" i="2" s="1"/>
  <c r="AD781" i="2" s="1"/>
  <c r="O782" i="2"/>
  <c r="M782" i="2" s="1"/>
  <c r="AD782" i="2" s="1"/>
  <c r="O783" i="2"/>
  <c r="O784" i="2"/>
  <c r="O785" i="2"/>
  <c r="M785" i="2" s="1"/>
  <c r="AD785" i="2" s="1"/>
  <c r="O786" i="2"/>
  <c r="O787" i="2"/>
  <c r="Q787" i="2" s="1"/>
  <c r="O788" i="2"/>
  <c r="M788" i="2" s="1"/>
  <c r="AD788" i="2" s="1"/>
  <c r="O789" i="2"/>
  <c r="Q789" i="2" s="1"/>
  <c r="O790" i="2"/>
  <c r="M790" i="2" s="1"/>
  <c r="AD790" i="2" s="1"/>
  <c r="O791" i="2"/>
  <c r="M791" i="2" s="1"/>
  <c r="AD791" i="2" s="1"/>
  <c r="O792" i="2"/>
  <c r="O793" i="2"/>
  <c r="M793" i="2" s="1"/>
  <c r="AD793" i="2" s="1"/>
  <c r="O794" i="2"/>
  <c r="Q794" i="2" s="1"/>
  <c r="O795" i="2"/>
  <c r="M795" i="2" s="1"/>
  <c r="AD795" i="2" s="1"/>
  <c r="O796" i="2"/>
  <c r="Q796" i="2" s="1"/>
  <c r="O797" i="2"/>
  <c r="M797" i="2" s="1"/>
  <c r="AD797" i="2" s="1"/>
  <c r="O798" i="2"/>
  <c r="O799" i="2"/>
  <c r="M799" i="2" s="1"/>
  <c r="AD799" i="2" s="1"/>
  <c r="O800" i="2"/>
  <c r="Q800" i="2" s="1"/>
  <c r="O801" i="2"/>
  <c r="M801" i="2" s="1"/>
  <c r="AD801" i="2" s="1"/>
  <c r="O802" i="2"/>
  <c r="O803" i="2"/>
  <c r="M803" i="2" s="1"/>
  <c r="AD803" i="2" s="1"/>
  <c r="O804" i="2"/>
  <c r="Q804" i="2" s="1"/>
  <c r="O805" i="2"/>
  <c r="M805" i="2" s="1"/>
  <c r="AD805" i="2" s="1"/>
  <c r="O806" i="2"/>
  <c r="M806" i="2" s="1"/>
  <c r="AD806" i="2" s="1"/>
  <c r="O807" i="2"/>
  <c r="M807" i="2" s="1"/>
  <c r="AD807" i="2" s="1"/>
  <c r="O808" i="2"/>
  <c r="M808" i="2" s="1"/>
  <c r="AD808" i="2" s="1"/>
  <c r="O809" i="2"/>
  <c r="M809" i="2" s="1"/>
  <c r="AD809" i="2" s="1"/>
  <c r="O810" i="2"/>
  <c r="M810" i="2" s="1"/>
  <c r="AD810" i="2" s="1"/>
  <c r="O811" i="2"/>
  <c r="Q811" i="2" s="1"/>
  <c r="O812" i="2"/>
  <c r="M812" i="2" s="1"/>
  <c r="AD812" i="2" s="1"/>
  <c r="O813" i="2"/>
  <c r="M813" i="2" s="1"/>
  <c r="AD813" i="2" s="1"/>
  <c r="O814" i="2"/>
  <c r="Q814" i="2" s="1"/>
  <c r="O815" i="2"/>
  <c r="M815" i="2" s="1"/>
  <c r="AD815" i="2" s="1"/>
  <c r="O816" i="2"/>
  <c r="Q816" i="2" s="1"/>
  <c r="O817" i="2"/>
  <c r="M817" i="2" s="1"/>
  <c r="AD817" i="2" s="1"/>
  <c r="O818" i="2"/>
  <c r="O819" i="2"/>
  <c r="M819" i="2" s="1"/>
  <c r="AD819" i="2" s="1"/>
  <c r="O820" i="2"/>
  <c r="Q820" i="2" s="1"/>
  <c r="O821" i="2"/>
  <c r="Q821" i="2" s="1"/>
  <c r="O822" i="2"/>
  <c r="Q822" i="2" s="1"/>
  <c r="O823" i="2"/>
  <c r="O824" i="2"/>
  <c r="Q824" i="2" s="1"/>
  <c r="O825" i="2"/>
  <c r="M825" i="2" s="1"/>
  <c r="AD825" i="2" s="1"/>
  <c r="O826" i="2"/>
  <c r="O827" i="2"/>
  <c r="O828" i="2"/>
  <c r="Q828" i="2" s="1"/>
  <c r="O829" i="2"/>
  <c r="O830" i="2"/>
  <c r="M830" i="2" s="1"/>
  <c r="AD830" i="2" s="1"/>
  <c r="O831" i="2"/>
  <c r="M831" i="2" s="1"/>
  <c r="AD831" i="2" s="1"/>
  <c r="O832" i="2"/>
  <c r="O833" i="2"/>
  <c r="M833" i="2" s="1"/>
  <c r="AD833" i="2" s="1"/>
  <c r="O834" i="2"/>
  <c r="O835" i="2"/>
  <c r="M835" i="2" s="1"/>
  <c r="AD835" i="2" s="1"/>
  <c r="O836" i="2"/>
  <c r="Q836" i="2" s="1"/>
  <c r="O837" i="2"/>
  <c r="M837" i="2" s="1"/>
  <c r="AD837" i="2" s="1"/>
  <c r="O838" i="2"/>
  <c r="O839" i="2"/>
  <c r="O840" i="2"/>
  <c r="M840" i="2" s="1"/>
  <c r="AD840" i="2" s="1"/>
  <c r="O841" i="2"/>
  <c r="Q841" i="2" s="1"/>
  <c r="O842" i="2"/>
  <c r="Q842" i="2" s="1"/>
  <c r="O843" i="2"/>
  <c r="O844" i="2"/>
  <c r="M844" i="2" s="1"/>
  <c r="AD844" i="2" s="1"/>
  <c r="O845" i="2"/>
  <c r="M845" i="2" s="1"/>
  <c r="AD845" i="2" s="1"/>
  <c r="O846" i="2"/>
  <c r="Q846" i="2" s="1"/>
  <c r="O847" i="2"/>
  <c r="M847" i="2" s="1"/>
  <c r="AD847" i="2" s="1"/>
  <c r="O848" i="2"/>
  <c r="M848" i="2" s="1"/>
  <c r="AD848" i="2" s="1"/>
  <c r="O849" i="2"/>
  <c r="Q849" i="2" s="1"/>
  <c r="O850" i="2"/>
  <c r="Q850" i="2" s="1"/>
  <c r="O851" i="2"/>
  <c r="O852" i="2"/>
  <c r="M852" i="2" s="1"/>
  <c r="AD852" i="2" s="1"/>
  <c r="O853" i="2"/>
  <c r="Q853" i="2" s="1"/>
  <c r="O854" i="2"/>
  <c r="M854" i="2" s="1"/>
  <c r="AD854" i="2" s="1"/>
  <c r="O855" i="2"/>
  <c r="M855" i="2" s="1"/>
  <c r="AD855" i="2" s="1"/>
  <c r="O856" i="2"/>
  <c r="M856" i="2" s="1"/>
  <c r="AD856" i="2" s="1"/>
  <c r="O857" i="2"/>
  <c r="Q857" i="2" s="1"/>
  <c r="O858" i="2"/>
  <c r="M858" i="2" s="1"/>
  <c r="AD858" i="2" s="1"/>
  <c r="O859" i="2"/>
  <c r="O860" i="2"/>
  <c r="M860" i="2" s="1"/>
  <c r="AD860" i="2" s="1"/>
  <c r="O861" i="2"/>
  <c r="M861" i="2" s="1"/>
  <c r="AD861" i="2" s="1"/>
  <c r="O862" i="2"/>
  <c r="O863" i="2"/>
  <c r="M863" i="2" s="1"/>
  <c r="AD863" i="2" s="1"/>
  <c r="O864" i="2"/>
  <c r="M864" i="2" s="1"/>
  <c r="AD864" i="2" s="1"/>
  <c r="O865" i="2"/>
  <c r="Q865" i="2" s="1"/>
  <c r="O866" i="2"/>
  <c r="O867" i="2"/>
  <c r="O868" i="2"/>
  <c r="Q868" i="2" s="1"/>
  <c r="O869" i="2"/>
  <c r="M869" i="2" s="1"/>
  <c r="AD869" i="2" s="1"/>
  <c r="O870" i="2"/>
  <c r="Q870" i="2" s="1"/>
  <c r="O871" i="2"/>
  <c r="O872" i="2"/>
  <c r="Q872" i="2" s="1"/>
  <c r="O873" i="2"/>
  <c r="M873" i="2" s="1"/>
  <c r="AD873" i="2" s="1"/>
  <c r="O874" i="2"/>
  <c r="M874" i="2" s="1"/>
  <c r="AD874" i="2" s="1"/>
  <c r="O875" i="2"/>
  <c r="O876" i="2"/>
  <c r="M876" i="2" s="1"/>
  <c r="AD876" i="2" s="1"/>
  <c r="O877" i="2"/>
  <c r="O878" i="2"/>
  <c r="M878" i="2" s="1"/>
  <c r="AD878" i="2" s="1"/>
  <c r="O879" i="2"/>
  <c r="Q879" i="2" s="1"/>
  <c r="O880" i="2"/>
  <c r="O881" i="2"/>
  <c r="Q881" i="2" s="1"/>
  <c r="O882" i="2"/>
  <c r="M882" i="2" s="1"/>
  <c r="AD882" i="2" s="1"/>
  <c r="O883" i="2"/>
  <c r="O884" i="2"/>
  <c r="M884" i="2" s="1"/>
  <c r="AD884" i="2" s="1"/>
  <c r="O885" i="2"/>
  <c r="M885" i="2" s="1"/>
  <c r="AD885" i="2" s="1"/>
  <c r="O886" i="2"/>
  <c r="M886" i="2" s="1"/>
  <c r="AD886" i="2" s="1"/>
  <c r="O887" i="2"/>
  <c r="O888" i="2"/>
  <c r="M888" i="2" s="1"/>
  <c r="AD888" i="2" s="1"/>
  <c r="O889" i="2"/>
  <c r="Q889" i="2" s="1"/>
  <c r="O890" i="2"/>
  <c r="O891" i="2"/>
  <c r="Q891" i="2" s="1"/>
  <c r="O892" i="2"/>
  <c r="M892" i="2" s="1"/>
  <c r="AD892" i="2" s="1"/>
  <c r="O893" i="2"/>
  <c r="M893" i="2" s="1"/>
  <c r="AD893" i="2" s="1"/>
  <c r="O894" i="2"/>
  <c r="O895" i="2"/>
  <c r="M895" i="2" s="1"/>
  <c r="AD895" i="2" s="1"/>
  <c r="O896" i="2"/>
  <c r="M896" i="2" s="1"/>
  <c r="AD896" i="2" s="1"/>
  <c r="O897" i="2"/>
  <c r="O898" i="2"/>
  <c r="M898" i="2" s="1"/>
  <c r="AD898" i="2" s="1"/>
  <c r="O899" i="2"/>
  <c r="M899" i="2" s="1"/>
  <c r="AD899" i="2" s="1"/>
  <c r="O900" i="2"/>
  <c r="M900" i="2" s="1"/>
  <c r="AD900" i="2" s="1"/>
  <c r="O901" i="2"/>
  <c r="Q901" i="2" s="1"/>
  <c r="O902" i="2"/>
  <c r="M902" i="2" s="1"/>
  <c r="AD902" i="2" s="1"/>
  <c r="O903" i="2"/>
  <c r="M903" i="2" s="1"/>
  <c r="AD903" i="2" s="1"/>
  <c r="O904" i="2"/>
  <c r="Q904" i="2" s="1"/>
  <c r="O905" i="2"/>
  <c r="Q905" i="2" s="1"/>
  <c r="O906" i="2"/>
  <c r="M906" i="2" s="1"/>
  <c r="AD906" i="2" s="1"/>
  <c r="O907" i="2"/>
  <c r="O908" i="2"/>
  <c r="M908" i="2" s="1"/>
  <c r="AD908" i="2" s="1"/>
  <c r="O909" i="2"/>
  <c r="O910" i="2"/>
  <c r="Q910" i="2" s="1"/>
  <c r="O911" i="2"/>
  <c r="M911" i="2" s="1"/>
  <c r="AD911" i="2" s="1"/>
  <c r="O912" i="2"/>
  <c r="M912" i="2" s="1"/>
  <c r="AD912" i="2" s="1"/>
  <c r="O913" i="2"/>
  <c r="Q913" i="2" s="1"/>
  <c r="O914" i="2"/>
  <c r="O915" i="2"/>
  <c r="O916" i="2"/>
  <c r="Q916" i="2" s="1"/>
  <c r="O917" i="2"/>
  <c r="M917" i="2" s="1"/>
  <c r="AD917" i="2" s="1"/>
  <c r="O918" i="2"/>
  <c r="M918" i="2" s="1"/>
  <c r="AD918" i="2" s="1"/>
  <c r="O919" i="2"/>
  <c r="M919" i="2" s="1"/>
  <c r="AD919" i="2" s="1"/>
  <c r="O920" i="2"/>
  <c r="O921" i="2"/>
  <c r="Q921" i="2" s="1"/>
  <c r="O922" i="2"/>
  <c r="O923" i="2"/>
  <c r="M923" i="2" s="1"/>
  <c r="AD923" i="2" s="1"/>
  <c r="O924" i="2"/>
  <c r="M924" i="2" s="1"/>
  <c r="AD924" i="2" s="1"/>
  <c r="O925" i="2"/>
  <c r="M925" i="2" s="1"/>
  <c r="AD925" i="2" s="1"/>
  <c r="O926" i="2"/>
  <c r="M926" i="2" s="1"/>
  <c r="AD926" i="2" s="1"/>
  <c r="O927" i="2"/>
  <c r="O928" i="2"/>
  <c r="O929" i="2"/>
  <c r="Q929" i="2" s="1"/>
  <c r="O930" i="2"/>
  <c r="M930" i="2" s="1"/>
  <c r="AD930" i="2" s="1"/>
  <c r="O931" i="2"/>
  <c r="Q931" i="2" s="1"/>
  <c r="O932" i="2"/>
  <c r="M932" i="2" s="1"/>
  <c r="AD932" i="2" s="1"/>
  <c r="O933" i="2"/>
  <c r="M933" i="2" s="1"/>
  <c r="AD933" i="2" s="1"/>
  <c r="O934" i="2"/>
  <c r="M934" i="2" s="1"/>
  <c r="AD934" i="2" s="1"/>
  <c r="O935" i="2"/>
  <c r="M935" i="2" s="1"/>
  <c r="AD935" i="2" s="1"/>
  <c r="O936" i="2"/>
  <c r="M936" i="2" s="1"/>
  <c r="AD936" i="2" s="1"/>
  <c r="O937" i="2"/>
  <c r="O938" i="2"/>
  <c r="M938" i="2" s="1"/>
  <c r="AD938" i="2" s="1"/>
  <c r="O939" i="2"/>
  <c r="Q939" i="2" s="1"/>
  <c r="O940" i="2"/>
  <c r="M940" i="2" s="1"/>
  <c r="AD940" i="2" s="1"/>
  <c r="O941" i="2"/>
  <c r="M941" i="2" s="1"/>
  <c r="AD941" i="2" s="1"/>
  <c r="O942" i="2"/>
  <c r="O943" i="2"/>
  <c r="M943" i="2" s="1"/>
  <c r="AD943" i="2" s="1"/>
  <c r="O944" i="2"/>
  <c r="M944" i="2" s="1"/>
  <c r="AD944" i="2" s="1"/>
  <c r="O945" i="2"/>
  <c r="Q945" i="2" s="1"/>
  <c r="O946" i="2"/>
  <c r="O947" i="2"/>
  <c r="M947" i="2" s="1"/>
  <c r="AD947" i="2" s="1"/>
  <c r="O948" i="2"/>
  <c r="O949" i="2"/>
  <c r="Q949" i="2" s="1"/>
  <c r="O950" i="2"/>
  <c r="M950" i="2" s="1"/>
  <c r="AD950" i="2" s="1"/>
  <c r="O951" i="2"/>
  <c r="M951" i="2" s="1"/>
  <c r="AD951" i="2" s="1"/>
  <c r="O952" i="2"/>
  <c r="O953" i="2"/>
  <c r="M953" i="2" s="1"/>
  <c r="AD953" i="2" s="1"/>
  <c r="O954" i="2"/>
  <c r="M954" i="2" s="1"/>
  <c r="AD954" i="2" s="1"/>
  <c r="O955" i="2"/>
  <c r="M955" i="2" s="1"/>
  <c r="AD955" i="2" s="1"/>
  <c r="O956" i="2"/>
  <c r="O957" i="2"/>
  <c r="M957" i="2" s="1"/>
  <c r="AD957" i="2" s="1"/>
  <c r="O958" i="2"/>
  <c r="M958" i="2" s="1"/>
  <c r="AD958" i="2" s="1"/>
  <c r="O959" i="2"/>
  <c r="O960" i="2"/>
  <c r="Q960" i="2" s="1"/>
  <c r="O961" i="2"/>
  <c r="M961" i="2" s="1"/>
  <c r="AD961" i="2" s="1"/>
  <c r="O962" i="2"/>
  <c r="M962" i="2" s="1"/>
  <c r="AD962" i="2" s="1"/>
  <c r="O963" i="2"/>
  <c r="M963" i="2" s="1"/>
  <c r="AD963" i="2" s="1"/>
  <c r="O964" i="2"/>
  <c r="Q964" i="2" s="1"/>
  <c r="O965" i="2"/>
  <c r="O966" i="2"/>
  <c r="M966" i="2" s="1"/>
  <c r="AD966" i="2" s="1"/>
  <c r="O967" i="2"/>
  <c r="Q967" i="2" s="1"/>
  <c r="O968" i="2"/>
  <c r="M968" i="2" s="1"/>
  <c r="AD968" i="2" s="1"/>
  <c r="O969" i="2"/>
  <c r="M969" i="2" s="1"/>
  <c r="AD969" i="2" s="1"/>
  <c r="O970" i="2"/>
  <c r="M970" i="2" s="1"/>
  <c r="AD970" i="2" s="1"/>
  <c r="O971" i="2"/>
  <c r="M971" i="2" s="1"/>
  <c r="AD971" i="2" s="1"/>
  <c r="O972" i="2"/>
  <c r="M972" i="2" s="1"/>
  <c r="AD972" i="2" s="1"/>
  <c r="O973" i="2"/>
  <c r="Q973" i="2" s="1"/>
  <c r="O974" i="2"/>
  <c r="O975" i="2"/>
  <c r="O976" i="2"/>
  <c r="O977" i="2"/>
  <c r="O978" i="2"/>
  <c r="M978" i="2" s="1"/>
  <c r="AD978" i="2" s="1"/>
  <c r="O979" i="2"/>
  <c r="M979" i="2" s="1"/>
  <c r="AD979" i="2" s="1"/>
  <c r="O980" i="2"/>
  <c r="M980" i="2" s="1"/>
  <c r="AD980" i="2" s="1"/>
  <c r="O981" i="2"/>
  <c r="M981" i="2" s="1"/>
  <c r="AD981" i="2" s="1"/>
  <c r="O982" i="2"/>
  <c r="M982" i="2" s="1"/>
  <c r="AD982" i="2" s="1"/>
  <c r="O983" i="2"/>
  <c r="M983" i="2" s="1"/>
  <c r="AD983" i="2" s="1"/>
  <c r="O984" i="2"/>
  <c r="M984" i="2" s="1"/>
  <c r="AD984" i="2" s="1"/>
  <c r="O985" i="2"/>
  <c r="M985" i="2" s="1"/>
  <c r="AD985" i="2" s="1"/>
  <c r="O986" i="2"/>
  <c r="M986" i="2" s="1"/>
  <c r="AD986" i="2" s="1"/>
  <c r="O987" i="2"/>
  <c r="M987" i="2" s="1"/>
  <c r="AD987" i="2" s="1"/>
  <c r="O988" i="2"/>
  <c r="M988" i="2" s="1"/>
  <c r="AD988" i="2" s="1"/>
  <c r="O989" i="2"/>
  <c r="M989" i="2" s="1"/>
  <c r="AD989" i="2" s="1"/>
  <c r="O990" i="2"/>
  <c r="O991" i="2"/>
  <c r="O992" i="2"/>
  <c r="M992" i="2" s="1"/>
  <c r="AD992" i="2" s="1"/>
  <c r="O993" i="2"/>
  <c r="M993" i="2" s="1"/>
  <c r="AD993" i="2" s="1"/>
  <c r="O994" i="2"/>
  <c r="O995" i="2"/>
  <c r="M995" i="2" s="1"/>
  <c r="AD995" i="2" s="1"/>
  <c r="O996" i="2"/>
  <c r="O997" i="2"/>
  <c r="O998" i="2"/>
  <c r="O999" i="2"/>
  <c r="M999" i="2" s="1"/>
  <c r="AD999" i="2" s="1"/>
  <c r="O1000" i="2"/>
  <c r="Q1000" i="2" s="1"/>
  <c r="O1001" i="2"/>
  <c r="O1002" i="2"/>
  <c r="Q1002" i="2" s="1"/>
  <c r="O1003" i="2"/>
  <c r="O1004" i="2"/>
  <c r="M1004" i="2" s="1"/>
  <c r="AD1004" i="2" s="1"/>
  <c r="O1005" i="2"/>
  <c r="M1005" i="2" s="1"/>
  <c r="AD1005" i="2" s="1"/>
  <c r="O1006" i="2"/>
  <c r="M1006" i="2" s="1"/>
  <c r="AD1006" i="2" s="1"/>
  <c r="O1007" i="2"/>
  <c r="M1007" i="2" s="1"/>
  <c r="AD1007" i="2" s="1"/>
  <c r="O1008" i="2"/>
  <c r="M1008" i="2" s="1"/>
  <c r="AD1008" i="2" s="1"/>
  <c r="O1009" i="2"/>
  <c r="O1010" i="2"/>
  <c r="M1010" i="2" s="1"/>
  <c r="AD1010" i="2" s="1"/>
  <c r="O1011" i="2"/>
  <c r="M1011" i="2" s="1"/>
  <c r="AD1011" i="2" s="1"/>
  <c r="O1012" i="2"/>
  <c r="Q1012" i="2" s="1"/>
  <c r="O1013" i="2"/>
  <c r="Q1013" i="2" s="1"/>
  <c r="O1014" i="2"/>
  <c r="M1014" i="2" s="1"/>
  <c r="AD1014" i="2" s="1"/>
  <c r="O1015" i="2"/>
  <c r="M1015" i="2" s="1"/>
  <c r="AD1015" i="2" s="1"/>
  <c r="O1016" i="2"/>
  <c r="M1016" i="2" s="1"/>
  <c r="AD1016" i="2" s="1"/>
  <c r="Q1023" i="2"/>
  <c r="Q1025" i="2"/>
  <c r="Q1030" i="2"/>
  <c r="Q1032" i="2"/>
  <c r="Q1033" i="2"/>
  <c r="Q1038" i="2"/>
  <c r="Q1039" i="2"/>
  <c r="Q1040" i="2"/>
  <c r="Q1041" i="2"/>
  <c r="Q1044" i="2"/>
  <c r="Q1045" i="2"/>
  <c r="Q1048" i="2"/>
  <c r="Q1051" i="2"/>
  <c r="Q1052" i="2"/>
  <c r="Q1057" i="2"/>
  <c r="Q1058" i="2"/>
  <c r="Q1062" i="2"/>
  <c r="Q1066" i="2"/>
  <c r="Q1069" i="2"/>
  <c r="Q1070" i="2"/>
  <c r="Q1074" i="2"/>
  <c r="Q1078" i="2"/>
  <c r="Q1081" i="2"/>
  <c r="Q1082" i="2"/>
  <c r="Q1085" i="2"/>
  <c r="Q1086" i="2"/>
  <c r="Q1089" i="2"/>
  <c r="Q1090" i="2"/>
  <c r="Q1093" i="2"/>
  <c r="Q1094" i="2"/>
  <c r="Q1097" i="2"/>
  <c r="Q1108" i="2"/>
  <c r="Q1109" i="2"/>
  <c r="A8" i="6"/>
  <c r="A9" i="6" s="1"/>
  <c r="A10" i="6" s="1"/>
  <c r="A11" i="6" s="1"/>
  <c r="A12" i="6" s="1"/>
  <c r="A13" i="6" s="1"/>
  <c r="A14" i="6" s="1"/>
  <c r="A15" i="6" s="1"/>
  <c r="A16" i="6" s="1"/>
  <c r="A17" i="6" s="1"/>
  <c r="A18" i="6" s="1"/>
  <c r="A19" i="6" s="1"/>
  <c r="A20" i="6" s="1"/>
  <c r="A21" i="6" s="1"/>
  <c r="A22" i="6" s="1"/>
  <c r="A23" i="6" s="1"/>
  <c r="A24" i="6" s="1"/>
  <c r="A8" i="5"/>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8" i="3"/>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B13" i="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C5" i="20"/>
  <c r="H8" i="20"/>
  <c r="H12" i="20"/>
  <c r="K7" i="8"/>
  <c r="H25" i="20" s="1"/>
  <c r="M7" i="2"/>
  <c r="AD7" i="2" s="1"/>
  <c r="E49" i="9"/>
  <c r="F49" i="9" s="1"/>
  <c r="G19" i="20"/>
  <c r="G8" i="20"/>
  <c r="G11" i="20"/>
  <c r="K7" i="7"/>
  <c r="G9" i="20"/>
  <c r="G10" i="20"/>
  <c r="K320" i="21"/>
  <c r="Q320" i="21" s="1"/>
  <c r="K340" i="21"/>
  <c r="Q340" i="21" s="1"/>
  <c r="K343" i="21"/>
  <c r="Q343" i="21" s="1"/>
  <c r="K363" i="21"/>
  <c r="Q363" i="21" s="1"/>
  <c r="K365" i="21"/>
  <c r="Q365" i="21" s="1"/>
  <c r="K383" i="21"/>
  <c r="Q383" i="21" s="1"/>
  <c r="K412" i="21"/>
  <c r="Q412" i="21" s="1"/>
  <c r="Q312" i="21"/>
  <c r="K427" i="21"/>
  <c r="Q427" i="21" s="1"/>
  <c r="K451" i="21"/>
  <c r="Q451" i="21" s="1"/>
  <c r="K457" i="21"/>
  <c r="Q457" i="21" s="1"/>
  <c r="K491" i="21"/>
  <c r="Q491" i="21" s="1"/>
  <c r="Q551" i="21"/>
  <c r="K968" i="21"/>
  <c r="Q968" i="21" s="1"/>
  <c r="K972" i="21"/>
  <c r="Q972" i="21" s="1"/>
  <c r="K981" i="21"/>
  <c r="Q981" i="21" s="1"/>
  <c r="K993" i="21"/>
  <c r="Q993" i="21" s="1"/>
  <c r="K5" i="21"/>
  <c r="K28" i="21"/>
  <c r="Q28" i="21" s="1"/>
  <c r="K32" i="21"/>
  <c r="Q32" i="21" s="1"/>
  <c r="K36" i="21"/>
  <c r="Q36" i="21" s="1"/>
  <c r="K40" i="21"/>
  <c r="Q40" i="21" s="1"/>
  <c r="K48" i="21"/>
  <c r="Q48" i="21" s="1"/>
  <c r="K52" i="21"/>
  <c r="Q52" i="21" s="1"/>
  <c r="K60" i="21"/>
  <c r="Q60" i="21" s="1"/>
  <c r="K68" i="21"/>
  <c r="Q68" i="21" s="1"/>
  <c r="K76" i="21"/>
  <c r="Q76" i="21" s="1"/>
  <c r="K84" i="21"/>
  <c r="Q84" i="21" s="1"/>
  <c r="K92" i="21"/>
  <c r="Q92" i="21" s="1"/>
  <c r="K100" i="21"/>
  <c r="Q100" i="21" s="1"/>
  <c r="K108" i="21"/>
  <c r="Q108" i="21" s="1"/>
  <c r="K116" i="21"/>
  <c r="Q116" i="21" s="1"/>
  <c r="K124" i="21"/>
  <c r="Q124" i="21" s="1"/>
  <c r="K132" i="21"/>
  <c r="Q132" i="21" s="1"/>
  <c r="K140" i="21"/>
  <c r="Q140" i="21" s="1"/>
  <c r="K148" i="21"/>
  <c r="Q148" i="21" s="1"/>
  <c r="K156" i="21"/>
  <c r="Q156" i="21" s="1"/>
  <c r="K164" i="21"/>
  <c r="Q164" i="21" s="1"/>
  <c r="K172" i="21"/>
  <c r="Q172" i="21" s="1"/>
  <c r="K180" i="21"/>
  <c r="Q180" i="21" s="1"/>
  <c r="K188" i="21"/>
  <c r="Q188" i="21" s="1"/>
  <c r="K196" i="21"/>
  <c r="Q196" i="21" s="1"/>
  <c r="K204" i="21"/>
  <c r="Q204" i="21" s="1"/>
  <c r="K212" i="21"/>
  <c r="Q212" i="21" s="1"/>
  <c r="K8" i="21"/>
  <c r="Q8" i="21" s="1"/>
  <c r="K12" i="21"/>
  <c r="Q12" i="21" s="1"/>
  <c r="K16" i="21"/>
  <c r="Q16" i="21" s="1"/>
  <c r="K24" i="21"/>
  <c r="Q24" i="21" s="1"/>
  <c r="K79" i="21"/>
  <c r="Q79" i="21" s="1"/>
  <c r="K571" i="21"/>
  <c r="Q571" i="21" s="1"/>
  <c r="K589" i="21"/>
  <c r="Q589" i="21" s="1"/>
  <c r="K608" i="21"/>
  <c r="Q608" i="21" s="1"/>
  <c r="K612" i="21"/>
  <c r="Q612" i="21" s="1"/>
  <c r="K624" i="21"/>
  <c r="Q624" i="21" s="1"/>
  <c r="K167" i="21"/>
  <c r="Q167" i="21" s="1"/>
  <c r="K224" i="21"/>
  <c r="Q224" i="21" s="1"/>
  <c r="K228" i="21"/>
  <c r="Q228" i="21" s="1"/>
  <c r="K232" i="21"/>
  <c r="Q232" i="21" s="1"/>
  <c r="K236" i="21"/>
  <c r="Q236" i="21" s="1"/>
  <c r="K252" i="21"/>
  <c r="Q252" i="21" s="1"/>
  <c r="K260" i="21"/>
  <c r="Q260" i="21" s="1"/>
  <c r="K264" i="21"/>
  <c r="Q264" i="21" s="1"/>
  <c r="K268" i="21"/>
  <c r="Q268" i="21" s="1"/>
  <c r="K272" i="21"/>
  <c r="Q272" i="21" s="1"/>
  <c r="K280" i="21"/>
  <c r="Q280" i="21" s="1"/>
  <c r="K291" i="21"/>
  <c r="Q291" i="21" s="1"/>
  <c r="K303" i="21"/>
  <c r="Q303" i="21" s="1"/>
  <c r="K315" i="21"/>
  <c r="Q315" i="21" s="1"/>
  <c r="K335" i="21"/>
  <c r="Q335" i="21" s="1"/>
  <c r="K386" i="21"/>
  <c r="Q386" i="21" s="1"/>
  <c r="K434" i="21"/>
  <c r="Q434" i="21" s="1"/>
  <c r="K514" i="21"/>
  <c r="Q514" i="21" s="1"/>
  <c r="K516" i="21"/>
  <c r="Q516" i="21" s="1"/>
  <c r="K524" i="21"/>
  <c r="Q524" i="21" s="1"/>
  <c r="K532" i="21"/>
  <c r="Q532" i="21" s="1"/>
  <c r="K534" i="21"/>
  <c r="Q534" i="21" s="1"/>
  <c r="K540" i="21"/>
  <c r="Q540" i="21" s="1"/>
  <c r="K548" i="21"/>
  <c r="Q548" i="21" s="1"/>
  <c r="K556" i="21"/>
  <c r="Q556" i="21" s="1"/>
  <c r="K564" i="21"/>
  <c r="Q564" i="21" s="1"/>
  <c r="K898" i="21"/>
  <c r="Q898" i="21" s="1"/>
  <c r="K892" i="21"/>
  <c r="Q892" i="21" s="1"/>
  <c r="K896" i="21"/>
  <c r="Q896" i="21" s="1"/>
  <c r="K900" i="21"/>
  <c r="Q900" i="21" s="1"/>
  <c r="K912" i="21"/>
  <c r="Q912" i="21" s="1"/>
  <c r="K916" i="21"/>
  <c r="Q916" i="21" s="1"/>
  <c r="K632" i="21"/>
  <c r="Q632" i="21" s="1"/>
  <c r="K655" i="21"/>
  <c r="Q655" i="21" s="1"/>
  <c r="K681" i="21"/>
  <c r="Q681" i="21" s="1"/>
  <c r="K683" i="21"/>
  <c r="Q683" i="21" s="1"/>
  <c r="K688" i="21"/>
  <c r="Q688" i="21" s="1"/>
  <c r="K710" i="21"/>
  <c r="Q710" i="21" s="1"/>
  <c r="K724" i="21"/>
  <c r="Q724" i="21" s="1"/>
  <c r="K738" i="21"/>
  <c r="Q738" i="21" s="1"/>
  <c r="K754" i="21"/>
  <c r="Q754" i="21" s="1"/>
  <c r="K770" i="21"/>
  <c r="Q770" i="21" s="1"/>
  <c r="K772" i="21"/>
  <c r="Q772" i="21" s="1"/>
  <c r="K782" i="21"/>
  <c r="Q782" i="21" s="1"/>
  <c r="K797" i="21"/>
  <c r="Q797" i="21" s="1"/>
  <c r="K800" i="21"/>
  <c r="Q800" i="21" s="1"/>
  <c r="K804" i="21"/>
  <c r="Q804" i="21" s="1"/>
  <c r="K812" i="21"/>
  <c r="Q812" i="21" s="1"/>
  <c r="K817" i="21"/>
  <c r="Q817" i="21" s="1"/>
  <c r="K821" i="21"/>
  <c r="Q821" i="21" s="1"/>
  <c r="K828" i="21"/>
  <c r="Q828" i="21" s="1"/>
  <c r="K832" i="21"/>
  <c r="Q832" i="21" s="1"/>
  <c r="K836" i="21"/>
  <c r="Q836" i="21" s="1"/>
  <c r="K844" i="21"/>
  <c r="Q844" i="21" s="1"/>
  <c r="K848" i="21"/>
  <c r="Q848" i="21" s="1"/>
  <c r="K850" i="21"/>
  <c r="Q850" i="21" s="1"/>
  <c r="K852" i="21"/>
  <c r="Q852" i="21" s="1"/>
  <c r="K856" i="21"/>
  <c r="Q856" i="21" s="1"/>
  <c r="K862" i="21"/>
  <c r="Q862" i="21" s="1"/>
  <c r="K864" i="21"/>
  <c r="Q864" i="21" s="1"/>
  <c r="K872" i="21"/>
  <c r="Q872" i="21" s="1"/>
  <c r="K876" i="21"/>
  <c r="Q876" i="21" s="1"/>
  <c r="K880" i="21"/>
  <c r="Q880" i="21" s="1"/>
  <c r="K882" i="21"/>
  <c r="Q882" i="21" s="1"/>
  <c r="K884" i="21"/>
  <c r="Q884" i="21" s="1"/>
  <c r="K921" i="21"/>
  <c r="Q921" i="21" s="1"/>
  <c r="K922" i="21"/>
  <c r="Q922" i="21" s="1"/>
  <c r="K924" i="21"/>
  <c r="Q924" i="21" s="1"/>
  <c r="K928" i="21"/>
  <c r="Q928" i="21" s="1"/>
  <c r="K930" i="21"/>
  <c r="Q930" i="21" s="1"/>
  <c r="K937" i="21"/>
  <c r="Q937" i="21" s="1"/>
  <c r="K941" i="21"/>
  <c r="Q941" i="21" s="1"/>
  <c r="K949" i="21"/>
  <c r="Q949" i="21" s="1"/>
  <c r="K957" i="21"/>
  <c r="Q957" i="21" s="1"/>
  <c r="K961" i="21"/>
  <c r="Q961" i="21" s="1"/>
  <c r="K965" i="21"/>
  <c r="Q965" i="21" s="1"/>
  <c r="K973" i="21"/>
  <c r="Q973" i="21" s="1"/>
  <c r="K976" i="21"/>
  <c r="Q976" i="21" s="1"/>
  <c r="K980" i="21"/>
  <c r="Q980" i="21" s="1"/>
  <c r="K984" i="21"/>
  <c r="Q984" i="21" s="1"/>
  <c r="K988" i="21"/>
  <c r="Q988" i="21" s="1"/>
  <c r="K992" i="21"/>
  <c r="Q992" i="21" s="1"/>
  <c r="B143" i="1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D7" i="16"/>
  <c r="D8" i="16" s="1"/>
  <c r="D9" i="16" s="1"/>
  <c r="D10" i="16" s="1"/>
  <c r="D11" i="16" s="1"/>
  <c r="D12" i="16" s="1"/>
  <c r="D13" i="16" s="1"/>
  <c r="D14" i="16" s="1"/>
  <c r="D15" i="16" s="1"/>
  <c r="D16" i="16" s="1"/>
  <c r="D17" i="16" s="1"/>
  <c r="D18" i="16" s="1"/>
  <c r="D19" i="16" s="1"/>
  <c r="D20" i="16" s="1"/>
  <c r="D21" i="16" s="1"/>
  <c r="D22" i="16" s="1"/>
  <c r="D23" i="16" s="1"/>
  <c r="D24" i="16" s="1"/>
  <c r="D25" i="16" s="1"/>
  <c r="D26" i="16" s="1"/>
  <c r="D27" i="16" s="1"/>
  <c r="D28" i="16" s="1"/>
  <c r="D29" i="16" s="1"/>
  <c r="D30" i="16" s="1"/>
  <c r="D31" i="16" s="1"/>
  <c r="D32" i="16" s="1"/>
  <c r="D33" i="16" s="1"/>
  <c r="D34" i="16" s="1"/>
  <c r="D35" i="16" s="1"/>
  <c r="D36" i="16" s="1"/>
  <c r="D37" i="16" s="1"/>
  <c r="D38" i="16" s="1"/>
  <c r="D39" i="16" s="1"/>
  <c r="D40" i="16" s="1"/>
  <c r="D41" i="16" s="1"/>
  <c r="D42" i="16" s="1"/>
  <c r="D43" i="16" s="1"/>
  <c r="D44" i="16" s="1"/>
  <c r="D45" i="16" s="1"/>
  <c r="D46" i="16" s="1"/>
  <c r="D47" i="16" s="1"/>
  <c r="D48" i="16" s="1"/>
  <c r="D49" i="16" s="1"/>
  <c r="D50" i="16" s="1"/>
  <c r="D51" i="16" s="1"/>
  <c r="D52" i="16" s="1"/>
  <c r="D53" i="16" s="1"/>
  <c r="D54" i="16" s="1"/>
  <c r="D55" i="16" s="1"/>
  <c r="D56" i="16" s="1"/>
  <c r="D57" i="16" s="1"/>
  <c r="D58" i="16" s="1"/>
  <c r="D59" i="16" s="1"/>
  <c r="D60" i="16" s="1"/>
  <c r="D61" i="16" s="1"/>
  <c r="D62" i="16" s="1"/>
  <c r="D63" i="16" s="1"/>
  <c r="D64" i="16" s="1"/>
  <c r="D65" i="16" s="1"/>
  <c r="M1054" i="2"/>
  <c r="AD1054" i="2" s="1"/>
  <c r="AD1038" i="2"/>
  <c r="AD1039" i="2"/>
  <c r="F23" i="13"/>
  <c r="F27" i="13" s="1"/>
  <c r="F25" i="13"/>
  <c r="H24" i="20"/>
  <c r="H15" i="20"/>
  <c r="Q1036" i="21"/>
  <c r="C89" i="12"/>
  <c r="C88" i="12" s="1"/>
  <c r="C87" i="12" s="1"/>
  <c r="C86" i="12" s="1"/>
  <c r="E25" i="20" l="1"/>
  <c r="E24" i="20"/>
  <c r="E23" i="20"/>
  <c r="E26" i="20"/>
  <c r="E22" i="20"/>
  <c r="E661" i="15"/>
  <c r="Q1079" i="2"/>
  <c r="G17" i="20"/>
  <c r="Q1111" i="2"/>
  <c r="Q1095" i="2"/>
  <c r="Q1083" i="2"/>
  <c r="D18" i="20"/>
  <c r="D17" i="20"/>
  <c r="D16" i="20"/>
  <c r="D19" i="20"/>
  <c r="D15" i="20"/>
  <c r="E19" i="20"/>
  <c r="E15" i="20"/>
  <c r="E17" i="20"/>
  <c r="E18" i="20"/>
  <c r="E16" i="20"/>
  <c r="C5" i="30"/>
  <c r="C7" i="30"/>
  <c r="C6" i="30"/>
  <c r="C7" i="31"/>
  <c r="C6" i="31"/>
  <c r="C5" i="31"/>
  <c r="H17" i="20"/>
  <c r="G18" i="20"/>
  <c r="Q1091" i="2"/>
  <c r="Q1071" i="2"/>
  <c r="Q1034" i="2"/>
  <c r="Q1028" i="2"/>
  <c r="H19" i="20"/>
  <c r="L2" i="8"/>
  <c r="D23" i="9" s="1"/>
  <c r="M1036" i="2"/>
  <c r="H18" i="20"/>
  <c r="H26" i="20"/>
  <c r="F48" i="9"/>
  <c r="F47" i="9" s="1"/>
  <c r="Q1075" i="2"/>
  <c r="D12" i="20"/>
  <c r="D8" i="20"/>
  <c r="D11" i="20"/>
  <c r="D10" i="20"/>
  <c r="D9" i="20"/>
  <c r="E9" i="20"/>
  <c r="E10" i="20"/>
  <c r="E12" i="20"/>
  <c r="E8" i="20"/>
  <c r="E11" i="20"/>
  <c r="E47" i="9"/>
  <c r="D6" i="30"/>
  <c r="D7" i="30"/>
  <c r="D5" i="30"/>
  <c r="D5" i="31"/>
  <c r="D7" i="31"/>
  <c r="D6" i="31"/>
  <c r="E6" i="30"/>
  <c r="E5" i="30"/>
  <c r="E7" i="30"/>
  <c r="E7" i="31"/>
  <c r="E6" i="31"/>
  <c r="E5" i="31"/>
  <c r="E654" i="15"/>
  <c r="H98" i="1"/>
  <c r="G97" i="1"/>
  <c r="F96" i="1"/>
  <c r="D95" i="1"/>
  <c r="C94" i="1"/>
  <c r="E93" i="1"/>
  <c r="H89" i="1"/>
  <c r="G88" i="1"/>
  <c r="F87" i="1"/>
  <c r="D86" i="1"/>
  <c r="C85" i="1"/>
  <c r="H96" i="1"/>
  <c r="G95" i="1"/>
  <c r="F94" i="1"/>
  <c r="D93" i="1"/>
  <c r="C92" i="1"/>
  <c r="E91" i="1"/>
  <c r="H91" i="1"/>
  <c r="G90" i="1"/>
  <c r="F89" i="1"/>
  <c r="D88" i="1"/>
  <c r="H94" i="1"/>
  <c r="G93" i="1"/>
  <c r="F92" i="1"/>
  <c r="D91" i="1"/>
  <c r="C90" i="1"/>
  <c r="E89" i="1"/>
  <c r="H85" i="1"/>
  <c r="G84" i="1"/>
  <c r="D98" i="1"/>
  <c r="C97" i="1"/>
  <c r="E98" i="1"/>
  <c r="H92" i="1"/>
  <c r="G91" i="1"/>
  <c r="F90" i="1"/>
  <c r="D89" i="1"/>
  <c r="C88" i="1"/>
  <c r="E86" i="1"/>
  <c r="H87" i="1"/>
  <c r="G86" i="1"/>
  <c r="F85" i="1"/>
  <c r="D84" i="1"/>
  <c r="E97" i="1"/>
  <c r="H90" i="1"/>
  <c r="G89" i="1"/>
  <c r="F88" i="1"/>
  <c r="D87" i="1"/>
  <c r="C86" i="1"/>
  <c r="H97" i="1"/>
  <c r="G96" i="1"/>
  <c r="F95" i="1"/>
  <c r="D94" i="1"/>
  <c r="C93" i="1"/>
  <c r="E92" i="1"/>
  <c r="H88" i="1"/>
  <c r="G87" i="1"/>
  <c r="F86" i="1"/>
  <c r="D85" i="1"/>
  <c r="C84" i="1"/>
  <c r="E84" i="1"/>
  <c r="G98" i="1"/>
  <c r="F97" i="1"/>
  <c r="D96" i="1"/>
  <c r="C95" i="1"/>
  <c r="E94" i="1"/>
  <c r="E85" i="1"/>
  <c r="H86" i="1"/>
  <c r="G85" i="1"/>
  <c r="F84" i="1"/>
  <c r="C98" i="1"/>
  <c r="E96" i="1"/>
  <c r="H93" i="1"/>
  <c r="G92" i="1"/>
  <c r="F91" i="1"/>
  <c r="D90" i="1"/>
  <c r="C89" i="1"/>
  <c r="E87" i="1"/>
  <c r="H84" i="1"/>
  <c r="F98" i="1"/>
  <c r="D97" i="1"/>
  <c r="C96" i="1"/>
  <c r="E95" i="1"/>
  <c r="H95" i="1"/>
  <c r="G94" i="1"/>
  <c r="F93" i="1"/>
  <c r="D92" i="1"/>
  <c r="C91" i="1"/>
  <c r="E90" i="1"/>
  <c r="C87" i="1"/>
  <c r="Q1029" i="2"/>
  <c r="Q1019" i="2"/>
  <c r="Q1167" i="2"/>
  <c r="M1024" i="2"/>
  <c r="AD1024" i="2" s="1"/>
  <c r="Q1021" i="2"/>
  <c r="G95" i="11"/>
  <c r="Q1076" i="2"/>
  <c r="Q1107" i="2"/>
  <c r="M1037" i="2"/>
  <c r="Q1084" i="2"/>
  <c r="Q1064" i="2"/>
  <c r="Q1096" i="2"/>
  <c r="Q1092" i="2"/>
  <c r="Q1088" i="2"/>
  <c r="Q1056" i="2"/>
  <c r="Q1047" i="2"/>
  <c r="Q1035" i="2"/>
  <c r="Q1031" i="2"/>
  <c r="Q1080" i="2"/>
  <c r="Q1043" i="2"/>
  <c r="Q1072" i="2"/>
  <c r="Q1068" i="2"/>
  <c r="Q1060" i="2"/>
  <c r="F12" i="20"/>
  <c r="F8" i="20"/>
  <c r="F11" i="20"/>
  <c r="F10" i="20"/>
  <c r="F9" i="20"/>
  <c r="G83" i="1"/>
  <c r="C83" i="1"/>
  <c r="F83" i="1"/>
  <c r="E83" i="1"/>
  <c r="H83" i="1"/>
  <c r="D83" i="1"/>
  <c r="K7" i="4"/>
  <c r="L2" i="4"/>
  <c r="D19" i="9" s="1"/>
  <c r="H15" i="14"/>
  <c r="C7" i="32"/>
  <c r="C6" i="32"/>
  <c r="C5" i="32"/>
  <c r="D5" i="32"/>
  <c r="D7" i="32"/>
  <c r="D6" i="32"/>
  <c r="F18" i="20"/>
  <c r="F15" i="20"/>
  <c r="F17" i="20"/>
  <c r="F19" i="20"/>
  <c r="F16" i="20"/>
  <c r="F24" i="20"/>
  <c r="F23" i="20"/>
  <c r="F26" i="20"/>
  <c r="F22" i="20"/>
  <c r="F25" i="20"/>
  <c r="E7" i="32"/>
  <c r="E6" i="32"/>
  <c r="E5" i="32"/>
  <c r="A725" i="3"/>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K9" i="3"/>
  <c r="L2" i="3"/>
  <c r="D18" i="9" s="1"/>
  <c r="E658" i="15"/>
  <c r="G661" i="15"/>
  <c r="I660" i="15"/>
  <c r="E660" i="15"/>
  <c r="G659" i="15"/>
  <c r="I658" i="15"/>
  <c r="J657" i="15"/>
  <c r="F657" i="15"/>
  <c r="H656" i="15"/>
  <c r="J655" i="15"/>
  <c r="F655" i="15"/>
  <c r="H654" i="15"/>
  <c r="F660" i="15"/>
  <c r="J661" i="15"/>
  <c r="F661" i="15"/>
  <c r="H660" i="15"/>
  <c r="J659" i="15"/>
  <c r="F659" i="15"/>
  <c r="H658" i="15"/>
  <c r="I657" i="15"/>
  <c r="E657" i="15"/>
  <c r="G656" i="15"/>
  <c r="I655" i="15"/>
  <c r="E655" i="15"/>
  <c r="G654" i="15"/>
  <c r="J660" i="15"/>
  <c r="J658" i="15"/>
  <c r="G657" i="15"/>
  <c r="I656" i="15"/>
  <c r="G655" i="15"/>
  <c r="I661" i="15"/>
  <c r="G660" i="15"/>
  <c r="I659" i="15"/>
  <c r="E659" i="15"/>
  <c r="G658" i="15"/>
  <c r="H657" i="15"/>
  <c r="J656" i="15"/>
  <c r="F656" i="15"/>
  <c r="H655" i="15"/>
  <c r="J654" i="15"/>
  <c r="F654" i="15"/>
  <c r="H661" i="15"/>
  <c r="H659" i="15"/>
  <c r="F658" i="15"/>
  <c r="E656" i="15"/>
  <c r="I654" i="15"/>
  <c r="F11" i="13"/>
  <c r="F15" i="13" s="1"/>
  <c r="F18" i="13" s="1"/>
  <c r="F29" i="13"/>
  <c r="F30" i="13"/>
  <c r="F17" i="13"/>
  <c r="Q1204" i="2"/>
  <c r="M117" i="2"/>
  <c r="AD117" i="2" s="1"/>
  <c r="F98" i="22"/>
  <c r="H97" i="22"/>
  <c r="D97" i="22"/>
  <c r="F96" i="22"/>
  <c r="H95" i="22"/>
  <c r="D95" i="22"/>
  <c r="F94" i="22"/>
  <c r="H93" i="22"/>
  <c r="D93" i="22"/>
  <c r="F92" i="22"/>
  <c r="H91" i="22"/>
  <c r="D91" i="22"/>
  <c r="F90" i="22"/>
  <c r="H89" i="22"/>
  <c r="D89" i="22"/>
  <c r="F88" i="22"/>
  <c r="H87" i="22"/>
  <c r="D87" i="22"/>
  <c r="F86" i="22"/>
  <c r="H85" i="22"/>
  <c r="D85" i="22"/>
  <c r="F84" i="22"/>
  <c r="H83" i="22"/>
  <c r="D83" i="22"/>
  <c r="F82" i="22"/>
  <c r="H81" i="22"/>
  <c r="D81" i="22"/>
  <c r="F80" i="22"/>
  <c r="H79" i="22"/>
  <c r="D79" i="22"/>
  <c r="F78" i="22"/>
  <c r="H77" i="22"/>
  <c r="E98" i="22"/>
  <c r="G97" i="22"/>
  <c r="C97" i="22"/>
  <c r="E96" i="22"/>
  <c r="G95" i="22"/>
  <c r="C95" i="22"/>
  <c r="E94" i="22"/>
  <c r="G93" i="22"/>
  <c r="C93" i="22"/>
  <c r="E92" i="22"/>
  <c r="G91" i="22"/>
  <c r="C91" i="22"/>
  <c r="E90" i="22"/>
  <c r="G89" i="22"/>
  <c r="C89" i="22"/>
  <c r="E88" i="22"/>
  <c r="G87" i="22"/>
  <c r="C87" i="22"/>
  <c r="E86" i="22"/>
  <c r="G85" i="22"/>
  <c r="C85" i="22"/>
  <c r="E84" i="22"/>
  <c r="G83" i="22"/>
  <c r="C83" i="22"/>
  <c r="E82" i="22"/>
  <c r="G81" i="22"/>
  <c r="C81" i="22"/>
  <c r="G98" i="22"/>
  <c r="C98" i="22"/>
  <c r="E97" i="22"/>
  <c r="G96" i="22"/>
  <c r="C96" i="22"/>
  <c r="E95" i="22"/>
  <c r="G94" i="22"/>
  <c r="C94" i="22"/>
  <c r="E93" i="22"/>
  <c r="G92" i="22"/>
  <c r="C92" i="22"/>
  <c r="E91" i="22"/>
  <c r="G90" i="22"/>
  <c r="C90" i="22"/>
  <c r="E89" i="22"/>
  <c r="G88" i="22"/>
  <c r="C88" i="22"/>
  <c r="E87" i="22"/>
  <c r="G86" i="22"/>
  <c r="C86" i="22"/>
  <c r="E85" i="22"/>
  <c r="G84" i="22"/>
  <c r="C84" i="22"/>
  <c r="E83" i="22"/>
  <c r="G82" i="22"/>
  <c r="C82" i="22"/>
  <c r="E81" i="22"/>
  <c r="G80" i="22"/>
  <c r="C80" i="22"/>
  <c r="E79" i="22"/>
  <c r="G78" i="22"/>
  <c r="C78" i="22"/>
  <c r="H98" i="22"/>
  <c r="D96" i="22"/>
  <c r="F93" i="22"/>
  <c r="H90" i="22"/>
  <c r="D88" i="22"/>
  <c r="F85" i="22"/>
  <c r="H82" i="22"/>
  <c r="E80" i="22"/>
  <c r="C79" i="22"/>
  <c r="G77" i="22"/>
  <c r="C77" i="22"/>
  <c r="E76" i="22"/>
  <c r="G75" i="22"/>
  <c r="C75" i="22"/>
  <c r="E74" i="22"/>
  <c r="G73" i="22"/>
  <c r="C73" i="22"/>
  <c r="E72" i="22"/>
  <c r="G71" i="22"/>
  <c r="C71" i="22"/>
  <c r="E70" i="22"/>
  <c r="G69" i="22"/>
  <c r="C69" i="22"/>
  <c r="E68" i="22"/>
  <c r="G67" i="22"/>
  <c r="C67" i="22"/>
  <c r="E66" i="22"/>
  <c r="G65" i="22"/>
  <c r="C65" i="22"/>
  <c r="E64" i="22"/>
  <c r="G63" i="22"/>
  <c r="C63" i="22"/>
  <c r="E62" i="22"/>
  <c r="G61" i="22"/>
  <c r="C61" i="22"/>
  <c r="E60" i="22"/>
  <c r="G59" i="22"/>
  <c r="C59" i="22"/>
  <c r="E58" i="22"/>
  <c r="G57" i="22"/>
  <c r="C57" i="22"/>
  <c r="E56" i="22"/>
  <c r="G55" i="22"/>
  <c r="C55" i="22"/>
  <c r="E54" i="22"/>
  <c r="G53" i="22"/>
  <c r="C53" i="22"/>
  <c r="D98" i="22"/>
  <c r="F95" i="22"/>
  <c r="H92" i="22"/>
  <c r="D90" i="22"/>
  <c r="F87" i="22"/>
  <c r="H84" i="22"/>
  <c r="D82" i="22"/>
  <c r="D80" i="22"/>
  <c r="H78" i="22"/>
  <c r="F77" i="22"/>
  <c r="H76" i="22"/>
  <c r="D76" i="22"/>
  <c r="F75" i="22"/>
  <c r="H74" i="22"/>
  <c r="D74" i="22"/>
  <c r="F73" i="22"/>
  <c r="H72" i="22"/>
  <c r="D72" i="22"/>
  <c r="F71" i="22"/>
  <c r="H70" i="22"/>
  <c r="D70" i="22"/>
  <c r="F69" i="22"/>
  <c r="H68" i="22"/>
  <c r="D68" i="22"/>
  <c r="F67" i="22"/>
  <c r="H66" i="22"/>
  <c r="D66" i="22"/>
  <c r="F65" i="22"/>
  <c r="H64" i="22"/>
  <c r="D64" i="22"/>
  <c r="F63" i="22"/>
  <c r="H62" i="22"/>
  <c r="D62" i="22"/>
  <c r="F61" i="22"/>
  <c r="H60" i="22"/>
  <c r="D60" i="22"/>
  <c r="F59" i="22"/>
  <c r="H58" i="22"/>
  <c r="D58" i="22"/>
  <c r="F57" i="22"/>
  <c r="H56" i="22"/>
  <c r="D56" i="22"/>
  <c r="F55" i="22"/>
  <c r="H54" i="22"/>
  <c r="D54" i="22"/>
  <c r="F53" i="22"/>
  <c r="H52" i="22"/>
  <c r="D52" i="22"/>
  <c r="F51" i="22"/>
  <c r="H50" i="22"/>
  <c r="D50" i="22"/>
  <c r="F49" i="22"/>
  <c r="H48" i="22"/>
  <c r="D48" i="22"/>
  <c r="F47" i="22"/>
  <c r="H46" i="22"/>
  <c r="D46" i="22"/>
  <c r="F45" i="22"/>
  <c r="H44" i="22"/>
  <c r="D44" i="22"/>
  <c r="F43" i="22"/>
  <c r="H42" i="22"/>
  <c r="D42" i="22"/>
  <c r="F41" i="22"/>
  <c r="H40" i="22"/>
  <c r="D40" i="22"/>
  <c r="F39" i="22"/>
  <c r="H38" i="22"/>
  <c r="D38" i="22"/>
  <c r="F37" i="22"/>
  <c r="H36" i="22"/>
  <c r="D36" i="22"/>
  <c r="F35" i="22"/>
  <c r="F97" i="22"/>
  <c r="H94" i="22"/>
  <c r="D92" i="22"/>
  <c r="F89" i="22"/>
  <c r="H86" i="22"/>
  <c r="D84" i="22"/>
  <c r="F81" i="22"/>
  <c r="G79" i="22"/>
  <c r="E78" i="22"/>
  <c r="E77" i="22"/>
  <c r="G76" i="22"/>
  <c r="C76" i="22"/>
  <c r="E75" i="22"/>
  <c r="G74" i="22"/>
  <c r="C74" i="22"/>
  <c r="E73" i="22"/>
  <c r="G72" i="22"/>
  <c r="C72" i="22"/>
  <c r="E71" i="22"/>
  <c r="G70" i="22"/>
  <c r="C70" i="22"/>
  <c r="E69" i="22"/>
  <c r="G68" i="22"/>
  <c r="C68" i="22"/>
  <c r="E67" i="22"/>
  <c r="G66" i="22"/>
  <c r="C66" i="22"/>
  <c r="E65" i="22"/>
  <c r="G64" i="22"/>
  <c r="C64" i="22"/>
  <c r="E63" i="22"/>
  <c r="G62" i="22"/>
  <c r="C62" i="22"/>
  <c r="E61" i="22"/>
  <c r="G60" i="22"/>
  <c r="C60" i="22"/>
  <c r="E59" i="22"/>
  <c r="G58" i="22"/>
  <c r="C58" i="22"/>
  <c r="E57" i="22"/>
  <c r="G56" i="22"/>
  <c r="C56" i="22"/>
  <c r="E55" i="22"/>
  <c r="G54" i="22"/>
  <c r="C54" i="22"/>
  <c r="E53" i="22"/>
  <c r="G52" i="22"/>
  <c r="C52" i="22"/>
  <c r="E51" i="22"/>
  <c r="G50" i="22"/>
  <c r="C50" i="22"/>
  <c r="E49" i="22"/>
  <c r="G48" i="22"/>
  <c r="C48" i="22"/>
  <c r="E47" i="22"/>
  <c r="G46" i="22"/>
  <c r="C46" i="22"/>
  <c r="E45" i="22"/>
  <c r="G44" i="22"/>
  <c r="C44" i="22"/>
  <c r="E43" i="22"/>
  <c r="G42" i="22"/>
  <c r="C42" i="22"/>
  <c r="E41" i="22"/>
  <c r="G40" i="22"/>
  <c r="C40" i="22"/>
  <c r="E39" i="22"/>
  <c r="G38" i="22"/>
  <c r="C38" i="22"/>
  <c r="E37" i="22"/>
  <c r="G36" i="22"/>
  <c r="C36" i="22"/>
  <c r="E35" i="22"/>
  <c r="G34" i="22"/>
  <c r="C34" i="22"/>
  <c r="E33" i="22"/>
  <c r="G32" i="22"/>
  <c r="C32" i="22"/>
  <c r="E31" i="22"/>
  <c r="G30" i="22"/>
  <c r="C30" i="22"/>
  <c r="E29" i="22"/>
  <c r="G28" i="22"/>
  <c r="C28" i="22"/>
  <c r="E27" i="22"/>
  <c r="D94" i="22"/>
  <c r="F83" i="22"/>
  <c r="D77" i="22"/>
  <c r="F74" i="22"/>
  <c r="H71" i="22"/>
  <c r="D69" i="22"/>
  <c r="F66" i="22"/>
  <c r="H63" i="22"/>
  <c r="D61" i="22"/>
  <c r="F58" i="22"/>
  <c r="H55" i="22"/>
  <c r="D53" i="22"/>
  <c r="G51" i="22"/>
  <c r="E50" i="22"/>
  <c r="C49" i="22"/>
  <c r="G47" i="22"/>
  <c r="E46" i="22"/>
  <c r="C45" i="22"/>
  <c r="G43" i="22"/>
  <c r="E42" i="22"/>
  <c r="C41" i="22"/>
  <c r="G39" i="22"/>
  <c r="E38" i="22"/>
  <c r="C37" i="22"/>
  <c r="G35" i="22"/>
  <c r="F34" i="22"/>
  <c r="G33" i="22"/>
  <c r="H32" i="22"/>
  <c r="H31" i="22"/>
  <c r="C31" i="22"/>
  <c r="D30" i="22"/>
  <c r="D29" i="22"/>
  <c r="E28" i="22"/>
  <c r="F27" i="22"/>
  <c r="G26" i="22"/>
  <c r="C26" i="22"/>
  <c r="E25" i="22"/>
  <c r="G24" i="22"/>
  <c r="C24" i="22"/>
  <c r="E23" i="22"/>
  <c r="G22" i="22"/>
  <c r="C22" i="22"/>
  <c r="E21" i="22"/>
  <c r="G20" i="22"/>
  <c r="C20" i="22"/>
  <c r="E19" i="22"/>
  <c r="G18" i="22"/>
  <c r="C18" i="22"/>
  <c r="E17" i="22"/>
  <c r="G16" i="22"/>
  <c r="C16" i="22"/>
  <c r="E15" i="22"/>
  <c r="G14" i="22"/>
  <c r="C14" i="22"/>
  <c r="E13" i="22"/>
  <c r="G12" i="22"/>
  <c r="U12" i="22" s="1"/>
  <c r="C12" i="22"/>
  <c r="M12" i="22" s="1"/>
  <c r="N12" i="22" s="1"/>
  <c r="E12" i="22"/>
  <c r="Q12" i="22" s="1"/>
  <c r="R12" i="22" s="1"/>
  <c r="D86" i="22"/>
  <c r="D75" i="22"/>
  <c r="D67" i="22"/>
  <c r="D59" i="22"/>
  <c r="H51" i="22"/>
  <c r="H47" i="22"/>
  <c r="H43" i="22"/>
  <c r="H39" i="22"/>
  <c r="H35" i="22"/>
  <c r="C33" i="22"/>
  <c r="E30" i="22"/>
  <c r="F28" i="22"/>
  <c r="D26" i="22"/>
  <c r="F23" i="22"/>
  <c r="F21" i="22"/>
  <c r="D20" i="22"/>
  <c r="D18" i="22"/>
  <c r="D16" i="22"/>
  <c r="D14" i="22"/>
  <c r="D12" i="22"/>
  <c r="F91" i="22"/>
  <c r="H80" i="22"/>
  <c r="F76" i="22"/>
  <c r="H73" i="22"/>
  <c r="D71" i="22"/>
  <c r="F68" i="22"/>
  <c r="H65" i="22"/>
  <c r="D63" i="22"/>
  <c r="F60" i="22"/>
  <c r="H57" i="22"/>
  <c r="D55" i="22"/>
  <c r="F52" i="22"/>
  <c r="D51" i="22"/>
  <c r="H49" i="22"/>
  <c r="F48" i="22"/>
  <c r="D47" i="22"/>
  <c r="H45" i="22"/>
  <c r="F44" i="22"/>
  <c r="D43" i="22"/>
  <c r="H41" i="22"/>
  <c r="F40" i="22"/>
  <c r="D39" i="22"/>
  <c r="H37" i="22"/>
  <c r="F36" i="22"/>
  <c r="D35" i="22"/>
  <c r="E34" i="22"/>
  <c r="F33" i="22"/>
  <c r="F32" i="22"/>
  <c r="G31" i="22"/>
  <c r="H30" i="22"/>
  <c r="H29" i="22"/>
  <c r="C29" i="22"/>
  <c r="D28" i="22"/>
  <c r="D27" i="22"/>
  <c r="F26" i="22"/>
  <c r="H25" i="22"/>
  <c r="D25" i="22"/>
  <c r="F24" i="22"/>
  <c r="H23" i="22"/>
  <c r="D23" i="22"/>
  <c r="F22" i="22"/>
  <c r="H21" i="22"/>
  <c r="D21" i="22"/>
  <c r="F20" i="22"/>
  <c r="H19" i="22"/>
  <c r="D19" i="22"/>
  <c r="F18" i="22"/>
  <c r="H17" i="22"/>
  <c r="D17" i="22"/>
  <c r="F16" i="22"/>
  <c r="H15" i="22"/>
  <c r="D15" i="22"/>
  <c r="F14" i="22"/>
  <c r="H13" i="22"/>
  <c r="D13" i="22"/>
  <c r="F12" i="22"/>
  <c r="S12" i="22" s="1"/>
  <c r="T12" i="22" s="1"/>
  <c r="G17" i="22"/>
  <c r="H96" i="22"/>
  <c r="F72" i="22"/>
  <c r="F64" i="22"/>
  <c r="F56" i="22"/>
  <c r="F50" i="22"/>
  <c r="F46" i="22"/>
  <c r="F42" i="22"/>
  <c r="F38" i="22"/>
  <c r="H34" i="22"/>
  <c r="D32" i="22"/>
  <c r="F29" i="22"/>
  <c r="H26" i="22"/>
  <c r="H24" i="22"/>
  <c r="H22" i="22"/>
  <c r="H20" i="22"/>
  <c r="H18" i="22"/>
  <c r="H16" i="22"/>
  <c r="H14" i="22"/>
  <c r="H12" i="22"/>
  <c r="H88" i="22"/>
  <c r="F79" i="22"/>
  <c r="H75" i="22"/>
  <c r="D73" i="22"/>
  <c r="F70" i="22"/>
  <c r="H67" i="22"/>
  <c r="D65" i="22"/>
  <c r="F62" i="22"/>
  <c r="H59" i="22"/>
  <c r="D57" i="22"/>
  <c r="F54" i="22"/>
  <c r="E52" i="22"/>
  <c r="C51" i="22"/>
  <c r="G49" i="22"/>
  <c r="E48" i="22"/>
  <c r="C47" i="22"/>
  <c r="G45" i="22"/>
  <c r="E44" i="22"/>
  <c r="C43" i="22"/>
  <c r="G41" i="22"/>
  <c r="E40" i="22"/>
  <c r="C39" i="22"/>
  <c r="G37" i="22"/>
  <c r="E36" i="22"/>
  <c r="C35" i="22"/>
  <c r="D34" i="22"/>
  <c r="D33" i="22"/>
  <c r="E32" i="22"/>
  <c r="F31" i="22"/>
  <c r="F30" i="22"/>
  <c r="G29" i="22"/>
  <c r="H28" i="22"/>
  <c r="H27" i="22"/>
  <c r="C27" i="22"/>
  <c r="E26" i="22"/>
  <c r="G25" i="22"/>
  <c r="C25" i="22"/>
  <c r="E24" i="22"/>
  <c r="G23" i="22"/>
  <c r="C23" i="22"/>
  <c r="E22" i="22"/>
  <c r="G21" i="22"/>
  <c r="C21" i="22"/>
  <c r="E20" i="22"/>
  <c r="G19" i="22"/>
  <c r="C19" i="22"/>
  <c r="E18" i="22"/>
  <c r="C17" i="22"/>
  <c r="E16" i="22"/>
  <c r="G15" i="22"/>
  <c r="C15" i="22"/>
  <c r="E14" i="22"/>
  <c r="G13" i="22"/>
  <c r="C13" i="22"/>
  <c r="D78" i="22"/>
  <c r="H69" i="22"/>
  <c r="H61" i="22"/>
  <c r="H53" i="22"/>
  <c r="D49" i="22"/>
  <c r="D45" i="22"/>
  <c r="D41" i="22"/>
  <c r="D37" i="22"/>
  <c r="H33" i="22"/>
  <c r="D31" i="22"/>
  <c r="G27" i="22"/>
  <c r="F25" i="22"/>
  <c r="D24" i="22"/>
  <c r="D22" i="22"/>
  <c r="F19" i="22"/>
  <c r="F17" i="22"/>
  <c r="F15" i="22"/>
  <c r="F13" i="22"/>
  <c r="Q5" i="21"/>
  <c r="B400" i="15"/>
  <c r="B396" i="15"/>
  <c r="B392" i="15"/>
  <c r="B388" i="15"/>
  <c r="B384" i="15"/>
  <c r="B380" i="15"/>
  <c r="B399" i="15"/>
  <c r="B395" i="15"/>
  <c r="B391" i="15"/>
  <c r="B387" i="15"/>
  <c r="B383" i="15"/>
  <c r="B379" i="15"/>
  <c r="B398" i="15"/>
  <c r="B394" i="15"/>
  <c r="B390" i="15"/>
  <c r="B386" i="15"/>
  <c r="B382" i="15"/>
  <c r="B378" i="15"/>
  <c r="B401" i="15"/>
  <c r="B397" i="15"/>
  <c r="B393" i="15"/>
  <c r="B389" i="15"/>
  <c r="B385" i="15"/>
  <c r="B381" i="15"/>
  <c r="Q1149" i="2"/>
  <c r="Q1121" i="2"/>
  <c r="M77" i="2"/>
  <c r="AD77" i="2" s="1"/>
  <c r="Q265" i="2"/>
  <c r="Q1181" i="2"/>
  <c r="Q1137" i="2"/>
  <c r="Q1165" i="2"/>
  <c r="B204" i="15"/>
  <c r="B197" i="15"/>
  <c r="B195" i="15"/>
  <c r="B192" i="15"/>
  <c r="B188" i="15"/>
  <c r="B185" i="15"/>
  <c r="B202" i="15"/>
  <c r="B190" i="15"/>
  <c r="B182" i="15"/>
  <c r="B193" i="15"/>
  <c r="B203" i="15"/>
  <c r="B201" i="15"/>
  <c r="B196" i="15"/>
  <c r="B191" i="15"/>
  <c r="B187" i="15"/>
  <c r="B183" i="15"/>
  <c r="B200" i="15"/>
  <c r="B194" i="15"/>
  <c r="B186" i="15"/>
  <c r="B199" i="15"/>
  <c r="B184" i="15"/>
  <c r="B198" i="15"/>
  <c r="B189" i="15"/>
  <c r="Q1125" i="2"/>
  <c r="Q1141" i="2"/>
  <c r="Q1153" i="2"/>
  <c r="Q1185" i="2"/>
  <c r="Q1129" i="2"/>
  <c r="Q1157" i="2"/>
  <c r="Q1169" i="2"/>
  <c r="Q1189" i="2"/>
  <c r="Q1117" i="2"/>
  <c r="Q1133" i="2"/>
  <c r="Q1161" i="2"/>
  <c r="Q1173" i="2"/>
  <c r="Q1193" i="2"/>
  <c r="E82" i="1"/>
  <c r="G80" i="1"/>
  <c r="C80" i="1"/>
  <c r="E79" i="1"/>
  <c r="G78" i="1"/>
  <c r="C78" i="1"/>
  <c r="E77" i="1"/>
  <c r="G76" i="1"/>
  <c r="C76" i="1"/>
  <c r="E75" i="1"/>
  <c r="G74" i="1"/>
  <c r="C74" i="1"/>
  <c r="E73" i="1"/>
  <c r="G72" i="1"/>
  <c r="C72" i="1"/>
  <c r="E71" i="1"/>
  <c r="G70" i="1"/>
  <c r="C70" i="1"/>
  <c r="E69" i="1"/>
  <c r="G68" i="1"/>
  <c r="C68" i="1"/>
  <c r="E67" i="1"/>
  <c r="G66" i="1"/>
  <c r="C66" i="1"/>
  <c r="E65" i="1"/>
  <c r="G64" i="1"/>
  <c r="C64" i="1"/>
  <c r="E63" i="1"/>
  <c r="G62" i="1"/>
  <c r="C62" i="1"/>
  <c r="E61" i="1"/>
  <c r="G60" i="1"/>
  <c r="C60" i="1"/>
  <c r="E59" i="1"/>
  <c r="G58" i="1"/>
  <c r="C58" i="1"/>
  <c r="E57" i="1"/>
  <c r="G56" i="1"/>
  <c r="C56" i="1"/>
  <c r="E55" i="1"/>
  <c r="G54" i="1"/>
  <c r="C54" i="1"/>
  <c r="H82" i="1"/>
  <c r="D82" i="1"/>
  <c r="F80" i="1"/>
  <c r="H79" i="1"/>
  <c r="D79" i="1"/>
  <c r="F78" i="1"/>
  <c r="H77" i="1"/>
  <c r="D77" i="1"/>
  <c r="F76" i="1"/>
  <c r="H75" i="1"/>
  <c r="D75" i="1"/>
  <c r="F74" i="1"/>
  <c r="H73" i="1"/>
  <c r="D73" i="1"/>
  <c r="F72" i="1"/>
  <c r="H71" i="1"/>
  <c r="D71" i="1"/>
  <c r="F70" i="1"/>
  <c r="H69" i="1"/>
  <c r="D69" i="1"/>
  <c r="F68" i="1"/>
  <c r="H67" i="1"/>
  <c r="D67" i="1"/>
  <c r="F66" i="1"/>
  <c r="H65" i="1"/>
  <c r="D65" i="1"/>
  <c r="F64" i="1"/>
  <c r="H63" i="1"/>
  <c r="D63" i="1"/>
  <c r="F62" i="1"/>
  <c r="H61" i="1"/>
  <c r="D61" i="1"/>
  <c r="F60" i="1"/>
  <c r="H59" i="1"/>
  <c r="D59" i="1"/>
  <c r="F58" i="1"/>
  <c r="H57" i="1"/>
  <c r="D57" i="1"/>
  <c r="F56" i="1"/>
  <c r="H55" i="1"/>
  <c r="D55" i="1"/>
  <c r="F54" i="1"/>
  <c r="F82" i="1"/>
  <c r="H80" i="1"/>
  <c r="D80" i="1"/>
  <c r="F79" i="1"/>
  <c r="H78" i="1"/>
  <c r="D78" i="1"/>
  <c r="F77" i="1"/>
  <c r="H76" i="1"/>
  <c r="D76" i="1"/>
  <c r="F75" i="1"/>
  <c r="H74" i="1"/>
  <c r="D74" i="1"/>
  <c r="F73" i="1"/>
  <c r="H72" i="1"/>
  <c r="D72" i="1"/>
  <c r="F71" i="1"/>
  <c r="H70" i="1"/>
  <c r="D70" i="1"/>
  <c r="F69" i="1"/>
  <c r="H68" i="1"/>
  <c r="D68" i="1"/>
  <c r="F67" i="1"/>
  <c r="H66" i="1"/>
  <c r="D66" i="1"/>
  <c r="F65" i="1"/>
  <c r="H64" i="1"/>
  <c r="D64" i="1"/>
  <c r="F63" i="1"/>
  <c r="H62" i="1"/>
  <c r="D62" i="1"/>
  <c r="F61" i="1"/>
  <c r="H60" i="1"/>
  <c r="D60" i="1"/>
  <c r="F59" i="1"/>
  <c r="H58" i="1"/>
  <c r="D58" i="1"/>
  <c r="F57" i="1"/>
  <c r="H56" i="1"/>
  <c r="D56" i="1"/>
  <c r="F55" i="1"/>
  <c r="H54" i="1"/>
  <c r="D54" i="1"/>
  <c r="G82" i="1"/>
  <c r="C79" i="1"/>
  <c r="E76" i="1"/>
  <c r="G73" i="1"/>
  <c r="C71" i="1"/>
  <c r="E68" i="1"/>
  <c r="G65" i="1"/>
  <c r="C63" i="1"/>
  <c r="E60" i="1"/>
  <c r="G57" i="1"/>
  <c r="C55" i="1"/>
  <c r="F53" i="1"/>
  <c r="H52" i="1"/>
  <c r="D52" i="1"/>
  <c r="F51" i="1"/>
  <c r="H50" i="1"/>
  <c r="D50" i="1"/>
  <c r="F49" i="1"/>
  <c r="H48" i="1"/>
  <c r="D48" i="1"/>
  <c r="F47" i="1"/>
  <c r="H46" i="1"/>
  <c r="D46" i="1"/>
  <c r="F45" i="1"/>
  <c r="H44" i="1"/>
  <c r="D44" i="1"/>
  <c r="F43" i="1"/>
  <c r="H42" i="1"/>
  <c r="D42" i="1"/>
  <c r="F41" i="1"/>
  <c r="H40" i="1"/>
  <c r="D40" i="1"/>
  <c r="F39" i="1"/>
  <c r="H38" i="1"/>
  <c r="D38" i="1"/>
  <c r="F37" i="1"/>
  <c r="H36" i="1"/>
  <c r="D36" i="1"/>
  <c r="F35" i="1"/>
  <c r="H34" i="1"/>
  <c r="D34" i="1"/>
  <c r="F33" i="1"/>
  <c r="H32" i="1"/>
  <c r="D32" i="1"/>
  <c r="F31" i="1"/>
  <c r="H30" i="1"/>
  <c r="D30" i="1"/>
  <c r="F29" i="1"/>
  <c r="H28" i="1"/>
  <c r="D28" i="1"/>
  <c r="F27" i="1"/>
  <c r="H26" i="1"/>
  <c r="D26" i="1"/>
  <c r="F25" i="1"/>
  <c r="H24" i="1"/>
  <c r="D24" i="1"/>
  <c r="F23" i="1"/>
  <c r="H22" i="1"/>
  <c r="D22" i="1"/>
  <c r="F21" i="1"/>
  <c r="H20" i="1"/>
  <c r="D20" i="1"/>
  <c r="F19" i="1"/>
  <c r="H18" i="1"/>
  <c r="D18" i="1"/>
  <c r="F17" i="1"/>
  <c r="H16" i="1"/>
  <c r="D16" i="1"/>
  <c r="F15" i="1"/>
  <c r="H14" i="1"/>
  <c r="D14" i="1"/>
  <c r="F13" i="1"/>
  <c r="H12" i="1"/>
  <c r="D12" i="1"/>
  <c r="F81" i="1"/>
  <c r="G79" i="1"/>
  <c r="C61" i="1"/>
  <c r="G53" i="1"/>
  <c r="G51" i="1"/>
  <c r="G49" i="1"/>
  <c r="G47" i="1"/>
  <c r="C82" i="1"/>
  <c r="E78" i="1"/>
  <c r="G75" i="1"/>
  <c r="C73" i="1"/>
  <c r="E70" i="1"/>
  <c r="G67" i="1"/>
  <c r="C65" i="1"/>
  <c r="E62" i="1"/>
  <c r="G59" i="1"/>
  <c r="C57" i="1"/>
  <c r="E54" i="1"/>
  <c r="E53" i="1"/>
  <c r="G52" i="1"/>
  <c r="C52" i="1"/>
  <c r="E51" i="1"/>
  <c r="G50" i="1"/>
  <c r="C50" i="1"/>
  <c r="E49" i="1"/>
  <c r="G48" i="1"/>
  <c r="C48" i="1"/>
  <c r="E47" i="1"/>
  <c r="G46" i="1"/>
  <c r="C46" i="1"/>
  <c r="E45" i="1"/>
  <c r="G44" i="1"/>
  <c r="C44" i="1"/>
  <c r="E43" i="1"/>
  <c r="G42" i="1"/>
  <c r="C42" i="1"/>
  <c r="E41" i="1"/>
  <c r="G40" i="1"/>
  <c r="C40" i="1"/>
  <c r="E39" i="1"/>
  <c r="G38" i="1"/>
  <c r="C38" i="1"/>
  <c r="E37" i="1"/>
  <c r="G36" i="1"/>
  <c r="C36" i="1"/>
  <c r="E35" i="1"/>
  <c r="G34" i="1"/>
  <c r="C34" i="1"/>
  <c r="E33" i="1"/>
  <c r="G32" i="1"/>
  <c r="C32" i="1"/>
  <c r="E31" i="1"/>
  <c r="G30" i="1"/>
  <c r="C30" i="1"/>
  <c r="E29" i="1"/>
  <c r="G28" i="1"/>
  <c r="C28" i="1"/>
  <c r="E27" i="1"/>
  <c r="G26" i="1"/>
  <c r="C26" i="1"/>
  <c r="E25" i="1"/>
  <c r="G24" i="1"/>
  <c r="C24" i="1"/>
  <c r="E23" i="1"/>
  <c r="G22" i="1"/>
  <c r="C22" i="1"/>
  <c r="E21" i="1"/>
  <c r="G20" i="1"/>
  <c r="C20" i="1"/>
  <c r="E19" i="1"/>
  <c r="G18" i="1"/>
  <c r="C18" i="1"/>
  <c r="E17" i="1"/>
  <c r="G16" i="1"/>
  <c r="C16" i="1"/>
  <c r="E15" i="1"/>
  <c r="G14" i="1"/>
  <c r="C14" i="1"/>
  <c r="E13" i="1"/>
  <c r="G12" i="1"/>
  <c r="C12" i="1"/>
  <c r="E81" i="1"/>
  <c r="E74" i="1"/>
  <c r="G71" i="1"/>
  <c r="E66" i="1"/>
  <c r="E58" i="1"/>
  <c r="C53" i="1"/>
  <c r="C51" i="1"/>
  <c r="C49" i="1"/>
  <c r="E80" i="1"/>
  <c r="G77" i="1"/>
  <c r="C75" i="1"/>
  <c r="E72" i="1"/>
  <c r="G69" i="1"/>
  <c r="C67" i="1"/>
  <c r="E64" i="1"/>
  <c r="G61" i="1"/>
  <c r="C59" i="1"/>
  <c r="E56" i="1"/>
  <c r="H53" i="1"/>
  <c r="D53" i="1"/>
  <c r="F52" i="1"/>
  <c r="H51" i="1"/>
  <c r="D51" i="1"/>
  <c r="F50" i="1"/>
  <c r="H49" i="1"/>
  <c r="D49" i="1"/>
  <c r="F48" i="1"/>
  <c r="H47" i="1"/>
  <c r="D47" i="1"/>
  <c r="F46" i="1"/>
  <c r="H45" i="1"/>
  <c r="D45" i="1"/>
  <c r="F44" i="1"/>
  <c r="H43" i="1"/>
  <c r="D43" i="1"/>
  <c r="F42" i="1"/>
  <c r="H41" i="1"/>
  <c r="D41" i="1"/>
  <c r="F40" i="1"/>
  <c r="H39" i="1"/>
  <c r="D39" i="1"/>
  <c r="F38" i="1"/>
  <c r="H37" i="1"/>
  <c r="D37" i="1"/>
  <c r="F36" i="1"/>
  <c r="H35" i="1"/>
  <c r="D35" i="1"/>
  <c r="F34" i="1"/>
  <c r="H33" i="1"/>
  <c r="D33" i="1"/>
  <c r="F32" i="1"/>
  <c r="H31" i="1"/>
  <c r="D31" i="1"/>
  <c r="F30" i="1"/>
  <c r="H29" i="1"/>
  <c r="D29" i="1"/>
  <c r="F28" i="1"/>
  <c r="H27" i="1"/>
  <c r="D27" i="1"/>
  <c r="F26" i="1"/>
  <c r="H25" i="1"/>
  <c r="D25" i="1"/>
  <c r="F24" i="1"/>
  <c r="H23" i="1"/>
  <c r="D23" i="1"/>
  <c r="F22" i="1"/>
  <c r="H21" i="1"/>
  <c r="D21" i="1"/>
  <c r="F20" i="1"/>
  <c r="H19" i="1"/>
  <c r="D19" i="1"/>
  <c r="F18" i="1"/>
  <c r="H17" i="1"/>
  <c r="D17" i="1"/>
  <c r="F16" i="1"/>
  <c r="H15" i="1"/>
  <c r="D15" i="1"/>
  <c r="F14" i="1"/>
  <c r="H13" i="1"/>
  <c r="D13" i="1"/>
  <c r="F12" i="1"/>
  <c r="H81" i="1"/>
  <c r="D81" i="1"/>
  <c r="C77" i="1"/>
  <c r="C69" i="1"/>
  <c r="G63" i="1"/>
  <c r="G55" i="1"/>
  <c r="E52" i="1"/>
  <c r="E50" i="1"/>
  <c r="E48" i="1"/>
  <c r="C45" i="1"/>
  <c r="E42" i="1"/>
  <c r="G39" i="1"/>
  <c r="C37" i="1"/>
  <c r="E34" i="1"/>
  <c r="G31" i="1"/>
  <c r="C29" i="1"/>
  <c r="E26" i="1"/>
  <c r="G23" i="1"/>
  <c r="C21" i="1"/>
  <c r="E18" i="1"/>
  <c r="G15" i="1"/>
  <c r="C13" i="1"/>
  <c r="C15" i="1"/>
  <c r="E12" i="1"/>
  <c r="C47" i="1"/>
  <c r="E44" i="1"/>
  <c r="G41" i="1"/>
  <c r="C39" i="1"/>
  <c r="E36" i="1"/>
  <c r="G33" i="1"/>
  <c r="C31" i="1"/>
  <c r="E28" i="1"/>
  <c r="G25" i="1"/>
  <c r="C23" i="1"/>
  <c r="E20" i="1"/>
  <c r="G17" i="1"/>
  <c r="C43" i="1"/>
  <c r="E40" i="1"/>
  <c r="C35" i="1"/>
  <c r="G29" i="1"/>
  <c r="E24" i="1"/>
  <c r="C19" i="1"/>
  <c r="G13" i="1"/>
  <c r="E46" i="1"/>
  <c r="G43" i="1"/>
  <c r="C41" i="1"/>
  <c r="E38" i="1"/>
  <c r="G35" i="1"/>
  <c r="C33" i="1"/>
  <c r="E30" i="1"/>
  <c r="G27" i="1"/>
  <c r="C25" i="1"/>
  <c r="E22" i="1"/>
  <c r="G19" i="1"/>
  <c r="C17" i="1"/>
  <c r="E14" i="1"/>
  <c r="G81" i="1"/>
  <c r="G45" i="1"/>
  <c r="G37" i="1"/>
  <c r="E32" i="1"/>
  <c r="C27" i="1"/>
  <c r="G21" i="1"/>
  <c r="E16" i="1"/>
  <c r="C81" i="1"/>
  <c r="D204" i="15"/>
  <c r="G203" i="15"/>
  <c r="C203" i="15"/>
  <c r="F202" i="15"/>
  <c r="E198" i="15"/>
  <c r="D197" i="15"/>
  <c r="G201" i="15"/>
  <c r="C201" i="15"/>
  <c r="F200" i="15"/>
  <c r="E199" i="15"/>
  <c r="D195" i="15"/>
  <c r="G196" i="15"/>
  <c r="C196" i="15"/>
  <c r="F194" i="15"/>
  <c r="E193" i="15"/>
  <c r="D192" i="15"/>
  <c r="G191" i="15"/>
  <c r="C191" i="15"/>
  <c r="F190" i="15"/>
  <c r="E189" i="15"/>
  <c r="D188" i="15"/>
  <c r="G187" i="15"/>
  <c r="C187" i="15"/>
  <c r="F186" i="15"/>
  <c r="E184" i="15"/>
  <c r="D185" i="15"/>
  <c r="G183" i="15"/>
  <c r="C183" i="15"/>
  <c r="F182" i="15"/>
  <c r="G204" i="15"/>
  <c r="C204" i="15"/>
  <c r="F203" i="15"/>
  <c r="E202" i="15"/>
  <c r="D198" i="15"/>
  <c r="G197" i="15"/>
  <c r="C197" i="15"/>
  <c r="F201" i="15"/>
  <c r="E200" i="15"/>
  <c r="D199" i="15"/>
  <c r="G195" i="15"/>
  <c r="C195" i="15"/>
  <c r="F196" i="15"/>
  <c r="E194" i="15"/>
  <c r="D193" i="15"/>
  <c r="G192" i="15"/>
  <c r="C192" i="15"/>
  <c r="F191" i="15"/>
  <c r="E190" i="15"/>
  <c r="D189" i="15"/>
  <c r="G188" i="15"/>
  <c r="C188" i="15"/>
  <c r="F187" i="15"/>
  <c r="E186" i="15"/>
  <c r="D184" i="15"/>
  <c r="G185" i="15"/>
  <c r="C185" i="15"/>
  <c r="F183" i="15"/>
  <c r="E182" i="15"/>
  <c r="F204" i="15"/>
  <c r="E203" i="15"/>
  <c r="D202" i="15"/>
  <c r="G198" i="15"/>
  <c r="C198" i="15"/>
  <c r="F197" i="15"/>
  <c r="E201" i="15"/>
  <c r="D200" i="15"/>
  <c r="G199" i="15"/>
  <c r="C199" i="15"/>
  <c r="F195" i="15"/>
  <c r="E196" i="15"/>
  <c r="D194" i="15"/>
  <c r="G193" i="15"/>
  <c r="C193" i="15"/>
  <c r="F192" i="15"/>
  <c r="E191" i="15"/>
  <c r="D190" i="15"/>
  <c r="G189" i="15"/>
  <c r="C189" i="15"/>
  <c r="F188" i="15"/>
  <c r="E187" i="15"/>
  <c r="D186" i="15"/>
  <c r="G184" i="15"/>
  <c r="C184" i="15"/>
  <c r="F185" i="15"/>
  <c r="E183" i="15"/>
  <c r="D182" i="15"/>
  <c r="E204" i="15"/>
  <c r="D203" i="15"/>
  <c r="G202" i="15"/>
  <c r="C202" i="15"/>
  <c r="F198" i="15"/>
  <c r="E197" i="15"/>
  <c r="D201" i="15"/>
  <c r="G200" i="15"/>
  <c r="C200" i="15"/>
  <c r="F199" i="15"/>
  <c r="E195" i="15"/>
  <c r="D196" i="15"/>
  <c r="G194" i="15"/>
  <c r="C194" i="15"/>
  <c r="F193" i="15"/>
  <c r="E192" i="15"/>
  <c r="D191" i="15"/>
  <c r="G190" i="15"/>
  <c r="C190" i="15"/>
  <c r="F189" i="15"/>
  <c r="E188" i="15"/>
  <c r="D187" i="15"/>
  <c r="G186" i="15"/>
  <c r="C186" i="15"/>
  <c r="F184" i="15"/>
  <c r="E185" i="15"/>
  <c r="D183" i="15"/>
  <c r="G182" i="15"/>
  <c r="C182" i="15"/>
  <c r="Q324" i="2"/>
  <c r="Q1018" i="2"/>
  <c r="M247" i="2"/>
  <c r="AD247" i="2" s="1"/>
  <c r="M273" i="2"/>
  <c r="AD273" i="2" s="1"/>
  <c r="Q49" i="2"/>
  <c r="Q1027" i="2"/>
  <c r="Q57" i="2"/>
  <c r="M85" i="2"/>
  <c r="AD85" i="2" s="1"/>
  <c r="Q133" i="2"/>
  <c r="M125" i="2"/>
  <c r="AD125" i="2" s="1"/>
  <c r="M253" i="2"/>
  <c r="AD253" i="2" s="1"/>
  <c r="M1183" i="2"/>
  <c r="AD1183" i="2" s="1"/>
  <c r="Q1183" i="2"/>
  <c r="C87" i="11"/>
  <c r="M97" i="2"/>
  <c r="AD97" i="2" s="1"/>
  <c r="M121" i="2"/>
  <c r="AD121" i="2" s="1"/>
  <c r="M65" i="2"/>
  <c r="AD65" i="2" s="1"/>
  <c r="Q53" i="2"/>
  <c r="Q69" i="2"/>
  <c r="M129" i="2"/>
  <c r="AD129" i="2" s="1"/>
  <c r="Q1179" i="2"/>
  <c r="Q1135" i="2"/>
  <c r="Q1127" i="2"/>
  <c r="Q1195" i="2"/>
  <c r="Q1119" i="2"/>
  <c r="Q1151" i="2"/>
  <c r="Q1175" i="2"/>
  <c r="Q1187" i="2"/>
  <c r="Q204" i="2"/>
  <c r="Q12" i="2"/>
  <c r="Q112" i="2"/>
  <c r="Q148" i="2"/>
  <c r="M236" i="2"/>
  <c r="AD236" i="2" s="1"/>
  <c r="Q56" i="2"/>
  <c r="Q172" i="2"/>
  <c r="Q136" i="2"/>
  <c r="Q100" i="2"/>
  <c r="Q20" i="2"/>
  <c r="Q76" i="2"/>
  <c r="Q63" i="2"/>
  <c r="M252" i="2"/>
  <c r="AD252" i="2" s="1"/>
  <c r="Q108" i="2"/>
  <c r="M836" i="2"/>
  <c r="AD836" i="2" s="1"/>
  <c r="M868" i="2"/>
  <c r="AD868" i="2" s="1"/>
  <c r="Q596" i="2"/>
  <c r="M368" i="2"/>
  <c r="AD368" i="2" s="1"/>
  <c r="M96" i="2"/>
  <c r="AD96" i="2" s="1"/>
  <c r="Q92" i="2"/>
  <c r="Q532" i="2"/>
  <c r="Q44" i="2"/>
  <c r="M132" i="2"/>
  <c r="AD132" i="2" s="1"/>
  <c r="M192" i="2"/>
  <c r="AD192" i="2" s="1"/>
  <c r="Q764" i="2"/>
  <c r="Q568" i="2"/>
  <c r="Q412" i="2"/>
  <c r="M392" i="2"/>
  <c r="AD392" i="2" s="1"/>
  <c r="Q588" i="2"/>
  <c r="G8" i="11"/>
  <c r="C8" i="11"/>
  <c r="E9" i="11"/>
  <c r="G10" i="11"/>
  <c r="C10" i="11"/>
  <c r="C7" i="11"/>
  <c r="F8" i="11"/>
  <c r="H9" i="11"/>
  <c r="D9" i="11"/>
  <c r="F10" i="11"/>
  <c r="H7" i="11"/>
  <c r="D7" i="11"/>
  <c r="E8" i="11"/>
  <c r="G9" i="11"/>
  <c r="C9" i="11"/>
  <c r="E10" i="11"/>
  <c r="G7" i="11"/>
  <c r="H8" i="11"/>
  <c r="D8" i="11"/>
  <c r="F9" i="11"/>
  <c r="H10" i="11"/>
  <c r="D10" i="11"/>
  <c r="F7" i="11"/>
  <c r="E7" i="11"/>
  <c r="Q127" i="2"/>
  <c r="Q1115" i="2"/>
  <c r="Q1123" i="2"/>
  <c r="Q1131" i="2"/>
  <c r="Q1139" i="2"/>
  <c r="Q1143" i="2"/>
  <c r="Q1163" i="2"/>
  <c r="Q1171" i="2"/>
  <c r="Q215" i="2"/>
  <c r="Q848" i="2"/>
  <c r="Q656" i="2"/>
  <c r="M576" i="2"/>
  <c r="AD576" i="2" s="1"/>
  <c r="Q448" i="2"/>
  <c r="Q1147" i="2"/>
  <c r="Q1155" i="2"/>
  <c r="Q1191" i="2"/>
  <c r="Q1199" i="2"/>
  <c r="Q1203" i="2"/>
  <c r="Q43" i="2"/>
  <c r="Q11" i="2"/>
  <c r="M387" i="2"/>
  <c r="AD387" i="2" s="1"/>
  <c r="M223" i="2"/>
  <c r="AD223" i="2" s="1"/>
  <c r="Q163" i="2"/>
  <c r="M191" i="2"/>
  <c r="AD191" i="2" s="1"/>
  <c r="M369" i="2"/>
  <c r="AD369" i="2" s="1"/>
  <c r="M217" i="2"/>
  <c r="AD217" i="2" s="1"/>
  <c r="M425" i="2"/>
  <c r="AD425" i="2" s="1"/>
  <c r="Q1207" i="2"/>
  <c r="Q245" i="2"/>
  <c r="Q349" i="2"/>
  <c r="E87" i="11"/>
  <c r="G88" i="11"/>
  <c r="C88" i="11"/>
  <c r="H87" i="11"/>
  <c r="D87" i="11"/>
  <c r="F88" i="11"/>
  <c r="G87" i="11"/>
  <c r="F87" i="11"/>
  <c r="H88" i="11"/>
  <c r="D88" i="11"/>
  <c r="E88" i="11"/>
  <c r="Q925" i="2"/>
  <c r="Q139" i="2"/>
  <c r="Q111" i="2"/>
  <c r="M359" i="2"/>
  <c r="AD359" i="2" s="1"/>
  <c r="M187" i="2"/>
  <c r="AD187" i="2" s="1"/>
  <c r="Q219" i="2"/>
  <c r="Q75" i="2"/>
  <c r="M151" i="2"/>
  <c r="AD151" i="2" s="1"/>
  <c r="Q135" i="2"/>
  <c r="M607" i="2"/>
  <c r="AD607" i="2" s="1"/>
  <c r="Q203" i="2"/>
  <c r="M239" i="2"/>
  <c r="AD239" i="2" s="1"/>
  <c r="M311" i="2"/>
  <c r="AD311" i="2" s="1"/>
  <c r="Q15" i="2"/>
  <c r="M71" i="2"/>
  <c r="AD71" i="2" s="1"/>
  <c r="Q39" i="2"/>
  <c r="M159" i="2"/>
  <c r="AD159" i="2" s="1"/>
  <c r="Q171" i="2"/>
  <c r="Q103" i="2"/>
  <c r="Q195" i="2"/>
  <c r="Q243" i="2"/>
  <c r="Q67" i="2"/>
  <c r="Q211" i="2"/>
  <c r="M207" i="2"/>
  <c r="AD207" i="2" s="1"/>
  <c r="M379" i="2"/>
  <c r="AD379" i="2" s="1"/>
  <c r="Q27" i="2"/>
  <c r="Q79" i="2"/>
  <c r="Q941" i="2"/>
  <c r="M348" i="2"/>
  <c r="AD348" i="2" s="1"/>
  <c r="Q472" i="2"/>
  <c r="M361" i="2"/>
  <c r="AD361" i="2" s="1"/>
  <c r="M52" i="2"/>
  <c r="AD52" i="2" s="1"/>
  <c r="M708" i="2"/>
  <c r="AD708" i="2" s="1"/>
  <c r="Q68" i="2"/>
  <c r="M48" i="2"/>
  <c r="AD48" i="2" s="1"/>
  <c r="Q104" i="2"/>
  <c r="Q432" i="2"/>
  <c r="M779" i="2"/>
  <c r="AD779" i="2" s="1"/>
  <c r="M391" i="2"/>
  <c r="AD391" i="2" s="1"/>
  <c r="Q651" i="2"/>
  <c r="Q95" i="2"/>
  <c r="Q107" i="2"/>
  <c r="Q99" i="2"/>
  <c r="Q231" i="2"/>
  <c r="M183" i="2"/>
  <c r="AD183" i="2" s="1"/>
  <c r="M143" i="2"/>
  <c r="AD143" i="2" s="1"/>
  <c r="Q431" i="2"/>
  <c r="Q199" i="2"/>
  <c r="Q147" i="2"/>
  <c r="Q535" i="2"/>
  <c r="M59" i="2"/>
  <c r="AD59" i="2" s="1"/>
  <c r="M175" i="2"/>
  <c r="AD175" i="2" s="1"/>
  <c r="A1151" i="2"/>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M964" i="2"/>
  <c r="AD964" i="2" s="1"/>
  <c r="Q1159" i="2"/>
  <c r="E46" i="9"/>
  <c r="E45" i="9"/>
  <c r="Q439" i="2"/>
  <c r="M595" i="2"/>
  <c r="AD595" i="2" s="1"/>
  <c r="M691" i="2"/>
  <c r="AD691" i="2" s="1"/>
  <c r="M611" i="2"/>
  <c r="AD611" i="2" s="1"/>
  <c r="G41" i="11"/>
  <c r="G40" i="11" s="1"/>
  <c r="G39" i="11" s="1"/>
  <c r="G38" i="11" s="1"/>
  <c r="G37" i="11" s="1"/>
  <c r="G36" i="11" s="1"/>
  <c r="G35" i="11" s="1"/>
  <c r="G34" i="11" s="1"/>
  <c r="G33" i="11" s="1"/>
  <c r="C41" i="11"/>
  <c r="C40" i="11" s="1"/>
  <c r="C39" i="11" s="1"/>
  <c r="C38" i="11" s="1"/>
  <c r="C37" i="11" s="1"/>
  <c r="C36" i="11" s="1"/>
  <c r="C35" i="11" s="1"/>
  <c r="C34" i="11" s="1"/>
  <c r="C33" i="11" s="1"/>
  <c r="F41" i="11"/>
  <c r="F40" i="11" s="1"/>
  <c r="F39" i="11" s="1"/>
  <c r="F38" i="11" s="1"/>
  <c r="F37" i="11" s="1"/>
  <c r="F36" i="11" s="1"/>
  <c r="F35" i="11" s="1"/>
  <c r="F34" i="11" s="1"/>
  <c r="F33" i="11" s="1"/>
  <c r="E41" i="11"/>
  <c r="E40" i="11" s="1"/>
  <c r="E39" i="11" s="1"/>
  <c r="E38" i="11" s="1"/>
  <c r="E37" i="11" s="1"/>
  <c r="E36" i="11" s="1"/>
  <c r="E35" i="11" s="1"/>
  <c r="E34" i="11" s="1"/>
  <c r="E33" i="11" s="1"/>
  <c r="H41" i="11"/>
  <c r="H40" i="11" s="1"/>
  <c r="H39" i="11" s="1"/>
  <c r="H38" i="11" s="1"/>
  <c r="H37" i="11" s="1"/>
  <c r="H36" i="11" s="1"/>
  <c r="H35" i="11" s="1"/>
  <c r="H34" i="11" s="1"/>
  <c r="H33" i="11" s="1"/>
  <c r="D41" i="11"/>
  <c r="D40" i="11" s="1"/>
  <c r="D39" i="11" s="1"/>
  <c r="D38" i="11" s="1"/>
  <c r="D37" i="11" s="1"/>
  <c r="D36" i="11" s="1"/>
  <c r="D35" i="11" s="1"/>
  <c r="D34" i="11" s="1"/>
  <c r="D33" i="11" s="1"/>
  <c r="G78" i="11"/>
  <c r="G77" i="11" s="1"/>
  <c r="G76" i="11" s="1"/>
  <c r="G75" i="11" s="1"/>
  <c r="G74" i="11" s="1"/>
  <c r="G73" i="11" s="1"/>
  <c r="G72" i="11" s="1"/>
  <c r="G71" i="11" s="1"/>
  <c r="G70" i="11" s="1"/>
  <c r="G69" i="11" s="1"/>
  <c r="C78" i="11"/>
  <c r="C77" i="11" s="1"/>
  <c r="C76" i="11" s="1"/>
  <c r="C75" i="11" s="1"/>
  <c r="C74" i="11" s="1"/>
  <c r="C73" i="11" s="1"/>
  <c r="C72" i="11" s="1"/>
  <c r="C71" i="11" s="1"/>
  <c r="C70" i="11" s="1"/>
  <c r="C69" i="11" s="1"/>
  <c r="G59" i="11"/>
  <c r="C59" i="11"/>
  <c r="E58" i="11"/>
  <c r="G57" i="11"/>
  <c r="C57" i="11"/>
  <c r="E56" i="11"/>
  <c r="G55" i="11"/>
  <c r="C55" i="11"/>
  <c r="E54" i="11"/>
  <c r="G53" i="11"/>
  <c r="C53" i="11"/>
  <c r="E52" i="11"/>
  <c r="G51" i="11"/>
  <c r="C51" i="11"/>
  <c r="E50" i="11"/>
  <c r="F78" i="11"/>
  <c r="F77" i="11" s="1"/>
  <c r="F76" i="11" s="1"/>
  <c r="F75" i="11" s="1"/>
  <c r="F74" i="11" s="1"/>
  <c r="F73" i="11" s="1"/>
  <c r="F72" i="11" s="1"/>
  <c r="F71" i="11" s="1"/>
  <c r="F70" i="11" s="1"/>
  <c r="F69" i="11" s="1"/>
  <c r="F59" i="11"/>
  <c r="H58" i="11"/>
  <c r="D58" i="11"/>
  <c r="F57" i="11"/>
  <c r="H56" i="11"/>
  <c r="D56" i="11"/>
  <c r="F55" i="11"/>
  <c r="H54" i="11"/>
  <c r="D54" i="11"/>
  <c r="F53" i="11"/>
  <c r="H52" i="11"/>
  <c r="D52" i="11"/>
  <c r="F51" i="11"/>
  <c r="H50" i="11"/>
  <c r="D50" i="11"/>
  <c r="E78" i="11"/>
  <c r="E77" i="11" s="1"/>
  <c r="E76" i="11" s="1"/>
  <c r="E75" i="11" s="1"/>
  <c r="E74" i="11" s="1"/>
  <c r="E73" i="11" s="1"/>
  <c r="E72" i="11" s="1"/>
  <c r="E71" i="11" s="1"/>
  <c r="E70" i="11" s="1"/>
  <c r="E69" i="11" s="1"/>
  <c r="E59" i="11"/>
  <c r="G58" i="11"/>
  <c r="C58" i="11"/>
  <c r="E57" i="11"/>
  <c r="G56" i="11"/>
  <c r="C56" i="11"/>
  <c r="E55" i="11"/>
  <c r="G54" i="11"/>
  <c r="C54" i="11"/>
  <c r="E53" i="11"/>
  <c r="G52" i="11"/>
  <c r="C52" i="11"/>
  <c r="E51" i="11"/>
  <c r="G50" i="11"/>
  <c r="C50" i="11"/>
  <c r="H78" i="11"/>
  <c r="H77" i="11" s="1"/>
  <c r="H76" i="11" s="1"/>
  <c r="H75" i="11" s="1"/>
  <c r="H74" i="11" s="1"/>
  <c r="H73" i="11" s="1"/>
  <c r="H72" i="11" s="1"/>
  <c r="H71" i="11" s="1"/>
  <c r="H70" i="11" s="1"/>
  <c r="H69" i="11" s="1"/>
  <c r="D78" i="11"/>
  <c r="D77" i="11" s="1"/>
  <c r="D76" i="11" s="1"/>
  <c r="D75" i="11" s="1"/>
  <c r="D74" i="11" s="1"/>
  <c r="D73" i="11" s="1"/>
  <c r="D72" i="11" s="1"/>
  <c r="D71" i="11" s="1"/>
  <c r="D70" i="11" s="1"/>
  <c r="D69" i="11" s="1"/>
  <c r="H59" i="11"/>
  <c r="D59" i="11"/>
  <c r="F58" i="11"/>
  <c r="H57" i="11"/>
  <c r="D57" i="11"/>
  <c r="F56" i="11"/>
  <c r="H55" i="11"/>
  <c r="D55" i="11"/>
  <c r="F54" i="11"/>
  <c r="H53" i="11"/>
  <c r="D53" i="11"/>
  <c r="F52" i="11"/>
  <c r="H51" i="11"/>
  <c r="D51" i="11"/>
  <c r="F50" i="11"/>
  <c r="Q763" i="2"/>
  <c r="H131" i="11"/>
  <c r="H130" i="11" s="1"/>
  <c r="H129" i="11" s="1"/>
  <c r="H128" i="11" s="1"/>
  <c r="H127" i="11" s="1"/>
  <c r="H126" i="11" s="1"/>
  <c r="H125" i="11" s="1"/>
  <c r="H124" i="11" s="1"/>
  <c r="H123" i="11" s="1"/>
  <c r="H122" i="11" s="1"/>
  <c r="H121" i="11" s="1"/>
  <c r="H120" i="11" s="1"/>
  <c r="H119" i="11" s="1"/>
  <c r="H118" i="11" s="1"/>
  <c r="H117" i="11" s="1"/>
  <c r="H116" i="11" s="1"/>
  <c r="H115" i="11" s="1"/>
  <c r="H114" i="11" s="1"/>
  <c r="D131" i="11"/>
  <c r="G104" i="11"/>
  <c r="C104" i="11"/>
  <c r="E103" i="11"/>
  <c r="G102" i="11"/>
  <c r="C102" i="11"/>
  <c r="E101" i="11"/>
  <c r="G100" i="11"/>
  <c r="C100" i="11"/>
  <c r="E99" i="11"/>
  <c r="G98" i="11"/>
  <c r="C98" i="11"/>
  <c r="E97" i="11"/>
  <c r="G96" i="11"/>
  <c r="C96" i="11"/>
  <c r="E95" i="11"/>
  <c r="G94" i="11"/>
  <c r="C94" i="11"/>
  <c r="E93" i="11"/>
  <c r="G92" i="11"/>
  <c r="C92" i="11"/>
  <c r="E91" i="11"/>
  <c r="G90" i="11"/>
  <c r="C90" i="11"/>
  <c r="E89" i="11"/>
  <c r="G131" i="11"/>
  <c r="G130" i="11" s="1"/>
  <c r="G129" i="11" s="1"/>
  <c r="G128" i="11" s="1"/>
  <c r="G127" i="11" s="1"/>
  <c r="G126" i="11" s="1"/>
  <c r="G125" i="11" s="1"/>
  <c r="G124" i="11" s="1"/>
  <c r="G123" i="11" s="1"/>
  <c r="G122" i="11" s="1"/>
  <c r="G121" i="11" s="1"/>
  <c r="G120" i="11" s="1"/>
  <c r="G119" i="11" s="1"/>
  <c r="G118" i="11" s="1"/>
  <c r="G117" i="11" s="1"/>
  <c r="G116" i="11" s="1"/>
  <c r="G115" i="11" s="1"/>
  <c r="G114" i="11" s="1"/>
  <c r="C131" i="11"/>
  <c r="C130" i="11" s="1"/>
  <c r="C129" i="11" s="1"/>
  <c r="C128" i="11" s="1"/>
  <c r="C127" i="11" s="1"/>
  <c r="C126" i="11" s="1"/>
  <c r="C125" i="11" s="1"/>
  <c r="C124" i="11" s="1"/>
  <c r="C123" i="11" s="1"/>
  <c r="C122" i="11" s="1"/>
  <c r="C121" i="11" s="1"/>
  <c r="C120" i="11" s="1"/>
  <c r="C119" i="11" s="1"/>
  <c r="C118" i="11" s="1"/>
  <c r="C117" i="11" s="1"/>
  <c r="C116" i="11" s="1"/>
  <c r="C115" i="11" s="1"/>
  <c r="C114" i="11" s="1"/>
  <c r="F104" i="11"/>
  <c r="H103" i="11"/>
  <c r="D103" i="11"/>
  <c r="F102" i="11"/>
  <c r="H101" i="11"/>
  <c r="D101" i="11"/>
  <c r="F100" i="11"/>
  <c r="H99" i="11"/>
  <c r="D99" i="11"/>
  <c r="F98" i="11"/>
  <c r="H97" i="11"/>
  <c r="D97" i="11"/>
  <c r="F96" i="11"/>
  <c r="H95" i="11"/>
  <c r="D95" i="11"/>
  <c r="F94" i="11"/>
  <c r="H93" i="11"/>
  <c r="D93" i="11"/>
  <c r="F92" i="11"/>
  <c r="H91" i="11"/>
  <c r="D91" i="11"/>
  <c r="F90" i="11"/>
  <c r="H89" i="11"/>
  <c r="D89" i="11"/>
  <c r="F131" i="11"/>
  <c r="F130" i="11" s="1"/>
  <c r="F129" i="11" s="1"/>
  <c r="F128" i="11" s="1"/>
  <c r="F127" i="11" s="1"/>
  <c r="F126" i="11" s="1"/>
  <c r="F125" i="11" s="1"/>
  <c r="F124" i="11" s="1"/>
  <c r="F123" i="11" s="1"/>
  <c r="F122" i="11" s="1"/>
  <c r="F121" i="11" s="1"/>
  <c r="F120" i="11" s="1"/>
  <c r="F119" i="11" s="1"/>
  <c r="F118" i="11" s="1"/>
  <c r="F117" i="11" s="1"/>
  <c r="F116" i="11" s="1"/>
  <c r="F115" i="11" s="1"/>
  <c r="F114" i="11" s="1"/>
  <c r="D130" i="11"/>
  <c r="D129" i="11" s="1"/>
  <c r="D128" i="11" s="1"/>
  <c r="D127" i="11" s="1"/>
  <c r="D126" i="11" s="1"/>
  <c r="D125" i="11" s="1"/>
  <c r="D124" i="11" s="1"/>
  <c r="D123" i="11" s="1"/>
  <c r="D122" i="11" s="1"/>
  <c r="D121" i="11" s="1"/>
  <c r="D120" i="11" s="1"/>
  <c r="D119" i="11" s="1"/>
  <c r="D118" i="11" s="1"/>
  <c r="D117" i="11" s="1"/>
  <c r="D116" i="11" s="1"/>
  <c r="D115" i="11" s="1"/>
  <c r="D114" i="11" s="1"/>
  <c r="E104" i="11"/>
  <c r="G103" i="11"/>
  <c r="C103" i="11"/>
  <c r="E102" i="11"/>
  <c r="G101" i="11"/>
  <c r="C101" i="11"/>
  <c r="E100" i="11"/>
  <c r="G99" i="11"/>
  <c r="C99" i="11"/>
  <c r="E98" i="11"/>
  <c r="G97" i="11"/>
  <c r="C97" i="11"/>
  <c r="E96" i="11"/>
  <c r="C95" i="11"/>
  <c r="E94" i="11"/>
  <c r="G93" i="11"/>
  <c r="C93" i="11"/>
  <c r="E92" i="11"/>
  <c r="G91" i="11"/>
  <c r="C91" i="11"/>
  <c r="E90" i="11"/>
  <c r="G89" i="11"/>
  <c r="C89" i="11"/>
  <c r="E131" i="11"/>
  <c r="E130" i="11" s="1"/>
  <c r="E129" i="11" s="1"/>
  <c r="E128" i="11" s="1"/>
  <c r="E127" i="11" s="1"/>
  <c r="E126" i="11" s="1"/>
  <c r="E125" i="11" s="1"/>
  <c r="E124" i="11" s="1"/>
  <c r="E123" i="11" s="1"/>
  <c r="E122" i="11" s="1"/>
  <c r="E121" i="11" s="1"/>
  <c r="E120" i="11" s="1"/>
  <c r="E119" i="11" s="1"/>
  <c r="E118" i="11" s="1"/>
  <c r="E117" i="11" s="1"/>
  <c r="E116" i="11" s="1"/>
  <c r="E115" i="11" s="1"/>
  <c r="E114" i="11" s="1"/>
  <c r="H104" i="11"/>
  <c r="D104" i="11"/>
  <c r="F103" i="11"/>
  <c r="H102" i="11"/>
  <c r="D102" i="11"/>
  <c r="F101" i="11"/>
  <c r="H100" i="11"/>
  <c r="D100" i="11"/>
  <c r="F99" i="11"/>
  <c r="H98" i="11"/>
  <c r="D98" i="11"/>
  <c r="F97" i="11"/>
  <c r="H96" i="11"/>
  <c r="D96" i="11"/>
  <c r="F95" i="11"/>
  <c r="H94" i="11"/>
  <c r="D94" i="11"/>
  <c r="F93" i="11"/>
  <c r="H92" i="11"/>
  <c r="D92" i="11"/>
  <c r="F91" i="11"/>
  <c r="H90" i="11"/>
  <c r="D90" i="11"/>
  <c r="F89" i="11"/>
  <c r="Q727" i="2"/>
  <c r="Q847" i="2"/>
  <c r="H17" i="11"/>
  <c r="H13" i="11"/>
  <c r="G19" i="11"/>
  <c r="G15" i="11"/>
  <c r="G11" i="11"/>
  <c r="F17" i="11"/>
  <c r="F13" i="11"/>
  <c r="E19" i="11"/>
  <c r="E15" i="11"/>
  <c r="E11" i="11"/>
  <c r="D17" i="11"/>
  <c r="D13" i="11"/>
  <c r="C19" i="11"/>
  <c r="C15" i="11"/>
  <c r="H16" i="11"/>
  <c r="H12" i="11"/>
  <c r="G18" i="11"/>
  <c r="G14" i="11"/>
  <c r="F16" i="11"/>
  <c r="F12" i="11"/>
  <c r="E18" i="11"/>
  <c r="E14" i="11"/>
  <c r="D16" i="11"/>
  <c r="D12" i="11"/>
  <c r="C18" i="11"/>
  <c r="C14" i="11"/>
  <c r="C11" i="11"/>
  <c r="H19" i="11"/>
  <c r="H15" i="11"/>
  <c r="H11" i="11"/>
  <c r="G17" i="11"/>
  <c r="G13" i="11"/>
  <c r="F19" i="11"/>
  <c r="F15" i="11"/>
  <c r="F11" i="11"/>
  <c r="E17" i="11"/>
  <c r="E13" i="11"/>
  <c r="D19" i="11"/>
  <c r="D15" i="11"/>
  <c r="D11" i="11"/>
  <c r="C17" i="11"/>
  <c r="C13" i="11"/>
  <c r="H18" i="11"/>
  <c r="H14" i="11"/>
  <c r="G16" i="11"/>
  <c r="G12" i="11"/>
  <c r="F18" i="11"/>
  <c r="F14" i="11"/>
  <c r="E16" i="11"/>
  <c r="E12" i="11"/>
  <c r="D18" i="11"/>
  <c r="D14" i="11"/>
  <c r="C16" i="11"/>
  <c r="C12" i="11"/>
  <c r="M849" i="2"/>
  <c r="AD849" i="2" s="1"/>
  <c r="Q105" i="2"/>
  <c r="M101" i="2"/>
  <c r="AD101" i="2" s="1"/>
  <c r="Q497" i="2"/>
  <c r="Q505" i="2"/>
  <c r="M309" i="2"/>
  <c r="AD309" i="2" s="1"/>
  <c r="M409" i="2"/>
  <c r="AD409" i="2" s="1"/>
  <c r="M905" i="2"/>
  <c r="AD905" i="2" s="1"/>
  <c r="M513" i="2"/>
  <c r="AD513" i="2" s="1"/>
  <c r="Q557" i="2"/>
  <c r="Q453" i="2"/>
  <c r="Q701" i="2"/>
  <c r="Q421" i="2"/>
  <c r="M929" i="2"/>
  <c r="AD929" i="2" s="1"/>
  <c r="Q654" i="2"/>
  <c r="Q162" i="2"/>
  <c r="M682" i="2"/>
  <c r="AD682" i="2" s="1"/>
  <c r="Q350" i="2"/>
  <c r="AD1112" i="2"/>
  <c r="AD1111" i="2"/>
  <c r="B348" i="15"/>
  <c r="C340" i="15" s="1"/>
  <c r="Q702" i="2"/>
  <c r="Q962" i="2"/>
  <c r="Q950" i="2"/>
  <c r="Q958" i="2"/>
  <c r="Q586" i="2"/>
  <c r="Q710" i="2"/>
  <c r="Q970" i="2"/>
  <c r="Q294" i="2"/>
  <c r="Q338" i="2"/>
  <c r="Q734" i="2"/>
  <c r="Q650" i="2"/>
  <c r="M142" i="2"/>
  <c r="AD142" i="2" s="1"/>
  <c r="Q46" i="2"/>
  <c r="Q706" i="2"/>
  <c r="Q194" i="2"/>
  <c r="Q254" i="2"/>
  <c r="Q270" i="2"/>
  <c r="Q738" i="2"/>
  <c r="Q898" i="2"/>
  <c r="Q726" i="2"/>
  <c r="Q394" i="2"/>
  <c r="Q458" i="2"/>
  <c r="Q642" i="2"/>
  <c r="Q878" i="2"/>
  <c r="Q30" i="2"/>
  <c r="M646" i="2"/>
  <c r="AD646" i="2" s="1"/>
  <c r="M658" i="2"/>
  <c r="AD658" i="2" s="1"/>
  <c r="Q158" i="2"/>
  <c r="M526" i="2"/>
  <c r="AD526" i="2" s="1"/>
  <c r="M722" i="2"/>
  <c r="AD722" i="2" s="1"/>
  <c r="Q302" i="2"/>
  <c r="M435" i="2"/>
  <c r="AD435" i="2" s="1"/>
  <c r="Q635" i="2"/>
  <c r="M347" i="2"/>
  <c r="AD347" i="2" s="1"/>
  <c r="Q591" i="2"/>
  <c r="Q587" i="2"/>
  <c r="Q735" i="2"/>
  <c r="Q815" i="2"/>
  <c r="Q707" i="2"/>
  <c r="Q603" i="2"/>
  <c r="Q22" i="2"/>
  <c r="Q257" i="2"/>
  <c r="Q18" i="2"/>
  <c r="Q367" i="2"/>
  <c r="Q313" i="2"/>
  <c r="Q261" i="2"/>
  <c r="Q285" i="2"/>
  <c r="Q407" i="2"/>
  <c r="M174" i="2"/>
  <c r="AD174" i="2" s="1"/>
  <c r="M246" i="2"/>
  <c r="AD246" i="2" s="1"/>
  <c r="Q281" i="2"/>
  <c r="Q571" i="2"/>
  <c r="Q415" i="2"/>
  <c r="Q667" i="2"/>
  <c r="M479" i="2"/>
  <c r="AD479" i="2" s="1"/>
  <c r="M563" i="2"/>
  <c r="AD563" i="2" s="1"/>
  <c r="Q615" i="2"/>
  <c r="Q599" i="2"/>
  <c r="Q459" i="2"/>
  <c r="Q218" i="2"/>
  <c r="M320" i="2"/>
  <c r="AD320" i="2" s="1"/>
  <c r="Q234" i="2"/>
  <c r="Q316" i="2"/>
  <c r="Q134" i="2"/>
  <c r="Q250" i="2"/>
  <c r="Q719" i="2"/>
  <c r="Q399" i="2"/>
  <c r="Q14" i="2"/>
  <c r="Q190" i="2"/>
  <c r="M775" i="2"/>
  <c r="AD775" i="2" s="1"/>
  <c r="Q447" i="2"/>
  <c r="Q647" i="2"/>
  <c r="Q301" i="2"/>
  <c r="M178" i="2"/>
  <c r="AD178" i="2" s="1"/>
  <c r="M106" i="2"/>
  <c r="AD106" i="2" s="1"/>
  <c r="Q327" i="2"/>
  <c r="Q943" i="2"/>
  <c r="M343" i="2"/>
  <c r="AD343" i="2" s="1"/>
  <c r="M451" i="2"/>
  <c r="AD451" i="2" s="1"/>
  <c r="M122" i="2"/>
  <c r="AD122" i="2" s="1"/>
  <c r="Q785" i="2"/>
  <c r="Q774" i="2"/>
  <c r="Q675" i="2"/>
  <c r="Q699" i="2"/>
  <c r="Q238" i="2"/>
  <c r="Q455" i="2"/>
  <c r="M523" i="2"/>
  <c r="AD523" i="2" s="1"/>
  <c r="M870" i="2"/>
  <c r="AD870" i="2" s="1"/>
  <c r="Q810" i="2"/>
  <c r="M305" i="2"/>
  <c r="AD305" i="2" s="1"/>
  <c r="Q694" i="2"/>
  <c r="M531" i="2"/>
  <c r="AD531" i="2" s="1"/>
  <c r="Q819" i="2"/>
  <c r="M631" i="2"/>
  <c r="AD631" i="2" s="1"/>
  <c r="Q619" i="2"/>
  <c r="Q146" i="2"/>
  <c r="Q110" i="2"/>
  <c r="Q489" i="2"/>
  <c r="Q961" i="2"/>
  <c r="Q741" i="2"/>
  <c r="Q419" i="2"/>
  <c r="Q517" i="2"/>
  <c r="Q78" i="2"/>
  <c r="Q583" i="2"/>
  <c r="Q351" i="2"/>
  <c r="Q355" i="2"/>
  <c r="Q138" i="2"/>
  <c r="Q277" i="2"/>
  <c r="Q144" i="2"/>
  <c r="Q638" i="2"/>
  <c r="Q314" i="2"/>
  <c r="Q705" i="2"/>
  <c r="Q198" i="2"/>
  <c r="Q781" i="2"/>
  <c r="Q709" i="2"/>
  <c r="Q465" i="2"/>
  <c r="M337" i="2"/>
  <c r="AD337" i="2" s="1"/>
  <c r="Q329" i="2"/>
  <c r="Q525" i="2"/>
  <c r="Q844" i="2"/>
  <c r="Q852" i="2"/>
  <c r="Q477" i="2"/>
  <c r="Q521" i="2"/>
  <c r="Q805" i="2"/>
  <c r="Q473" i="2"/>
  <c r="Q745" i="2"/>
  <c r="Q333" i="2"/>
  <c r="M381" i="2"/>
  <c r="AD381" i="2" s="1"/>
  <c r="Q322" i="2"/>
  <c r="Q809" i="2"/>
  <c r="Q608" i="2"/>
  <c r="Q817" i="2"/>
  <c r="M240" i="2"/>
  <c r="AD240" i="2" s="1"/>
  <c r="Q797" i="2"/>
  <c r="Q456" i="2"/>
  <c r="Q336" i="2"/>
  <c r="Q580" i="2"/>
  <c r="Q788" i="2"/>
  <c r="Q640" i="2"/>
  <c r="Q545" i="2"/>
  <c r="Q433" i="2"/>
  <c r="Q441" i="2"/>
  <c r="M405" i="2"/>
  <c r="AD405" i="2" s="1"/>
  <c r="Q831" i="2"/>
  <c r="Q255" i="2"/>
  <c r="M460" i="2"/>
  <c r="AD460" i="2" s="1"/>
  <c r="Q652" i="2"/>
  <c r="Q556" i="2"/>
  <c r="Q840" i="2"/>
  <c r="Q856" i="2"/>
  <c r="Q564" i="2"/>
  <c r="M389" i="2"/>
  <c r="AD389" i="2" s="1"/>
  <c r="M417" i="2"/>
  <c r="AD417" i="2" s="1"/>
  <c r="Q445" i="2"/>
  <c r="Q461" i="2"/>
  <c r="Q544" i="2"/>
  <c r="M732" i="2"/>
  <c r="AD732" i="2" s="1"/>
  <c r="M916" i="2"/>
  <c r="AD916" i="2" s="1"/>
  <c r="M696" i="2"/>
  <c r="AD696" i="2" s="1"/>
  <c r="Q318" i="2"/>
  <c r="M373" i="2"/>
  <c r="AD373" i="2" s="1"/>
  <c r="M468" i="2"/>
  <c r="AD468" i="2" s="1"/>
  <c r="Q413" i="2"/>
  <c r="M469" i="2"/>
  <c r="AD469" i="2" s="1"/>
  <c r="M357" i="2"/>
  <c r="AD357" i="2" s="1"/>
  <c r="Q900" i="2"/>
  <c r="M820" i="2"/>
  <c r="AD820" i="2" s="1"/>
  <c r="Q493" i="2"/>
  <c r="Q884" i="2"/>
  <c r="Q585" i="2"/>
  <c r="Q757" i="2"/>
  <c r="Q980" i="2"/>
  <c r="M676" i="2"/>
  <c r="AD676" i="2" s="1"/>
  <c r="M244" i="2"/>
  <c r="AD244" i="2" s="1"/>
  <c r="M452" i="2"/>
  <c r="AD452" i="2" s="1"/>
  <c r="Q765" i="2"/>
  <c r="Q440" i="2"/>
  <c r="Q983" i="2"/>
  <c r="Q592" i="2"/>
  <c r="M393" i="2"/>
  <c r="AD393" i="2" s="1"/>
  <c r="Q263" i="2"/>
  <c r="Q436" i="2"/>
  <c r="Q552" i="2"/>
  <c r="Q936" i="2"/>
  <c r="Q724" i="2"/>
  <c r="Q501" i="2"/>
  <c r="Q776" i="2"/>
  <c r="M872" i="2"/>
  <c r="AD872" i="2" s="1"/>
  <c r="M824" i="2"/>
  <c r="AD824" i="2" s="1"/>
  <c r="M500" i="2"/>
  <c r="AD500" i="2" s="1"/>
  <c r="Q481" i="2"/>
  <c r="M889" i="2"/>
  <c r="AD889" i="2" s="1"/>
  <c r="Q917" i="2"/>
  <c r="Q885" i="2"/>
  <c r="M714" i="2"/>
  <c r="AD714" i="2" s="1"/>
  <c r="M1013" i="2"/>
  <c r="AD1013" i="2" s="1"/>
  <c r="Q695" i="2"/>
  <c r="Q873" i="2"/>
  <c r="Q957" i="2"/>
  <c r="M967" i="2"/>
  <c r="AD967" i="2" s="1"/>
  <c r="Q899" i="2"/>
  <c r="Q893" i="2"/>
  <c r="Q750" i="2"/>
  <c r="Q671" i="2"/>
  <c r="M975" i="2"/>
  <c r="AD975" i="2" s="1"/>
  <c r="Q975" i="2"/>
  <c r="M887" i="2"/>
  <c r="AD887" i="2" s="1"/>
  <c r="Q887" i="2"/>
  <c r="Q851" i="2"/>
  <c r="M851" i="2"/>
  <c r="AD851" i="2" s="1"/>
  <c r="Q720" i="2"/>
  <c r="M720" i="2"/>
  <c r="AD720" i="2" s="1"/>
  <c r="Q614" i="2"/>
  <c r="M614" i="2"/>
  <c r="AD614" i="2" s="1"/>
  <c r="Q546" i="2"/>
  <c r="M546" i="2"/>
  <c r="AD546" i="2" s="1"/>
  <c r="M462" i="2"/>
  <c r="AD462" i="2" s="1"/>
  <c r="Q462" i="2"/>
  <c r="M414" i="2"/>
  <c r="AD414" i="2" s="1"/>
  <c r="Q414" i="2"/>
  <c r="M410" i="2"/>
  <c r="AD410" i="2" s="1"/>
  <c r="Q410" i="2"/>
  <c r="M402" i="2"/>
  <c r="AD402" i="2" s="1"/>
  <c r="Q402" i="2"/>
  <c r="M366" i="2"/>
  <c r="AD366" i="2" s="1"/>
  <c r="Q366" i="2"/>
  <c r="M296" i="2"/>
  <c r="AD296" i="2" s="1"/>
  <c r="Q296" i="2"/>
  <c r="M292" i="2"/>
  <c r="AD292" i="2" s="1"/>
  <c r="Q292" i="2"/>
  <c r="M288" i="2"/>
  <c r="AD288" i="2" s="1"/>
  <c r="Q288" i="2"/>
  <c r="Q209" i="2"/>
  <c r="M209" i="2"/>
  <c r="AD209" i="2" s="1"/>
  <c r="M689" i="2"/>
  <c r="AD689" i="2" s="1"/>
  <c r="Q550" i="2"/>
  <c r="Q677" i="2"/>
  <c r="Q808" i="2"/>
  <c r="Q919" i="2"/>
  <c r="M939" i="2"/>
  <c r="AD939" i="2" s="1"/>
  <c r="M213" i="2"/>
  <c r="AD213" i="2" s="1"/>
  <c r="Q323" i="2"/>
  <c r="Q618" i="2"/>
  <c r="M712" i="2"/>
  <c r="AD712" i="2" s="1"/>
  <c r="M736" i="2"/>
  <c r="AD736" i="2" s="1"/>
  <c r="M796" i="2"/>
  <c r="AD796" i="2" s="1"/>
  <c r="M931" i="2"/>
  <c r="AD931" i="2" s="1"/>
  <c r="Q362" i="2"/>
  <c r="M594" i="2"/>
  <c r="AD594" i="2" s="1"/>
  <c r="Q890" i="2"/>
  <c r="M890" i="2"/>
  <c r="AD890" i="2" s="1"/>
  <c r="M866" i="2"/>
  <c r="AD866" i="2" s="1"/>
  <c r="Q866" i="2"/>
  <c r="M838" i="2"/>
  <c r="AD838" i="2" s="1"/>
  <c r="Q838" i="2"/>
  <c r="Q834" i="2"/>
  <c r="M834" i="2"/>
  <c r="AD834" i="2" s="1"/>
  <c r="M665" i="2"/>
  <c r="AD665" i="2" s="1"/>
  <c r="M672" i="2"/>
  <c r="AD672" i="2" s="1"/>
  <c r="Q672" i="2"/>
  <c r="M668" i="2"/>
  <c r="AD668" i="2" s="1"/>
  <c r="Q668" i="2"/>
  <c r="M602" i="2"/>
  <c r="AD602" i="2" s="1"/>
  <c r="Q308" i="2"/>
  <c r="Q486" i="2"/>
  <c r="Q466" i="2"/>
  <c r="M233" i="2"/>
  <c r="AD233" i="2" s="1"/>
  <c r="Q895" i="2"/>
  <c r="Q450" i="2"/>
  <c r="Q660" i="2"/>
  <c r="Q225" i="2"/>
  <c r="Q1022" i="2"/>
  <c r="M965" i="2"/>
  <c r="AD965" i="2" s="1"/>
  <c r="Q965" i="2"/>
  <c r="M798" i="2"/>
  <c r="AD798" i="2" s="1"/>
  <c r="Q798" i="2"/>
  <c r="M687" i="2"/>
  <c r="AD687" i="2" s="1"/>
  <c r="Q687" i="2"/>
  <c r="Q663" i="2"/>
  <c r="M663" i="2"/>
  <c r="AD663" i="2" s="1"/>
  <c r="Q655" i="2"/>
  <c r="M655" i="2"/>
  <c r="AD655" i="2" s="1"/>
  <c r="Q628" i="2"/>
  <c r="M628" i="2"/>
  <c r="AD628" i="2" s="1"/>
  <c r="M624" i="2"/>
  <c r="AD624" i="2" s="1"/>
  <c r="Q624" i="2"/>
  <c r="M616" i="2"/>
  <c r="AD616" i="2" s="1"/>
  <c r="Q616" i="2"/>
  <c r="M604" i="2"/>
  <c r="AD604" i="2" s="1"/>
  <c r="Q604" i="2"/>
  <c r="Q600" i="2"/>
  <c r="M600" i="2"/>
  <c r="AD600" i="2" s="1"/>
  <c r="M516" i="2"/>
  <c r="AD516" i="2" s="1"/>
  <c r="Q516" i="2"/>
  <c r="M512" i="2"/>
  <c r="AD512" i="2" s="1"/>
  <c r="Q512" i="2"/>
  <c r="Q476" i="2"/>
  <c r="M476" i="2"/>
  <c r="AD476" i="2" s="1"/>
  <c r="Q408" i="2"/>
  <c r="M408" i="2"/>
  <c r="AD408" i="2" s="1"/>
  <c r="Q380" i="2"/>
  <c r="M380" i="2"/>
  <c r="AD380" i="2" s="1"/>
  <c r="M131" i="2"/>
  <c r="AD131" i="2" s="1"/>
  <c r="Q131" i="2"/>
  <c r="Q87" i="2"/>
  <c r="M87" i="2"/>
  <c r="AD87" i="2" s="1"/>
  <c r="M83" i="2"/>
  <c r="AD83" i="2" s="1"/>
  <c r="Q83" i="2"/>
  <c r="M51" i="2"/>
  <c r="AD51" i="2" s="1"/>
  <c r="Q51" i="2"/>
  <c r="M991" i="2"/>
  <c r="AD991" i="2" s="1"/>
  <c r="Q991" i="2"/>
  <c r="M927" i="2"/>
  <c r="AD927" i="2" s="1"/>
  <c r="Q927" i="2"/>
  <c r="M907" i="2"/>
  <c r="AD907" i="2" s="1"/>
  <c r="Q907" i="2"/>
  <c r="Q827" i="2"/>
  <c r="M827" i="2"/>
  <c r="AD827" i="2" s="1"/>
  <c r="M768" i="2"/>
  <c r="AD768" i="2" s="1"/>
  <c r="Q768" i="2"/>
  <c r="Q748" i="2"/>
  <c r="M748" i="2"/>
  <c r="AD748" i="2" s="1"/>
  <c r="M653" i="2"/>
  <c r="AD653" i="2" s="1"/>
  <c r="Q653" i="2"/>
  <c r="Q610" i="2"/>
  <c r="M610" i="2"/>
  <c r="AD610" i="2" s="1"/>
  <c r="Q554" i="2"/>
  <c r="M554" i="2"/>
  <c r="AD554" i="2" s="1"/>
  <c r="M538" i="2"/>
  <c r="AD538" i="2" s="1"/>
  <c r="Q538" i="2"/>
  <c r="Q534" i="2"/>
  <c r="M534" i="2"/>
  <c r="AD534" i="2" s="1"/>
  <c r="M474" i="2"/>
  <c r="AD474" i="2" s="1"/>
  <c r="Q474" i="2"/>
  <c r="M430" i="2"/>
  <c r="AD430" i="2" s="1"/>
  <c r="Q430" i="2"/>
  <c r="M390" i="2"/>
  <c r="AD390" i="2" s="1"/>
  <c r="Q390" i="2"/>
  <c r="M342" i="2"/>
  <c r="AD342" i="2" s="1"/>
  <c r="Q342" i="2"/>
  <c r="Q304" i="2"/>
  <c r="Q382" i="2"/>
  <c r="Q446" i="2"/>
  <c r="Q935" i="2"/>
  <c r="Q542" i="2"/>
  <c r="M910" i="2"/>
  <c r="AD910" i="2" s="1"/>
  <c r="Q923" i="2"/>
  <c r="Q330" i="2"/>
  <c r="Q613" i="2"/>
  <c r="Q703" i="2"/>
  <c r="Q739" i="2"/>
  <c r="Q454" i="2"/>
  <c r="Q398" i="2"/>
  <c r="Q272" i="2"/>
  <c r="M800" i="2"/>
  <c r="AD800" i="2" s="1"/>
  <c r="Q771" i="2"/>
  <c r="M811" i="2"/>
  <c r="AD811" i="2" s="1"/>
  <c r="Q598" i="2"/>
  <c r="Q264" i="2"/>
  <c r="M33" i="2"/>
  <c r="AD33" i="2" s="1"/>
  <c r="Q577" i="2"/>
  <c r="Q1017" i="2"/>
  <c r="M1001" i="2"/>
  <c r="AD1001" i="2" s="1"/>
  <c r="Q1001" i="2"/>
  <c r="Q897" i="2"/>
  <c r="M897" i="2"/>
  <c r="AD897" i="2" s="1"/>
  <c r="M877" i="2"/>
  <c r="AD877" i="2" s="1"/>
  <c r="Q877" i="2"/>
  <c r="Q633" i="2"/>
  <c r="Q830" i="2"/>
  <c r="M804" i="2"/>
  <c r="AD804" i="2" s="1"/>
  <c r="M816" i="2"/>
  <c r="AD816" i="2" s="1"/>
  <c r="M881" i="2"/>
  <c r="AD881" i="2" s="1"/>
  <c r="Q276" i="2"/>
  <c r="M921" i="2"/>
  <c r="AD921" i="2" s="1"/>
  <c r="Q845" i="2"/>
  <c r="Q778" i="2"/>
  <c r="Q574" i="2"/>
  <c r="Q979" i="2"/>
  <c r="Q334" i="2"/>
  <c r="Q406" i="2"/>
  <c r="Q494" i="2"/>
  <c r="M434" i="2"/>
  <c r="AD434" i="2" s="1"/>
  <c r="Q442" i="2"/>
  <c r="Q589" i="2"/>
  <c r="Q874" i="2"/>
  <c r="Q241" i="2"/>
  <c r="Q782" i="2"/>
  <c r="Q951" i="2"/>
  <c r="Q1006" i="2"/>
  <c r="Q966" i="2"/>
  <c r="Q711" i="2"/>
  <c r="M879" i="2"/>
  <c r="AD879" i="2" s="1"/>
  <c r="M891" i="2"/>
  <c r="AD891" i="2" s="1"/>
  <c r="Q971" i="2"/>
  <c r="Q346" i="2"/>
  <c r="Q630" i="2"/>
  <c r="Q855" i="2"/>
  <c r="Q536" i="2"/>
  <c r="M584" i="2"/>
  <c r="AD584" i="2" s="1"/>
  <c r="Q626" i="2"/>
  <c r="M700" i="2"/>
  <c r="AD700" i="2" s="1"/>
  <c r="Q730" i="2"/>
  <c r="M772" i="2"/>
  <c r="AD772" i="2" s="1"/>
  <c r="Q812" i="2"/>
  <c r="Q926" i="2"/>
  <c r="Q863" i="2"/>
  <c r="Q835" i="2"/>
  <c r="M636" i="2"/>
  <c r="AD636" i="2" s="1"/>
  <c r="Q693" i="2"/>
  <c r="Q480" i="2"/>
  <c r="Q268" i="2"/>
  <c r="Q641" i="2"/>
  <c r="M150" i="2"/>
  <c r="AD150" i="2" s="1"/>
  <c r="Q150" i="2"/>
  <c r="Q537" i="2"/>
  <c r="M533" i="2"/>
  <c r="AD533" i="2" s="1"/>
  <c r="Q549" i="2"/>
  <c r="M397" i="2"/>
  <c r="AD397" i="2" s="1"/>
  <c r="Q429" i="2"/>
  <c r="M214" i="2"/>
  <c r="AD214" i="2" s="1"/>
  <c r="Q222" i="2"/>
  <c r="Q449" i="2"/>
  <c r="Q1206" i="2"/>
  <c r="M862" i="2"/>
  <c r="AD862" i="2" s="1"/>
  <c r="Q862" i="2"/>
  <c r="M904" i="2"/>
  <c r="AD904" i="2" s="1"/>
  <c r="M960" i="2"/>
  <c r="AD960" i="2" s="1"/>
  <c r="M942" i="2"/>
  <c r="AD942" i="2" s="1"/>
  <c r="Q942" i="2"/>
  <c r="M922" i="2"/>
  <c r="AD922" i="2" s="1"/>
  <c r="Q922" i="2"/>
  <c r="M914" i="2"/>
  <c r="AD914" i="2" s="1"/>
  <c r="Q914" i="2"/>
  <c r="Q753" i="2"/>
  <c r="Q908" i="2"/>
  <c r="Q662" i="2"/>
  <c r="Q737" i="2"/>
  <c r="Q882" i="2"/>
  <c r="Q938" i="2"/>
  <c r="M850" i="2"/>
  <c r="AD850" i="2" s="1"/>
  <c r="M846" i="2"/>
  <c r="AD846" i="2" s="1"/>
  <c r="M723" i="2"/>
  <c r="AD723" i="2" s="1"/>
  <c r="Q807" i="2"/>
  <c r="Q1014" i="2"/>
  <c r="Q1010" i="2"/>
  <c r="M1002" i="2"/>
  <c r="AD1002" i="2" s="1"/>
  <c r="M787" i="2"/>
  <c r="AD787" i="2" s="1"/>
  <c r="M690" i="2"/>
  <c r="AD690" i="2" s="1"/>
  <c r="Q858" i="2"/>
  <c r="Q906" i="2"/>
  <c r="Q932" i="2"/>
  <c r="M1012" i="2"/>
  <c r="AD1012" i="2" s="1"/>
  <c r="Q715" i="2"/>
  <c r="Q978" i="2"/>
  <c r="M770" i="2"/>
  <c r="AD770" i="2" s="1"/>
  <c r="Q770" i="2"/>
  <c r="Q718" i="2"/>
  <c r="M718" i="2"/>
  <c r="AD718" i="2" s="1"/>
  <c r="M358" i="2"/>
  <c r="AD358" i="2" s="1"/>
  <c r="Q358" i="2"/>
  <c r="M315" i="2"/>
  <c r="AD315" i="2" s="1"/>
  <c r="Q315" i="2"/>
  <c r="M300" i="2"/>
  <c r="AD300" i="2" s="1"/>
  <c r="Q300" i="2"/>
  <c r="M74" i="2"/>
  <c r="AD74" i="2" s="1"/>
  <c r="Q74" i="2"/>
  <c r="M560" i="2"/>
  <c r="AD560" i="2" s="1"/>
  <c r="M509" i="2"/>
  <c r="AD509" i="2" s="1"/>
  <c r="Q509" i="2"/>
  <c r="Q385" i="2"/>
  <c r="M385" i="2"/>
  <c r="AD385" i="2" s="1"/>
  <c r="Q345" i="2"/>
  <c r="M345" i="2"/>
  <c r="AD345" i="2" s="1"/>
  <c r="Q259" i="2"/>
  <c r="M259" i="2"/>
  <c r="AD259" i="2" s="1"/>
  <c r="Q248" i="2"/>
  <c r="Q168" i="2"/>
  <c r="M168" i="2"/>
  <c r="AD168" i="2" s="1"/>
  <c r="M164" i="2"/>
  <c r="AD164" i="2" s="1"/>
  <c r="Q164" i="2"/>
  <c r="Q89" i="2"/>
  <c r="M89" i="2"/>
  <c r="AD89" i="2" s="1"/>
  <c r="M61" i="2"/>
  <c r="AD61" i="2" s="1"/>
  <c r="Q61" i="2"/>
  <c r="Q996" i="2"/>
  <c r="M996" i="2"/>
  <c r="AD996" i="2" s="1"/>
  <c r="M729" i="2"/>
  <c r="AD729" i="2" s="1"/>
  <c r="Q729" i="2"/>
  <c r="M686" i="2"/>
  <c r="AD686" i="2" s="1"/>
  <c r="Q686" i="2"/>
  <c r="M697" i="2"/>
  <c r="AD697" i="2" s="1"/>
  <c r="M1000" i="2"/>
  <c r="AD1000" i="2" s="1"/>
  <c r="M674" i="2"/>
  <c r="AD674" i="2" s="1"/>
  <c r="Q912" i="2"/>
  <c r="Q968" i="2"/>
  <c r="Q986" i="2"/>
  <c r="Q954" i="2"/>
  <c r="Q944" i="2"/>
  <c r="Q940" i="2"/>
  <c r="Q934" i="2"/>
  <c r="M822" i="2"/>
  <c r="AD822" i="2" s="1"/>
  <c r="Q896" i="2"/>
  <c r="Q924" i="2"/>
  <c r="Q982" i="2"/>
  <c r="M883" i="2"/>
  <c r="AD883" i="2" s="1"/>
  <c r="Q883" i="2"/>
  <c r="M875" i="2"/>
  <c r="AD875" i="2" s="1"/>
  <c r="Q875" i="2"/>
  <c r="M859" i="2"/>
  <c r="AD859" i="2" s="1"/>
  <c r="Q859" i="2"/>
  <c r="M843" i="2"/>
  <c r="AD843" i="2" s="1"/>
  <c r="Q843" i="2"/>
  <c r="Q792" i="2"/>
  <c r="M792" i="2"/>
  <c r="AD792" i="2" s="1"/>
  <c r="Q661" i="2"/>
  <c r="M661" i="2"/>
  <c r="AD661" i="2" s="1"/>
  <c r="M634" i="2"/>
  <c r="AD634" i="2" s="1"/>
  <c r="Q634" i="2"/>
  <c r="M579" i="2"/>
  <c r="AD579" i="2" s="1"/>
  <c r="Q579" i="2"/>
  <c r="M575" i="2"/>
  <c r="AD575" i="2" s="1"/>
  <c r="Q575" i="2"/>
  <c r="M540" i="2"/>
  <c r="AD540" i="2" s="1"/>
  <c r="Q540" i="2"/>
  <c r="M496" i="2"/>
  <c r="AD496" i="2" s="1"/>
  <c r="Q496" i="2"/>
  <c r="Q492" i="2"/>
  <c r="M492" i="2"/>
  <c r="AD492" i="2" s="1"/>
  <c r="M404" i="2"/>
  <c r="AD404" i="2" s="1"/>
  <c r="Q404" i="2"/>
  <c r="Q384" i="2"/>
  <c r="M384" i="2"/>
  <c r="AD384" i="2" s="1"/>
  <c r="M299" i="2"/>
  <c r="AD299" i="2" s="1"/>
  <c r="Q299" i="2"/>
  <c r="M230" i="2"/>
  <c r="AD230" i="2" s="1"/>
  <c r="Q230" i="2"/>
  <c r="Q155" i="2"/>
  <c r="M155" i="2"/>
  <c r="AD155" i="2" s="1"/>
  <c r="Q124" i="2"/>
  <c r="M124" i="2"/>
  <c r="AD124" i="2" s="1"/>
  <c r="M84" i="2"/>
  <c r="AD84" i="2" s="1"/>
  <c r="Q84" i="2"/>
  <c r="Q38" i="2"/>
  <c r="M38" i="2"/>
  <c r="AD38" i="2" s="1"/>
  <c r="M34" i="2"/>
  <c r="AD34" i="2" s="1"/>
  <c r="Q34" i="2"/>
  <c r="M10" i="2"/>
  <c r="AD10" i="2" s="1"/>
  <c r="Q10" i="2"/>
  <c r="M976" i="2"/>
  <c r="AD976" i="2" s="1"/>
  <c r="Q976" i="2"/>
  <c r="M829" i="2"/>
  <c r="AD829" i="2" s="1"/>
  <c r="Q829" i="2"/>
  <c r="M783" i="2"/>
  <c r="AD783" i="2" s="1"/>
  <c r="Q783" i="2"/>
  <c r="Q861" i="2"/>
  <c r="Q825" i="2"/>
  <c r="Q984" i="2"/>
  <c r="M749" i="2"/>
  <c r="AD749" i="2" s="1"/>
  <c r="Q749" i="2"/>
  <c r="M54" i="2"/>
  <c r="AD54" i="2" s="1"/>
  <c r="Q54" i="2"/>
  <c r="Q24" i="2"/>
  <c r="M24" i="2"/>
  <c r="AD24" i="2" s="1"/>
  <c r="Q1016" i="2"/>
  <c r="Q992" i="2"/>
  <c r="Q791" i="2"/>
  <c r="Q799" i="2"/>
  <c r="Q903" i="2"/>
  <c r="M814" i="2"/>
  <c r="AD814" i="2" s="1"/>
  <c r="M249" i="2"/>
  <c r="AD249" i="2" s="1"/>
  <c r="Q249" i="2"/>
  <c r="M98" i="2"/>
  <c r="AD98" i="2" s="1"/>
  <c r="Q98" i="2"/>
  <c r="Q8" i="2"/>
  <c r="M8" i="2"/>
  <c r="AD8" i="2" s="1"/>
  <c r="Q41" i="2"/>
  <c r="Q758" i="2"/>
  <c r="M86" i="2"/>
  <c r="AD86" i="2" s="1"/>
  <c r="Q36" i="2"/>
  <c r="Q892" i="2"/>
  <c r="Q1008" i="2"/>
  <c r="Q955" i="2"/>
  <c r="Q1007" i="2"/>
  <c r="M102" i="2"/>
  <c r="AD102" i="2" s="1"/>
  <c r="M937" i="2"/>
  <c r="AD937" i="2" s="1"/>
  <c r="Q937" i="2"/>
  <c r="M894" i="2"/>
  <c r="AD894" i="2" s="1"/>
  <c r="Q894" i="2"/>
  <c r="M839" i="2"/>
  <c r="AD839" i="2" s="1"/>
  <c r="Q839" i="2"/>
  <c r="M760" i="2"/>
  <c r="AD760" i="2" s="1"/>
  <c r="Q760" i="2"/>
  <c r="M752" i="2"/>
  <c r="AD752" i="2" s="1"/>
  <c r="Q752" i="2"/>
  <c r="M744" i="2"/>
  <c r="AD744" i="2" s="1"/>
  <c r="Q744" i="2"/>
  <c r="M698" i="2"/>
  <c r="AD698" i="2" s="1"/>
  <c r="Q698" i="2"/>
  <c r="M684" i="2"/>
  <c r="AD684" i="2" s="1"/>
  <c r="Q684" i="2"/>
  <c r="M680" i="2"/>
  <c r="AD680" i="2" s="1"/>
  <c r="Q680" i="2"/>
  <c r="Q664" i="2"/>
  <c r="M664" i="2"/>
  <c r="AD664" i="2" s="1"/>
  <c r="M527" i="2"/>
  <c r="AD527" i="2" s="1"/>
  <c r="Q527" i="2"/>
  <c r="Q427" i="2"/>
  <c r="M427" i="2"/>
  <c r="AD427" i="2" s="1"/>
  <c r="M423" i="2"/>
  <c r="AD423" i="2" s="1"/>
  <c r="Q423" i="2"/>
  <c r="M411" i="2"/>
  <c r="AD411" i="2" s="1"/>
  <c r="Q411" i="2"/>
  <c r="M396" i="2"/>
  <c r="AD396" i="2" s="1"/>
  <c r="Q396" i="2"/>
  <c r="Q307" i="2"/>
  <c r="M307" i="2"/>
  <c r="AD307" i="2" s="1"/>
  <c r="M227" i="2"/>
  <c r="AD227" i="2" s="1"/>
  <c r="Q227" i="2"/>
  <c r="Q200" i="2"/>
  <c r="M200" i="2"/>
  <c r="AD200" i="2" s="1"/>
  <c r="M196" i="2"/>
  <c r="AD196" i="2" s="1"/>
  <c r="Q196" i="2"/>
  <c r="M188" i="2"/>
  <c r="AD188" i="2" s="1"/>
  <c r="Q188" i="2"/>
  <c r="Q160" i="2"/>
  <c r="M160" i="2"/>
  <c r="AD160" i="2" s="1"/>
  <c r="M140" i="2"/>
  <c r="AD140" i="2" s="1"/>
  <c r="Q140" i="2"/>
  <c r="Q81" i="2"/>
  <c r="M81" i="2"/>
  <c r="AD81" i="2" s="1"/>
  <c r="Q73" i="2"/>
  <c r="M73" i="2"/>
  <c r="AD73" i="2" s="1"/>
  <c r="M35" i="2"/>
  <c r="AD35" i="2" s="1"/>
  <c r="Q35" i="2"/>
  <c r="M31" i="2"/>
  <c r="AD31" i="2" s="1"/>
  <c r="Q31" i="2"/>
  <c r="Q23" i="2"/>
  <c r="M23" i="2"/>
  <c r="AD23" i="2" s="1"/>
  <c r="M19" i="2"/>
  <c r="AD19" i="2" s="1"/>
  <c r="Q19" i="2"/>
  <c r="M780" i="2"/>
  <c r="AD780" i="2" s="1"/>
  <c r="Q780" i="2"/>
  <c r="M773" i="2"/>
  <c r="AD773" i="2" s="1"/>
  <c r="Q773" i="2"/>
  <c r="M237" i="2"/>
  <c r="AD237" i="2" s="1"/>
  <c r="Q237" i="2"/>
  <c r="M29" i="2"/>
  <c r="AD29" i="2" s="1"/>
  <c r="Q29" i="2"/>
  <c r="Q876" i="2"/>
  <c r="Q1004" i="2"/>
  <c r="Q803" i="2"/>
  <c r="Q1003" i="2"/>
  <c r="M1003" i="2"/>
  <c r="AD1003" i="2" s="1"/>
  <c r="M94" i="2"/>
  <c r="AD94" i="2" s="1"/>
  <c r="Q94" i="2"/>
  <c r="M70" i="2"/>
  <c r="AD70" i="2" s="1"/>
  <c r="Q70" i="2"/>
  <c r="M66" i="2"/>
  <c r="AD66" i="2" s="1"/>
  <c r="Q66" i="2"/>
  <c r="M865" i="2"/>
  <c r="AD865" i="2" s="1"/>
  <c r="M853" i="2"/>
  <c r="AD853" i="2" s="1"/>
  <c r="Q1015" i="2"/>
  <c r="Q137" i="2"/>
  <c r="Q733" i="2"/>
  <c r="Q869" i="2"/>
  <c r="Q795" i="2"/>
  <c r="Q911" i="2"/>
  <c r="Q947" i="2"/>
  <c r="M232" i="2"/>
  <c r="AD232" i="2" s="1"/>
  <c r="Q963" i="2"/>
  <c r="Q130" i="2"/>
  <c r="Q16" i="2"/>
  <c r="M50" i="2"/>
  <c r="AD50" i="2" s="1"/>
  <c r="Q988" i="2"/>
  <c r="Q58" i="2"/>
  <c r="Q90" i="2"/>
  <c r="M25" i="2"/>
  <c r="AD25" i="2" s="1"/>
  <c r="M945" i="2"/>
  <c r="AD945" i="2" s="1"/>
  <c r="M1009" i="2"/>
  <c r="AD1009" i="2" s="1"/>
  <c r="Q1009" i="2"/>
  <c r="M997" i="2"/>
  <c r="AD997" i="2" s="1"/>
  <c r="Q997" i="2"/>
  <c r="Q969" i="2"/>
  <c r="M956" i="2"/>
  <c r="AD956" i="2" s="1"/>
  <c r="Q956" i="2"/>
  <c r="M952" i="2"/>
  <c r="AD952" i="2" s="1"/>
  <c r="Q952" i="2"/>
  <c r="M948" i="2"/>
  <c r="AD948" i="2" s="1"/>
  <c r="Q948" i="2"/>
  <c r="M920" i="2"/>
  <c r="AD920" i="2" s="1"/>
  <c r="Q920" i="2"/>
  <c r="Q826" i="2"/>
  <c r="M826" i="2"/>
  <c r="AD826" i="2" s="1"/>
  <c r="M784" i="2"/>
  <c r="AD784" i="2" s="1"/>
  <c r="Q784" i="2"/>
  <c r="M766" i="2"/>
  <c r="AD766" i="2" s="1"/>
  <c r="M759" i="2"/>
  <c r="AD759" i="2" s="1"/>
  <c r="Q759" i="2"/>
  <c r="M755" i="2"/>
  <c r="AD755" i="2" s="1"/>
  <c r="Q755" i="2"/>
  <c r="M751" i="2"/>
  <c r="AD751" i="2" s="1"/>
  <c r="Q751" i="2"/>
  <c r="Q721" i="2"/>
  <c r="M721" i="2"/>
  <c r="AD721" i="2" s="1"/>
  <c r="M683" i="2"/>
  <c r="AD683" i="2" s="1"/>
  <c r="Q683" i="2"/>
  <c r="M659" i="2"/>
  <c r="AD659" i="2" s="1"/>
  <c r="Q659" i="2"/>
  <c r="M643" i="2"/>
  <c r="AD643" i="2" s="1"/>
  <c r="Q643" i="2"/>
  <c r="M632" i="2"/>
  <c r="AD632" i="2" s="1"/>
  <c r="Q632" i="2"/>
  <c r="Q612" i="2"/>
  <c r="M612" i="2"/>
  <c r="AD612" i="2" s="1"/>
  <c r="M581" i="2"/>
  <c r="AD581" i="2" s="1"/>
  <c r="Q581" i="2"/>
  <c r="M569" i="2"/>
  <c r="AD569" i="2" s="1"/>
  <c r="Q569" i="2"/>
  <c r="M558" i="2"/>
  <c r="AD558" i="2" s="1"/>
  <c r="Q558" i="2"/>
  <c r="M514" i="2"/>
  <c r="AD514" i="2" s="1"/>
  <c r="Q514" i="2"/>
  <c r="Q510" i="2"/>
  <c r="M510" i="2"/>
  <c r="AD510" i="2" s="1"/>
  <c r="M506" i="2"/>
  <c r="AD506" i="2" s="1"/>
  <c r="Q506" i="2"/>
  <c r="M478" i="2"/>
  <c r="AD478" i="2" s="1"/>
  <c r="Q478" i="2"/>
  <c r="M383" i="2"/>
  <c r="AD383" i="2" s="1"/>
  <c r="Q383" i="2"/>
  <c r="M363" i="2"/>
  <c r="AD363" i="2" s="1"/>
  <c r="Q363" i="2"/>
  <c r="M335" i="2"/>
  <c r="AD335" i="2" s="1"/>
  <c r="Q335" i="2"/>
  <c r="M310" i="2"/>
  <c r="AD310" i="2" s="1"/>
  <c r="Q310" i="2"/>
  <c r="M278" i="2"/>
  <c r="AD278" i="2" s="1"/>
  <c r="Q278" i="2"/>
  <c r="Q242" i="2"/>
  <c r="M242" i="2"/>
  <c r="AD242" i="2" s="1"/>
  <c r="M880" i="2"/>
  <c r="AD880" i="2" s="1"/>
  <c r="Q880" i="2"/>
  <c r="M45" i="2"/>
  <c r="AD45" i="2" s="1"/>
  <c r="Q45" i="2"/>
  <c r="Q990" i="2"/>
  <c r="M990" i="2"/>
  <c r="AD990" i="2" s="1"/>
  <c r="M974" i="2"/>
  <c r="AD974" i="2" s="1"/>
  <c r="Q974" i="2"/>
  <c r="M832" i="2"/>
  <c r="AD832" i="2" s="1"/>
  <c r="Q832" i="2"/>
  <c r="M704" i="2"/>
  <c r="AD704" i="2" s="1"/>
  <c r="Q704" i="2"/>
  <c r="M670" i="2"/>
  <c r="AD670" i="2" s="1"/>
  <c r="Q670" i="2"/>
  <c r="M623" i="2"/>
  <c r="AD623" i="2" s="1"/>
  <c r="Q623" i="2"/>
  <c r="M541" i="2"/>
  <c r="AD541" i="2" s="1"/>
  <c r="Q541" i="2"/>
  <c r="Q485" i="2"/>
  <c r="M485" i="2"/>
  <c r="AD485" i="2" s="1"/>
  <c r="Q401" i="2"/>
  <c r="M401" i="2"/>
  <c r="AD401" i="2" s="1"/>
  <c r="Q370" i="2"/>
  <c r="M370" i="2"/>
  <c r="AD370" i="2" s="1"/>
  <c r="Q120" i="2"/>
  <c r="M120" i="2"/>
  <c r="AD120" i="2" s="1"/>
  <c r="Q80" i="2"/>
  <c r="M80" i="2"/>
  <c r="AD80" i="2" s="1"/>
  <c r="N363" i="15"/>
  <c r="M364" i="15" s="1"/>
  <c r="Q1099" i="2"/>
  <c r="Q1098" i="2"/>
  <c r="Q1087" i="2"/>
  <c r="Q688" i="2"/>
  <c r="M688" i="2"/>
  <c r="AD688" i="2" s="1"/>
  <c r="M648" i="2"/>
  <c r="AD648" i="2" s="1"/>
  <c r="Q648" i="2"/>
  <c r="Q629" i="2"/>
  <c r="M629" i="2"/>
  <c r="AD629" i="2" s="1"/>
  <c r="M625" i="2"/>
  <c r="AD625" i="2" s="1"/>
  <c r="Q625" i="2"/>
  <c r="Q609" i="2"/>
  <c r="M609" i="2"/>
  <c r="AD609" i="2" s="1"/>
  <c r="M605" i="2"/>
  <c r="AD605" i="2" s="1"/>
  <c r="Q605" i="2"/>
  <c r="M601" i="2"/>
  <c r="AD601" i="2" s="1"/>
  <c r="Q601" i="2"/>
  <c r="M570" i="2"/>
  <c r="AD570" i="2" s="1"/>
  <c r="Q570" i="2"/>
  <c r="M566" i="2"/>
  <c r="AD566" i="2" s="1"/>
  <c r="Q566" i="2"/>
  <c r="Q559" i="2"/>
  <c r="M559" i="2"/>
  <c r="AD559" i="2" s="1"/>
  <c r="M555" i="2"/>
  <c r="AD555" i="2" s="1"/>
  <c r="Q555" i="2"/>
  <c r="M547" i="2"/>
  <c r="AD547" i="2" s="1"/>
  <c r="Q547" i="2"/>
  <c r="M539" i="2"/>
  <c r="AD539" i="2" s="1"/>
  <c r="Q539" i="2"/>
  <c r="M519" i="2"/>
  <c r="AD519" i="2" s="1"/>
  <c r="Q519" i="2"/>
  <c r="M515" i="2"/>
  <c r="AD515" i="2" s="1"/>
  <c r="Q515" i="2"/>
  <c r="M511" i="2"/>
  <c r="AD511" i="2" s="1"/>
  <c r="Q511" i="2"/>
  <c r="Q499" i="2"/>
  <c r="M499" i="2"/>
  <c r="AD499" i="2" s="1"/>
  <c r="M495" i="2"/>
  <c r="AD495" i="2" s="1"/>
  <c r="Q495" i="2"/>
  <c r="M491" i="2"/>
  <c r="AD491" i="2" s="1"/>
  <c r="Q491" i="2"/>
  <c r="Q487" i="2"/>
  <c r="M487" i="2"/>
  <c r="AD487" i="2" s="1"/>
  <c r="Q483" i="2"/>
  <c r="M483" i="2"/>
  <c r="AD483" i="2" s="1"/>
  <c r="M475" i="2"/>
  <c r="AD475" i="2" s="1"/>
  <c r="Q475" i="2"/>
  <c r="Q471" i="2"/>
  <c r="M471" i="2"/>
  <c r="AD471" i="2" s="1"/>
  <c r="M467" i="2"/>
  <c r="AD467" i="2" s="1"/>
  <c r="Q467" i="2"/>
  <c r="M463" i="2"/>
  <c r="AD463" i="2" s="1"/>
  <c r="Q463" i="2"/>
  <c r="Q372" i="2"/>
  <c r="M372" i="2"/>
  <c r="AD372" i="2" s="1"/>
  <c r="Q364" i="2"/>
  <c r="M364" i="2"/>
  <c r="AD364" i="2" s="1"/>
  <c r="Q360" i="2"/>
  <c r="M360" i="2"/>
  <c r="AD360" i="2" s="1"/>
  <c r="Q356" i="2"/>
  <c r="M356" i="2"/>
  <c r="AD356" i="2" s="1"/>
  <c r="Q352" i="2"/>
  <c r="M352" i="2"/>
  <c r="AD352" i="2" s="1"/>
  <c r="Q340" i="2"/>
  <c r="M340" i="2"/>
  <c r="AD340" i="2" s="1"/>
  <c r="M332" i="2"/>
  <c r="AD332" i="2" s="1"/>
  <c r="Q332" i="2"/>
  <c r="Q321" i="2"/>
  <c r="M321" i="2"/>
  <c r="AD321" i="2" s="1"/>
  <c r="M317" i="2"/>
  <c r="AD317" i="2" s="1"/>
  <c r="Q317" i="2"/>
  <c r="Q298" i="2"/>
  <c r="M298" i="2"/>
  <c r="AD298" i="2" s="1"/>
  <c r="Q295" i="2"/>
  <c r="M295" i="2"/>
  <c r="AD295" i="2" s="1"/>
  <c r="Q291" i="2"/>
  <c r="M291" i="2"/>
  <c r="AD291" i="2" s="1"/>
  <c r="M287" i="2"/>
  <c r="AD287" i="2" s="1"/>
  <c r="Q287" i="2"/>
  <c r="M283" i="2"/>
  <c r="AD283" i="2" s="1"/>
  <c r="Q283" i="2"/>
  <c r="M279" i="2"/>
  <c r="AD279" i="2" s="1"/>
  <c r="Q279" i="2"/>
  <c r="M271" i="2"/>
  <c r="AD271" i="2" s="1"/>
  <c r="Q271" i="2"/>
  <c r="M267" i="2"/>
  <c r="AD267" i="2" s="1"/>
  <c r="Q267" i="2"/>
  <c r="M220" i="2"/>
  <c r="AD220" i="2" s="1"/>
  <c r="Q220" i="2"/>
  <c r="Q216" i="2"/>
  <c r="M216" i="2"/>
  <c r="AD216" i="2" s="1"/>
  <c r="M212" i="2"/>
  <c r="AD212" i="2" s="1"/>
  <c r="Q212" i="2"/>
  <c r="Q201" i="2"/>
  <c r="M201" i="2"/>
  <c r="AD201" i="2" s="1"/>
  <c r="M197" i="2"/>
  <c r="AD197" i="2" s="1"/>
  <c r="Q197" i="2"/>
  <c r="M181" i="2"/>
  <c r="AD181" i="2" s="1"/>
  <c r="Q181" i="2"/>
  <c r="M177" i="2"/>
  <c r="AD177" i="2" s="1"/>
  <c r="Q177" i="2"/>
  <c r="M165" i="2"/>
  <c r="AD165" i="2" s="1"/>
  <c r="Q165" i="2"/>
  <c r="Q161" i="2"/>
  <c r="M161" i="2"/>
  <c r="AD161" i="2" s="1"/>
  <c r="Q157" i="2"/>
  <c r="M157" i="2"/>
  <c r="AD157" i="2" s="1"/>
  <c r="M153" i="2"/>
  <c r="AD153" i="2" s="1"/>
  <c r="Q153" i="2"/>
  <c r="M149" i="2"/>
  <c r="AD149" i="2" s="1"/>
  <c r="Q149" i="2"/>
  <c r="M126" i="2"/>
  <c r="AD126" i="2" s="1"/>
  <c r="Q126" i="2"/>
  <c r="M118" i="2"/>
  <c r="AD118" i="2" s="1"/>
  <c r="Q118" i="2"/>
  <c r="Q114" i="2"/>
  <c r="M114" i="2"/>
  <c r="AD114" i="2" s="1"/>
  <c r="M21" i="2"/>
  <c r="AD21" i="2" s="1"/>
  <c r="Q21" i="2"/>
  <c r="Q17" i="2"/>
  <c r="M17" i="2"/>
  <c r="AD17" i="2" s="1"/>
  <c r="M13" i="2"/>
  <c r="AD13" i="2" s="1"/>
  <c r="Q13" i="2"/>
  <c r="Q9" i="2"/>
  <c r="M9" i="2"/>
  <c r="AD9" i="2" s="1"/>
  <c r="M1026" i="2"/>
  <c r="AD1026" i="2" s="1"/>
  <c r="Q1026" i="2"/>
  <c r="K7" i="3"/>
  <c r="K145" i="5"/>
  <c r="L2" i="5"/>
  <c r="D20" i="9" s="1"/>
  <c r="K62" i="6"/>
  <c r="L2" i="6"/>
  <c r="D21" i="9" s="1"/>
  <c r="M1049" i="2"/>
  <c r="AD1049" i="2" s="1"/>
  <c r="Q1049" i="2"/>
  <c r="M1053" i="2"/>
  <c r="AD1053" i="2" s="1"/>
  <c r="Q1053" i="2"/>
  <c r="M1061" i="2"/>
  <c r="AD1061" i="2" s="1"/>
  <c r="Q1061" i="2"/>
  <c r="M1065" i="2"/>
  <c r="AD1065" i="2" s="1"/>
  <c r="Q1065" i="2"/>
  <c r="M1073" i="2"/>
  <c r="AD1073" i="2" s="1"/>
  <c r="Q1073" i="2"/>
  <c r="Q173" i="2"/>
  <c r="M949" i="2"/>
  <c r="AD949" i="2" s="1"/>
  <c r="Q551" i="2"/>
  <c r="Q303" i="2"/>
  <c r="M692" i="2"/>
  <c r="AD692" i="2" s="1"/>
  <c r="Q503" i="2"/>
  <c r="Q597" i="2"/>
  <c r="Q169" i="2"/>
  <c r="Q644" i="2"/>
  <c r="Q543" i="2"/>
  <c r="Q953" i="2"/>
  <c r="Q621" i="2"/>
  <c r="M275" i="2"/>
  <c r="AD275" i="2" s="1"/>
  <c r="M507" i="2"/>
  <c r="AD507" i="2" s="1"/>
  <c r="Q145" i="2"/>
  <c r="Q185" i="2"/>
  <c r="M562" i="2"/>
  <c r="AD562" i="2" s="1"/>
  <c r="M1077" i="2"/>
  <c r="AD1077" i="2" s="1"/>
  <c r="Q1077" i="2"/>
  <c r="M1113" i="2"/>
  <c r="AD1113" i="2" s="1"/>
  <c r="Q1113" i="2"/>
  <c r="M1145" i="2"/>
  <c r="AD1145" i="2" s="1"/>
  <c r="Q1145" i="2"/>
  <c r="M1177" i="2"/>
  <c r="AD1177" i="2" s="1"/>
  <c r="Q1177" i="2"/>
  <c r="Q977" i="2"/>
  <c r="M977" i="2"/>
  <c r="AD977" i="2" s="1"/>
  <c r="M716" i="2"/>
  <c r="AD716" i="2" s="1"/>
  <c r="Q716" i="2"/>
  <c r="Q946" i="2"/>
  <c r="M946" i="2"/>
  <c r="AD946" i="2" s="1"/>
  <c r="M915" i="2"/>
  <c r="AD915" i="2" s="1"/>
  <c r="Q915" i="2"/>
  <c r="M871" i="2"/>
  <c r="AD871" i="2" s="1"/>
  <c r="Q871" i="2"/>
  <c r="M823" i="2"/>
  <c r="AD823" i="2" s="1"/>
  <c r="Q823" i="2"/>
  <c r="M802" i="2"/>
  <c r="AD802" i="2" s="1"/>
  <c r="Q802" i="2"/>
  <c r="Q786" i="2"/>
  <c r="M786" i="2"/>
  <c r="AD786" i="2" s="1"/>
  <c r="Q761" i="2"/>
  <c r="M761" i="2"/>
  <c r="AD761" i="2" s="1"/>
  <c r="M747" i="2"/>
  <c r="AD747" i="2" s="1"/>
  <c r="Q747" i="2"/>
  <c r="M743" i="2"/>
  <c r="AD743" i="2" s="1"/>
  <c r="Q743" i="2"/>
  <c r="Q725" i="2"/>
  <c r="M725" i="2"/>
  <c r="AD725" i="2" s="1"/>
  <c r="M685" i="2"/>
  <c r="AD685" i="2" s="1"/>
  <c r="Q685" i="2"/>
  <c r="Q681" i="2"/>
  <c r="M681" i="2"/>
  <c r="AD681" i="2" s="1"/>
  <c r="M998" i="2"/>
  <c r="AD998" i="2" s="1"/>
  <c r="Q998" i="2"/>
  <c r="M994" i="2"/>
  <c r="AD994" i="2" s="1"/>
  <c r="Q994" i="2"/>
  <c r="M959" i="2"/>
  <c r="AD959" i="2" s="1"/>
  <c r="Q959" i="2"/>
  <c r="M818" i="2"/>
  <c r="AD818" i="2" s="1"/>
  <c r="Q818" i="2"/>
  <c r="Q426" i="2"/>
  <c r="M426" i="2"/>
  <c r="AD426" i="2" s="1"/>
  <c r="Q418" i="2"/>
  <c r="M418" i="2"/>
  <c r="AD418" i="2" s="1"/>
  <c r="M339" i="2"/>
  <c r="AD339" i="2" s="1"/>
  <c r="Q339" i="2"/>
  <c r="Q731" i="2"/>
  <c r="Q235" i="2"/>
  <c r="Q438" i="2"/>
  <c r="Q156" i="2"/>
  <c r="Q266" i="2"/>
  <c r="M109" i="2"/>
  <c r="AD109" i="2" s="1"/>
  <c r="Q793" i="2"/>
  <c r="M371" i="2"/>
  <c r="AD371" i="2" s="1"/>
  <c r="M867" i="2"/>
  <c r="AD867" i="2" s="1"/>
  <c r="Q867" i="2"/>
  <c r="M679" i="2"/>
  <c r="AD679" i="2" s="1"/>
  <c r="M649" i="2"/>
  <c r="AD649" i="2" s="1"/>
  <c r="M627" i="2"/>
  <c r="AD627" i="2" s="1"/>
  <c r="Q627" i="2"/>
  <c r="Q572" i="2"/>
  <c r="M572" i="2"/>
  <c r="AD572" i="2" s="1"/>
  <c r="M374" i="2"/>
  <c r="AD374" i="2" s="1"/>
  <c r="Q374" i="2"/>
  <c r="Q289" i="2"/>
  <c r="M289" i="2"/>
  <c r="AD289" i="2" s="1"/>
  <c r="M116" i="2"/>
  <c r="AD116" i="2" s="1"/>
  <c r="Q116" i="2"/>
  <c r="M1020" i="2"/>
  <c r="AD1020" i="2" s="1"/>
  <c r="Q1020" i="2"/>
  <c r="Q395" i="2"/>
  <c r="Q422" i="2"/>
  <c r="Q262" i="2"/>
  <c r="Q32" i="2"/>
  <c r="Q28" i="2"/>
  <c r="Q801" i="2"/>
  <c r="M928" i="2"/>
  <c r="AD928" i="2" s="1"/>
  <c r="Q928" i="2"/>
  <c r="M909" i="2"/>
  <c r="AD909" i="2" s="1"/>
  <c r="Q909" i="2"/>
  <c r="M528" i="2"/>
  <c r="AD528" i="2" s="1"/>
  <c r="Q528" i="2"/>
  <c r="M524" i="2"/>
  <c r="AD524" i="2" s="1"/>
  <c r="Q524" i="2"/>
  <c r="M424" i="2"/>
  <c r="AD424" i="2" s="1"/>
  <c r="Q424" i="2"/>
  <c r="M420" i="2"/>
  <c r="AD420" i="2" s="1"/>
  <c r="Q420" i="2"/>
  <c r="Q377" i="2"/>
  <c r="M377" i="2"/>
  <c r="AD377" i="2" s="1"/>
  <c r="M154" i="2"/>
  <c r="AD154" i="2" s="1"/>
  <c r="Q154" i="2"/>
  <c r="M55" i="2"/>
  <c r="AD55" i="2" s="1"/>
  <c r="Q55" i="2"/>
  <c r="Q403" i="2"/>
  <c r="Q251" i="2"/>
  <c r="Q567" i="2"/>
  <c r="Q443" i="2"/>
  <c r="M123" i="2"/>
  <c r="AD123" i="2" s="1"/>
  <c r="Q590" i="2"/>
  <c r="Q115" i="2"/>
  <c r="Q286" i="2"/>
  <c r="M64" i="2"/>
  <c r="AD64" i="2" s="1"/>
  <c r="Q88" i="2"/>
  <c r="Q60" i="2"/>
  <c r="Q47" i="2"/>
  <c r="Q344" i="2"/>
  <c r="Q282" i="2"/>
  <c r="Q205" i="2"/>
  <c r="M228" i="2"/>
  <c r="AD228" i="2" s="1"/>
  <c r="Q202" i="2"/>
  <c r="M331" i="2"/>
  <c r="AD331" i="2" s="1"/>
  <c r="Q166" i="2"/>
  <c r="C3" i="31"/>
  <c r="G16" i="20"/>
  <c r="E3" i="31"/>
  <c r="M326" i="2"/>
  <c r="AD326" i="2" s="1"/>
  <c r="M378" i="2"/>
  <c r="AD378" i="2" s="1"/>
  <c r="Q490" i="2"/>
  <c r="Q666" i="2"/>
  <c r="Q756" i="2"/>
  <c r="M794" i="2"/>
  <c r="AD794" i="2" s="1"/>
  <c r="Q854" i="2"/>
  <c r="Q482" i="2"/>
  <c r="M548" i="2"/>
  <c r="AD548" i="2" s="1"/>
  <c r="Q520" i="2"/>
  <c r="Q622" i="2"/>
  <c r="Q179" i="2"/>
  <c r="Q502" i="2"/>
  <c r="Q762" i="2"/>
  <c r="Q837" i="2"/>
  <c r="Q180" i="2"/>
  <c r="Q386" i="2"/>
  <c r="Q620" i="2"/>
  <c r="Q470" i="2"/>
  <c r="Q754" i="2"/>
  <c r="Q365" i="2"/>
  <c r="Q902" i="2"/>
  <c r="M176" i="2"/>
  <c r="AD176" i="2" s="1"/>
  <c r="M208" i="2"/>
  <c r="AD208" i="2" s="1"/>
  <c r="M518" i="2"/>
  <c r="AD518" i="2" s="1"/>
  <c r="M582" i="2"/>
  <c r="AD582" i="2" s="1"/>
  <c r="M184" i="2"/>
  <c r="AD184" i="2" s="1"/>
  <c r="Q297" i="2"/>
  <c r="M437" i="2"/>
  <c r="AD437" i="2" s="1"/>
  <c r="Q578" i="2"/>
  <c r="Q1005" i="2"/>
  <c r="Q226" i="2"/>
  <c r="M290" i="2"/>
  <c r="AD290" i="2" s="1"/>
  <c r="M328" i="2"/>
  <c r="AD328" i="2" s="1"/>
  <c r="M376" i="2"/>
  <c r="AD376" i="2" s="1"/>
  <c r="M400" i="2"/>
  <c r="AD400" i="2" s="1"/>
  <c r="Q464" i="2"/>
  <c r="Q488" i="2"/>
  <c r="Q504" i="2"/>
  <c r="Q637" i="2"/>
  <c r="Q119" i="2"/>
  <c r="Q428" i="2"/>
  <c r="M484" i="2"/>
  <c r="AD484" i="2" s="1"/>
  <c r="Q141" i="2"/>
  <c r="M224" i="2"/>
  <c r="AD224" i="2" s="1"/>
  <c r="Q280" i="2"/>
  <c r="Q457" i="2"/>
  <c r="Q553" i="2"/>
  <c r="Q617" i="2"/>
  <c r="Q713" i="2"/>
  <c r="Q777" i="2"/>
  <c r="Q193" i="2"/>
  <c r="Q260" i="2"/>
  <c r="Q284" i="2"/>
  <c r="M353" i="2"/>
  <c r="AD353" i="2" s="1"/>
  <c r="M529" i="2"/>
  <c r="AD529" i="2" s="1"/>
  <c r="M593" i="2"/>
  <c r="AD593" i="2" s="1"/>
  <c r="M913" i="2"/>
  <c r="AD913" i="2" s="1"/>
  <c r="M82" i="2"/>
  <c r="AD82" i="2" s="1"/>
  <c r="M170" i="2"/>
  <c r="AD170" i="2" s="1"/>
  <c r="Q210" i="2"/>
  <c r="Q62" i="2"/>
  <c r="Q182" i="2"/>
  <c r="M206" i="2"/>
  <c r="AD206" i="2" s="1"/>
  <c r="M319" i="2"/>
  <c r="AD319" i="2" s="1"/>
  <c r="I206" i="15"/>
  <c r="Q981" i="2"/>
  <c r="Q1011" i="2"/>
  <c r="Q999" i="2"/>
  <c r="Q972" i="2"/>
  <c r="D5" i="33"/>
  <c r="E3" i="33"/>
  <c r="E6" i="33"/>
  <c r="C3" i="33"/>
  <c r="C9" i="33" s="1"/>
  <c r="D3" i="32"/>
  <c r="G23" i="20"/>
  <c r="G24" i="20"/>
  <c r="G22" i="20"/>
  <c r="G25" i="20"/>
  <c r="G26" i="20"/>
  <c r="L2" i="7"/>
  <c r="D22" i="9" s="1"/>
  <c r="A25" i="6"/>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T84" i="34"/>
  <c r="S85" i="34"/>
  <c r="B529" i="15"/>
  <c r="E23" i="9"/>
  <c r="F23" i="9" s="1"/>
  <c r="F46" i="9"/>
  <c r="H23" i="20"/>
  <c r="H22" i="20"/>
  <c r="M1116" i="2"/>
  <c r="AD1116" i="2" s="1"/>
  <c r="Q1116" i="2"/>
  <c r="M1120" i="2"/>
  <c r="AD1120" i="2" s="1"/>
  <c r="Q1120" i="2"/>
  <c r="M1124" i="2"/>
  <c r="AD1124" i="2" s="1"/>
  <c r="Q1124" i="2"/>
  <c r="M1128" i="2"/>
  <c r="AD1128" i="2" s="1"/>
  <c r="Q1128" i="2"/>
  <c r="M1132" i="2"/>
  <c r="AD1132" i="2" s="1"/>
  <c r="Q1132" i="2"/>
  <c r="M1136" i="2"/>
  <c r="AD1136" i="2" s="1"/>
  <c r="Q1136" i="2"/>
  <c r="M1140" i="2"/>
  <c r="AD1140" i="2" s="1"/>
  <c r="Q1140" i="2"/>
  <c r="M1144" i="2"/>
  <c r="AD1144" i="2" s="1"/>
  <c r="Q1144" i="2"/>
  <c r="M1148" i="2"/>
  <c r="AD1148" i="2" s="1"/>
  <c r="Q1148" i="2"/>
  <c r="M1152" i="2"/>
  <c r="AD1152" i="2" s="1"/>
  <c r="Q1152" i="2"/>
  <c r="M1156" i="2"/>
  <c r="AD1156" i="2" s="1"/>
  <c r="Q1156" i="2"/>
  <c r="M1160" i="2"/>
  <c r="AD1160" i="2" s="1"/>
  <c r="Q1160" i="2"/>
  <c r="M1164" i="2"/>
  <c r="AD1164" i="2" s="1"/>
  <c r="Q1164" i="2"/>
  <c r="M1168" i="2"/>
  <c r="AD1168" i="2" s="1"/>
  <c r="M1172" i="2"/>
  <c r="AD1172" i="2" s="1"/>
  <c r="Q1172" i="2"/>
  <c r="M1176" i="2"/>
  <c r="AD1176" i="2" s="1"/>
  <c r="Q1176" i="2"/>
  <c r="M1180" i="2"/>
  <c r="AD1180" i="2" s="1"/>
  <c r="Q1180" i="2"/>
  <c r="M1184" i="2"/>
  <c r="AD1184" i="2" s="1"/>
  <c r="Q1184" i="2"/>
  <c r="M1188" i="2"/>
  <c r="AD1188" i="2" s="1"/>
  <c r="Q1188" i="2"/>
  <c r="M1192" i="2"/>
  <c r="AD1192" i="2" s="1"/>
  <c r="Q1192" i="2"/>
  <c r="AD1196" i="2"/>
  <c r="Q767" i="2"/>
  <c r="Q639" i="2"/>
  <c r="Q26" i="2"/>
  <c r="H9" i="20"/>
  <c r="H10" i="20"/>
  <c r="Q918" i="2"/>
  <c r="Q645" i="2"/>
  <c r="Q530" i="2"/>
  <c r="Q740" i="2"/>
  <c r="M901" i="2"/>
  <c r="AD901" i="2" s="1"/>
  <c r="Q91" i="2"/>
  <c r="Q354" i="2"/>
  <c r="Q498" i="2"/>
  <c r="Q790" i="2"/>
  <c r="M828" i="2"/>
  <c r="AD828" i="2" s="1"/>
  <c r="M973" i="2"/>
  <c r="AD973" i="2" s="1"/>
  <c r="Q728" i="2"/>
  <c r="Q995" i="2"/>
  <c r="Q860" i="2"/>
  <c r="Q933" i="2"/>
  <c r="Q293" i="2"/>
  <c r="Q886" i="2"/>
  <c r="Q930" i="2"/>
  <c r="Q987" i="2"/>
  <c r="Q888" i="2"/>
  <c r="Q989" i="2"/>
  <c r="Q128" i="2"/>
  <c r="M325" i="2"/>
  <c r="AD325" i="2" s="1"/>
  <c r="Q746" i="2"/>
  <c r="M789" i="2"/>
  <c r="AD789" i="2" s="1"/>
  <c r="Q40" i="2"/>
  <c r="Q72" i="2"/>
  <c r="Q152" i="2"/>
  <c r="Q341" i="2"/>
  <c r="Q522" i="2"/>
  <c r="M565" i="2"/>
  <c r="AD565" i="2" s="1"/>
  <c r="Q606" i="2"/>
  <c r="Q678" i="2"/>
  <c r="Q742" i="2"/>
  <c r="Q806" i="2"/>
  <c r="M821" i="2"/>
  <c r="AD821" i="2" s="1"/>
  <c r="M842" i="2"/>
  <c r="AD842" i="2" s="1"/>
  <c r="Q269" i="2"/>
  <c r="Q864" i="2"/>
  <c r="M258" i="2"/>
  <c r="AD258" i="2" s="1"/>
  <c r="M274" i="2"/>
  <c r="AD274" i="2" s="1"/>
  <c r="M306" i="2"/>
  <c r="AD306" i="2" s="1"/>
  <c r="Q416" i="2"/>
  <c r="Q573" i="2"/>
  <c r="Q669" i="2"/>
  <c r="Q717" i="2"/>
  <c r="Q813" i="2"/>
  <c r="M167" i="2"/>
  <c r="AD167" i="2" s="1"/>
  <c r="Q388" i="2"/>
  <c r="Q444" i="2"/>
  <c r="M508" i="2"/>
  <c r="AD508" i="2" s="1"/>
  <c r="Q37" i="2"/>
  <c r="M93" i="2"/>
  <c r="AD93" i="2" s="1"/>
  <c r="Q189" i="2"/>
  <c r="Q256" i="2"/>
  <c r="Q312" i="2"/>
  <c r="M841" i="2"/>
  <c r="AD841" i="2" s="1"/>
  <c r="M857" i="2"/>
  <c r="AD857" i="2" s="1"/>
  <c r="Q985" i="2"/>
  <c r="Q113" i="2"/>
  <c r="Q561" i="2"/>
  <c r="Q657" i="2"/>
  <c r="M673" i="2"/>
  <c r="AD673" i="2" s="1"/>
  <c r="Q769" i="2"/>
  <c r="Q833" i="2"/>
  <c r="Q993" i="2"/>
  <c r="M42" i="2"/>
  <c r="AD42" i="2" s="1"/>
  <c r="M186" i="2"/>
  <c r="AD186" i="2" s="1"/>
  <c r="Q375" i="2"/>
  <c r="Q1067" i="2"/>
  <c r="Q1063" i="2"/>
  <c r="Q1059" i="2"/>
  <c r="Q1055" i="2"/>
  <c r="Q1050" i="2"/>
  <c r="Q1046" i="2"/>
  <c r="Q1042" i="2"/>
  <c r="F8" i="12"/>
  <c r="M1114" i="2"/>
  <c r="AD1114" i="2" s="1"/>
  <c r="Q1114" i="2"/>
  <c r="M1118" i="2"/>
  <c r="AD1118" i="2" s="1"/>
  <c r="Q1118" i="2"/>
  <c r="M1122" i="2"/>
  <c r="AD1122" i="2" s="1"/>
  <c r="Q1122" i="2"/>
  <c r="M1126" i="2"/>
  <c r="AD1126" i="2" s="1"/>
  <c r="Q1126" i="2"/>
  <c r="M1130" i="2"/>
  <c r="AD1130" i="2" s="1"/>
  <c r="Q1130" i="2"/>
  <c r="M1134" i="2"/>
  <c r="AD1134" i="2" s="1"/>
  <c r="Q1134" i="2"/>
  <c r="M1138" i="2"/>
  <c r="AD1138" i="2" s="1"/>
  <c r="Q1138" i="2"/>
  <c r="M1142" i="2"/>
  <c r="AD1142" i="2" s="1"/>
  <c r="Q1142" i="2"/>
  <c r="M1146" i="2"/>
  <c r="AD1146" i="2" s="1"/>
  <c r="Q1146" i="2"/>
  <c r="M1150" i="2"/>
  <c r="AD1150" i="2" s="1"/>
  <c r="Q1150" i="2"/>
  <c r="M1154" i="2"/>
  <c r="AD1154" i="2" s="1"/>
  <c r="Q1154" i="2"/>
  <c r="M1158" i="2"/>
  <c r="AD1158" i="2" s="1"/>
  <c r="Q1158" i="2"/>
  <c r="M1162" i="2"/>
  <c r="AD1162" i="2" s="1"/>
  <c r="Q1162" i="2"/>
  <c r="M1166" i="2"/>
  <c r="AD1166" i="2" s="1"/>
  <c r="Q1166" i="2"/>
  <c r="M1170" i="2"/>
  <c r="AD1170" i="2" s="1"/>
  <c r="Q1170" i="2"/>
  <c r="M1174" i="2"/>
  <c r="AD1174" i="2" s="1"/>
  <c r="Q1174" i="2"/>
  <c r="M1178" i="2"/>
  <c r="AD1178" i="2" s="1"/>
  <c r="Q1178" i="2"/>
  <c r="M1182" i="2"/>
  <c r="AD1182" i="2" s="1"/>
  <c r="Q1182" i="2"/>
  <c r="M1186" i="2"/>
  <c r="AD1186" i="2" s="1"/>
  <c r="Q1186" i="2"/>
  <c r="M1190" i="2"/>
  <c r="AD1190" i="2" s="1"/>
  <c r="Q1190" i="2"/>
  <c r="M1194" i="2"/>
  <c r="AD1194" i="2" s="1"/>
  <c r="Q1194" i="2"/>
  <c r="M1198" i="2"/>
  <c r="AD1198" i="2" s="1"/>
  <c r="Q1198" i="2"/>
  <c r="D3" i="30"/>
  <c r="E3" i="30"/>
  <c r="C3" i="30"/>
  <c r="C5" i="33"/>
  <c r="C7" i="33"/>
  <c r="D3" i="31"/>
  <c r="C3" i="32"/>
  <c r="E3" i="32"/>
  <c r="D3" i="33"/>
  <c r="E5" i="33"/>
  <c r="C6" i="33"/>
  <c r="E7" i="33"/>
  <c r="E22" i="9"/>
  <c r="E44" i="9"/>
  <c r="Q1037" i="21"/>
  <c r="D66" i="16"/>
  <c r="D5" i="1" s="1"/>
  <c r="C587" i="15" s="1"/>
  <c r="C9" i="30" l="1"/>
  <c r="C4" i="30"/>
  <c r="E9" i="30"/>
  <c r="E4" i="30"/>
  <c r="F22" i="9"/>
  <c r="C9" i="31"/>
  <c r="C4" i="31"/>
  <c r="D4" i="30"/>
  <c r="D9" i="30"/>
  <c r="E21" i="9"/>
  <c r="D24" i="20"/>
  <c r="D22" i="20"/>
  <c r="D23" i="20"/>
  <c r="D26" i="20"/>
  <c r="D25" i="20"/>
  <c r="D9" i="31"/>
  <c r="D4" i="31"/>
  <c r="C4" i="33"/>
  <c r="E9" i="31"/>
  <c r="E4" i="31"/>
  <c r="I663" i="15"/>
  <c r="J663" i="15"/>
  <c r="E663" i="15"/>
  <c r="F663" i="15"/>
  <c r="G663" i="15"/>
  <c r="H663" i="15"/>
  <c r="F45" i="9"/>
  <c r="F61" i="11"/>
  <c r="C21" i="11"/>
  <c r="C61" i="11"/>
  <c r="D61" i="11"/>
  <c r="E61" i="11"/>
  <c r="G21" i="11"/>
  <c r="G61" i="11"/>
  <c r="H61" i="11"/>
  <c r="E21" i="11"/>
  <c r="D21" i="11"/>
  <c r="F21" i="11"/>
  <c r="H21" i="11"/>
  <c r="G106" i="11"/>
  <c r="C106" i="11"/>
  <c r="D106" i="11"/>
  <c r="E106" i="11"/>
  <c r="F106" i="11"/>
  <c r="H106" i="11"/>
  <c r="I90" i="1"/>
  <c r="I87" i="1"/>
  <c r="D9" i="32"/>
  <c r="D4" i="32"/>
  <c r="E4" i="32"/>
  <c r="E9" i="32"/>
  <c r="I88" i="1"/>
  <c r="I85" i="1"/>
  <c r="I93" i="1"/>
  <c r="C9" i="32"/>
  <c r="C4" i="32"/>
  <c r="E20" i="9"/>
  <c r="I86" i="1"/>
  <c r="I83" i="1"/>
  <c r="I91" i="1"/>
  <c r="I84" i="1"/>
  <c r="I92" i="1"/>
  <c r="I89" i="1"/>
  <c r="O365" i="15"/>
  <c r="E19" i="9"/>
  <c r="B490" i="15"/>
  <c r="B486" i="15"/>
  <c r="B482" i="15"/>
  <c r="B478" i="15"/>
  <c r="B474" i="15"/>
  <c r="B470" i="15"/>
  <c r="B460" i="15"/>
  <c r="B456" i="15"/>
  <c r="B452" i="15"/>
  <c r="B448" i="15"/>
  <c r="B444" i="15"/>
  <c r="B440" i="15"/>
  <c r="B430" i="15"/>
  <c r="B426" i="15"/>
  <c r="B422" i="15"/>
  <c r="B418" i="15"/>
  <c r="B414" i="15"/>
  <c r="B410" i="15"/>
  <c r="B489" i="15"/>
  <c r="B485" i="15"/>
  <c r="B481" i="15"/>
  <c r="B477" i="15"/>
  <c r="B473" i="15"/>
  <c r="B469" i="15"/>
  <c r="B459" i="15"/>
  <c r="B455" i="15"/>
  <c r="B451" i="15"/>
  <c r="B447" i="15"/>
  <c r="B443" i="15"/>
  <c r="B439" i="15"/>
  <c r="B429" i="15"/>
  <c r="B425" i="15"/>
  <c r="B421" i="15"/>
  <c r="B417" i="15"/>
  <c r="B413" i="15"/>
  <c r="B409" i="15"/>
  <c r="B488" i="15"/>
  <c r="B484" i="15"/>
  <c r="B480" i="15"/>
  <c r="B476" i="15"/>
  <c r="B472" i="15"/>
  <c r="B468" i="15"/>
  <c r="B458" i="15"/>
  <c r="B454" i="15"/>
  <c r="B450" i="15"/>
  <c r="B446" i="15"/>
  <c r="B442" i="15"/>
  <c r="B438" i="15"/>
  <c r="B428" i="15"/>
  <c r="B424" i="15"/>
  <c r="B420" i="15"/>
  <c r="B416" i="15"/>
  <c r="B412" i="15"/>
  <c r="B408" i="15"/>
  <c r="B491" i="15"/>
  <c r="B487" i="15"/>
  <c r="B483" i="15"/>
  <c r="B479" i="15"/>
  <c r="B475" i="15"/>
  <c r="B471" i="15"/>
  <c r="B461" i="15"/>
  <c r="B457" i="15"/>
  <c r="B453" i="15"/>
  <c r="B449" i="15"/>
  <c r="B445" i="15"/>
  <c r="B441" i="15"/>
  <c r="B431" i="15"/>
  <c r="B427" i="15"/>
  <c r="B423" i="15"/>
  <c r="B419" i="15"/>
  <c r="B415" i="15"/>
  <c r="B411" i="15"/>
  <c r="C346" i="15"/>
  <c r="O367" i="15"/>
  <c r="K364" i="15"/>
  <c r="E364" i="15"/>
  <c r="C364" i="15"/>
  <c r="O368" i="15"/>
  <c r="S13" i="22"/>
  <c r="T13" i="22" s="1"/>
  <c r="I95" i="22"/>
  <c r="I93" i="22"/>
  <c r="I91" i="22"/>
  <c r="I89" i="22"/>
  <c r="I97" i="22"/>
  <c r="I90" i="22"/>
  <c r="I98" i="22"/>
  <c r="D654" i="15"/>
  <c r="I92" i="22"/>
  <c r="D655" i="15"/>
  <c r="B655" i="15" s="1"/>
  <c r="D656" i="15"/>
  <c r="B656" i="15" s="1"/>
  <c r="D657" i="15"/>
  <c r="B657" i="15" s="1"/>
  <c r="I87" i="22"/>
  <c r="I94" i="22"/>
  <c r="D659" i="15"/>
  <c r="B659" i="15" s="1"/>
  <c r="D660" i="15"/>
  <c r="B660" i="15" s="1"/>
  <c r="D661" i="15"/>
  <c r="B661" i="15" s="1"/>
  <c r="D658" i="15"/>
  <c r="B658" i="15" s="1"/>
  <c r="I88" i="22"/>
  <c r="I96" i="22"/>
  <c r="Q12" i="1"/>
  <c r="R12" i="1" s="1"/>
  <c r="O12" i="1"/>
  <c r="P12" i="1" s="1"/>
  <c r="S12" i="1"/>
  <c r="T12" i="1" s="1"/>
  <c r="I80" i="1"/>
  <c r="M12" i="1"/>
  <c r="N12" i="1" s="1"/>
  <c r="L364" i="15"/>
  <c r="B364" i="15"/>
  <c r="I364" i="15"/>
  <c r="O370" i="15"/>
  <c r="J364" i="15"/>
  <c r="D364" i="15"/>
  <c r="O369" i="15"/>
  <c r="F206" i="15"/>
  <c r="C338" i="15"/>
  <c r="I72" i="22"/>
  <c r="I53" i="22"/>
  <c r="C344" i="15"/>
  <c r="C335" i="15"/>
  <c r="C339" i="15"/>
  <c r="C343" i="15"/>
  <c r="C341" i="15"/>
  <c r="C342" i="15"/>
  <c r="C337" i="15"/>
  <c r="C345" i="15"/>
  <c r="C336" i="15"/>
  <c r="H200" i="15"/>
  <c r="E249" i="15" s="1"/>
  <c r="C591" i="15"/>
  <c r="C589" i="15"/>
  <c r="E32" i="11"/>
  <c r="E31" i="11" s="1"/>
  <c r="E30" i="11" s="1"/>
  <c r="E29" i="11" s="1"/>
  <c r="I7" i="11"/>
  <c r="I8" i="11"/>
  <c r="C32" i="11"/>
  <c r="D32" i="11"/>
  <c r="D31" i="11" s="1"/>
  <c r="D30" i="11" s="1"/>
  <c r="D29" i="11" s="1"/>
  <c r="I9" i="11"/>
  <c r="F32" i="11"/>
  <c r="F31" i="11" s="1"/>
  <c r="F30" i="11" s="1"/>
  <c r="F29" i="11" s="1"/>
  <c r="G32" i="11"/>
  <c r="G31" i="11" s="1"/>
  <c r="G30" i="11" s="1"/>
  <c r="G29" i="11" s="1"/>
  <c r="H32" i="11"/>
  <c r="H31" i="11" s="1"/>
  <c r="H30" i="11" s="1"/>
  <c r="H29" i="11" s="1"/>
  <c r="I114" i="11"/>
  <c r="I115" i="11"/>
  <c r="I87" i="11"/>
  <c r="I88" i="11"/>
  <c r="I40" i="22"/>
  <c r="I19" i="22"/>
  <c r="I54" i="22"/>
  <c r="E18" i="9"/>
  <c r="I23" i="22"/>
  <c r="I74" i="22"/>
  <c r="I39" i="22"/>
  <c r="I84" i="22"/>
  <c r="I80" i="22"/>
  <c r="I32" i="22"/>
  <c r="H364" i="15"/>
  <c r="G364" i="15"/>
  <c r="F364" i="15"/>
  <c r="O366" i="15"/>
  <c r="I66" i="22"/>
  <c r="I17" i="22"/>
  <c r="I31" i="22"/>
  <c r="I45" i="22"/>
  <c r="I77" i="22"/>
  <c r="I43" i="22"/>
  <c r="I68" i="22"/>
  <c r="I78" i="22"/>
  <c r="I33" i="22"/>
  <c r="I60" i="22"/>
  <c r="I18" i="22"/>
  <c r="I79" i="22"/>
  <c r="Q13" i="22"/>
  <c r="Q14" i="22" s="1"/>
  <c r="R14" i="22" s="1"/>
  <c r="I82" i="22"/>
  <c r="I57" i="22"/>
  <c r="I35" i="22"/>
  <c r="I49" i="22"/>
  <c r="I65" i="22"/>
  <c r="I75" i="22"/>
  <c r="I22" i="22"/>
  <c r="I29" i="22"/>
  <c r="I26" i="22"/>
  <c r="I83" i="22"/>
  <c r="G100" i="22"/>
  <c r="C264" i="15" s="1"/>
  <c r="I24" i="22"/>
  <c r="I38" i="22"/>
  <c r="I59" i="22"/>
  <c r="I52" i="22"/>
  <c r="F100" i="22"/>
  <c r="C263" i="15" s="1"/>
  <c r="I30" i="22"/>
  <c r="I76" i="22"/>
  <c r="I70" i="22"/>
  <c r="I50" i="22"/>
  <c r="I56" i="22"/>
  <c r="I28" i="22"/>
  <c r="I21" i="22"/>
  <c r="E100" i="22"/>
  <c r="C262" i="15" s="1"/>
  <c r="C100" i="22"/>
  <c r="C260" i="15" s="1"/>
  <c r="H100" i="22"/>
  <c r="C265" i="15" s="1"/>
  <c r="I34" i="22"/>
  <c r="I46" i="22"/>
  <c r="I16" i="22"/>
  <c r="I62" i="22"/>
  <c r="I48" i="22"/>
  <c r="M13" i="22"/>
  <c r="I42" i="22"/>
  <c r="I15" i="22"/>
  <c r="I37" i="22"/>
  <c r="I69" i="22"/>
  <c r="I41" i="11"/>
  <c r="I55" i="11"/>
  <c r="I11" i="11"/>
  <c r="I95" i="11"/>
  <c r="I40" i="11"/>
  <c r="I99" i="11"/>
  <c r="I91" i="11"/>
  <c r="I102" i="11"/>
  <c r="I12" i="11"/>
  <c r="I17" i="11"/>
  <c r="I13" i="11"/>
  <c r="I10" i="11"/>
  <c r="I96" i="11"/>
  <c r="I15" i="11"/>
  <c r="I50" i="11"/>
  <c r="I53" i="11"/>
  <c r="I18" i="11"/>
  <c r="I52" i="11"/>
  <c r="I51" i="11"/>
  <c r="I93" i="11"/>
  <c r="I104" i="11"/>
  <c r="I100" i="11"/>
  <c r="I101" i="11"/>
  <c r="I57" i="11"/>
  <c r="I16" i="11"/>
  <c r="I98" i="11"/>
  <c r="I90" i="11"/>
  <c r="I19" i="11"/>
  <c r="I58" i="11"/>
  <c r="I97" i="11"/>
  <c r="I94" i="11"/>
  <c r="I89" i="11"/>
  <c r="I92" i="11"/>
  <c r="I103" i="11"/>
  <c r="I131" i="11"/>
  <c r="I77" i="11"/>
  <c r="I78" i="11"/>
  <c r="I14" i="11"/>
  <c r="I56" i="11"/>
  <c r="I130" i="11"/>
  <c r="H186" i="15"/>
  <c r="F247" i="15" s="1"/>
  <c r="H182" i="15"/>
  <c r="F249" i="15" s="1"/>
  <c r="H192" i="15"/>
  <c r="H249" i="15" s="1"/>
  <c r="H184" i="15"/>
  <c r="E251" i="15" s="1"/>
  <c r="H183" i="15"/>
  <c r="G249" i="15" s="1"/>
  <c r="H193" i="15"/>
  <c r="H247" i="15" s="1"/>
  <c r="H187" i="15"/>
  <c r="G243" i="15" s="1"/>
  <c r="H191" i="15"/>
  <c r="E247" i="15" s="1"/>
  <c r="C206" i="15"/>
  <c r="H199" i="15"/>
  <c r="E245" i="15" s="1"/>
  <c r="D206" i="15"/>
  <c r="H190" i="15"/>
  <c r="G251" i="15" s="1"/>
  <c r="H204" i="15"/>
  <c r="C249" i="15" s="1"/>
  <c r="H195" i="15"/>
  <c r="F251" i="15" s="1"/>
  <c r="H188" i="15"/>
  <c r="G245" i="15" s="1"/>
  <c r="B206" i="15"/>
  <c r="H197" i="15"/>
  <c r="G247" i="15" s="1"/>
  <c r="E206" i="15"/>
  <c r="I63" i="22"/>
  <c r="V12" i="22"/>
  <c r="U13" i="22"/>
  <c r="I36" i="22"/>
  <c r="G206" i="15"/>
  <c r="H202" i="15"/>
  <c r="C247" i="15" s="1"/>
  <c r="H198" i="15"/>
  <c r="H245" i="15" s="1"/>
  <c r="H194" i="15"/>
  <c r="C243" i="15" s="1"/>
  <c r="I61" i="22"/>
  <c r="I20" i="22"/>
  <c r="I13" i="22"/>
  <c r="I73" i="22"/>
  <c r="I67" i="22"/>
  <c r="I81" i="22"/>
  <c r="O12" i="22"/>
  <c r="D100" i="22"/>
  <c r="C261" i="15" s="1"/>
  <c r="I12" i="22"/>
  <c r="I55" i="22"/>
  <c r="I64" i="22"/>
  <c r="H196" i="15"/>
  <c r="H251" i="15" s="1"/>
  <c r="H201" i="15"/>
  <c r="C251" i="15" s="1"/>
  <c r="I47" i="22"/>
  <c r="I54" i="11"/>
  <c r="I25" i="22"/>
  <c r="I85" i="22"/>
  <c r="I41" i="22"/>
  <c r="I58" i="22"/>
  <c r="I27" i="22"/>
  <c r="I71" i="22"/>
  <c r="I44" i="22"/>
  <c r="H203" i="15"/>
  <c r="C245" i="15" s="1"/>
  <c r="H185" i="15"/>
  <c r="E243" i="15" s="1"/>
  <c r="I51" i="22"/>
  <c r="I14" i="22"/>
  <c r="I86" i="22"/>
  <c r="H189" i="15"/>
  <c r="F245" i="15" s="1"/>
  <c r="I59" i="11"/>
  <c r="E9" i="33"/>
  <c r="E4" i="33"/>
  <c r="U84" i="34"/>
  <c r="T85" i="34"/>
  <c r="C516" i="15"/>
  <c r="C510" i="15"/>
  <c r="C500" i="15"/>
  <c r="C506" i="15"/>
  <c r="C518" i="15"/>
  <c r="C528" i="15"/>
  <c r="C502" i="15"/>
  <c r="C524" i="15"/>
  <c r="C515" i="15"/>
  <c r="C508" i="15"/>
  <c r="C498" i="15"/>
  <c r="C507" i="15"/>
  <c r="C525" i="15"/>
  <c r="C509" i="15"/>
  <c r="C526" i="15"/>
  <c r="C512" i="15"/>
  <c r="C520" i="15"/>
  <c r="C527" i="15"/>
  <c r="C514" i="15"/>
  <c r="C499" i="15"/>
  <c r="C519" i="15"/>
  <c r="C503" i="15"/>
  <c r="C517" i="15"/>
  <c r="C521" i="15"/>
  <c r="C511" i="15"/>
  <c r="C523" i="15"/>
  <c r="C504" i="15"/>
  <c r="C505" i="15"/>
  <c r="C513" i="15"/>
  <c r="C522" i="15"/>
  <c r="C501" i="15"/>
  <c r="D23" i="12"/>
  <c r="D68" i="12"/>
  <c r="D4" i="33"/>
  <c r="D9" i="33"/>
  <c r="U12" i="1"/>
  <c r="B403" i="15"/>
  <c r="C378" i="15" s="1"/>
  <c r="I76" i="11"/>
  <c r="I39" i="11"/>
  <c r="F21" i="9"/>
  <c r="F87" i="12"/>
  <c r="F44" i="9"/>
  <c r="I129" i="11"/>
  <c r="D24" i="12"/>
  <c r="D5" i="22"/>
  <c r="J92" i="1" l="1"/>
  <c r="J93" i="1"/>
  <c r="E300" i="15"/>
  <c r="S14" i="22"/>
  <c r="S15" i="22" s="1"/>
  <c r="I61" i="11"/>
  <c r="I106" i="11"/>
  <c r="J97" i="22"/>
  <c r="J95" i="22"/>
  <c r="J98" i="22"/>
  <c r="J90" i="22"/>
  <c r="J92" i="22"/>
  <c r="J89" i="22"/>
  <c r="B654" i="15"/>
  <c r="D663" i="15"/>
  <c r="J91" i="22"/>
  <c r="J93" i="22"/>
  <c r="J96" i="22"/>
  <c r="K663" i="15"/>
  <c r="J54" i="22"/>
  <c r="J94" i="22"/>
  <c r="J88" i="22"/>
  <c r="J87" i="22"/>
  <c r="I23" i="1"/>
  <c r="I61" i="1"/>
  <c r="I71" i="1"/>
  <c r="I44" i="1"/>
  <c r="I57" i="1"/>
  <c r="S13" i="1"/>
  <c r="S14" i="1" s="1"/>
  <c r="S15" i="1" s="1"/>
  <c r="I16" i="1"/>
  <c r="I27" i="1"/>
  <c r="I62" i="1"/>
  <c r="I82" i="1"/>
  <c r="J91" i="1" s="1"/>
  <c r="O13" i="1"/>
  <c r="P13" i="1" s="1"/>
  <c r="I24" i="1"/>
  <c r="I22" i="1"/>
  <c r="I79" i="1"/>
  <c r="I31" i="1"/>
  <c r="I46" i="1"/>
  <c r="I77" i="1"/>
  <c r="I18" i="1"/>
  <c r="I81" i="1"/>
  <c r="I41" i="1"/>
  <c r="I78" i="1"/>
  <c r="I25" i="1"/>
  <c r="I64" i="1"/>
  <c r="I74" i="1"/>
  <c r="I29" i="1"/>
  <c r="I72" i="1"/>
  <c r="I48" i="1"/>
  <c r="I53" i="1"/>
  <c r="I70" i="1"/>
  <c r="I20" i="1"/>
  <c r="I28" i="1"/>
  <c r="I43" i="1"/>
  <c r="I97" i="1"/>
  <c r="G100" i="1"/>
  <c r="G102" i="1" s="1"/>
  <c r="I49" i="1"/>
  <c r="I40" i="1"/>
  <c r="I32" i="1"/>
  <c r="I55" i="1"/>
  <c r="I98" i="1"/>
  <c r="I17" i="1"/>
  <c r="I59" i="1"/>
  <c r="I58" i="1"/>
  <c r="I39" i="1"/>
  <c r="I56" i="1"/>
  <c r="I94" i="1"/>
  <c r="I19" i="1"/>
  <c r="I30" i="1"/>
  <c r="I52" i="1"/>
  <c r="I51" i="1"/>
  <c r="I26" i="1"/>
  <c r="I33" i="1"/>
  <c r="I66" i="1"/>
  <c r="I75" i="1"/>
  <c r="I14" i="1"/>
  <c r="I34" i="1"/>
  <c r="I63" i="1"/>
  <c r="I38" i="1"/>
  <c r="I45" i="1"/>
  <c r="I95" i="1"/>
  <c r="H100" i="1"/>
  <c r="H102" i="1" s="1"/>
  <c r="I35" i="1"/>
  <c r="I67" i="1"/>
  <c r="I37" i="1"/>
  <c r="I15" i="1"/>
  <c r="I54" i="1"/>
  <c r="I69" i="1"/>
  <c r="I42" i="1"/>
  <c r="I50" i="1"/>
  <c r="I96" i="1"/>
  <c r="I21" i="1"/>
  <c r="I73" i="1"/>
  <c r="I65" i="1"/>
  <c r="I47" i="1"/>
  <c r="I76" i="1"/>
  <c r="Q13" i="1"/>
  <c r="R13" i="1" s="1"/>
  <c r="I36" i="1"/>
  <c r="D100" i="1"/>
  <c r="D102" i="1" s="1"/>
  <c r="F100" i="1"/>
  <c r="F102" i="1" s="1"/>
  <c r="I60" i="1"/>
  <c r="I12" i="1"/>
  <c r="K12" i="1" s="1"/>
  <c r="E100" i="1"/>
  <c r="E102" i="1" s="1"/>
  <c r="I13" i="1"/>
  <c r="C100" i="1"/>
  <c r="C102" i="1" s="1"/>
  <c r="M13" i="1"/>
  <c r="N13" i="1" s="1"/>
  <c r="I68" i="1"/>
  <c r="O364" i="15"/>
  <c r="C385" i="15"/>
  <c r="C391" i="15"/>
  <c r="C398" i="15"/>
  <c r="C381" i="15"/>
  <c r="C382" i="15"/>
  <c r="C386" i="15"/>
  <c r="C379" i="15"/>
  <c r="C383" i="15"/>
  <c r="C388" i="15"/>
  <c r="C393" i="15"/>
  <c r="C400" i="15"/>
  <c r="J82" i="22"/>
  <c r="J24" i="22"/>
  <c r="J65" i="22"/>
  <c r="J72" i="22"/>
  <c r="J67" i="22"/>
  <c r="J52" i="22"/>
  <c r="J53" i="22"/>
  <c r="J85" i="22"/>
  <c r="J66" i="22"/>
  <c r="J64" i="22"/>
  <c r="C164" i="11"/>
  <c r="C200" i="11"/>
  <c r="C199" i="11"/>
  <c r="C175" i="11"/>
  <c r="R13" i="22"/>
  <c r="I21" i="11"/>
  <c r="C31" i="11"/>
  <c r="I32" i="11"/>
  <c r="N364" i="15"/>
  <c r="J81" i="22"/>
  <c r="J69" i="22"/>
  <c r="E299" i="15"/>
  <c r="J40" i="22"/>
  <c r="J57" i="22"/>
  <c r="C155" i="11"/>
  <c r="J73" i="22"/>
  <c r="J44" i="22"/>
  <c r="J49" i="22"/>
  <c r="C172" i="11"/>
  <c r="C153" i="11"/>
  <c r="Q15" i="22"/>
  <c r="R15" i="22" s="1"/>
  <c r="J22" i="22"/>
  <c r="J71" i="22"/>
  <c r="J84" i="22"/>
  <c r="J68" i="22"/>
  <c r="J59" i="22"/>
  <c r="J51" i="22"/>
  <c r="J47" i="22"/>
  <c r="J56" i="22"/>
  <c r="J61" i="22"/>
  <c r="J86" i="22"/>
  <c r="C399" i="15"/>
  <c r="C401" i="15"/>
  <c r="C380" i="15"/>
  <c r="C392" i="15"/>
  <c r="C389" i="15"/>
  <c r="C384" i="15"/>
  <c r="C394" i="15"/>
  <c r="C396" i="15"/>
  <c r="C390" i="15"/>
  <c r="C387" i="15"/>
  <c r="C397" i="15"/>
  <c r="C395" i="15"/>
  <c r="J50" i="22"/>
  <c r="J63" i="22"/>
  <c r="C191" i="11"/>
  <c r="C205" i="11"/>
  <c r="J55" i="22"/>
  <c r="J83" i="22"/>
  <c r="J60" i="22"/>
  <c r="C140" i="11"/>
  <c r="J48" i="22"/>
  <c r="J58" i="22"/>
  <c r="J36" i="22"/>
  <c r="J29" i="22"/>
  <c r="J78" i="22"/>
  <c r="J46" i="22"/>
  <c r="M14" i="22"/>
  <c r="N13" i="22"/>
  <c r="C141" i="11"/>
  <c r="C208" i="11"/>
  <c r="C166" i="11"/>
  <c r="J70" i="22"/>
  <c r="J62" i="22"/>
  <c r="C189" i="11"/>
  <c r="J75" i="22"/>
  <c r="J39" i="22"/>
  <c r="E301" i="15"/>
  <c r="J33" i="22"/>
  <c r="J34" i="22"/>
  <c r="J38" i="22"/>
  <c r="J80" i="22"/>
  <c r="C202" i="11"/>
  <c r="J37" i="22"/>
  <c r="C181" i="11"/>
  <c r="C150" i="11"/>
  <c r="C204" i="11"/>
  <c r="C142" i="11"/>
  <c r="C171" i="11"/>
  <c r="C165" i="11"/>
  <c r="I100" i="22"/>
  <c r="C179" i="11"/>
  <c r="C169" i="11"/>
  <c r="C143" i="11"/>
  <c r="J74" i="22"/>
  <c r="J35" i="22"/>
  <c r="J32" i="22"/>
  <c r="C188" i="11"/>
  <c r="C152" i="11"/>
  <c r="J42" i="22"/>
  <c r="C267" i="15"/>
  <c r="B261" i="15" s="1"/>
  <c r="C174" i="11"/>
  <c r="J45" i="22"/>
  <c r="C203" i="11"/>
  <c r="C190" i="11"/>
  <c r="J31" i="22"/>
  <c r="C193" i="11"/>
  <c r="C161" i="11"/>
  <c r="C186" i="11"/>
  <c r="C147" i="11"/>
  <c r="C176" i="11"/>
  <c r="C183" i="11"/>
  <c r="C158" i="11"/>
  <c r="C146" i="11"/>
  <c r="C194" i="11"/>
  <c r="C185" i="11"/>
  <c r="C154" i="11"/>
  <c r="J77" i="22"/>
  <c r="J79" i="22"/>
  <c r="C170" i="11"/>
  <c r="C145" i="11"/>
  <c r="C192" i="11"/>
  <c r="J41" i="22"/>
  <c r="J43" i="22"/>
  <c r="J26" i="22"/>
  <c r="C160" i="11"/>
  <c r="C144" i="11"/>
  <c r="C180" i="11"/>
  <c r="J25" i="22"/>
  <c r="C168" i="11"/>
  <c r="C157" i="11"/>
  <c r="J28" i="22"/>
  <c r="C209" i="11"/>
  <c r="C178" i="11"/>
  <c r="J30" i="22"/>
  <c r="J76" i="22"/>
  <c r="C201" i="11"/>
  <c r="C148" i="11"/>
  <c r="C196" i="11"/>
  <c r="C159" i="11"/>
  <c r="C207" i="11"/>
  <c r="J27" i="22"/>
  <c r="D210" i="15"/>
  <c r="I210" i="15" s="1"/>
  <c r="J23" i="22"/>
  <c r="C151" i="11"/>
  <c r="C182" i="11"/>
  <c r="C187" i="11"/>
  <c r="C149" i="11"/>
  <c r="C206" i="11"/>
  <c r="H206" i="15"/>
  <c r="C173" i="11"/>
  <c r="K12" i="22"/>
  <c r="C195" i="11"/>
  <c r="C156" i="11"/>
  <c r="C163" i="11"/>
  <c r="C198" i="11"/>
  <c r="C197" i="11"/>
  <c r="C167" i="11"/>
  <c r="P12" i="22"/>
  <c r="O13" i="22"/>
  <c r="U14" i="22"/>
  <c r="V13" i="22"/>
  <c r="J21" i="22"/>
  <c r="C162" i="11"/>
  <c r="C177" i="11"/>
  <c r="C184" i="11"/>
  <c r="V84" i="34"/>
  <c r="U85" i="34"/>
  <c r="V12" i="1"/>
  <c r="U13" i="1"/>
  <c r="B493" i="15"/>
  <c r="C478" i="15" s="1"/>
  <c r="B463" i="15"/>
  <c r="C439" i="15" s="1"/>
  <c r="B433" i="15"/>
  <c r="C425" i="15" s="1"/>
  <c r="T14" i="22"/>
  <c r="I38" i="11"/>
  <c r="I75" i="11"/>
  <c r="F20" i="9"/>
  <c r="I128" i="11"/>
  <c r="G44" i="9"/>
  <c r="G49" i="9"/>
  <c r="G47" i="9"/>
  <c r="G46" i="9"/>
  <c r="G48" i="9"/>
  <c r="F86" i="12"/>
  <c r="F90" i="12"/>
  <c r="F91" i="12"/>
  <c r="F89" i="12"/>
  <c r="F88" i="12"/>
  <c r="G45" i="9"/>
  <c r="D69" i="12"/>
  <c r="D74" i="12" s="1"/>
  <c r="G102" i="22"/>
  <c r="C102" i="22"/>
  <c r="F102" i="22"/>
  <c r="H102" i="22"/>
  <c r="D102" i="22"/>
  <c r="E102" i="22"/>
  <c r="J85" i="1" l="1"/>
  <c r="J90" i="1"/>
  <c r="J96" i="1"/>
  <c r="J83" i="1"/>
  <c r="J94" i="1"/>
  <c r="J98" i="1"/>
  <c r="J88" i="1"/>
  <c r="J95" i="1"/>
  <c r="J97" i="1"/>
  <c r="J84" i="1"/>
  <c r="J87" i="1"/>
  <c r="J86" i="1"/>
  <c r="J89" i="1"/>
  <c r="T14" i="1"/>
  <c r="T13" i="1"/>
  <c r="O14" i="1"/>
  <c r="O15" i="1" s="1"/>
  <c r="P15" i="1" s="1"/>
  <c r="Q16" i="22"/>
  <c r="R16" i="22" s="1"/>
  <c r="J74" i="1"/>
  <c r="J24" i="1"/>
  <c r="Q14" i="1"/>
  <c r="R14" i="1" s="1"/>
  <c r="J72" i="1"/>
  <c r="J50" i="1"/>
  <c r="J46" i="1"/>
  <c r="J36" i="1"/>
  <c r="J78" i="1"/>
  <c r="J60" i="1"/>
  <c r="J37" i="1"/>
  <c r="J40" i="1"/>
  <c r="J33" i="1"/>
  <c r="J55" i="1"/>
  <c r="J27" i="1"/>
  <c r="J69" i="1"/>
  <c r="I100" i="1"/>
  <c r="I102" i="1"/>
  <c r="J30" i="1"/>
  <c r="J48" i="1"/>
  <c r="J35" i="1"/>
  <c r="J41" i="1"/>
  <c r="J39" i="1"/>
  <c r="J38" i="1"/>
  <c r="J77" i="1"/>
  <c r="J76" i="1"/>
  <c r="J23" i="1"/>
  <c r="J28" i="1"/>
  <c r="J66" i="1"/>
  <c r="J64" i="1"/>
  <c r="J29" i="1"/>
  <c r="J81" i="1"/>
  <c r="J31" i="1"/>
  <c r="J25" i="1"/>
  <c r="J82" i="1"/>
  <c r="J52" i="1"/>
  <c r="J80" i="1"/>
  <c r="J22" i="1"/>
  <c r="J45" i="1"/>
  <c r="J26" i="1"/>
  <c r="J47" i="1"/>
  <c r="J59" i="1"/>
  <c r="J58" i="1"/>
  <c r="J62" i="1"/>
  <c r="J68" i="1"/>
  <c r="J79" i="1"/>
  <c r="J34" i="1"/>
  <c r="J32" i="1"/>
  <c r="J57" i="1"/>
  <c r="J65" i="1"/>
  <c r="J56" i="1"/>
  <c r="J61" i="1"/>
  <c r="J63" i="1"/>
  <c r="J53" i="1"/>
  <c r="J49" i="1"/>
  <c r="J73" i="1"/>
  <c r="J75" i="1"/>
  <c r="J21" i="1"/>
  <c r="J51" i="1"/>
  <c r="J54" i="1"/>
  <c r="J71" i="1"/>
  <c r="J44" i="1"/>
  <c r="J70" i="1"/>
  <c r="J67" i="1"/>
  <c r="J42" i="1"/>
  <c r="J43" i="1"/>
  <c r="M14" i="1"/>
  <c r="M15" i="1" s="1"/>
  <c r="M16" i="1" s="1"/>
  <c r="J202" i="15"/>
  <c r="J200" i="15"/>
  <c r="I31" i="11"/>
  <c r="C30" i="11"/>
  <c r="E303" i="15"/>
  <c r="M15" i="22"/>
  <c r="N14" i="22"/>
  <c r="B264" i="15"/>
  <c r="B262" i="15"/>
  <c r="B263" i="15"/>
  <c r="B265" i="15"/>
  <c r="B260" i="15"/>
  <c r="D299" i="15" s="1"/>
  <c r="C210" i="11"/>
  <c r="J192" i="15"/>
  <c r="J184" i="15"/>
  <c r="J188" i="15"/>
  <c r="J203" i="15"/>
  <c r="J186" i="15"/>
  <c r="J191" i="15"/>
  <c r="J190" i="15"/>
  <c r="J199" i="15"/>
  <c r="J198" i="15"/>
  <c r="J201" i="15"/>
  <c r="J197" i="15"/>
  <c r="D209" i="15"/>
  <c r="D211" i="15" s="1"/>
  <c r="J204" i="15"/>
  <c r="J185" i="15"/>
  <c r="J196" i="15"/>
  <c r="L12" i="22"/>
  <c r="K13" i="22"/>
  <c r="V14" i="22"/>
  <c r="U15" i="22"/>
  <c r="P13" i="22"/>
  <c r="O14" i="22"/>
  <c r="J183" i="15"/>
  <c r="J194" i="15"/>
  <c r="J189" i="15"/>
  <c r="J182" i="15"/>
  <c r="J187" i="15"/>
  <c r="J195" i="15"/>
  <c r="J193" i="15"/>
  <c r="W84" i="34"/>
  <c r="V85" i="34"/>
  <c r="U14" i="1"/>
  <c r="V13" i="1"/>
  <c r="K13" i="1"/>
  <c r="L12" i="1"/>
  <c r="C447" i="15"/>
  <c r="C441" i="15"/>
  <c r="C461" i="15"/>
  <c r="C444" i="15"/>
  <c r="C446" i="15"/>
  <c r="C443" i="15"/>
  <c r="C454" i="15"/>
  <c r="C456" i="15"/>
  <c r="C455" i="15"/>
  <c r="C452" i="15"/>
  <c r="C458" i="15"/>
  <c r="C449" i="15"/>
  <c r="C451" i="15"/>
  <c r="C445" i="15"/>
  <c r="C460" i="15"/>
  <c r="C442" i="15"/>
  <c r="C448" i="15"/>
  <c r="C459" i="15"/>
  <c r="C438" i="15"/>
  <c r="C440" i="15"/>
  <c r="C453" i="15"/>
  <c r="C457" i="15"/>
  <c r="C450" i="15"/>
  <c r="C479" i="15"/>
  <c r="C415" i="15"/>
  <c r="C430" i="15"/>
  <c r="C431" i="15"/>
  <c r="C423" i="15"/>
  <c r="C411" i="15"/>
  <c r="C429" i="15"/>
  <c r="C414" i="15"/>
  <c r="C416" i="15"/>
  <c r="C417" i="15"/>
  <c r="C427" i="15"/>
  <c r="C410" i="15"/>
  <c r="C424" i="15"/>
  <c r="C408" i="15"/>
  <c r="C419" i="15"/>
  <c r="C421" i="15"/>
  <c r="C428" i="15"/>
  <c r="C418" i="15"/>
  <c r="C422" i="15"/>
  <c r="C420" i="15"/>
  <c r="C409" i="15"/>
  <c r="C413" i="15"/>
  <c r="C412" i="15"/>
  <c r="C485" i="15"/>
  <c r="C481" i="15"/>
  <c r="C483" i="15"/>
  <c r="C471" i="15"/>
  <c r="C489" i="15"/>
  <c r="C470" i="15"/>
  <c r="C490" i="15"/>
  <c r="C474" i="15"/>
  <c r="C491" i="15"/>
  <c r="C480" i="15"/>
  <c r="C486" i="15"/>
  <c r="C482" i="15"/>
  <c r="C475" i="15"/>
  <c r="C472" i="15"/>
  <c r="C477" i="15"/>
  <c r="C487" i="15"/>
  <c r="C469" i="15"/>
  <c r="C488" i="15"/>
  <c r="C476" i="15"/>
  <c r="C484" i="15"/>
  <c r="C473" i="15"/>
  <c r="C468" i="15"/>
  <c r="C426" i="15"/>
  <c r="S16" i="22"/>
  <c r="T15" i="22"/>
  <c r="I74" i="11"/>
  <c r="I37" i="11"/>
  <c r="S16" i="1"/>
  <c r="T15" i="1"/>
  <c r="I127" i="11"/>
  <c r="F19" i="9"/>
  <c r="I102" i="22"/>
  <c r="C99" i="12"/>
  <c r="C98" i="12"/>
  <c r="C103" i="12"/>
  <c r="C102" i="12"/>
  <c r="C101" i="12"/>
  <c r="C100" i="12"/>
  <c r="Q17" i="22" l="1"/>
  <c r="Q18" i="22" s="1"/>
  <c r="O16" i="1"/>
  <c r="O17" i="1" s="1"/>
  <c r="P14" i="1"/>
  <c r="Q15" i="1"/>
  <c r="Q16" i="1" s="1"/>
  <c r="Q17" i="1" s="1"/>
  <c r="N14" i="1"/>
  <c r="N15" i="1"/>
  <c r="I30" i="11"/>
  <c r="C29" i="11"/>
  <c r="N15" i="22"/>
  <c r="M16" i="22"/>
  <c r="D300" i="15"/>
  <c r="D301" i="15"/>
  <c r="H210" i="15"/>
  <c r="U16" i="22"/>
  <c r="V15" i="22"/>
  <c r="P14" i="22"/>
  <c r="O15" i="22"/>
  <c r="K14" i="22"/>
  <c r="L13" i="22"/>
  <c r="X84" i="34"/>
  <c r="W85" i="34"/>
  <c r="L13" i="1"/>
  <c r="K14" i="1"/>
  <c r="V14" i="1"/>
  <c r="U15" i="1"/>
  <c r="T16" i="22"/>
  <c r="S17" i="22"/>
  <c r="I36" i="11"/>
  <c r="I73" i="11"/>
  <c r="T16" i="1"/>
  <c r="S17" i="1"/>
  <c r="M17" i="1"/>
  <c r="N16" i="1"/>
  <c r="I126" i="11"/>
  <c r="F18" i="9"/>
  <c r="G19" i="9" s="1"/>
  <c r="C39" i="12" s="1"/>
  <c r="R17" i="22" l="1"/>
  <c r="P16" i="1"/>
  <c r="R16" i="1"/>
  <c r="R15" i="1"/>
  <c r="N16" i="22"/>
  <c r="M17" i="22"/>
  <c r="O16" i="22"/>
  <c r="P15" i="22"/>
  <c r="K15" i="22"/>
  <c r="L14" i="22"/>
  <c r="V16" i="22"/>
  <c r="U17" i="22"/>
  <c r="Y84" i="34"/>
  <c r="X85" i="34"/>
  <c r="Q19" i="22"/>
  <c r="R18" i="22"/>
  <c r="V15" i="1"/>
  <c r="U16" i="1"/>
  <c r="Q18" i="1"/>
  <c r="R17" i="1"/>
  <c r="K15" i="1"/>
  <c r="L14" i="1"/>
  <c r="S18" i="22"/>
  <c r="T17" i="22"/>
  <c r="I72" i="11"/>
  <c r="I35" i="11"/>
  <c r="S18" i="1"/>
  <c r="T17" i="1"/>
  <c r="P17" i="1"/>
  <c r="O18" i="1"/>
  <c r="N17" i="1"/>
  <c r="M18" i="1"/>
  <c r="I125" i="11"/>
  <c r="D25" i="12"/>
  <c r="D27" i="12" s="1"/>
  <c r="G18" i="9"/>
  <c r="C38" i="12" s="1"/>
  <c r="G23" i="9"/>
  <c r="C43" i="12" s="1"/>
  <c r="G22" i="9"/>
  <c r="C42" i="12" s="1"/>
  <c r="G21" i="9"/>
  <c r="C41" i="12" s="1"/>
  <c r="G20" i="9"/>
  <c r="C40" i="12" s="1"/>
  <c r="M18" i="22" l="1"/>
  <c r="N17" i="22"/>
  <c r="L15" i="22"/>
  <c r="K16" i="22"/>
  <c r="U18" i="22"/>
  <c r="V17" i="22"/>
  <c r="O17" i="22"/>
  <c r="P16" i="22"/>
  <c r="Z84" i="34"/>
  <c r="Y85" i="34"/>
  <c r="R19" i="22"/>
  <c r="Q20" i="22"/>
  <c r="L15" i="1"/>
  <c r="K16" i="1"/>
  <c r="Q19" i="1"/>
  <c r="R18" i="1"/>
  <c r="U17" i="1"/>
  <c r="V16" i="1"/>
  <c r="T18" i="22"/>
  <c r="S19" i="22"/>
  <c r="I34" i="11"/>
  <c r="I71" i="11"/>
  <c r="T18" i="1"/>
  <c r="S19" i="1"/>
  <c r="P18" i="1"/>
  <c r="O19" i="1"/>
  <c r="N18" i="1"/>
  <c r="M19" i="1"/>
  <c r="C49" i="12"/>
  <c r="D112" i="12" s="1"/>
  <c r="C50" i="12"/>
  <c r="D113" i="12" s="1"/>
  <c r="C51" i="12"/>
  <c r="D114" i="12" s="1"/>
  <c r="C53" i="12"/>
  <c r="D116" i="12" s="1"/>
  <c r="C52" i="12"/>
  <c r="D115" i="12" s="1"/>
  <c r="C54" i="12"/>
  <c r="D117" i="12" s="1"/>
  <c r="I124" i="11"/>
  <c r="N18" i="22" l="1"/>
  <c r="M19" i="22"/>
  <c r="O18" i="22"/>
  <c r="P17" i="22"/>
  <c r="U19" i="22"/>
  <c r="V18" i="22"/>
  <c r="L16" i="22"/>
  <c r="K17" i="22"/>
  <c r="AA84" i="34"/>
  <c r="Z85" i="34"/>
  <c r="Q21" i="22"/>
  <c r="R20" i="22"/>
  <c r="U18" i="1"/>
  <c r="V17" i="1"/>
  <c r="Q20" i="1"/>
  <c r="R19" i="1"/>
  <c r="K17" i="1"/>
  <c r="L16" i="1"/>
  <c r="S20" i="22"/>
  <c r="T19" i="22"/>
  <c r="I29" i="11"/>
  <c r="I33" i="11"/>
  <c r="I69" i="11"/>
  <c r="I70" i="11"/>
  <c r="O20" i="1"/>
  <c r="P19" i="1"/>
  <c r="T19" i="1"/>
  <c r="S20" i="1"/>
  <c r="M20" i="1"/>
  <c r="N19" i="1"/>
  <c r="I123" i="11"/>
  <c r="N19" i="22" l="1"/>
  <c r="M20" i="22"/>
  <c r="O19" i="22"/>
  <c r="P18" i="22"/>
  <c r="U20" i="22"/>
  <c r="V19" i="22"/>
  <c r="L17" i="22"/>
  <c r="K18" i="22"/>
  <c r="AB84" i="34"/>
  <c r="AA85" i="34"/>
  <c r="Q22" i="22"/>
  <c r="R21" i="22"/>
  <c r="K18" i="1"/>
  <c r="L17" i="1"/>
  <c r="Q21" i="1"/>
  <c r="R20" i="1"/>
  <c r="U19" i="1"/>
  <c r="V18" i="1"/>
  <c r="T20" i="22"/>
  <c r="S21" i="22"/>
  <c r="O21" i="1"/>
  <c r="P20" i="1"/>
  <c r="T20" i="1"/>
  <c r="S21" i="1"/>
  <c r="M21" i="1"/>
  <c r="N20" i="1"/>
  <c r="I122" i="11"/>
  <c r="M21" i="22" l="1"/>
  <c r="N20" i="22"/>
  <c r="O20" i="22"/>
  <c r="P19" i="22"/>
  <c r="V20" i="22"/>
  <c r="U21" i="22"/>
  <c r="L18" i="22"/>
  <c r="K19" i="22"/>
  <c r="AC84" i="34"/>
  <c r="AB85" i="34"/>
  <c r="R22" i="22"/>
  <c r="Q23" i="22"/>
  <c r="V19" i="1"/>
  <c r="U20" i="1"/>
  <c r="Q22" i="1"/>
  <c r="R21" i="1"/>
  <c r="L18" i="1"/>
  <c r="K19" i="1"/>
  <c r="T21" i="22"/>
  <c r="S22" i="22"/>
  <c r="P21" i="1"/>
  <c r="O22" i="1"/>
  <c r="T21" i="1"/>
  <c r="S22" i="1"/>
  <c r="M22" i="1"/>
  <c r="N21" i="1"/>
  <c r="I121" i="11"/>
  <c r="N21" i="22" l="1"/>
  <c r="M22" i="22"/>
  <c r="P20" i="22"/>
  <c r="O21" i="22"/>
  <c r="U22" i="22"/>
  <c r="V21" i="22"/>
  <c r="K20" i="22"/>
  <c r="L19" i="22"/>
  <c r="AD84" i="34"/>
  <c r="AC85" i="34"/>
  <c r="Q24" i="22"/>
  <c r="R23" i="22"/>
  <c r="Q23" i="1"/>
  <c r="R22" i="1"/>
  <c r="K20" i="1"/>
  <c r="L19" i="1"/>
  <c r="U21" i="1"/>
  <c r="V20" i="1"/>
  <c r="T22" i="22"/>
  <c r="S23" i="22"/>
  <c r="T22" i="1"/>
  <c r="S23" i="1"/>
  <c r="P22" i="1"/>
  <c r="O23" i="1"/>
  <c r="N22" i="1"/>
  <c r="M23" i="1"/>
  <c r="I120" i="11"/>
  <c r="N22" i="22" l="1"/>
  <c r="M23" i="22"/>
  <c r="K21" i="22"/>
  <c r="L20" i="22"/>
  <c r="V22" i="22"/>
  <c r="U23" i="22"/>
  <c r="P21" i="22"/>
  <c r="O22" i="22"/>
  <c r="AE84" i="34"/>
  <c r="AD85" i="34"/>
  <c r="R24" i="22"/>
  <c r="Q25" i="22"/>
  <c r="U22" i="1"/>
  <c r="V21" i="1"/>
  <c r="K21" i="1"/>
  <c r="L20" i="1"/>
  <c r="Q24" i="1"/>
  <c r="R23" i="1"/>
  <c r="S24" i="22"/>
  <c r="T23" i="22"/>
  <c r="P23" i="1"/>
  <c r="O24" i="1"/>
  <c r="T23" i="1"/>
  <c r="S24" i="1"/>
  <c r="M24" i="1"/>
  <c r="N23" i="1"/>
  <c r="I119" i="11"/>
  <c r="N23" i="22" l="1"/>
  <c r="M24" i="22"/>
  <c r="P22" i="22"/>
  <c r="O23" i="22"/>
  <c r="L21" i="22"/>
  <c r="K22" i="22"/>
  <c r="U24" i="22"/>
  <c r="V23" i="22"/>
  <c r="AF84" i="34"/>
  <c r="AE85" i="34"/>
  <c r="R25" i="22"/>
  <c r="Q26" i="22"/>
  <c r="R24" i="1"/>
  <c r="Q25" i="1"/>
  <c r="K22" i="1"/>
  <c r="L21" i="1"/>
  <c r="V22" i="1"/>
  <c r="U23" i="1"/>
  <c r="T24" i="22"/>
  <c r="S25" i="22"/>
  <c r="S25" i="1"/>
  <c r="T24" i="1"/>
  <c r="O25" i="1"/>
  <c r="P24" i="1"/>
  <c r="M25" i="1"/>
  <c r="N24" i="1"/>
  <c r="I118" i="11"/>
  <c r="M25" i="22" l="1"/>
  <c r="N24" i="22"/>
  <c r="V24" i="22"/>
  <c r="U25" i="22"/>
  <c r="K23" i="22"/>
  <c r="L22" i="22"/>
  <c r="P23" i="22"/>
  <c r="O24" i="22"/>
  <c r="AG84" i="34"/>
  <c r="AF85" i="34"/>
  <c r="R26" i="22"/>
  <c r="Q27" i="22"/>
  <c r="L22" i="1"/>
  <c r="K23" i="1"/>
  <c r="U24" i="1"/>
  <c r="V23" i="1"/>
  <c r="Q26" i="1"/>
  <c r="R25" i="1"/>
  <c r="S26" i="22"/>
  <c r="T25" i="22"/>
  <c r="O26" i="1"/>
  <c r="P25" i="1"/>
  <c r="S26" i="1"/>
  <c r="T25" i="1"/>
  <c r="N25" i="1"/>
  <c r="M26" i="1"/>
  <c r="I116" i="11"/>
  <c r="I117" i="11"/>
  <c r="M26" i="22" l="1"/>
  <c r="N25" i="22"/>
  <c r="O25" i="22"/>
  <c r="P24" i="22"/>
  <c r="U26" i="22"/>
  <c r="V25" i="22"/>
  <c r="K24" i="22"/>
  <c r="L23" i="22"/>
  <c r="AH84" i="34"/>
  <c r="AG85" i="34"/>
  <c r="Q28" i="22"/>
  <c r="R27" i="22"/>
  <c r="R26" i="1"/>
  <c r="Q27" i="1"/>
  <c r="V24" i="1"/>
  <c r="U25" i="1"/>
  <c r="L23" i="1"/>
  <c r="K24" i="1"/>
  <c r="T26" i="22"/>
  <c r="S27" i="22"/>
  <c r="S27" i="1"/>
  <c r="T26" i="1"/>
  <c r="P26" i="1"/>
  <c r="O27" i="1"/>
  <c r="N26" i="1"/>
  <c r="M27" i="1"/>
  <c r="N26" i="22" l="1"/>
  <c r="M27" i="22"/>
  <c r="L24" i="22"/>
  <c r="K25" i="22"/>
  <c r="O26" i="22"/>
  <c r="P25" i="22"/>
  <c r="U27" i="22"/>
  <c r="V26" i="22"/>
  <c r="AI84" i="34"/>
  <c r="AH85" i="34"/>
  <c r="Q29" i="22"/>
  <c r="R28" i="22"/>
  <c r="K25" i="1"/>
  <c r="L24" i="1"/>
  <c r="U26" i="1"/>
  <c r="V25" i="1"/>
  <c r="R27" i="1"/>
  <c r="Q28" i="1"/>
  <c r="T27" i="22"/>
  <c r="S28" i="22"/>
  <c r="T27" i="1"/>
  <c r="S28" i="1"/>
  <c r="P27" i="1"/>
  <c r="O28" i="1"/>
  <c r="N27" i="1"/>
  <c r="M28" i="1"/>
  <c r="N27" i="22" l="1"/>
  <c r="M28" i="22"/>
  <c r="L25" i="22"/>
  <c r="K26" i="22"/>
  <c r="V27" i="22"/>
  <c r="U28" i="22"/>
  <c r="O27" i="22"/>
  <c r="P26" i="22"/>
  <c r="AJ84" i="34"/>
  <c r="AI85" i="34"/>
  <c r="Q30" i="22"/>
  <c r="R29" i="22"/>
  <c r="V26" i="1"/>
  <c r="U27" i="1"/>
  <c r="L25" i="1"/>
  <c r="K26" i="1"/>
  <c r="R28" i="1"/>
  <c r="Q29" i="1"/>
  <c r="S29" i="22"/>
  <c r="T28" i="22"/>
  <c r="P28" i="1"/>
  <c r="O29" i="1"/>
  <c r="S29" i="1"/>
  <c r="T28" i="1"/>
  <c r="N28" i="1"/>
  <c r="M29" i="1"/>
  <c r="N28" i="22" l="1"/>
  <c r="M29" i="22"/>
  <c r="K27" i="22"/>
  <c r="L26" i="22"/>
  <c r="V28" i="22"/>
  <c r="U29" i="22"/>
  <c r="P27" i="22"/>
  <c r="O28" i="22"/>
  <c r="AK84" i="34"/>
  <c r="AJ85" i="34"/>
  <c r="Q31" i="22"/>
  <c r="R30" i="22"/>
  <c r="R29" i="1"/>
  <c r="Q30" i="1"/>
  <c r="K27" i="1"/>
  <c r="L26" i="1"/>
  <c r="V27" i="1"/>
  <c r="U28" i="1"/>
  <c r="S30" i="22"/>
  <c r="T29" i="22"/>
  <c r="S30" i="1"/>
  <c r="T29" i="1"/>
  <c r="P29" i="1"/>
  <c r="O30" i="1"/>
  <c r="N29" i="1"/>
  <c r="M30" i="1"/>
  <c r="N29" i="22" l="1"/>
  <c r="M30" i="22"/>
  <c r="V29" i="22"/>
  <c r="U30" i="22"/>
  <c r="P28" i="22"/>
  <c r="O29" i="22"/>
  <c r="L27" i="22"/>
  <c r="K28" i="22"/>
  <c r="AL84" i="34"/>
  <c r="AK85" i="34"/>
  <c r="Q32" i="22"/>
  <c r="R31" i="22"/>
  <c r="K28" i="1"/>
  <c r="L27" i="1"/>
  <c r="U29" i="1"/>
  <c r="V28" i="1"/>
  <c r="Q31" i="1"/>
  <c r="R30" i="1"/>
  <c r="S31" i="22"/>
  <c r="T30" i="22"/>
  <c r="T30" i="1"/>
  <c r="S31" i="1"/>
  <c r="O31" i="1"/>
  <c r="P30" i="1"/>
  <c r="N30" i="1"/>
  <c r="M31" i="1"/>
  <c r="N30" i="22" l="1"/>
  <c r="M31" i="22"/>
  <c r="V30" i="22"/>
  <c r="U31" i="22"/>
  <c r="O30" i="22"/>
  <c r="P29" i="22"/>
  <c r="L28" i="22"/>
  <c r="K29" i="22"/>
  <c r="AM84" i="34"/>
  <c r="AM85" i="34" s="1"/>
  <c r="AL85" i="34"/>
  <c r="Q33" i="22"/>
  <c r="R32" i="22"/>
  <c r="Q32" i="1"/>
  <c r="R31" i="1"/>
  <c r="V29" i="1"/>
  <c r="U30" i="1"/>
  <c r="K29" i="1"/>
  <c r="L28" i="1"/>
  <c r="T31" i="22"/>
  <c r="S32" i="22"/>
  <c r="O32" i="1"/>
  <c r="P31" i="1"/>
  <c r="S32" i="1"/>
  <c r="T31" i="1"/>
  <c r="N31" i="1"/>
  <c r="M32" i="1"/>
  <c r="N31" i="22" l="1"/>
  <c r="M32" i="22"/>
  <c r="V31" i="22"/>
  <c r="U32" i="22"/>
  <c r="L29" i="22"/>
  <c r="K30" i="22"/>
  <c r="O31" i="22"/>
  <c r="P30" i="22"/>
  <c r="Q34" i="22"/>
  <c r="R33" i="22"/>
  <c r="L29" i="1"/>
  <c r="K30" i="1"/>
  <c r="R32" i="1"/>
  <c r="Q33" i="1"/>
  <c r="U31" i="1"/>
  <c r="V30" i="1"/>
  <c r="T32" i="22"/>
  <c r="S33" i="22"/>
  <c r="S33" i="1"/>
  <c r="T32" i="1"/>
  <c r="P32" i="1"/>
  <c r="O33" i="1"/>
  <c r="M33" i="1"/>
  <c r="N32" i="1"/>
  <c r="N32" i="22" l="1"/>
  <c r="M33" i="22"/>
  <c r="P31" i="22"/>
  <c r="O32" i="22"/>
  <c r="L30" i="22"/>
  <c r="K31" i="22"/>
  <c r="V32" i="22"/>
  <c r="U33" i="22"/>
  <c r="R34" i="22"/>
  <c r="Q35" i="22"/>
  <c r="U32" i="1"/>
  <c r="V31" i="1"/>
  <c r="Q34" i="1"/>
  <c r="R33" i="1"/>
  <c r="K31" i="1"/>
  <c r="L30" i="1"/>
  <c r="S34" i="22"/>
  <c r="T33" i="22"/>
  <c r="O34" i="1"/>
  <c r="P33" i="1"/>
  <c r="T33" i="1"/>
  <c r="S34" i="1"/>
  <c r="M34" i="1"/>
  <c r="N33" i="1"/>
  <c r="N33" i="22" l="1"/>
  <c r="M34" i="22"/>
  <c r="O33" i="22"/>
  <c r="P32" i="22"/>
  <c r="L31" i="22"/>
  <c r="K32" i="22"/>
  <c r="U34" i="22"/>
  <c r="V33" i="22"/>
  <c r="Q36" i="22"/>
  <c r="R35" i="22"/>
  <c r="K32" i="1"/>
  <c r="L31" i="1"/>
  <c r="R34" i="1"/>
  <c r="Q35" i="1"/>
  <c r="U33" i="1"/>
  <c r="V32" i="1"/>
  <c r="S35" i="22"/>
  <c r="T34" i="22"/>
  <c r="S35" i="1"/>
  <c r="T34" i="1"/>
  <c r="P34" i="1"/>
  <c r="O35" i="1"/>
  <c r="M35" i="1"/>
  <c r="N34" i="1"/>
  <c r="M35" i="22" l="1"/>
  <c r="N34" i="22"/>
  <c r="V34" i="22"/>
  <c r="U35" i="22"/>
  <c r="L32" i="22"/>
  <c r="K33" i="22"/>
  <c r="O34" i="22"/>
  <c r="P33" i="22"/>
  <c r="R36" i="22"/>
  <c r="Q37" i="22"/>
  <c r="U34" i="1"/>
  <c r="V33" i="1"/>
  <c r="L32" i="1"/>
  <c r="K33" i="1"/>
  <c r="R35" i="1"/>
  <c r="Q36" i="1"/>
  <c r="S36" i="22"/>
  <c r="T35" i="22"/>
  <c r="P35" i="1"/>
  <c r="O36" i="1"/>
  <c r="T35" i="1"/>
  <c r="S36" i="1"/>
  <c r="N35" i="1"/>
  <c r="M36" i="1"/>
  <c r="N35" i="22" l="1"/>
  <c r="M36" i="22"/>
  <c r="L33" i="22"/>
  <c r="K34" i="22"/>
  <c r="V35" i="22"/>
  <c r="U36" i="22"/>
  <c r="P34" i="22"/>
  <c r="O35" i="22"/>
  <c r="R37" i="22"/>
  <c r="Q38" i="22"/>
  <c r="V34" i="1"/>
  <c r="U35" i="1"/>
  <c r="Q37" i="1"/>
  <c r="R36" i="1"/>
  <c r="K34" i="1"/>
  <c r="L33" i="1"/>
  <c r="T36" i="22"/>
  <c r="S37" i="22"/>
  <c r="S37" i="1"/>
  <c r="T36" i="1"/>
  <c r="P36" i="1"/>
  <c r="O37" i="1"/>
  <c r="M37" i="1"/>
  <c r="N36" i="1"/>
  <c r="M37" i="22" l="1"/>
  <c r="N36" i="22"/>
  <c r="K35" i="22"/>
  <c r="L34" i="22"/>
  <c r="U37" i="22"/>
  <c r="V36" i="22"/>
  <c r="O36" i="22"/>
  <c r="P35" i="22"/>
  <c r="Q39" i="22"/>
  <c r="R38" i="22"/>
  <c r="K35" i="1"/>
  <c r="L34" i="1"/>
  <c r="Q38" i="1"/>
  <c r="R37" i="1"/>
  <c r="U36" i="1"/>
  <c r="V35" i="1"/>
  <c r="T37" i="22"/>
  <c r="S38" i="22"/>
  <c r="T37" i="1"/>
  <c r="S38" i="1"/>
  <c r="O38" i="1"/>
  <c r="P37" i="1"/>
  <c r="N37" i="1"/>
  <c r="M38" i="1"/>
  <c r="M38" i="22" l="1"/>
  <c r="N37" i="22"/>
  <c r="P36" i="22"/>
  <c r="O37" i="22"/>
  <c r="L35" i="22"/>
  <c r="K36" i="22"/>
  <c r="V37" i="22"/>
  <c r="U38" i="22"/>
  <c r="Q40" i="22"/>
  <c r="R39" i="22"/>
  <c r="V36" i="1"/>
  <c r="U37" i="1"/>
  <c r="Q39" i="1"/>
  <c r="R38" i="1"/>
  <c r="L35" i="1"/>
  <c r="K36" i="1"/>
  <c r="T38" i="22"/>
  <c r="S39" i="22"/>
  <c r="O39" i="1"/>
  <c r="P38" i="1"/>
  <c r="S39" i="1"/>
  <c r="T38" i="1"/>
  <c r="N38" i="1"/>
  <c r="M39" i="1"/>
  <c r="N38" i="22" l="1"/>
  <c r="M39" i="22"/>
  <c r="U39" i="22"/>
  <c r="V38" i="22"/>
  <c r="L36" i="22"/>
  <c r="K37" i="22"/>
  <c r="P37" i="22"/>
  <c r="O38" i="22"/>
  <c r="Q41" i="22"/>
  <c r="R40" i="22"/>
  <c r="Q40" i="1"/>
  <c r="R39" i="1"/>
  <c r="L36" i="1"/>
  <c r="K37" i="1"/>
  <c r="U38" i="1"/>
  <c r="V37" i="1"/>
  <c r="T39" i="22"/>
  <c r="S40" i="22"/>
  <c r="T39" i="1"/>
  <c r="S40" i="1"/>
  <c r="P39" i="1"/>
  <c r="O40" i="1"/>
  <c r="N39" i="1"/>
  <c r="M40" i="1"/>
  <c r="N39" i="22" l="1"/>
  <c r="M40" i="22"/>
  <c r="P38" i="22"/>
  <c r="O39" i="22"/>
  <c r="U40" i="22"/>
  <c r="V39" i="22"/>
  <c r="L37" i="22"/>
  <c r="K38" i="22"/>
  <c r="Q42" i="22"/>
  <c r="R41" i="22"/>
  <c r="U39" i="1"/>
  <c r="V38" i="1"/>
  <c r="R40" i="1"/>
  <c r="Q41" i="1"/>
  <c r="K38" i="1"/>
  <c r="L37" i="1"/>
  <c r="T40" i="22"/>
  <c r="S41" i="22"/>
  <c r="O41" i="1"/>
  <c r="P40" i="1"/>
  <c r="S41" i="1"/>
  <c r="T40" i="1"/>
  <c r="M41" i="1"/>
  <c r="N40" i="1"/>
  <c r="N40" i="22" l="1"/>
  <c r="M41" i="22"/>
  <c r="L38" i="22"/>
  <c r="K39" i="22"/>
  <c r="P39" i="22"/>
  <c r="O40" i="22"/>
  <c r="V40" i="22"/>
  <c r="U41" i="22"/>
  <c r="R42" i="22"/>
  <c r="Q43" i="22"/>
  <c r="K39" i="1"/>
  <c r="L38" i="1"/>
  <c r="U40" i="1"/>
  <c r="V39" i="1"/>
  <c r="Q42" i="1"/>
  <c r="R41" i="1"/>
  <c r="S42" i="22"/>
  <c r="T41" i="22"/>
  <c r="S42" i="1"/>
  <c r="T41" i="1"/>
  <c r="O42" i="1"/>
  <c r="P41" i="1"/>
  <c r="N41" i="1"/>
  <c r="M42" i="1"/>
  <c r="N41" i="22" l="1"/>
  <c r="M42" i="22"/>
  <c r="K40" i="22"/>
  <c r="L39" i="22"/>
  <c r="P40" i="22"/>
  <c r="O41" i="22"/>
  <c r="U42" i="22"/>
  <c r="V41" i="22"/>
  <c r="R43" i="22"/>
  <c r="Q44" i="22"/>
  <c r="R42" i="1"/>
  <c r="Q43" i="1"/>
  <c r="U41" i="1"/>
  <c r="V40" i="1"/>
  <c r="L39" i="1"/>
  <c r="K40" i="1"/>
  <c r="S43" i="22"/>
  <c r="T42" i="22"/>
  <c r="O43" i="1"/>
  <c r="P42" i="1"/>
  <c r="S43" i="1"/>
  <c r="T42" i="1"/>
  <c r="M43" i="1"/>
  <c r="N42" i="1"/>
  <c r="M43" i="22" l="1"/>
  <c r="N42" i="22"/>
  <c r="U43" i="22"/>
  <c r="V42" i="22"/>
  <c r="O42" i="22"/>
  <c r="P41" i="22"/>
  <c r="L40" i="22"/>
  <c r="K41" i="22"/>
  <c r="R44" i="22"/>
  <c r="Q45" i="22"/>
  <c r="U42" i="1"/>
  <c r="V41" i="1"/>
  <c r="K41" i="1"/>
  <c r="L40" i="1"/>
  <c r="Q44" i="1"/>
  <c r="R43" i="1"/>
  <c r="S44" i="22"/>
  <c r="T43" i="22"/>
  <c r="T43" i="1"/>
  <c r="S44" i="1"/>
  <c r="O44" i="1"/>
  <c r="P43" i="1"/>
  <c r="N43" i="1"/>
  <c r="M44" i="1"/>
  <c r="M44" i="22" l="1"/>
  <c r="N43" i="22"/>
  <c r="L41" i="22"/>
  <c r="K42" i="22"/>
  <c r="V43" i="22"/>
  <c r="U44" i="22"/>
  <c r="O43" i="22"/>
  <c r="P42" i="22"/>
  <c r="R45" i="22"/>
  <c r="Q46" i="22"/>
  <c r="R44" i="1"/>
  <c r="Q45" i="1"/>
  <c r="K42" i="1"/>
  <c r="L41" i="1"/>
  <c r="U43" i="1"/>
  <c r="V42" i="1"/>
  <c r="T44" i="22"/>
  <c r="S45" i="22"/>
  <c r="S45" i="1"/>
  <c r="T44" i="1"/>
  <c r="P44" i="1"/>
  <c r="O45" i="1"/>
  <c r="N44" i="1"/>
  <c r="M45" i="1"/>
  <c r="M45" i="22" l="1"/>
  <c r="N44" i="22"/>
  <c r="U45" i="22"/>
  <c r="V44" i="22"/>
  <c r="L42" i="22"/>
  <c r="K43" i="22"/>
  <c r="P43" i="22"/>
  <c r="O44" i="22"/>
  <c r="Q47" i="22"/>
  <c r="R46" i="22"/>
  <c r="V43" i="1"/>
  <c r="U44" i="1"/>
  <c r="L42" i="1"/>
  <c r="K43" i="1"/>
  <c r="Q46" i="1"/>
  <c r="R45" i="1"/>
  <c r="T45" i="22"/>
  <c r="S46" i="22"/>
  <c r="T45" i="1"/>
  <c r="S46" i="1"/>
  <c r="O46" i="1"/>
  <c r="P45" i="1"/>
  <c r="M46" i="1"/>
  <c r="N45" i="1"/>
  <c r="N45" i="22" l="1"/>
  <c r="M46" i="22"/>
  <c r="O45" i="22"/>
  <c r="P44" i="22"/>
  <c r="V45" i="22"/>
  <c r="U46" i="22"/>
  <c r="K44" i="22"/>
  <c r="L43" i="22"/>
  <c r="R47" i="22"/>
  <c r="Q48" i="22"/>
  <c r="R46" i="1"/>
  <c r="Q47" i="1"/>
  <c r="K44" i="1"/>
  <c r="L43" i="1"/>
  <c r="V44" i="1"/>
  <c r="U45" i="1"/>
  <c r="S47" i="22"/>
  <c r="T46" i="22"/>
  <c r="P46" i="1"/>
  <c r="O47" i="1"/>
  <c r="T46" i="1"/>
  <c r="S47" i="1"/>
  <c r="M47" i="1"/>
  <c r="N46" i="1"/>
  <c r="M47" i="22" l="1"/>
  <c r="N46" i="22"/>
  <c r="P45" i="22"/>
  <c r="O46" i="22"/>
  <c r="V46" i="22"/>
  <c r="U47" i="22"/>
  <c r="L44" i="22"/>
  <c r="K45" i="22"/>
  <c r="Q49" i="22"/>
  <c r="R48" i="22"/>
  <c r="K45" i="1"/>
  <c r="L44" i="1"/>
  <c r="V45" i="1"/>
  <c r="U46" i="1"/>
  <c r="R47" i="1"/>
  <c r="Q48" i="1"/>
  <c r="T47" i="22"/>
  <c r="S48" i="22"/>
  <c r="T47" i="1"/>
  <c r="S48" i="1"/>
  <c r="O48" i="1"/>
  <c r="P47" i="1"/>
  <c r="M48" i="1"/>
  <c r="N47" i="1"/>
  <c r="N47" i="22" l="1"/>
  <c r="M48" i="22"/>
  <c r="K46" i="22"/>
  <c r="L45" i="22"/>
  <c r="V47" i="22"/>
  <c r="U48" i="22"/>
  <c r="O47" i="22"/>
  <c r="P46" i="22"/>
  <c r="R49" i="22"/>
  <c r="Q50" i="22"/>
  <c r="K46" i="1"/>
  <c r="L45" i="1"/>
  <c r="R48" i="1"/>
  <c r="Q49" i="1"/>
  <c r="U47" i="1"/>
  <c r="V46" i="1"/>
  <c r="T48" i="22"/>
  <c r="S49" i="22"/>
  <c r="P48" i="1"/>
  <c r="O49" i="1"/>
  <c r="S49" i="1"/>
  <c r="T48" i="1"/>
  <c r="N48" i="1"/>
  <c r="M49" i="1"/>
  <c r="N48" i="22" l="1"/>
  <c r="M49" i="22"/>
  <c r="P47" i="22"/>
  <c r="O48" i="22"/>
  <c r="U49" i="22"/>
  <c r="V48" i="22"/>
  <c r="L46" i="22"/>
  <c r="K47" i="22"/>
  <c r="R50" i="22"/>
  <c r="Q51" i="22"/>
  <c r="V47" i="1"/>
  <c r="U48" i="1"/>
  <c r="K47" i="1"/>
  <c r="L46" i="1"/>
  <c r="Q50" i="1"/>
  <c r="R49" i="1"/>
  <c r="T49" i="22"/>
  <c r="S50" i="22"/>
  <c r="S50" i="1"/>
  <c r="T49" i="1"/>
  <c r="P49" i="1"/>
  <c r="O50" i="1"/>
  <c r="M50" i="1"/>
  <c r="N49" i="1"/>
  <c r="M50" i="22" l="1"/>
  <c r="N49" i="22"/>
  <c r="L47" i="22"/>
  <c r="K48" i="22"/>
  <c r="P48" i="22"/>
  <c r="O49" i="22"/>
  <c r="V49" i="22"/>
  <c r="U50" i="22"/>
  <c r="Q52" i="22"/>
  <c r="R51" i="22"/>
  <c r="Q51" i="1"/>
  <c r="R50" i="1"/>
  <c r="K48" i="1"/>
  <c r="L47" i="1"/>
  <c r="V48" i="1"/>
  <c r="U49" i="1"/>
  <c r="S51" i="22"/>
  <c r="T50" i="22"/>
  <c r="O51" i="1"/>
  <c r="P50" i="1"/>
  <c r="S51" i="1"/>
  <c r="T50" i="1"/>
  <c r="M51" i="1"/>
  <c r="N50" i="1"/>
  <c r="M51" i="22" l="1"/>
  <c r="N50" i="22"/>
  <c r="V50" i="22"/>
  <c r="U51" i="22"/>
  <c r="P49" i="22"/>
  <c r="O50" i="22"/>
  <c r="K49" i="22"/>
  <c r="L48" i="22"/>
  <c r="R52" i="22"/>
  <c r="Q53" i="22"/>
  <c r="L48" i="1"/>
  <c r="K49" i="1"/>
  <c r="Q52" i="1"/>
  <c r="R51" i="1"/>
  <c r="U50" i="1"/>
  <c r="V49" i="1"/>
  <c r="S52" i="22"/>
  <c r="T51" i="22"/>
  <c r="S52" i="1"/>
  <c r="T51" i="1"/>
  <c r="P51" i="1"/>
  <c r="O52" i="1"/>
  <c r="N51" i="1"/>
  <c r="M52" i="1"/>
  <c r="M52" i="22" l="1"/>
  <c r="N51" i="22"/>
  <c r="O51" i="22"/>
  <c r="P50" i="22"/>
  <c r="V51" i="22"/>
  <c r="U52" i="22"/>
  <c r="L49" i="22"/>
  <c r="K50" i="22"/>
  <c r="R53" i="22"/>
  <c r="Q54" i="22"/>
  <c r="U51" i="1"/>
  <c r="V50" i="1"/>
  <c r="Q53" i="1"/>
  <c r="R52" i="1"/>
  <c r="L49" i="1"/>
  <c r="K50" i="1"/>
  <c r="T52" i="22"/>
  <c r="S53" i="22"/>
  <c r="P52" i="1"/>
  <c r="O53" i="1"/>
  <c r="S53" i="1"/>
  <c r="T52" i="1"/>
  <c r="N52" i="1"/>
  <c r="M53" i="1"/>
  <c r="N52" i="22" l="1"/>
  <c r="M53" i="22"/>
  <c r="L50" i="22"/>
  <c r="K51" i="22"/>
  <c r="V52" i="22"/>
  <c r="U53" i="22"/>
  <c r="O52" i="22"/>
  <c r="P51" i="22"/>
  <c r="R54" i="22"/>
  <c r="Q55" i="22"/>
  <c r="R53" i="1"/>
  <c r="Q54" i="1"/>
  <c r="U52" i="1"/>
  <c r="V51" i="1"/>
  <c r="L50" i="1"/>
  <c r="K51" i="1"/>
  <c r="T53" i="22"/>
  <c r="S54" i="22"/>
  <c r="O54" i="1"/>
  <c r="P53" i="1"/>
  <c r="S54" i="1"/>
  <c r="T53" i="1"/>
  <c r="N53" i="1"/>
  <c r="M54" i="1"/>
  <c r="M54" i="22" l="1"/>
  <c r="N53" i="22"/>
  <c r="U54" i="22"/>
  <c r="V53" i="22"/>
  <c r="K52" i="22"/>
  <c r="L51" i="22"/>
  <c r="P52" i="22"/>
  <c r="O53" i="22"/>
  <c r="Q56" i="22"/>
  <c r="R55" i="22"/>
  <c r="V52" i="1"/>
  <c r="U53" i="1"/>
  <c r="K52" i="1"/>
  <c r="L51" i="1"/>
  <c r="Q55" i="1"/>
  <c r="R54" i="1"/>
  <c r="S55" i="22"/>
  <c r="T54" i="22"/>
  <c r="S55" i="1"/>
  <c r="T54" i="1"/>
  <c r="O55" i="1"/>
  <c r="P54" i="1"/>
  <c r="M55" i="1"/>
  <c r="N54" i="1"/>
  <c r="M55" i="22" l="1"/>
  <c r="N54" i="22"/>
  <c r="U55" i="22"/>
  <c r="V54" i="22"/>
  <c r="P53" i="22"/>
  <c r="O54" i="22"/>
  <c r="L52" i="22"/>
  <c r="K53" i="22"/>
  <c r="R56" i="22"/>
  <c r="Q57" i="22"/>
  <c r="Q56" i="1"/>
  <c r="R55" i="1"/>
  <c r="L52" i="1"/>
  <c r="K53" i="1"/>
  <c r="U54" i="1"/>
  <c r="V53" i="1"/>
  <c r="S56" i="22"/>
  <c r="T55" i="22"/>
  <c r="O56" i="1"/>
  <c r="P55" i="1"/>
  <c r="T55" i="1"/>
  <c r="S56" i="1"/>
  <c r="M56" i="1"/>
  <c r="N55" i="1"/>
  <c r="M56" i="22" l="1"/>
  <c r="N55" i="22"/>
  <c r="O55" i="22"/>
  <c r="P54" i="22"/>
  <c r="K54" i="22"/>
  <c r="L53" i="22"/>
  <c r="U56" i="22"/>
  <c r="V55" i="22"/>
  <c r="R57" i="22"/>
  <c r="Q58" i="22"/>
  <c r="V54" i="1"/>
  <c r="U55" i="1"/>
  <c r="R56" i="1"/>
  <c r="Q57" i="1"/>
  <c r="L53" i="1"/>
  <c r="K54" i="1"/>
  <c r="T56" i="22"/>
  <c r="S57" i="22"/>
  <c r="P56" i="1"/>
  <c r="O57" i="1"/>
  <c r="T56" i="1"/>
  <c r="S57" i="1"/>
  <c r="M57" i="1"/>
  <c r="N56" i="1"/>
  <c r="N56" i="22" l="1"/>
  <c r="M57" i="22"/>
  <c r="O56" i="22"/>
  <c r="P55" i="22"/>
  <c r="U57" i="22"/>
  <c r="V56" i="22"/>
  <c r="L54" i="22"/>
  <c r="K55" i="22"/>
  <c r="Q59" i="22"/>
  <c r="R58" i="22"/>
  <c r="L54" i="1"/>
  <c r="K55" i="1"/>
  <c r="Q58" i="1"/>
  <c r="R57" i="1"/>
  <c r="V55" i="1"/>
  <c r="U56" i="1"/>
  <c r="S58" i="22"/>
  <c r="T57" i="22"/>
  <c r="S58" i="1"/>
  <c r="T57" i="1"/>
  <c r="O58" i="1"/>
  <c r="P57" i="1"/>
  <c r="N57" i="1"/>
  <c r="M58" i="1"/>
  <c r="M58" i="22" l="1"/>
  <c r="N57" i="22"/>
  <c r="K56" i="22"/>
  <c r="L55" i="22"/>
  <c r="O57" i="22"/>
  <c r="P56" i="22"/>
  <c r="V57" i="22"/>
  <c r="U58" i="22"/>
  <c r="Q60" i="22"/>
  <c r="R59" i="22"/>
  <c r="Q59" i="1"/>
  <c r="R58" i="1"/>
  <c r="V56" i="1"/>
  <c r="U57" i="1"/>
  <c r="K56" i="1"/>
  <c r="L55" i="1"/>
  <c r="T58" i="22"/>
  <c r="S59" i="22"/>
  <c r="P58" i="1"/>
  <c r="O59" i="1"/>
  <c r="T58" i="1"/>
  <c r="S59" i="1"/>
  <c r="M59" i="1"/>
  <c r="N58" i="1"/>
  <c r="M59" i="22" l="1"/>
  <c r="N58" i="22"/>
  <c r="U59" i="22"/>
  <c r="V58" i="22"/>
  <c r="L56" i="22"/>
  <c r="K57" i="22"/>
  <c r="O58" i="22"/>
  <c r="P57" i="22"/>
  <c r="Q61" i="22"/>
  <c r="R60" i="22"/>
  <c r="L56" i="1"/>
  <c r="K57" i="1"/>
  <c r="R59" i="1"/>
  <c r="Q60" i="1"/>
  <c r="V57" i="1"/>
  <c r="U58" i="1"/>
  <c r="S60" i="22"/>
  <c r="T59" i="22"/>
  <c r="T59" i="1"/>
  <c r="S60" i="1"/>
  <c r="O60" i="1"/>
  <c r="P59" i="1"/>
  <c r="N59" i="1"/>
  <c r="M60" i="1"/>
  <c r="N59" i="22" l="1"/>
  <c r="M60" i="22"/>
  <c r="P58" i="22"/>
  <c r="O59" i="22"/>
  <c r="L57" i="22"/>
  <c r="K58" i="22"/>
  <c r="U60" i="22"/>
  <c r="V59" i="22"/>
  <c r="R61" i="22"/>
  <c r="Q62" i="22"/>
  <c r="V58" i="1"/>
  <c r="U59" i="1"/>
  <c r="Q61" i="1"/>
  <c r="R60" i="1"/>
  <c r="L57" i="1"/>
  <c r="K58" i="1"/>
  <c r="S61" i="22"/>
  <c r="T60" i="22"/>
  <c r="S61" i="1"/>
  <c r="T60" i="1"/>
  <c r="O61" i="1"/>
  <c r="P60" i="1"/>
  <c r="M61" i="1"/>
  <c r="N60" i="1"/>
  <c r="M61" i="22" l="1"/>
  <c r="N60" i="22"/>
  <c r="P59" i="22"/>
  <c r="O60" i="22"/>
  <c r="L58" i="22"/>
  <c r="K59" i="22"/>
  <c r="V60" i="22"/>
  <c r="U61" i="22"/>
  <c r="R62" i="22"/>
  <c r="Q63" i="22"/>
  <c r="Q62" i="1"/>
  <c r="R61" i="1"/>
  <c r="L58" i="1"/>
  <c r="K59" i="1"/>
  <c r="V59" i="1"/>
  <c r="U60" i="1"/>
  <c r="S62" i="22"/>
  <c r="T61" i="22"/>
  <c r="O62" i="1"/>
  <c r="P61" i="1"/>
  <c r="S62" i="1"/>
  <c r="T61" i="1"/>
  <c r="M62" i="1"/>
  <c r="N61" i="1"/>
  <c r="N61" i="22" l="1"/>
  <c r="M62" i="22"/>
  <c r="U62" i="22"/>
  <c r="V61" i="22"/>
  <c r="L59" i="22"/>
  <c r="K60" i="22"/>
  <c r="O61" i="22"/>
  <c r="P60" i="22"/>
  <c r="R63" i="22"/>
  <c r="Q64" i="22"/>
  <c r="Q63" i="1"/>
  <c r="R62" i="1"/>
  <c r="V60" i="1"/>
  <c r="U61" i="1"/>
  <c r="L59" i="1"/>
  <c r="K60" i="1"/>
  <c r="T62" i="22"/>
  <c r="S63" i="22"/>
  <c r="T62" i="1"/>
  <c r="S63" i="1"/>
  <c r="P62" i="1"/>
  <c r="O63" i="1"/>
  <c r="M63" i="1"/>
  <c r="N62" i="1"/>
  <c r="N62" i="22" l="1"/>
  <c r="M63" i="22"/>
  <c r="O62" i="22"/>
  <c r="P61" i="22"/>
  <c r="L60" i="22"/>
  <c r="K61" i="22"/>
  <c r="V62" i="22"/>
  <c r="U63" i="22"/>
  <c r="R64" i="22"/>
  <c r="Q65" i="22"/>
  <c r="R63" i="1"/>
  <c r="Q64" i="1"/>
  <c r="L60" i="1"/>
  <c r="K61" i="1"/>
  <c r="U62" i="1"/>
  <c r="V61" i="1"/>
  <c r="T63" i="22"/>
  <c r="S64" i="22"/>
  <c r="P63" i="1"/>
  <c r="O64" i="1"/>
  <c r="S64" i="1"/>
  <c r="T63" i="1"/>
  <c r="M64" i="1"/>
  <c r="N63" i="1"/>
  <c r="N63" i="22" l="1"/>
  <c r="M64" i="22"/>
  <c r="V63" i="22"/>
  <c r="U64" i="22"/>
  <c r="L61" i="22"/>
  <c r="K62" i="22"/>
  <c r="O63" i="22"/>
  <c r="P62" i="22"/>
  <c r="R65" i="22"/>
  <c r="Q66" i="22"/>
  <c r="V62" i="1"/>
  <c r="U63" i="1"/>
  <c r="K62" i="1"/>
  <c r="L61" i="1"/>
  <c r="R64" i="1"/>
  <c r="Q65" i="1"/>
  <c r="S65" i="22"/>
  <c r="T64" i="22"/>
  <c r="S65" i="1"/>
  <c r="T64" i="1"/>
  <c r="O65" i="1"/>
  <c r="P64" i="1"/>
  <c r="M65" i="1"/>
  <c r="N64" i="1"/>
  <c r="N64" i="22" l="1"/>
  <c r="M65" i="22"/>
  <c r="L62" i="22"/>
  <c r="K63" i="22"/>
  <c r="V64" i="22"/>
  <c r="U65" i="22"/>
  <c r="P63" i="22"/>
  <c r="O64" i="22"/>
  <c r="Q67" i="22"/>
  <c r="R66" i="22"/>
  <c r="K63" i="1"/>
  <c r="L62" i="1"/>
  <c r="R65" i="1"/>
  <c r="Q66" i="1"/>
  <c r="U64" i="1"/>
  <c r="V63" i="1"/>
  <c r="S66" i="22"/>
  <c r="T65" i="22"/>
  <c r="P65" i="1"/>
  <c r="O66" i="1"/>
  <c r="T65" i="1"/>
  <c r="S66" i="1"/>
  <c r="N65" i="1"/>
  <c r="M66" i="1"/>
  <c r="N65" i="22" l="1"/>
  <c r="M66" i="22"/>
  <c r="L63" i="22"/>
  <c r="K64" i="22"/>
  <c r="U66" i="22"/>
  <c r="V65" i="22"/>
  <c r="O65" i="22"/>
  <c r="P64" i="22"/>
  <c r="Q68" i="22"/>
  <c r="R67" i="22"/>
  <c r="U65" i="1"/>
  <c r="V64" i="1"/>
  <c r="L63" i="1"/>
  <c r="K64" i="1"/>
  <c r="R66" i="1"/>
  <c r="Q67" i="1"/>
  <c r="S67" i="22"/>
  <c r="T66" i="22"/>
  <c r="S67" i="1"/>
  <c r="T66" i="1"/>
  <c r="P66" i="1"/>
  <c r="O67" i="1"/>
  <c r="M67" i="1"/>
  <c r="N66" i="1"/>
  <c r="M67" i="22" l="1"/>
  <c r="N66" i="22"/>
  <c r="O66" i="22"/>
  <c r="P65" i="22"/>
  <c r="L64" i="22"/>
  <c r="K65" i="22"/>
  <c r="V66" i="22"/>
  <c r="U67" i="22"/>
  <c r="Q69" i="22"/>
  <c r="R68" i="22"/>
  <c r="V65" i="1"/>
  <c r="U66" i="1"/>
  <c r="R67" i="1"/>
  <c r="Q68" i="1"/>
  <c r="K65" i="1"/>
  <c r="L64" i="1"/>
  <c r="T67" i="22"/>
  <c r="S68" i="22"/>
  <c r="T67" i="1"/>
  <c r="S68" i="1"/>
  <c r="O68" i="1"/>
  <c r="P67" i="1"/>
  <c r="M68" i="1"/>
  <c r="N67" i="1"/>
  <c r="M68" i="22" l="1"/>
  <c r="N67" i="22"/>
  <c r="P66" i="22"/>
  <c r="O67" i="22"/>
  <c r="K66" i="22"/>
  <c r="L65" i="22"/>
  <c r="V67" i="22"/>
  <c r="U68" i="22"/>
  <c r="R69" i="22"/>
  <c r="Q70" i="22"/>
  <c r="L65" i="1"/>
  <c r="K66" i="1"/>
  <c r="R68" i="1"/>
  <c r="Q69" i="1"/>
  <c r="V66" i="1"/>
  <c r="U67" i="1"/>
  <c r="S69" i="22"/>
  <c r="T68" i="22"/>
  <c r="T68" i="1"/>
  <c r="S69" i="1"/>
  <c r="O69" i="1"/>
  <c r="P68" i="1"/>
  <c r="N68" i="1"/>
  <c r="M69" i="1"/>
  <c r="N68" i="22" l="1"/>
  <c r="M69" i="22"/>
  <c r="V68" i="22"/>
  <c r="U69" i="22"/>
  <c r="O68" i="22"/>
  <c r="P67" i="22"/>
  <c r="K67" i="22"/>
  <c r="L66" i="22"/>
  <c r="R70" i="22"/>
  <c r="Q71" i="22"/>
  <c r="U68" i="1"/>
  <c r="V67" i="1"/>
  <c r="R69" i="1"/>
  <c r="Q70" i="1"/>
  <c r="L66" i="1"/>
  <c r="K67" i="1"/>
  <c r="T69" i="22"/>
  <c r="S70" i="22"/>
  <c r="S70" i="1"/>
  <c r="T69" i="1"/>
  <c r="P69" i="1"/>
  <c r="O70" i="1"/>
  <c r="M70" i="1"/>
  <c r="N69" i="1"/>
  <c r="M70" i="22" l="1"/>
  <c r="N69" i="22"/>
  <c r="U70" i="22"/>
  <c r="V69" i="22"/>
  <c r="L67" i="22"/>
  <c r="K68" i="22"/>
  <c r="P68" i="22"/>
  <c r="O69" i="22"/>
  <c r="Q72" i="22"/>
  <c r="R71" i="22"/>
  <c r="V68" i="1"/>
  <c r="U69" i="1"/>
  <c r="K68" i="1"/>
  <c r="L67" i="1"/>
  <c r="R70" i="1"/>
  <c r="Q71" i="1"/>
  <c r="T70" i="22"/>
  <c r="S71" i="22"/>
  <c r="O71" i="1"/>
  <c r="P70" i="1"/>
  <c r="T70" i="1"/>
  <c r="S71" i="1"/>
  <c r="N70" i="1"/>
  <c r="M71" i="1"/>
  <c r="M71" i="22" l="1"/>
  <c r="N70" i="22"/>
  <c r="O70" i="22"/>
  <c r="P69" i="22"/>
  <c r="V70" i="22"/>
  <c r="U71" i="22"/>
  <c r="L68" i="22"/>
  <c r="K69" i="22"/>
  <c r="R72" i="22"/>
  <c r="Q73" i="22"/>
  <c r="K69" i="1"/>
  <c r="L68" i="1"/>
  <c r="Q72" i="1"/>
  <c r="R71" i="1"/>
  <c r="U70" i="1"/>
  <c r="V69" i="1"/>
  <c r="T71" i="22"/>
  <c r="S72" i="22"/>
  <c r="T71" i="1"/>
  <c r="S72" i="1"/>
  <c r="O72" i="1"/>
  <c r="P71" i="1"/>
  <c r="N71" i="1"/>
  <c r="M72" i="1"/>
  <c r="M72" i="22" l="1"/>
  <c r="N71" i="22"/>
  <c r="P70" i="22"/>
  <c r="O71" i="22"/>
  <c r="U72" i="22"/>
  <c r="V71" i="22"/>
  <c r="L69" i="22"/>
  <c r="K70" i="22"/>
  <c r="Q74" i="22"/>
  <c r="R73" i="22"/>
  <c r="V70" i="1"/>
  <c r="U71" i="1"/>
  <c r="R72" i="1"/>
  <c r="Q73" i="1"/>
  <c r="L69" i="1"/>
  <c r="K70" i="1"/>
  <c r="T72" i="22"/>
  <c r="S73" i="22"/>
  <c r="O73" i="1"/>
  <c r="P72" i="1"/>
  <c r="T72" i="1"/>
  <c r="S73" i="1"/>
  <c r="N72" i="1"/>
  <c r="M73" i="1"/>
  <c r="N72" i="22" l="1"/>
  <c r="M73" i="22"/>
  <c r="L70" i="22"/>
  <c r="K71" i="22"/>
  <c r="O72" i="22"/>
  <c r="P71" i="22"/>
  <c r="V72" i="22"/>
  <c r="U73" i="22"/>
  <c r="R74" i="22"/>
  <c r="Q75" i="22"/>
  <c r="K71" i="1"/>
  <c r="L70" i="1"/>
  <c r="R73" i="1"/>
  <c r="Q74" i="1"/>
  <c r="Q75" i="1" s="1"/>
  <c r="U72" i="1"/>
  <c r="V71" i="1"/>
  <c r="T73" i="22"/>
  <c r="S74" i="22"/>
  <c r="O74" i="1"/>
  <c r="O75" i="1" s="1"/>
  <c r="P73" i="1"/>
  <c r="S74" i="1"/>
  <c r="S75" i="1" s="1"/>
  <c r="T73" i="1"/>
  <c r="M74" i="1"/>
  <c r="N73" i="1"/>
  <c r="O76" i="1" l="1"/>
  <c r="P75" i="1"/>
  <c r="R75" i="1"/>
  <c r="Q76" i="1"/>
  <c r="S76" i="1"/>
  <c r="T75" i="1"/>
  <c r="M74" i="22"/>
  <c r="N73" i="22"/>
  <c r="K72" i="22"/>
  <c r="L71" i="22"/>
  <c r="U74" i="22"/>
  <c r="V73" i="22"/>
  <c r="P72" i="22"/>
  <c r="O73" i="22"/>
  <c r="Q76" i="22"/>
  <c r="R75" i="22"/>
  <c r="U73" i="1"/>
  <c r="V72" i="1"/>
  <c r="K72" i="1"/>
  <c r="L71" i="1"/>
  <c r="R74" i="1"/>
  <c r="T74" i="22"/>
  <c r="S75" i="22"/>
  <c r="T74" i="1"/>
  <c r="P74" i="1"/>
  <c r="N74" i="1"/>
  <c r="M75" i="1"/>
  <c r="N75" i="1" s="1"/>
  <c r="Q77" i="1" l="1"/>
  <c r="R76" i="1"/>
  <c r="T76" i="1"/>
  <c r="S77" i="1"/>
  <c r="O77" i="1"/>
  <c r="P76" i="1"/>
  <c r="M75" i="22"/>
  <c r="N74" i="22"/>
  <c r="O74" i="22"/>
  <c r="P73" i="22"/>
  <c r="K73" i="22"/>
  <c r="L72" i="22"/>
  <c r="U75" i="22"/>
  <c r="V74" i="22"/>
  <c r="R76" i="22"/>
  <c r="Q77" i="22"/>
  <c r="L72" i="1"/>
  <c r="K73" i="1"/>
  <c r="U74" i="1"/>
  <c r="U75" i="1" s="1"/>
  <c r="V73" i="1"/>
  <c r="T75" i="22"/>
  <c r="S76" i="22"/>
  <c r="M76" i="1"/>
  <c r="N76" i="1" s="1"/>
  <c r="T77" i="1" l="1"/>
  <c r="S78" i="1"/>
  <c r="V75" i="1"/>
  <c r="U76" i="1"/>
  <c r="O78" i="1"/>
  <c r="P77" i="1"/>
  <c r="Q78" i="1"/>
  <c r="R77" i="1"/>
  <c r="N75" i="22"/>
  <c r="M76" i="22"/>
  <c r="U76" i="22"/>
  <c r="V75" i="22"/>
  <c r="O75" i="22"/>
  <c r="P74" i="22"/>
  <c r="L73" i="22"/>
  <c r="K74" i="22"/>
  <c r="R77" i="22"/>
  <c r="Q78" i="22"/>
  <c r="V74" i="1"/>
  <c r="L73" i="1"/>
  <c r="K74" i="1"/>
  <c r="S77" i="22"/>
  <c r="T76" i="22"/>
  <c r="M77" i="1"/>
  <c r="N77" i="1" s="1"/>
  <c r="U77" i="1" l="1"/>
  <c r="V76" i="1"/>
  <c r="R78" i="1"/>
  <c r="Q79" i="1"/>
  <c r="S79" i="1"/>
  <c r="T78" i="1"/>
  <c r="O79" i="1"/>
  <c r="P78" i="1"/>
  <c r="M77" i="22"/>
  <c r="N76" i="22"/>
  <c r="K75" i="22"/>
  <c r="L74" i="22"/>
  <c r="V76" i="22"/>
  <c r="U77" i="22"/>
  <c r="O76" i="22"/>
  <c r="P75" i="22"/>
  <c r="R78" i="22"/>
  <c r="Q79" i="22"/>
  <c r="L74" i="1"/>
  <c r="K75" i="1"/>
  <c r="S78" i="22"/>
  <c r="T77" i="22"/>
  <c r="M78" i="1"/>
  <c r="N78" i="1" s="1"/>
  <c r="R79" i="1" l="1"/>
  <c r="Q80" i="1"/>
  <c r="O80" i="1"/>
  <c r="P79" i="1"/>
  <c r="S80" i="1"/>
  <c r="T79" i="1"/>
  <c r="U78" i="1"/>
  <c r="V77" i="1"/>
  <c r="N77" i="22"/>
  <c r="M78" i="22"/>
  <c r="L75" i="22"/>
  <c r="K76" i="22"/>
  <c r="U78" i="22"/>
  <c r="V77" i="22"/>
  <c r="O77" i="22"/>
  <c r="P76" i="22"/>
  <c r="R79" i="22"/>
  <c r="Q80" i="22"/>
  <c r="K76" i="1"/>
  <c r="L75" i="1"/>
  <c r="T78" i="22"/>
  <c r="S79" i="22"/>
  <c r="M79" i="1"/>
  <c r="N79" i="1" s="1"/>
  <c r="V78" i="1" l="1"/>
  <c r="U79" i="1"/>
  <c r="O81" i="1"/>
  <c r="P80" i="1"/>
  <c r="Q81" i="1"/>
  <c r="R80" i="1"/>
  <c r="T80" i="1"/>
  <c r="S81" i="1"/>
  <c r="N78" i="22"/>
  <c r="M79" i="22"/>
  <c r="K77" i="22"/>
  <c r="L76" i="22"/>
  <c r="P77" i="22"/>
  <c r="O78" i="22"/>
  <c r="V78" i="22"/>
  <c r="U79" i="22"/>
  <c r="R80" i="22"/>
  <c r="Q81" i="22"/>
  <c r="L76" i="1"/>
  <c r="K77" i="1"/>
  <c r="S80" i="22"/>
  <c r="T79" i="22"/>
  <c r="M80" i="1"/>
  <c r="T81" i="1" l="1"/>
  <c r="S82" i="1"/>
  <c r="O82" i="1"/>
  <c r="P81" i="1"/>
  <c r="V79" i="1"/>
  <c r="U80" i="1"/>
  <c r="M81" i="1"/>
  <c r="N80" i="1"/>
  <c r="Q82" i="1"/>
  <c r="R81" i="1"/>
  <c r="M80" i="22"/>
  <c r="N79" i="22"/>
  <c r="V79" i="22"/>
  <c r="U80" i="22"/>
  <c r="P78" i="22"/>
  <c r="O79" i="22"/>
  <c r="K78" i="22"/>
  <c r="L77" i="22"/>
  <c r="R81" i="22"/>
  <c r="Q82" i="22"/>
  <c r="K78" i="1"/>
  <c r="L77" i="1"/>
  <c r="T80" i="22"/>
  <c r="S81" i="22"/>
  <c r="M82" i="1" l="1"/>
  <c r="N81" i="1"/>
  <c r="O83" i="1"/>
  <c r="P82" i="1"/>
  <c r="U81" i="1"/>
  <c r="V80" i="1"/>
  <c r="S83" i="1"/>
  <c r="T82" i="1"/>
  <c r="R82" i="1"/>
  <c r="Q83" i="1"/>
  <c r="M81" i="22"/>
  <c r="N80" i="22"/>
  <c r="O80" i="22"/>
  <c r="P79" i="22"/>
  <c r="V80" i="22"/>
  <c r="U81" i="22"/>
  <c r="K79" i="22"/>
  <c r="L78" i="22"/>
  <c r="R82" i="22"/>
  <c r="Q83" i="22"/>
  <c r="K79" i="1"/>
  <c r="L78" i="1"/>
  <c r="T81" i="22"/>
  <c r="S82" i="22"/>
  <c r="S84" i="1" l="1"/>
  <c r="T83" i="1"/>
  <c r="P83" i="1"/>
  <c r="O84" i="1"/>
  <c r="R83" i="1"/>
  <c r="Q84" i="1"/>
  <c r="U82" i="1"/>
  <c r="V81" i="1"/>
  <c r="M83" i="1"/>
  <c r="N82" i="1"/>
  <c r="N81" i="22"/>
  <c r="M82" i="22"/>
  <c r="O81" i="22"/>
  <c r="P80" i="22"/>
  <c r="V81" i="22"/>
  <c r="U82" i="22"/>
  <c r="K80" i="22"/>
  <c r="L79" i="22"/>
  <c r="Q84" i="22"/>
  <c r="R83" i="22"/>
  <c r="K80" i="1"/>
  <c r="L79" i="1"/>
  <c r="S83" i="22"/>
  <c r="T82" i="22"/>
  <c r="P84" i="1" l="1"/>
  <c r="O85" i="1"/>
  <c r="V82" i="1"/>
  <c r="U83" i="1"/>
  <c r="R84" i="1"/>
  <c r="Q85" i="1"/>
  <c r="K81" i="1"/>
  <c r="L80" i="1"/>
  <c r="M84" i="1"/>
  <c r="N83" i="1"/>
  <c r="T84" i="1"/>
  <c r="S85" i="1"/>
  <c r="N82" i="22"/>
  <c r="M83" i="22"/>
  <c r="K81" i="22"/>
  <c r="L80" i="22"/>
  <c r="V82" i="22"/>
  <c r="U83" i="22"/>
  <c r="P81" i="22"/>
  <c r="O82" i="22"/>
  <c r="R84" i="22"/>
  <c r="Q85" i="22"/>
  <c r="S84" i="22"/>
  <c r="T83" i="22"/>
  <c r="T85" i="1" l="1"/>
  <c r="S86" i="1"/>
  <c r="U84" i="1"/>
  <c r="V83" i="1"/>
  <c r="K82" i="1"/>
  <c r="L81" i="1"/>
  <c r="Q86" i="1"/>
  <c r="R85" i="1"/>
  <c r="P85" i="1"/>
  <c r="O86" i="1"/>
  <c r="M85" i="1"/>
  <c r="N84" i="1"/>
  <c r="M84" i="22"/>
  <c r="N83" i="22"/>
  <c r="U84" i="22"/>
  <c r="V83" i="22"/>
  <c r="O83" i="22"/>
  <c r="P82" i="22"/>
  <c r="K82" i="22"/>
  <c r="L81" i="22"/>
  <c r="Q86" i="22"/>
  <c r="Q87" i="22" s="1"/>
  <c r="R85" i="22"/>
  <c r="S85" i="22"/>
  <c r="T84" i="22"/>
  <c r="M86" i="1" l="1"/>
  <c r="N85" i="1"/>
  <c r="R86" i="1"/>
  <c r="Q87" i="1"/>
  <c r="U85" i="1"/>
  <c r="V84" i="1"/>
  <c r="P86" i="1"/>
  <c r="O87" i="1"/>
  <c r="S87" i="1"/>
  <c r="T86" i="1"/>
  <c r="L82" i="1"/>
  <c r="K83" i="1"/>
  <c r="R87" i="22"/>
  <c r="Q88" i="22"/>
  <c r="M85" i="22"/>
  <c r="N84" i="22"/>
  <c r="L82" i="22"/>
  <c r="K83" i="22"/>
  <c r="U85" i="22"/>
  <c r="V84" i="22"/>
  <c r="O84" i="22"/>
  <c r="P83" i="22"/>
  <c r="R86" i="22"/>
  <c r="T85" i="22"/>
  <c r="S86" i="22"/>
  <c r="S87" i="22" s="1"/>
  <c r="P87" i="1" l="1"/>
  <c r="O88" i="1"/>
  <c r="R87" i="1"/>
  <c r="Q88" i="1"/>
  <c r="K84" i="1"/>
  <c r="L83" i="1"/>
  <c r="S88" i="1"/>
  <c r="T87" i="1"/>
  <c r="U86" i="1"/>
  <c r="V85" i="1"/>
  <c r="M87" i="1"/>
  <c r="N86" i="1"/>
  <c r="Q89" i="22"/>
  <c r="R88" i="22"/>
  <c r="S88" i="22"/>
  <c r="T87" i="22"/>
  <c r="M86" i="22"/>
  <c r="M87" i="22" s="1"/>
  <c r="N85" i="22"/>
  <c r="P84" i="22"/>
  <c r="O85" i="22"/>
  <c r="K84" i="22"/>
  <c r="L83" i="22"/>
  <c r="V85" i="22"/>
  <c r="U86" i="22"/>
  <c r="U87" i="22" s="1"/>
  <c r="T86" i="22"/>
  <c r="Q89" i="1" l="1"/>
  <c r="R88" i="1"/>
  <c r="M88" i="1"/>
  <c r="N87" i="1"/>
  <c r="T88" i="1"/>
  <c r="S89" i="1"/>
  <c r="P88" i="1"/>
  <c r="O89" i="1"/>
  <c r="V86" i="1"/>
  <c r="U87" i="1"/>
  <c r="K85" i="1"/>
  <c r="L84" i="1"/>
  <c r="U88" i="22"/>
  <c r="V87" i="22"/>
  <c r="S89" i="22"/>
  <c r="T88" i="22"/>
  <c r="M88" i="22"/>
  <c r="N87" i="22"/>
  <c r="R89" i="22"/>
  <c r="Q90" i="22"/>
  <c r="N86" i="22"/>
  <c r="K85" i="22"/>
  <c r="L84" i="22"/>
  <c r="V86" i="22"/>
  <c r="P85" i="22"/>
  <c r="O86" i="22"/>
  <c r="O87" i="22" s="1"/>
  <c r="P89" i="1" l="1"/>
  <c r="O90" i="1"/>
  <c r="L85" i="1"/>
  <c r="K86" i="1"/>
  <c r="M89" i="1"/>
  <c r="N88" i="1"/>
  <c r="V87" i="1"/>
  <c r="U88" i="1"/>
  <c r="T89" i="1"/>
  <c r="S90" i="1"/>
  <c r="Q90" i="1"/>
  <c r="R89" i="1"/>
  <c r="Q91" i="22"/>
  <c r="R90" i="22"/>
  <c r="S90" i="22"/>
  <c r="T89" i="22"/>
  <c r="O88" i="22"/>
  <c r="P87" i="22"/>
  <c r="M89" i="22"/>
  <c r="N88" i="22"/>
  <c r="V88" i="22"/>
  <c r="U89" i="22"/>
  <c r="P86" i="22"/>
  <c r="L85" i="22"/>
  <c r="K86" i="22"/>
  <c r="K87" i="22" s="1"/>
  <c r="U89" i="1" l="1"/>
  <c r="V88" i="1"/>
  <c r="K87" i="1"/>
  <c r="L86" i="1"/>
  <c r="R90" i="1"/>
  <c r="Q91" i="1"/>
  <c r="S91" i="1"/>
  <c r="T90" i="1"/>
  <c r="P90" i="1"/>
  <c r="O91" i="1"/>
  <c r="M90" i="1"/>
  <c r="N89" i="1"/>
  <c r="M90" i="22"/>
  <c r="N89" i="22"/>
  <c r="S91" i="22"/>
  <c r="T90" i="22"/>
  <c r="U90" i="22"/>
  <c r="V89" i="22"/>
  <c r="L87" i="22"/>
  <c r="K88" i="22"/>
  <c r="P88" i="22"/>
  <c r="O89" i="22"/>
  <c r="Q92" i="22"/>
  <c r="R91" i="22"/>
  <c r="L86" i="22"/>
  <c r="M91" i="1" l="1"/>
  <c r="N90" i="1"/>
  <c r="S92" i="1"/>
  <c r="T91" i="1"/>
  <c r="K88" i="1"/>
  <c r="L87" i="1"/>
  <c r="P91" i="1"/>
  <c r="O92" i="1"/>
  <c r="R91" i="1"/>
  <c r="Q92" i="1"/>
  <c r="U90" i="1"/>
  <c r="V89" i="1"/>
  <c r="K89" i="22"/>
  <c r="L88" i="22"/>
  <c r="Q93" i="22"/>
  <c r="R92" i="22"/>
  <c r="S92" i="22"/>
  <c r="T91" i="22"/>
  <c r="O90" i="22"/>
  <c r="P89" i="22"/>
  <c r="V90" i="22"/>
  <c r="U91" i="22"/>
  <c r="M91" i="22"/>
  <c r="N90" i="22"/>
  <c r="P92" i="1" l="1"/>
  <c r="O93" i="1"/>
  <c r="T92" i="1"/>
  <c r="S93" i="1"/>
  <c r="V90" i="1"/>
  <c r="U91" i="1"/>
  <c r="Q93" i="1"/>
  <c r="R92" i="1"/>
  <c r="K89" i="1"/>
  <c r="L88" i="1"/>
  <c r="M92" i="1"/>
  <c r="N91" i="1"/>
  <c r="M92" i="22"/>
  <c r="N91" i="22"/>
  <c r="O91" i="22"/>
  <c r="P90" i="22"/>
  <c r="Q94" i="22"/>
  <c r="R93" i="22"/>
  <c r="U92" i="22"/>
  <c r="V91" i="22"/>
  <c r="S93" i="22"/>
  <c r="T92" i="22"/>
  <c r="K90" i="22"/>
  <c r="L89" i="22"/>
  <c r="S94" i="1" l="1"/>
  <c r="T93" i="1"/>
  <c r="M93" i="1"/>
  <c r="N92" i="1"/>
  <c r="Q94" i="1"/>
  <c r="R93" i="1"/>
  <c r="V91" i="1"/>
  <c r="U92" i="1"/>
  <c r="P93" i="1"/>
  <c r="O94" i="1"/>
  <c r="L89" i="1"/>
  <c r="K90" i="1"/>
  <c r="K91" i="22"/>
  <c r="L90" i="22"/>
  <c r="U93" i="22"/>
  <c r="V92" i="22"/>
  <c r="O92" i="22"/>
  <c r="P91" i="22"/>
  <c r="S94" i="22"/>
  <c r="T93" i="22"/>
  <c r="Q95" i="22"/>
  <c r="R94" i="22"/>
  <c r="M93" i="22"/>
  <c r="N92" i="22"/>
  <c r="K91" i="1" l="1"/>
  <c r="L90" i="1"/>
  <c r="U93" i="1"/>
  <c r="V92" i="1"/>
  <c r="M94" i="1"/>
  <c r="N93" i="1"/>
  <c r="O95" i="1"/>
  <c r="P94" i="1"/>
  <c r="R94" i="1"/>
  <c r="Q95" i="1"/>
  <c r="S95" i="1"/>
  <c r="T94" i="1"/>
  <c r="M94" i="22"/>
  <c r="N93" i="22"/>
  <c r="S95" i="22"/>
  <c r="T94" i="22"/>
  <c r="U94" i="22"/>
  <c r="V93" i="22"/>
  <c r="Q96" i="22"/>
  <c r="R95" i="22"/>
  <c r="O93" i="22"/>
  <c r="P92" i="22"/>
  <c r="K92" i="22"/>
  <c r="L91" i="22"/>
  <c r="S96" i="1" l="1"/>
  <c r="T95" i="1"/>
  <c r="O96" i="1"/>
  <c r="P95" i="1"/>
  <c r="V93" i="1"/>
  <c r="U94" i="1"/>
  <c r="R95" i="1"/>
  <c r="Q96" i="1"/>
  <c r="M95" i="1"/>
  <c r="N94" i="1"/>
  <c r="K92" i="1"/>
  <c r="L91" i="1"/>
  <c r="K93" i="22"/>
  <c r="L92" i="22"/>
  <c r="Q97" i="22"/>
  <c r="R96" i="22"/>
  <c r="S96" i="22"/>
  <c r="T95" i="22"/>
  <c r="O94" i="22"/>
  <c r="P93" i="22"/>
  <c r="U95" i="22"/>
  <c r="V94" i="22"/>
  <c r="M95" i="22"/>
  <c r="N94" i="22"/>
  <c r="Q97" i="1" l="1"/>
  <c r="R96" i="1"/>
  <c r="K93" i="1"/>
  <c r="L92" i="1"/>
  <c r="O97" i="1"/>
  <c r="P96" i="1"/>
  <c r="V94" i="1"/>
  <c r="U95" i="1"/>
  <c r="M96" i="1"/>
  <c r="N95" i="1"/>
  <c r="T96" i="1"/>
  <c r="S97" i="1"/>
  <c r="M96" i="22"/>
  <c r="N95" i="22"/>
  <c r="O95" i="22"/>
  <c r="P94" i="22"/>
  <c r="Q98" i="22"/>
  <c r="R98" i="22" s="1"/>
  <c r="R97" i="22"/>
  <c r="U96" i="22"/>
  <c r="V95" i="22"/>
  <c r="S97" i="22"/>
  <c r="T96" i="22"/>
  <c r="K94" i="22"/>
  <c r="L93" i="22"/>
  <c r="T97" i="1" l="1"/>
  <c r="S98" i="1"/>
  <c r="T98" i="1" s="1"/>
  <c r="V95" i="1"/>
  <c r="U96" i="1"/>
  <c r="K94" i="1"/>
  <c r="L93" i="1"/>
  <c r="M97" i="1"/>
  <c r="N96" i="1"/>
  <c r="O98" i="1"/>
  <c r="P98" i="1" s="1"/>
  <c r="P97" i="1"/>
  <c r="Q98" i="1"/>
  <c r="R98" i="1" s="1"/>
  <c r="R97" i="1"/>
  <c r="K95" i="22"/>
  <c r="L94" i="22"/>
  <c r="U97" i="22"/>
  <c r="V96" i="22"/>
  <c r="O96" i="22"/>
  <c r="P95" i="22"/>
  <c r="S98" i="22"/>
  <c r="T98" i="22" s="1"/>
  <c r="T97" i="22"/>
  <c r="M97" i="22"/>
  <c r="N96" i="22"/>
  <c r="U97" i="1" l="1"/>
  <c r="V96" i="1"/>
  <c r="M98" i="1"/>
  <c r="N98" i="1" s="1"/>
  <c r="N97" i="1"/>
  <c r="L94" i="1"/>
  <c r="K95" i="1"/>
  <c r="U98" i="22"/>
  <c r="V98" i="22" s="1"/>
  <c r="V97" i="22"/>
  <c r="M98" i="22"/>
  <c r="N98" i="22" s="1"/>
  <c r="N97" i="22"/>
  <c r="O97" i="22"/>
  <c r="P96" i="22"/>
  <c r="K96" i="22"/>
  <c r="L95" i="22"/>
  <c r="L95" i="1" l="1"/>
  <c r="K96" i="1"/>
  <c r="V97" i="1"/>
  <c r="U98" i="1"/>
  <c r="V98" i="1" s="1"/>
  <c r="K97" i="22"/>
  <c r="L96" i="22"/>
  <c r="O98" i="22"/>
  <c r="P98" i="22" s="1"/>
  <c r="P97" i="22"/>
  <c r="K97" i="1" l="1"/>
  <c r="L96" i="1"/>
  <c r="K98" i="22"/>
  <c r="L98" i="22" s="1"/>
  <c r="L97" i="22"/>
  <c r="K98" i="1" l="1"/>
  <c r="L98" i="1" s="1"/>
  <c r="L97" i="1"/>
  <c r="F268" i="30"/>
</calcChain>
</file>

<file path=xl/sharedStrings.xml><?xml version="1.0" encoding="utf-8"?>
<sst xmlns="http://schemas.openxmlformats.org/spreadsheetml/2006/main" count="13084" uniqueCount="1623">
  <si>
    <t xml:space="preserve">  </t>
  </si>
  <si>
    <t>Atmospheric Pressure Change Calculations</t>
  </si>
  <si>
    <t>mph</t>
  </si>
  <si>
    <t>ft</t>
  </si>
  <si>
    <t>lbm/cu ft</t>
  </si>
  <si>
    <t>Air Density</t>
  </si>
  <si>
    <t>Maximum radius</t>
  </si>
  <si>
    <t>=</t>
  </si>
  <si>
    <t>Velocity @ maximum radius</t>
  </si>
  <si>
    <t>Translational velocity</t>
  </si>
  <si>
    <t>Atmospheric Pressure Change</t>
  </si>
  <si>
    <t>APC Rate</t>
  </si>
  <si>
    <t>∂p/∂t</t>
  </si>
  <si>
    <t>Δp</t>
  </si>
  <si>
    <t>psf/sec</t>
  </si>
  <si>
    <t>psf</t>
  </si>
  <si>
    <t>Total velocity</t>
  </si>
  <si>
    <t>ERN 2/3 TX Panhandle</t>
  </si>
  <si>
    <t>WRN 1/3 TX Panhandle</t>
  </si>
  <si>
    <t>Oklahoma Panhandle</t>
  </si>
  <si>
    <t>Threshold**</t>
  </si>
  <si>
    <t>**   Assumes that a tornado has occurred.</t>
  </si>
  <si>
    <t>where:</t>
  </si>
  <si>
    <t>N = number of years of record</t>
  </si>
  <si>
    <t>The total probability of a structure being struck by a tornado with winds exceeding some value u is the sum of the point structure and life-line probabilities:</t>
  </si>
  <si>
    <t>Point Structure Probability:</t>
  </si>
  <si>
    <t>"N" =</t>
  </si>
  <si>
    <t>Area
(sq. mi.)</t>
  </si>
  <si>
    <t>Probability</t>
  </si>
  <si>
    <t>Finite Structure Probability:</t>
  </si>
  <si>
    <t>1.     Point Structure Probability:</t>
  </si>
  <si>
    <t>a.     Strike Probability:</t>
  </si>
  <si>
    <t>b.     Conditional Probabililty:</t>
  </si>
  <si>
    <t>2.     Life-Line (Finite Structure) Probability:</t>
  </si>
  <si>
    <t>3.     TOTAL STRIKE PROBABILITY:</t>
  </si>
  <si>
    <t>10 mi. NE of Lutie</t>
  </si>
  <si>
    <t>6 mi. NW of Canadian</t>
  </si>
  <si>
    <t>5 mi. SSE of Texline</t>
  </si>
  <si>
    <t>4 mi. W of Hooker
Storm Data confirms the NCDC database listed second touchdown at the same time and place.</t>
  </si>
  <si>
    <t>4 mi. E of Claude</t>
  </si>
  <si>
    <t>5 mi. E of Clarendon</t>
  </si>
  <si>
    <t>8 mi. NW of Canyon</t>
  </si>
  <si>
    <t>5 mi. SW of Perryton</t>
  </si>
  <si>
    <t>16 mi. NE of Canadian</t>
  </si>
  <si>
    <t>8 mi. W of Wheeler</t>
  </si>
  <si>
    <t>In Guymon
Minor damage reported.</t>
  </si>
  <si>
    <t>6 mi. N of Stratford</t>
  </si>
  <si>
    <t>In Optima
Minor damage reported.</t>
  </si>
  <si>
    <t>1 mi. S of Sunray</t>
  </si>
  <si>
    <t>Near Tyrone</t>
  </si>
  <si>
    <t>3 mi. W of Beaver</t>
  </si>
  <si>
    <t>2 mi. N of Stinnett</t>
  </si>
  <si>
    <t>6 mi. SE of Slapout</t>
  </si>
  <si>
    <t>10 mi. WSW of Hereford</t>
  </si>
  <si>
    <t xml:space="preserve">ρ </t>
  </si>
  <si>
    <t>Areas obtained from Wikipedia Encyclopedia.</t>
  </si>
  <si>
    <t>Cimmaron</t>
  </si>
  <si>
    <t>2 mi. NW of Lefors</t>
  </si>
  <si>
    <t>4 mi. ENE of Pampa</t>
  </si>
  <si>
    <t>5 mi. NE of Pampa</t>
  </si>
  <si>
    <t>Tornado originated in Randall Co.</t>
  </si>
  <si>
    <t>Tornado crossed into Oldham Co.</t>
  </si>
  <si>
    <t>7 mi. W of Canyon</t>
  </si>
  <si>
    <t>Tornado originated in Deaf Smith Co.</t>
  </si>
  <si>
    <t>Tornado crossed into Wheeler Co.</t>
  </si>
  <si>
    <t>Tornado originated in Collingsworth Co.</t>
  </si>
  <si>
    <t>8 mi. N of Optima
Tornado crossed into Kansas.</t>
  </si>
  <si>
    <t>17 mi. SSE of Canyon
The end of the "Happy" tornado, which originated in Swisher Co.</t>
  </si>
  <si>
    <t>14 mi. WSW of Miami</t>
  </si>
  <si>
    <t>Tornado crossed into Oklahoma.</t>
  </si>
  <si>
    <t>Tornado crossed into Ochiltree Co.</t>
  </si>
  <si>
    <t>Tornado originated in Hansford Co.</t>
  </si>
  <si>
    <t>Tornado originated in Moore Co.</t>
  </si>
  <si>
    <t>4 mi. N of McLean
Dryline along the Caprock triggered the storms.  This was an early start to the busiest tornado season to date for the Amarillo NWS CWA.</t>
  </si>
  <si>
    <t>2 mi. WSW of Lela</t>
  </si>
  <si>
    <t>3 mi. S of Kelton</t>
  </si>
  <si>
    <t>3 mi. N of Panhandle
Moved towards White Deer, lifting just west of town.</t>
  </si>
  <si>
    <t>S side of White Deer</t>
  </si>
  <si>
    <t>3 mi. S of Quail</t>
  </si>
  <si>
    <t>Tornado originated in Swisher Co.</t>
  </si>
  <si>
    <t>Tornado touched down in Amarillo.</t>
  </si>
  <si>
    <t>15 mi. SE of Canyon</t>
  </si>
  <si>
    <t>10 mi. E of Claude</t>
  </si>
  <si>
    <t>16 mi. SW of Lipscomb</t>
  </si>
  <si>
    <t>29 mi. E of Perryton Airport</t>
  </si>
  <si>
    <t>If a structure is large, the probability of being struck by a tornado is greater than that based only on tornado dimensions.  The additional probability is determined by a characteristic dimension of the structure and the expected length for tornadoes.  Similarly to "Point Structure Probability," "Life-Line Probability" also has two components, a strike probability independent of intensity and a conditional probability that considers intensity.</t>
  </si>
  <si>
    <t>yrs</t>
  </si>
  <si>
    <t>mi</t>
  </si>
  <si>
    <t>(mi)</t>
  </si>
  <si>
    <t>Path Length</t>
  </si>
  <si>
    <t>6 mi. NW of Bryans Corner
Significant damage on the W side of U.S. Hwy 83.</t>
  </si>
  <si>
    <t>8 mi. SSW of Pampa
Until May of 2003, this date held the record for number of tornadoes in a single day.</t>
  </si>
  <si>
    <t>2 mi. E of Pampa</t>
  </si>
  <si>
    <t>1 mi. NE of Four Way</t>
  </si>
  <si>
    <t>5 mi. SW of McLean</t>
  </si>
  <si>
    <t>3 mi. SW of McLean</t>
  </si>
  <si>
    <t>YEAR</t>
  </si>
  <si>
    <t>TOTALS</t>
  </si>
  <si>
    <t>COUNTY</t>
  </si>
  <si>
    <t>Cimarron</t>
  </si>
  <si>
    <t>Texas</t>
  </si>
  <si>
    <t>Beaver</t>
  </si>
  <si>
    <t>Dallam</t>
  </si>
  <si>
    <t>Sherman</t>
  </si>
  <si>
    <t>Hansford</t>
  </si>
  <si>
    <t>Ochiltree</t>
  </si>
  <si>
    <t>Lipscomb</t>
  </si>
  <si>
    <t>Hartley</t>
  </si>
  <si>
    <t>Moore</t>
  </si>
  <si>
    <t>Hutchinson</t>
  </si>
  <si>
    <t>Roberts</t>
  </si>
  <si>
    <t>Hemphill</t>
  </si>
  <si>
    <t>Oldham</t>
  </si>
  <si>
    <t>Potter</t>
  </si>
  <si>
    <t>Carson</t>
  </si>
  <si>
    <t>Gray</t>
  </si>
  <si>
    <t>Wheeler</t>
  </si>
  <si>
    <t>Deaf Smith</t>
  </si>
  <si>
    <t>Randall</t>
  </si>
  <si>
    <t>Armstrong</t>
  </si>
  <si>
    <t>Donley</t>
  </si>
  <si>
    <t>Collingsworth</t>
  </si>
  <si>
    <t>F0</t>
  </si>
  <si>
    <t>F1</t>
  </si>
  <si>
    <t>F2</t>
  </si>
  <si>
    <t>F3</t>
  </si>
  <si>
    <t>F4</t>
  </si>
  <si>
    <t xml:space="preserve">    Based on current Amarillo NWS CWA (23 counties)</t>
  </si>
  <si>
    <t>Yearly</t>
  </si>
  <si>
    <t>Totals</t>
  </si>
  <si>
    <t>10-Year</t>
  </si>
  <si>
    <t>Average</t>
  </si>
  <si>
    <t>Cumulative</t>
  </si>
  <si>
    <t>Number of years of data:</t>
  </si>
  <si>
    <t>Cum. Avg.</t>
  </si>
  <si>
    <t>Total area in NWS CWA (square miles)</t>
  </si>
  <si>
    <t>Date</t>
  </si>
  <si>
    <t>Time</t>
  </si>
  <si>
    <t>(CST)</t>
  </si>
  <si>
    <t>County</t>
  </si>
  <si>
    <t>Rating</t>
  </si>
  <si>
    <t>(Yards)</t>
  </si>
  <si>
    <t>(Miles)</t>
  </si>
  <si>
    <t>Year</t>
  </si>
  <si>
    <t>January</t>
  </si>
  <si>
    <t>February</t>
  </si>
  <si>
    <t>March</t>
  </si>
  <si>
    <t>April</t>
  </si>
  <si>
    <t>May</t>
  </si>
  <si>
    <t>June</t>
  </si>
  <si>
    <t>July</t>
  </si>
  <si>
    <t>August</t>
  </si>
  <si>
    <t>September</t>
  </si>
  <si>
    <t>October</t>
  </si>
  <si>
    <t>November</t>
  </si>
  <si>
    <t>December</t>
  </si>
  <si>
    <t>Month</t>
  </si>
  <si>
    <t>Day</t>
  </si>
  <si>
    <t>TX</t>
  </si>
  <si>
    <t>OK</t>
  </si>
  <si>
    <t>EF2</t>
  </si>
  <si>
    <t>EF0</t>
  </si>
  <si>
    <t>EF1</t>
  </si>
  <si>
    <t>EF3</t>
  </si>
  <si>
    <t>(table)</t>
  </si>
  <si>
    <t>(database)</t>
  </si>
  <si>
    <t>F0 / EF0</t>
  </si>
  <si>
    <t>F1 / EF1</t>
  </si>
  <si>
    <t>F2 / EF2</t>
  </si>
  <si>
    <t>F3 / EF3</t>
  </si>
  <si>
    <t>F4 / EF4</t>
  </si>
  <si>
    <t>F5 / EF5</t>
  </si>
  <si>
    <t>Strong (F2 / EF2 &amp; F3 / EF3)</t>
  </si>
  <si>
    <t>Violent (F4 / EF4 &amp; F5 / EF5)</t>
  </si>
  <si>
    <t>per</t>
  </si>
  <si>
    <t>Location</t>
  </si>
  <si>
    <t>7mi. WSW of Pringle</t>
  </si>
  <si>
    <t>4 mi. NNW of Channing</t>
  </si>
  <si>
    <t>1 mi. NNE of Wellington</t>
  </si>
  <si>
    <t>9 mi. NNW of Dodson</t>
  </si>
  <si>
    <t>Cum</t>
  </si>
  <si>
    <t>Num</t>
  </si>
  <si>
    <t>#</t>
  </si>
  <si>
    <t>Width</t>
  </si>
  <si>
    <t>Length</t>
  </si>
  <si>
    <t>(24 hr)</t>
  </si>
  <si>
    <t>(Hr)</t>
  </si>
  <si>
    <t>F5</t>
  </si>
  <si>
    <t>EF4</t>
  </si>
  <si>
    <t>EF5</t>
  </si>
  <si>
    <t>Total</t>
  </si>
  <si>
    <t>(All tornadoes)</t>
  </si>
  <si>
    <t>Notes</t>
  </si>
  <si>
    <t>%</t>
  </si>
  <si>
    <t>Concatenate</t>
  </si>
  <si>
    <t xml:space="preserve"> County and</t>
  </si>
  <si>
    <t>Strength</t>
  </si>
  <si>
    <t>Year and</t>
  </si>
  <si>
    <t># of YEARS</t>
  </si>
  <si>
    <t>OF DATA</t>
  </si>
  <si>
    <t>The "Sherwood Shores" or "Howardwick" tornado</t>
  </si>
  <si>
    <t>NOTE:  County crossing tornadoes are counted in each county they impact.</t>
  </si>
  <si>
    <t>Landspout in SE Claude</t>
  </si>
  <si>
    <t>Multiple brief touchdowns 1.1 mi. E of Balko</t>
  </si>
  <si>
    <t>Starting</t>
  </si>
  <si>
    <t>Near Griggs</t>
  </si>
  <si>
    <t>2 mi. NNE of Sturgis</t>
  </si>
  <si>
    <t>1 mi. E of Felt</t>
  </si>
  <si>
    <t>3 mi. E of Felt</t>
  </si>
  <si>
    <t>15 mi. SW of Boise City</t>
  </si>
  <si>
    <t>1 mi. N of Wheeless</t>
  </si>
  <si>
    <t>9 mi. ENE of Felt</t>
  </si>
  <si>
    <t>6 mi. SW of Hardesty</t>
  </si>
  <si>
    <t>14 mi. ENE of Guymon</t>
  </si>
  <si>
    <t>2 mi. SW of Eva</t>
  </si>
  <si>
    <t>17 mi. NNE of Guymon</t>
  </si>
  <si>
    <t>5 mi. W of Guymon</t>
  </si>
  <si>
    <t>1 mi. S of Guymon</t>
  </si>
  <si>
    <t>4 mi. W of Hooker</t>
  </si>
  <si>
    <t>7 mi. NW of Guymon</t>
  </si>
  <si>
    <t>3 mi. SW of Baker</t>
  </si>
  <si>
    <t>1 mi. W of Baker</t>
  </si>
  <si>
    <t>5 mi. W of Hooker</t>
  </si>
  <si>
    <t>4 mi. N of Eva</t>
  </si>
  <si>
    <t>7 mi. SE of Eva</t>
  </si>
  <si>
    <t>5 mi. N of Goodwell</t>
  </si>
  <si>
    <t>9 mi. N of Texhoma</t>
  </si>
  <si>
    <t>10 mi. N of Texhoma</t>
  </si>
  <si>
    <t>6 mi. W of Goodwell</t>
  </si>
  <si>
    <t>5 mi. SE of Tyrone</t>
  </si>
  <si>
    <t>1 mi. NE of Adams</t>
  </si>
  <si>
    <t>3 mi. SW of Adams</t>
  </si>
  <si>
    <t>13 mi. NW of Guymon</t>
  </si>
  <si>
    <t>11 mi. WSW of Hough</t>
  </si>
  <si>
    <t>5 mi. WNW of Guymon</t>
  </si>
  <si>
    <t>1 mi. NNE of Baker</t>
  </si>
  <si>
    <t>8 mi. WSW of Elmwood</t>
  </si>
  <si>
    <t>3 mi. W of Logan</t>
  </si>
  <si>
    <t>5 mi. N of Turpin</t>
  </si>
  <si>
    <t>8 mi. S of Balko</t>
  </si>
  <si>
    <t>8 mi. SE of Balko</t>
  </si>
  <si>
    <t>6 mi. NNW of Elmwood</t>
  </si>
  <si>
    <t>7 mi. SSW of Beaver</t>
  </si>
  <si>
    <t>7 mi. WSW of Turpin</t>
  </si>
  <si>
    <t>5 mi. NW of Forgan</t>
  </si>
  <si>
    <t>9 mi. SE of Beaver</t>
  </si>
  <si>
    <t>5 mi. NE of Wayside</t>
  </si>
  <si>
    <t>10 mi. S of Claude</t>
  </si>
  <si>
    <t>2 mi. NE of Wayside</t>
  </si>
  <si>
    <t>1 mi. SW of Wayside</t>
  </si>
  <si>
    <t>15 mi. SSE of Goodnight</t>
  </si>
  <si>
    <t>2 mi. ESE of Wayside</t>
  </si>
  <si>
    <t>3 mi. E of  Wayside</t>
  </si>
  <si>
    <t>6 mi. ENE of Wayside</t>
  </si>
  <si>
    <t>2 mi. S of Wayside</t>
  </si>
  <si>
    <t>6 mi. NE of Pantex</t>
  </si>
  <si>
    <t>3 mi. NNW of White Deer</t>
  </si>
  <si>
    <t>8 mi. N of Panhandle</t>
  </si>
  <si>
    <t>2 mi. W of Skellytown</t>
  </si>
  <si>
    <t>4 mi. W of White Deer</t>
  </si>
  <si>
    <t>15 mi. NE of Panhandle</t>
  </si>
  <si>
    <t>15 mi. SW of White Deer</t>
  </si>
  <si>
    <t>1 mi. E of Panhandle</t>
  </si>
  <si>
    <t>3 mi. S of Panhandle</t>
  </si>
  <si>
    <t>6 mi. SE of Panhandle</t>
  </si>
  <si>
    <t>3 mi. NE of Conway</t>
  </si>
  <si>
    <t>18 mi. N of Panhandle</t>
  </si>
  <si>
    <t>3 mi. W of Panhandle</t>
  </si>
  <si>
    <t>7 mi. SW of Pomeroy</t>
  </si>
  <si>
    <t>7 mi. NW of Panhandle</t>
  </si>
  <si>
    <t>1 mi. E of Conway</t>
  </si>
  <si>
    <t>5 mi. WNW of Panhandle</t>
  </si>
  <si>
    <t>3 mi. ESE of Conway</t>
  </si>
  <si>
    <t>2 mi. E of Panhandle</t>
  </si>
  <si>
    <t>10 mi. SW of White Deer</t>
  </si>
  <si>
    <t>1 mi. SW of Wellington</t>
  </si>
  <si>
    <t>5 mi. E of Wellington</t>
  </si>
  <si>
    <t>9 mi. W of Dozier</t>
  </si>
  <si>
    <t>7 mi. N of Quail</t>
  </si>
  <si>
    <t>6 mi. NNE of Wellington</t>
  </si>
  <si>
    <t>5 mi. S of Wellington</t>
  </si>
  <si>
    <t>10 mi. ENE of Perico</t>
  </si>
  <si>
    <t>3 mi. SE of Coldwater</t>
  </si>
  <si>
    <t>1 mi. E of Texline</t>
  </si>
  <si>
    <t>17 mi. N of Dalhart</t>
  </si>
  <si>
    <t>2 mi. SE of Texline</t>
  </si>
  <si>
    <t>6 mi. NW of Conlen</t>
  </si>
  <si>
    <t>22 mi. NW of Hereford</t>
  </si>
  <si>
    <t>20 mi. NW of Hereford</t>
  </si>
  <si>
    <t>1 mi. W of Dawn</t>
  </si>
  <si>
    <t>1 mi. NE of Hereford</t>
  </si>
  <si>
    <t>2 mi. W of Dawn</t>
  </si>
  <si>
    <t>26 mi. NW of Hereford</t>
  </si>
  <si>
    <t>23 mi. W of Hereford</t>
  </si>
  <si>
    <t>18 mi. NW of Hereford</t>
  </si>
  <si>
    <t>11 mi. N of Dawn</t>
  </si>
  <si>
    <t>10 mi. NNW of Hereford</t>
  </si>
  <si>
    <t>6 mi. SW of Clarendon</t>
  </si>
  <si>
    <t>8 mi. NNE of Clarendon</t>
  </si>
  <si>
    <t>18 mi. N of Clarendon</t>
  </si>
  <si>
    <t>7 mi. E of Hedley</t>
  </si>
  <si>
    <t>12 mi. E of Jericho</t>
  </si>
  <si>
    <t>In Ashtola.  Considerable damage reported.</t>
  </si>
  <si>
    <t>In Clarendon.  Minor damage reported.</t>
  </si>
  <si>
    <t>1 mi. NNE of Clarendon</t>
  </si>
  <si>
    <t>6 mi. ENE of Clarendon</t>
  </si>
  <si>
    <t>6 mi. NW of Hedley</t>
  </si>
  <si>
    <t>11 mi. N of Hedley</t>
  </si>
  <si>
    <t>9 mi. ESE of Jericho</t>
  </si>
  <si>
    <t>15 mi. ESE of Jericho</t>
  </si>
  <si>
    <t>6 mi. W of Laketon</t>
  </si>
  <si>
    <t>12 mi. NW of Alanreed</t>
  </si>
  <si>
    <t>10 mi. NE of Groom</t>
  </si>
  <si>
    <t>4 mi. NNE of Pampa</t>
  </si>
  <si>
    <t>2 mi. W of Alanreed</t>
  </si>
  <si>
    <t>1 mi. N of Laketon</t>
  </si>
  <si>
    <t>1 mi. W of Pampa</t>
  </si>
  <si>
    <t>8 mi. SW of Lefors</t>
  </si>
  <si>
    <t>15 mi. S of Pampa</t>
  </si>
  <si>
    <t>8 mi. W of Alanreed</t>
  </si>
  <si>
    <t>2 mi. E of Hoover</t>
  </si>
  <si>
    <t>1 mi. NE of Lefors</t>
  </si>
  <si>
    <t>15 mi. W of Alanreed</t>
  </si>
  <si>
    <t>5 mi. SW of Pampa</t>
  </si>
  <si>
    <t>4 mi. NW of Gruver</t>
  </si>
  <si>
    <t>2 mi. SSE of Spearman</t>
  </si>
  <si>
    <t>12 mi. SE of Spearman</t>
  </si>
  <si>
    <t>5 mi. W of Waka</t>
  </si>
  <si>
    <t>15 mi. NW of Gruver</t>
  </si>
  <si>
    <t>6 mi. S of Spearman</t>
  </si>
  <si>
    <t>8 mi. NW of Gruver</t>
  </si>
  <si>
    <t>12 mi. WSW of Gruver</t>
  </si>
  <si>
    <t>3 mi. NNW of Morse</t>
  </si>
  <si>
    <t>1 mi. E of Morse</t>
  </si>
  <si>
    <t>1 mi. NW of Morse</t>
  </si>
  <si>
    <t>6 mi. W of Spearman</t>
  </si>
  <si>
    <t>5 mi. S of Spearman</t>
  </si>
  <si>
    <t>Landspout 5 mi. W of Spearman</t>
  </si>
  <si>
    <t>Landspout 7 mi. W of Gruver</t>
  </si>
  <si>
    <t>5 mi. SE of Dalhart</t>
  </si>
  <si>
    <t>5 mi. SSW of Hartley</t>
  </si>
  <si>
    <t>10 mi. E of Hartley</t>
  </si>
  <si>
    <t>2 mi. N of Channing</t>
  </si>
  <si>
    <t>5 mi. N of Briscoe</t>
  </si>
  <si>
    <t>9 mi. NE of Miami</t>
  </si>
  <si>
    <t>1 mi. NW of Gageby</t>
  </si>
  <si>
    <t>16 mi. SSW of Canadian</t>
  </si>
  <si>
    <t>8 mi. NE of Stinnett</t>
  </si>
  <si>
    <t>20 mi. NE of Stinnett</t>
  </si>
  <si>
    <t>4 mi. NW of Pringle</t>
  </si>
  <si>
    <t>3 mi. E of Borger</t>
  </si>
  <si>
    <t>4 mi. SE of Borger</t>
  </si>
  <si>
    <t>10 mi. E of Pringle</t>
  </si>
  <si>
    <t>18 mi. E of Borger</t>
  </si>
  <si>
    <t>17 mi. E of Borger</t>
  </si>
  <si>
    <t>3 mi. NW of Borger</t>
  </si>
  <si>
    <t>4 mi. ENE of Borger</t>
  </si>
  <si>
    <t>13 mi. WSW of Lipscomb</t>
  </si>
  <si>
    <t>2 mi. SW of Follett</t>
  </si>
  <si>
    <t>6 mi. SW of Darrouzett</t>
  </si>
  <si>
    <t>19 mi. S of Booker</t>
  </si>
  <si>
    <t>3 mi. SW of Lipscomb</t>
  </si>
  <si>
    <t>8 mi. S of Darrouzett</t>
  </si>
  <si>
    <t>10 mi. E of Dumas</t>
  </si>
  <si>
    <t>10 mi. NE of Four Way</t>
  </si>
  <si>
    <t>6 mi. SW of Dumas</t>
  </si>
  <si>
    <t>4 mi. SW of Dumas</t>
  </si>
  <si>
    <t>1 mi. W of Masterson</t>
  </si>
  <si>
    <t>3 mi. E of Four Way</t>
  </si>
  <si>
    <t>8 mi. E of Dumas</t>
  </si>
  <si>
    <t>2 mi. SW of Sunray</t>
  </si>
  <si>
    <t>4 mi. E of Dumas</t>
  </si>
  <si>
    <t>6 mi. SW of Sunray</t>
  </si>
  <si>
    <t>22 mi. S of Perryton</t>
  </si>
  <si>
    <t>2 mi. S of Farnsworth</t>
  </si>
  <si>
    <t>21 mi. S of Perryton</t>
  </si>
  <si>
    <t>15 mi. WNW of Perryton</t>
  </si>
  <si>
    <t>1 mi. W of Perryton</t>
  </si>
  <si>
    <t>23 mi. SE of Perryton</t>
  </si>
  <si>
    <t>18 mi. SSE of Perryton</t>
  </si>
  <si>
    <t>27 mi. E of Perryton Airport</t>
  </si>
  <si>
    <t>25 mi. ESE of Perryton Airport</t>
  </si>
  <si>
    <t>Weak landspout 1 mi. SW of Perryton</t>
  </si>
  <si>
    <t>6 mi. WNW of Booker, or 5 mi NE of Twichell</t>
  </si>
  <si>
    <t>3 mi. SW of Vega</t>
  </si>
  <si>
    <t>2 mi. W of Vega</t>
  </si>
  <si>
    <t>1 mi. SW of Bushland</t>
  </si>
  <si>
    <t>4 mi. E of Bushland</t>
  </si>
  <si>
    <t>3 mi. W of Bushland</t>
  </si>
  <si>
    <t>10 mi. SW of Amarillo</t>
  </si>
  <si>
    <t>7 mi. N of Canyon</t>
  </si>
  <si>
    <t>8 mi. S of Canyon</t>
  </si>
  <si>
    <t>16 mi. ESE of Canyon</t>
  </si>
  <si>
    <t>Brief landspout 12 mi. SE of Amarillo</t>
  </si>
  <si>
    <t>12 mi. NE of Canyon</t>
  </si>
  <si>
    <t>4 mi. W of Canyon</t>
  </si>
  <si>
    <t>11 mi. WSW of Amarillo</t>
  </si>
  <si>
    <t>7 mi. NNW of Canyon</t>
  </si>
  <si>
    <t>3 mi. N of Canyon</t>
  </si>
  <si>
    <t>18 mi. SE of Canyon</t>
  </si>
  <si>
    <t>4 mi. E of Canyon</t>
  </si>
  <si>
    <t>17 mi. NNE of Pampa</t>
  </si>
  <si>
    <t>10 mi. NW of Miami</t>
  </si>
  <si>
    <t>8 mi. W of Miami</t>
  </si>
  <si>
    <t>18 mi. WNW of Canadian</t>
  </si>
  <si>
    <t>5 mi. N of Miami</t>
  </si>
  <si>
    <t>6 mi. NW of Miami</t>
  </si>
  <si>
    <t>9 mi. NW of Miami</t>
  </si>
  <si>
    <t>7 mi. NW of Miami</t>
  </si>
  <si>
    <t>33 mi. NW of Miami</t>
  </si>
  <si>
    <t>24 mi. SE of Stratford</t>
  </si>
  <si>
    <t>25 mi. SE of Stratford</t>
  </si>
  <si>
    <t>12 mi. SE of Stratford</t>
  </si>
  <si>
    <t>23 mi. SE of Lautz</t>
  </si>
  <si>
    <t>22 mi. SE of Stratford</t>
  </si>
  <si>
    <t>3 mi. W of Allison</t>
  </si>
  <si>
    <t>3 mi. W of Wheeler</t>
  </si>
  <si>
    <t>2 mi. NE of Lela</t>
  </si>
  <si>
    <t>8 mi. E of Shamrock</t>
  </si>
  <si>
    <t>5 mi. W of Mobeetie</t>
  </si>
  <si>
    <t>1 mi. SE of Mobeetie</t>
  </si>
  <si>
    <t>10 mi. SW of Wheeler</t>
  </si>
  <si>
    <t>7 mi. W of Shamrock</t>
  </si>
  <si>
    <t>5 mi. N of Kellerville</t>
  </si>
  <si>
    <t>5 mi. W of Twitty</t>
  </si>
  <si>
    <t>4 mi. SE of Kellerville, &amp; hit Pakan.</t>
  </si>
  <si>
    <t>Anticyclonic tornado touched down 2 mi. N of Twitty.</t>
  </si>
  <si>
    <t>5 mi. S of Wheeler</t>
  </si>
  <si>
    <t>Near Kellerville</t>
  </si>
  <si>
    <t>3 mi. N of Wheeler</t>
  </si>
  <si>
    <t>Small tornado NW of Bishop Hills, near Amarillo.</t>
  </si>
  <si>
    <t>Near Higgins</t>
  </si>
  <si>
    <t>Near Conway</t>
  </si>
  <si>
    <t>Near Umbarger</t>
  </si>
  <si>
    <t>Start location unknown</t>
  </si>
  <si>
    <t>5 mi. SE of Amarillo.  Several touchdowns as the tornado crossed into Potter Co. moving north.</t>
  </si>
  <si>
    <t>4 mi. N of Felt</t>
  </si>
  <si>
    <t>5 mi. W of Ogg</t>
  </si>
  <si>
    <t>1 mi. N of Masterson
This is the start of the Fritch tornado family.</t>
  </si>
  <si>
    <t>1 mi. E of Fritch
This tornado was eventually absorbed into the F4 tornado.</t>
  </si>
  <si>
    <t>13 mi. SSE of -4.5
Just inside the OK state line about 5 mi. W of 207.</t>
  </si>
  <si>
    <t>10 mi. WNW of Gruver
A trough of low pressure extended into the Panhandle from a surface low in SE CO.  Warm front moving N across the Panhandles.  Svr tstms developed in the N central TX Panhandle and then extended into the S central portions of the TX Panhandle.</t>
  </si>
  <si>
    <t>5 mi. ESE of Amarillo
Tornado originated in Randall Co., then moved into Potter Co.  Several touchdowns continued through the ERN portion of Amarillo just W of Lakeside.</t>
  </si>
  <si>
    <t>1 mi. SE of Fritch
Originated in Carson Co.</t>
  </si>
  <si>
    <t>17 mi. SE of Canyon
A brief touchdown of previous tornado after it had lifted.</t>
  </si>
  <si>
    <t>1 mi. W of Boise City
A powerful upper level low tracked right over the Panhandles.  There was plenty of moisture and CAPE.  SPC had us under a "High" risk for svr wx on this day.  26 tornadoes touched down which set a new record for the number of tornadoes in a single day.</t>
  </si>
  <si>
    <t>1 mi. SE of Wayside
2nd touchdown of previous tornado.</t>
  </si>
  <si>
    <t>Landspout 5 mi. N of Gruver
Tstms initiated along a frontal boundary and surface trough of low pressure.</t>
  </si>
  <si>
    <t>5 mi. E of Booker
Tornado crossed into Beaver Co.</t>
  </si>
  <si>
    <t>16 mi. SW of Lefors
Originated in Donley Co.</t>
  </si>
  <si>
    <t>Brief tornado touchdown in south Amarillo</t>
  </si>
  <si>
    <t>4 mi. SE of Amarillo</t>
  </si>
  <si>
    <t xml:space="preserve">2 mi. WNW of Turpin
Two landspouts occurred simultaneously. </t>
  </si>
  <si>
    <t>1 mi. S of McLean</t>
  </si>
  <si>
    <t>2 mi. SE of McLean</t>
  </si>
  <si>
    <t>3 mi. S of McLean</t>
  </si>
  <si>
    <t>7 mi. NNE of McLean</t>
  </si>
  <si>
    <t>12 mi. SW of Clarendon
A strong dryline was oriented along a N-S line near US 385 all day.  Temps in the mid 70s.  Strong upper low in NERN AR.  Shortwave traversing over the TX panhandle.  Lots of CAPE.  Lid broke around 1500 hrs in the SRN panhandle, near Silverton, as 3 supercells developed well E of the dryline.  These storms moved NNE. One more supercell developed in the NERN part of the TX panhandle, and also moved mostly N.  These 4 supercells produced the 16 tornadoes shown.  By 2000 hrs, the dryline activated and a squall line of storms from OK to the NWRN TX south plains began moving E.  No more tornados, but some small hail and heavy rains.</t>
  </si>
  <si>
    <t>1 mi. W of Skellytown
Start time in AMA NWS database (1625 hrs CST) is actually the end time per Storm Data.</t>
  </si>
  <si>
    <t>8 mi. NE of Pampa
Start time in NCDC database (1558 hrs CST) is actually the end time per Storm Data.</t>
  </si>
  <si>
    <t>5 mi. N of Follett
Start time in NCDC database (1424 hrs CST) is actually the end time per Storm Data.</t>
  </si>
  <si>
    <t>4 mi. W of Canyon
Start time in NCDC database (0100 hrs CST) is actually the end time per Storm Data.</t>
  </si>
  <si>
    <t>6 mi. ESE of Elmwood
Start time in NCDC database (1818 hrs CST) is actually the end time per Storm Data.</t>
  </si>
  <si>
    <t>3 mi. SW of Pampa
The "Pampa" tornado.  The NCDC database incorrectly lists a tornado (perhaps this one?) as occuring on 6-1-95 at 1542 hrs CST.  Info obtained from Storm Data.</t>
  </si>
  <si>
    <t>3 mi. NE of Panhandle
Start time as listed in the NCDC database (2025 hrs CST) is actually the end time per Storm Data.</t>
  </si>
  <si>
    <t>5 mi. SE of Washburn
Start time as listed in the NCDC database (1917 hrs CST) is actually the end time per Storm Data.</t>
  </si>
  <si>
    <t>8 mi. S of Claude
Start time as listed in the NCDC database (1958 hrs CST) is actually the end time per Storm Data.</t>
  </si>
  <si>
    <t>3 mi. W of Bushland
A supercell developed NW of Amarillo and moved SE.  This storm dropped very large hail (softball to grapefruit size) on the WRN and SWRN portions of Amarillo and outlying areas, causing extensive damage.  Eight brief tornado touchdowns, from near Bushland to near Canyon, occurred from this storm.</t>
  </si>
  <si>
    <t>25 mi. NW of Amarillo</t>
  </si>
  <si>
    <t>4 mi. N of Turpin.
Not in NCDC database, but listed in Storm Data and NWS database.</t>
  </si>
  <si>
    <t>7 mi. W of Skellytown
Not in NCDC database, but listed in Storm Data and NWS database.</t>
  </si>
  <si>
    <t>Ending</t>
  </si>
  <si>
    <t>(CST-24 hr)</t>
  </si>
  <si>
    <t>Duration</t>
  </si>
  <si>
    <t>(hh:mm)</t>
  </si>
  <si>
    <t>(mph)</t>
  </si>
  <si>
    <t>Rounded</t>
  </si>
  <si>
    <t>Path</t>
  </si>
  <si>
    <t xml:space="preserve">Strength and </t>
  </si>
  <si>
    <t>Tornado Intensity</t>
  </si>
  <si>
    <t>Length (mi)</t>
  </si>
  <si>
    <t>F0/ EF0</t>
  </si>
  <si>
    <t>All</t>
  </si>
  <si>
    <t>Width (yd)</t>
  </si>
  <si>
    <t>TORNADO SEGMENT BREAKDOWN BY YEAR:</t>
  </si>
  <si>
    <t>100 ≤W &lt; 200</t>
  </si>
  <si>
    <t>2 ≤ W &lt; 5</t>
  </si>
  <si>
    <t>5 ≤ W &lt; 10</t>
  </si>
  <si>
    <t>10 ≤ W &lt; 20</t>
  </si>
  <si>
    <t>20 ≤ W &lt; 50</t>
  </si>
  <si>
    <t>50 ≤ W &lt; 100</t>
  </si>
  <si>
    <t>0.1 ≤ L &lt; 0.2</t>
  </si>
  <si>
    <t>0.2 ≤ L &lt; 0.5</t>
  </si>
  <si>
    <t>0.5 ≤ L &lt; 1</t>
  </si>
  <si>
    <t>1 ≤ L &lt; 2</t>
  </si>
  <si>
    <t>2 ≤ L &lt; 5</t>
  </si>
  <si>
    <t>5 ≤ L &lt; 10</t>
  </si>
  <si>
    <t>10 ≤ L &lt; 20</t>
  </si>
  <si>
    <t>20 ≤ L &lt; 50</t>
  </si>
  <si>
    <t>50 ≤ L &lt; 100</t>
  </si>
  <si>
    <t>TOTAL:</t>
  </si>
  <si>
    <t>Distribution of Tornado Segment Lengths in the AMA NWS CWA</t>
  </si>
  <si>
    <t>Distribution of Tornado Segment Widths in the AMA NWS CWA</t>
  </si>
  <si>
    <t>Tornado Segment Lengths in the AMA NWS CWA</t>
  </si>
  <si>
    <t>Tornado Segment Widths in the AMA NWS CWA</t>
  </si>
  <si>
    <r>
      <t>≥</t>
    </r>
    <r>
      <rPr>
        <sz val="10.45"/>
        <rFont val="Arial"/>
        <family val="2"/>
      </rPr>
      <t xml:space="preserve"> </t>
    </r>
    <r>
      <rPr>
        <sz val="12"/>
        <rFont val="Arial"/>
        <family val="2"/>
      </rPr>
      <t>50</t>
    </r>
  </si>
  <si>
    <r>
      <t>≥</t>
    </r>
    <r>
      <rPr>
        <sz val="10.45"/>
        <rFont val="Arial"/>
        <family val="2"/>
      </rPr>
      <t xml:space="preserve"> </t>
    </r>
    <r>
      <rPr>
        <sz val="12"/>
        <rFont val="Arial"/>
        <family val="2"/>
      </rPr>
      <t>20</t>
    </r>
  </si>
  <si>
    <r>
      <t>≥</t>
    </r>
    <r>
      <rPr>
        <sz val="10.45"/>
        <rFont val="Arial"/>
        <family val="2"/>
      </rPr>
      <t xml:space="preserve"> </t>
    </r>
    <r>
      <rPr>
        <sz val="12"/>
        <rFont val="Arial"/>
        <family val="2"/>
      </rPr>
      <t>2</t>
    </r>
  </si>
  <si>
    <t>≥ 0.5</t>
  </si>
  <si>
    <r>
      <t>≥</t>
    </r>
    <r>
      <rPr>
        <sz val="10.45"/>
        <rFont val="Arial"/>
        <family val="2"/>
      </rPr>
      <t xml:space="preserve"> </t>
    </r>
    <r>
      <rPr>
        <sz val="12"/>
        <rFont val="Arial"/>
        <family val="2"/>
      </rPr>
      <t>0.2</t>
    </r>
  </si>
  <si>
    <r>
      <t>≥</t>
    </r>
    <r>
      <rPr>
        <sz val="10.45"/>
        <rFont val="Arial"/>
        <family val="2"/>
      </rPr>
      <t xml:space="preserve"> </t>
    </r>
    <r>
      <rPr>
        <sz val="12"/>
        <rFont val="Arial"/>
        <family val="2"/>
      </rPr>
      <t>0.1</t>
    </r>
  </si>
  <si>
    <r>
      <t>≥</t>
    </r>
    <r>
      <rPr>
        <sz val="10.45"/>
        <rFont val="Arial"/>
        <family val="2"/>
      </rPr>
      <t xml:space="preserve"> </t>
    </r>
    <r>
      <rPr>
        <sz val="12"/>
        <rFont val="Arial"/>
        <family val="2"/>
      </rPr>
      <t>0.0</t>
    </r>
  </si>
  <si>
    <r>
      <t>≥</t>
    </r>
    <r>
      <rPr>
        <sz val="10.45"/>
        <rFont val="Arial"/>
        <family val="2"/>
      </rPr>
      <t xml:space="preserve"> </t>
    </r>
    <r>
      <rPr>
        <sz val="12"/>
        <rFont val="Arial"/>
        <family val="2"/>
      </rPr>
      <t>1.0</t>
    </r>
  </si>
  <si>
    <r>
      <t>≥</t>
    </r>
    <r>
      <rPr>
        <sz val="10.45"/>
        <rFont val="Arial"/>
        <family val="2"/>
      </rPr>
      <t xml:space="preserve"> </t>
    </r>
    <r>
      <rPr>
        <sz val="12"/>
        <rFont val="Arial"/>
        <family val="2"/>
      </rPr>
      <t>2.0</t>
    </r>
  </si>
  <si>
    <t>≥ 5.0</t>
  </si>
  <si>
    <t>≥ 10.0</t>
  </si>
  <si>
    <r>
      <t>≥</t>
    </r>
    <r>
      <rPr>
        <sz val="10.45"/>
        <rFont val="Arial"/>
        <family val="2"/>
      </rPr>
      <t xml:space="preserve"> </t>
    </r>
    <r>
      <rPr>
        <sz val="12"/>
        <rFont val="Arial"/>
        <family val="2"/>
      </rPr>
      <t>20.0</t>
    </r>
  </si>
  <si>
    <r>
      <t>≥</t>
    </r>
    <r>
      <rPr>
        <sz val="10.45"/>
        <rFont val="Arial"/>
        <family val="2"/>
      </rPr>
      <t xml:space="preserve"> </t>
    </r>
    <r>
      <rPr>
        <sz val="12"/>
        <rFont val="Arial"/>
        <family val="2"/>
      </rPr>
      <t>50.0</t>
    </r>
  </si>
  <si>
    <r>
      <t>≥</t>
    </r>
    <r>
      <rPr>
        <sz val="10.45"/>
        <rFont val="Arial"/>
        <family val="2"/>
      </rPr>
      <t xml:space="preserve"> </t>
    </r>
    <r>
      <rPr>
        <sz val="12"/>
        <rFont val="Arial"/>
        <family val="2"/>
      </rPr>
      <t>2000</t>
    </r>
  </si>
  <si>
    <r>
      <t>≥</t>
    </r>
    <r>
      <rPr>
        <sz val="10.45"/>
        <rFont val="Arial"/>
        <family val="2"/>
      </rPr>
      <t xml:space="preserve"> </t>
    </r>
    <r>
      <rPr>
        <sz val="12"/>
        <rFont val="Arial"/>
        <family val="2"/>
      </rPr>
      <t>1000</t>
    </r>
  </si>
  <si>
    <r>
      <t>≥</t>
    </r>
    <r>
      <rPr>
        <sz val="10.45"/>
        <rFont val="Arial"/>
        <family val="2"/>
      </rPr>
      <t xml:space="preserve"> </t>
    </r>
    <r>
      <rPr>
        <sz val="12"/>
        <rFont val="Arial"/>
        <family val="2"/>
      </rPr>
      <t>500</t>
    </r>
  </si>
  <si>
    <r>
      <t>≥</t>
    </r>
    <r>
      <rPr>
        <sz val="10.45"/>
        <rFont val="Arial"/>
        <family val="2"/>
      </rPr>
      <t xml:space="preserve"> </t>
    </r>
    <r>
      <rPr>
        <sz val="12"/>
        <rFont val="Arial"/>
        <family val="2"/>
      </rPr>
      <t>200</t>
    </r>
  </si>
  <si>
    <r>
      <t>≥</t>
    </r>
    <r>
      <rPr>
        <sz val="10.45"/>
        <rFont val="Arial"/>
        <family val="2"/>
      </rPr>
      <t xml:space="preserve"> </t>
    </r>
    <r>
      <rPr>
        <sz val="12"/>
        <rFont val="Arial"/>
        <family val="2"/>
      </rPr>
      <t>100</t>
    </r>
  </si>
  <si>
    <r>
      <t>≥</t>
    </r>
    <r>
      <rPr>
        <sz val="10.45"/>
        <rFont val="Arial"/>
        <family val="2"/>
      </rPr>
      <t xml:space="preserve"> </t>
    </r>
    <r>
      <rPr>
        <sz val="12"/>
        <rFont val="Arial"/>
        <family val="2"/>
      </rPr>
      <t>10</t>
    </r>
  </si>
  <si>
    <r>
      <t>≥</t>
    </r>
    <r>
      <rPr>
        <sz val="10.45"/>
        <rFont val="Arial"/>
        <family val="2"/>
      </rPr>
      <t xml:space="preserve"> </t>
    </r>
    <r>
      <rPr>
        <sz val="12"/>
        <rFont val="Arial"/>
        <family val="2"/>
      </rPr>
      <t>5</t>
    </r>
  </si>
  <si>
    <t>TORNADO SEGMENTS BY COUNTY:</t>
  </si>
  <si>
    <t>200 ≤ W &lt; 500</t>
  </si>
  <si>
    <t>500 ≤ W &lt; 1000</t>
  </si>
  <si>
    <t>1000 ≤ W &lt; 2000</t>
  </si>
  <si>
    <t>F Scale</t>
  </si>
  <si>
    <t>Intensity</t>
  </si>
  <si>
    <t>Recorded Tornado F Scale</t>
  </si>
  <si>
    <t>65-85</t>
  </si>
  <si>
    <t>86-110</t>
  </si>
  <si>
    <t>111-135</t>
  </si>
  <si>
    <t>136-165</t>
  </si>
  <si>
    <t>166-200</t>
  </si>
  <si>
    <t>&gt;200</t>
  </si>
  <si>
    <t>Range (mph)</t>
  </si>
  <si>
    <t>Total Area</t>
  </si>
  <si>
    <t>Area</t>
  </si>
  <si>
    <t>(sq mi)</t>
  </si>
  <si>
    <t>Probability of</t>
  </si>
  <si>
    <t>Wind Speed</t>
  </si>
  <si>
    <t>Exceeding</t>
  </si>
  <si>
    <t>Threshold</t>
  </si>
  <si>
    <t>Enhanced Fujita</t>
  </si>
  <si>
    <t>Scale Wind</t>
  </si>
  <si>
    <t>Speed Range</t>
  </si>
  <si>
    <t>Neutral</t>
  </si>
  <si>
    <t>13 mi. W of Miami
Tornado watch to our E in OK.  Dryline along a Pampa to Clarendon line.  Temps in the mid 80s.  A cool front was pushing SWRD through the NRN TX Panhandle.  One lone supercell developed NW of Miami, and moved slowly SE.  The cell turned S just NE of Pampa, and produced a series of brief tornadoes to the NE and E of Pampa.  Spectacular rotating wall cloud.  The wall cloud became rain-wrapped as it crossed U.S. 60.  The final tornado near Lefors was completely rain-wrapped.</t>
  </si>
  <si>
    <t>6.8 mi. SE of McBride</t>
  </si>
  <si>
    <t xml:space="preserve">1 mi. W of Vega
</t>
  </si>
  <si>
    <t>16 mi. SSE of Perryton Airport</t>
  </si>
  <si>
    <t>6 mi. S of Dalhart
Today's tornadoes were produced from a series of tstms that developed along a surface trough/dryline in the NWRN TX panhandle, and moved SSE.  The "Panhandles" were under a SVR TSTM Watch at the time.</t>
  </si>
  <si>
    <t>Texas Panhandle</t>
  </si>
  <si>
    <r>
      <t>R</t>
    </r>
    <r>
      <rPr>
        <i/>
        <vertAlign val="subscript"/>
        <sz val="11"/>
        <rFont val="Arial"/>
        <family val="2"/>
      </rPr>
      <t>m</t>
    </r>
  </si>
  <si>
    <r>
      <t>V</t>
    </r>
    <r>
      <rPr>
        <i/>
        <vertAlign val="subscript"/>
        <sz val="11"/>
        <rFont val="Arial"/>
        <family val="2"/>
      </rPr>
      <t>total</t>
    </r>
  </si>
  <si>
    <r>
      <t>V</t>
    </r>
    <r>
      <rPr>
        <i/>
        <vertAlign val="subscript"/>
        <sz val="11"/>
        <rFont val="Arial"/>
        <family val="2"/>
      </rPr>
      <t>Rm</t>
    </r>
  </si>
  <si>
    <r>
      <t>0.8 × V</t>
    </r>
    <r>
      <rPr>
        <i/>
        <vertAlign val="subscript"/>
        <sz val="11"/>
        <rFont val="Arial"/>
        <family val="2"/>
      </rPr>
      <t>total</t>
    </r>
  </si>
  <si>
    <r>
      <t>V</t>
    </r>
    <r>
      <rPr>
        <i/>
        <vertAlign val="subscript"/>
        <sz val="11"/>
        <rFont val="Arial"/>
        <family val="2"/>
      </rPr>
      <t>t</t>
    </r>
  </si>
  <si>
    <r>
      <t>0.2 × V</t>
    </r>
    <r>
      <rPr>
        <i/>
        <vertAlign val="subscript"/>
        <sz val="11"/>
        <rFont val="Arial"/>
        <family val="2"/>
      </rPr>
      <t>total</t>
    </r>
  </si>
  <si>
    <r>
      <t>ρ × V</t>
    </r>
    <r>
      <rPr>
        <i/>
        <vertAlign val="subscript"/>
        <sz val="11"/>
        <rFont val="Arial"/>
        <family val="2"/>
      </rPr>
      <t>Rm</t>
    </r>
    <r>
      <rPr>
        <i/>
        <vertAlign val="superscript"/>
        <sz val="11"/>
        <rFont val="Arial"/>
        <family val="2"/>
      </rPr>
      <t>2</t>
    </r>
  </si>
  <si>
    <r>
      <t>(V</t>
    </r>
    <r>
      <rPr>
        <i/>
        <vertAlign val="subscript"/>
        <sz val="11"/>
        <rFont val="Arial"/>
        <family val="2"/>
      </rPr>
      <t>t</t>
    </r>
    <r>
      <rPr>
        <i/>
        <sz val="11"/>
        <rFont val="Arial"/>
        <family val="2"/>
      </rPr>
      <t xml:space="preserve">  ∕  R</t>
    </r>
    <r>
      <rPr>
        <i/>
        <vertAlign val="subscript"/>
        <sz val="11"/>
        <rFont val="Arial"/>
        <family val="2"/>
      </rPr>
      <t>m</t>
    </r>
    <r>
      <rPr>
        <i/>
        <sz val="11"/>
        <rFont val="Arial"/>
        <family val="2"/>
      </rPr>
      <t>) × Δp</t>
    </r>
  </si>
  <si>
    <t>by Wind</t>
  </si>
  <si>
    <t>Speed</t>
  </si>
  <si>
    <r>
      <t>The probability of the wind speed, u, exceeding some value u</t>
    </r>
    <r>
      <rPr>
        <vertAlign val="subscript"/>
        <sz val="10"/>
        <rFont val="Arial"/>
        <family val="2"/>
      </rPr>
      <t>0</t>
    </r>
    <r>
      <rPr>
        <sz val="10"/>
        <rFont val="Arial"/>
        <family val="2"/>
      </rPr>
      <t xml:space="preserve"> at a site is defined as the product of the probability that a tornado will strike the point structure (strike probability) and the conditional probability that the wind speed u will exceed u</t>
    </r>
    <r>
      <rPr>
        <vertAlign val="subscript"/>
        <sz val="10"/>
        <rFont val="Arial"/>
        <family val="2"/>
      </rPr>
      <t>0</t>
    </r>
    <r>
      <rPr>
        <sz val="10"/>
        <rFont val="Arial"/>
        <family val="2"/>
      </rPr>
      <t xml:space="preserve"> assuming that a tornado strike, s, occurs:</t>
    </r>
  </si>
  <si>
    <r>
      <t>P</t>
    </r>
    <r>
      <rPr>
        <vertAlign val="subscript"/>
        <sz val="10"/>
        <rFont val="Arial"/>
        <family val="2"/>
      </rPr>
      <t>p</t>
    </r>
    <r>
      <rPr>
        <sz val="10"/>
        <rFont val="Arial"/>
        <family val="2"/>
      </rPr>
      <t xml:space="preserve"> (u ≥ u</t>
    </r>
    <r>
      <rPr>
        <vertAlign val="subscript"/>
        <sz val="10"/>
        <rFont val="Arial"/>
        <family val="2"/>
      </rPr>
      <t>0</t>
    </r>
    <r>
      <rPr>
        <sz val="10"/>
        <rFont val="Arial"/>
        <family val="2"/>
      </rPr>
      <t>) = P</t>
    </r>
    <r>
      <rPr>
        <vertAlign val="subscript"/>
        <sz val="10"/>
        <rFont val="Arial"/>
        <family val="2"/>
      </rPr>
      <t>p</t>
    </r>
    <r>
      <rPr>
        <sz val="10"/>
        <rFont val="Arial"/>
        <family val="2"/>
      </rPr>
      <t xml:space="preserve"> × P</t>
    </r>
    <r>
      <rPr>
        <vertAlign val="subscript"/>
        <sz val="10"/>
        <rFont val="Arial"/>
        <family val="2"/>
      </rPr>
      <t>p</t>
    </r>
    <r>
      <rPr>
        <sz val="10"/>
        <rFont val="Arial"/>
        <family val="2"/>
      </rPr>
      <t xml:space="preserve"> (u ≥ u</t>
    </r>
    <r>
      <rPr>
        <vertAlign val="subscript"/>
        <sz val="10"/>
        <rFont val="Arial"/>
        <family val="2"/>
      </rPr>
      <t>0</t>
    </r>
    <r>
      <rPr>
        <sz val="10"/>
        <rFont val="Arial"/>
        <family val="2"/>
      </rPr>
      <t>|s)</t>
    </r>
  </si>
  <si>
    <r>
      <t>P</t>
    </r>
    <r>
      <rPr>
        <vertAlign val="subscript"/>
        <sz val="10"/>
        <rFont val="Arial"/>
        <family val="2"/>
      </rPr>
      <t>p</t>
    </r>
    <r>
      <rPr>
        <sz val="10"/>
        <rFont val="Arial"/>
        <family val="2"/>
      </rPr>
      <t xml:space="preserve"> = A</t>
    </r>
    <r>
      <rPr>
        <vertAlign val="subscript"/>
        <sz val="10"/>
        <rFont val="Arial"/>
        <family val="2"/>
      </rPr>
      <t>t</t>
    </r>
    <r>
      <rPr>
        <sz val="10"/>
        <rFont val="Arial"/>
        <family val="2"/>
      </rPr>
      <t xml:space="preserve"> ∕ (N × A</t>
    </r>
    <r>
      <rPr>
        <vertAlign val="subscript"/>
        <sz val="10"/>
        <rFont val="Arial"/>
        <family val="2"/>
      </rPr>
      <t>r</t>
    </r>
    <r>
      <rPr>
        <sz val="10"/>
        <rFont val="Arial"/>
        <family val="2"/>
      </rPr>
      <t>)</t>
    </r>
  </si>
  <si>
    <r>
      <t>A</t>
    </r>
    <r>
      <rPr>
        <vertAlign val="subscript"/>
        <sz val="10"/>
        <rFont val="Arial"/>
        <family val="2"/>
      </rPr>
      <t>r</t>
    </r>
    <r>
      <rPr>
        <sz val="10"/>
        <rFont val="Arial"/>
        <family val="2"/>
      </rPr>
      <t xml:space="preserve"> = total area of the region of interest in square miles</t>
    </r>
  </si>
  <si>
    <r>
      <t>"A</t>
    </r>
    <r>
      <rPr>
        <vertAlign val="subscript"/>
        <sz val="10"/>
        <rFont val="Arial"/>
        <family val="2"/>
      </rPr>
      <t>r</t>
    </r>
    <r>
      <rPr>
        <sz val="10"/>
        <rFont val="Arial"/>
        <family val="2"/>
      </rPr>
      <t>" =</t>
    </r>
  </si>
  <si>
    <r>
      <t>"A</t>
    </r>
    <r>
      <rPr>
        <vertAlign val="subscript"/>
        <sz val="10"/>
        <rFont val="Arial"/>
        <family val="2"/>
      </rPr>
      <t>t</t>
    </r>
    <r>
      <rPr>
        <sz val="10"/>
        <rFont val="Arial"/>
        <family val="2"/>
      </rPr>
      <t>" =</t>
    </r>
  </si>
  <si>
    <r>
      <t>P</t>
    </r>
    <r>
      <rPr>
        <vertAlign val="subscript"/>
        <sz val="10"/>
        <rFont val="Arial"/>
        <family val="2"/>
      </rPr>
      <t>p</t>
    </r>
    <r>
      <rPr>
        <sz val="10"/>
        <rFont val="Arial"/>
        <family val="2"/>
      </rPr>
      <t xml:space="preserve"> =</t>
    </r>
  </si>
  <si>
    <r>
      <t>P</t>
    </r>
    <r>
      <rPr>
        <vertAlign val="subscript"/>
        <sz val="10"/>
        <rFont val="Arial"/>
        <family val="2"/>
      </rPr>
      <t>l</t>
    </r>
    <r>
      <rPr>
        <sz val="10"/>
        <rFont val="Arial"/>
        <family val="2"/>
      </rPr>
      <t xml:space="preserve"> (u ≥ u</t>
    </r>
    <r>
      <rPr>
        <vertAlign val="subscript"/>
        <sz val="10"/>
        <rFont val="Arial"/>
        <family val="2"/>
      </rPr>
      <t>0</t>
    </r>
    <r>
      <rPr>
        <sz val="10"/>
        <rFont val="Arial"/>
        <family val="2"/>
      </rPr>
      <t>) = P</t>
    </r>
    <r>
      <rPr>
        <vertAlign val="subscript"/>
        <sz val="10"/>
        <rFont val="Arial"/>
        <family val="2"/>
      </rPr>
      <t>l</t>
    </r>
    <r>
      <rPr>
        <sz val="10"/>
        <rFont val="Arial"/>
        <family val="2"/>
      </rPr>
      <t xml:space="preserve"> × P (u ≥ u</t>
    </r>
    <r>
      <rPr>
        <vertAlign val="subscript"/>
        <sz val="10"/>
        <rFont val="Arial"/>
        <family val="2"/>
      </rPr>
      <t>0</t>
    </r>
    <r>
      <rPr>
        <sz val="10"/>
        <rFont val="Arial"/>
        <family val="2"/>
      </rPr>
      <t>|s)</t>
    </r>
  </si>
  <si>
    <r>
      <t>P</t>
    </r>
    <r>
      <rPr>
        <vertAlign val="subscript"/>
        <sz val="10"/>
        <rFont val="Arial"/>
        <family val="2"/>
      </rPr>
      <t>l</t>
    </r>
    <r>
      <rPr>
        <sz val="10"/>
        <rFont val="Arial"/>
        <family val="2"/>
      </rPr>
      <t xml:space="preserve"> = A</t>
    </r>
    <r>
      <rPr>
        <vertAlign val="subscript"/>
        <sz val="10"/>
        <rFont val="Arial"/>
        <family val="2"/>
      </rPr>
      <t>t</t>
    </r>
    <r>
      <rPr>
        <sz val="10"/>
        <rFont val="Arial"/>
        <family val="2"/>
      </rPr>
      <t xml:space="preserve"> ∕ (N × A</t>
    </r>
    <r>
      <rPr>
        <vertAlign val="subscript"/>
        <sz val="10"/>
        <rFont val="Arial"/>
        <family val="2"/>
      </rPr>
      <t>r</t>
    </r>
    <r>
      <rPr>
        <sz val="10"/>
        <rFont val="Arial"/>
        <family val="2"/>
      </rPr>
      <t>) = (w</t>
    </r>
    <r>
      <rPr>
        <vertAlign val="subscript"/>
        <sz val="10"/>
        <rFont val="Arial"/>
        <family val="2"/>
      </rPr>
      <t>s</t>
    </r>
    <r>
      <rPr>
        <sz val="10"/>
        <rFont val="Arial"/>
        <family val="2"/>
      </rPr>
      <t xml:space="preserve"> × L</t>
    </r>
    <r>
      <rPr>
        <vertAlign val="subscript"/>
        <sz val="10"/>
        <rFont val="Arial"/>
        <family val="2"/>
      </rPr>
      <t>t</t>
    </r>
    <r>
      <rPr>
        <sz val="10"/>
        <rFont val="Arial"/>
        <family val="2"/>
      </rPr>
      <t>) ∕ (N × A</t>
    </r>
    <r>
      <rPr>
        <vertAlign val="subscript"/>
        <sz val="10"/>
        <rFont val="Arial"/>
        <family val="2"/>
      </rPr>
      <t>r</t>
    </r>
    <r>
      <rPr>
        <sz val="10"/>
        <rFont val="Arial"/>
        <family val="2"/>
      </rPr>
      <t>)</t>
    </r>
  </si>
  <si>
    <r>
      <t>w</t>
    </r>
    <r>
      <rPr>
        <vertAlign val="subscript"/>
        <sz val="10"/>
        <rFont val="Arial"/>
        <family val="2"/>
      </rPr>
      <t>s</t>
    </r>
    <r>
      <rPr>
        <sz val="10"/>
        <rFont val="Arial"/>
        <family val="2"/>
      </rPr>
      <t xml:space="preserve"> = characteristic building dimension in miles</t>
    </r>
  </si>
  <si>
    <r>
      <t>L</t>
    </r>
    <r>
      <rPr>
        <vertAlign val="subscript"/>
        <sz val="10"/>
        <rFont val="Arial"/>
        <family val="2"/>
      </rPr>
      <t>t</t>
    </r>
    <r>
      <rPr>
        <sz val="10"/>
        <rFont val="Arial"/>
        <family val="2"/>
      </rPr>
      <t xml:space="preserve"> = total length of tornado paths in miles</t>
    </r>
  </si>
  <si>
    <r>
      <t>"w</t>
    </r>
    <r>
      <rPr>
        <vertAlign val="subscript"/>
        <sz val="10"/>
        <rFont val="Arial"/>
        <family val="2"/>
      </rPr>
      <t>s</t>
    </r>
    <r>
      <rPr>
        <sz val="10"/>
        <rFont val="Arial"/>
        <family val="2"/>
      </rPr>
      <t>" =</t>
    </r>
  </si>
  <si>
    <r>
      <t>"L</t>
    </r>
    <r>
      <rPr>
        <vertAlign val="subscript"/>
        <sz val="10"/>
        <rFont val="Arial"/>
        <family val="2"/>
      </rPr>
      <t>t</t>
    </r>
    <r>
      <rPr>
        <sz val="10"/>
        <rFont val="Arial"/>
        <family val="2"/>
      </rPr>
      <t>" =</t>
    </r>
  </si>
  <si>
    <r>
      <t>P</t>
    </r>
    <r>
      <rPr>
        <vertAlign val="subscript"/>
        <sz val="10"/>
        <rFont val="Arial"/>
        <family val="2"/>
      </rPr>
      <t>l</t>
    </r>
    <r>
      <rPr>
        <sz val="10"/>
        <rFont val="Arial"/>
        <family val="2"/>
      </rPr>
      <t xml:space="preserve"> =</t>
    </r>
  </si>
  <si>
    <r>
      <t>P</t>
    </r>
    <r>
      <rPr>
        <vertAlign val="subscript"/>
        <sz val="10"/>
        <rFont val="Arial"/>
        <family val="2"/>
      </rPr>
      <t>l</t>
    </r>
    <r>
      <rPr>
        <sz val="10"/>
        <rFont val="Arial"/>
        <family val="2"/>
      </rPr>
      <t xml:space="preserve"> (u ≥ u</t>
    </r>
    <r>
      <rPr>
        <vertAlign val="subscript"/>
        <sz val="10"/>
        <rFont val="Arial"/>
        <family val="2"/>
      </rPr>
      <t>0</t>
    </r>
    <r>
      <rPr>
        <sz val="10"/>
        <rFont val="Arial"/>
        <family val="2"/>
      </rPr>
      <t>|s) = (L</t>
    </r>
    <r>
      <rPr>
        <vertAlign val="subscript"/>
        <sz val="10"/>
        <rFont val="Arial"/>
        <family val="2"/>
      </rPr>
      <t>u≥u0</t>
    </r>
    <r>
      <rPr>
        <sz val="10"/>
        <rFont val="Arial"/>
        <family val="2"/>
      </rPr>
      <t>)/ L</t>
    </r>
    <r>
      <rPr>
        <vertAlign val="subscript"/>
        <sz val="10"/>
        <rFont val="Arial"/>
        <family val="2"/>
      </rPr>
      <t>t</t>
    </r>
  </si>
  <si>
    <r>
      <t>L</t>
    </r>
    <r>
      <rPr>
        <vertAlign val="subscript"/>
        <sz val="10"/>
        <rFont val="Arial"/>
        <family val="2"/>
      </rPr>
      <t>u ≥ u0</t>
    </r>
    <r>
      <rPr>
        <sz val="10"/>
        <rFont val="Arial"/>
        <family val="2"/>
      </rPr>
      <t xml:space="preserve"> = total tornado path length with wind speeds equalling or exceeding u</t>
    </r>
    <r>
      <rPr>
        <vertAlign val="subscript"/>
        <sz val="10"/>
        <rFont val="Arial"/>
        <family val="2"/>
      </rPr>
      <t>0</t>
    </r>
    <r>
      <rPr>
        <sz val="10"/>
        <rFont val="Arial"/>
        <family val="2"/>
      </rPr>
      <t>.</t>
    </r>
  </si>
  <si>
    <r>
      <t>P (u ≥ u</t>
    </r>
    <r>
      <rPr>
        <vertAlign val="subscript"/>
        <sz val="10"/>
        <rFont val="Arial"/>
        <family val="2"/>
      </rPr>
      <t>0</t>
    </r>
    <r>
      <rPr>
        <sz val="10"/>
        <rFont val="Arial"/>
        <family val="2"/>
      </rPr>
      <t>) = P</t>
    </r>
    <r>
      <rPr>
        <vertAlign val="subscript"/>
        <sz val="10"/>
        <rFont val="Arial"/>
        <family val="2"/>
      </rPr>
      <t>p</t>
    </r>
    <r>
      <rPr>
        <sz val="10"/>
        <rFont val="Arial"/>
        <family val="2"/>
      </rPr>
      <t xml:space="preserve"> (u ≥ u</t>
    </r>
    <r>
      <rPr>
        <vertAlign val="subscript"/>
        <sz val="10"/>
        <rFont val="Arial"/>
        <family val="2"/>
      </rPr>
      <t>0</t>
    </r>
    <r>
      <rPr>
        <sz val="10"/>
        <rFont val="Arial"/>
        <family val="2"/>
      </rPr>
      <t>) + P</t>
    </r>
    <r>
      <rPr>
        <vertAlign val="subscript"/>
        <sz val="10"/>
        <rFont val="Arial"/>
        <family val="2"/>
      </rPr>
      <t>l</t>
    </r>
    <r>
      <rPr>
        <sz val="10"/>
        <rFont val="Arial"/>
        <family val="2"/>
      </rPr>
      <t xml:space="preserve"> (u ≥ u</t>
    </r>
    <r>
      <rPr>
        <vertAlign val="subscript"/>
        <sz val="10"/>
        <rFont val="Arial"/>
        <family val="2"/>
      </rPr>
      <t>0</t>
    </r>
    <r>
      <rPr>
        <sz val="10"/>
        <rFont val="Arial"/>
        <family val="2"/>
      </rPr>
      <t>)</t>
    </r>
  </si>
  <si>
    <r>
      <t>A</t>
    </r>
    <r>
      <rPr>
        <vertAlign val="subscript"/>
        <sz val="10"/>
        <rFont val="Arial"/>
        <family val="2"/>
      </rPr>
      <t>t</t>
    </r>
    <r>
      <rPr>
        <sz val="10"/>
        <rFont val="Arial"/>
        <family val="2"/>
      </rPr>
      <t xml:space="preserve"> = total area impacted by tornadoes in square miles*</t>
    </r>
  </si>
  <si>
    <t>Number</t>
  </si>
  <si>
    <t>of Counties</t>
  </si>
  <si>
    <t>Tornadoes per square mile per year:</t>
  </si>
  <si>
    <t>(Sq. Miles)</t>
  </si>
  <si>
    <t>6.2 mi. SSE of White Deer
High-based tstms that developed along a surface trough/dryline just NW of AMA slowly moved E, spawning several funnels and one tornado as they encountered better sheer, moisture and instability.</t>
  </si>
  <si>
    <t>Number of Years with this Total</t>
  </si>
  <si>
    <t xml:space="preserve">        the starting time, indicating the tornado touched down only briefly.</t>
  </si>
  <si>
    <t xml:space="preserve">        segment is recorded separately). </t>
  </si>
  <si>
    <t xml:space="preserve">         tornado.  The path length represents the length of the tornado in the individual counties.</t>
  </si>
  <si>
    <t xml:space="preserve">        Old vs. new wind speeds are:</t>
  </si>
  <si>
    <t xml:space="preserve">              F0 = 40 - 72 mph (average = 56 mph),                EF0 = 65 - 85 mph (average = 75 mph);</t>
  </si>
  <si>
    <t xml:space="preserve">              F1 = 73 - 112 mph (average = 92.5 mph,           EF1 = 86 - 110 mph (average = 98 mph);</t>
  </si>
  <si>
    <t xml:space="preserve">              F2 = 113 - 157 mph (average = 135 mph),         EF2 = 111 - 135 mph (average = 123 mph);</t>
  </si>
  <si>
    <t xml:space="preserve">              F3 = 158 - 206 mph (average = 182 mph),         EF3 = 136 - 165 mph (average = 150.5 mph);</t>
  </si>
  <si>
    <t xml:space="preserve">              F4 = 207 - 260 mph (average = 233.5 mph),      EF4 = 166 - 200 mph (average = 183 mph); and</t>
  </si>
  <si>
    <t xml:space="preserve">              F5 = 261 - 318 mph (average = 289.5 mph),      EF5 = 201+ mph. </t>
  </si>
  <si>
    <t xml:space="preserve">        The old Fujita scale winds were approximately "fastest quarter-mile" wind speeds, while the Enhanced</t>
  </si>
  <si>
    <t xml:space="preserve">        Fujita winds are nominally "3-second gust" wind speeds.</t>
  </si>
  <si>
    <t>(Width)</t>
  </si>
  <si>
    <t>(Length)</t>
  </si>
  <si>
    <t>Natural</t>
  </si>
  <si>
    <t>Log</t>
  </si>
  <si>
    <r>
      <t>mi</t>
    </r>
    <r>
      <rPr>
        <vertAlign val="superscript"/>
        <sz val="12"/>
        <rFont val="Arial"/>
        <family val="2"/>
      </rPr>
      <t>2</t>
    </r>
  </si>
  <si>
    <r>
      <t>mi</t>
    </r>
    <r>
      <rPr>
        <vertAlign val="superscript"/>
        <sz val="12"/>
        <color indexed="10"/>
        <rFont val="Arial"/>
        <family val="2"/>
      </rPr>
      <t>2</t>
    </r>
  </si>
  <si>
    <t>Total Area in AMA NWS CWA:</t>
  </si>
  <si>
    <t>developed by Alan Scruggs</t>
  </si>
  <si>
    <t>Current Revision:</t>
  </si>
  <si>
    <t>Current Revision Date:</t>
  </si>
  <si>
    <t>Comments</t>
  </si>
  <si>
    <t>Revision</t>
  </si>
  <si>
    <t>Revision History for Tornado Database</t>
  </si>
  <si>
    <t>Original Issue</t>
  </si>
  <si>
    <t>000</t>
  </si>
  <si>
    <t>Use of the filter sort - Select Drop Down Feature</t>
  </si>
  <si>
    <t>Helpful Hints Regarding the Use of This Database</t>
  </si>
  <si>
    <t>tornado from an area town, the atmospheric conditions for that day, or a</t>
  </si>
  <si>
    <t>discussion regarding any discrepancy between this database and one or more</t>
  </si>
  <si>
    <t xml:space="preserve">Column "Q" is reserved for any annotations, such as the location of the </t>
  </si>
  <si>
    <t>Column "W" is reserved for notes such as the state of the pacific ocean</t>
  </si>
  <si>
    <t>This sheet calculates the maximum APC for two different Performance Categories.</t>
  </si>
  <si>
    <t>Tornado Information by F Rating:</t>
  </si>
  <si>
    <t>yellow.</t>
  </si>
  <si>
    <t>NOTE: Multiple columns may be filtered simultaneously to pin point very specific</t>
  </si>
  <si>
    <t>is "three."</t>
  </si>
  <si>
    <t xml:space="preserve">month of March between 6 and 7 PM, CST?  As of the spring of 2010, the answer </t>
  </si>
  <si>
    <t>Self explanatory.  Each year following an update to the database, simply increment</t>
  </si>
  <si>
    <t>temperatures (e.g., El Nino to Neutral, etc.).</t>
  </si>
  <si>
    <t>Total area in the OK Panhandle:</t>
  </si>
  <si>
    <t>Total area in the TX Panhandle:</t>
  </si>
  <si>
    <t>Use the "Filter Sort" buttons at the bottom right hand corner of selected header</t>
  </si>
  <si>
    <t>row columns.  Click on the arrow and select the item from the drop down list.</t>
  </si>
  <si>
    <t>TORNADO CLIMATOLOGY OF THE TEXAS AND OKLAHOMA PANHANDLES</t>
  </si>
  <si>
    <t>001</t>
  </si>
  <si>
    <t>Tornado Segment Statistics for the Texas and Oklahoma Panhandles</t>
  </si>
  <si>
    <t>F0/EF0</t>
  </si>
  <si>
    <t>F1/EF1</t>
  </si>
  <si>
    <t>F2/EF2</t>
  </si>
  <si>
    <t>F3/EF3</t>
  </si>
  <si>
    <t>F4/EF4</t>
  </si>
  <si>
    <t>Total Number of Segments</t>
  </si>
  <si>
    <t>Number of Segments with Length</t>
  </si>
  <si>
    <t>Median (mi)</t>
  </si>
  <si>
    <t>Average (mi)</t>
  </si>
  <si>
    <t>Number of Segments with Width</t>
  </si>
  <si>
    <t>Number of Segments with Areas</t>
  </si>
  <si>
    <t>(a)  Estimated limit on expected value, assuming a lognormal distribution for tornado parameters</t>
  </si>
  <si>
    <t>(b) Assuming a lognormal distribution for tornado parameters</t>
  </si>
  <si>
    <t>(Area)</t>
  </si>
  <si>
    <t>Median (yd)</t>
  </si>
  <si>
    <t>Average (yd)</t>
  </si>
  <si>
    <t>Area impacted (all tornadoes) =</t>
  </si>
  <si>
    <r>
      <t>5th Percentile (mi)</t>
    </r>
    <r>
      <rPr>
        <vertAlign val="superscript"/>
        <sz val="10"/>
        <rFont val="Arial"/>
        <family val="2"/>
      </rPr>
      <t>(a)</t>
    </r>
  </si>
  <si>
    <r>
      <t>Expected Value (mi)</t>
    </r>
    <r>
      <rPr>
        <vertAlign val="superscript"/>
        <sz val="10"/>
        <rFont val="Arial"/>
        <family val="2"/>
      </rPr>
      <t>(b)</t>
    </r>
  </si>
  <si>
    <r>
      <t>95th Percentile (mi)</t>
    </r>
    <r>
      <rPr>
        <vertAlign val="superscript"/>
        <sz val="10"/>
        <rFont val="Arial"/>
        <family val="2"/>
      </rPr>
      <t>(a)</t>
    </r>
  </si>
  <si>
    <r>
      <t>5th Percentile (yd)</t>
    </r>
    <r>
      <rPr>
        <vertAlign val="superscript"/>
        <sz val="10"/>
        <rFont val="Arial"/>
        <family val="2"/>
      </rPr>
      <t>(a)</t>
    </r>
  </si>
  <si>
    <r>
      <t>Expected Value (yd)</t>
    </r>
    <r>
      <rPr>
        <vertAlign val="superscript"/>
        <sz val="10"/>
        <rFont val="Arial"/>
        <family val="2"/>
      </rPr>
      <t>(b)</t>
    </r>
  </si>
  <si>
    <r>
      <t>95th Percentile (yd)</t>
    </r>
    <r>
      <rPr>
        <vertAlign val="superscript"/>
        <sz val="10"/>
        <rFont val="Arial"/>
        <family val="2"/>
      </rPr>
      <t>(a)</t>
    </r>
  </si>
  <si>
    <r>
      <t>Median (mi</t>
    </r>
    <r>
      <rPr>
        <vertAlign val="superscript"/>
        <sz val="10"/>
        <rFont val="Arial"/>
        <family val="2"/>
      </rPr>
      <t>2</t>
    </r>
    <r>
      <rPr>
        <sz val="10"/>
        <rFont val="Arial"/>
        <family val="2"/>
      </rPr>
      <t>)</t>
    </r>
  </si>
  <si>
    <r>
      <t>Average (mi</t>
    </r>
    <r>
      <rPr>
        <vertAlign val="superscript"/>
        <sz val="10"/>
        <rFont val="Arial"/>
        <family val="2"/>
      </rPr>
      <t>2</t>
    </r>
    <r>
      <rPr>
        <sz val="10"/>
        <rFont val="Arial"/>
        <family val="2"/>
      </rPr>
      <t>)</t>
    </r>
  </si>
  <si>
    <r>
      <t>5th Percentile (mi</t>
    </r>
    <r>
      <rPr>
        <vertAlign val="superscript"/>
        <sz val="10"/>
        <rFont val="Arial"/>
        <family val="2"/>
      </rPr>
      <t>2</t>
    </r>
    <r>
      <rPr>
        <sz val="10"/>
        <rFont val="Arial"/>
        <family val="2"/>
      </rPr>
      <t>)</t>
    </r>
    <r>
      <rPr>
        <vertAlign val="superscript"/>
        <sz val="10"/>
        <rFont val="Arial"/>
        <family val="2"/>
      </rPr>
      <t>(a)</t>
    </r>
  </si>
  <si>
    <r>
      <t>Expected Value (mi</t>
    </r>
    <r>
      <rPr>
        <vertAlign val="superscript"/>
        <sz val="10"/>
        <rFont val="Arial"/>
        <family val="2"/>
      </rPr>
      <t>2</t>
    </r>
    <r>
      <rPr>
        <sz val="10"/>
        <rFont val="Arial"/>
        <family val="2"/>
      </rPr>
      <t>)</t>
    </r>
    <r>
      <rPr>
        <vertAlign val="superscript"/>
        <sz val="10"/>
        <rFont val="Arial"/>
        <family val="2"/>
      </rPr>
      <t>(b)</t>
    </r>
  </si>
  <si>
    <r>
      <t>95th Percentile (mi</t>
    </r>
    <r>
      <rPr>
        <vertAlign val="superscript"/>
        <sz val="10"/>
        <rFont val="Arial"/>
        <family val="2"/>
      </rPr>
      <t>2</t>
    </r>
    <r>
      <rPr>
        <sz val="10"/>
        <rFont val="Arial"/>
        <family val="2"/>
      </rPr>
      <t>)</t>
    </r>
    <r>
      <rPr>
        <vertAlign val="superscript"/>
        <sz val="10"/>
        <rFont val="Arial"/>
        <family val="2"/>
      </rPr>
      <t>(a)</t>
    </r>
  </si>
  <si>
    <t>W &gt; 2000</t>
  </si>
  <si>
    <t>Tornado Segment Areas in the AMA NWS CWA</t>
  </si>
  <si>
    <t>Distribution of Tornado Segment Areas in the AMA NWS CWA</t>
  </si>
  <si>
    <r>
      <t>Area (mi</t>
    </r>
    <r>
      <rPr>
        <b/>
        <vertAlign val="superscript"/>
        <sz val="12"/>
        <rFont val="Arial"/>
        <family val="2"/>
      </rPr>
      <t>2</t>
    </r>
    <r>
      <rPr>
        <b/>
        <sz val="12"/>
        <rFont val="Arial"/>
        <family val="2"/>
      </rPr>
      <t>)</t>
    </r>
  </si>
  <si>
    <t>0.1 ≤ A &lt; 0.2</t>
  </si>
  <si>
    <t>0.2 ≤ A &lt; 0.5</t>
  </si>
  <si>
    <t>0.5 ≤ A &lt; 1</t>
  </si>
  <si>
    <t>1 ≤ A &lt; 2</t>
  </si>
  <si>
    <t>2 ≤ A &lt; 5</t>
  </si>
  <si>
    <t>5 ≤ A &lt; 10</t>
  </si>
  <si>
    <t>10 ≤ A &lt; 20</t>
  </si>
  <si>
    <t>20 ≤ A &lt; 50</t>
  </si>
  <si>
    <t>Width (rounded)</t>
  </si>
  <si>
    <t>Length (rounded)</t>
  </si>
  <si>
    <t>Area (rounded)</t>
  </si>
  <si>
    <t>0.0002 ≤ A &lt; 0.0005</t>
  </si>
  <si>
    <t>0.0005 ≤ A &lt; 0.001</t>
  </si>
  <si>
    <t>0.001 ≤ A &lt; 0.002</t>
  </si>
  <si>
    <t>0.002 ≤ A &lt; 0.005</t>
  </si>
  <si>
    <t>0.005 ≤ A &lt; 0.01</t>
  </si>
  <si>
    <t>0.01 ≤ A &lt; 0.02</t>
  </si>
  <si>
    <t>0.02 ≤ A &lt; 0.05</t>
  </si>
  <si>
    <t>0.05 ≤ A &lt; 0.1</t>
  </si>
  <si>
    <r>
      <rPr>
        <sz val="12"/>
        <rFont val="Calibri"/>
        <family val="2"/>
      </rPr>
      <t>≥</t>
    </r>
    <r>
      <rPr>
        <sz val="10.8"/>
        <rFont val="Arial"/>
        <family val="2"/>
      </rPr>
      <t xml:space="preserve"> 0.0002</t>
    </r>
  </si>
  <si>
    <r>
      <rPr>
        <sz val="12"/>
        <rFont val="Calibri"/>
        <family val="2"/>
      </rPr>
      <t>≥</t>
    </r>
    <r>
      <rPr>
        <sz val="10.8"/>
        <rFont val="Arial"/>
        <family val="2"/>
      </rPr>
      <t xml:space="preserve"> 0.0005</t>
    </r>
  </si>
  <si>
    <r>
      <rPr>
        <sz val="12"/>
        <rFont val="Calibri"/>
        <family val="2"/>
      </rPr>
      <t>≥</t>
    </r>
    <r>
      <rPr>
        <sz val="10.8"/>
        <rFont val="Arial"/>
        <family val="2"/>
      </rPr>
      <t xml:space="preserve"> 0.001</t>
    </r>
  </si>
  <si>
    <r>
      <rPr>
        <sz val="12"/>
        <rFont val="Calibri"/>
        <family val="2"/>
      </rPr>
      <t>≥</t>
    </r>
    <r>
      <rPr>
        <sz val="10.8"/>
        <rFont val="Arial"/>
        <family val="2"/>
      </rPr>
      <t xml:space="preserve"> 0.002</t>
    </r>
  </si>
  <si>
    <r>
      <rPr>
        <sz val="12"/>
        <rFont val="Calibri"/>
        <family val="2"/>
      </rPr>
      <t>≥</t>
    </r>
    <r>
      <rPr>
        <sz val="10.8"/>
        <rFont val="Arial"/>
        <family val="2"/>
      </rPr>
      <t xml:space="preserve"> 0.005</t>
    </r>
  </si>
  <si>
    <r>
      <rPr>
        <sz val="12"/>
        <rFont val="Calibri"/>
        <family val="2"/>
      </rPr>
      <t>≥</t>
    </r>
    <r>
      <rPr>
        <sz val="10.8"/>
        <rFont val="Arial"/>
        <family val="2"/>
      </rPr>
      <t xml:space="preserve"> 0.01</t>
    </r>
  </si>
  <si>
    <r>
      <rPr>
        <sz val="12"/>
        <rFont val="Calibri"/>
        <family val="2"/>
      </rPr>
      <t>≥</t>
    </r>
    <r>
      <rPr>
        <sz val="10.8"/>
        <rFont val="Arial"/>
        <family val="2"/>
      </rPr>
      <t xml:space="preserve"> 0.02</t>
    </r>
  </si>
  <si>
    <r>
      <rPr>
        <sz val="12"/>
        <rFont val="Calibri"/>
        <family val="2"/>
      </rPr>
      <t>≥</t>
    </r>
    <r>
      <rPr>
        <sz val="10.8"/>
        <rFont val="Arial"/>
        <family val="2"/>
      </rPr>
      <t xml:space="preserve"> 0.05</t>
    </r>
  </si>
  <si>
    <t>Tornado Area Intensity Distribution for Point Structure Design Wind Speed Estimates</t>
  </si>
  <si>
    <t>Tornado Length Intensity Distribution for Finite-Structure Design Wind Speed Estimates</t>
  </si>
  <si>
    <r>
      <t>(mi</t>
    </r>
    <r>
      <rPr>
        <b/>
        <vertAlign val="superscript"/>
        <sz val="12"/>
        <rFont val="Arial"/>
        <family val="2"/>
      </rPr>
      <t>2</t>
    </r>
    <r>
      <rPr>
        <b/>
        <sz val="12"/>
        <rFont val="Arial"/>
        <family val="2"/>
      </rPr>
      <t>)</t>
    </r>
  </si>
  <si>
    <r>
      <t>Range (mi</t>
    </r>
    <r>
      <rPr>
        <b/>
        <vertAlign val="superscript"/>
        <sz val="12"/>
        <rFont val="Arial"/>
        <family val="2"/>
      </rPr>
      <t>2</t>
    </r>
    <r>
      <rPr>
        <b/>
        <sz val="12"/>
        <rFont val="Arial"/>
        <family val="2"/>
      </rPr>
      <t>)</t>
    </r>
  </si>
  <si>
    <t>TORNADO MODEL</t>
  </si>
  <si>
    <t>per year</t>
  </si>
  <si>
    <r>
      <t>P</t>
    </r>
    <r>
      <rPr>
        <vertAlign val="subscript"/>
        <sz val="10"/>
        <rFont val="Arial"/>
        <family val="2"/>
      </rPr>
      <t>p</t>
    </r>
    <r>
      <rPr>
        <sz val="10"/>
        <rFont val="Arial"/>
        <family val="2"/>
      </rPr>
      <t xml:space="preserve"> (u ≥ u</t>
    </r>
    <r>
      <rPr>
        <vertAlign val="subscript"/>
        <sz val="10"/>
        <rFont val="Arial"/>
        <family val="2"/>
      </rPr>
      <t>0</t>
    </r>
    <r>
      <rPr>
        <sz val="10"/>
        <rFont val="Arial"/>
        <family val="2"/>
      </rPr>
      <t>|s) = (A</t>
    </r>
    <r>
      <rPr>
        <vertAlign val="subscript"/>
        <sz val="10"/>
        <rFont val="Arial"/>
        <family val="2"/>
      </rPr>
      <t>u≥u0</t>
    </r>
    <r>
      <rPr>
        <sz val="10"/>
        <rFont val="Arial"/>
        <family val="2"/>
      </rPr>
      <t>)/ A</t>
    </r>
    <r>
      <rPr>
        <vertAlign val="subscript"/>
        <sz val="10"/>
        <rFont val="Arial"/>
        <family val="2"/>
      </rPr>
      <t>t</t>
    </r>
  </si>
  <si>
    <t>Path Lengths*</t>
  </si>
  <si>
    <t>by F Scale*</t>
  </si>
  <si>
    <r>
      <t>mi</t>
    </r>
    <r>
      <rPr>
        <vertAlign val="superscript"/>
        <sz val="10"/>
        <rFont val="Arial"/>
        <family val="2"/>
      </rPr>
      <t>2</t>
    </r>
  </si>
  <si>
    <t>(assumed characteristic width)</t>
  </si>
  <si>
    <t>The AMA NWS website, the SPC and the NCDC databases all list the date as 4-13-73.  Storm Data does not list any tornadoes in the AMA NWS CWA for the 13th other than the Potter Co. tornado listed above.  For the event on the 14th, Storm Data lists the start time as 1730 hrs CST.  NWS stated to use the Storm Data date and 1800 hrs CST as the start time (e-mail Schneider to Scruggs).  Based on the fact that this tornado also passed through much of Carson County before reaching Gray County at 18:15 hrs, the Storm Data start time of 17:30 hrs makes more sense, and is shown.
Tornado crossed into Carson Co. (no entry)</t>
  </si>
  <si>
    <t>The AMA NWS website &amp; NCDC databases list the date for this tornado as April 13th.  The information in Storm Data supports the conclusion that this is a continuation of the Armstrong Co. tornado that touched down on the 14th, leaving a 70-mile damage path from near Washburn through the city of Panhandle, along with areas near Skellytown and Canadian.  Note that the strength and path width are the same for the two entries.  The combined path lengths for Armstrong and Gray counties reported in the NCDC database (75 miles) is close to the Storm Data path length of 70 miles for the April 14th tornado.  Since Gray Co. is not specifically mentioned in Storm Data (but perhaps should have been), I debated changing this database entry to Carson Co. to account for the damage in the city of Panhandle as noted in Storm Data.  However, in the end I left the county as previous listed.  
Tornado originated in Armstrong Co., and passed through Carson County before entering Gray Co., and then Roberts and Hemphill Counties (no entry for Carson, Roberts, or Hemphill Counties).</t>
  </si>
  <si>
    <t>5 mi. SW of Shamrock
Length estimated.  Total tornado length was about 15 miles as listed in Storm Data.
Tornado crossed into Wheeler Co.</t>
  </si>
  <si>
    <t>The width listed in NCDC database (33 yards), is not consistent with the Collingsworth Co. entry above.  Used the same width as Collingsworth Co. and as listed in Storm Data.
Tornado originated in Collingsworth Co.</t>
  </si>
  <si>
    <t>8 mi. SE of Boise City
Start time as listed in Storm Data.
Tornado crossed into Colorado.</t>
  </si>
  <si>
    <t>A start time is really unknown for this tornado, which is only briefly mentioned in Storm Data as being witnessed alongside the above tornado.
Tornado crossed into Colorado</t>
  </si>
  <si>
    <t>AMA NWS web database incorrectly classifies this as F3.  Storm Data and NCDC database list a rating of F4.
Tornado originated in Moore Co., and crossed into Ochiltree Co.</t>
  </si>
  <si>
    <t xml:space="preserve">11 mi. E of Four Way
This tornado lifted as it moved over the SRN portions of Lake Meredith, sparing the NW sections of Fritch.  It then set down in the SE part of Fritch, traveling another 8 miles or so until it dissipated in Carson Co.  Total path length was 18 miles per Storm Data.  Length in Moore Co. is based on NCDC database.
Tornado crossed into Hutchinson Co.  </t>
  </si>
  <si>
    <t>NDCD database lists the length as 5 miles.  Length in Hutchinson Co. is based on total path length of 18 miles less 10 miles in Moore Co. less 5 miles in Carson Co.
Tornado originated in Moore Co., and crossed into Carson Co.</t>
  </si>
  <si>
    <t>2 mi. SW of Fritch
Tornado crossed into Hutchinson Co.</t>
  </si>
  <si>
    <t>Tail end of the Fritch F4 tornado.  Length based on NCDC database.
Tornado originated in Moore county, and passed through Hutchinson Co. before crossing into Carson Co.</t>
  </si>
  <si>
    <t>4 mi. NE of Nara Visa
Tornado originated in Quay Co.</t>
  </si>
  <si>
    <t>1 mi. N of McLean
SPC database length of 29 miles is for the entire tract (2 counties).  Length from Storm Data.
Tornado crossed into Wheeler Co.</t>
  </si>
  <si>
    <t>5 mi. SW of Kellerville
Tornado originated in Gray Co.</t>
  </si>
  <si>
    <t>3 mi. NW of Allison
Tornado originated in Wheeler Co.</t>
  </si>
  <si>
    <t>1 mi. W of McLean
Tornado crossed into Donley Co.</t>
  </si>
  <si>
    <t>20 mi. ENE of Jericho
Tornado originated in Gray Co.</t>
  </si>
  <si>
    <t>10 mi. NE of Lipscomb
Start time in AMA NWS database (1956 hrs CST) is incorrect per Storm Data.  NCDC database has the correct start time.
Tornado crossed into Oklahoma</t>
  </si>
  <si>
    <t>8 mi. NNW of McBride.
Tornado crossed into Hutchinson Co.</t>
  </si>
  <si>
    <t>15 mi. ENE of Amarillo
Tornado crossed into Carson Co.</t>
  </si>
  <si>
    <t>15 mi. SW of Panhandle
Tornado originated in Potter Co.</t>
  </si>
  <si>
    <t>13 mi. WSW of Rolla
Tornado originated in Donley Co.</t>
  </si>
  <si>
    <t>1 mi. WSW of Fritch
Tornado crossed into Carson Co. and soon dissipated.  No separate entry was made for Carson Co.</t>
  </si>
  <si>
    <t>3 mi. SSW of Jericho
Tornado crossed into Gray county.  Considerable damage reported.</t>
  </si>
  <si>
    <t>4 mi. W of Boys Ranch
Similar setup to March 28th, but not quite as much surface moisture.  Upper low near the 4 corners region.  Dryline located along the TX/NM border.  Pacific cold front moving E through ERN NM.    Most storms formed along the dryline.
Tornado crossed into Hartley Co.</t>
  </si>
  <si>
    <t>3 mi. SSE of Channing
Tornado originated in Oldham Co.</t>
  </si>
  <si>
    <t>10 mi. WSW of Dumas
Tornado hit Cactus and then crossed into Sherman Co.</t>
  </si>
  <si>
    <t>17 mi. SSE of Stratford
Tornado originated in Moore Co.</t>
  </si>
  <si>
    <t>4 mi. E of Sunray
Tornado crossed into Sherman Co.</t>
  </si>
  <si>
    <t>19 mi. SE of Stratford
Tornado originated in Moore Co.</t>
  </si>
  <si>
    <t>9 mi. ENE of Claude
Tornado crossed into Carson Co.</t>
  </si>
  <si>
    <t>2 mi. SW of Groom
Tornado originated in Armstrong Co.</t>
  </si>
  <si>
    <t>14 mi. NE of Lutie
Tornado crossed into Wheeler Co.</t>
  </si>
  <si>
    <t>8 mi. ESE of Shamrock
Tornado originated in extreme NERN Collingsworth Co.</t>
  </si>
  <si>
    <t>6 mi. NE of Channing
Tornado crossed into Moore Co.</t>
  </si>
  <si>
    <t>10 mi. SW of Dumas airport
Tornado originated in Hartley Co.</t>
  </si>
  <si>
    <t>2.    The ending times are from the NCDC database.  For a few tornadoes, the ending time is the same as</t>
  </si>
  <si>
    <t>3.     Some tornadoes are counted more than once in a given year if they cross county lines (each county</t>
  </si>
  <si>
    <t>4.     The path width represents the maximum width listed in Storm Data for any county impacted by the</t>
  </si>
  <si>
    <t>5.     The new enhanced Fujita (EF-X) ratings were effective with the 2007 tornado season.</t>
  </si>
  <si>
    <t>F5/EF5*</t>
  </si>
  <si>
    <t>0 to 19</t>
  </si>
  <si>
    <t>20 to 29</t>
  </si>
  <si>
    <t>30 to 39</t>
  </si>
  <si>
    <t>40 to 49</t>
  </si>
  <si>
    <t>50 to 59</t>
  </si>
  <si>
    <t>60 to 69</t>
  </si>
  <si>
    <t>70 to 79</t>
  </si>
  <si>
    <t>Legend:</t>
  </si>
  <si>
    <t>80 to 89</t>
  </si>
  <si>
    <t>Start Hour</t>
  </si>
  <si>
    <t>8 mi. SW of Allison
The "Allison" tornado.  This tornado is the largest recorded tornado (width) in the AMA NWS CWA.  This tornado may have produced F5 windspeeds, but a lack of observable structural damage prevented assigning a rating that high.
Tornado crossed into Hemphill Co.</t>
  </si>
  <si>
    <t>Total Length</t>
  </si>
  <si>
    <t>Total length of all tornadoes =</t>
  </si>
  <si>
    <t>Cum.</t>
  </si>
  <si>
    <t>Avg.</t>
  </si>
  <si>
    <t>(F0/EF0)</t>
  </si>
  <si>
    <t>(F1/EF1)</t>
  </si>
  <si>
    <t>(F2/EF2)</t>
  </si>
  <si>
    <t>(F3/EF3)</t>
  </si>
  <si>
    <t>(F4/EF4)</t>
  </si>
  <si>
    <r>
      <t>(mi</t>
    </r>
    <r>
      <rPr>
        <b/>
        <sz val="12"/>
        <rFont val="Arial"/>
        <family val="2"/>
      </rPr>
      <t>)</t>
    </r>
  </si>
  <si>
    <r>
      <t>Range (mi</t>
    </r>
    <r>
      <rPr>
        <b/>
        <sz val="12"/>
        <rFont val="Arial"/>
        <family val="2"/>
      </rPr>
      <t>)</t>
    </r>
  </si>
  <si>
    <t>*     Information for F5/EF5 tornadoes is based on 1947 event</t>
  </si>
  <si>
    <t>*     Information for F5 / EF5 tornadoes is based on 1947 event.</t>
  </si>
  <si>
    <t xml:space="preserve">information (e.g., how many tornadoes have occurred in Donley county during the </t>
  </si>
  <si>
    <t>of the source databases.  Discrepancies and my resolution are shaded in bright</t>
  </si>
  <si>
    <t>Encyclopedia.</t>
  </si>
  <si>
    <t>Self explanatory.  No updates are needed for this sheet.  The area information is</t>
  </si>
  <si>
    <t>No updates are needed for this sheet.  The information is automatically updated.</t>
  </si>
  <si>
    <t>This worksheet begins the calculations for the probability that a given point or finite</t>
  </si>
  <si>
    <t>The probability that a point or finite structure will experience a wind speed</t>
  </si>
  <si>
    <t>structure will experience a wind speed associated with a tornado (per year).</t>
  </si>
  <si>
    <t>Number of Years of Data:</t>
  </si>
  <si>
    <t>Graphs:</t>
  </si>
  <si>
    <t>Counties:</t>
  </si>
  <si>
    <t>Atmospheric Pressure Change:</t>
  </si>
  <si>
    <t>Distribution:</t>
  </si>
  <si>
    <t>Adjustments to Data:</t>
  </si>
  <si>
    <t>Tornado Model:</t>
  </si>
  <si>
    <t>F5*</t>
  </si>
  <si>
    <t xml:space="preserve">       towns of Glazier and Higgins, Texas following the tornado.  No official rating exists for this tornado.</t>
  </si>
  <si>
    <t>*     Note that this rating is based on the opinion of the AMA NWS WCM after reviewing photographs taken of the</t>
  </si>
  <si>
    <t>Segment Statistics:</t>
  </si>
  <si>
    <t>This sheet calculates the expected value for the path width, length and area for</t>
  </si>
  <si>
    <t>distribution, the values are transformed by taking the natural logarithm of the value,</t>
  </si>
  <si>
    <t>5%, and 95% of the transformed values are then transformed back to establish</t>
  </si>
  <si>
    <t>TEXAS AND OKLAHOMA PANHANDLE TORNADO SEGMENTS BY COUNTY</t>
  </si>
  <si>
    <t>90 +</t>
  </si>
  <si>
    <t>12 AM</t>
  </si>
  <si>
    <t>1 AM</t>
  </si>
  <si>
    <t>2 AM</t>
  </si>
  <si>
    <t>3 AM</t>
  </si>
  <si>
    <t>4 AM</t>
  </si>
  <si>
    <t>5 AM</t>
  </si>
  <si>
    <t>6 AM</t>
  </si>
  <si>
    <t>7 AM</t>
  </si>
  <si>
    <t>8 AM</t>
  </si>
  <si>
    <t>9 AM</t>
  </si>
  <si>
    <t>10 AM</t>
  </si>
  <si>
    <t>11 AM</t>
  </si>
  <si>
    <t>1 PM</t>
  </si>
  <si>
    <t>2 PM</t>
  </si>
  <si>
    <t>3 PM</t>
  </si>
  <si>
    <t>4 PM</t>
  </si>
  <si>
    <t>5 PM</t>
  </si>
  <si>
    <t>6 PM</t>
  </si>
  <si>
    <t>7 PM</t>
  </si>
  <si>
    <t>8 PM</t>
  </si>
  <si>
    <t>9 PM</t>
  </si>
  <si>
    <t>10 PM</t>
  </si>
  <si>
    <t>11 PM</t>
  </si>
  <si>
    <t>Tornado originated in Donley Co.</t>
  </si>
  <si>
    <t>Tornado originated in Collingsworth Co., and then crossed into Oklahoma.</t>
  </si>
  <si>
    <t>9 mi. NW of Dalhart
Start time is that listed in Storm Data.</t>
  </si>
  <si>
    <t>10 mi. SW of McLean
The NCDC database incorrectly lists this tornado as occurring on 6-1-95 at 1718 hrs CST.  Info obtained from Storm Data.
Tornado crossed into Gray Co.</t>
  </si>
  <si>
    <t>6 mi. SW of McLean
Tornado originated in Donley Co.</t>
  </si>
  <si>
    <t>10 mi. SE of Elmwood
Tornado originated in Lipscomb Co.</t>
  </si>
  <si>
    <t>AMA NWS web database incorrectly classifies this as F3.  Storm Data and NCDC database list a rating of F4.
Tornado originated in Moore Co., and passed through Hansford Co.   It continued into Beaver Co.</t>
  </si>
  <si>
    <t>Ending time is estimated based on time in Carson Co.
Tornado originated in Carson Co.</t>
  </si>
  <si>
    <t>of Initial</t>
  </si>
  <si>
    <t>Touchdown</t>
  </si>
  <si>
    <t>NOTES
(touchdown locations, database reconciliation )</t>
  </si>
  <si>
    <t>AMARILLO NWS TORNADO SUMMARY - SEGMENTS</t>
  </si>
  <si>
    <t>AMARILLO NWS TORNADO SUMMARY - WHOLE TORNADOES</t>
  </si>
  <si>
    <t>TORNADO BREAKDOWN BY YEAR:</t>
  </si>
  <si>
    <t>Database Notes</t>
  </si>
  <si>
    <t>(All segments)</t>
  </si>
  <si>
    <t>Entire worksheet:  Cells shaded in light yellow are cells for which information is to be</t>
  </si>
  <si>
    <t>Tornado Databases:</t>
  </si>
  <si>
    <t>a.</t>
  </si>
  <si>
    <t>b.</t>
  </si>
  <si>
    <t>c.</t>
  </si>
  <si>
    <t>GRAPHICAL ANALYSIS OF THE DATA</t>
  </si>
  <si>
    <t>TORNADOES BY YEAR:</t>
  </si>
  <si>
    <t>Strength and</t>
  </si>
  <si>
    <t>VIOLENT TORNADOES BY HOUR</t>
  </si>
  <si>
    <t>STRONG TORNADOES BY HOUR</t>
  </si>
  <si>
    <t>WEAK TORNADOES BY HOUR</t>
  </si>
  <si>
    <t>Database of F1 / EF1 Tornado Segments</t>
  </si>
  <si>
    <t>Database of F0 / EF0 Tornado Segments</t>
  </si>
  <si>
    <t>Database of F2 / EF2 Tornado Segments</t>
  </si>
  <si>
    <t>Database of F3 / EF3 Tornado Segments</t>
  </si>
  <si>
    <t>Database of F4 / EF4 Tornado Segments</t>
  </si>
  <si>
    <t>Database of EF5 Tornado Segments</t>
  </si>
  <si>
    <t>Area Impacted by Tornado Segments in the AMA NWS CWA</t>
  </si>
  <si>
    <r>
      <t>Total Tornado Segment Path Length with Wind Speeds Equaling or Greater than u</t>
    </r>
    <r>
      <rPr>
        <b/>
        <vertAlign val="subscript"/>
        <sz val="12"/>
        <rFont val="Arial"/>
        <family val="2"/>
      </rPr>
      <t>o</t>
    </r>
  </si>
  <si>
    <t>The first tornado began near Lazbuddie at 2230 CST and traveled NE.  Per Storm Data, other confirmed touchdowns were near the SW corner of Randall Co., near Conway, and SW of Pampa, moving into the city limits.  This tornado family (#1 for this date) ended at 0115 hrs CST on the 18th.  This family of F4 tornadoes had a total length of 120 miles, with a path width of up to 1/2 mile.  NCDC, SPC and AMA databases do not list Armstrong or Carson Counties, only Randall and Gray Counties.  Storm Data includes all four counties in our CWA:  Randall, Armstrong, Carson, and Gray. 
Tornado originated in Parmer Co., and passed through Castro Co. before entering Randall Co.
Tornado crossed into Armstrong Co.</t>
  </si>
  <si>
    <t>This and the next three entries represent the third and final tornado family for this significant Panhandle/South Plains outbreak as described in Storm Data.  The first tornado began ~ 15 miles northeast of Tulia and touched down on and off for about 65 miles, finally ending north of McLean.  NCDC, SPC and AMA databases do not include a listing for Armstrong County.  Storm Data lists Swisher, Armstrong, Donley and Gray Counties.    All times are based on Storm Data copy.
Tornado originated in Swisher Co., and passed through Briscoe and Armstrong Counties before entering Donley Co.</t>
  </si>
  <si>
    <t>Latest "first" tornado of the year:  August 7, 1998</t>
  </si>
  <si>
    <t>Per Storm Data, this family of tornadoes (#2 for this date) began near Whiteface at 2050 hours CST, and ended near Hedley at 0040 hours, CST.  The family of F4 tornadoes traveled approximately 140 miles, with a path width of up to 1/2 mile.
Tornado originated in Cochran Co., and passed through Hockley, Lamb, Hale, Swisher, Briscoe, and Hall Counties before entering Donley Co.</t>
  </si>
  <si>
    <t>Continuation of the Randall Co. tornado family above.
Tornado family originated in Parmer Co., and passed through Castro, Randall, Armstrong, and Carson Counties before entering Gray Co.</t>
  </si>
  <si>
    <t>Very brief touchdown.
3 mi. NE of Umbarger</t>
  </si>
  <si>
    <t>3 mi. S of Goodnight</t>
  </si>
  <si>
    <t>A strong upper low/trough  was moving NE from NM into CO.  Surface low pressure developing in SE CO with a trailing dryline set up across the central OK and TX Panhandles.  Surface DPs E of the dryline in the upper 50s to low 60s.  As the morning low clouds burned off by noon, a series of svr tstms developed in the NRN TX Panhandle along the dryline.  By 1530 hrs, others developed just E. of the dryline and moved NE.
 Most of the action occurred along a line from near Goodnight to near Lefors.
5 mi. NE of Goodnight</t>
  </si>
  <si>
    <t xml:space="preserve">May </t>
  </si>
  <si>
    <t>11 mi. W of Dumas</t>
  </si>
  <si>
    <t>2 mi. E of Dumas</t>
  </si>
  <si>
    <t>15 mi. E. of Stratford</t>
  </si>
  <si>
    <t>Two brief touchdowns
15 mi. NW of Guymon</t>
  </si>
  <si>
    <t>2 mi. SSW of Dumas</t>
  </si>
  <si>
    <t>3 mi. ENE of Ware</t>
  </si>
  <si>
    <t>4 mi. NNW of Gruver</t>
  </si>
  <si>
    <t>3 mi. SSW of Pringle</t>
  </si>
  <si>
    <t>Several brief touchdowns
8 mi. W. of Conlen</t>
  </si>
  <si>
    <t>Three brief touchdowns
2 mi. W of Stratford</t>
  </si>
  <si>
    <t>Upper level low in ERN UT/WRN CO moving very slowly.  Surface low in SERN CO providing good SERLY flow of moisture.  Dryline in ERN NM.  A single storm developed SW of Hartley and slowly moved E.  It grew into a large supercell that traveled across the NRN TX Panhandle, and crossed into OK.  It spawned several very brief tornadoes as it traveled E.  A second storm  developed NW of Guymon in Texas Co. of OK.  A third cell developed NW of Dalhart and moved slowly E, trailing behind the first storm.  This one also produced several brief tornadoes.
4 mi. SSE of Hartley</t>
  </si>
  <si>
    <t>Spearman</t>
  </si>
  <si>
    <t>4 mi. WNW of Eva</t>
  </si>
  <si>
    <t>Upper low in ERN UT, moving slowly ENE.  Surface low in NERN CO.  Our winds were out of the SSE at 20-30 mph.  DPs were near 60.  Dryline in ERN NM and along the ERN range.  Tornado watch issued for points E &amp; W of Dalhart and northward.  Storms fired along the dryline in ERN NM and moved basically N (very little E progress).  They stayed in ERN NM and crossed into the AMA CWA around Texline and in WRN Cimarron Co., producing four brief tornadoes.
7 mi. WSW of Felt</t>
  </si>
  <si>
    <t>Dryline along the ERN plains of CO and NM.  One lone supercell developed near Campo, CO durinig the evening and moved SE, producing several tornadoes in SE CO and the NW OK Panhandle.
11 mi. NW of Keyes</t>
  </si>
  <si>
    <t>Earliest "last" tornado of the year:  June 5, 2003</t>
  </si>
  <si>
    <t>Length of Tornado Season:</t>
  </si>
  <si>
    <t>Start</t>
  </si>
  <si>
    <t>End</t>
  </si>
  <si>
    <t>11 mi. E. of Elmwood</t>
  </si>
  <si>
    <t>10 mi. W. of Slapout</t>
  </si>
  <si>
    <t>7 mi. WNW of Slapout</t>
  </si>
  <si>
    <t xml:space="preserve">Strong cold front stretched from TCC to Boys Ranch to Dumas to Liberal.  Dryline in the ERN Plains of NM.  Upper lvl low in the 4 corners region.  Storms initiated  SE of Dumas, producing a brief tornado near Sunray, along with very large hail (5.5").  Several other cells developed and exhibited some rotation, including a large cell near Stinnett and Morse, but no other tornadoes were reported.
8 mi. S of Sunray </t>
  </si>
  <si>
    <t>"Traditional" tornado season</t>
  </si>
  <si>
    <t>3.5 mi. S of Gray</t>
  </si>
  <si>
    <t>Although decent moisture was in place at the surface (DPs in the low 50s with a temperature in the mid to upper 60s), thermodynamic conditions were not favorable for supercells.  Thunderstorms initially developed  along the TX/NM border.  A rogue supercell developed near Boys Ranch and moved SE, slowly at first.  As the storm neared the Bushland area, it produced a tornado just south of I-40 and west of Bushland that lasted about 5 minutes.  As the storm  continued SE, it produced another brief touchdown NE of Umbarger.  Besides the tornadoes, heavy rains fell in Bushland, Amarillo, Canyon, Umbarger, and points inbetween along with golf ball sized hail north of Umbarger.
3 mi. W of Bushland</t>
  </si>
  <si>
    <t>3.5 mi. WSW of Jerico</t>
  </si>
  <si>
    <t>1 mi. E of Lake McLellan (6.8 mi. W of Alanreed)</t>
  </si>
  <si>
    <t>1 mi. N of Lake McLellan (4.8 mi. NW of Alanreed)</t>
  </si>
  <si>
    <t>11 mi. ENE of Lefors</t>
  </si>
  <si>
    <t>8 mi. SE of Hartley</t>
  </si>
  <si>
    <t>Several brief touchdowns
16.8 mi. SSE of Farnsworth</t>
  </si>
  <si>
    <t>12.4 mi. W of Felt</t>
  </si>
  <si>
    <t>Dryline in the CNTRL Panhandles.  Storms fired E along the dryline and moved NE.  Better upper lvl dynamics the further N you go towards the Dakotas.  One supercell near Spearman produced several tornadoes including one main one that lasted 14 minutes.  Other supercells developed near Amarillo by 11:00 PM as the dryline moved back westward, and produced some wall clouds and possible funnels, but no confirmed touchdowns.
4 mi. W of Spearman</t>
  </si>
  <si>
    <t>2.8 mi. W of Spearman</t>
  </si>
  <si>
    <t>3.5 mi. NW of Spearman</t>
  </si>
  <si>
    <t>Same strong cold front was located in about the same area as yesterday.  The upper low was slowly moving to the ENE through CO, and the dryline pushed E of AMA to along TX hwy 207.  Storms fired just NE of Borger and moved NE.  All throughout the evening storms continued generating just NE of Borger and training over the same area towards Perryton and points NE.  Several brief tornadoes were reported in Beaver Co, and one brief one in Lipscomb Co.  By 2200 hrs CDT, the front finally pushed through AMA moving S.
6.4  mi. SSW of Elmwood</t>
  </si>
  <si>
    <t>14.9 mi. WSW of Lipscomb</t>
  </si>
  <si>
    <t>1.     The event prior to 1950 is not reflected in the figures on this tab.</t>
  </si>
  <si>
    <t>NOTES:</t>
  </si>
  <si>
    <t>Windspeed</t>
  </si>
  <si>
    <t>002</t>
  </si>
  <si>
    <t>Summaries:</t>
  </si>
  <si>
    <t>used in the probability calculations and was obtained from the online Wikipedia</t>
  </si>
  <si>
    <t>This sheet is automatically updated, except for the curve at the bottom of the page.</t>
  </si>
  <si>
    <t>1         Prior to 1996, the Amarillo NWS CWA included Parmer, Castro, Swisher, Briscoe, Hall, and Childress counties.  Tornadoes from these</t>
  </si>
  <si>
    <t xml:space="preserve">           counties are not included in the database.</t>
  </si>
  <si>
    <t>METHODOLOGY</t>
  </si>
  <si>
    <t>Added a new "Methodology" worksheet.  Input 2010 tornado data per latest posted copy of Storm Data obtained from the  Amarillo NWS website.  Updated the windspeed vs. probability graph on the "Tornado Model" worksheet and added an automatic link from this worksheet to the "APC" worksheet for the windspeeds associated with PC-3 and PC-4 tornadoes.</t>
  </si>
  <si>
    <t>Model" page.</t>
  </si>
  <si>
    <t>The total velocity for the two performance categories is calculated on the "Tornado</t>
  </si>
  <si>
    <t>AREAS OF COUNTIES</t>
  </si>
  <si>
    <t>Neutral (-0.5 &lt; ONI &lt; 0.5)</t>
  </si>
  <si>
    <t>003</t>
  </si>
  <si>
    <t>Corrected an error on the "Graphics" tab.  On the graphic showing the Texas and Oklahoma Panhandles with the counties colored in, Beaver county and Texas county were switched.</t>
  </si>
  <si>
    <t>2.3 mi. NNE of Tyrone</t>
  </si>
  <si>
    <t>4.8 mi. N of  Boyd</t>
  </si>
  <si>
    <t>5.7 mi. WNW of Follett</t>
  </si>
  <si>
    <t>Oklahoma
Panhandle</t>
  </si>
  <si>
    <t>004</t>
  </si>
  <si>
    <t>Weak</t>
  </si>
  <si>
    <t>Strong</t>
  </si>
  <si>
    <t>Violent</t>
  </si>
  <si>
    <t>Significant</t>
  </si>
  <si>
    <t>Intense</t>
  </si>
  <si>
    <t>Some damage to chimneys; breaks branches off trees; pushes over shallow-rooted trees; damages sign boards.</t>
  </si>
  <si>
    <t>The lower limit is the beginning of hurricane wind speed; peels surface off roofs; mobile homes pushed off foundations or overturned; moving autos pushed off the roads; attached garages may be destroyed.</t>
  </si>
  <si>
    <t>Considerable damage. Roofs torn off frame houses; mobile homes demolished; boxcars pushed over; large trees snapped or uprooted; light object missiles generated.</t>
  </si>
  <si>
    <t>Roof and some walls torn off well constructed houses; trains overturned; most trees in fores uprooted</t>
  </si>
  <si>
    <t>Well-constructed houses leveled; structures with weak foundations blown off some distance; cars thrown and large missiles generated.</t>
  </si>
  <si>
    <t>Strong frame houses lifted off foundations and carried considerable distances to disintegrate; automobile sized missiles fly through the air in excess of 100 meters; trees debarked; steel re-inforced concrete structures badly damaged.</t>
  </si>
  <si>
    <t>Tornado Classifications</t>
  </si>
  <si>
    <t>Description</t>
  </si>
  <si>
    <t>The summer of 2011 was the driest and hottest on record in Amarillo.  Very little rainfall fell.  June 11th was the only day with a couple of tornadoc thunderstorms that developed in the northern portion of the panhandles and moved SSE.  ARES not activated.
5.9 mi. WNW of Darrouzett</t>
  </si>
  <si>
    <t>1.     The information for the first tornado is somewhat subjective.  It is included because of the significance of</t>
  </si>
  <si>
    <t xml:space="preserve">        the event ( possible F5 tornado touchdown).  </t>
  </si>
  <si>
    <t>Rounded Path Widths, Lengths and Areas</t>
  </si>
  <si>
    <t>N</t>
  </si>
  <si>
    <t>Quantile</t>
  </si>
  <si>
    <t>z</t>
  </si>
  <si>
    <t>ln Width</t>
  </si>
  <si>
    <t>ln Length</t>
  </si>
  <si>
    <t>ln Area</t>
  </si>
  <si>
    <t>Count</t>
  </si>
  <si>
    <t>Mode</t>
  </si>
  <si>
    <t>Median</t>
  </si>
  <si>
    <t>Geo. Mean</t>
  </si>
  <si>
    <t>Added a new "Rating" worksheet and modified the "Counties" worksheet to create new drop-down boxes to the actual databases for ease in selecting the ratings and counties.  Input the 2011 tornado data per posted copy of  Storm Data obtained from the Amarillo NWS website.  Clarified section 1.c in the "Instructions" worksheet to mention the  rounded down path areas.  Added "Analysis" worksheets following each of the individual tornado classification worksheets (EF0 - EF4).  Added additional text to the "Methodology" worksheet to explain the statistical verification performed on the tornado data.</t>
  </si>
  <si>
    <t xml:space="preserve">          This spreadsheet uses information for an area between approximately 60 to 100 miles radius from Amarillo, Texas.  This is judged to result in frequency estimates that are more representative of the tornado threat to the region surrounding Amarillo.  Since the complex computer model used by Boissonnade et.al. for the Department of Energy (DOE) was never "published" or made available for use by either the DOE community or the public, the model used in this analysis closely follows the model developed by the Pacific Northwest Laboratory for the NRC analysis (Ramsdell and Rishel, 2007).   Like the NRC's model, this analysis also assigns the Enhanced Fujita windspeeds to all tornadoes, even those occurring prior to the change in 2007.</t>
  </si>
  <si>
    <t xml:space="preserve">          The 5% and 95% quantiles for path width, length, and area are interprolated from the natural log columns, and then the "anti-log" or exponential taken of  the natural log to arrive at the 5% and 95% values. </t>
  </si>
  <si>
    <t>005</t>
  </si>
  <si>
    <t>7.3 mi. S of Wellington</t>
  </si>
  <si>
    <t>4 mi. NW of Adrian</t>
  </si>
  <si>
    <t>3 mi. NE of Washburn</t>
  </si>
  <si>
    <t>1 mi. NW of Lela Lake</t>
  </si>
  <si>
    <t>Earliest "first" tornado of the year:  February 3, 2012</t>
  </si>
  <si>
    <t>2.     Unless otherwise delinated, the individual graphs use data from the "whole" tornado database.</t>
  </si>
  <si>
    <t>the expected value, 5%, and 95% values for the parameters.  Each year, the cell</t>
  </si>
  <si>
    <t>Total number of Whole Tornadoes per Year</t>
  </si>
  <si>
    <t>Individual Analysis Tabs</t>
  </si>
  <si>
    <t>tornadoes into the list at the bottom.  You can simply use the "copy" function, and copy</t>
  </si>
  <si>
    <t>function, and only paste in the values, not the formula.  Next, input the "N" values</t>
  </si>
  <si>
    <t>To update the "F_ - EF_ Analysis" tabs, insert the width, length and area of the new</t>
  </si>
  <si>
    <t>Jan</t>
  </si>
  <si>
    <t>Feb</t>
  </si>
  <si>
    <t>Mar</t>
  </si>
  <si>
    <t>Apr</t>
  </si>
  <si>
    <t>Jun</t>
  </si>
  <si>
    <t>Jul</t>
  </si>
  <si>
    <t>Aug</t>
  </si>
  <si>
    <t>Sep</t>
  </si>
  <si>
    <t>Oct</t>
  </si>
  <si>
    <t>Nov</t>
  </si>
  <si>
    <t>Dec</t>
  </si>
  <si>
    <t>Percent</t>
  </si>
  <si>
    <t>F5 - EF5</t>
  </si>
  <si>
    <t>F1 - EF1</t>
  </si>
  <si>
    <t>F2 - EF2</t>
  </si>
  <si>
    <t>F3 - EF3</t>
  </si>
  <si>
    <t>F4 - EF4</t>
  </si>
  <si>
    <t>Month and</t>
  </si>
  <si>
    <t>TORNADOES BY DECADE:</t>
  </si>
  <si>
    <t>1950s:</t>
  </si>
  <si>
    <t>1960s:</t>
  </si>
  <si>
    <t>1970s:</t>
  </si>
  <si>
    <t>1980s:</t>
  </si>
  <si>
    <t>1990s:</t>
  </si>
  <si>
    <t>2000s:</t>
  </si>
  <si>
    <t>2010s:</t>
  </si>
  <si>
    <t>Totals:</t>
  </si>
  <si>
    <t>Jan 1-10</t>
  </si>
  <si>
    <t>Jan 11-20</t>
  </si>
  <si>
    <t>Jan 21-31</t>
  </si>
  <si>
    <t>Feb 1-10</t>
  </si>
  <si>
    <t>Feb 21-28</t>
  </si>
  <si>
    <t>Feb 11-20</t>
  </si>
  <si>
    <t>Mar 1-10</t>
  </si>
  <si>
    <t>Mar 11-20</t>
  </si>
  <si>
    <t>Mar 21-31</t>
  </si>
  <si>
    <t>Apr 1-10</t>
  </si>
  <si>
    <t>Apr 11-20</t>
  </si>
  <si>
    <t>Apr 21-30</t>
  </si>
  <si>
    <t>May 1-10</t>
  </si>
  <si>
    <t>May 11-20</t>
  </si>
  <si>
    <t>May 21-31</t>
  </si>
  <si>
    <t>Jun 1-10</t>
  </si>
  <si>
    <t>Jun 21-30</t>
  </si>
  <si>
    <t>Jun 11-20</t>
  </si>
  <si>
    <t>Jul 1-10</t>
  </si>
  <si>
    <t>Jul 11-20</t>
  </si>
  <si>
    <t>Jul 21-31</t>
  </si>
  <si>
    <t>Aug 1-10</t>
  </si>
  <si>
    <t>Aug 11-20</t>
  </si>
  <si>
    <t>Aug 21-31</t>
  </si>
  <si>
    <t>Sep 1-10</t>
  </si>
  <si>
    <t>Sep 11-20</t>
  </si>
  <si>
    <t>Sep 21-30</t>
  </si>
  <si>
    <t>Oct 1-10</t>
  </si>
  <si>
    <t>Oct 11-20</t>
  </si>
  <si>
    <t>Oct 21-31</t>
  </si>
  <si>
    <t>Nov 1-10</t>
  </si>
  <si>
    <t>Nov 11-20</t>
  </si>
  <si>
    <t>Nov 21-30</t>
  </si>
  <si>
    <t>Dec 1-10</t>
  </si>
  <si>
    <t>Dec 11-20</t>
  </si>
  <si>
    <t>Dec 21-31</t>
  </si>
  <si>
    <t>.</t>
  </si>
  <si>
    <t>Total:</t>
  </si>
  <si>
    <t>YEAR:</t>
  </si>
  <si>
    <t>DATE:</t>
  </si>
  <si>
    <t>DAYS WITH MULTIPLE TORNADOES</t>
  </si>
  <si>
    <t># Tornadoes</t>
  </si>
  <si>
    <t>Rank</t>
  </si>
  <si>
    <t>[Six (6) or more tornadoes]</t>
  </si>
  <si>
    <t>Ratings:</t>
  </si>
  <si>
    <t>Season:</t>
  </si>
  <si>
    <t>This information is manually created every year.  This graph is intended to present a</t>
  </si>
  <si>
    <t>First Tornado:</t>
  </si>
  <si>
    <t>3.9 mi. W of Laketon
Tornado crossed into Roberts Co.</t>
  </si>
  <si>
    <t>12 mi. SSW of Clarendon
Tornado originated in Hall County.</t>
  </si>
  <si>
    <t>6.3 mi. SSE of Miami
Tornado originated in Gray Co., and crossed into Hemphill Co.</t>
  </si>
  <si>
    <t>11.9 mi. W of Gageby
Tornado originated in Gray Co., and moved through Roberts Co. before crossing into Hemphill Co.</t>
  </si>
  <si>
    <t>Self explanatory.  Most information on this sheet is automatically updated.  The</t>
  </si>
  <si>
    <t xml:space="preserve">information comes from the "Whole Tornadoes" worksheet, except for the county </t>
  </si>
  <si>
    <t>statistics information.  The "Tornado Segments by County" graph should list the</t>
  </si>
  <si>
    <t>Renamed the file to better reflect its purpose.   Added total path length calculation to individual "F" scale databases.  Corrected errors in the 'Summary - Segments' tab calculations by "F" scale from 2016 to 2025.  Added information to the database on one significant tornado that occurred just prior to 1950.  Deleted the "Averages" tab.  Added the "Segment Statistics" tab.  Added a new tab for listing whole tornadoes by themselves (not broken out by county).  Added a new tab to summarize information on whole tornadoes.  Revised the tab names.</t>
  </si>
  <si>
    <t xml:space="preserve">          To verify the data in this database fit the assumed lognormal distribution for path length, path width and path area, I enlisted the aid of Mr. Robert Ashcraft, retired statistician from BWXT Pantex.  He used "Hazen's Method" to determine the quantiles for the data and corresponding "Z" values which were then plotted on a lognormal graph to "test" the lognormality of each parameter for the EF0 to EF4 classifications  (with only one assumed F5 data point this exercise is useless for that classification).  To accomplish this, first the tornado path width, length, and area are entered (and the "N" value updated according to the number of new tornadoes).  Each of the parameters (length, width, and area) is then sorted individually, from the lowest value to the highest.  Hazen's method is then used to determine the quantile, based on the value of "N."  The EXCEL normal inverse function is then applied to the quantile to determine the "z".  Finally, as before, the natural log of the width, length, and area is calculated.  </t>
  </si>
  <si>
    <t>006</t>
  </si>
  <si>
    <t>Updated the worksheets to add in the six (6) tornadoes recorded for 2012.  Revised and reordered the instructions.  Added a new instructions #3, 7, 8, and 15.  Added two new graphs:  "Date of First Tornado" and "Percent of Years First Tornado On or Before Date" (both on a new tab titled "First Tornado").  Added three new tables to the infomation on the "Graphics" tab:  "Tornadoes by Month" (delineated by strength), "Tornadoes by Decade", and "Days with Multiple Tornadoes".  Corrected minor typographical errors.</t>
  </si>
  <si>
    <t>8.9 mi. NNW of Clear Lake
Brief landspout tornado.</t>
  </si>
  <si>
    <t>5.7 mi. E of Forgan
Landspout tornado.</t>
  </si>
  <si>
    <t>9 mi. WSW of Bootleg
Discrete supercell produced a brief tornado.</t>
  </si>
  <si>
    <t>6.8 mi. NW of Walcott
Brief tornado produced by the same supercell as the previous.  This same storm formed along a retreating dryline, and initially moved NE.  As it neared Vega, it turned sharply right and traveled east, staying just south of I-40.  The storm produced brief funnels as it approached Amarillo about 10:30 PM,  and produced copious amounts of golfball to baseball sized hail generally north of 45th avenue across the northern 2/3rds of Amarillo.  No more tornadoes or funnels were reported after the storm left Amarillo.</t>
  </si>
  <si>
    <t>Total no. of years of data</t>
  </si>
  <si>
    <t>updated each year.  As the information is entered, remove the light yellow highlighting.</t>
  </si>
  <si>
    <t>Per Storm Data, a storm developed in Potter Co, and initially moved NE.  It then turned and moved south, and finally to the southeast.  Seven funnels were reported, although only four tornadoes are shown in the various databases.  Storm Data only  lists a time of 3:30 PM CST for  this event (all seven funnels).</t>
  </si>
  <si>
    <t>Per Storm Data, this storm formed near Lefors and moved northward, striking portions of Pampa.</t>
  </si>
  <si>
    <t>Per Storm Data, this storm formed east of Groom, and moved northward.</t>
  </si>
  <si>
    <t>Per Storm Data, this storm or family of tornadoes caused extensive damage over a large area.</t>
  </si>
  <si>
    <t>The next four entries were reviewed against information in Storm Data.  SD confirms all four tornadoes, and describes them as two separate large tornadoes that moved into Texas from New Mexico, traveling generally east and southeast.  One of the two large tornadoes had two smaller ones trailing it.</t>
  </si>
  <si>
    <t>Starting time is an estimate.  Storm Data only lists a touchdown "during the day" as seen by the National Severe Storms Project.</t>
  </si>
  <si>
    <t>The large tornado reported in Storm Data.  Start and end times are as published in SD.</t>
  </si>
  <si>
    <t>Storm Data reported two tornadoes touching down 4 miles north of Gruver.  One was identified as a "large tornado".  See the entry immediately below.  Start and end times are as published in SD.</t>
  </si>
  <si>
    <t>5 mi. NW of Canadian.  Start and end times as published in SD.</t>
  </si>
  <si>
    <t>4 mi. S of Beaver</t>
  </si>
  <si>
    <t>7 mi. W. of Goodwell</t>
  </si>
  <si>
    <t>6 mi. N of Beaver</t>
  </si>
  <si>
    <t>2 mi. W of  Beaver</t>
  </si>
  <si>
    <t>S side of Canyon.  Other funnels were observed as well around Canyon.</t>
  </si>
  <si>
    <t>Storm Data reported a tornado touching down in Union Hill during the afternoon.</t>
  </si>
  <si>
    <t>Storm Data reports six funnels aloft, with one or more touching down in the southern portions of Amarillo between 7 and 9 PM.</t>
  </si>
  <si>
    <t>Storm Data does not list a specific time for this tornado.  This and the one below were part of a family of tornadoes that formed on the evening of the 14th.</t>
  </si>
  <si>
    <t>Storm Data lists three tornadoes touching down near Pampa, and moving NE to Miami, from 1:10 PM to 3:15 PM.</t>
  </si>
  <si>
    <t>Not sure what the source of the starting time is for this tornado.</t>
  </si>
  <si>
    <t>Per Storm Data, this tornado and its sister below moved in open land between White Deer and Pampa.</t>
  </si>
  <si>
    <t>Near White Deer.  Start and end times per SD.</t>
  </si>
  <si>
    <t>6 mi. NW of Shamrock.  Start and end times per SD.</t>
  </si>
  <si>
    <t>8 mi. S of Washburn</t>
  </si>
  <si>
    <t>Just W of Borger</t>
  </si>
  <si>
    <t>Touchdown at Lark</t>
  </si>
  <si>
    <t>20 mi. SE of Claude</t>
  </si>
  <si>
    <t>Touchdown at Kingmill</t>
  </si>
  <si>
    <t>Touchdown just NE of Clarendon</t>
  </si>
  <si>
    <t>Touchdown  just W of Shamrock</t>
  </si>
  <si>
    <t>The next four entries document another long track tornado, or family of tornadoes.  AMA NWS web database incorrectly classifies this as F3.  Storm Data and NCDC database list a rating of F4.
5 mi. SE of Sunray
Tornado crossed into Hansford Co.</t>
  </si>
  <si>
    <t>AMA NWS web database and Storm Data classify this as an F3.  NCDC and SPC databases list a rating of F4.  Listed the SD rating of F3.
Tornado originated in Moore Co., and passed through Hansford and Ochiltree Counties.</t>
  </si>
  <si>
    <t>Updated the worksheets to add in the seven (7) tornadoes recorded for 2013.  Added information into the "notes" section of the "Database - Tornado Segments" tab based on a review of the applicable Storm Data files provided by the Amarillo NWS office staff.  Changed the rating of the March 19th, 1982 Beaver Co. Oklahoma tornado from F4 to F3 based on Storm Data listing in the "Database - Tornado Segments" tab.</t>
  </si>
  <si>
    <t>10 mi. N of Fritch</t>
  </si>
  <si>
    <t>Numerous funnels between Four Way and Lake Meredith.  One touchdown.</t>
  </si>
  <si>
    <t>A few mi. N of Dawn.  Start time based on Storm Data information.</t>
  </si>
  <si>
    <t>4 mi. S of Bushland. 
Tornado crossed into Potter Co.</t>
  </si>
  <si>
    <t>8 to 10 mi. N of Umbarger</t>
  </si>
  <si>
    <t>There is no Storm Data entry for this date and time in Potter Co.</t>
  </si>
  <si>
    <t>Near Miami.</t>
  </si>
  <si>
    <t>5 mi. S of Canadian</t>
  </si>
  <si>
    <t>There is no Storm Data entry for this date and time in Roberts Co.</t>
  </si>
  <si>
    <t>15 mi. S of Miami (near Laketon)</t>
  </si>
  <si>
    <t>Near Heaton</t>
  </si>
  <si>
    <t>Storm Data lists a tornado beginning at 5:55 PM CST near Pampa.</t>
  </si>
  <si>
    <t>There is no Storm Data entry for this date and time in Gray Co.</t>
  </si>
  <si>
    <t>There is no Storm Data entry for this date and time in Gray Co.  SD does indicate there were numerous funnels with a large wall cloud associated with this supercell.  It is possible the entries not officially listed were reported in other databases by various chasers and reasearchers.</t>
  </si>
  <si>
    <t>20 mi. SE of Borger
The Storm Data entry for this date and time in Carson Co.  lists a starting time of 5:05 PM CST.  Storm Data suggests this same storm produced the tornadoes in and around the Pampa area.</t>
  </si>
  <si>
    <t>4.5 mi. S of Elmwood</t>
  </si>
  <si>
    <t>Near Pampa</t>
  </si>
  <si>
    <t>3 mi. S of Clarendon</t>
  </si>
  <si>
    <t>Just SW of Gruver</t>
  </si>
  <si>
    <t>Just S of Gruver</t>
  </si>
  <si>
    <t>4 mi. NW of Spearman</t>
  </si>
  <si>
    <t>Just NW of Palo Duro Canyon State Park
Tornado crossed into Armstrong Co.</t>
  </si>
  <si>
    <t>Just S of Waka</t>
  </si>
  <si>
    <t>6 mi. SE of Farnsworth</t>
  </si>
  <si>
    <t>9 mi. NW of Happy</t>
  </si>
  <si>
    <t>There is no Storm Data entry for this date and time in Randall Co.</t>
  </si>
  <si>
    <t>6 mi. E of Canyon</t>
  </si>
  <si>
    <t>6 mi. NW of Amarillo</t>
  </si>
  <si>
    <t>5 mi. E of Borger</t>
  </si>
  <si>
    <t>Near Skellytown</t>
  </si>
  <si>
    <t>7 mi. N of Claude
Tornado crossed into Armstrong Co.</t>
  </si>
  <si>
    <t>W side of Pampa</t>
  </si>
  <si>
    <t>5 mi. S of McLean</t>
  </si>
  <si>
    <t>Near Blueridge</t>
  </si>
  <si>
    <t>20 mi. E of Canadian</t>
  </si>
  <si>
    <t>7 mi. SW of Higgins</t>
  </si>
  <si>
    <t>6 mi. SE of McLean</t>
  </si>
  <si>
    <t>10 mi. W of Shamrock</t>
  </si>
  <si>
    <t>Near Shamrock</t>
  </si>
  <si>
    <t>1 mi. SW of Tyrone</t>
  </si>
  <si>
    <t>13 mi. S of Farnsworth</t>
  </si>
  <si>
    <t>7 mi. S of Waka</t>
  </si>
  <si>
    <t>3 mi. S of Spearman</t>
  </si>
  <si>
    <t>5 mi. W of Spearman</t>
  </si>
  <si>
    <t>6 mi. S of Waka</t>
  </si>
  <si>
    <t>2 mi. W of Spearman</t>
  </si>
  <si>
    <t>20 mi. S. of Farnsworth</t>
  </si>
  <si>
    <t>8 mi. N of Canadian</t>
  </si>
  <si>
    <t>8 mi. NW of Canadian</t>
  </si>
  <si>
    <t>9 mi. NE of Canadian</t>
  </si>
  <si>
    <t>12 mi. W of Shamrock</t>
  </si>
  <si>
    <t>2 mi. S of Kellerville</t>
  </si>
  <si>
    <t>3 mi. N of Pampa</t>
  </si>
  <si>
    <t>5 mi. E of Pampa</t>
  </si>
  <si>
    <t>Near Panhandle</t>
  </si>
  <si>
    <t>2 mi. N of Conway</t>
  </si>
  <si>
    <t>6 mi. WE of Panhandle</t>
  </si>
  <si>
    <t>4 mi. W of Panhandle</t>
  </si>
  <si>
    <t>12 mi. SW of Panhandle</t>
  </si>
  <si>
    <t>In Shamrock</t>
  </si>
  <si>
    <t>10 mi. N of Panhandle</t>
  </si>
  <si>
    <t>1 mi. E of Wheeler</t>
  </si>
  <si>
    <t>15 mi. N of Panhandle</t>
  </si>
  <si>
    <t>1 mi. N of Panhandle</t>
  </si>
  <si>
    <t>10 mi. WSW of Beaver</t>
  </si>
  <si>
    <t xml:space="preserve">This and the next six tornadoes were confirmed in Storm Data as separate tornadoes.  </t>
  </si>
  <si>
    <t>007</t>
  </si>
  <si>
    <t>The combination of a stationary front, passing upper level shortwave, and unstable environment helped to initiate thunderstorms across the TX Panhandle. 3,000 J/kg of CAPE and 40 to 50 kts of deep layer sheer (per the SPC Mesoanalysis page) allowed the storms to quickly develop into severe thunderstorms.</t>
  </si>
  <si>
    <t>Near Elmwood</t>
  </si>
  <si>
    <t>NRN Lipscomb Co.</t>
  </si>
  <si>
    <t>CNTRL Lipscomb Co.</t>
  </si>
  <si>
    <t>12 mi. W of Slapout.</t>
  </si>
  <si>
    <t>VERIFICATION OF LOGNORMAL DISTRIBUTION FOR F0 - EF0 TORNADOES</t>
  </si>
  <si>
    <t>VERIFICATION OF LOGNORMAL DISTRIBUTION FOR F1 - EF1 TORNADOES</t>
  </si>
  <si>
    <t>VERIFICATION OF LOGNORMAL DISTRIBUTION FOR F2 - EF2 TORNADOES</t>
  </si>
  <si>
    <t>VERIFICATION OF LOGNORMAL DISTRIBUTION FOR F3 - EF3 TORNADOES</t>
  </si>
  <si>
    <t>VERIFICATION OF LOGNORMAL DISTRIBUTION FOR F4 - EF4 TORNADOES</t>
  </si>
  <si>
    <t>Updated the worksheets to add in the thirteen (13) tornado segments recorded for 2014.  Revised the header for the "Analysis" worksheets at the end.</t>
  </si>
  <si>
    <t>008</t>
  </si>
  <si>
    <t>S. side of Stratford</t>
  </si>
  <si>
    <t>5 mi. WSW of Cactus</t>
  </si>
  <si>
    <t>3.5 mi. WSW of Turpin</t>
  </si>
  <si>
    <t>12.9 mi. SSW of Texoma</t>
  </si>
  <si>
    <t>6.7 mi. W of Pringle
This storm formed along a stalled boundary in the OK panhandle.  A strengthening jet streak provided the forcing to initiate storms.  After initially moving east, this storm turned right and moved south, clearing Armstrong Co. by about 9 PM.  Two brief tornadoes and hail were confirmed.</t>
  </si>
  <si>
    <t>4 mi. E of Briscoe</t>
  </si>
  <si>
    <t>8 mi. WSW of Hereford</t>
  </si>
  <si>
    <t>Near Slapout
Favorable NW flow aloft and abundant moisture produces severe convection during the  evening and night of the 22nd and  23rd.  A discrete supercell developed over the ERN OK Panhandle during the early afternoon on the 22nd.  This storm produced a couple brief tornadoes and large hail as it moved southward across the far eastern OK Panhandle.</t>
  </si>
  <si>
    <t>7 mi. WNW of Canadian
Tornado originated in Hemphill Co.</t>
  </si>
  <si>
    <t>Near Stratford
NR flow aloft and a shortwave moving out of CO along with a warm front draped across the NRN and ERN TX Panhandle.  Convection developed along the front during the evening hours.  Instability and deep layer sheer were both marginal, but low level helicity near the front produced brief tornadoes.  Outflows from the storms pushed the front south during the evening.</t>
  </si>
  <si>
    <t>4.2 mi. S. of Kingsmill
Two stalled baroclinic zones from earlier convection and a cold front laid across the Panhandles during the afternoon on the 9th.  Up to 1500 J/kg mlcape developed in the SRN TX Panhandle with lesser amounts furhter north.  Straight long hodographs favored splittiing supercells and favorable boundaries were present to support right movers.  This storm formed in ERN Oldham Co. and rode one of the boundaries to the east into Wheeler Co.  Rotation tightened up twice along its journey.</t>
  </si>
  <si>
    <t>5.9 mi. WSW of Goodnight</t>
  </si>
  <si>
    <t>20 mi. WNW of Codman</t>
  </si>
  <si>
    <t>24.7 mi. NNW of Codman</t>
  </si>
  <si>
    <t>1.6 mi. WNW of Groom</t>
  </si>
  <si>
    <t>7.0 mi. S of Perryton</t>
  </si>
  <si>
    <t>5.5 mi. ESE of Perryton</t>
  </si>
  <si>
    <t>5.0 mi. S of Pampa
The second supercell storm to impact Pampa.  Same storm that produced the Groom tornado.  Destroyed the Halliburton plant just east of Pampa.</t>
  </si>
  <si>
    <t>8.1 mi. E of Twichell
Crossed into Beaver Co.</t>
  </si>
  <si>
    <t>8.5 mi. S of Elmwood
Originated in Ochiltree Co.</t>
  </si>
  <si>
    <t>5.9 mi. S of Elmwood</t>
  </si>
  <si>
    <t>1.3 mi. ESE of Hoover
This is the same storm that produced the tornado that destroyed the Halliburton plant.
Crossed into Roberts Co.</t>
  </si>
  <si>
    <t>2.8 mi. WSW of Codman
Originated in Gray Co.</t>
  </si>
  <si>
    <t>8.9 mi. ESE of the Hutchinson Co. Airport (Borger)</t>
  </si>
  <si>
    <t>5.8 mi. NW of Lora
Crossed into Hemphill Co.</t>
  </si>
  <si>
    <t>8.9 mi. WSW of Canadian Airport
Originated in Roberts Co.</t>
  </si>
  <si>
    <t>15.3 mi. NNE of Amarillo Intl Airport</t>
  </si>
  <si>
    <t>3.3 mi. NW of Glazier
Crossed into Lipscomb Co.</t>
  </si>
  <si>
    <t>12.1 mi. S of Lipscomb
Originated in Hemphill Co.
Crossed into Ellis Co., Oklahoma</t>
  </si>
  <si>
    <t>15.2 mi. SSE of Farnsworth</t>
  </si>
  <si>
    <t>8.9 mi. S of Booker</t>
  </si>
  <si>
    <t>5.3 mi. SW of Logan</t>
  </si>
  <si>
    <t>9.9 mi. ESE of Lefors
Sufficient moisture for instability combined with a front (wind sheer) to produce a rare severe weather episode across the SE Texas Panhandle.</t>
  </si>
  <si>
    <t>5 (t)</t>
  </si>
  <si>
    <t>7 (t)</t>
  </si>
  <si>
    <t>22.1 mi. N of Amarillo</t>
  </si>
  <si>
    <t>15.9 mi. W of Alanreed</t>
  </si>
  <si>
    <t>6.1 mi. ENE of Gageby</t>
  </si>
  <si>
    <t>4.8 mi. ESE of Codman</t>
  </si>
  <si>
    <t xml:space="preserve">7.3 mi. W of Kellerville  
This touchdown point actually is in ERN Gray Co.  There is no Storm Data entry for Gray Co. for this tornado. The 14.05 miles shown for Wheeler Co. represents the entire length of the tornado (from 7 mi. W of Kellerville to 7 mi. ENE of Kellerville). </t>
  </si>
  <si>
    <t>2.9 mi. SE of Lela Lake
The atmosphere over the Texas Panhandle was very moist following rainfall the previous evening.  Thunderstorms formed as the instability increased, and due to an approaching weather system.</t>
  </si>
  <si>
    <t>6.1 mi. NNE of Hedley
Crossed into Collingsworth Co.</t>
  </si>
  <si>
    <t>10.1 mi. NNW of Quail
Tornado originated in Donley Co.</t>
  </si>
  <si>
    <t>2.2 mi. W of Shamrock</t>
  </si>
  <si>
    <t>5.3 mi. NNW of Canadian
This and the following three tornadoes dropped out of the same storm that essentially sat NW of Canadian for some time.</t>
  </si>
  <si>
    <t>3.4 mi. NW of Canadian</t>
  </si>
  <si>
    <t>5.6 mi. NW of Canadian</t>
  </si>
  <si>
    <t>No updates are needed for this sheet.  This sheet is automatically updated (for the</t>
  </si>
  <si>
    <t>first 2000 entries).  It can be seen that the data for the tornado path width and length</t>
  </si>
  <si>
    <t>follow a lognormal distribution, instead of a normal or "Gaussian" distribution.</t>
  </si>
  <si>
    <t>The information in the "Whole Tornadoes" database is broken out by F rating in the</t>
  </si>
  <si>
    <r>
      <t xml:space="preserve">(column "A") for the new tornadoes (this is just a sequential number) and then update </t>
    </r>
    <r>
      <rPr>
        <b/>
        <i/>
        <sz val="10"/>
        <rFont val="Arial"/>
        <family val="2"/>
      </rPr>
      <t/>
    </r>
  </si>
  <si>
    <t>formulas must be updated to include the new tornadoes as appropriate.  Excel's "Find</t>
  </si>
  <si>
    <t>ALL the "Quantile" calculations (the entire column "E") by updating the demoninator</t>
  </si>
  <si>
    <t>in the formula of cell E12 with the new maximum "N" value.  Then, copy that cell (E12)</t>
  </si>
  <si>
    <t>and D individually and sort each by itself, from smallest to largest.  Finally, copy the</t>
  </si>
  <si>
    <t>Straight lines in the graphs validate a lognormal distribution for the tornato path length,</t>
  </si>
  <si>
    <t>width, and areas.  Finally, update the information in the header for the 0.05, Mode,</t>
  </si>
  <si>
    <t>Median, Geometric Mean, Average, and 0.95 entries by updating the cell formulae</t>
  </si>
  <si>
    <t>Updated the worksheets to add in the forty-two (42) tornado segments recorded for 2015.  Made minor changes to the "Instructions" tab.</t>
  </si>
  <si>
    <t>and paste it in every row down to the "new" last row.  Next, highlight columns B, C,</t>
  </si>
  <si>
    <t xml:space="preserve">Extreme ERN Roberts Co.
The NCDC lists a total path length of 1.86 miles and the same start and end times for both Hemphill and Roberts Co.  The path length and  duration of five minutes were split between the two counties.
Tornado crossed into Roberts Co.  </t>
  </si>
  <si>
    <t>2.6 mi. ENE of Conway
An approaching weather system interacted with a moist and unstable environment over the Texas Panhandle, producing a significant severe weather event  Six tornadoes were confirmed from this event.</t>
  </si>
  <si>
    <t xml:space="preserve">4.9 mi. NW of Groom
Crossed into Gray Co. </t>
  </si>
  <si>
    <t>7.7 mi. S of Kings Mill
Originated in Carson Co.</t>
  </si>
  <si>
    <t>12.8 mi. SSE Kings Mill
Crossed into Roberts Co.</t>
  </si>
  <si>
    <t>2.0 mi. SW of Codman
Originated in Gray Co.</t>
  </si>
  <si>
    <t>4 mi. SSW of Eva</t>
  </si>
  <si>
    <t>3 mi. W of Eva</t>
  </si>
  <si>
    <t>5 mi. NNE of Eva</t>
  </si>
  <si>
    <t>6 mi. NNE of Eva</t>
  </si>
  <si>
    <t>20 mi. N of Adrian</t>
  </si>
  <si>
    <t>6 mi. SW of Eva
A vigorous low pressure system produced several supercells across the NWRN TX and OK Panhandles.  This one cell moved NE just to the north of Stratford and Texoma.  It turned left some, and dropped 5 small tornadoes in Texas Co.</t>
  </si>
  <si>
    <t>009</t>
  </si>
  <si>
    <t>2 mi. NE of Felt</t>
  </si>
  <si>
    <t>12 mi. SW of Perico</t>
  </si>
  <si>
    <t>5 mi. WSW of Ware</t>
  </si>
  <si>
    <t>2 mi. S of the Canadian Airport</t>
  </si>
  <si>
    <t>5 mi. ENE of Canadian</t>
  </si>
  <si>
    <t>16 mi. SE of Glazier</t>
  </si>
  <si>
    <t>3 mi. NW of Felt
Severe thunderstorms developed in an unstable and sheared environment (created by a surface low) in New Mexico and moved east across portions of the Oklahoma Panhandle.  A cold front moved from the NW to the SE across the Texas Panhandle behind the surface front.</t>
  </si>
  <si>
    <t>1 mi. WSW of Howardwick</t>
  </si>
  <si>
    <t>2 mi. WSW of Howardwick</t>
  </si>
  <si>
    <t>11 mi. S of Farnsworth</t>
  </si>
  <si>
    <t>10 mi. SSE of Farnsworth</t>
  </si>
  <si>
    <t>10 mi. SSE of Farnsworth
This tornado was visible briefly in the same view as the above while the tornado above was dissipating.</t>
  </si>
  <si>
    <t>11 mi. SSE of Farnsworth</t>
  </si>
  <si>
    <t>16 mi. SE of Farnsworth
This tornado was officially assigned an "EFU" rating.  It moved across open grassland, and caused no damage.</t>
  </si>
  <si>
    <t>25 mi. SSE of the Perryton Airport
Storm Data has an official rating of "EF0"; however, in the noted immediately under the entry it states that no rating could be assigned since the tornado moved over open grassland and no damage was done.</t>
  </si>
  <si>
    <t>14 mi. ENE of Pringle
This brief anticyclonic tornado also received an official rating of "EFU" for the same reasons as above.</t>
  </si>
  <si>
    <t>10 mi. ENE of Glazier
This tornado was officially assigned an "EFU" rating.  It moved across open grassland, and caused no damage.</t>
  </si>
  <si>
    <t>15 mi. NNE of NWS AMA
Crossed into Carson Co.</t>
  </si>
  <si>
    <t>15 mi. NNE of NWS AMA
Originated in Potter Co.  Storm Data incorrectly identifies the county as "Potter".</t>
  </si>
  <si>
    <t>10 mi. NNW of Lake Meredith
A weak upper level disturbance moved across the region in advance of a vigorous upper trough which was moving across the SW United States.  Strong instability and moderate to strong low level shear provided a favorable environment for supercell thunderstorms developing in advance of a squall line which swept across the area during the evening.</t>
  </si>
  <si>
    <t>4.9 mi. N of Gruver
A cold front moved S from Kansas into an environment with 1500-2500 J/kg of CAPE and effective shear of 20 to 35 kts in the ERN Panhandles.</t>
  </si>
  <si>
    <t>6 mi. WNW of Four Way
A rope tornado touched down briefly twice in rapid succession.</t>
  </si>
  <si>
    <t>0.8 mi. NW of Four Way</t>
  </si>
  <si>
    <t>0.0 ≤ A &lt; 0.0001</t>
  </si>
  <si>
    <t>0.0001 ≤ A &lt; 0.0002</t>
  </si>
  <si>
    <r>
      <rPr>
        <sz val="12"/>
        <rFont val="Calibri"/>
        <family val="2"/>
      </rPr>
      <t>≥</t>
    </r>
    <r>
      <rPr>
        <sz val="10.8"/>
        <rFont val="Arial"/>
        <family val="2"/>
      </rPr>
      <t xml:space="preserve"> 0.0001</t>
    </r>
  </si>
  <si>
    <r>
      <rPr>
        <sz val="12"/>
        <rFont val="Calibri"/>
        <family val="2"/>
      </rPr>
      <t>≥</t>
    </r>
    <r>
      <rPr>
        <sz val="10.8"/>
        <rFont val="Arial"/>
        <family val="2"/>
      </rPr>
      <t xml:space="preserve"> 0.00005</t>
    </r>
  </si>
  <si>
    <t>0.0 ≤ L &lt; 0.01</t>
  </si>
  <si>
    <t>0.01 ≤ L &lt; 0.02</t>
  </si>
  <si>
    <t>0.02 ≤ L &lt; 0.05</t>
  </si>
  <si>
    <t>0.05 ≤ L &lt; 0.1</t>
  </si>
  <si>
    <r>
      <t>≥</t>
    </r>
    <r>
      <rPr>
        <sz val="10.45"/>
        <rFont val="Arial"/>
        <family val="2"/>
      </rPr>
      <t xml:space="preserve"> </t>
    </r>
    <r>
      <rPr>
        <sz val="12"/>
        <rFont val="Arial"/>
        <family val="2"/>
      </rPr>
      <t>0.01</t>
    </r>
  </si>
  <si>
    <r>
      <t>≥</t>
    </r>
    <r>
      <rPr>
        <sz val="10.45"/>
        <rFont val="Arial"/>
        <family val="2"/>
      </rPr>
      <t xml:space="preserve"> </t>
    </r>
    <r>
      <rPr>
        <sz val="12"/>
        <rFont val="Arial"/>
        <family val="2"/>
      </rPr>
      <t>0.02</t>
    </r>
  </si>
  <si>
    <t>≥ 0.05</t>
  </si>
  <si>
    <t>This tornado family, although never officially rated, began at 5:52 PM CST near White Deer and traveled NE, damaging structures in or near White Deer, Pampa, Glazier, and Higgins, before moving into Oklahoma and striking Woodward before eventually moving into Kansas where it finally dissipated.  Glazier and Higgins were almost "blown off the map."  Steve Drillette, a previous WCM at WFO Amarillo, says that based on photographs he has seen of Glazier and Higgins, the tornado(s) that destroyed these two towns could have been rated an F5.  Although occurring prior to the beginning of the official NCDC/NWS/SPC databases in 1950, this event is captured in this database because of its historical significance (only tornado to produce what appears to be F5 damage  in the AMA CWA) and the fact that it occurred close to the beginning of the official government databases.  The length and width are assumed.  Although the tornado(s) moved through parts of five counties in the Texas Panhandle, this will be the only entry in the database.  Start and end times are based on the first touchdown time above and the average storm speed of 42 mph (from initial touchdown, the tornado traveled ~ 44 miles until it reached Hemphill Co. and was on the ground for 35 miles (give or take a few miles) from that point until it reached the Oklahoma border.</t>
  </si>
  <si>
    <t>Updated the worksheets to add in the twenty-nine (29) tornado segments recorded for 2016.  In addition, 2016 saw the introduction of EFU tornadoes, with the "U" standing for "Undetermined".  These tornadoes did not hit or damage anything to allow even an EF0 rating to be officially assigned.  For the purposes of this database and analysis, an EFU tornado will be counted in with the EF0 tornadoes.  The distinction will be made in the "Notes" column in the "Database - Tornado Segments" worksheet.  I updated the "Tornado Segment Distribution" worksheet to break out the very short path length and area tornadoes.</t>
  </si>
  <si>
    <t>010</t>
  </si>
  <si>
    <t>EFU</t>
  </si>
  <si>
    <t>Very minor damage.  No structures or object damaged or hit, making it difficult to assign a rating.  AMA begain using this rating in 2016.</t>
  </si>
  <si>
    <t>4 mi. NW of Wellington</t>
  </si>
  <si>
    <t>5.7 mi. E of Goodnight</t>
  </si>
  <si>
    <t>9.7 mi. W of Alanreed</t>
  </si>
  <si>
    <t>10.9 mi. NNE of Spearman</t>
  </si>
  <si>
    <t>15.3 mi. E of Jerico</t>
  </si>
  <si>
    <t>7.9 mi. W of Lela</t>
  </si>
  <si>
    <t>6.4 m i. NNW of Lela</t>
  </si>
  <si>
    <t>4.8 mi. NW of Twitty</t>
  </si>
  <si>
    <t>10.2 mi. E of Lutie</t>
  </si>
  <si>
    <t>6.9 mi. N of Ama Intnl Airport</t>
  </si>
  <si>
    <t>*     Information for F5/EF5 tornadoes is based on a single 1947 event.</t>
  </si>
  <si>
    <t>each F/EF rating.  Since the actual values for these parameters follow a lognormal</t>
  </si>
  <si>
    <t>where it appears in the formulae.  Do not just use EXCEL's "Find and Replace" function</t>
  </si>
  <si>
    <t>to do this as it will replace digits in the numbers as well.</t>
  </si>
  <si>
    <t xml:space="preserve">with the new last row of data (not the new "N" total, but the new last worksheet row #) </t>
  </si>
  <si>
    <r>
      <t xml:space="preserve">This spreadsheet provides statistics regarding tornado touchdowns in the Amarillo, Texas area from 1950 to the present day.  One additional tornado event prior to 1950 is also included due to its significance (potential F5 event).  This file was primarily developed to calculate the probability that a structure in the Amarillo, Texas vicinity will experience wind speeds associated with F0 (EF0) to F5 (EF5) tornadoes.  The inclusion of the data point prior to 1950 will result in conservative probabilities for exceeding wind speeds associated with violent tornadoes.
</t>
    </r>
    <r>
      <rPr>
        <sz val="12"/>
        <rFont val="Arial"/>
        <family val="2"/>
      </rPr>
      <t xml:space="preserve">
</t>
    </r>
    <r>
      <rPr>
        <sz val="12"/>
        <rFont val="Arial"/>
        <family val="2"/>
      </rPr>
      <t xml:space="preserve">
</t>
    </r>
  </si>
  <si>
    <t>The author wishes to express his sincere thanks to Messrs. Steve Drillette (former Warning Coordination Meteorologist) and Ken Schneider, Lead Forecaster, of the Amarillo office of the National Weather Service for their support, verification of the initial revision of this database, and resolution of discrepancies between the source databases.  I also wish to give my thanks to Ms. Krissy Hurley, former Warning Coordination Meteorologist and Mr. Mike Gittinger, the current WCM for the Amarillo NWS office, for yearly verification of the data entry.  Finally, I want to acknowledge Mr. Robert Ashcraft, retired statistician, for providing a method to independently verify the "goodness" of the assumption that the path width and length data follow a lognormal distribution.</t>
  </si>
  <si>
    <r>
      <t>3.8 mi. NNW of Balko
An active day of severe weather across the area.  An upper level low moved across the region during the afternoon and evening.  Mid to upper 60s dewpoints were present across the eastern half of the Panhandles.   Helicity values ranged between 400 and 600 m</t>
    </r>
    <r>
      <rPr>
        <vertAlign val="superscript"/>
        <sz val="10"/>
        <rFont val="Arial"/>
        <family val="2"/>
      </rPr>
      <t>2</t>
    </r>
    <r>
      <rPr>
        <sz val="10"/>
        <rFont val="Arial"/>
        <family val="2"/>
      </rPr>
      <t xml:space="preserve"> / s</t>
    </r>
    <r>
      <rPr>
        <vertAlign val="superscript"/>
        <sz val="10"/>
        <rFont val="Arial"/>
        <family val="2"/>
      </rPr>
      <t>2</t>
    </r>
    <r>
      <rPr>
        <sz val="10"/>
        <rFont val="Arial"/>
        <family val="2"/>
      </rPr>
      <t>.  Cape ranged from 3000 to 4000 Joules per kg.  SPC placed our area under a "Moderate" risk.</t>
    </r>
  </si>
  <si>
    <t>Tornado - Days</t>
  </si>
  <si>
    <t>Number of days</t>
  </si>
  <si>
    <t>1*</t>
  </si>
  <si>
    <t>Average
TD per
Year</t>
  </si>
  <si>
    <t>Updated the worksheets to add in the thirteen (13) tornado segments recorded for 2017.  On the "Title Page", tweaked the last paragraph to acknowledge Krissy Hurley, who was the WCM at NWS AMA for several years, and to clarify statements.  On the "Instructions" worksheet, added clarifiation for item #15, the "Individual Analysis Tabs".  On the "Ratings" worksheet, added a row for "EFU" tornadoes with the author's description.  On the "Database - Tornado Segments" worksheet, increased the resolution for the tornado path area to five decimal places.  On the "Graphs" worksheet, added a new graph at the very bottom titled "Tornado - Days", which is the number of days we experienced at least one tornado of that rating since tornado records were first recorded by the NWS begining in 1950.</t>
  </si>
  <si>
    <r>
      <t>The database itself was developed with information supplied from the Amarillo office of the National Weather Service (AMA NWS), the Storm Prediction Center's tornado database, and the online tornado database maintained by the National Climatic Data Center (NCDC).  This spreadsheet includes tornado events from the top twenty counties of the Texas Panhandle as well as the three counties of the Oklahoma Panhandle</t>
    </r>
    <r>
      <rPr>
        <vertAlign val="superscript"/>
        <sz val="12"/>
        <rFont val="Arial"/>
        <family val="2"/>
      </rPr>
      <t>1</t>
    </r>
    <r>
      <rPr>
        <sz val="12"/>
        <rFont val="Arial"/>
        <family val="2"/>
      </rPr>
      <t>.</t>
    </r>
  </si>
  <si>
    <t>Since the early 1960s, several analyses have been prepared that calculate the probability of a tornado strike across the continental United States (Thom [1963]; Doswell [1998]; Brooks, Doswell, and Kay [2003], and Ramsdell &amp; Rishel [2007] among others).  They are all "stand alone" documents that do not allow for yearly updates to the calculations.  Nor do previous analyses prepared for the Department of Energy (DOE) (Coats and Murray [1985]; Boissonnade et. al. [2000]) allow for any updates.  This spreadsheet was developed to allow for annual updates with the latest tornado event information as it is published in Storm Data.</t>
  </si>
  <si>
    <t>011</t>
  </si>
  <si>
    <t>SE portion of Clarendon</t>
  </si>
  <si>
    <t>YEARS WITH SIX OR MORE TORNADOES ON AT LEAST ONE DAY</t>
  </si>
  <si>
    <t>Tornado Days by Year</t>
  </si>
  <si>
    <t>Updated the worksheets to add in the ten (10) tornado segments recorded for 2018.  Clarified the instructions for worksheet #14 regarding manually entering the data.  On the individual rating worksheets, increased the significant digits for the area calculation to five (5) decimal places for consistency.  Added a new graph, "Years with six or more torndaoes on at least one day".  Added another new graph, "Number of days with at least one tornado by year".</t>
  </si>
  <si>
    <t>Latest "last" tornado of the year: December 26, 2018</t>
  </si>
  <si>
    <t>DJF</t>
  </si>
  <si>
    <t>JFM</t>
  </si>
  <si>
    <t>FMA</t>
  </si>
  <si>
    <t>MAM</t>
  </si>
  <si>
    <t>AMJ</t>
  </si>
  <si>
    <t>MJJ</t>
  </si>
  <si>
    <t>JJA</t>
  </si>
  <si>
    <t>JAS</t>
  </si>
  <si>
    <t>ASO</t>
  </si>
  <si>
    <t>SON</t>
  </si>
  <si>
    <t>OND</t>
  </si>
  <si>
    <t>NDJ</t>
  </si>
  <si>
    <t>OCEANIC NIÑO INDEX (ONI) VALUES</t>
  </si>
  <si>
    <t>012</t>
  </si>
  <si>
    <t>The ONI information is based on the ONI values from the NOAA CPC.  For each year, the general trend from January to July is described.</t>
  </si>
  <si>
    <r>
      <t>Moderate La Ni</t>
    </r>
    <r>
      <rPr>
        <sz val="12"/>
        <rFont val="Calibri"/>
        <family val="2"/>
      </rPr>
      <t>ñ</t>
    </r>
    <r>
      <rPr>
        <sz val="12"/>
        <rFont val="Arial"/>
        <family val="2"/>
      </rPr>
      <t>a (-1.5 &lt; ONI &lt; -1)</t>
    </r>
  </si>
  <si>
    <t>Weak La Niña to weak El Niño</t>
  </si>
  <si>
    <t>Weak La Niña</t>
  </si>
  <si>
    <t>Weak La Niña (-1 &lt; ONI &lt; -0.5)</t>
  </si>
  <si>
    <t>Weak La Niña to Neutral</t>
  </si>
  <si>
    <t>Moderate La Niña to Weak La Niña</t>
  </si>
  <si>
    <t>Strong La Niña to weak La Niña</t>
  </si>
  <si>
    <t>Strong La Niña to Neutral</t>
  </si>
  <si>
    <t>Moderate La Niña to weak La Niña</t>
  </si>
  <si>
    <t>Moderate La Niña</t>
  </si>
  <si>
    <t>Drought year / weak La Niña to Neutral</t>
  </si>
  <si>
    <t>Extreme drought / moderate La Niña to Neutral</t>
  </si>
  <si>
    <t>Weak La Niña to Neutral.  Above normal temps, below normal precip</t>
  </si>
  <si>
    <t>Weak El Niño to  Neutral</t>
  </si>
  <si>
    <t>Weak El Niño (0.5 &lt; ONI &lt; 1)</t>
  </si>
  <si>
    <t>Weak La Niña to Moderte El Niño</t>
  </si>
  <si>
    <t>Strong El Niño to weak El Niño (1.8 &lt; ONI &lt; 0.6)</t>
  </si>
  <si>
    <t>Weak El Niño to Neutral</t>
  </si>
  <si>
    <t>Moderate El Niño to weak La Niña</t>
  </si>
  <si>
    <t>Moderate El Niño to Neutral</t>
  </si>
  <si>
    <t>Strong El Niño to weak La Niña</t>
  </si>
  <si>
    <t>Neutral to weak El Niño</t>
  </si>
  <si>
    <t>Very strong El Niño to weak El Niño (2.2 &lt; ONI &lt; 0.7)</t>
  </si>
  <si>
    <t>Moderate El Niño (1 &lt; ONI &lt; 1.5)</t>
  </si>
  <si>
    <t>Weak El Niño to moderate La Niña</t>
  </si>
  <si>
    <t>Strong El Niño to weak El Niño</t>
  </si>
  <si>
    <t>Weak La Niña to moderate El Niño</t>
  </si>
  <si>
    <t>Very strong El Niño to Neutral</t>
  </si>
  <si>
    <t>Weak El Niño to neutral</t>
  </si>
  <si>
    <t>Weak El Niño to moderate El Niño.  4th highest annual precip total.</t>
  </si>
  <si>
    <r>
      <t xml:space="preserve">Sum    </t>
    </r>
    <r>
      <rPr>
        <sz val="12"/>
        <rFont val="Calibri"/>
        <family val="2"/>
      </rPr>
      <t>↓</t>
    </r>
  </si>
  <si>
    <t>2020s:</t>
  </si>
  <si>
    <t>Weak (F1 / EF1 &amp; F1 / EF1)</t>
  </si>
  <si>
    <t>Yes, I realize this graph is a farse! - Alan</t>
  </si>
  <si>
    <t>2030s:</t>
  </si>
  <si>
    <t xml:space="preserve">      </t>
  </si>
  <si>
    <r>
      <t xml:space="preserve">Sum    </t>
    </r>
    <r>
      <rPr>
        <sz val="12"/>
        <rFont val="Calibri"/>
        <family val="2"/>
      </rPr>
      <t>↑</t>
    </r>
  </si>
  <si>
    <r>
      <t xml:space="preserve">Sum  </t>
    </r>
    <r>
      <rPr>
        <sz val="12"/>
        <rFont val="Calibri"/>
        <family val="2"/>
      </rPr>
      <t>↓</t>
    </r>
  </si>
  <si>
    <t>Added a new worksheet titled "ONI".  This displays the Oceanic Nino Index values obtained from the NOAA Climate Prediction Center for each grouping of three months beginning in 1950 and continuing out to 2030.  Overlaid on this plot is the annual number of tornadoes from the Summary - Whole Tornadoes worksheet.  Added three new graphs for the "Tornadoes by Decade" (two separate graphs) and "Tornado Strength by Decade" (one graph) near the "Tornadoes by Decade" table already shown near the bottom of the "Graphs" worksheet.  Corrected an error in the "Days with Multiple Tornadoes" table on the "Graphs" worksheet (5-9-01 had 7 tornadoes, not 6).  Corrected two errors in the old "Tornadoes by Decade" table.</t>
  </si>
  <si>
    <t>F0 - EF0</t>
  </si>
  <si>
    <t>013</t>
  </si>
  <si>
    <t>the strength of tornadoes along with their significance category.</t>
  </si>
  <si>
    <t>No changes are needed for this tab.  It simply provides useful information regarding</t>
  </si>
  <si>
    <t>and "W."  Path widths shall be rounded down to the following:  2, 5, 10, 20, 50, 100,</t>
  </si>
  <si>
    <t>200, 500, 1,000, and 2,000 yards.  Path lengths shall be rounded down to the</t>
  </si>
  <si>
    <t xml:space="preserve">following:  0, 0.1, 0.2, 0.5, 1, 2, 5, 10, 20, or 50 miles.  Path areas are rounded </t>
  </si>
  <si>
    <t>down in similar fashion.  This information is used in the "Distribution Tab."</t>
  </si>
  <si>
    <t>Path widths, lengths and areas are rounded down and entered into columns "U", "V",</t>
  </si>
  <si>
    <t>updating the databases, any counties have "swapped" places, simply swap the</t>
  </si>
  <si>
    <t>respective counties in the table immediately above the graph.  The graph will update</t>
  </si>
  <si>
    <t xml:space="preserve">automatically.  The map of the Panhandles should be checked to see if any one or </t>
  </si>
  <si>
    <t xml:space="preserve">more counties has increased in total number of tornadoes such that it's highlighted </t>
  </si>
  <si>
    <t>color needs to change.  The last two tables, "Tornadoes by Decade" and "Days with</t>
  </si>
  <si>
    <t>counties from left to right in decreasing order of number of tornadoes.  If, after</t>
  </si>
  <si>
    <t xml:space="preserve">which the region experiences the first tornado of the year, and the percent of years </t>
  </si>
  <si>
    <t>the region has experienced the first tornado on or before a given date.</t>
  </si>
  <si>
    <t>This information is entered manually each year.  The two graphs show the date by</t>
  </si>
  <si>
    <t>and Replace" function (far right on the "Home" tab at the top) can be used to update</t>
  </si>
  <si>
    <t>final tabs.  This information is entered manually.  Since the path width and lengths are</t>
  </si>
  <si>
    <t>are transformed by taking the natural logarithm of the parameter, then applying</t>
  </si>
  <si>
    <t xml:space="preserve"> statistical analyses on the transformed values.  Finally, the parameters are </t>
  </si>
  <si>
    <t xml:space="preserve">transformed back and used to calculate the probability of a tornado "strike." </t>
  </si>
  <si>
    <t>assumed to follow a lognormal distribution, the length, width, and area parameters</t>
  </si>
  <si>
    <t>paste into the empty cells to complete the table. The graphs will update automatically.</t>
  </si>
  <si>
    <r>
      <t>from the preceeding tab to make things easier, but be sure to use the "</t>
    </r>
    <r>
      <rPr>
        <sz val="9.6999999999999993"/>
        <color rgb="FFFF0066"/>
        <rFont val="Arial"/>
        <family val="2"/>
      </rPr>
      <t>paste special</t>
    </r>
    <r>
      <rPr>
        <sz val="9.6999999999999993"/>
        <rFont val="Arial"/>
        <family val="2"/>
      </rPr>
      <t xml:space="preserve">" </t>
    </r>
  </si>
  <si>
    <t xml:space="preserve">          Tornado wind data was collected for the counties included in the Amarillo National Weather Service's County Warning Area (CWS).  The counties included in the CWA are:  Armstrong, Carson, Collingsworth, Dallam, Deaf Smith, Donley, Gray, Hansford, Hartley, Hemphill, Hutchinson, Lipscomb, Moore, Ochiltree, Oldham, Potter, Randall, Roberts, Sherman, and Wheeler counties of the Texas Panhandle, along with Cimmaron, Texas and Beaver counties in the Oklahoma Panhandle.  </t>
  </si>
  <si>
    <r>
      <t xml:space="preserve">monthly publication </t>
    </r>
    <r>
      <rPr>
        <i/>
        <sz val="12"/>
        <rFont val="Arial"/>
        <family val="2"/>
      </rPr>
      <t>STORM DATA</t>
    </r>
    <r>
      <rPr>
        <sz val="12"/>
        <rFont val="Arial"/>
        <family val="2"/>
      </rPr>
      <t xml:space="preserve"> are a likely source.  Beginning in 1998, data was obtained directly from </t>
    </r>
    <r>
      <rPr>
        <i/>
        <sz val="12"/>
        <rFont val="Arial"/>
        <family val="2"/>
      </rPr>
      <t>STORM DATA</t>
    </r>
    <r>
      <rPr>
        <sz val="12"/>
        <rFont val="Arial"/>
        <family val="2"/>
      </rPr>
      <t xml:space="preserve">.  Discrepancies between the three aforementioned databases for tornadoes occurring prior to 1998 were discussed with a senior meteorologist and the Warning Coordination Meteorologist from the Amarillo NWS during development of the initial issue of this database.  Resolution of discrepancies was typically based on information as printed in </t>
    </r>
    <r>
      <rPr>
        <i/>
        <sz val="12"/>
        <rFont val="Arial"/>
        <family val="2"/>
      </rPr>
      <t xml:space="preserve">STORM DATA </t>
    </r>
    <r>
      <rPr>
        <sz val="12"/>
        <rFont val="Arial"/>
        <family val="2"/>
      </rPr>
      <t xml:space="preserve">(prior to the 1990s, information in </t>
    </r>
    <r>
      <rPr>
        <i/>
        <sz val="12"/>
        <rFont val="Arial"/>
        <family val="2"/>
      </rPr>
      <t>STORM DATA</t>
    </r>
    <r>
      <rPr>
        <sz val="12"/>
        <rFont val="Arial"/>
        <family val="2"/>
      </rPr>
      <t xml:space="preserve"> was usually more subjective and qualitative in nature than in recent editions of the publication).  </t>
    </r>
  </si>
  <si>
    <t xml:space="preserve">          This encompasses an approximate 3 degree latitude by 2 degree longitude region around Amarillo, Texas (the geographic center of the CWA is roughly 45 miles to the north northeast of Amarillo).  Data collected for each tornado includes the damage path length and width as well as the intensity.  For this spreadsheet, tornado data compiled on the Amarillo NWS internet website for the years between 1950 and 1997 was compared to that from the Storm Prediction Center's online database and that available from the National Climatic Data Center's internet website.  While it is not known exactly where all three databases obtained their source information, the printed hard copies of the U.S. Department of Commerce's </t>
  </si>
  <si>
    <t>"Tornado Alley."   Thus, the number of tornadoes typically experienced in this area is usually fewer and their estimated windspeeds lower (not as many EF4 or EF5 tornadoes) than those documented further to the northeast, east, and southeast in Kansas, Oklahoma, or North Texas.  Although use of a 310 mile radius also includes areas to the west that experience a much lower incidence of tornadic activity, the number/strength of tornadoes is not simply averaged across the entire 620 mile diameter circle surrounding the site.  For this reason, this analysis relies on data from the region in the vicinity of Amarillo, Texas (an added benefit is that since about 1998 this information has been readily available from the Amarillo NWS.</t>
  </si>
  <si>
    <t xml:space="preserve">          Appendix A3.2.2-e of Department of Energy Standard DOE-STD-1023-95 (reaffirmed in 2002) provides the methodology to be used for generating the probabilistic wind hazard analysis.  According to DOE-STD-1022-94 (also reaffirmed in 2002), tornado data should be collected for an area 310 miles radius around the site (DOE).  It is the author's opinion that this requirement will lead to overly conservative frequency estimates.  A 310 mile radius from Amarillo encompasses areas far to the east where atmospheric conditions more favorably support the development of tornadic thunderstorms than in the Texas Panhandle.   The Texas and Oklahoma Panhandles are located along the western edge of </t>
  </si>
  <si>
    <t xml:space="preserve">        Hazard models developed by Coats and Murray (1985) and Boissonnade et. al. (2000) have been accepted by the Department of Energy for performing a site tornado probabilitic hazard analysis and contain probability distributions applicable for the Amarillo, Texas area (the DOE's Pantex Plant is located approximately 10 miles northeast of Amarillo, Texas).  The models and the database used for these two reports used windspeeds associated with the original Fujuta Scale for F0 to F5 tornadoes.  A more recent analysis, commissioned by the U.S. Nuclear Regulatory Commission (NRC) (Ramsdell </t>
  </si>
  <si>
    <t>(CST-Hr)</t>
  </si>
  <si>
    <t>4.9 mi. S of Spearman</t>
  </si>
  <si>
    <t>12.1 mi. S of Lipscomb</t>
  </si>
  <si>
    <t>4.0 mi. S of Goodwell</t>
  </si>
  <si>
    <t>4.0 mi. W of Hardesty</t>
  </si>
  <si>
    <t>4.8 mi. SE of Laketon</t>
  </si>
  <si>
    <t>2.8 mi. S of Mobeetie</t>
  </si>
  <si>
    <t>1.6 mi. w of Wheeler</t>
  </si>
  <si>
    <t>2.4 mi. N of Glazier</t>
  </si>
  <si>
    <t>0.7 mi. NW of the Hutchinson Co. Airport</t>
  </si>
  <si>
    <t>5.8 mi. NW of Twichell</t>
  </si>
  <si>
    <t>15.9 m. ENE of Stinnett</t>
  </si>
  <si>
    <t>6.4 mi. ESE of Wayside</t>
  </si>
  <si>
    <t>3.3 mi. SSE of Howardwick</t>
  </si>
  <si>
    <t>8.7 mi. ENE of Howardwick</t>
  </si>
  <si>
    <t>13 mi. S of Stratford
See note #2</t>
  </si>
  <si>
    <t>5 mi. N of Laketon
See note #2.</t>
  </si>
  <si>
    <t>9 mi. SE of Panhandle
See note #2.</t>
  </si>
  <si>
    <t>3 mi. S of Romero
See note #2.
Strong upper low in WRN NM moving NE.  Moist upslope flow @ the surface.</t>
  </si>
  <si>
    <t>5 mi. W of Canyon
See note #2.
A cold front was slowly pushing S through the SRN TX Panhandle, while a strong upper low located over the SWRN states was moving E.</t>
  </si>
  <si>
    <t>15 mi. WSW of Miami
See note #2
Surface low in SERN CO with a warm front extending SE across the NRN sections of the TX Panhandle.  A dryline extended from the low SWRD across ERN NM.</t>
  </si>
  <si>
    <t>5 mi. SW of Wayside
See note #2.</t>
  </si>
  <si>
    <t>16 mi. ESE of Glazier
See note #2.
Tornado crossed into Oklahoma.</t>
  </si>
  <si>
    <t>10 mi. SSE of Hedley
See note #2.
Tornado crossed into Collingsworth Co.</t>
  </si>
  <si>
    <t>8 mi. NNW of Canyon
See note #2.</t>
  </si>
  <si>
    <t>9 mi. S of Clarendon
See note #2.</t>
  </si>
  <si>
    <t>At Buffalo lake
See note #2.</t>
  </si>
  <si>
    <t>7 mi. NE of Gageby
See note #2.</t>
  </si>
  <si>
    <t>9 mi. W of Dalhart
See note #2.</t>
  </si>
  <si>
    <t>1 mi. SE of Lefors
See note #2.</t>
  </si>
  <si>
    <t>21 mi. NW of Miami
See note #2.
Large low pressure trough in SRN CO/NRN NM provided SW winds aloft, and provided a lifting source.  Stationary warm front from Vega to Perryton and into SRN KS.  High moisture plume (65 degree dp) moving NNW in the far NERN TX and OK Panhandles.  In addition, a cold front from NERN NM to SWRN KS was moving SE.</t>
  </si>
  <si>
    <t>16 mi. NE of Stinnett
See note #2.</t>
  </si>
  <si>
    <t>14 mi. NE of Stinnett
See note #2.</t>
  </si>
  <si>
    <t>3 mi. NNE of Keyes
See note #2.</t>
  </si>
  <si>
    <t>5 mi. NNW of Eva
See note #2.</t>
  </si>
  <si>
    <t>5 mi. ENE of Eva
See note #2.</t>
  </si>
  <si>
    <t>1 mi. E of Wheeler
See note #2.</t>
  </si>
  <si>
    <t>2 mi. NNW of Panhandle
See note #2.</t>
  </si>
  <si>
    <t>14 mi. SW of Amarillo
See note #2.</t>
  </si>
  <si>
    <t>5 mi. SSE of Clarendon
See note #2.</t>
  </si>
  <si>
    <t>8 mi. ENE of Boise City
See note #2.</t>
  </si>
  <si>
    <t>1.8 mi. WSW of Panhandle
See note #2.</t>
  </si>
  <si>
    <t>3 mi. NW of Balko
See note #2.</t>
  </si>
  <si>
    <t>7.3 mi. W of Lipscomb
See note #2.</t>
  </si>
  <si>
    <t>5.7 mi. SW of Wellington</t>
  </si>
  <si>
    <t>6.4 mi. W of Palo Duro Canyon State Park</t>
  </si>
  <si>
    <t>2 mi. N of Washburn</t>
  </si>
  <si>
    <t>14.8 mi. WNW of Codman</t>
  </si>
  <si>
    <t>11.7 mi. SSE of Canyon</t>
  </si>
  <si>
    <t>19.5 mi. NNW of Lora
Crossed into Ochiltree Co.</t>
  </si>
  <si>
    <t>23.9 mi. SE of Farnsworth
Originated in Roberts Co.
Crossed into Lipscomb Co.</t>
  </si>
  <si>
    <t>9.4 mi. W of Codman</t>
  </si>
  <si>
    <t>17.1 mi. WSW of Lipscomb
Originated in Roberts Co, and passed through Ochiltree Co.</t>
  </si>
  <si>
    <t>29.7 mi. NW of Adrian</t>
  </si>
  <si>
    <t>8 mi. W of Hartley</t>
  </si>
  <si>
    <t>9.2 mi. ESE of Hartley</t>
  </si>
  <si>
    <t>7.9 mi. N of Vega</t>
  </si>
  <si>
    <t>7.3 mi. ENE of Valle de Oro</t>
  </si>
  <si>
    <t>5.6 mi. NNE of Felt
See note #2.</t>
  </si>
  <si>
    <t>2.8 mi. NNE of Kingmill</t>
  </si>
  <si>
    <t>4.2 mi. ESE of Goodnight</t>
  </si>
  <si>
    <t>5.8 m. E of Goodnight</t>
  </si>
  <si>
    <t>9.2 mi. NNW of Clear Lake</t>
  </si>
  <si>
    <t>1947 tornado</t>
  </si>
  <si>
    <t>*The single event counted is the</t>
  </si>
  <si>
    <t>Number of Tornadoes Occurring In One Day (6 or More)</t>
  </si>
  <si>
    <t># Days with at least one tornado</t>
  </si>
  <si>
    <r>
      <t xml:space="preserve">DATABASE OF WHOLE TORNADOES
</t>
    </r>
    <r>
      <rPr>
        <b/>
        <sz val="12"/>
        <rFont val="Arial"/>
        <family val="2"/>
      </rPr>
      <t>(EFU tornadoes are shaded blue)</t>
    </r>
  </si>
  <si>
    <t xml:space="preserve">          Beginning in 2016, the NWS began assigning an "EFU" rating for tornadoes where the rating cannot be reasonable ascertained by usual means (damage, video, etc.).  The term EFU stands for Enhanced Fugita Unknown.  For the purposes of the calculations and graphs, I have listed these as EF0 tornadoes for now (2020 update).  To distinguish them from true EF0 tornadoes, I have shaded the "EF0" rating in the two database worksheets (Database - Tornado Segments, and Database - Whole Tornadoes) with blue highlight for these tornadoes.</t>
  </si>
  <si>
    <t xml:space="preserve">and Rishel), was completed in 2007.  In addition to using a slightly different model, the NRC database utilized the updated windspeed criteria associated with the Enhanced Fujita Scale for EF0 to EF5 tornadoes.  The NRC's design basis windspeeds are also based on a different frequency than that required by DOE-STD-1023 for PC-3 and PC-4 structures (the NRC uses 1.0E-7 per year while the DOE uses 2.0E-5 per year for PC-3 structures and 2.0E-6 per year for PC-4 structures).  The net effect of using the Enhanced Fujita windspeeds versus the old Fujita windspeeds in these types of analyses is a reduction in the design basis windspeed for a given structure, regardless of the frequency.    </t>
  </si>
  <si>
    <t>zoom.</t>
  </si>
  <si>
    <t>"scatterplot" of the tornado-days for the region.  It is best viewed at about 50%</t>
  </si>
  <si>
    <r>
      <t>P</t>
    </r>
    <r>
      <rPr>
        <b/>
        <vertAlign val="subscript"/>
        <sz val="11"/>
        <rFont val="Arial"/>
        <family val="2"/>
      </rPr>
      <t>e</t>
    </r>
    <r>
      <rPr>
        <b/>
        <sz val="11"/>
        <rFont val="Arial"/>
        <family val="2"/>
      </rPr>
      <t>=2E-6</t>
    </r>
  </si>
  <si>
    <r>
      <t>P</t>
    </r>
    <r>
      <rPr>
        <b/>
        <vertAlign val="subscript"/>
        <sz val="11"/>
        <rFont val="Arial"/>
        <family val="2"/>
      </rPr>
      <t>e=</t>
    </r>
    <r>
      <rPr>
        <b/>
        <sz val="11"/>
        <rFont val="Arial"/>
        <family val="2"/>
      </rPr>
      <t>2E-5</t>
    </r>
  </si>
  <si>
    <t xml:space="preserve">          What Mr. Ashcraft found is that the data for the Amarillo NWS's CWA is relatively "close" to lognormal, but is skewed some especially in the EF0 to EF2 classifications.  If you examine the plots on the "Analysis" worksheets, you see that the graphs for the width, length, and area are skewed, or curved.  These graphs should be "straight" lines (from the lower left to the upper right) if the data was truly distributed in a lognormal fashion.  Upon examination, the portions of the graphs that form horizontal lines are due to the "abnormal" number of tornadoes that are arbitratily assigned a path length and path </t>
  </si>
  <si>
    <t>width.  These smaller and weaker tornadoes typically do not travel very far, and only touch down briefly in the wide, open spaces that make up the majority of the Texas and Oklahoma panhandles, making an accurate determination of length and width next to impossible.  In these cases the NWS meteorologists assign an "arbitrary" length and width using their experience and training as best they can.  In the case of the EF3 and especially the EF4 tornadoes,  the graphs are not as skewed, probably owing to the fact that these tornadoes are generally larger and on the ground for longer times, making determination of path width and length easier.  As the tornado database grows over time, and as the population density in our area increases, we expect to see a better fit of the data to a lognormal distribution.</t>
  </si>
  <si>
    <t>The equation for the curve created by the six points to the left is used to calculate the two windspeeds used in the  Atmospheric Pressure Change calculations.</t>
  </si>
  <si>
    <t>associated with a tornado is calculated.  Instructions are included on the tab itself.</t>
  </si>
  <si>
    <r>
      <t>The Design Basis Tornado is modeled as a single Rankine combined vortex.  A single Rankine combined vortex is a simple model possessing only asimuthal velocity.  The wind velocities and pressures are assumed not to vary with the height above the ground.  Therefore, the flow field is two-dimensionial.  The flow field of a Rankine combined vortex is equivalent to that of a solid rotating body within the core of radius R</t>
    </r>
    <r>
      <rPr>
        <vertAlign val="subscript"/>
        <sz val="11"/>
        <rFont val="Arial"/>
        <family val="2"/>
      </rPr>
      <t>m</t>
    </r>
    <r>
      <rPr>
        <sz val="11"/>
        <rFont val="Arial"/>
        <family val="2"/>
      </rPr>
      <t>.  Outside the core, the speed falls off as 1/r.  The maximum rotational speed occurs at radius r = Rm.
The pressure drop from normal atmospheric pressure to the center of the Rankine combined vortex is calculated by balancing the pressure gradient and the centrifugal force (cyclostrophic balance), and integrating from infinity to the center of the vortex.
The calculation method and equations are based on NUREG/CR - 4461, Revision 2</t>
    </r>
    <r>
      <rPr>
        <vertAlign val="superscript"/>
        <sz val="11"/>
        <rFont val="Arial"/>
        <family val="2"/>
      </rPr>
      <t>1</t>
    </r>
    <r>
      <rPr>
        <sz val="11"/>
        <rFont val="Arial"/>
        <family val="2"/>
      </rPr>
      <t>.  The windspeeds for two probabilities are calculated from the data contained in this database for the Amarillo, Texas area.
1.     NUREG/CR - 4461, Revision 2, Tornado Climatology of the Contiguous United States, prepared by Pacific Northwest
        Laboratory for the Nuclear Regulatory Commission, February, 2007.</t>
    </r>
  </si>
  <si>
    <t>This is an assumption from NUREG.</t>
  </si>
  <si>
    <t>psi/sec</t>
  </si>
  <si>
    <t>Updated the worksheets to add in the forty (40) tornado segments recorded for 2019 (36 tornadoes).  Several worksheets were modified to add in additional blank rows for future updates.  In the two database worksheets, tornadoes officially rated as "EFU" but shown as EF0 herein for analytical purposes are shaded in blue to identify them.  Inserted a new paragraph in the "Methodology" worksheet to address this.  Inserted editorial changes throughout the whole spreadsheet.  Replaced the simple EXCEL generated "trendline" tornado graph curve with a more sophisticated equation from TableCurve version 5.0.</t>
  </si>
  <si>
    <r>
      <rPr>
        <sz val="10"/>
        <rFont val="Arial"/>
        <family val="2"/>
      </rPr>
      <t>Mr. Robert Ashcraft used TableCurve 2D version 5.0 to create this plot of the tornado hazard curve based on the six points provided by the model.  He determined that the "best" method (most accurate) to use to create the curve used a constrained cubic spline.  While very accurate, this method does not utilize a single equation to define the curve.  Upon further research, he and I found an exponential equation in TableCurve that matches the data quite well and does utilize a single equation.  The equation used was #8145 in TableCurve's inventory and is represented by:</t>
    </r>
    <r>
      <rPr>
        <sz val="11"/>
        <rFont val="Arial"/>
        <family val="2"/>
      </rPr>
      <t xml:space="preserve">
                                                 </t>
    </r>
    <r>
      <rPr>
        <sz val="18"/>
        <rFont val="Arial"/>
        <family val="2"/>
      </rPr>
      <t xml:space="preserve">  y = a + b*exp</t>
    </r>
    <r>
      <rPr>
        <vertAlign val="superscript"/>
        <sz val="18"/>
        <rFont val="Arial"/>
        <family val="2"/>
      </rPr>
      <t>-c*Pws</t>
    </r>
    <r>
      <rPr>
        <sz val="18"/>
        <rFont val="Arial"/>
        <family val="2"/>
      </rPr>
      <t xml:space="preserve"> + d*exp</t>
    </r>
    <r>
      <rPr>
        <vertAlign val="superscript"/>
        <sz val="18"/>
        <rFont val="Arial"/>
        <family val="2"/>
      </rPr>
      <t>-e*Pws</t>
    </r>
    <r>
      <rPr>
        <sz val="11"/>
        <rFont val="Arial"/>
        <family val="2"/>
      </rPr>
      <t xml:space="preserve">
</t>
    </r>
    <r>
      <rPr>
        <sz val="10"/>
        <rFont val="Arial"/>
        <family val="2"/>
      </rPr>
      <t>where y is the calculated windspeed for a given probability (P</t>
    </r>
    <r>
      <rPr>
        <vertAlign val="subscript"/>
        <sz val="10"/>
        <rFont val="Arial"/>
        <family val="2"/>
      </rPr>
      <t>ws</t>
    </r>
    <r>
      <rPr>
        <sz val="10"/>
        <rFont val="Arial"/>
        <family val="2"/>
      </rPr>
      <t>) and the constants a, b, c, d, and e  have the following values:    a = 56.955128, b = 60.937597, c = 83,878.409,  d = 87.636177, and e = 6,197.0961.  The gray curve represents the plot of that equation.  
The author notes this remains a simplistic analysis.  This update (revision 013) is more accurate than the simple EXCEL-created "trendline" presented in the past.  Although accurate error bands are not shown, it is obvious that due to the small population for the F4/EF4 and 5/EF5 tornado data sets, the error bands for the lowest frequency events are substantial.
The hazard curve is shown below but the probability values are replaced by their reciprocal, recurrence intervals (in years).</t>
    </r>
  </si>
  <si>
    <t>10.4 mi. WSW of Lipscomb</t>
  </si>
  <si>
    <t>3.5 mi. N of Follett
Crossed into Beaver Co.
The ending time is per Mike G. at NWS, email 3-5-20.</t>
  </si>
  <si>
    <t>9.2 mi. SSE of Slapout
Originated in Lipscomb Co.
The starting time is per Mike G. at NWS, email 3-5-20.</t>
  </si>
  <si>
    <t>3.6 mi. W of Groom</t>
  </si>
  <si>
    <t>10.5 mi. ESE of Lautz</t>
  </si>
  <si>
    <t>3.5 mi. WSW of Groom</t>
  </si>
  <si>
    <t>4.5 mi. ESE of Milo Center</t>
  </si>
  <si>
    <t>5.0 mi. SW of Amarillo</t>
  </si>
  <si>
    <t>1.9 mi. E of Laketon</t>
  </si>
  <si>
    <t>014</t>
  </si>
  <si>
    <t>Thru 2020</t>
  </si>
  <si>
    <r>
      <t xml:space="preserve">Sum </t>
    </r>
    <r>
      <rPr>
        <sz val="12"/>
        <rFont val="Calibri"/>
        <family val="2"/>
      </rPr>
      <t>→</t>
    </r>
  </si>
  <si>
    <t>https://origin.cpc.ncep.noaa.gov/products/analysis_monitoring/ensostuff/ONI_v5.php</t>
  </si>
  <si>
    <t>The OCEANIC NIÑO INDEX (ONI) VALUES table to the right is obtained from the following URL (National Weather Service Climate Prediction Center):</t>
  </si>
  <si>
    <t>Note:  Periodically, the equations in the two windspeed cells must be regenerated using curve fit software and the windspeeds corresponding to the probabiity of interest determined manually (the spreadsheet won't generate these numbers).  This will only be done on occassion as the values are not expected to vary much from year to year.</t>
  </si>
  <si>
    <t xml:space="preserve"> the numbers in the formulae easily.  Example:  to update the L, W, and A information</t>
  </si>
  <si>
    <t xml:space="preserve">for the F0/EF0 category, select all three groups of cells and replace the value in the </t>
  </si>
  <si>
    <t>formula for the last row of data with the new last row.  Select the "Replace All," and</t>
  </si>
  <si>
    <t>Excel will replace 24 values.  Do this for each FX/EFX "column" with new tornadoes.</t>
  </si>
  <si>
    <t xml:space="preserve">9 mi. WNW of Dumas
This tornado was officially assigned an "EFU" rating. </t>
  </si>
  <si>
    <t xml:space="preserve">1.7 mi. S of Vega
This tornado was officially assigned an "EFU" rating. </t>
  </si>
  <si>
    <t xml:space="preserve">5.4 mi. E Umbarger
This tornado was officially assigned an "EFU" rating. </t>
  </si>
  <si>
    <t xml:space="preserve">4.4 mi. WSW of Glazier
This tornado was officially assigned an "EFU" rating. </t>
  </si>
  <si>
    <t xml:space="preserve">4.8 mi. SW of Higgins
This tornado was officially assigned an "EFU" rating. </t>
  </si>
  <si>
    <t xml:space="preserve">7.1 mi. SE of Pantex
This tornado was officially assigned an "EFU" rating. </t>
  </si>
  <si>
    <t xml:space="preserve">7 mi. NNE of Adrian
This tornado was officially assigned an "EFU" rating. </t>
  </si>
  <si>
    <t xml:space="preserve">7 mi. N of Codman
This tornado was officially assigned an "EFU" rating. </t>
  </si>
  <si>
    <t>12.9 mi. ENE of Pringle
This tornado was officially assigned an "EFU" rating.  
Crossed into Hansford Co.</t>
  </si>
  <si>
    <t>10.3 mi. SSW of Spearman
This tornado was officially assigned an "EFU" rating. 
Originated in Hutchinson Co.</t>
  </si>
  <si>
    <t xml:space="preserve">4.7 mi. NNW of Forgan
This tornado was officially assigned an "EFU" rating. </t>
  </si>
  <si>
    <t xml:space="preserve">4.5 mi. NE of Masterson
This tornado was officially assigned an "EFU" rating. </t>
  </si>
  <si>
    <t xml:space="preserve">7.4 mi. WNW of Gruver
This tornado was officially assigned an "EFU" rating. </t>
  </si>
  <si>
    <t>Damage</t>
  </si>
  <si>
    <t>($)</t>
  </si>
  <si>
    <t>Injuries</t>
  </si>
  <si>
    <t>and/or</t>
  </si>
  <si>
    <t>Deaths</t>
  </si>
  <si>
    <r>
      <t xml:space="preserve">0D, </t>
    </r>
    <r>
      <rPr>
        <sz val="12"/>
        <rFont val="Meiryo UI"/>
        <family val="2"/>
      </rPr>
      <t>0I</t>
    </r>
  </si>
  <si>
    <r>
      <t>0D, 3</t>
    </r>
    <r>
      <rPr>
        <sz val="12"/>
        <rFont val="Meiryo UI"/>
        <family val="2"/>
      </rPr>
      <t>I</t>
    </r>
  </si>
  <si>
    <r>
      <t>0D, 1</t>
    </r>
    <r>
      <rPr>
        <sz val="12"/>
        <rFont val="Meiryo UI"/>
        <family val="2"/>
      </rPr>
      <t>I</t>
    </r>
  </si>
  <si>
    <r>
      <t>0D, 2</t>
    </r>
    <r>
      <rPr>
        <sz val="12"/>
        <rFont val="Meiryo UI"/>
        <family val="2"/>
      </rPr>
      <t>I</t>
    </r>
  </si>
  <si>
    <r>
      <t>0D, 6</t>
    </r>
    <r>
      <rPr>
        <sz val="12"/>
        <rFont val="Meiryo UI"/>
        <family val="2"/>
      </rPr>
      <t>I</t>
    </r>
  </si>
  <si>
    <r>
      <t>0D, 7</t>
    </r>
    <r>
      <rPr>
        <sz val="12"/>
        <rFont val="Meiryo UI"/>
        <family val="2"/>
      </rPr>
      <t>I</t>
    </r>
  </si>
  <si>
    <t>0D, 6</t>
  </si>
  <si>
    <r>
      <t xml:space="preserve">0D, </t>
    </r>
    <r>
      <rPr>
        <sz val="12"/>
        <rFont val="Meiryo UI"/>
        <family val="2"/>
      </rPr>
      <t>2I</t>
    </r>
  </si>
  <si>
    <r>
      <t xml:space="preserve">0D, </t>
    </r>
    <r>
      <rPr>
        <sz val="12"/>
        <rFont val="Meiryo UI"/>
        <family val="2"/>
      </rPr>
      <t>1I</t>
    </r>
  </si>
  <si>
    <r>
      <t>0D, 12</t>
    </r>
    <r>
      <rPr>
        <sz val="12"/>
        <rFont val="Meiryo UI"/>
        <family val="2"/>
      </rPr>
      <t>I</t>
    </r>
  </si>
  <si>
    <r>
      <t>0D, 1</t>
    </r>
    <r>
      <rPr>
        <sz val="12"/>
        <rFont val="Meiryo UI"/>
        <family val="2"/>
      </rPr>
      <t>0I</t>
    </r>
  </si>
  <si>
    <r>
      <t>0D, 5</t>
    </r>
    <r>
      <rPr>
        <sz val="12"/>
        <rFont val="Meiryo UI"/>
        <family val="2"/>
      </rPr>
      <t>I</t>
    </r>
  </si>
  <si>
    <r>
      <t>1D, 1</t>
    </r>
    <r>
      <rPr>
        <sz val="12"/>
        <rFont val="Meiryo UI"/>
        <family val="2"/>
      </rPr>
      <t>I</t>
    </r>
  </si>
  <si>
    <r>
      <t>0D, 13</t>
    </r>
    <r>
      <rPr>
        <sz val="12"/>
        <rFont val="Meiryo UI"/>
        <family val="2"/>
      </rPr>
      <t>I</t>
    </r>
  </si>
  <si>
    <r>
      <t>0D, 24</t>
    </r>
    <r>
      <rPr>
        <sz val="12"/>
        <rFont val="Meiryo UI"/>
        <family val="2"/>
      </rPr>
      <t>I</t>
    </r>
  </si>
  <si>
    <r>
      <t>1D, 12</t>
    </r>
    <r>
      <rPr>
        <sz val="12"/>
        <rFont val="Meiryo UI"/>
        <family val="2"/>
      </rPr>
      <t>I</t>
    </r>
  </si>
  <si>
    <r>
      <t>16D, 42</t>
    </r>
    <r>
      <rPr>
        <sz val="12"/>
        <rFont val="Meiryo UI"/>
        <family val="2"/>
      </rPr>
      <t>I</t>
    </r>
  </si>
  <si>
    <r>
      <t>1D, 13</t>
    </r>
    <r>
      <rPr>
        <sz val="12"/>
        <rFont val="Meiryo UI"/>
        <family val="2"/>
      </rPr>
      <t>I</t>
    </r>
  </si>
  <si>
    <r>
      <t xml:space="preserve">0D, </t>
    </r>
    <r>
      <rPr>
        <sz val="12"/>
        <rFont val="Meiryo UI"/>
        <family val="2"/>
      </rPr>
      <t>5I</t>
    </r>
  </si>
  <si>
    <r>
      <t xml:space="preserve">0D, </t>
    </r>
    <r>
      <rPr>
        <sz val="12"/>
        <rFont val="Meiryo UI"/>
        <family val="2"/>
      </rPr>
      <t>3I</t>
    </r>
  </si>
  <si>
    <r>
      <t>2D, 42</t>
    </r>
    <r>
      <rPr>
        <sz val="12"/>
        <rFont val="Meiryo UI"/>
        <family val="2"/>
      </rPr>
      <t>I</t>
    </r>
  </si>
  <si>
    <r>
      <t xml:space="preserve">0D, </t>
    </r>
    <r>
      <rPr>
        <sz val="12"/>
        <rFont val="Meiryo UI"/>
        <family val="2"/>
      </rPr>
      <t>6I</t>
    </r>
  </si>
  <si>
    <r>
      <t>1D, 4</t>
    </r>
    <r>
      <rPr>
        <sz val="12"/>
        <rFont val="Meiryo UI"/>
        <family val="2"/>
      </rPr>
      <t>I</t>
    </r>
  </si>
  <si>
    <t>(Prop + Crops)</t>
  </si>
  <si>
    <r>
      <t xml:space="preserve">Database of Tornado Segments
</t>
    </r>
    <r>
      <rPr>
        <b/>
        <sz val="12"/>
        <rFont val="Arial"/>
        <family val="2"/>
      </rPr>
      <t>(Beginning with the 2016 tornadoes, EFU tornadoes are shaded in blue)</t>
    </r>
  </si>
  <si>
    <t>TORNADO DAMAGES BY DECADE:</t>
  </si>
  <si>
    <t>NOTEs:</t>
  </si>
  <si>
    <t>The June 27, 1992 Fritch tornadoes plus the June 8, 1995 family of tornadoes account for 90% of this total.</t>
  </si>
  <si>
    <t>General Note:  The NWS is not required to estimate tornado damages.  Damage estimates are included in Storm Data at the discretion of the office.</t>
  </si>
  <si>
    <t>015</t>
  </si>
  <si>
    <t>016</t>
  </si>
  <si>
    <t xml:space="preserve">Updated the worksheets to add in the eight (8) tornado segments recorded for 2020.  Updated the "Tornadoes by Decade" series of graphs on the "Graphs" worksheet to allow for future plotting of both 2020 and 2030 data.  Graphs updated were the "Number of Tornadoes by Decade," Tornado Strength by Decade," and "Number of Tornadoes by Intensity and Decade"  graphs.  Discovered a discrepancy between information on the "Summary - Tornado Segments" worksheet and the "Tornado Segment Distribution" worksheet created when the CY 2015 data was entered into the file.  Corrected the formula in cell AA1112 which read "=concatenate(H1111,W1112)" and should have read "=concatenate(H1112,W112)."  This corrected the error, which was unknowingly included in all annual updates since the 2016 version.  Updated the "Instructions" worksheet to add clarity to updating the Tornado Segment Statistics" worksheet. </t>
  </si>
  <si>
    <t xml:space="preserve"> Added two new columns in the "Database - Tornado Segments" worksheet to include the damage costs (property damage and crop damages are added together) and deaths/injuries reported by the NWS for the tornadoes.  Added new table under the "Graphs" worksheet titled "Tornado Damages by Decade."</t>
  </si>
  <si>
    <t>12.4 mi. S of Canyon
This tornado formed just N of the larger one above and lasted only a few minutes before being absorbed into the circulation of the larger tornado.</t>
  </si>
  <si>
    <t>3.7 mi. WNW of Palo Duro Canyon
Crossed into Armstrong Co.
Original tornado (Happy to PDC) handed off to this second large tornado.  The tornado caused damage at the west end of PDC to trailers and one cabin.  The  tornado crossed the canyon, and grew larger when it reached the east side, but stayed over open country.  This tornado crossed into Armstrong Co.</t>
  </si>
  <si>
    <t>11.2 mi. SSW of Washburn
Originated in Randall Co.</t>
  </si>
  <si>
    <t>14.1 mi. S of Pao Duro Canyon</t>
  </si>
  <si>
    <t>10.7 mi. SSW of Washburn
Originated in Randall Co.</t>
  </si>
  <si>
    <t>4.5 NNE of Palo Duro Canyon
Crossed into Armstrong Co.</t>
  </si>
  <si>
    <t>6.9 mi. NNW of Goodnight</t>
  </si>
  <si>
    <t>0.4 mi. NNW of Clarendon</t>
  </si>
  <si>
    <t>3.5 mi. SSW of Clarendon</t>
  </si>
  <si>
    <t>3.1 mi. NNW of Kingsmill
Landspout tornado captured by TV station tower web camera.  Thunderstorms formed in ERN NM and moved into the TX Panhandle.  Marginal stability and dry air near the surface created an environment conducive for wind gust.  This landspout formed along a boundary produced by the storms.</t>
  </si>
  <si>
    <t>13.3 mi. SE of Buffalo Lake to 5.4 mi. W of Palo Duro Canyon.
This tornado originated in Swisher County.
March 13th saw numerous tornadoes from storms developing generally S and SE of Amarillo.  A vigourous upper level low approached the Four Corners area.  A warm front lifted N across the TX Panhandle, while a sharpening dryline developed in ERN NM.  The dryline was ahead of a Pacific cold front in ERN MN which overtook the dryline and swept across the area this evening.  Nine individual tornadoes developed in the late afternoon and early evening on this Moderate Risk (SPC) day.</t>
  </si>
  <si>
    <t>18.7 mi. W of Boys Ranch
Upper level low approach the Four Corners area.  Wind shear and strengh increasing over previous two days of storms.  A line of storms developed along a surface trough in ERN MN and moved E.  Severe hail and wind reports were common across the SRN TX Panhandle.</t>
  </si>
  <si>
    <t>6.9 mi. N or Gruver</t>
  </si>
  <si>
    <t>4.3 mi. NNW of Waka</t>
  </si>
  <si>
    <t>1 mi. S.of Perryton</t>
  </si>
  <si>
    <t>6.3 mi. NNW of Gruver
Upper level low approached the area, sending several disturbances across the area.  Storms formed along the dryline and moved E and NE.  Two storms evolved into supercells, producing the tornadoes on this day.</t>
  </si>
  <si>
    <t>3.4 mi. WSW of Felt
xxxxxxx</t>
  </si>
  <si>
    <t>3.1 mi. W of Felt</t>
  </si>
  <si>
    <t>1.1 mi. S of Felt</t>
  </si>
  <si>
    <t>3.5 mi. NE of Felt</t>
  </si>
  <si>
    <t>5.3 mi. SE of Felt</t>
  </si>
  <si>
    <t>9.7 mi. N of Chamberlain</t>
  </si>
  <si>
    <t>8.3 mi. WNW of Conlen</t>
  </si>
  <si>
    <t>7.5 mi. WNW of Conlen</t>
  </si>
  <si>
    <t>9.7 mi. S of Boise City</t>
  </si>
  <si>
    <t>7 mi. N of Conlen</t>
  </si>
  <si>
    <t>5.6 mi. N of Lautz</t>
  </si>
  <si>
    <t>7.7 mi. NE of Lautz</t>
  </si>
  <si>
    <t>4.4 mi. NE of Alanreed
High instabiliity but marginal wind shear day.  Old outflow boundaries from previous day's storms around.  Upper level trough and cold front approaching.  Storms formed along I-40 and Hwy 60 to the NE, and moved E and NE.</t>
  </si>
  <si>
    <t>11.8 mi. SSE of Canyon</t>
  </si>
  <si>
    <t>(Note:  Update data range, i.e., ending row, for the 2020s when the 2029 tornado data is entered)</t>
  </si>
  <si>
    <t>10 (t)</t>
  </si>
  <si>
    <t>14 (t)</t>
  </si>
  <si>
    <t>16 (t)</t>
  </si>
  <si>
    <t>19 (t)</t>
  </si>
  <si>
    <t>29 (t)</t>
  </si>
  <si>
    <t>36 (t)</t>
  </si>
  <si>
    <t xml:space="preserve"> Multiple Tornadoes" each will have to be updated manually.</t>
  </si>
  <si>
    <t xml:space="preserve">and then applying statistical analysis on the transformed values.  The mean, </t>
  </si>
  <si>
    <t>TX Panhandle Tornado Segments:</t>
  </si>
  <si>
    <t>OK Panhandle Tornado Segments:</t>
  </si>
  <si>
    <t>Weak El Niño to Moderate La Niña</t>
  </si>
  <si>
    <t>Weak La Niña to Weak El Niño</t>
  </si>
  <si>
    <t>Weak El Niño</t>
  </si>
  <si>
    <t xml:space="preserve"> Following each F/EF breakout, I have included "analysis" worksheets prepared by </t>
  </si>
  <si>
    <t>R. Ashcraft that evaluate the fit of the data to a lognormal distribution.</t>
  </si>
  <si>
    <t>information (formulae) for columns F, G, H, and I from any cells with information, and</t>
  </si>
  <si>
    <t>Updated the worksheets to add in the thirty-one (31) tornado segments recorded for 2021.  Clarified the titles in cells A209 and A210 on the "Graphs" worksheet to insert "Segments" into the title.  Recounted the number of "Tornado Days" for each category (F2/EF2 - F4/EF4) using the "Whole Tornado" list and made corrections as necessary.</t>
  </si>
  <si>
    <t>017</t>
  </si>
  <si>
    <t>this table by "one."  Remove the light yellow highlight from the cell.</t>
  </si>
  <si>
    <t>Note that EFU tornadoes are expected to produce winds in the EF0 to EF2 range (author's opinion).</t>
  </si>
  <si>
    <t>3.8 mi. WNW of Dodson</t>
  </si>
  <si>
    <t>0.9 mi. SW of Dodson</t>
  </si>
  <si>
    <t>2.2 mi. NE of Dumas</t>
  </si>
  <si>
    <t>When completed, remove the light yellow highlight from all updated cells.</t>
  </si>
  <si>
    <t>The curve will be regenerated periodically and the APC values updated.</t>
  </si>
  <si>
    <t>Updated the worksheets to add in the three (3) tornado segments recorded for 2022.  Updated the Instructions worksheet to clarify that some cells need to have the light yellow highlighting removed after data is entered into that cell.  Clarified the Ratings worksheet to state that it is the author's opinion that EFU tornadoes are expected to produce winds in the EF0 to EF2 range.</t>
  </si>
  <si>
    <t>Increasing</t>
  </si>
  <si>
    <t>Decreasing</t>
  </si>
  <si>
    <t>Thru 2022</t>
  </si>
  <si>
    <t>018</t>
  </si>
  <si>
    <t>0.5 mi. N of Fritch</t>
  </si>
  <si>
    <t>SE of Balko</t>
  </si>
  <si>
    <t>S of Beaver</t>
  </si>
  <si>
    <t>WHOLE TORNADOES BY CATEGORY:</t>
  </si>
  <si>
    <t>WHOLE TORNADOES BY CLASSIFICATION:</t>
  </si>
  <si>
    <t>WHOLE TORNADOES BY MONTH:</t>
  </si>
  <si>
    <t>WHOLE TORNADOES BY HOUR:</t>
  </si>
  <si>
    <t>WHOLE TORNADOES BY DAY OF THE MONTH:</t>
  </si>
  <si>
    <r>
      <t>Added three more tornadoes for 2022 per Mike Gittinger.  A brief May 1</t>
    </r>
    <r>
      <rPr>
        <vertAlign val="superscript"/>
        <sz val="12"/>
        <rFont val="Arial"/>
        <family val="2"/>
      </rPr>
      <t>st</t>
    </r>
    <r>
      <rPr>
        <sz val="12"/>
        <rFont val="Arial"/>
        <family val="2"/>
      </rPr>
      <t xml:space="preserve"> landspout would not normally have been classified as a tornado except it caused a minor amount of damage.  Thus, it became the fourth tornado for 2022.  Added two more weak tornadoes that touched down in December per Mike G.  Six total tornadoes for 2022.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</si>
</sst>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
    <numFmt numFmtId="165" formatCode="0.0E+00"/>
    <numFmt numFmtId="166" formatCode="0.0"/>
    <numFmt numFmtId="167" formatCode="0.000"/>
    <numFmt numFmtId="168" formatCode="mmmm\ d\,\ yyyy"/>
    <numFmt numFmtId="169" formatCode="h:mm;@"/>
    <numFmt numFmtId="170" formatCode="[$-409]mmmm\ d\,\ yyyy;@"/>
    <numFmt numFmtId="171" formatCode="0.0000"/>
    <numFmt numFmtId="172" formatCode="m/d;@"/>
    <numFmt numFmtId="173" formatCode="m/d/yy;@"/>
    <numFmt numFmtId="174" formatCode="0.00000"/>
    <numFmt numFmtId="175" formatCode="&quot;$&quot;#,##0"/>
  </numFmts>
  <fonts count="70">
    <font>
      <sz val="12"/>
      <name val="Arial"/>
    </font>
    <font>
      <sz val="12"/>
      <name val="Arial"/>
      <family val="2"/>
    </font>
    <font>
      <sz val="12"/>
      <name val="Arial"/>
      <family val="2"/>
    </font>
    <font>
      <b/>
      <sz val="12"/>
      <name val="Arial"/>
      <family val="2"/>
    </font>
    <font>
      <b/>
      <sz val="18"/>
      <name val="Arial"/>
      <family val="2"/>
    </font>
    <font>
      <sz val="12"/>
      <name val="Arial"/>
      <family val="2"/>
    </font>
    <font>
      <b/>
      <sz val="12"/>
      <name val="Arial"/>
      <family val="2"/>
    </font>
    <font>
      <b/>
      <sz val="18"/>
      <name val="Arial"/>
      <family val="2"/>
    </font>
    <font>
      <sz val="12"/>
      <name val="Arial"/>
      <family val="2"/>
    </font>
    <font>
      <sz val="11"/>
      <name val="Arial"/>
      <family val="2"/>
    </font>
    <font>
      <b/>
      <sz val="20"/>
      <name val="Arial"/>
      <family val="2"/>
    </font>
    <font>
      <u/>
      <sz val="10.45"/>
      <color indexed="12"/>
      <name val="Arial"/>
      <family val="2"/>
    </font>
    <font>
      <b/>
      <sz val="11"/>
      <name val="Arial"/>
      <family val="2"/>
    </font>
    <font>
      <b/>
      <sz val="10"/>
      <name val="Arial"/>
      <family val="2"/>
    </font>
    <font>
      <sz val="10"/>
      <name val="Arial"/>
      <family val="2"/>
    </font>
    <font>
      <sz val="10.45"/>
      <name val="Arial"/>
      <family val="2"/>
    </font>
    <font>
      <sz val="16"/>
      <name val="Arial"/>
      <family val="2"/>
    </font>
    <font>
      <sz val="18"/>
      <name val="Arial"/>
      <family val="2"/>
    </font>
    <font>
      <sz val="8"/>
      <name val="Arial"/>
      <family val="2"/>
    </font>
    <font>
      <sz val="18"/>
      <name val="Arial"/>
      <family val="2"/>
    </font>
    <font>
      <sz val="14"/>
      <name val="Arial"/>
      <family val="2"/>
    </font>
    <font>
      <sz val="8"/>
      <name val="Arial"/>
      <family val="2"/>
    </font>
    <font>
      <b/>
      <sz val="24"/>
      <name val="Arial"/>
      <family val="2"/>
    </font>
    <font>
      <i/>
      <sz val="11"/>
      <name val="Arial"/>
      <family val="2"/>
    </font>
    <font>
      <i/>
      <vertAlign val="subscript"/>
      <sz val="11"/>
      <name val="Arial"/>
      <family val="2"/>
    </font>
    <font>
      <i/>
      <vertAlign val="superscript"/>
      <sz val="11"/>
      <name val="Arial"/>
      <family val="2"/>
    </font>
    <font>
      <b/>
      <sz val="14"/>
      <name val="Arial"/>
      <family val="2"/>
    </font>
    <font>
      <sz val="10"/>
      <name val="Arial"/>
      <family val="2"/>
    </font>
    <font>
      <vertAlign val="subscript"/>
      <sz val="10"/>
      <name val="Arial"/>
      <family val="2"/>
    </font>
    <font>
      <b/>
      <sz val="20"/>
      <name val="Albertus"/>
    </font>
    <font>
      <vertAlign val="superscript"/>
      <sz val="11"/>
      <name val="Arial"/>
      <family val="2"/>
    </font>
    <font>
      <vertAlign val="superscript"/>
      <sz val="12"/>
      <name val="Arial"/>
      <family val="2"/>
    </font>
    <font>
      <vertAlign val="superscript"/>
      <sz val="12"/>
      <color indexed="10"/>
      <name val="Arial"/>
      <family val="2"/>
    </font>
    <font>
      <sz val="9"/>
      <name val="Arial"/>
      <family val="2"/>
    </font>
    <font>
      <i/>
      <sz val="12"/>
      <name val="Arial"/>
      <family val="2"/>
    </font>
    <font>
      <b/>
      <sz val="16"/>
      <name val="Arial"/>
      <family val="2"/>
    </font>
    <font>
      <vertAlign val="superscript"/>
      <sz val="10"/>
      <name val="Arial"/>
      <family val="2"/>
    </font>
    <font>
      <b/>
      <vertAlign val="superscript"/>
      <sz val="12"/>
      <name val="Arial"/>
      <family val="2"/>
    </font>
    <font>
      <sz val="12"/>
      <name val="Calibri"/>
      <family val="2"/>
    </font>
    <font>
      <sz val="10.8"/>
      <name val="Arial"/>
      <family val="2"/>
    </font>
    <font>
      <b/>
      <sz val="6"/>
      <name val="Arial"/>
      <family val="2"/>
    </font>
    <font>
      <u/>
      <sz val="10"/>
      <color indexed="12"/>
      <name val="Arial"/>
      <family val="2"/>
    </font>
    <font>
      <b/>
      <vertAlign val="subscript"/>
      <sz val="12"/>
      <name val="Arial"/>
      <family val="2"/>
    </font>
    <font>
      <sz val="6"/>
      <name val="Arial"/>
      <family val="2"/>
    </font>
    <font>
      <b/>
      <sz val="8"/>
      <name val="Arial"/>
      <family val="2"/>
    </font>
    <font>
      <sz val="12"/>
      <color rgb="FFFF0000"/>
      <name val="Arial"/>
      <family val="2"/>
    </font>
    <font>
      <b/>
      <sz val="12"/>
      <color theme="0"/>
      <name val="Arial"/>
      <family val="2"/>
    </font>
    <font>
      <b/>
      <sz val="24"/>
      <color theme="0"/>
      <name val="Arial"/>
      <family val="2"/>
    </font>
    <font>
      <sz val="12"/>
      <color rgb="FF7030A0"/>
      <name val="Arial"/>
      <family val="2"/>
    </font>
    <font>
      <sz val="10"/>
      <color rgb="FFFFFF00"/>
      <name val="Arial"/>
      <family val="2"/>
    </font>
    <font>
      <sz val="8"/>
      <color rgb="FFFFFF00"/>
      <name val="Arial"/>
      <family val="2"/>
    </font>
    <font>
      <sz val="6"/>
      <color rgb="FFFFFF00"/>
      <name val="Arial"/>
      <family val="2"/>
    </font>
    <font>
      <b/>
      <sz val="8"/>
      <color rgb="FFFF0000"/>
      <name val="Arial"/>
      <family val="2"/>
    </font>
    <font>
      <b/>
      <sz val="18"/>
      <color rgb="FFFF0000"/>
      <name val="Arial"/>
      <family val="2"/>
    </font>
    <font>
      <b/>
      <sz val="12"/>
      <color rgb="FFFF0000"/>
      <name val="Arial"/>
      <family val="2"/>
    </font>
    <font>
      <b/>
      <i/>
      <sz val="10"/>
      <name val="Arial"/>
      <family val="2"/>
    </font>
    <font>
      <b/>
      <sz val="8"/>
      <color theme="0"/>
      <name val="Arial"/>
      <family val="2"/>
    </font>
    <font>
      <b/>
      <sz val="10"/>
      <name val="Verdana"/>
      <family val="2"/>
    </font>
    <font>
      <b/>
      <sz val="10"/>
      <color rgb="FF0000FF"/>
      <name val="Verdana"/>
      <family val="2"/>
    </font>
    <font>
      <sz val="10"/>
      <color rgb="FF000000"/>
      <name val="Verdana"/>
      <family val="2"/>
    </font>
    <font>
      <b/>
      <sz val="10"/>
      <color rgb="FFFF0000"/>
      <name val="Verdana"/>
      <family val="2"/>
    </font>
    <font>
      <b/>
      <sz val="16"/>
      <name val="Verdana"/>
      <family val="2"/>
    </font>
    <font>
      <sz val="9.6999999999999993"/>
      <name val="Arial"/>
      <family val="2"/>
    </font>
    <font>
      <sz val="9.6999999999999993"/>
      <color rgb="FFFF0066"/>
      <name val="Arial"/>
      <family val="2"/>
    </font>
    <font>
      <sz val="10"/>
      <color theme="1"/>
      <name val="Arial"/>
      <family val="2"/>
    </font>
    <font>
      <b/>
      <vertAlign val="subscript"/>
      <sz val="11"/>
      <name val="Arial"/>
      <family val="2"/>
    </font>
    <font>
      <vertAlign val="superscript"/>
      <sz val="18"/>
      <name val="Arial"/>
      <family val="2"/>
    </font>
    <font>
      <vertAlign val="subscript"/>
      <sz val="11"/>
      <name val="Arial"/>
      <family val="2"/>
    </font>
    <font>
      <sz val="11.5"/>
      <name val="Arial"/>
      <family val="2"/>
    </font>
    <font>
      <sz val="12"/>
      <name val="Meiryo UI"/>
      <family val="2"/>
    </font>
  </fonts>
  <fills count="37">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34"/>
        <bgColor indexed="64"/>
      </patternFill>
    </fill>
    <fill>
      <patternFill patternType="solid">
        <fgColor theme="3" tint="0.79998168889431442"/>
        <bgColor indexed="64"/>
      </patternFill>
    </fill>
    <fill>
      <patternFill patternType="solid">
        <fgColor rgb="FFFFCC99"/>
        <bgColor indexed="64"/>
      </patternFill>
    </fill>
    <fill>
      <patternFill patternType="solid">
        <fgColor rgb="FFFFFF99"/>
        <bgColor indexed="64"/>
      </patternFill>
    </fill>
    <fill>
      <patternFill patternType="solid">
        <fgColor theme="8"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1" tint="4.9989318521683403E-2"/>
        <bgColor indexed="64"/>
      </patternFill>
    </fill>
    <fill>
      <patternFill patternType="solid">
        <fgColor rgb="FFFA7332"/>
        <bgColor indexed="64"/>
      </patternFill>
    </fill>
    <fill>
      <patternFill patternType="solid">
        <fgColor rgb="FFFAD232"/>
        <bgColor indexed="64"/>
      </patternFill>
    </fill>
    <fill>
      <patternFill patternType="solid">
        <fgColor rgb="FFFF9606"/>
        <bgColor indexed="64"/>
      </patternFill>
    </fill>
    <fill>
      <patternFill patternType="solid">
        <fgColor rgb="FFCCFFFF"/>
        <bgColor indexed="64"/>
      </patternFill>
    </fill>
    <fill>
      <patternFill patternType="solid">
        <fgColor rgb="FFFFFFCC"/>
        <bgColor indexed="64"/>
      </patternFill>
    </fill>
    <fill>
      <patternFill patternType="solid">
        <fgColor rgb="FFFFC000"/>
        <bgColor indexed="64"/>
      </patternFill>
    </fill>
    <fill>
      <patternFill patternType="solid">
        <fgColor theme="5"/>
        <bgColor indexed="64"/>
      </patternFill>
    </fill>
    <fill>
      <patternFill patternType="solid">
        <fgColor rgb="FFCCECFF"/>
        <bgColor indexed="64"/>
      </patternFill>
    </fill>
    <fill>
      <patternFill patternType="solid">
        <fgColor theme="9" tint="0.599963377788628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00B0F0"/>
        <bgColor indexed="64"/>
      </patternFill>
    </fill>
    <fill>
      <patternFill patternType="solid">
        <fgColor rgb="FFFF9966"/>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C0504D"/>
        <bgColor indexed="64"/>
      </patternFill>
    </fill>
    <fill>
      <patternFill patternType="solid">
        <fgColor rgb="FFFF9900"/>
        <bgColor indexed="64"/>
      </patternFill>
    </fill>
    <fill>
      <patternFill patternType="solid">
        <fgColor rgb="FF66FFFF"/>
        <bgColor indexed="64"/>
      </patternFill>
    </fill>
    <fill>
      <patternFill patternType="solid">
        <fgColor rgb="FF700000"/>
        <bgColor indexed="64"/>
      </patternFill>
    </fill>
    <fill>
      <patternFill patternType="solid">
        <fgColor rgb="FF9A0000"/>
        <bgColor indexed="64"/>
      </patternFill>
    </fill>
  </fills>
  <borders count="482">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right style="double">
        <color indexed="12"/>
      </right>
      <top/>
      <bottom/>
      <diagonal/>
    </border>
    <border>
      <left style="double">
        <color indexed="12"/>
      </left>
      <right/>
      <top/>
      <bottom/>
      <diagonal/>
    </border>
    <border>
      <left style="double">
        <color indexed="12"/>
      </left>
      <right/>
      <top/>
      <bottom style="double">
        <color indexed="12"/>
      </bottom>
      <diagonal/>
    </border>
    <border>
      <left/>
      <right/>
      <top/>
      <bottom style="double">
        <color indexed="12"/>
      </bottom>
      <diagonal/>
    </border>
    <border>
      <left style="double">
        <color indexed="8"/>
      </left>
      <right style="thin">
        <color indexed="8"/>
      </right>
      <top style="medium">
        <color indexed="8"/>
      </top>
      <bottom/>
      <diagonal/>
    </border>
    <border>
      <left style="thin">
        <color indexed="8"/>
      </left>
      <right style="thin">
        <color indexed="8"/>
      </right>
      <top style="medium">
        <color indexed="8"/>
      </top>
      <bottom/>
      <diagonal/>
    </border>
    <border>
      <left style="double">
        <color indexed="8"/>
      </left>
      <right style="thin">
        <color indexed="8"/>
      </right>
      <top/>
      <bottom/>
      <diagonal/>
    </border>
    <border>
      <left style="thin">
        <color indexed="8"/>
      </left>
      <right style="thin">
        <color indexed="8"/>
      </right>
      <top/>
      <bottom/>
      <diagonal/>
    </border>
    <border>
      <left style="double">
        <color indexed="8"/>
      </left>
      <right style="thin">
        <color indexed="8"/>
      </right>
      <top/>
      <bottom style="thick">
        <color indexed="8"/>
      </bottom>
      <diagonal/>
    </border>
    <border>
      <left style="thin">
        <color indexed="8"/>
      </left>
      <right style="thin">
        <color indexed="8"/>
      </right>
      <top/>
      <bottom style="thick">
        <color indexed="8"/>
      </bottom>
      <diagonal/>
    </border>
    <border>
      <left/>
      <right style="double">
        <color indexed="12"/>
      </right>
      <top/>
      <bottom style="double">
        <color indexed="12"/>
      </bottom>
      <diagonal/>
    </border>
    <border>
      <left style="double">
        <color indexed="12"/>
      </left>
      <right style="thin">
        <color indexed="64"/>
      </right>
      <top style="thin">
        <color indexed="64"/>
      </top>
      <bottom/>
      <diagonal/>
    </border>
    <border>
      <left style="thin">
        <color indexed="64"/>
      </left>
      <right style="double">
        <color indexed="12"/>
      </right>
      <top style="thin">
        <color indexed="64"/>
      </top>
      <bottom/>
      <diagonal/>
    </border>
    <border>
      <left style="double">
        <color indexed="12"/>
      </left>
      <right style="thin">
        <color indexed="64"/>
      </right>
      <top/>
      <bottom style="medium">
        <color indexed="64"/>
      </bottom>
      <diagonal/>
    </border>
    <border>
      <left/>
      <right/>
      <top/>
      <bottom style="medium">
        <color indexed="64"/>
      </bottom>
      <diagonal/>
    </border>
    <border>
      <left style="thin">
        <color indexed="64"/>
      </left>
      <right style="double">
        <color indexed="12"/>
      </right>
      <top/>
      <bottom style="medium">
        <color indexed="64"/>
      </bottom>
      <diagonal/>
    </border>
    <border>
      <left style="thin">
        <color indexed="55"/>
      </left>
      <right style="thin">
        <color indexed="55"/>
      </right>
      <top style="thin">
        <color indexed="55"/>
      </top>
      <bottom style="thin">
        <color indexed="55"/>
      </bottom>
      <diagonal/>
    </border>
    <border>
      <left style="double">
        <color indexed="8"/>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double">
        <color indexed="8"/>
      </right>
      <top style="thin">
        <color indexed="22"/>
      </top>
      <bottom style="thin">
        <color indexed="22"/>
      </bottom>
      <diagonal/>
    </border>
    <border>
      <left style="double">
        <color indexed="8"/>
      </left>
      <right style="thin">
        <color indexed="55"/>
      </right>
      <top style="thin">
        <color indexed="55"/>
      </top>
      <bottom style="thin">
        <color indexed="55"/>
      </bottom>
      <diagonal/>
    </border>
    <border>
      <left style="thin">
        <color indexed="22"/>
      </left>
      <right style="double">
        <color indexed="8"/>
      </right>
      <top style="thin">
        <color indexed="22"/>
      </top>
      <bottom/>
      <diagonal/>
    </border>
    <border>
      <left style="thin">
        <color indexed="64"/>
      </left>
      <right style="thin">
        <color indexed="64"/>
      </right>
      <top/>
      <bottom/>
      <diagonal/>
    </border>
    <border>
      <left style="double">
        <color indexed="20"/>
      </left>
      <right/>
      <top/>
      <bottom/>
      <diagonal/>
    </border>
    <border>
      <left/>
      <right style="double">
        <color indexed="20"/>
      </right>
      <top/>
      <bottom/>
      <diagonal/>
    </border>
    <border>
      <left style="double">
        <color indexed="20"/>
      </left>
      <right/>
      <top/>
      <bottom style="double">
        <color indexed="20"/>
      </bottom>
      <diagonal/>
    </border>
    <border>
      <left style="thin">
        <color indexed="64"/>
      </left>
      <right style="thin">
        <color indexed="64"/>
      </right>
      <top/>
      <bottom style="double">
        <color indexed="20"/>
      </bottom>
      <diagonal/>
    </border>
    <border>
      <left/>
      <right/>
      <top/>
      <bottom style="double">
        <color indexed="20"/>
      </bottom>
      <diagonal/>
    </border>
    <border>
      <left/>
      <right style="double">
        <color indexed="20"/>
      </right>
      <top/>
      <bottom style="double">
        <color indexed="20"/>
      </bottom>
      <diagonal/>
    </border>
    <border>
      <left style="double">
        <color indexed="51"/>
      </left>
      <right/>
      <top/>
      <bottom/>
      <diagonal/>
    </border>
    <border>
      <left/>
      <right style="double">
        <color indexed="51"/>
      </right>
      <top/>
      <bottom/>
      <diagonal/>
    </border>
    <border>
      <left style="double">
        <color indexed="51"/>
      </left>
      <right/>
      <top/>
      <bottom style="double">
        <color indexed="51"/>
      </bottom>
      <diagonal/>
    </border>
    <border>
      <left/>
      <right/>
      <top/>
      <bottom style="double">
        <color indexed="51"/>
      </bottom>
      <diagonal/>
    </border>
    <border>
      <left/>
      <right style="double">
        <color indexed="51"/>
      </right>
      <top/>
      <bottom style="double">
        <color indexed="51"/>
      </bottom>
      <diagonal/>
    </border>
    <border>
      <left style="double">
        <color indexed="20"/>
      </left>
      <right/>
      <top/>
      <bottom style="medium">
        <color indexed="64"/>
      </bottom>
      <diagonal/>
    </border>
    <border>
      <left style="thin">
        <color indexed="64"/>
      </left>
      <right style="thin">
        <color indexed="64"/>
      </right>
      <top/>
      <bottom style="medium">
        <color indexed="64"/>
      </bottom>
      <diagonal/>
    </border>
    <border>
      <left/>
      <right style="double">
        <color indexed="20"/>
      </right>
      <top/>
      <bottom style="medium">
        <color indexed="64"/>
      </bottom>
      <diagonal/>
    </border>
    <border>
      <left/>
      <right style="double">
        <color indexed="51"/>
      </right>
      <top/>
      <bottom style="medium">
        <color indexed="64"/>
      </bottom>
      <diagonal/>
    </border>
    <border>
      <left style="double">
        <color indexed="32"/>
      </left>
      <right/>
      <top/>
      <bottom/>
      <diagonal/>
    </border>
    <border>
      <left/>
      <right style="double">
        <color indexed="32"/>
      </right>
      <top/>
      <bottom/>
      <diagonal/>
    </border>
    <border>
      <left style="double">
        <color indexed="32"/>
      </left>
      <right/>
      <top/>
      <bottom style="double">
        <color indexed="32"/>
      </bottom>
      <diagonal/>
    </border>
    <border>
      <left style="thin">
        <color indexed="64"/>
      </left>
      <right style="thin">
        <color indexed="64"/>
      </right>
      <top/>
      <bottom style="double">
        <color indexed="32"/>
      </bottom>
      <diagonal/>
    </border>
    <border>
      <left/>
      <right/>
      <top/>
      <bottom style="double">
        <color indexed="32"/>
      </bottom>
      <diagonal/>
    </border>
    <border>
      <left/>
      <right style="double">
        <color indexed="32"/>
      </right>
      <top/>
      <bottom style="double">
        <color indexed="32"/>
      </bottom>
      <diagonal/>
    </border>
    <border>
      <left style="double">
        <color indexed="32"/>
      </left>
      <right/>
      <top/>
      <bottom style="medium">
        <color indexed="64"/>
      </bottom>
      <diagonal/>
    </border>
    <border>
      <left/>
      <right style="double">
        <color indexed="32"/>
      </right>
      <top/>
      <bottom style="medium">
        <color indexed="64"/>
      </bottom>
      <diagonal/>
    </border>
    <border>
      <left/>
      <right style="double">
        <color indexed="10"/>
      </right>
      <top/>
      <bottom/>
      <diagonal/>
    </border>
    <border>
      <left/>
      <right style="double">
        <color indexed="10"/>
      </right>
      <top/>
      <bottom style="medium">
        <color indexed="64"/>
      </bottom>
      <diagonal/>
    </border>
    <border>
      <left/>
      <right/>
      <top/>
      <bottom style="double">
        <color indexed="10"/>
      </bottom>
      <diagonal/>
    </border>
    <border>
      <left/>
      <right style="double">
        <color indexed="10"/>
      </right>
      <top/>
      <bottom style="double">
        <color indexed="10"/>
      </bottom>
      <diagonal/>
    </border>
    <border>
      <left style="thin">
        <color indexed="8"/>
      </left>
      <right/>
      <top style="medium">
        <color indexed="8"/>
      </top>
      <bottom/>
      <diagonal/>
    </border>
    <border>
      <left style="thin">
        <color indexed="8"/>
      </left>
      <right/>
      <top/>
      <bottom/>
      <diagonal/>
    </border>
    <border>
      <left style="thin">
        <color indexed="8"/>
      </left>
      <right/>
      <top/>
      <bottom style="thick">
        <color indexed="8"/>
      </bottom>
      <diagonal/>
    </border>
    <border>
      <left style="thin">
        <color indexed="8"/>
      </left>
      <right style="double">
        <color indexed="8"/>
      </right>
      <top style="medium">
        <color indexed="8"/>
      </top>
      <bottom/>
      <diagonal/>
    </border>
    <border>
      <left style="thin">
        <color indexed="8"/>
      </left>
      <right style="double">
        <color indexed="8"/>
      </right>
      <top/>
      <bottom/>
      <diagonal/>
    </border>
    <border>
      <left style="thin">
        <color indexed="8"/>
      </left>
      <right style="double">
        <color indexed="8"/>
      </right>
      <top/>
      <bottom style="thick">
        <color indexed="8"/>
      </bottom>
      <diagonal/>
    </border>
    <border>
      <left/>
      <right style="double">
        <color indexed="8"/>
      </right>
      <top style="thin">
        <color indexed="22"/>
      </top>
      <bottom style="thin">
        <color indexed="22"/>
      </bottom>
      <diagonal/>
    </border>
    <border>
      <left/>
      <right style="double">
        <color indexed="8"/>
      </right>
      <top style="medium">
        <color indexed="8"/>
      </top>
      <bottom/>
      <diagonal/>
    </border>
    <border>
      <left/>
      <right style="double">
        <color indexed="8"/>
      </right>
      <top/>
      <bottom/>
      <diagonal/>
    </border>
    <border>
      <left/>
      <right style="double">
        <color indexed="8"/>
      </right>
      <top/>
      <bottom style="thick">
        <color indexed="8"/>
      </bottom>
      <diagonal/>
    </border>
    <border>
      <left/>
      <right style="double">
        <color indexed="8"/>
      </right>
      <top style="thin">
        <color indexed="55"/>
      </top>
      <bottom style="thin">
        <color indexed="55"/>
      </bottom>
      <diagonal/>
    </border>
    <border>
      <left style="double">
        <color indexed="16"/>
      </left>
      <right style="thin">
        <color indexed="16"/>
      </right>
      <top/>
      <bottom/>
      <diagonal/>
    </border>
    <border>
      <left style="thin">
        <color indexed="16"/>
      </left>
      <right style="double">
        <color indexed="16"/>
      </right>
      <top/>
      <bottom/>
      <diagonal/>
    </border>
    <border>
      <left style="double">
        <color indexed="16"/>
      </left>
      <right style="thin">
        <color indexed="16"/>
      </right>
      <top/>
      <bottom style="thin">
        <color indexed="16"/>
      </bottom>
      <diagonal/>
    </border>
    <border>
      <left style="thin">
        <color indexed="16"/>
      </left>
      <right style="double">
        <color indexed="16"/>
      </right>
      <top/>
      <bottom style="thin">
        <color indexed="16"/>
      </bottom>
      <diagonal/>
    </border>
    <border>
      <left style="double">
        <color indexed="16"/>
      </left>
      <right style="thin">
        <color indexed="16"/>
      </right>
      <top/>
      <bottom style="double">
        <color indexed="16"/>
      </bottom>
      <diagonal/>
    </border>
    <border>
      <left style="thin">
        <color indexed="16"/>
      </left>
      <right style="double">
        <color indexed="16"/>
      </right>
      <top/>
      <bottom style="double">
        <color indexed="16"/>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thick">
        <color indexed="8"/>
      </bottom>
      <diagonal/>
    </border>
    <border>
      <left style="double">
        <color indexed="10"/>
      </left>
      <right/>
      <top/>
      <bottom/>
      <diagonal/>
    </border>
    <border>
      <left/>
      <right/>
      <top style="medium">
        <color indexed="64"/>
      </top>
      <bottom/>
      <diagonal/>
    </border>
    <border>
      <left style="double">
        <color indexed="12"/>
      </left>
      <right/>
      <top/>
      <bottom style="medium">
        <color indexed="12"/>
      </bottom>
      <diagonal/>
    </border>
    <border>
      <left/>
      <right/>
      <top/>
      <bottom style="medium">
        <color indexed="12"/>
      </bottom>
      <diagonal/>
    </border>
    <border>
      <left/>
      <right style="double">
        <color indexed="12"/>
      </right>
      <top/>
      <bottom style="medium">
        <color indexed="12"/>
      </bottom>
      <diagonal/>
    </border>
    <border>
      <left style="hair">
        <color indexed="64"/>
      </left>
      <right style="hair">
        <color indexed="64"/>
      </right>
      <top style="hair">
        <color indexed="64"/>
      </top>
      <bottom style="hair">
        <color indexed="64"/>
      </bottom>
      <diagonal/>
    </border>
    <border>
      <left style="double">
        <color indexed="10"/>
      </left>
      <right/>
      <top/>
      <bottom style="medium">
        <color indexed="64"/>
      </bottom>
      <diagonal/>
    </border>
    <border>
      <left style="double">
        <color indexed="10"/>
      </left>
      <right/>
      <top/>
      <bottom style="double">
        <color indexed="10"/>
      </bottom>
      <diagonal/>
    </border>
    <border>
      <left style="thin">
        <color indexed="64"/>
      </left>
      <right style="thin">
        <color indexed="64"/>
      </right>
      <top style="thin">
        <color indexed="64"/>
      </top>
      <bottom style="thin">
        <color indexed="64"/>
      </bottom>
      <diagonal/>
    </border>
    <border>
      <left style="double">
        <color indexed="8"/>
      </left>
      <right/>
      <top/>
      <bottom/>
      <diagonal/>
    </border>
    <border>
      <left style="thin">
        <color indexed="64"/>
      </left>
      <right style="thin">
        <color indexed="64"/>
      </right>
      <top/>
      <bottom style="double">
        <color indexed="64"/>
      </bottom>
      <diagonal/>
    </border>
    <border>
      <left style="double">
        <color indexed="51"/>
      </left>
      <right/>
      <top/>
      <bottom style="medium">
        <color indexed="64"/>
      </bottom>
      <diagonal/>
    </border>
    <border>
      <left/>
      <right/>
      <top style="thin">
        <color indexed="55"/>
      </top>
      <bottom/>
      <diagonal/>
    </border>
    <border>
      <left style="thin">
        <color indexed="22"/>
      </left>
      <right style="double">
        <color indexed="64"/>
      </right>
      <top style="thin">
        <color indexed="22"/>
      </top>
      <bottom style="thin">
        <color indexed="22"/>
      </bottom>
      <diagonal/>
    </border>
    <border>
      <left style="thin">
        <color indexed="22"/>
      </left>
      <right style="double">
        <color indexed="64"/>
      </right>
      <top style="thick">
        <color indexed="8"/>
      </top>
      <bottom style="thin">
        <color indexed="22"/>
      </bottom>
      <diagonal/>
    </border>
    <border>
      <left style="medium">
        <color indexed="64"/>
      </left>
      <right/>
      <top/>
      <bottom/>
      <diagonal/>
    </border>
    <border>
      <left style="thin">
        <color indexed="22"/>
      </left>
      <right style="thin">
        <color indexed="22"/>
      </right>
      <top style="thick">
        <color indexed="8"/>
      </top>
      <bottom style="thin">
        <color indexed="22"/>
      </bottom>
      <diagonal/>
    </border>
    <border>
      <left style="thin">
        <color indexed="22"/>
      </left>
      <right style="thin">
        <color indexed="22"/>
      </right>
      <top/>
      <bottom style="thin">
        <color indexed="22"/>
      </bottom>
      <diagonal/>
    </border>
    <border>
      <left style="double">
        <color indexed="8"/>
      </left>
      <right style="thin">
        <color indexed="22"/>
      </right>
      <top/>
      <bottom style="thin">
        <color indexed="22"/>
      </bottom>
      <diagonal/>
    </border>
    <border>
      <left style="thin">
        <color indexed="22"/>
      </left>
      <right style="double">
        <color indexed="8"/>
      </right>
      <top/>
      <bottom style="thin">
        <color indexed="22"/>
      </bottom>
      <diagonal/>
    </border>
    <border>
      <left style="thin">
        <color indexed="22"/>
      </left>
      <right style="thin">
        <color indexed="22"/>
      </right>
      <top/>
      <bottom/>
      <diagonal/>
    </border>
    <border>
      <left style="double">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double">
        <color indexed="64"/>
      </right>
      <top/>
      <bottom style="thick">
        <color indexed="64"/>
      </bottom>
      <diagonal/>
    </border>
    <border>
      <left style="double">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22"/>
      </left>
      <right style="double">
        <color indexed="8"/>
      </right>
      <top style="thick">
        <color indexed="8"/>
      </top>
      <bottom style="thin">
        <color indexed="22"/>
      </bottom>
      <diagonal/>
    </border>
    <border>
      <left/>
      <right style="double">
        <color indexed="8"/>
      </right>
      <top/>
      <bottom style="thin">
        <color indexed="22"/>
      </bottom>
      <diagonal/>
    </border>
    <border>
      <left style="double">
        <color indexed="8"/>
      </left>
      <right style="thin">
        <color indexed="55"/>
      </right>
      <top style="thick">
        <color indexed="8"/>
      </top>
      <bottom style="thin">
        <color indexed="55"/>
      </bottom>
      <diagonal/>
    </border>
    <border>
      <left style="thin">
        <color indexed="55"/>
      </left>
      <right style="thin">
        <color indexed="55"/>
      </right>
      <top style="thick">
        <color indexed="8"/>
      </top>
      <bottom style="thin">
        <color indexed="55"/>
      </bottom>
      <diagonal/>
    </border>
    <border>
      <left style="double">
        <color indexed="16"/>
      </left>
      <right style="thin">
        <color indexed="16"/>
      </right>
      <top style="double">
        <color indexed="16"/>
      </top>
      <bottom style="medium">
        <color indexed="16"/>
      </bottom>
      <diagonal/>
    </border>
    <border>
      <left style="thin">
        <color indexed="16"/>
      </left>
      <right style="double">
        <color indexed="16"/>
      </right>
      <top style="double">
        <color indexed="16"/>
      </top>
      <bottom style="medium">
        <color indexed="16"/>
      </bottom>
      <diagonal/>
    </border>
    <border>
      <left/>
      <right style="thick">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ck">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16"/>
      </left>
      <right style="double">
        <color indexed="16"/>
      </right>
      <top style="double">
        <color indexed="16"/>
      </top>
      <bottom/>
      <diagonal/>
    </border>
    <border>
      <left style="double">
        <color indexed="16"/>
      </left>
      <right style="double">
        <color indexed="16"/>
      </right>
      <top/>
      <bottom/>
      <diagonal/>
    </border>
    <border>
      <left style="double">
        <color indexed="16"/>
      </left>
      <right style="double">
        <color indexed="16"/>
      </right>
      <top style="thin">
        <color indexed="16"/>
      </top>
      <bottom/>
      <diagonal/>
    </border>
    <border>
      <left style="double">
        <color indexed="16"/>
      </left>
      <right style="double">
        <color indexed="16"/>
      </right>
      <top/>
      <bottom style="double">
        <color indexed="16"/>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2"/>
      </left>
      <right/>
      <top style="double">
        <color indexed="12"/>
      </top>
      <bottom style="thin">
        <color indexed="64"/>
      </bottom>
      <diagonal/>
    </border>
    <border>
      <left/>
      <right/>
      <top style="double">
        <color indexed="12"/>
      </top>
      <bottom style="thin">
        <color indexed="64"/>
      </bottom>
      <diagonal/>
    </border>
    <border>
      <left/>
      <right style="double">
        <color indexed="12"/>
      </right>
      <top style="double">
        <color indexed="12"/>
      </top>
      <bottom style="thin">
        <color indexed="64"/>
      </bottom>
      <diagonal/>
    </border>
    <border>
      <left/>
      <right/>
      <top style="thin">
        <color indexed="64"/>
      </top>
      <bottom/>
      <diagonal/>
    </border>
    <border>
      <left style="double">
        <color indexed="51"/>
      </left>
      <right/>
      <top style="double">
        <color indexed="51"/>
      </top>
      <bottom style="thick">
        <color indexed="64"/>
      </bottom>
      <diagonal/>
    </border>
    <border>
      <left/>
      <right/>
      <top style="double">
        <color indexed="51"/>
      </top>
      <bottom style="thick">
        <color indexed="64"/>
      </bottom>
      <diagonal/>
    </border>
    <border>
      <left/>
      <right style="double">
        <color indexed="51"/>
      </right>
      <top style="double">
        <color indexed="51"/>
      </top>
      <bottom style="thick">
        <color indexed="64"/>
      </bottom>
      <diagonal/>
    </border>
    <border>
      <left style="double">
        <color indexed="20"/>
      </left>
      <right/>
      <top style="double">
        <color indexed="20"/>
      </top>
      <bottom style="thick">
        <color indexed="64"/>
      </bottom>
      <diagonal/>
    </border>
    <border>
      <left/>
      <right/>
      <top style="double">
        <color indexed="20"/>
      </top>
      <bottom style="thick">
        <color indexed="64"/>
      </bottom>
      <diagonal/>
    </border>
    <border>
      <left/>
      <right style="double">
        <color indexed="20"/>
      </right>
      <top style="double">
        <color indexed="20"/>
      </top>
      <bottom style="thick">
        <color indexed="64"/>
      </bottom>
      <diagonal/>
    </border>
    <border>
      <left style="double">
        <color indexed="32"/>
      </left>
      <right/>
      <top style="double">
        <color indexed="32"/>
      </top>
      <bottom style="thick">
        <color indexed="64"/>
      </bottom>
      <diagonal/>
    </border>
    <border>
      <left/>
      <right/>
      <top style="double">
        <color indexed="32"/>
      </top>
      <bottom style="thick">
        <color indexed="64"/>
      </bottom>
      <diagonal/>
    </border>
    <border>
      <left/>
      <right style="double">
        <color indexed="32"/>
      </right>
      <top style="double">
        <color indexed="32"/>
      </top>
      <bottom style="thick">
        <color indexed="64"/>
      </bottom>
      <diagonal/>
    </border>
    <border>
      <left style="double">
        <color indexed="12"/>
      </left>
      <right/>
      <top style="double">
        <color indexed="12"/>
      </top>
      <bottom style="thick">
        <color indexed="12"/>
      </bottom>
      <diagonal/>
    </border>
    <border>
      <left/>
      <right/>
      <top style="double">
        <color indexed="12"/>
      </top>
      <bottom style="thick">
        <color indexed="12"/>
      </bottom>
      <diagonal/>
    </border>
    <border>
      <left/>
      <right style="double">
        <color indexed="12"/>
      </right>
      <top style="double">
        <color indexed="12"/>
      </top>
      <bottom style="thick">
        <color indexed="12"/>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thin">
        <color indexed="22"/>
      </left>
      <right/>
      <top style="thin">
        <color indexed="22"/>
      </top>
      <bottom style="thin">
        <color indexed="22"/>
      </bottom>
      <diagonal/>
    </border>
    <border>
      <left/>
      <right/>
      <top style="thick">
        <color rgb="FFFF0000"/>
      </top>
      <bottom/>
      <diagonal/>
    </border>
    <border>
      <left/>
      <right/>
      <top/>
      <bottom style="thick">
        <color rgb="FFFF0000"/>
      </bottom>
      <diagonal/>
    </border>
    <border>
      <left/>
      <right/>
      <top style="thick">
        <color rgb="FF00B0F0"/>
      </top>
      <bottom/>
      <diagonal/>
    </border>
    <border>
      <left/>
      <right/>
      <top/>
      <bottom style="thick">
        <color rgb="FF00B0F0"/>
      </bottom>
      <diagonal/>
    </border>
    <border>
      <left style="thin">
        <color indexed="22"/>
      </left>
      <right style="thin">
        <color theme="0" tint="-0.24994659260841701"/>
      </right>
      <top style="thin">
        <color indexed="22"/>
      </top>
      <bottom style="thin">
        <color indexed="22"/>
      </bottom>
      <diagonal/>
    </border>
    <border>
      <left style="thin">
        <color theme="1"/>
      </left>
      <right style="double">
        <color theme="1"/>
      </right>
      <top style="medium">
        <color theme="1"/>
      </top>
      <bottom/>
      <diagonal/>
    </border>
    <border>
      <left style="thin">
        <color theme="1"/>
      </left>
      <right style="double">
        <color theme="1"/>
      </right>
      <top/>
      <bottom/>
      <diagonal/>
    </border>
    <border>
      <left style="thin">
        <color theme="1"/>
      </left>
      <right style="double">
        <color theme="1"/>
      </right>
      <top/>
      <bottom style="thick">
        <color theme="1"/>
      </bottom>
      <diagonal/>
    </border>
    <border>
      <left style="thin">
        <color theme="0" tint="-0.24994659260841701"/>
      </left>
      <right style="double">
        <color theme="1"/>
      </right>
      <top style="thin">
        <color theme="0" tint="-0.24994659260841701"/>
      </top>
      <bottom style="thin">
        <color theme="0" tint="-0.24994659260841701"/>
      </bottom>
      <diagonal/>
    </border>
    <border>
      <left/>
      <right style="thick">
        <color rgb="FF00B0F0"/>
      </right>
      <top style="thick">
        <color rgb="FF00B0F0"/>
      </top>
      <bottom/>
      <diagonal/>
    </border>
    <border>
      <left/>
      <right style="thick">
        <color rgb="FF00B0F0"/>
      </right>
      <top/>
      <bottom/>
      <diagonal/>
    </border>
    <border>
      <left style="thick">
        <color rgb="FF00B0F0"/>
      </left>
      <right/>
      <top/>
      <bottom/>
      <diagonal/>
    </border>
    <border>
      <left style="thick">
        <color rgb="FF00B0F0"/>
      </left>
      <right style="medium">
        <color indexed="64"/>
      </right>
      <top style="medium">
        <color indexed="64"/>
      </top>
      <bottom style="medium">
        <color indexed="64"/>
      </bottom>
      <diagonal/>
    </border>
    <border>
      <left style="thick">
        <color rgb="FF00B0F0"/>
      </left>
      <right/>
      <top/>
      <bottom style="thick">
        <color rgb="FF00B0F0"/>
      </bottom>
      <diagonal/>
    </border>
    <border>
      <left/>
      <right style="thick">
        <color rgb="FF00B0F0"/>
      </right>
      <top/>
      <bottom style="thick">
        <color rgb="FF00B0F0"/>
      </bottom>
      <diagonal/>
    </border>
    <border>
      <left style="thick">
        <color rgb="FF00B0F0"/>
      </left>
      <right style="thin">
        <color indexed="64"/>
      </right>
      <top/>
      <bottom/>
      <diagonal/>
    </border>
    <border>
      <left style="thin">
        <color indexed="64"/>
      </left>
      <right style="thin">
        <color indexed="64"/>
      </right>
      <top style="thick">
        <color rgb="FF00B0F0"/>
      </top>
      <bottom/>
      <diagonal/>
    </border>
    <border>
      <left style="thin">
        <color indexed="64"/>
      </left>
      <right style="thick">
        <color rgb="FF00B0F0"/>
      </right>
      <top/>
      <bottom style="thin">
        <color indexed="64"/>
      </bottom>
      <diagonal/>
    </border>
    <border>
      <left style="thick">
        <color rgb="FF00B0F0"/>
      </left>
      <right/>
      <top style="thick">
        <color rgb="FF00B0F0"/>
      </top>
      <bottom style="thick">
        <color rgb="FF00B0F0"/>
      </bottom>
      <diagonal/>
    </border>
    <border>
      <left/>
      <right/>
      <top style="thick">
        <color rgb="FF00B0F0"/>
      </top>
      <bottom style="thick">
        <color rgb="FF00B0F0"/>
      </bottom>
      <diagonal/>
    </border>
    <border>
      <left/>
      <right style="thick">
        <color rgb="FF00B0F0"/>
      </right>
      <top style="thick">
        <color rgb="FF00B0F0"/>
      </top>
      <bottom style="thick">
        <color rgb="FF00B0F0"/>
      </bottom>
      <diagonal/>
    </border>
    <border>
      <left style="thick">
        <color rgb="FF00B0F0"/>
      </left>
      <right style="medium">
        <color indexed="64"/>
      </right>
      <top style="thin">
        <color indexed="64"/>
      </top>
      <bottom style="medium">
        <color indexed="64"/>
      </bottom>
      <diagonal/>
    </border>
    <border>
      <left/>
      <right style="thick">
        <color theme="2" tint="-0.499984740745262"/>
      </right>
      <top/>
      <bottom/>
      <diagonal/>
    </border>
    <border>
      <left/>
      <right style="thick">
        <color theme="2" tint="-0.499984740745262"/>
      </right>
      <top/>
      <bottom style="thick">
        <color theme="2" tint="-0.499984740745262"/>
      </bottom>
      <diagonal/>
    </border>
    <border>
      <left style="thick">
        <color theme="2" tint="-0.499984740745262"/>
      </left>
      <right style="thick">
        <color theme="3"/>
      </right>
      <top/>
      <bottom/>
      <diagonal/>
    </border>
    <border>
      <left style="thick">
        <color theme="2" tint="-0.499984740745262"/>
      </left>
      <right style="thick">
        <color theme="3"/>
      </right>
      <top/>
      <bottom style="thick">
        <color theme="2" tint="-0.499984740745262"/>
      </bottom>
      <diagonal/>
    </border>
    <border>
      <left/>
      <right style="double">
        <color rgb="FFFFC000"/>
      </right>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double">
        <color rgb="FFFFFF00"/>
      </left>
      <right/>
      <top style="double">
        <color rgb="FFFFFF00"/>
      </top>
      <bottom/>
      <diagonal/>
    </border>
    <border>
      <left/>
      <right style="double">
        <color rgb="FFFFFF00"/>
      </right>
      <top style="double">
        <color rgb="FFFFFF00"/>
      </top>
      <bottom/>
      <diagonal/>
    </border>
    <border>
      <left style="double">
        <color rgb="FFFFFF00"/>
      </left>
      <right/>
      <top/>
      <bottom style="double">
        <color rgb="FFFFFF00"/>
      </bottom>
      <diagonal/>
    </border>
    <border>
      <left/>
      <right style="thin">
        <color theme="0"/>
      </right>
      <top/>
      <bottom style="thin">
        <color theme="0"/>
      </bottom>
      <diagonal/>
    </border>
    <border>
      <left style="thin">
        <color theme="0"/>
      </left>
      <right style="thin">
        <color theme="0"/>
      </right>
      <top/>
      <bottom/>
      <diagonal/>
    </border>
    <border>
      <left style="double">
        <color rgb="FFFF0066"/>
      </left>
      <right/>
      <top/>
      <bottom/>
      <diagonal/>
    </border>
    <border>
      <left/>
      <right style="double">
        <color rgb="FFFF0066"/>
      </right>
      <top/>
      <bottom/>
      <diagonal/>
    </border>
    <border>
      <left style="double">
        <color rgb="FFFF0066"/>
      </left>
      <right/>
      <top/>
      <bottom style="double">
        <color rgb="FFFF0066"/>
      </bottom>
      <diagonal/>
    </border>
    <border>
      <left/>
      <right style="double">
        <color rgb="FFFF0066"/>
      </right>
      <top/>
      <bottom style="double">
        <color rgb="FFFF0066"/>
      </bottom>
      <diagonal/>
    </border>
    <border>
      <left/>
      <right style="double">
        <color rgb="FFFFFF00"/>
      </right>
      <top/>
      <bottom style="double">
        <color rgb="FFFFFF00"/>
      </bottom>
      <diagonal/>
    </border>
    <border>
      <left style="thin">
        <color theme="0"/>
      </left>
      <right style="thin">
        <color theme="0"/>
      </right>
      <top style="medium">
        <color indexed="64"/>
      </top>
      <bottom style="thin">
        <color theme="0"/>
      </bottom>
      <diagonal/>
    </border>
    <border>
      <left style="thin">
        <color theme="0"/>
      </left>
      <right style="thin">
        <color theme="0"/>
      </right>
      <top style="double">
        <color indexed="64"/>
      </top>
      <bottom style="thin">
        <color theme="0"/>
      </bottom>
      <diagonal/>
    </border>
    <border>
      <left style="thin">
        <color theme="0"/>
      </left>
      <right style="thin">
        <color theme="0"/>
      </right>
      <top style="thin">
        <color theme="0"/>
      </top>
      <bottom style="medium">
        <color indexed="64"/>
      </bottom>
      <diagonal/>
    </border>
    <border>
      <left/>
      <right style="thin">
        <color rgb="FFFFFF99"/>
      </right>
      <top/>
      <bottom style="thin">
        <color rgb="FFFFFF99"/>
      </bottom>
      <diagonal/>
    </border>
    <border>
      <left style="thin">
        <color rgb="FFFFFF99"/>
      </left>
      <right style="thin">
        <color rgb="FFFFFF99"/>
      </right>
      <top/>
      <bottom style="thin">
        <color rgb="FFFFFF99"/>
      </bottom>
      <diagonal/>
    </border>
    <border>
      <left style="thin">
        <color rgb="FFFFFF99"/>
      </left>
      <right/>
      <top/>
      <bottom style="thin">
        <color rgb="FFFFFF99"/>
      </bottom>
      <diagonal/>
    </border>
    <border>
      <left/>
      <right style="thin">
        <color rgb="FFFFFF99"/>
      </right>
      <top style="thin">
        <color rgb="FFFFFF99"/>
      </top>
      <bottom style="thin">
        <color rgb="FFFFFF99"/>
      </bottom>
      <diagonal/>
    </border>
    <border>
      <left style="thin">
        <color rgb="FFFFFF99"/>
      </left>
      <right style="thin">
        <color rgb="FFFFFF99"/>
      </right>
      <top style="thin">
        <color rgb="FFFFFF99"/>
      </top>
      <bottom style="thin">
        <color rgb="FFFFFF99"/>
      </bottom>
      <diagonal/>
    </border>
    <border>
      <left style="thin">
        <color rgb="FFFFFF99"/>
      </left>
      <right/>
      <top style="thin">
        <color rgb="FFFFFF99"/>
      </top>
      <bottom style="thin">
        <color rgb="FFFFFF99"/>
      </bottom>
      <diagonal/>
    </border>
    <border>
      <left/>
      <right style="thin">
        <color rgb="FFFFFF99"/>
      </right>
      <top style="thin">
        <color rgb="FFFFFF99"/>
      </top>
      <bottom/>
      <diagonal/>
    </border>
    <border>
      <left style="thin">
        <color rgb="FFFFFF99"/>
      </left>
      <right style="thin">
        <color rgb="FFFFFF99"/>
      </right>
      <top style="thin">
        <color rgb="FFFFFF99"/>
      </top>
      <bottom/>
      <diagonal/>
    </border>
    <border>
      <left style="thin">
        <color rgb="FFFFFF99"/>
      </left>
      <right/>
      <top style="thin">
        <color rgb="FFFFFF99"/>
      </top>
      <bottom/>
      <diagonal/>
    </border>
    <border>
      <left style="thin">
        <color theme="0"/>
      </left>
      <right style="thin">
        <color rgb="FFFFFF99"/>
      </right>
      <top style="thin">
        <color theme="0"/>
      </top>
      <bottom style="thin">
        <color rgb="FFFFFF99"/>
      </bottom>
      <diagonal/>
    </border>
    <border>
      <left style="thin">
        <color rgb="FFFFFF99"/>
      </left>
      <right style="thin">
        <color rgb="FFFFFF99"/>
      </right>
      <top style="thin">
        <color theme="0"/>
      </top>
      <bottom style="thin">
        <color rgb="FFFFFF99"/>
      </bottom>
      <diagonal/>
    </border>
    <border>
      <left style="thin">
        <color rgb="FFFFFF99"/>
      </left>
      <right style="thin">
        <color theme="0"/>
      </right>
      <top style="thin">
        <color theme="0"/>
      </top>
      <bottom style="thin">
        <color rgb="FFFFFF99"/>
      </bottom>
      <diagonal/>
    </border>
    <border>
      <left style="thin">
        <color theme="0"/>
      </left>
      <right style="thin">
        <color rgb="FFFFFF99"/>
      </right>
      <top style="thin">
        <color rgb="FFFFFF99"/>
      </top>
      <bottom style="thin">
        <color rgb="FFFFFF99"/>
      </bottom>
      <diagonal/>
    </border>
    <border>
      <left style="thin">
        <color rgb="FFFFFF99"/>
      </left>
      <right style="thin">
        <color theme="0"/>
      </right>
      <top style="thin">
        <color rgb="FFFFFF99"/>
      </top>
      <bottom style="thin">
        <color rgb="FFFFFF99"/>
      </bottom>
      <diagonal/>
    </border>
    <border>
      <left style="thin">
        <color theme="0"/>
      </left>
      <right style="thin">
        <color rgb="FFFFFF99"/>
      </right>
      <top style="thin">
        <color rgb="FFFFFF99"/>
      </top>
      <bottom style="thin">
        <color theme="0"/>
      </bottom>
      <diagonal/>
    </border>
    <border>
      <left style="thin">
        <color rgb="FFFFFF99"/>
      </left>
      <right style="thin">
        <color rgb="FFFFFF99"/>
      </right>
      <top style="thin">
        <color rgb="FFFFFF99"/>
      </top>
      <bottom style="thin">
        <color theme="0"/>
      </bottom>
      <diagonal/>
    </border>
    <border>
      <left style="thin">
        <color rgb="FFFFFF99"/>
      </left>
      <right style="thin">
        <color theme="0"/>
      </right>
      <top style="thin">
        <color rgb="FFFFFF99"/>
      </top>
      <bottom style="thin">
        <color theme="0"/>
      </bottom>
      <diagonal/>
    </border>
    <border>
      <left style="thick">
        <color indexed="64"/>
      </left>
      <right style="thick">
        <color indexed="64"/>
      </right>
      <top style="thick">
        <color rgb="FFFF0000"/>
      </top>
      <bottom style="thick">
        <color indexed="64"/>
      </bottom>
      <diagonal/>
    </border>
    <border>
      <left style="thin">
        <color theme="0"/>
      </left>
      <right style="thin">
        <color theme="0"/>
      </right>
      <top/>
      <bottom style="medium">
        <color indexed="64"/>
      </bottom>
      <diagonal/>
    </border>
    <border>
      <left style="thick">
        <color indexed="64"/>
      </left>
      <right style="thick">
        <color indexed="64"/>
      </right>
      <top style="thick">
        <color rgb="FFFA7332"/>
      </top>
      <bottom style="thick">
        <color indexed="64"/>
      </bottom>
      <diagonal/>
    </border>
    <border>
      <left style="thick">
        <color indexed="64"/>
      </left>
      <right style="thick">
        <color indexed="64"/>
      </right>
      <top style="thick">
        <color rgb="FFFAD232"/>
      </top>
      <bottom style="thick">
        <color indexed="64"/>
      </bottom>
      <diagonal/>
    </border>
    <border>
      <left style="double">
        <color theme="1"/>
      </left>
      <right/>
      <top/>
      <bottom/>
      <diagonal/>
    </border>
    <border>
      <left/>
      <right style="thick">
        <color rgb="FF00B0F0"/>
      </right>
      <top/>
      <bottom style="double">
        <color indexed="64"/>
      </bottom>
      <diagonal/>
    </border>
    <border>
      <left/>
      <right style="thick">
        <color rgb="FFFF0000"/>
      </right>
      <top style="thick">
        <color rgb="FFFF0000"/>
      </top>
      <bottom/>
      <diagonal/>
    </border>
    <border>
      <left/>
      <right style="thick">
        <color rgb="FFFF0000"/>
      </right>
      <top/>
      <bottom/>
      <diagonal/>
    </border>
    <border>
      <left/>
      <right style="thick">
        <color rgb="FFFF0000"/>
      </right>
      <top/>
      <bottom style="thick">
        <color rgb="FFFF0000"/>
      </bottom>
      <diagonal/>
    </border>
    <border>
      <left style="thin">
        <color theme="0"/>
      </left>
      <right style="thin">
        <color theme="0"/>
      </right>
      <top style="medium">
        <color indexed="64"/>
      </top>
      <bottom style="medium">
        <color indexed="64"/>
      </bottom>
      <diagonal/>
    </border>
    <border>
      <left style="thin">
        <color indexed="22"/>
      </left>
      <right style="double">
        <color indexed="64"/>
      </right>
      <top style="thick">
        <color indexed="8"/>
      </top>
      <bottom style="thin">
        <color theme="0" tint="-0.14996795556505021"/>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n">
        <color indexed="64"/>
      </right>
      <top/>
      <bottom/>
      <diagonal/>
    </border>
    <border>
      <left style="thin">
        <color indexed="64"/>
      </left>
      <right style="thick">
        <color rgb="FFFF0000"/>
      </right>
      <top/>
      <bottom style="thin">
        <color indexed="64"/>
      </bottom>
      <diagonal/>
    </border>
    <border>
      <left style="thick">
        <color rgb="FFFF0000"/>
      </left>
      <right style="medium">
        <color indexed="64"/>
      </right>
      <top style="thin">
        <color indexed="64"/>
      </top>
      <bottom style="medium">
        <color indexed="64"/>
      </bottom>
      <diagonal/>
    </border>
    <border>
      <left style="thick">
        <color rgb="FFFF0000"/>
      </left>
      <right/>
      <top/>
      <bottom/>
      <diagonal/>
    </border>
    <border>
      <left style="thick">
        <color rgb="FFFF0000"/>
      </left>
      <right style="medium">
        <color indexed="64"/>
      </right>
      <top style="medium">
        <color indexed="64"/>
      </top>
      <bottom style="medium">
        <color indexed="64"/>
      </bottom>
      <diagonal/>
    </border>
    <border>
      <left style="thick">
        <color rgb="FFFF0000"/>
      </left>
      <right/>
      <top/>
      <bottom style="thick">
        <color rgb="FFFF0000"/>
      </bottom>
      <diagonal/>
    </border>
    <border>
      <left style="double">
        <color indexed="8"/>
      </left>
      <right style="thin">
        <color theme="0" tint="-0.14996795556505021"/>
      </right>
      <top style="thick">
        <color indexed="8"/>
      </top>
      <bottom style="thin">
        <color theme="0" tint="-0.14996795556505021"/>
      </bottom>
      <diagonal/>
    </border>
    <border>
      <left style="thin">
        <color theme="0" tint="-0.14996795556505021"/>
      </left>
      <right style="thin">
        <color theme="0" tint="-0.14996795556505021"/>
      </right>
      <top style="thick">
        <color indexed="8"/>
      </top>
      <bottom style="thin">
        <color theme="0" tint="-0.14996795556505021"/>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double">
        <color rgb="FFFF0000"/>
      </left>
      <right style="thin">
        <color theme="3" tint="0.79998168889431442"/>
      </right>
      <top style="thin">
        <color theme="3" tint="0.79998168889431442"/>
      </top>
      <bottom style="thin">
        <color theme="3" tint="0.79998168889431442"/>
      </bottom>
      <diagonal/>
    </border>
    <border>
      <left style="thin">
        <color theme="3" tint="0.79998168889431442"/>
      </left>
      <right style="double">
        <color rgb="FFFF0000"/>
      </right>
      <top style="thin">
        <color theme="3" tint="0.79998168889431442"/>
      </top>
      <bottom style="thin">
        <color theme="3" tint="0.79998168889431442"/>
      </bottom>
      <diagonal/>
    </border>
    <border>
      <left style="thin">
        <color theme="3" tint="0.79998168889431442"/>
      </left>
      <right style="double">
        <color rgb="FFFF0000"/>
      </right>
      <top style="thin">
        <color theme="3" tint="0.79998168889431442"/>
      </top>
      <bottom style="double">
        <color rgb="FFFF0000"/>
      </bottom>
      <diagonal/>
    </border>
    <border>
      <left style="thick">
        <color theme="2" tint="-0.499984740745262"/>
      </left>
      <right style="thick">
        <color theme="3"/>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style="thick">
        <color theme="3"/>
      </right>
      <top/>
      <bottom style="thick">
        <color theme="3"/>
      </bottom>
      <diagonal/>
    </border>
    <border>
      <left/>
      <right style="thick">
        <color theme="2" tint="-0.499984740745262"/>
      </right>
      <top/>
      <bottom style="thick">
        <color theme="3"/>
      </bottom>
      <diagonal/>
    </border>
    <border>
      <left style="thin">
        <color indexed="64"/>
      </left>
      <right style="thin">
        <color indexed="64"/>
      </right>
      <top style="thick">
        <color rgb="FFFF0000"/>
      </top>
      <bottom/>
      <diagonal/>
    </border>
    <border>
      <left style="thin">
        <color indexed="64"/>
      </left>
      <right style="thin">
        <color indexed="64"/>
      </right>
      <top style="thin">
        <color indexed="64"/>
      </top>
      <bottom style="thick">
        <color theme="1"/>
      </bottom>
      <diagonal/>
    </border>
    <border>
      <left style="thin">
        <color indexed="64"/>
      </left>
      <right style="thin">
        <color indexed="64"/>
      </right>
      <top/>
      <bottom style="thick">
        <color theme="1"/>
      </bottom>
      <diagonal/>
    </border>
    <border>
      <left/>
      <right style="thick">
        <color rgb="FFFF0000"/>
      </right>
      <top/>
      <bottom style="thick">
        <color theme="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style="double">
        <color rgb="FF00B0F0"/>
      </right>
      <top/>
      <bottom/>
      <diagonal/>
    </border>
    <border>
      <left style="double">
        <color rgb="FF00B0F0"/>
      </left>
      <right/>
      <top/>
      <bottom/>
      <diagonal/>
    </border>
    <border>
      <left/>
      <right/>
      <top style="double">
        <color rgb="FF00B0F0"/>
      </top>
      <bottom/>
      <diagonal/>
    </border>
    <border>
      <left/>
      <right style="double">
        <color rgb="FF00B0F0"/>
      </right>
      <top style="double">
        <color rgb="FF00B0F0"/>
      </top>
      <bottom/>
      <diagonal/>
    </border>
    <border>
      <left style="double">
        <color rgb="FF00B0F0"/>
      </left>
      <right/>
      <top style="double">
        <color rgb="FF00B0F0"/>
      </top>
      <bottom/>
      <diagonal/>
    </border>
    <border>
      <left style="double">
        <color rgb="FFFF0000"/>
      </left>
      <right style="thin">
        <color rgb="FFFF0000"/>
      </right>
      <top style="double">
        <color rgb="FFFF0000"/>
      </top>
      <bottom/>
      <diagonal/>
    </border>
    <border>
      <left style="thin">
        <color rgb="FFFF0000"/>
      </left>
      <right style="double">
        <color rgb="FFFF0000"/>
      </right>
      <top style="double">
        <color rgb="FFFF0000"/>
      </top>
      <bottom/>
      <diagonal/>
    </border>
    <border>
      <left style="double">
        <color rgb="FFFF0000"/>
      </left>
      <right style="thin">
        <color rgb="FFFF0000"/>
      </right>
      <top/>
      <bottom style="medium">
        <color indexed="64"/>
      </bottom>
      <diagonal/>
    </border>
    <border>
      <left style="thin">
        <color rgb="FFFF0000"/>
      </left>
      <right style="double">
        <color rgb="FFFF0000"/>
      </right>
      <top/>
      <bottom style="medium">
        <color indexed="64"/>
      </bottom>
      <diagonal/>
    </border>
    <border>
      <left style="double">
        <color rgb="FFFF0000"/>
      </left>
      <right style="thin">
        <color rgb="FFFF0000"/>
      </right>
      <top/>
      <bottom/>
      <diagonal/>
    </border>
    <border>
      <left style="thin">
        <color rgb="FFFF0000"/>
      </left>
      <right style="double">
        <color rgb="FFFF0000"/>
      </right>
      <top style="medium">
        <color indexed="64"/>
      </top>
      <bottom/>
      <diagonal/>
    </border>
    <border>
      <left style="thin">
        <color rgb="FFFF0000"/>
      </left>
      <right style="double">
        <color rgb="FFFF0000"/>
      </right>
      <top/>
      <bottom/>
      <diagonal/>
    </border>
    <border>
      <left style="double">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style="double">
        <color rgb="FFFFC000"/>
      </left>
      <right/>
      <top/>
      <bottom/>
      <diagonal/>
    </border>
    <border>
      <left style="double">
        <color rgb="FFFFC000"/>
      </left>
      <right/>
      <top/>
      <bottom style="double">
        <color rgb="FFFFC000"/>
      </bottom>
      <diagonal/>
    </border>
    <border>
      <left/>
      <right/>
      <top/>
      <bottom style="double">
        <color rgb="FFFFC000"/>
      </bottom>
      <diagonal/>
    </border>
    <border>
      <left style="double">
        <color rgb="FFFFC000"/>
      </left>
      <right/>
      <top style="double">
        <color rgb="FFFFC000"/>
      </top>
      <bottom style="medium">
        <color rgb="FFFFC000"/>
      </bottom>
      <diagonal/>
    </border>
    <border>
      <left/>
      <right/>
      <top style="double">
        <color rgb="FFFFC000"/>
      </top>
      <bottom style="medium">
        <color rgb="FFFFC000"/>
      </bottom>
      <diagonal/>
    </border>
    <border>
      <left/>
      <right style="thin">
        <color theme="3" tint="0.79998168889431442"/>
      </right>
      <top/>
      <bottom/>
      <diagonal/>
    </border>
    <border>
      <left style="thin">
        <color theme="3" tint="0.79998168889431442"/>
      </left>
      <right style="double">
        <color rgb="FFFF0000"/>
      </right>
      <top style="thin">
        <color theme="3" tint="0.79998168889431442"/>
      </top>
      <bottom/>
      <diagonal/>
    </border>
    <border>
      <left/>
      <right/>
      <top/>
      <bottom style="double">
        <color rgb="FFFF0000"/>
      </bottom>
      <diagonal/>
    </border>
    <border>
      <left/>
      <right style="thin">
        <color theme="3" tint="0.79998168889431442"/>
      </right>
      <top/>
      <bottom style="double">
        <color rgb="FFFF0000"/>
      </bottom>
      <diagonal/>
    </border>
    <border>
      <left style="double">
        <color rgb="FFFF0000"/>
      </left>
      <right/>
      <top/>
      <bottom style="double">
        <color rgb="FFFF0000"/>
      </bottom>
      <diagonal/>
    </border>
    <border>
      <left style="double">
        <color rgb="FFFF0000"/>
      </left>
      <right/>
      <top style="thick">
        <color theme="1"/>
      </top>
      <bottom/>
      <diagonal/>
    </border>
    <border>
      <left/>
      <right/>
      <top style="thick">
        <color theme="1"/>
      </top>
      <bottom/>
      <diagonal/>
    </border>
    <border>
      <left style="thin">
        <color indexed="22"/>
      </left>
      <right style="thin">
        <color theme="0" tint="-0.24994659260841701"/>
      </right>
      <top style="thick">
        <color indexed="8"/>
      </top>
      <bottom style="thin">
        <color indexed="22"/>
      </bottom>
      <diagonal/>
    </border>
    <border>
      <left style="thin">
        <color theme="0" tint="-0.24994659260841701"/>
      </left>
      <right style="double">
        <color theme="1"/>
      </right>
      <top style="thick">
        <color theme="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double">
        <color indexed="8"/>
      </right>
      <top style="thin">
        <color theme="0" tint="-0.24994659260841701"/>
      </top>
      <bottom style="thin">
        <color theme="0" tint="-0.24994659260841701"/>
      </bottom>
      <diagonal/>
    </border>
    <border>
      <left style="double">
        <color theme="9" tint="-0.24994659260841701"/>
      </left>
      <right style="thin">
        <color indexed="64"/>
      </right>
      <top style="double">
        <color theme="9" tint="-0.24994659260841701"/>
      </top>
      <bottom style="thin">
        <color indexed="64"/>
      </bottom>
      <diagonal/>
    </border>
    <border>
      <left/>
      <right style="double">
        <color theme="9" tint="-0.24994659260841701"/>
      </right>
      <top style="double">
        <color theme="9" tint="-0.24994659260841701"/>
      </top>
      <bottom style="thin">
        <color indexed="64"/>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style="thin">
        <color indexed="64"/>
      </right>
      <top style="thin">
        <color indexed="64"/>
      </top>
      <bottom style="double">
        <color theme="9" tint="-0.24994659260841701"/>
      </bottom>
      <diagonal/>
    </border>
    <border>
      <left style="thin">
        <color indexed="64"/>
      </left>
      <right style="double">
        <color theme="9" tint="-0.24994659260841701"/>
      </right>
      <top style="thin">
        <color indexed="64"/>
      </top>
      <bottom style="double">
        <color theme="9" tint="-0.24994659260841701"/>
      </bottom>
      <diagonal/>
    </border>
    <border>
      <left style="double">
        <color rgb="FF00B0F0"/>
      </left>
      <right/>
      <top/>
      <bottom style="double">
        <color rgb="FF00B0F0"/>
      </bottom>
      <diagonal/>
    </border>
    <border>
      <left/>
      <right/>
      <top/>
      <bottom style="double">
        <color rgb="FF00B0F0"/>
      </bottom>
      <diagonal/>
    </border>
    <border>
      <left/>
      <right style="double">
        <color rgb="FF00B0F0"/>
      </right>
      <top/>
      <bottom style="double">
        <color rgb="FF00B0F0"/>
      </bottom>
      <diagonal/>
    </border>
    <border>
      <left style="double">
        <color rgb="FFFF0000"/>
      </left>
      <right style="thin">
        <color theme="3" tint="0.79998168889431442"/>
      </right>
      <top style="thin">
        <color theme="3" tint="0.79998168889431442"/>
      </top>
      <bottom/>
      <diagonal/>
    </border>
    <border>
      <left style="thin">
        <color theme="3" tint="0.79998168889431442"/>
      </left>
      <right style="thin">
        <color theme="3" tint="0.79998168889431442"/>
      </right>
      <top style="thin">
        <color theme="3" tint="0.79998168889431442"/>
      </top>
      <bottom/>
      <diagonal/>
    </border>
    <border>
      <left style="double">
        <color rgb="FFFF0000"/>
      </left>
      <right style="thin">
        <color theme="3" tint="0.79998168889431442"/>
      </right>
      <top style="double">
        <color rgb="FFFF0000"/>
      </top>
      <bottom style="thin">
        <color theme="3" tint="0.79998168889431442"/>
      </bottom>
      <diagonal/>
    </border>
    <border>
      <left style="thin">
        <color theme="3" tint="0.79998168889431442"/>
      </left>
      <right style="thin">
        <color theme="3" tint="0.79998168889431442"/>
      </right>
      <top style="double">
        <color rgb="FFFF0000"/>
      </top>
      <bottom style="thin">
        <color theme="3" tint="0.79998168889431442"/>
      </bottom>
      <diagonal/>
    </border>
    <border>
      <left style="thin">
        <color theme="3" tint="0.79998168889431442"/>
      </left>
      <right style="double">
        <color rgb="FFFF0000"/>
      </right>
      <top style="double">
        <color rgb="FFFF0000"/>
      </top>
      <bottom style="thin">
        <color theme="3" tint="0.79998168889431442"/>
      </bottom>
      <diagonal/>
    </border>
    <border>
      <left style="double">
        <color rgb="FFFF0066"/>
      </left>
      <right/>
      <top style="double">
        <color rgb="FFFF0066"/>
      </top>
      <bottom style="thick">
        <color indexed="64"/>
      </bottom>
      <diagonal/>
    </border>
    <border>
      <left/>
      <right style="double">
        <color rgb="FFFF0066"/>
      </right>
      <top style="double">
        <color rgb="FFFF0066"/>
      </top>
      <bottom style="thick">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indexed="64"/>
      </left>
      <right/>
      <top style="thick">
        <color rgb="FF00B0F0"/>
      </top>
      <bottom/>
      <diagonal/>
    </border>
    <border>
      <left/>
      <right style="thin">
        <color indexed="64"/>
      </right>
      <top style="thick">
        <color rgb="FF00B0F0"/>
      </top>
      <bottom/>
      <diagonal/>
    </border>
    <border>
      <left style="thick">
        <color rgb="FF00B0F0"/>
      </left>
      <right style="thin">
        <color indexed="64"/>
      </right>
      <top style="thick">
        <color rgb="FF00B0F0"/>
      </top>
      <bottom/>
      <diagonal/>
    </border>
    <border>
      <left style="thick">
        <color rgb="FF00B0F0"/>
      </left>
      <right style="thin">
        <color indexed="64"/>
      </right>
      <top/>
      <bottom style="double">
        <color indexed="64"/>
      </bottom>
      <diagonal/>
    </border>
    <border>
      <left style="thick">
        <color rgb="FFFF0000"/>
      </left>
      <right style="thin">
        <color indexed="64"/>
      </right>
      <top style="thick">
        <color rgb="FFFF0000"/>
      </top>
      <bottom/>
      <diagonal/>
    </border>
    <border>
      <left style="thick">
        <color rgb="FFFF0000"/>
      </left>
      <right style="thin">
        <color indexed="64"/>
      </right>
      <top/>
      <bottom style="thick">
        <color theme="1"/>
      </bottom>
      <diagonal/>
    </border>
    <border>
      <left style="thin">
        <color indexed="64"/>
      </left>
      <right/>
      <top style="thick">
        <color rgb="FFFF0000"/>
      </top>
      <bottom/>
      <diagonal/>
    </border>
    <border>
      <left/>
      <right style="thin">
        <color indexed="64"/>
      </right>
      <top style="thick">
        <color rgb="FFFF0000"/>
      </top>
      <bottom/>
      <diagonal/>
    </border>
    <border>
      <left style="thick">
        <color indexed="12"/>
      </left>
      <right/>
      <top style="thick">
        <color rgb="FFFAD232"/>
      </top>
      <bottom style="thick">
        <color indexed="64"/>
      </bottom>
      <diagonal/>
    </border>
    <border>
      <left/>
      <right style="thick">
        <color indexed="64"/>
      </right>
      <top style="thick">
        <color rgb="FFFAD232"/>
      </top>
      <bottom style="thick">
        <color indexed="64"/>
      </bottom>
      <diagonal/>
    </border>
    <border>
      <left style="thick">
        <color indexed="12"/>
      </left>
      <right/>
      <top style="thick">
        <color rgb="FFFAD232"/>
      </top>
      <bottom style="thick">
        <color indexed="12"/>
      </bottom>
      <diagonal/>
    </border>
    <border>
      <left/>
      <right style="thick">
        <color indexed="64"/>
      </right>
      <top style="thick">
        <color rgb="FFFAD232"/>
      </top>
      <bottom style="thick">
        <color indexed="12"/>
      </bottom>
      <diagonal/>
    </border>
    <border>
      <left style="double">
        <color rgb="FF00B0F0"/>
      </left>
      <right/>
      <top style="double">
        <color rgb="FF00B0F0"/>
      </top>
      <bottom style="double">
        <color rgb="FF00B0F0"/>
      </bottom>
      <diagonal/>
    </border>
    <border>
      <left/>
      <right/>
      <top style="double">
        <color rgb="FF00B0F0"/>
      </top>
      <bottom style="double">
        <color rgb="FF00B0F0"/>
      </bottom>
      <diagonal/>
    </border>
    <border>
      <left/>
      <right style="double">
        <color rgb="FF00B0F0"/>
      </right>
      <top style="double">
        <color rgb="FF00B0F0"/>
      </top>
      <bottom style="double">
        <color rgb="FF00B0F0"/>
      </bottom>
      <diagonal/>
    </border>
    <border>
      <left style="thick">
        <color rgb="FF00B0F0"/>
      </left>
      <right/>
      <top style="thick">
        <color rgb="FF00B0F0"/>
      </top>
      <bottom/>
      <diagonal/>
    </border>
    <border>
      <left style="thick">
        <color rgb="FFFF0000"/>
      </left>
      <right/>
      <top style="thick">
        <color rgb="FFFF0000"/>
      </top>
      <bottom/>
      <diagonal/>
    </border>
    <border>
      <left style="double">
        <color rgb="FFFFC000"/>
      </left>
      <right/>
      <top style="double">
        <color rgb="FFFFC000"/>
      </top>
      <bottom style="double">
        <color rgb="FFFFC000"/>
      </bottom>
      <diagonal/>
    </border>
    <border>
      <left/>
      <right/>
      <top style="double">
        <color rgb="FFFFC000"/>
      </top>
      <bottom style="double">
        <color rgb="FFFFC000"/>
      </bottom>
      <diagonal/>
    </border>
    <border>
      <left/>
      <right style="double">
        <color rgb="FFFFC000"/>
      </right>
      <top style="double">
        <color rgb="FFFFC000"/>
      </top>
      <bottom style="double">
        <color rgb="FFFFC000"/>
      </bottom>
      <diagonal/>
    </border>
    <border>
      <left style="medium">
        <color rgb="FFFFC000"/>
      </left>
      <right/>
      <top style="double">
        <color rgb="FFFFC000"/>
      </top>
      <bottom/>
      <diagonal/>
    </border>
    <border>
      <left/>
      <right style="double">
        <color rgb="FF0000FF"/>
      </right>
      <top style="double">
        <color rgb="FFFFC000"/>
      </top>
      <bottom/>
      <diagonal/>
    </border>
    <border>
      <left style="medium">
        <color rgb="FFFFC000"/>
      </left>
      <right/>
      <top/>
      <bottom/>
      <diagonal/>
    </border>
    <border>
      <left/>
      <right style="double">
        <color rgb="FF0000FF"/>
      </right>
      <top/>
      <bottom/>
      <diagonal/>
    </border>
    <border>
      <left style="medium">
        <color rgb="FFFFC000"/>
      </left>
      <right/>
      <top/>
      <bottom style="double">
        <color rgb="FFFFC000"/>
      </bottom>
      <diagonal/>
    </border>
    <border>
      <left/>
      <right style="double">
        <color rgb="FF0000FF"/>
      </right>
      <top/>
      <bottom style="double">
        <color rgb="FFFFC000"/>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right style="double">
        <color theme="1"/>
      </right>
      <top/>
      <bottom/>
      <diagonal/>
    </border>
    <border>
      <left/>
      <right/>
      <top style="double">
        <color rgb="FFFFC000"/>
      </top>
      <bottom/>
      <diagonal/>
    </border>
    <border>
      <left/>
      <right style="double">
        <color indexed="12"/>
      </right>
      <top style="double">
        <color rgb="FFFFC000"/>
      </top>
      <bottom/>
      <diagonal/>
    </border>
    <border>
      <left style="double">
        <color rgb="FFFFC000"/>
      </left>
      <right/>
      <top style="medium">
        <color rgb="FFFFC000"/>
      </top>
      <bottom/>
      <diagonal/>
    </border>
    <border>
      <left style="thin">
        <color auto="1"/>
      </left>
      <right style="thin">
        <color auto="1"/>
      </right>
      <top style="double">
        <color rgb="FF00B0F0"/>
      </top>
      <bottom style="thin">
        <color auto="1"/>
      </bottom>
      <diagonal/>
    </border>
    <border>
      <left style="thin">
        <color auto="1"/>
      </left>
      <right style="thin">
        <color auto="1"/>
      </right>
      <top style="thin">
        <color auto="1"/>
      </top>
      <bottom style="thin">
        <color auto="1"/>
      </bottom>
      <diagonal/>
    </border>
    <border>
      <left style="thick">
        <color rgb="FF00B0F0"/>
      </left>
      <right style="thin">
        <color auto="1"/>
      </right>
      <top style="double">
        <color rgb="FF00B0F0"/>
      </top>
      <bottom style="thin">
        <color auto="1"/>
      </bottom>
      <diagonal/>
    </border>
    <border>
      <left style="thick">
        <color rgb="FF00B0F0"/>
      </left>
      <right style="thin">
        <color auto="1"/>
      </right>
      <top style="thin">
        <color auto="1"/>
      </top>
      <bottom style="thin">
        <color auto="1"/>
      </bottom>
      <diagonal/>
    </border>
    <border>
      <left style="thin">
        <color auto="1"/>
      </left>
      <right style="thick">
        <color rgb="FF00B0F0"/>
      </right>
      <top style="thin">
        <color auto="1"/>
      </top>
      <bottom style="thin">
        <color auto="1"/>
      </bottom>
      <diagonal/>
    </border>
    <border>
      <left style="thick">
        <color rgb="FF00B0F0"/>
      </left>
      <right style="thin">
        <color auto="1"/>
      </right>
      <top style="thin">
        <color auto="1"/>
      </top>
      <bottom style="thick">
        <color rgb="FF00B0F0"/>
      </bottom>
      <diagonal/>
    </border>
    <border>
      <left style="thin">
        <color auto="1"/>
      </left>
      <right style="thin">
        <color auto="1"/>
      </right>
      <top style="thin">
        <color auto="1"/>
      </top>
      <bottom style="thick">
        <color rgb="FF00B0F0"/>
      </bottom>
      <diagonal/>
    </border>
    <border>
      <left style="thin">
        <color auto="1"/>
      </left>
      <right style="thick">
        <color rgb="FF00B0F0"/>
      </right>
      <top style="thin">
        <color auto="1"/>
      </top>
      <bottom style="thick">
        <color rgb="FF00B0F0"/>
      </bottom>
      <diagonal/>
    </border>
    <border>
      <left style="thick">
        <color rgb="FF00B0F0"/>
      </left>
      <right style="thin">
        <color auto="1"/>
      </right>
      <top style="thick">
        <color rgb="FF00B0F0"/>
      </top>
      <bottom style="double">
        <color rgb="FF00B0F0"/>
      </bottom>
      <diagonal/>
    </border>
    <border>
      <left style="thin">
        <color auto="1"/>
      </left>
      <right style="thin">
        <color auto="1"/>
      </right>
      <top style="thick">
        <color rgb="FF00B0F0"/>
      </top>
      <bottom style="double">
        <color rgb="FF00B0F0"/>
      </bottom>
      <diagonal/>
    </border>
    <border>
      <left style="thin">
        <color auto="1"/>
      </left>
      <right style="thin">
        <color auto="1"/>
      </right>
      <top/>
      <bottom style="thin">
        <color auto="1"/>
      </bottom>
      <diagonal/>
    </border>
    <border>
      <left style="thin">
        <color auto="1"/>
      </left>
      <right/>
      <top style="thick">
        <color rgb="FF00B0F0"/>
      </top>
      <bottom style="double">
        <color rgb="FF00B0F0"/>
      </bottom>
      <diagonal/>
    </border>
    <border>
      <left style="thin">
        <color auto="1"/>
      </left>
      <right/>
      <top style="double">
        <color rgb="FF00B0F0"/>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style="thick">
        <color auto="1"/>
      </right>
      <top style="thick">
        <color auto="1"/>
      </top>
      <bottom style="thick">
        <color auto="1"/>
      </bottom>
      <diagonal/>
    </border>
    <border>
      <left style="thick">
        <color auto="1"/>
      </left>
      <right/>
      <top/>
      <bottom/>
      <diagonal/>
    </border>
    <border>
      <left/>
      <right style="thick">
        <color auto="1"/>
      </right>
      <top/>
      <bottom/>
      <diagonal/>
    </border>
    <border>
      <left style="thick">
        <color auto="1"/>
      </left>
      <right/>
      <top style="thick">
        <color auto="1"/>
      </top>
      <bottom style="double">
        <color auto="1"/>
      </bottom>
      <diagonal/>
    </border>
    <border>
      <left/>
      <right/>
      <top style="thick">
        <color auto="1"/>
      </top>
      <bottom style="double">
        <color auto="1"/>
      </bottom>
      <diagonal/>
    </border>
    <border>
      <left/>
      <right style="thick">
        <color auto="1"/>
      </right>
      <top style="thick">
        <color auto="1"/>
      </top>
      <bottom style="double">
        <color auto="1"/>
      </bottom>
      <diagonal/>
    </border>
    <border>
      <left style="thick">
        <color indexed="64"/>
      </left>
      <right style="thick">
        <color indexed="64"/>
      </right>
      <top style="thick">
        <color indexed="64"/>
      </top>
      <bottom style="thick">
        <color rgb="FFFF0000"/>
      </bottom>
      <diagonal/>
    </border>
    <border>
      <left/>
      <right style="thick">
        <color indexed="64"/>
      </right>
      <top style="thick">
        <color indexed="64"/>
      </top>
      <bottom style="thick">
        <color rgb="FFFAD232"/>
      </bottom>
      <diagonal/>
    </border>
    <border>
      <left/>
      <right style="thick">
        <color indexed="64"/>
      </right>
      <top style="thick">
        <color indexed="64"/>
      </top>
      <bottom style="thin">
        <color rgb="FFFFFF99"/>
      </bottom>
      <diagonal/>
    </border>
    <border>
      <left/>
      <right style="thick">
        <color indexed="64"/>
      </right>
      <top style="thin">
        <color rgb="FFFFFF99"/>
      </top>
      <bottom style="thick">
        <color indexed="64"/>
      </bottom>
      <diagonal/>
    </border>
    <border>
      <left/>
      <right style="thick">
        <color indexed="64"/>
      </right>
      <top/>
      <bottom style="thick">
        <color indexed="64"/>
      </bottom>
      <diagonal/>
    </border>
    <border>
      <left style="thick">
        <color indexed="12"/>
      </left>
      <right/>
      <top style="thick">
        <color indexed="12"/>
      </top>
      <bottom/>
      <diagonal/>
    </border>
    <border>
      <left/>
      <right style="thick">
        <color auto="1"/>
      </right>
      <top style="thick">
        <color indexed="12"/>
      </top>
      <bottom/>
      <diagonal/>
    </border>
    <border>
      <left style="thick">
        <color indexed="12"/>
      </left>
      <right/>
      <top/>
      <bottom style="thick">
        <color indexed="64"/>
      </bottom>
      <diagonal/>
    </border>
    <border>
      <left style="thick">
        <color indexed="12"/>
      </left>
      <right/>
      <top style="thick">
        <color indexed="64"/>
      </top>
      <bottom style="thick">
        <color rgb="FFFAD232"/>
      </bottom>
      <diagonal/>
    </border>
    <border>
      <left style="thick">
        <color indexed="64"/>
      </left>
      <right style="thick">
        <color indexed="64"/>
      </right>
      <top style="thick">
        <color indexed="64"/>
      </top>
      <bottom style="thick">
        <color rgb="FFFAD232"/>
      </bottom>
      <diagonal/>
    </border>
    <border>
      <left style="thick">
        <color indexed="64"/>
      </left>
      <right style="thick">
        <color indexed="64"/>
      </right>
      <top style="thick">
        <color indexed="12"/>
      </top>
      <bottom style="thick">
        <color rgb="FFFA7332"/>
      </bottom>
      <diagonal/>
    </border>
    <border>
      <left style="thick">
        <color indexed="64"/>
      </left>
      <right style="thick">
        <color indexed="12"/>
      </right>
      <top style="thick">
        <color indexed="64"/>
      </top>
      <bottom style="thick">
        <color rgb="FFFF9606"/>
      </bottom>
      <diagonal/>
    </border>
    <border>
      <left style="thick">
        <color indexed="12"/>
      </left>
      <right/>
      <top style="thick">
        <color indexed="64"/>
      </top>
      <bottom style="thin">
        <color rgb="FFFFFF99"/>
      </bottom>
      <diagonal/>
    </border>
    <border>
      <left style="thick">
        <color indexed="12"/>
      </left>
      <right/>
      <top style="thin">
        <color rgb="FFFFFF99"/>
      </top>
      <bottom style="thick">
        <color indexed="64"/>
      </bottom>
      <diagonal/>
    </border>
    <border>
      <left style="thick">
        <color indexed="64"/>
      </left>
      <right style="thick">
        <color indexed="12"/>
      </right>
      <top style="thick">
        <color rgb="FFFF9606"/>
      </top>
      <bottom style="thick">
        <color rgb="FF0066FF"/>
      </bottom>
      <diagonal/>
    </border>
    <border>
      <left style="thick">
        <color indexed="64"/>
      </left>
      <right style="thick">
        <color rgb="FF0066FF"/>
      </right>
      <top style="thick">
        <color indexed="64"/>
      </top>
      <bottom style="thick">
        <color rgb="FFFA7332"/>
      </bottom>
      <diagonal/>
    </border>
    <border>
      <left style="thick">
        <color indexed="64"/>
      </left>
      <right style="thick">
        <color rgb="FF0066FF"/>
      </right>
      <top style="thick">
        <color rgb="FFFA7332"/>
      </top>
      <bottom style="thick">
        <color auto="1"/>
      </bottom>
      <diagonal/>
    </border>
    <border>
      <left style="thin">
        <color indexed="22"/>
      </left>
      <right style="double">
        <color auto="1"/>
      </right>
      <top style="thin">
        <color theme="0" tint="-0.24994659260841701"/>
      </top>
      <bottom style="thin">
        <color indexed="22"/>
      </bottom>
      <diagonal/>
    </border>
    <border>
      <left style="thin">
        <color indexed="22"/>
      </left>
      <right style="double">
        <color auto="1"/>
      </right>
      <top style="thin">
        <color indexed="22"/>
      </top>
      <bottom style="thin">
        <color theme="0" tint="-0.24994659260841701"/>
      </bottom>
      <diagonal/>
    </border>
    <border>
      <left style="double">
        <color rgb="FFFF0000"/>
      </left>
      <right/>
      <top/>
      <bottom/>
      <diagonal/>
    </border>
    <border>
      <left/>
      <right style="double">
        <color rgb="FFFF0000"/>
      </right>
      <top/>
      <bottom/>
      <diagonal/>
    </border>
    <border>
      <left style="thin">
        <color theme="3" tint="0.79998168889431442"/>
      </left>
      <right style="double">
        <color rgb="FFFF0000"/>
      </right>
      <top/>
      <bottom/>
      <diagonal/>
    </border>
    <border>
      <left/>
      <right style="double">
        <color rgb="FF0066FF"/>
      </right>
      <top/>
      <bottom style="double">
        <color rgb="FF0066FF"/>
      </bottom>
      <diagonal/>
    </border>
    <border>
      <left/>
      <right style="double">
        <color rgb="FF0066FF"/>
      </right>
      <top/>
      <bottom/>
      <diagonal/>
    </border>
    <border>
      <left/>
      <right/>
      <top/>
      <bottom style="double">
        <color rgb="FF0066FF"/>
      </bottom>
      <diagonal/>
    </border>
    <border>
      <left style="double">
        <color rgb="FF0066FF"/>
      </left>
      <right/>
      <top/>
      <bottom/>
      <diagonal/>
    </border>
    <border>
      <left style="double">
        <color rgb="FF0066FF"/>
      </left>
      <right/>
      <top/>
      <bottom style="double">
        <color rgb="FF0066FF"/>
      </bottom>
      <diagonal/>
    </border>
    <border>
      <left/>
      <right style="double">
        <color rgb="FF0066FF"/>
      </right>
      <top style="double">
        <color rgb="FF0066FF"/>
      </top>
      <bottom/>
      <diagonal/>
    </border>
    <border>
      <left style="double">
        <color rgb="FF0066FF"/>
      </left>
      <right style="thin">
        <color auto="1"/>
      </right>
      <top/>
      <bottom/>
      <diagonal/>
    </border>
    <border>
      <left style="double">
        <color rgb="FF0066FF"/>
      </left>
      <right style="thin">
        <color auto="1"/>
      </right>
      <top/>
      <bottom style="thin">
        <color auto="1"/>
      </bottom>
      <diagonal/>
    </border>
    <border>
      <left style="thin">
        <color auto="1"/>
      </left>
      <right style="thin">
        <color auto="1"/>
      </right>
      <top/>
      <bottom/>
      <diagonal/>
    </border>
    <border>
      <left style="thin">
        <color auto="1"/>
      </left>
      <right style="double">
        <color rgb="FF0066FF"/>
      </right>
      <top/>
      <bottom style="thin">
        <color auto="1"/>
      </bottom>
      <diagonal/>
    </border>
    <border>
      <left/>
      <right style="double">
        <color rgb="FF0066FF"/>
      </right>
      <top/>
      <bottom style="thick">
        <color rgb="FF0066FF"/>
      </bottom>
      <diagonal/>
    </border>
    <border>
      <left style="double">
        <color rgb="FF0066FF"/>
      </left>
      <right style="thin">
        <color auto="1"/>
      </right>
      <top style="double">
        <color rgb="FF0066FF"/>
      </top>
      <bottom style="thick">
        <color rgb="FF0066FF"/>
      </bottom>
      <diagonal/>
    </border>
    <border>
      <left style="thin">
        <color auto="1"/>
      </left>
      <right style="thin">
        <color auto="1"/>
      </right>
      <top style="double">
        <color rgb="FF0066FF"/>
      </top>
      <bottom style="thick">
        <color rgb="FF0066FF"/>
      </bottom>
      <diagonal/>
    </border>
    <border>
      <left style="thick">
        <color indexed="64"/>
      </left>
      <right style="thick">
        <color indexed="64"/>
      </right>
      <top style="thick">
        <color indexed="64"/>
      </top>
      <bottom style="thin">
        <color rgb="FF9A0000"/>
      </bottom>
      <diagonal/>
    </border>
    <border>
      <left style="thick">
        <color indexed="64"/>
      </left>
      <right style="thick">
        <color indexed="64"/>
      </right>
      <top style="thick">
        <color indexed="64"/>
      </top>
      <bottom style="thin">
        <color rgb="FF700000"/>
      </bottom>
      <diagonal/>
    </border>
    <border>
      <left style="thick">
        <color indexed="64"/>
      </left>
      <right style="thick">
        <color indexed="64"/>
      </right>
      <top style="thin">
        <color rgb="FF9A0000"/>
      </top>
      <bottom/>
      <diagonal/>
    </border>
    <border>
      <left style="thick">
        <color indexed="64"/>
      </left>
      <right style="thick">
        <color indexed="64"/>
      </right>
      <top style="thin">
        <color rgb="FF700000"/>
      </top>
      <bottom style="thick">
        <color indexed="64"/>
      </bottom>
      <diagonal/>
    </border>
    <border>
      <left style="thick">
        <color indexed="64"/>
      </left>
      <right/>
      <top style="thick">
        <color indexed="12"/>
      </top>
      <bottom style="thin">
        <color rgb="FF9A0000"/>
      </bottom>
      <diagonal/>
    </border>
    <border>
      <left/>
      <right style="thick">
        <color indexed="64"/>
      </right>
      <top style="thick">
        <color indexed="12"/>
      </top>
      <bottom style="thin">
        <color rgb="FF9A0000"/>
      </bottom>
      <diagonal/>
    </border>
    <border>
      <left style="thick">
        <color indexed="64"/>
      </left>
      <right/>
      <top style="thin">
        <color rgb="FF9A0000"/>
      </top>
      <bottom style="thick">
        <color indexed="64"/>
      </bottom>
      <diagonal/>
    </border>
    <border>
      <left/>
      <right style="thick">
        <color indexed="64"/>
      </right>
      <top style="thin">
        <color rgb="FF9A0000"/>
      </top>
      <bottom style="thick">
        <color indexed="64"/>
      </bottom>
      <diagonal/>
    </border>
    <border>
      <left style="thick">
        <color rgb="FFB80000"/>
      </left>
      <right/>
      <top style="thick">
        <color rgb="FFB80000"/>
      </top>
      <bottom/>
      <diagonal/>
    </border>
    <border>
      <left/>
      <right/>
      <top style="thick">
        <color rgb="FFB80000"/>
      </top>
      <bottom/>
      <diagonal/>
    </border>
    <border>
      <left/>
      <right style="thick">
        <color rgb="FFB80000"/>
      </right>
      <top style="thick">
        <color rgb="FFB80000"/>
      </top>
      <bottom/>
      <diagonal/>
    </border>
    <border>
      <left style="thick">
        <color rgb="FFB80000"/>
      </left>
      <right/>
      <top/>
      <bottom/>
      <diagonal/>
    </border>
    <border>
      <left/>
      <right style="thick">
        <color rgb="FFB80000"/>
      </right>
      <top/>
      <bottom/>
      <diagonal/>
    </border>
    <border>
      <left style="thick">
        <color rgb="FFB80000"/>
      </left>
      <right/>
      <top/>
      <bottom style="thick">
        <color rgb="FFB80000"/>
      </bottom>
      <diagonal/>
    </border>
    <border>
      <left/>
      <right/>
      <top/>
      <bottom style="thick">
        <color rgb="FFB80000"/>
      </bottom>
      <diagonal/>
    </border>
    <border>
      <left/>
      <right style="thick">
        <color rgb="FFB80000"/>
      </right>
      <top/>
      <bottom style="thick">
        <color rgb="FFB8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double">
        <color rgb="FFB80000"/>
      </left>
      <right/>
      <top style="double">
        <color rgb="FFB80000"/>
      </top>
      <bottom/>
      <diagonal/>
    </border>
    <border>
      <left/>
      <right/>
      <top style="double">
        <color rgb="FFB80000"/>
      </top>
      <bottom/>
      <diagonal/>
    </border>
    <border>
      <left/>
      <right style="double">
        <color rgb="FFB80000"/>
      </right>
      <top style="double">
        <color rgb="FFB80000"/>
      </top>
      <bottom/>
      <diagonal/>
    </border>
    <border>
      <left style="double">
        <color rgb="FFB80000"/>
      </left>
      <right/>
      <top/>
      <bottom/>
      <diagonal/>
    </border>
    <border>
      <left/>
      <right style="double">
        <color rgb="FFB80000"/>
      </right>
      <top/>
      <bottom/>
      <diagonal/>
    </border>
    <border>
      <left/>
      <right/>
      <top/>
      <bottom style="double">
        <color rgb="FFB80000"/>
      </bottom>
      <diagonal/>
    </border>
    <border>
      <left/>
      <right style="double">
        <color rgb="FFB80000"/>
      </right>
      <top/>
      <bottom style="double">
        <color rgb="FFB80000"/>
      </bottom>
      <diagonal/>
    </border>
    <border>
      <left style="mediumDashDotDot">
        <color rgb="FF00B0F0"/>
      </left>
      <right/>
      <top style="mediumDashDotDot">
        <color rgb="FF00B0F0"/>
      </top>
      <bottom style="mediumDashDotDot">
        <color rgb="FF00B0F0"/>
      </bottom>
      <diagonal/>
    </border>
    <border>
      <left/>
      <right/>
      <top style="mediumDashDotDot">
        <color rgb="FF00B0F0"/>
      </top>
      <bottom style="mediumDashDotDot">
        <color rgb="FF00B0F0"/>
      </bottom>
      <diagonal/>
    </border>
    <border>
      <left/>
      <right style="mediumDashDotDot">
        <color rgb="FF00B0F0"/>
      </right>
      <top style="mediumDashDotDot">
        <color rgb="FF00B0F0"/>
      </top>
      <bottom style="mediumDashDotDot">
        <color rgb="FF00B0F0"/>
      </bottom>
      <diagonal/>
    </border>
    <border>
      <left/>
      <right style="thick">
        <color rgb="FF0000FF"/>
      </right>
      <top style="thick">
        <color indexed="12"/>
      </top>
      <bottom style="thin">
        <color rgb="FF9A0000"/>
      </bottom>
      <diagonal/>
    </border>
    <border>
      <left/>
      <right style="thick">
        <color rgb="FF0000FF"/>
      </right>
      <top style="thin">
        <color rgb="FF9A0000"/>
      </top>
      <bottom style="thick">
        <color indexed="64"/>
      </bottom>
      <diagonal/>
    </border>
    <border>
      <left style="thick">
        <color indexed="12"/>
      </left>
      <right style="thick">
        <color rgb="FF0000FF"/>
      </right>
      <top style="thick">
        <color indexed="12"/>
      </top>
      <bottom/>
      <diagonal/>
    </border>
    <border>
      <left style="thick">
        <color indexed="12"/>
      </left>
      <right style="thick">
        <color rgb="FF0000FF"/>
      </right>
      <top/>
      <bottom style="thick">
        <color indexed="64"/>
      </bottom>
      <diagonal/>
    </border>
    <border>
      <left style="thick">
        <color indexed="64"/>
      </left>
      <right/>
      <top style="thick">
        <color indexed="64"/>
      </top>
      <bottom/>
      <diagonal/>
    </border>
    <border>
      <left style="thick">
        <color indexed="64"/>
      </left>
      <right/>
      <top/>
      <bottom style="thick">
        <color rgb="FF0000FF"/>
      </bottom>
      <diagonal/>
    </border>
    <border>
      <left style="thick">
        <color indexed="64"/>
      </left>
      <right style="thick">
        <color indexed="64"/>
      </right>
      <top style="thick">
        <color rgb="FFFF0000"/>
      </top>
      <bottom style="thick">
        <color rgb="FF0000FF"/>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right style="double">
        <color rgb="FFFF0000"/>
      </right>
      <top/>
      <bottom style="double">
        <color rgb="FFFF0000"/>
      </bottom>
      <diagonal/>
    </border>
    <border>
      <left style="thin">
        <color indexed="22"/>
      </left>
      <right style="thin">
        <color indexed="22"/>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style="double">
        <color indexed="8"/>
      </right>
      <top style="thin">
        <color indexed="22"/>
      </top>
      <bottom/>
      <diagonal/>
    </border>
    <border>
      <left style="thin">
        <color indexed="22"/>
      </left>
      <right style="double">
        <color indexed="64"/>
      </right>
      <top style="thin">
        <color indexed="22"/>
      </top>
      <bottom style="thin">
        <color indexed="22"/>
      </bottom>
      <diagonal/>
    </border>
    <border>
      <left style="thick">
        <color auto="1"/>
      </left>
      <right style="thick">
        <color auto="1"/>
      </right>
      <top/>
      <bottom style="thick">
        <color auto="1"/>
      </bottom>
      <diagonal/>
    </border>
    <border>
      <left style="thick">
        <color auto="1"/>
      </left>
      <right/>
      <top style="thick">
        <color auto="1"/>
      </top>
      <bottom style="thick">
        <color auto="1"/>
      </bottom>
      <diagonal/>
    </border>
    <border>
      <left style="thin">
        <color auto="1"/>
      </left>
      <right style="thin">
        <color auto="1"/>
      </right>
      <top style="thin">
        <color auto="1"/>
      </top>
      <bottom/>
      <diagonal/>
    </border>
    <border>
      <left/>
      <right/>
      <top style="thick">
        <color auto="1"/>
      </top>
      <bottom style="thick">
        <color auto="1"/>
      </bottom>
      <diagonal/>
    </border>
    <border>
      <left style="double">
        <color rgb="FFB80000"/>
      </left>
      <right style="thick">
        <color auto="1"/>
      </right>
      <top/>
      <bottom/>
      <diagonal/>
    </border>
    <border>
      <left/>
      <right style="thin">
        <color auto="1"/>
      </right>
      <top style="thin">
        <color auto="1"/>
      </top>
      <bottom style="thin">
        <color auto="1"/>
      </bottom>
      <diagonal/>
    </border>
    <border>
      <left/>
      <right style="thin">
        <color auto="1"/>
      </right>
      <top style="thin">
        <color auto="1"/>
      </top>
      <bottom/>
      <diagonal/>
    </border>
    <border>
      <left style="double">
        <color rgb="FFB80000"/>
      </left>
      <right style="double">
        <color rgb="FFB80000"/>
      </right>
      <top/>
      <bottom style="double">
        <color rgb="FFB80000"/>
      </bottom>
      <diagonal/>
    </border>
    <border>
      <left style="thick">
        <color indexed="64"/>
      </left>
      <right style="thin">
        <color indexed="64"/>
      </right>
      <top/>
      <bottom/>
      <diagonal/>
    </border>
    <border>
      <left style="thick">
        <color auto="1"/>
      </left>
      <right/>
      <top style="double">
        <color rgb="FFFF0000"/>
      </top>
      <bottom style="thin">
        <color auto="1"/>
      </bottom>
      <diagonal/>
    </border>
    <border>
      <left/>
      <right/>
      <top style="double">
        <color rgb="FFFF0000"/>
      </top>
      <bottom style="thin">
        <color auto="1"/>
      </bottom>
      <diagonal/>
    </border>
    <border>
      <left/>
      <right style="thick">
        <color auto="1"/>
      </right>
      <top style="double">
        <color rgb="FFFF0000"/>
      </top>
      <bottom style="thin">
        <color auto="1"/>
      </bottom>
      <diagonal/>
    </border>
    <border>
      <left style="thin">
        <color indexed="8"/>
      </left>
      <right/>
      <top/>
      <bottom style="thick">
        <color indexed="8"/>
      </bottom>
      <diagonal/>
    </border>
    <border>
      <left style="thin">
        <color indexed="22"/>
      </left>
      <right/>
      <top/>
      <bottom/>
      <diagonal/>
    </border>
    <border>
      <left style="thin">
        <color indexed="22"/>
      </left>
      <right/>
      <top style="thin">
        <color indexed="22"/>
      </top>
      <bottom/>
      <diagonal/>
    </border>
    <border>
      <left style="double">
        <color rgb="FFFF00FF"/>
      </left>
      <right/>
      <top style="double">
        <color rgb="FFFF00FF"/>
      </top>
      <bottom/>
      <diagonal/>
    </border>
    <border>
      <left/>
      <right/>
      <top style="double">
        <color rgb="FFFF00FF"/>
      </top>
      <bottom/>
      <diagonal/>
    </border>
    <border>
      <left/>
      <right style="double">
        <color rgb="FFFF00FF"/>
      </right>
      <top style="double">
        <color rgb="FFFF00FF"/>
      </top>
      <bottom/>
      <diagonal/>
    </border>
    <border>
      <left style="double">
        <color rgb="FFFF00FF"/>
      </left>
      <right/>
      <top/>
      <bottom/>
      <diagonal/>
    </border>
    <border>
      <left/>
      <right style="double">
        <color rgb="FFFF00FF"/>
      </right>
      <top/>
      <bottom/>
      <diagonal/>
    </border>
    <border>
      <left style="double">
        <color rgb="FFFF00FF"/>
      </left>
      <right style="double">
        <color rgb="FFFF00FF"/>
      </right>
      <top/>
      <bottom style="double">
        <color rgb="FFFF00FF"/>
      </bottom>
      <diagonal/>
    </border>
    <border>
      <left/>
      <right style="double">
        <color rgb="FFFF00FF"/>
      </right>
      <top/>
      <bottom style="double">
        <color rgb="FFFF00FF"/>
      </bottom>
      <diagonal/>
    </border>
    <border>
      <left/>
      <right/>
      <top/>
      <bottom style="double">
        <color rgb="FFFF00FF"/>
      </bottom>
      <diagonal/>
    </border>
    <border>
      <left style="thick">
        <color indexed="64"/>
      </left>
      <right style="thick">
        <color indexed="64"/>
      </right>
      <top style="thin">
        <color rgb="FF700000"/>
      </top>
      <bottom style="thick">
        <color rgb="FF0000FF"/>
      </bottom>
      <diagonal/>
    </border>
  </borders>
  <cellStyleXfs count="3">
    <xf numFmtId="0" fontId="0" fillId="0" borderId="0"/>
    <xf numFmtId="0" fontId="11" fillId="0" borderId="0" applyNumberFormat="0" applyFill="0" applyBorder="0" applyAlignment="0" applyProtection="0">
      <alignment vertical="top"/>
      <protection locked="0"/>
    </xf>
    <xf numFmtId="0" fontId="64" fillId="0" borderId="0"/>
  </cellStyleXfs>
  <cellXfs count="1237">
    <xf numFmtId="0" fontId="0" fillId="0" borderId="0" xfId="0"/>
    <xf numFmtId="0" fontId="1" fillId="0" borderId="0" xfId="0" applyFont="1"/>
    <xf numFmtId="1" fontId="1" fillId="0" borderId="0" xfId="0" applyNumberFormat="1" applyFont="1"/>
    <xf numFmtId="0" fontId="2" fillId="0" borderId="0" xfId="0" applyFont="1"/>
    <xf numFmtId="0" fontId="3" fillId="0" borderId="0" xfId="0" applyFont="1" applyAlignment="1">
      <alignment horizontal="center"/>
    </xf>
    <xf numFmtId="1" fontId="3" fillId="0" borderId="0" xfId="0" applyNumberFormat="1" applyFont="1" applyAlignment="1">
      <alignment horizontal="center"/>
    </xf>
    <xf numFmtId="0" fontId="2" fillId="0" borderId="0" xfId="0" applyFont="1" applyAlignment="1">
      <alignment horizontal="center"/>
    </xf>
    <xf numFmtId="0" fontId="3" fillId="0" borderId="0" xfId="0" applyFont="1"/>
    <xf numFmtId="0" fontId="4" fillId="0" borderId="0" xfId="0" applyFont="1"/>
    <xf numFmtId="0" fontId="5" fillId="0" borderId="0" xfId="0" applyFont="1" applyAlignment="1">
      <alignment horizontal="left"/>
    </xf>
    <xf numFmtId="0" fontId="2" fillId="0" borderId="0" xfId="0" applyFont="1" applyAlignment="1">
      <alignment horizontal="left"/>
    </xf>
    <xf numFmtId="0" fontId="4" fillId="0" borderId="0" xfId="0" applyFont="1" applyAlignment="1">
      <alignment horizontal="left"/>
    </xf>
    <xf numFmtId="0" fontId="5" fillId="0" borderId="0" xfId="0" applyFont="1"/>
    <xf numFmtId="164" fontId="5" fillId="0" borderId="0" xfId="0" applyNumberFormat="1" applyFont="1"/>
    <xf numFmtId="9" fontId="5" fillId="0" borderId="0" xfId="0" applyNumberFormat="1" applyFont="1"/>
    <xf numFmtId="164" fontId="1" fillId="0" borderId="0" xfId="0" applyNumberFormat="1" applyFont="1"/>
    <xf numFmtId="0" fontId="6" fillId="0" borderId="0" xfId="0" applyFont="1"/>
    <xf numFmtId="11" fontId="1" fillId="0" borderId="0" xfId="0" applyNumberFormat="1" applyFont="1"/>
    <xf numFmtId="165" fontId="1" fillId="0" borderId="0" xfId="0" applyNumberFormat="1" applyFont="1" applyProtection="1">
      <protection locked="0"/>
    </xf>
    <xf numFmtId="0" fontId="6" fillId="0" borderId="0" xfId="0" applyFont="1" applyAlignment="1">
      <alignment horizontal="left"/>
    </xf>
    <xf numFmtId="0" fontId="6" fillId="0" borderId="0" xfId="0" applyFont="1" applyAlignment="1">
      <alignment horizontal="center"/>
    </xf>
    <xf numFmtId="9" fontId="6" fillId="0" borderId="0" xfId="0" applyNumberFormat="1" applyFont="1"/>
    <xf numFmtId="164" fontId="6" fillId="0" borderId="0" xfId="0" applyNumberFormat="1" applyFont="1"/>
    <xf numFmtId="0" fontId="8" fillId="0" borderId="0" xfId="0" applyFont="1"/>
    <xf numFmtId="1" fontId="6" fillId="0" borderId="0" xfId="0" applyNumberFormat="1" applyFont="1" applyAlignment="1">
      <alignment horizontal="center"/>
    </xf>
    <xf numFmtId="9" fontId="1" fillId="0" borderId="0" xfId="0" applyNumberFormat="1" applyFont="1"/>
    <xf numFmtId="0" fontId="0" fillId="0" borderId="0" xfId="0" applyAlignment="1">
      <alignment wrapText="1"/>
    </xf>
    <xf numFmtId="0" fontId="0" fillId="0" borderId="0" xfId="0" applyAlignment="1">
      <alignment horizontal="center"/>
    </xf>
    <xf numFmtId="0" fontId="1" fillId="0" borderId="0" xfId="0" applyFont="1" applyAlignment="1">
      <alignment wrapText="1"/>
    </xf>
    <xf numFmtId="18" fontId="0" fillId="0" borderId="0" xfId="0" applyNumberFormat="1"/>
    <xf numFmtId="18" fontId="0" fillId="0" borderId="0" xfId="0" applyNumberFormat="1" applyProtection="1">
      <protection locked="0"/>
    </xf>
    <xf numFmtId="0" fontId="0" fillId="0" borderId="0" xfId="0" applyProtection="1">
      <protection locked="0"/>
    </xf>
    <xf numFmtId="2" fontId="0" fillId="0" borderId="0" xfId="0" applyNumberFormat="1"/>
    <xf numFmtId="0" fontId="1" fillId="0" borderId="0" xfId="0" applyFont="1" applyAlignment="1">
      <alignment horizontal="left" wrapText="1"/>
    </xf>
    <xf numFmtId="0" fontId="0" fillId="0" borderId="0" xfId="0" applyAlignment="1" applyProtection="1">
      <alignment vertical="top" wrapText="1"/>
      <protection locked="0"/>
    </xf>
    <xf numFmtId="166" fontId="1" fillId="0" borderId="0" xfId="0" applyNumberFormat="1" applyFont="1"/>
    <xf numFmtId="0" fontId="1" fillId="0" borderId="0" xfId="0" applyFont="1" applyAlignment="1">
      <alignment vertical="top" wrapText="1"/>
    </xf>
    <xf numFmtId="0" fontId="0" fillId="0" borderId="0" xfId="0" applyAlignment="1">
      <alignment vertical="top" wrapText="1"/>
    </xf>
    <xf numFmtId="0" fontId="1" fillId="0" borderId="2" xfId="0" applyFont="1" applyBorder="1" applyAlignment="1">
      <alignment horizontal="center"/>
    </xf>
    <xf numFmtId="0" fontId="1" fillId="0" borderId="3" xfId="0" applyFont="1" applyBorder="1"/>
    <xf numFmtId="0" fontId="2" fillId="0" borderId="4" xfId="0" applyFont="1" applyBorder="1" applyAlignment="1">
      <alignment horizontal="center"/>
    </xf>
    <xf numFmtId="2" fontId="12" fillId="0" borderId="0" xfId="0" applyNumberFormat="1" applyFont="1" applyAlignment="1">
      <alignment horizontal="center"/>
    </xf>
    <xf numFmtId="0" fontId="1" fillId="0" borderId="6" xfId="0" applyFont="1" applyBorder="1"/>
    <xf numFmtId="0" fontId="0" fillId="2" borderId="7" xfId="0" applyFill="1" applyBorder="1"/>
    <xf numFmtId="0" fontId="6" fillId="2" borderId="8" xfId="0" applyFont="1" applyFill="1" applyBorder="1" applyAlignment="1">
      <alignment horizontal="center"/>
    </xf>
    <xf numFmtId="0" fontId="0" fillId="2" borderId="8" xfId="0" applyFill="1" applyBorder="1"/>
    <xf numFmtId="0" fontId="0" fillId="2" borderId="8" xfId="0" applyFill="1" applyBorder="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6" fillId="2" borderId="11" xfId="0" applyFont="1" applyFill="1" applyBorder="1" applyAlignment="1">
      <alignment horizontal="center"/>
    </xf>
    <xf numFmtId="0" fontId="6" fillId="2" borderId="12" xfId="0" applyFont="1" applyFill="1" applyBorder="1" applyAlignment="1">
      <alignment horizontal="center"/>
    </xf>
    <xf numFmtId="0" fontId="13" fillId="2" borderId="12" xfId="0" applyFont="1" applyFill="1" applyBorder="1" applyAlignment="1">
      <alignment horizontal="center"/>
    </xf>
    <xf numFmtId="0" fontId="8" fillId="0" borderId="0" xfId="0" applyFont="1" applyAlignment="1">
      <alignment horizontal="center"/>
    </xf>
    <xf numFmtId="1" fontId="8" fillId="0" borderId="0" xfId="0" applyNumberFormat="1" applyFont="1" applyAlignment="1">
      <alignment horizontal="center"/>
    </xf>
    <xf numFmtId="0" fontId="6" fillId="0" borderId="0" xfId="0" applyFont="1" applyAlignment="1">
      <alignment horizontal="right"/>
    </xf>
    <xf numFmtId="0" fontId="1" fillId="0" borderId="4" xfId="0" applyFont="1" applyBorder="1"/>
    <xf numFmtId="1" fontId="6" fillId="0" borderId="3" xfId="0" applyNumberFormat="1" applyFont="1" applyBorder="1"/>
    <xf numFmtId="0" fontId="6" fillId="0" borderId="6" xfId="0" applyFont="1" applyBorder="1" applyAlignment="1">
      <alignment horizontal="right"/>
    </xf>
    <xf numFmtId="1" fontId="6" fillId="0" borderId="13" xfId="0" applyNumberFormat="1" applyFont="1" applyBorder="1"/>
    <xf numFmtId="0" fontId="8" fillId="0" borderId="4" xfId="0" applyFont="1" applyBorder="1" applyAlignment="1">
      <alignment horizontal="center"/>
    </xf>
    <xf numFmtId="0" fontId="8" fillId="0" borderId="3" xfId="0" applyFont="1" applyBorder="1" applyAlignment="1">
      <alignment horizontal="center"/>
    </xf>
    <xf numFmtId="0" fontId="8" fillId="0" borderId="6" xfId="0" applyFont="1" applyBorder="1" applyAlignment="1">
      <alignment horizontal="center"/>
    </xf>
    <xf numFmtId="0" fontId="6" fillId="2" borderId="14" xfId="0" applyFont="1" applyFill="1" applyBorder="1" applyAlignment="1">
      <alignment horizontal="center"/>
    </xf>
    <xf numFmtId="0" fontId="6" fillId="2" borderId="15" xfId="0" applyFont="1" applyFill="1" applyBorder="1"/>
    <xf numFmtId="0" fontId="6" fillId="2" borderId="16" xfId="0" applyFont="1" applyFill="1" applyBorder="1" applyAlignment="1">
      <alignment horizontal="center"/>
    </xf>
    <xf numFmtId="0" fontId="6" fillId="2" borderId="17" xfId="0" applyFont="1" applyFill="1" applyBorder="1" applyAlignment="1">
      <alignment horizontal="center"/>
    </xf>
    <xf numFmtId="0" fontId="6" fillId="2" borderId="18" xfId="0" applyFont="1" applyFill="1" applyBorder="1" applyAlignment="1">
      <alignment horizontal="center"/>
    </xf>
    <xf numFmtId="0" fontId="2" fillId="0" borderId="4" xfId="0" applyFont="1" applyBorder="1" applyAlignment="1">
      <alignment horizontal="right" indent="3"/>
    </xf>
    <xf numFmtId="0" fontId="2" fillId="0" borderId="5" xfId="0" applyFont="1" applyBorder="1" applyAlignment="1">
      <alignment horizontal="right" indent="3"/>
    </xf>
    <xf numFmtId="0" fontId="0" fillId="0" borderId="4" xfId="0" applyBorder="1" applyAlignment="1">
      <alignment horizontal="right" indent="3"/>
    </xf>
    <xf numFmtId="0" fontId="8" fillId="0" borderId="5" xfId="0" applyFont="1" applyBorder="1" applyAlignment="1">
      <alignment horizontal="right" indent="3"/>
    </xf>
    <xf numFmtId="0" fontId="0" fillId="3" borderId="19" xfId="0" applyFill="1" applyBorder="1"/>
    <xf numFmtId="168" fontId="0" fillId="3" borderId="1" xfId="0" applyNumberFormat="1" applyFill="1" applyBorder="1" applyAlignment="1">
      <alignment vertical="top"/>
    </xf>
    <xf numFmtId="18" fontId="0" fillId="3" borderId="1" xfId="0" applyNumberFormat="1" applyFill="1" applyBorder="1" applyAlignment="1">
      <alignment vertical="top"/>
    </xf>
    <xf numFmtId="0" fontId="0" fillId="3" borderId="1" xfId="0" applyFill="1" applyBorder="1" applyAlignment="1">
      <alignment vertical="top"/>
    </xf>
    <xf numFmtId="0" fontId="0" fillId="3" borderId="1" xfId="0" applyFill="1" applyBorder="1" applyAlignment="1">
      <alignment horizontal="right" vertical="top"/>
    </xf>
    <xf numFmtId="0" fontId="0" fillId="3" borderId="1" xfId="0" applyFill="1" applyBorder="1"/>
    <xf numFmtId="0" fontId="0" fillId="3" borderId="21" xfId="0" applyFill="1" applyBorder="1"/>
    <xf numFmtId="20" fontId="0" fillId="3" borderId="1" xfId="0" applyNumberFormat="1" applyFill="1" applyBorder="1" applyAlignment="1">
      <alignment vertical="top"/>
    </xf>
    <xf numFmtId="168" fontId="14" fillId="4" borderId="22" xfId="0" applyNumberFormat="1" applyFont="1" applyFill="1" applyBorder="1" applyAlignment="1">
      <alignment horizontal="left" vertical="top" wrapText="1" indent="1"/>
    </xf>
    <xf numFmtId="166" fontId="0" fillId="0" borderId="0" xfId="0" applyNumberFormat="1"/>
    <xf numFmtId="0" fontId="8" fillId="0" borderId="0" xfId="0" applyFont="1" applyAlignment="1">
      <alignment horizontal="left"/>
    </xf>
    <xf numFmtId="0" fontId="8" fillId="0" borderId="25" xfId="0" applyFont="1" applyBorder="1" applyAlignment="1">
      <alignment horizontal="center"/>
    </xf>
    <xf numFmtId="0" fontId="8" fillId="0" borderId="26" xfId="0" applyFont="1" applyBorder="1" applyAlignment="1">
      <alignment horizontal="center"/>
    </xf>
    <xf numFmtId="167" fontId="8" fillId="0" borderId="27" xfId="0" applyNumberFormat="1" applyFont="1" applyBorder="1" applyAlignment="1">
      <alignment horizontal="center"/>
    </xf>
    <xf numFmtId="0" fontId="8" fillId="0" borderId="28" xfId="0" applyFont="1" applyBorder="1" applyAlignment="1">
      <alignment horizontal="center"/>
    </xf>
    <xf numFmtId="0" fontId="8" fillId="0" borderId="29" xfId="0" applyFont="1" applyBorder="1" applyAlignment="1">
      <alignment horizontal="center"/>
    </xf>
    <xf numFmtId="0" fontId="8" fillId="0" borderId="30" xfId="0" applyFont="1" applyBorder="1" applyAlignment="1">
      <alignment horizontal="center"/>
    </xf>
    <xf numFmtId="167" fontId="8" fillId="0" borderId="31" xfId="0" applyNumberFormat="1" applyFont="1" applyBorder="1" applyAlignment="1">
      <alignment horizontal="center"/>
    </xf>
    <xf numFmtId="0" fontId="8" fillId="0" borderId="32" xfId="0" applyFont="1" applyBorder="1" applyAlignment="1">
      <alignment horizontal="center"/>
    </xf>
    <xf numFmtId="2" fontId="8" fillId="0" borderId="0" xfId="0" applyNumberFormat="1" applyFont="1" applyAlignment="1">
      <alignment horizontal="center"/>
    </xf>
    <xf numFmtId="11" fontId="8" fillId="0" borderId="0" xfId="0" applyNumberFormat="1" applyFont="1" applyAlignment="1">
      <alignment horizontal="center"/>
    </xf>
    <xf numFmtId="0" fontId="8" fillId="0" borderId="33" xfId="0" applyFont="1" applyBorder="1" applyAlignment="1">
      <alignment horizontal="center"/>
    </xf>
    <xf numFmtId="0" fontId="8" fillId="0" borderId="34" xfId="0" applyFont="1" applyBorder="1" applyAlignment="1">
      <alignment horizontal="center"/>
    </xf>
    <xf numFmtId="2" fontId="8" fillId="0" borderId="35" xfId="0" applyNumberFormat="1" applyFont="1" applyBorder="1" applyAlignment="1">
      <alignment horizontal="center"/>
    </xf>
    <xf numFmtId="11" fontId="8" fillId="0" borderId="35" xfId="0" applyNumberFormat="1" applyFont="1" applyBorder="1" applyAlignment="1">
      <alignment horizontal="center"/>
    </xf>
    <xf numFmtId="0" fontId="8" fillId="0" borderId="36" xfId="0" applyFont="1" applyBorder="1" applyAlignment="1">
      <alignment horizontal="center"/>
    </xf>
    <xf numFmtId="0" fontId="6" fillId="5" borderId="26" xfId="0" applyFont="1" applyFill="1" applyBorder="1" applyAlignment="1">
      <alignment horizontal="center"/>
    </xf>
    <xf numFmtId="0" fontId="6" fillId="5" borderId="17" xfId="0" applyFont="1" applyFill="1" applyBorder="1" applyAlignment="1">
      <alignment horizontal="center"/>
    </xf>
    <xf numFmtId="0" fontId="6" fillId="5" borderId="37" xfId="0" applyFont="1" applyFill="1" applyBorder="1" applyAlignment="1">
      <alignment horizontal="center"/>
    </xf>
    <xf numFmtId="0" fontId="6" fillId="5" borderId="38" xfId="0" applyFont="1" applyFill="1" applyBorder="1" applyAlignment="1">
      <alignment horizontal="center"/>
    </xf>
    <xf numFmtId="1" fontId="6" fillId="5" borderId="39" xfId="0" applyNumberFormat="1" applyFont="1" applyFill="1" applyBorder="1" applyAlignment="1">
      <alignment horizontal="center"/>
    </xf>
    <xf numFmtId="0" fontId="6" fillId="6" borderId="0" xfId="0" applyFont="1" applyFill="1" applyAlignment="1">
      <alignment horizontal="center"/>
    </xf>
    <xf numFmtId="1" fontId="6" fillId="6" borderId="0" xfId="0" applyNumberFormat="1" applyFont="1" applyFill="1" applyAlignment="1">
      <alignment horizontal="center"/>
    </xf>
    <xf numFmtId="1" fontId="6" fillId="6" borderId="33" xfId="0" applyNumberFormat="1" applyFont="1" applyFill="1" applyBorder="1" applyAlignment="1">
      <alignment horizontal="center"/>
    </xf>
    <xf numFmtId="0" fontId="6" fillId="6" borderId="17" xfId="0" applyFont="1" applyFill="1" applyBorder="1" applyAlignment="1">
      <alignment horizontal="center"/>
    </xf>
    <xf numFmtId="1" fontId="6" fillId="6" borderId="17" xfId="0" applyNumberFormat="1" applyFont="1" applyFill="1" applyBorder="1" applyAlignment="1">
      <alignment horizontal="center"/>
    </xf>
    <xf numFmtId="1" fontId="6" fillId="6" borderId="40" xfId="0" applyNumberFormat="1" applyFont="1" applyFill="1" applyBorder="1" applyAlignment="1">
      <alignment horizontal="center"/>
    </xf>
    <xf numFmtId="0" fontId="6" fillId="5" borderId="25" xfId="0" applyFont="1" applyFill="1" applyBorder="1" applyAlignment="1">
      <alignment horizontal="center"/>
    </xf>
    <xf numFmtId="0" fontId="8" fillId="6" borderId="0" xfId="0" applyFont="1" applyFill="1" applyAlignment="1">
      <alignment horizontal="center"/>
    </xf>
    <xf numFmtId="0" fontId="8" fillId="0" borderId="41" xfId="0" applyFont="1" applyBorder="1" applyAlignment="1">
      <alignment horizontal="center"/>
    </xf>
    <xf numFmtId="167" fontId="8" fillId="0" borderId="42" xfId="0" applyNumberFormat="1"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8" fillId="0" borderId="45" xfId="0" applyFont="1" applyBorder="1" applyAlignment="1">
      <alignment horizontal="center"/>
    </xf>
    <xf numFmtId="167" fontId="8" fillId="0" borderId="46" xfId="0" applyNumberFormat="1" applyFont="1" applyBorder="1" applyAlignment="1">
      <alignment horizontal="center"/>
    </xf>
    <xf numFmtId="0" fontId="6" fillId="7" borderId="41" xfId="0" applyFont="1" applyFill="1" applyBorder="1" applyAlignment="1">
      <alignment horizontal="center"/>
    </xf>
    <xf numFmtId="0" fontId="6" fillId="7" borderId="25" xfId="0" applyFont="1" applyFill="1" applyBorder="1" applyAlignment="1">
      <alignment horizontal="center"/>
    </xf>
    <xf numFmtId="0" fontId="6" fillId="7" borderId="17" xfId="0" applyFont="1" applyFill="1" applyBorder="1" applyAlignment="1">
      <alignment horizontal="center"/>
    </xf>
    <xf numFmtId="0" fontId="6" fillId="7" borderId="47" xfId="0" applyFont="1" applyFill="1" applyBorder="1" applyAlignment="1">
      <alignment horizontal="center"/>
    </xf>
    <xf numFmtId="0" fontId="6" fillId="7" borderId="38" xfId="0" applyFont="1" applyFill="1" applyBorder="1" applyAlignment="1">
      <alignment horizontal="center"/>
    </xf>
    <xf numFmtId="1" fontId="6" fillId="7" borderId="48" xfId="0" applyNumberFormat="1" applyFont="1" applyFill="1" applyBorder="1" applyAlignment="1">
      <alignment horizontal="center"/>
    </xf>
    <xf numFmtId="0" fontId="0" fillId="0" borderId="3" xfId="0" applyBorder="1"/>
    <xf numFmtId="0" fontId="0" fillId="0" borderId="4" xfId="0" applyBorder="1"/>
    <xf numFmtId="0" fontId="1" fillId="0" borderId="0" xfId="0" applyFont="1" applyAlignment="1">
      <alignment horizontal="left"/>
    </xf>
    <xf numFmtId="0" fontId="0" fillId="0" borderId="0" xfId="0" applyAlignment="1">
      <alignment horizontal="left"/>
    </xf>
    <xf numFmtId="3" fontId="1" fillId="0" borderId="0" xfId="0" applyNumberFormat="1" applyFont="1" applyAlignment="1">
      <alignment horizontal="left"/>
    </xf>
    <xf numFmtId="0" fontId="1" fillId="0" borderId="3" xfId="0" applyFont="1" applyBorder="1" applyAlignment="1">
      <alignment horizontal="left"/>
    </xf>
    <xf numFmtId="0" fontId="16" fillId="0" borderId="0" xfId="0" applyFont="1" applyAlignment="1">
      <alignment horizontal="left"/>
    </xf>
    <xf numFmtId="3" fontId="16" fillId="0" borderId="0" xfId="0" applyNumberFormat="1" applyFont="1" applyAlignment="1">
      <alignment horizontal="left"/>
    </xf>
    <xf numFmtId="0" fontId="16" fillId="0" borderId="3" xfId="0" applyFont="1" applyBorder="1" applyAlignment="1">
      <alignment horizontal="left"/>
    </xf>
    <xf numFmtId="0" fontId="19" fillId="0" borderId="0" xfId="0" applyFont="1"/>
    <xf numFmtId="0" fontId="20" fillId="0" borderId="0" xfId="0" applyFont="1"/>
    <xf numFmtId="2" fontId="6" fillId="0" borderId="0" xfId="0" applyNumberFormat="1" applyFont="1" applyAlignment="1">
      <alignment horizontal="center"/>
    </xf>
    <xf numFmtId="0" fontId="9" fillId="0" borderId="0" xfId="0" applyFont="1"/>
    <xf numFmtId="0" fontId="23" fillId="0" borderId="0" xfId="0" applyFont="1"/>
    <xf numFmtId="0" fontId="9" fillId="0" borderId="0" xfId="0" applyFont="1" applyAlignment="1">
      <alignment horizontal="center"/>
    </xf>
    <xf numFmtId="0" fontId="9" fillId="0" borderId="162" xfId="0" applyFont="1" applyBorder="1"/>
    <xf numFmtId="0" fontId="23" fillId="0" borderId="162" xfId="0" applyFont="1" applyBorder="1"/>
    <xf numFmtId="0" fontId="9" fillId="0" borderId="162" xfId="0" applyFont="1" applyBorder="1" applyAlignment="1">
      <alignment horizontal="center"/>
    </xf>
    <xf numFmtId="0" fontId="23" fillId="0" borderId="0" xfId="0" quotePrefix="1" applyFont="1" applyAlignment="1">
      <alignment horizontal="center"/>
    </xf>
    <xf numFmtId="0" fontId="23" fillId="0" borderId="0" xfId="0" applyFont="1" applyAlignment="1">
      <alignment horizontal="center"/>
    </xf>
    <xf numFmtId="167" fontId="9" fillId="0" borderId="0" xfId="0" applyNumberFormat="1" applyFont="1"/>
    <xf numFmtId="0" fontId="9" fillId="0" borderId="163" xfId="0" applyFont="1" applyBorder="1"/>
    <xf numFmtId="0" fontId="23" fillId="0" borderId="163" xfId="0" applyFont="1" applyBorder="1"/>
    <xf numFmtId="0" fontId="9" fillId="0" borderId="163" xfId="0" applyFont="1" applyBorder="1" applyAlignment="1">
      <alignment horizontal="center"/>
    </xf>
    <xf numFmtId="167" fontId="9" fillId="0" borderId="163" xfId="0" applyNumberFormat="1" applyFont="1" applyBorder="1"/>
    <xf numFmtId="0" fontId="9" fillId="0" borderId="164" xfId="0" applyFont="1" applyBorder="1"/>
    <xf numFmtId="0" fontId="23" fillId="0" borderId="164" xfId="0" applyFont="1" applyBorder="1"/>
    <xf numFmtId="0" fontId="9" fillId="0" borderId="164" xfId="0" applyFont="1" applyBorder="1" applyAlignment="1">
      <alignment horizontal="center"/>
    </xf>
    <xf numFmtId="0" fontId="9" fillId="0" borderId="165" xfId="0" applyFont="1" applyBorder="1"/>
    <xf numFmtId="0" fontId="23" fillId="0" borderId="165" xfId="0" applyFont="1" applyBorder="1"/>
    <xf numFmtId="0" fontId="9" fillId="0" borderId="165" xfId="0" applyFont="1" applyBorder="1" applyAlignment="1">
      <alignment horizontal="center"/>
    </xf>
    <xf numFmtId="167" fontId="9" fillId="0" borderId="165" xfId="0" applyNumberFormat="1" applyFont="1" applyBorder="1"/>
    <xf numFmtId="0" fontId="27" fillId="0" borderId="0" xfId="0" applyFont="1"/>
    <xf numFmtId="3" fontId="27" fillId="0" borderId="0" xfId="0" applyNumberFormat="1" applyFont="1"/>
    <xf numFmtId="2" fontId="27" fillId="0" borderId="0" xfId="0" applyNumberFormat="1" applyFont="1"/>
    <xf numFmtId="0" fontId="27" fillId="0" borderId="4" xfId="0" applyFont="1" applyBorder="1" applyAlignment="1">
      <alignment horizontal="left"/>
    </xf>
    <xf numFmtId="11" fontId="27" fillId="0" borderId="0" xfId="0" applyNumberFormat="1" applyFont="1" applyAlignment="1">
      <alignment horizontal="left"/>
    </xf>
    <xf numFmtId="0" fontId="27" fillId="0" borderId="0" xfId="0" applyFont="1" applyAlignment="1">
      <alignment horizontal="left"/>
    </xf>
    <xf numFmtId="0" fontId="27" fillId="0" borderId="3" xfId="0" applyFont="1" applyBorder="1" applyAlignment="1">
      <alignment horizontal="left"/>
    </xf>
    <xf numFmtId="0" fontId="27" fillId="0" borderId="3" xfId="0" applyFont="1" applyBorder="1"/>
    <xf numFmtId="0" fontId="27" fillId="0" borderId="4" xfId="0" applyFont="1" applyBorder="1"/>
    <xf numFmtId="11" fontId="27" fillId="0" borderId="0" xfId="0" applyNumberFormat="1" applyFont="1"/>
    <xf numFmtId="11" fontId="27" fillId="0" borderId="0" xfId="0" applyNumberFormat="1" applyFont="1" applyAlignment="1">
      <alignment horizontal="left" indent="1"/>
    </xf>
    <xf numFmtId="0" fontId="27" fillId="0" borderId="0" xfId="0" applyFont="1" applyAlignment="1">
      <alignment horizontal="left" indent="1"/>
    </xf>
    <xf numFmtId="3" fontId="27" fillId="0" borderId="0" xfId="0" applyNumberFormat="1" applyFont="1" applyAlignment="1">
      <alignment horizontal="left" indent="1"/>
    </xf>
    <xf numFmtId="0" fontId="27" fillId="0" borderId="0" xfId="0" applyFont="1" applyAlignment="1">
      <alignment horizontal="center"/>
    </xf>
    <xf numFmtId="0" fontId="27" fillId="0" borderId="4" xfId="0" applyFont="1" applyBorder="1" applyAlignment="1">
      <alignment horizontal="left" vertical="top" wrapText="1" indent="1"/>
    </xf>
    <xf numFmtId="1" fontId="27" fillId="0" borderId="0" xfId="0" applyNumberFormat="1" applyFont="1" applyAlignment="1">
      <alignment horizontal="center"/>
    </xf>
    <xf numFmtId="1" fontId="27" fillId="0" borderId="17" xfId="0" applyNumberFormat="1" applyFont="1" applyBorder="1" applyAlignment="1">
      <alignment horizontal="center"/>
    </xf>
    <xf numFmtId="0" fontId="27" fillId="0" borderId="49" xfId="0" applyFont="1" applyBorder="1"/>
    <xf numFmtId="0" fontId="27" fillId="0" borderId="50" xfId="0" applyFont="1" applyBorder="1"/>
    <xf numFmtId="0" fontId="27" fillId="0" borderId="51" xfId="0" applyFont="1" applyBorder="1" applyAlignment="1">
      <alignment horizontal="center"/>
    </xf>
    <xf numFmtId="0" fontId="27" fillId="0" borderId="52" xfId="0" applyFont="1" applyBorder="1"/>
    <xf numFmtId="0" fontId="27" fillId="0" borderId="0" xfId="0" applyFont="1" applyAlignment="1">
      <alignment horizontal="left" vertical="top" indent="1"/>
    </xf>
    <xf numFmtId="0" fontId="27" fillId="0" borderId="3" xfId="0" applyFont="1" applyBorder="1" applyAlignment="1">
      <alignment horizontal="left" vertical="top" indent="1"/>
    </xf>
    <xf numFmtId="0" fontId="27" fillId="0" borderId="17" xfId="0" applyFont="1" applyBorder="1"/>
    <xf numFmtId="3" fontId="27" fillId="0" borderId="0" xfId="0" applyNumberFormat="1" applyFont="1" applyAlignment="1">
      <alignment horizontal="left"/>
    </xf>
    <xf numFmtId="0" fontId="27" fillId="0" borderId="0" xfId="0" applyFont="1" applyAlignment="1">
      <alignment horizontal="left" wrapText="1" indent="1"/>
    </xf>
    <xf numFmtId="0" fontId="27" fillId="0" borderId="0" xfId="0" applyFont="1" applyAlignment="1">
      <alignment horizontal="left" vertical="top" wrapText="1" indent="1"/>
    </xf>
    <xf numFmtId="0" fontId="27" fillId="0" borderId="3" xfId="0" applyFont="1" applyBorder="1" applyAlignment="1">
      <alignment horizontal="left" vertical="top" wrapText="1" indent="1"/>
    </xf>
    <xf numFmtId="1" fontId="1" fillId="0" borderId="3" xfId="0" applyNumberFormat="1" applyFont="1" applyBorder="1"/>
    <xf numFmtId="1" fontId="19" fillId="0" borderId="4" xfId="0" applyNumberFormat="1" applyFont="1" applyBorder="1"/>
    <xf numFmtId="1" fontId="1" fillId="0" borderId="4" xfId="0" applyNumberFormat="1" applyFont="1" applyBorder="1"/>
    <xf numFmtId="0" fontId="1" fillId="0" borderId="4" xfId="0" applyFont="1" applyBorder="1" applyAlignment="1">
      <alignment horizontal="left"/>
    </xf>
    <xf numFmtId="0" fontId="27" fillId="0" borderId="4" xfId="0" applyFont="1" applyBorder="1" applyAlignment="1">
      <alignment horizontal="left" wrapText="1" indent="1"/>
    </xf>
    <xf numFmtId="0" fontId="27" fillId="0" borderId="4" xfId="0" applyFont="1" applyBorder="1" applyAlignment="1">
      <alignment horizontal="left" vertical="top" indent="1"/>
    </xf>
    <xf numFmtId="0" fontId="16" fillId="0" borderId="4" xfId="0" applyFont="1" applyBorder="1" applyAlignment="1">
      <alignment horizontal="left"/>
    </xf>
    <xf numFmtId="0" fontId="8" fillId="0" borderId="4" xfId="0" applyFont="1" applyBorder="1" applyAlignment="1">
      <alignment horizontal="left" indent="1"/>
    </xf>
    <xf numFmtId="0" fontId="8" fillId="0" borderId="0" xfId="0" applyFont="1" applyAlignment="1">
      <alignment horizontal="left" indent="1"/>
    </xf>
    <xf numFmtId="167" fontId="27" fillId="0" borderId="0" xfId="0" applyNumberFormat="1" applyFont="1" applyAlignment="1">
      <alignment horizontal="left"/>
    </xf>
    <xf numFmtId="2" fontId="6" fillId="0" borderId="17" xfId="0" applyNumberFormat="1" applyFont="1" applyBorder="1" applyAlignment="1">
      <alignment horizontal="center"/>
    </xf>
    <xf numFmtId="0" fontId="13" fillId="0" borderId="0" xfId="0" applyFont="1"/>
    <xf numFmtId="0" fontId="13" fillId="0" borderId="0" xfId="0" applyFont="1" applyAlignment="1">
      <alignment horizontal="center"/>
    </xf>
    <xf numFmtId="1" fontId="13" fillId="0" borderId="0" xfId="0" applyNumberFormat="1" applyFont="1" applyAlignment="1">
      <alignment horizontal="center"/>
    </xf>
    <xf numFmtId="9" fontId="13" fillId="0" borderId="0" xfId="0" applyNumberFormat="1" applyFont="1"/>
    <xf numFmtId="0" fontId="13" fillId="0" borderId="0" xfId="0" applyFont="1" applyAlignment="1">
      <alignment horizontal="right"/>
    </xf>
    <xf numFmtId="0" fontId="0" fillId="2" borderId="53" xfId="0" applyFill="1" applyBorder="1"/>
    <xf numFmtId="0" fontId="6" fillId="2" borderId="54" xfId="0" applyFont="1" applyFill="1" applyBorder="1" applyAlignment="1">
      <alignment horizontal="center"/>
    </xf>
    <xf numFmtId="0" fontId="13" fillId="2" borderId="55" xfId="0" applyFont="1" applyFill="1" applyBorder="1" applyAlignment="1">
      <alignment horizontal="center"/>
    </xf>
    <xf numFmtId="0" fontId="0" fillId="3" borderId="166" xfId="0" applyFill="1" applyBorder="1" applyAlignment="1">
      <alignment horizontal="right" vertical="top"/>
    </xf>
    <xf numFmtId="0" fontId="0" fillId="2" borderId="167" xfId="0" applyFill="1" applyBorder="1"/>
    <xf numFmtId="0" fontId="6" fillId="2" borderId="168" xfId="0" applyFont="1" applyFill="1" applyBorder="1" applyAlignment="1">
      <alignment horizontal="center"/>
    </xf>
    <xf numFmtId="0" fontId="13" fillId="2" borderId="169" xfId="0" applyFont="1" applyFill="1" applyBorder="1" applyAlignment="1">
      <alignment horizontal="center"/>
    </xf>
    <xf numFmtId="167" fontId="0" fillId="3" borderId="59" xfId="0" applyNumberFormat="1" applyFill="1" applyBorder="1" applyAlignment="1">
      <alignment horizontal="right" vertical="top"/>
    </xf>
    <xf numFmtId="0" fontId="0" fillId="2" borderId="60" xfId="0" applyFill="1" applyBorder="1"/>
    <xf numFmtId="0" fontId="6" fillId="2" borderId="61" xfId="0" applyFont="1" applyFill="1" applyBorder="1" applyAlignment="1">
      <alignment horizontal="center"/>
    </xf>
    <xf numFmtId="0" fontId="13" fillId="2" borderId="62" xfId="0" applyFont="1" applyFill="1" applyBorder="1" applyAlignment="1">
      <alignment horizontal="center"/>
    </xf>
    <xf numFmtId="0" fontId="0" fillId="0" borderId="64" xfId="0" applyBorder="1"/>
    <xf numFmtId="0" fontId="0" fillId="0" borderId="65" xfId="0" applyBorder="1"/>
    <xf numFmtId="0" fontId="0" fillId="0" borderId="66" xfId="0" applyBorder="1"/>
    <xf numFmtId="0" fontId="0" fillId="0" borderId="67" xfId="0" applyBorder="1"/>
    <xf numFmtId="0" fontId="0" fillId="0" borderId="68" xfId="0" applyBorder="1"/>
    <xf numFmtId="0" fontId="0" fillId="0" borderId="69" xfId="0" applyBorder="1"/>
    <xf numFmtId="0" fontId="0" fillId="0" borderId="0" xfId="0" applyAlignment="1">
      <alignment horizontal="left" vertical="top"/>
    </xf>
    <xf numFmtId="0" fontId="1" fillId="0" borderId="0" xfId="0" applyFont="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0" fillId="0" borderId="0" xfId="0" applyAlignment="1">
      <alignment vertical="top"/>
    </xf>
    <xf numFmtId="2" fontId="0" fillId="0" borderId="0" xfId="0" applyNumberFormat="1" applyAlignment="1">
      <alignment vertical="top"/>
    </xf>
    <xf numFmtId="0" fontId="10" fillId="0" borderId="0" xfId="0" applyFont="1" applyAlignment="1">
      <alignment vertical="top"/>
    </xf>
    <xf numFmtId="2" fontId="3" fillId="9" borderId="2" xfId="0" applyNumberFormat="1" applyFont="1" applyFill="1" applyBorder="1"/>
    <xf numFmtId="1" fontId="3" fillId="0" borderId="171" xfId="0" applyNumberFormat="1" applyFont="1" applyBorder="1" applyAlignment="1">
      <alignment horizontal="center"/>
    </xf>
    <xf numFmtId="1" fontId="3" fillId="0" borderId="172" xfId="0" applyNumberFormat="1" applyFont="1" applyBorder="1" applyAlignment="1">
      <alignment horizontal="center"/>
    </xf>
    <xf numFmtId="0" fontId="3" fillId="0" borderId="173" xfId="0" applyFont="1" applyBorder="1" applyAlignment="1">
      <alignment horizontal="center"/>
    </xf>
    <xf numFmtId="166" fontId="1" fillId="0" borderId="172" xfId="0" applyNumberFormat="1" applyFont="1" applyBorder="1"/>
    <xf numFmtId="0" fontId="1" fillId="0" borderId="172" xfId="0" applyFont="1" applyBorder="1"/>
    <xf numFmtId="0" fontId="3" fillId="9" borderId="174" xfId="0" applyFont="1" applyFill="1" applyBorder="1" applyAlignment="1">
      <alignment horizontal="center"/>
    </xf>
    <xf numFmtId="0" fontId="6" fillId="0" borderId="173" xfId="0" applyFont="1" applyBorder="1" applyAlignment="1">
      <alignment horizontal="center"/>
    </xf>
    <xf numFmtId="0" fontId="1" fillId="0" borderId="175" xfId="0" applyFont="1" applyBorder="1"/>
    <xf numFmtId="0" fontId="1" fillId="0" borderId="165" xfId="0" applyFont="1" applyBorder="1"/>
    <xf numFmtId="0" fontId="1" fillId="0" borderId="176" xfId="0" applyFont="1" applyBorder="1"/>
    <xf numFmtId="0" fontId="3" fillId="0" borderId="177" xfId="0" applyFont="1" applyBorder="1" applyAlignment="1">
      <alignment horizontal="center"/>
    </xf>
    <xf numFmtId="0" fontId="2" fillId="0" borderId="177" xfId="0" applyFont="1" applyBorder="1" applyAlignment="1">
      <alignment horizontal="center"/>
    </xf>
    <xf numFmtId="0" fontId="3" fillId="0" borderId="25" xfId="0" applyFont="1" applyBorder="1" applyAlignment="1">
      <alignment horizontal="center"/>
    </xf>
    <xf numFmtId="1" fontId="1" fillId="0" borderId="25" xfId="0" applyNumberFormat="1" applyFont="1" applyBorder="1"/>
    <xf numFmtId="0" fontId="3" fillId="0" borderId="178" xfId="0" applyFont="1" applyBorder="1" applyAlignment="1">
      <alignment horizontal="center"/>
    </xf>
    <xf numFmtId="1" fontId="3" fillId="0" borderId="178" xfId="0" applyNumberFormat="1" applyFont="1" applyBorder="1" applyAlignment="1">
      <alignment horizontal="center"/>
    </xf>
    <xf numFmtId="1" fontId="3" fillId="0" borderId="25" xfId="0" applyNumberFormat="1" applyFont="1" applyBorder="1" applyAlignment="1">
      <alignment horizontal="center"/>
    </xf>
    <xf numFmtId="0" fontId="1" fillId="0" borderId="25" xfId="0" applyFont="1" applyBorder="1"/>
    <xf numFmtId="1" fontId="1" fillId="0" borderId="70" xfId="0" applyNumberFormat="1" applyFont="1" applyBorder="1"/>
    <xf numFmtId="0" fontId="1" fillId="0" borderId="179" xfId="0" applyFont="1" applyBorder="1"/>
    <xf numFmtId="0" fontId="3" fillId="0" borderId="71" xfId="0" applyFont="1" applyBorder="1" applyAlignment="1">
      <alignment horizontal="center"/>
    </xf>
    <xf numFmtId="0" fontId="7" fillId="0" borderId="180" xfId="0" applyFont="1" applyBorder="1"/>
    <xf numFmtId="0" fontId="1" fillId="0" borderId="181" xfId="0" applyFont="1" applyBorder="1"/>
    <xf numFmtId="0" fontId="1" fillId="0" borderId="182" xfId="0" applyFont="1" applyBorder="1"/>
    <xf numFmtId="0" fontId="3" fillId="10" borderId="183" xfId="0" applyFont="1" applyFill="1" applyBorder="1" applyAlignment="1">
      <alignment horizontal="center"/>
    </xf>
    <xf numFmtId="0" fontId="3" fillId="10" borderId="72" xfId="0" applyFont="1" applyFill="1" applyBorder="1"/>
    <xf numFmtId="166" fontId="3" fillId="0" borderId="0" xfId="0" applyNumberFormat="1" applyFont="1" applyAlignment="1">
      <alignment horizontal="center"/>
    </xf>
    <xf numFmtId="1" fontId="0" fillId="0" borderId="0" xfId="0" applyNumberFormat="1"/>
    <xf numFmtId="2" fontId="1" fillId="0" borderId="0" xfId="0" applyNumberFormat="1" applyFont="1"/>
    <xf numFmtId="167" fontId="45" fillId="0" borderId="0" xfId="0" applyNumberFormat="1" applyFont="1"/>
    <xf numFmtId="0" fontId="45" fillId="0" borderId="0" xfId="0" applyFont="1"/>
    <xf numFmtId="0" fontId="0" fillId="3" borderId="184" xfId="0" applyFill="1" applyBorder="1"/>
    <xf numFmtId="0" fontId="0" fillId="3" borderId="185" xfId="0" applyFill="1" applyBorder="1"/>
    <xf numFmtId="0" fontId="0" fillId="0" borderId="186" xfId="0" applyBorder="1" applyAlignment="1">
      <alignment horizontal="center"/>
    </xf>
    <xf numFmtId="0" fontId="0" fillId="0" borderId="187" xfId="0" applyBorder="1" applyAlignment="1">
      <alignment horizontal="center"/>
    </xf>
    <xf numFmtId="0" fontId="0" fillId="11" borderId="0" xfId="0" applyFill="1"/>
    <xf numFmtId="0" fontId="0" fillId="0" borderId="188" xfId="0" applyBorder="1"/>
    <xf numFmtId="0" fontId="0" fillId="0" borderId="0" xfId="0" applyAlignment="1">
      <alignment vertical="center"/>
    </xf>
    <xf numFmtId="0" fontId="0" fillId="0" borderId="189" xfId="0" applyBorder="1"/>
    <xf numFmtId="0" fontId="0" fillId="0" borderId="190" xfId="0" applyBorder="1"/>
    <xf numFmtId="0" fontId="0" fillId="0" borderId="190" xfId="0" applyBorder="1" applyAlignment="1">
      <alignment vertical="center"/>
    </xf>
    <xf numFmtId="0" fontId="0" fillId="0" borderId="191" xfId="0" applyBorder="1"/>
    <xf numFmtId="0" fontId="0" fillId="0" borderId="192" xfId="0" applyBorder="1"/>
    <xf numFmtId="0" fontId="0" fillId="0" borderId="193" xfId="0" applyBorder="1"/>
    <xf numFmtId="0" fontId="0" fillId="0" borderId="194" xfId="0" applyBorder="1"/>
    <xf numFmtId="0" fontId="11" fillId="0" borderId="194" xfId="1" applyBorder="1" applyAlignment="1" applyProtection="1"/>
    <xf numFmtId="0" fontId="0" fillId="0" borderId="195" xfId="0" applyBorder="1"/>
    <xf numFmtId="0" fontId="0" fillId="0" borderId="196" xfId="0" applyBorder="1"/>
    <xf numFmtId="0" fontId="0" fillId="0" borderId="197" xfId="0" applyBorder="1"/>
    <xf numFmtId="0" fontId="0" fillId="0" borderId="198" xfId="0" applyBorder="1"/>
    <xf numFmtId="0" fontId="0" fillId="0" borderId="199" xfId="0" applyBorder="1"/>
    <xf numFmtId="0" fontId="0" fillId="0" borderId="200" xfId="0" applyBorder="1"/>
    <xf numFmtId="0" fontId="0" fillId="0" borderId="193" xfId="0" applyBorder="1" applyAlignment="1">
      <alignment vertical="center"/>
    </xf>
    <xf numFmtId="0" fontId="0" fillId="0" borderId="194" xfId="0" applyBorder="1" applyAlignment="1">
      <alignment vertical="center"/>
    </xf>
    <xf numFmtId="0" fontId="14" fillId="0" borderId="0" xfId="0" applyFont="1"/>
    <xf numFmtId="0" fontId="11" fillId="0" borderId="193" xfId="1" applyBorder="1" applyAlignment="1" applyProtection="1"/>
    <xf numFmtId="0" fontId="46" fillId="12" borderId="201" xfId="0" applyFont="1" applyFill="1" applyBorder="1"/>
    <xf numFmtId="0" fontId="46" fillId="12" borderId="202" xfId="0" applyFont="1" applyFill="1" applyBorder="1" applyAlignment="1">
      <alignment horizontal="center" vertical="top"/>
    </xf>
    <xf numFmtId="0" fontId="46" fillId="12" borderId="203" xfId="0" applyFont="1" applyFill="1" applyBorder="1"/>
    <xf numFmtId="0" fontId="0" fillId="0" borderId="190" xfId="0" applyBorder="1" applyAlignment="1">
      <alignment horizontal="center"/>
    </xf>
    <xf numFmtId="0" fontId="14" fillId="0" borderId="199" xfId="0" applyFont="1" applyBorder="1"/>
    <xf numFmtId="0" fontId="14" fillId="0" borderId="197" xfId="0" applyFont="1" applyBorder="1"/>
    <xf numFmtId="0" fontId="0" fillId="0" borderId="204" xfId="0" applyBorder="1"/>
    <xf numFmtId="0" fontId="0" fillId="0" borderId="205" xfId="0" applyBorder="1"/>
    <xf numFmtId="0" fontId="3" fillId="0" borderId="206" xfId="0" applyFont="1" applyBorder="1" applyAlignment="1">
      <alignment horizontal="center"/>
    </xf>
    <xf numFmtId="0" fontId="3" fillId="0" borderId="207" xfId="0" applyFont="1" applyBorder="1" applyAlignment="1">
      <alignment horizontal="center"/>
    </xf>
    <xf numFmtId="0" fontId="13" fillId="0" borderId="206" xfId="0" applyFont="1" applyBorder="1" applyAlignment="1">
      <alignment horizontal="left" indent="1"/>
    </xf>
    <xf numFmtId="0" fontId="14" fillId="0" borderId="207" xfId="0" applyFont="1" applyBorder="1" applyAlignment="1">
      <alignment horizontal="left" indent="1"/>
    </xf>
    <xf numFmtId="0" fontId="14" fillId="0" borderId="206" xfId="0" applyFont="1" applyBorder="1" applyAlignment="1">
      <alignment horizontal="left" indent="1"/>
    </xf>
    <xf numFmtId="0" fontId="14" fillId="0" borderId="209" xfId="0" applyFont="1" applyBorder="1" applyAlignment="1">
      <alignment horizontal="left" indent="1"/>
    </xf>
    <xf numFmtId="0" fontId="13" fillId="0" borderId="207" xfId="0" applyFont="1" applyBorder="1" applyAlignment="1">
      <alignment horizontal="left" indent="1"/>
    </xf>
    <xf numFmtId="0" fontId="14" fillId="0" borderId="207" xfId="0" applyFont="1" applyBorder="1" applyAlignment="1">
      <alignment horizontal="left" wrapText="1" indent="1"/>
    </xf>
    <xf numFmtId="0" fontId="14" fillId="0" borderId="194" xfId="0" applyFont="1" applyBorder="1"/>
    <xf numFmtId="0" fontId="1" fillId="0" borderId="0" xfId="0" applyFont="1" applyAlignment="1">
      <alignment horizontal="right"/>
    </xf>
    <xf numFmtId="0" fontId="0" fillId="0" borderId="0" xfId="0" applyAlignment="1">
      <alignment horizontal="right"/>
    </xf>
    <xf numFmtId="0" fontId="11" fillId="0" borderId="0" xfId="1" applyNumberFormat="1" applyBorder="1" applyAlignment="1" applyProtection="1"/>
    <xf numFmtId="0" fontId="0" fillId="10" borderId="73" xfId="0" applyFill="1" applyBorder="1" applyAlignment="1">
      <alignment horizontal="center"/>
    </xf>
    <xf numFmtId="0" fontId="3" fillId="2" borderId="10" xfId="0" applyFont="1" applyFill="1" applyBorder="1" applyAlignment="1">
      <alignment horizontal="center"/>
    </xf>
    <xf numFmtId="0" fontId="0" fillId="10" borderId="12" xfId="0" applyFill="1" applyBorder="1"/>
    <xf numFmtId="0" fontId="0" fillId="10" borderId="12" xfId="0" applyFill="1" applyBorder="1" applyAlignment="1">
      <alignment horizontal="center"/>
    </xf>
    <xf numFmtId="168" fontId="14" fillId="13" borderId="22" xfId="0" applyNumberFormat="1" applyFont="1" applyFill="1" applyBorder="1" applyAlignment="1">
      <alignment horizontal="left" vertical="top" wrapText="1" indent="1"/>
    </xf>
    <xf numFmtId="170" fontId="46" fillId="12" borderId="210" xfId="0" applyNumberFormat="1" applyFont="1" applyFill="1" applyBorder="1" applyAlignment="1">
      <alignment horizontal="right"/>
    </xf>
    <xf numFmtId="9" fontId="0" fillId="0" borderId="0" xfId="0" applyNumberFormat="1"/>
    <xf numFmtId="0" fontId="1" fillId="0" borderId="211" xfId="0" applyFont="1" applyBorder="1"/>
    <xf numFmtId="0" fontId="1" fillId="0" borderId="194" xfId="0" applyFont="1" applyBorder="1"/>
    <xf numFmtId="0" fontId="3" fillId="0" borderId="212" xfId="0" applyFont="1" applyBorder="1" applyAlignment="1">
      <alignment horizontal="center" vertical="center"/>
    </xf>
    <xf numFmtId="0" fontId="3" fillId="0" borderId="213" xfId="0" applyFont="1" applyBorder="1"/>
    <xf numFmtId="0" fontId="1" fillId="0" borderId="195" xfId="0" applyFont="1" applyBorder="1"/>
    <xf numFmtId="0" fontId="45" fillId="0" borderId="0" xfId="0" applyFont="1" applyAlignment="1">
      <alignment horizontal="left"/>
    </xf>
    <xf numFmtId="0" fontId="45" fillId="0" borderId="0" xfId="0" applyFont="1" applyAlignment="1">
      <alignment horizontal="left" indent="1"/>
    </xf>
    <xf numFmtId="0" fontId="1" fillId="0" borderId="204" xfId="0" applyFont="1" applyBorder="1"/>
    <xf numFmtId="0" fontId="1" fillId="0" borderId="205" xfId="0" applyFont="1" applyBorder="1"/>
    <xf numFmtId="0" fontId="1" fillId="0" borderId="199" xfId="0" applyFont="1" applyBorder="1"/>
    <xf numFmtId="0" fontId="1" fillId="0" borderId="190" xfId="0" applyFont="1" applyBorder="1"/>
    <xf numFmtId="0" fontId="1" fillId="0" borderId="193" xfId="0" applyFont="1" applyBorder="1"/>
    <xf numFmtId="0" fontId="1" fillId="0" borderId="197" xfId="0" applyFont="1" applyBorder="1"/>
    <xf numFmtId="0" fontId="18" fillId="0" borderId="211" xfId="0" applyFont="1" applyBorder="1"/>
    <xf numFmtId="0" fontId="1" fillId="0" borderId="198" xfId="0" applyFont="1" applyBorder="1"/>
    <xf numFmtId="0" fontId="14" fillId="0" borderId="193" xfId="0" applyFont="1" applyBorder="1"/>
    <xf numFmtId="0" fontId="14" fillId="0" borderId="211" xfId="0" applyFont="1" applyBorder="1"/>
    <xf numFmtId="0" fontId="14" fillId="0" borderId="211" xfId="0" applyFont="1" applyBorder="1" applyAlignment="1">
      <alignment horizontal="right"/>
    </xf>
    <xf numFmtId="0" fontId="14" fillId="0" borderId="195" xfId="0" applyFont="1" applyBorder="1"/>
    <xf numFmtId="0" fontId="14" fillId="0" borderId="194" xfId="0" applyFont="1" applyBorder="1" applyAlignment="1">
      <alignment horizontal="right"/>
    </xf>
    <xf numFmtId="0" fontId="14" fillId="0" borderId="197" xfId="0" applyFont="1" applyBorder="1" applyAlignment="1">
      <alignment horizontal="right"/>
    </xf>
    <xf numFmtId="2" fontId="14" fillId="11" borderId="214" xfId="0" applyNumberFormat="1" applyFont="1" applyFill="1" applyBorder="1" applyAlignment="1">
      <alignment horizontal="right"/>
    </xf>
    <xf numFmtId="2" fontId="14" fillId="11" borderId="215" xfId="0" applyNumberFormat="1" applyFont="1" applyFill="1" applyBorder="1" applyAlignment="1">
      <alignment horizontal="right"/>
    </xf>
    <xf numFmtId="2" fontId="14" fillId="11" borderId="216" xfId="0" applyNumberFormat="1" applyFont="1" applyFill="1" applyBorder="1" applyAlignment="1">
      <alignment horizontal="right"/>
    </xf>
    <xf numFmtId="0" fontId="14" fillId="0" borderId="190" xfId="0" applyFont="1" applyBorder="1"/>
    <xf numFmtId="2" fontId="14" fillId="11" borderId="217" xfId="0" applyNumberFormat="1" applyFont="1" applyFill="1" applyBorder="1" applyAlignment="1">
      <alignment horizontal="right"/>
    </xf>
    <xf numFmtId="2" fontId="14" fillId="11" borderId="218" xfId="0" applyNumberFormat="1" applyFont="1" applyFill="1" applyBorder="1" applyAlignment="1">
      <alignment horizontal="right"/>
    </xf>
    <xf numFmtId="2" fontId="14" fillId="11" borderId="219" xfId="0" applyNumberFormat="1" applyFont="1" applyFill="1" applyBorder="1" applyAlignment="1">
      <alignment horizontal="right"/>
    </xf>
    <xf numFmtId="2" fontId="14" fillId="11" borderId="220" xfId="0" applyNumberFormat="1" applyFont="1" applyFill="1" applyBorder="1" applyAlignment="1">
      <alignment horizontal="right"/>
    </xf>
    <xf numFmtId="2" fontId="14" fillId="11" borderId="221" xfId="0" applyNumberFormat="1" applyFont="1" applyFill="1" applyBorder="1" applyAlignment="1">
      <alignment horizontal="right"/>
    </xf>
    <xf numFmtId="2" fontId="14" fillId="11" borderId="222" xfId="0" applyNumberFormat="1" applyFont="1" applyFill="1" applyBorder="1" applyAlignment="1">
      <alignment horizontal="right"/>
    </xf>
    <xf numFmtId="0" fontId="14" fillId="0" borderId="199" xfId="0" applyFont="1" applyBorder="1" applyAlignment="1">
      <alignment horizontal="right"/>
    </xf>
    <xf numFmtId="2" fontId="14" fillId="11" borderId="223" xfId="0" applyNumberFormat="1" applyFont="1" applyFill="1" applyBorder="1" applyAlignment="1">
      <alignment horizontal="right"/>
    </xf>
    <xf numFmtId="2" fontId="14" fillId="11" borderId="224" xfId="0" applyNumberFormat="1" applyFont="1" applyFill="1" applyBorder="1" applyAlignment="1">
      <alignment horizontal="right"/>
    </xf>
    <xf numFmtId="2" fontId="14" fillId="11" borderId="225" xfId="0" applyNumberFormat="1" applyFont="1" applyFill="1" applyBorder="1" applyAlignment="1">
      <alignment horizontal="right"/>
    </xf>
    <xf numFmtId="2" fontId="14" fillId="11" borderId="226" xfId="0" applyNumberFormat="1" applyFont="1" applyFill="1" applyBorder="1" applyAlignment="1">
      <alignment horizontal="right"/>
    </xf>
    <xf numFmtId="2" fontId="14" fillId="11" borderId="227" xfId="0" applyNumberFormat="1" applyFont="1" applyFill="1" applyBorder="1" applyAlignment="1">
      <alignment horizontal="right"/>
    </xf>
    <xf numFmtId="2" fontId="14" fillId="11" borderId="228" xfId="0" applyNumberFormat="1" applyFont="1" applyFill="1" applyBorder="1" applyAlignment="1">
      <alignment horizontal="right"/>
    </xf>
    <xf numFmtId="2" fontId="14" fillId="11" borderId="229" xfId="0" applyNumberFormat="1" applyFont="1" applyFill="1" applyBorder="1" applyAlignment="1">
      <alignment horizontal="right"/>
    </xf>
    <xf numFmtId="2" fontId="14" fillId="11" borderId="230" xfId="0" applyNumberFormat="1" applyFont="1" applyFill="1" applyBorder="1" applyAlignment="1">
      <alignment horizontal="right"/>
    </xf>
    <xf numFmtId="0" fontId="1" fillId="0" borderId="4" xfId="0" applyFont="1" applyBorder="1" applyAlignment="1">
      <alignment horizontal="center"/>
    </xf>
    <xf numFmtId="0" fontId="3" fillId="2" borderId="16" xfId="0" applyFont="1" applyFill="1" applyBorder="1" applyAlignment="1">
      <alignment horizontal="center"/>
    </xf>
    <xf numFmtId="0" fontId="1" fillId="0" borderId="0" xfId="0" applyFont="1" applyAlignment="1">
      <alignment horizontal="left" vertical="top"/>
    </xf>
    <xf numFmtId="0" fontId="1" fillId="0" borderId="5" xfId="0" applyFont="1" applyBorder="1" applyAlignment="1">
      <alignment horizontal="center"/>
    </xf>
    <xf numFmtId="1" fontId="3" fillId="0" borderId="13" xfId="0" applyNumberFormat="1" applyFont="1" applyBorder="1"/>
    <xf numFmtId="0" fontId="27" fillId="0" borderId="0" xfId="0" applyFont="1" applyAlignment="1">
      <alignment horizontal="left" vertical="top" wrapText="1"/>
    </xf>
    <xf numFmtId="0" fontId="0" fillId="0" borderId="0" xfId="0" applyAlignment="1">
      <alignment horizontal="left" textRotation="180"/>
    </xf>
    <xf numFmtId="0" fontId="0" fillId="0" borderId="188" xfId="0" applyBorder="1" applyAlignment="1">
      <alignment horizontal="center" vertical="center" textRotation="180"/>
    </xf>
    <xf numFmtId="0" fontId="3" fillId="6" borderId="17" xfId="0" applyFont="1" applyFill="1" applyBorder="1" applyAlignment="1">
      <alignment horizontal="center"/>
    </xf>
    <xf numFmtId="0" fontId="27" fillId="0" borderId="74" xfId="0" applyFont="1" applyBorder="1"/>
    <xf numFmtId="0" fontId="3" fillId="6" borderId="0" xfId="0" applyFont="1" applyFill="1" applyAlignment="1">
      <alignment horizontal="center"/>
    </xf>
    <xf numFmtId="0" fontId="6" fillId="0" borderId="17" xfId="0" applyFont="1" applyBorder="1" applyAlignment="1">
      <alignment horizontal="center"/>
    </xf>
    <xf numFmtId="0" fontId="27" fillId="0" borderId="0" xfId="0" applyFont="1" applyAlignment="1">
      <alignment horizontal="right"/>
    </xf>
    <xf numFmtId="0" fontId="20" fillId="0" borderId="4" xfId="0" applyFont="1" applyBorder="1"/>
    <xf numFmtId="11" fontId="27" fillId="0" borderId="0" xfId="0" applyNumberFormat="1" applyFont="1" applyAlignment="1">
      <alignment horizontal="right"/>
    </xf>
    <xf numFmtId="0" fontId="14" fillId="0" borderId="0" xfId="0" applyFont="1" applyAlignment="1">
      <alignment horizontal="left" indent="1"/>
    </xf>
    <xf numFmtId="11" fontId="27" fillId="0" borderId="75" xfId="0" applyNumberFormat="1" applyFont="1" applyBorder="1" applyAlignment="1">
      <alignment horizontal="center"/>
    </xf>
    <xf numFmtId="11" fontId="27" fillId="0" borderId="0" xfId="0" applyNumberFormat="1" applyFont="1" applyAlignment="1">
      <alignment horizontal="center"/>
    </xf>
    <xf numFmtId="0" fontId="27" fillId="0" borderId="17" xfId="0" applyFont="1" applyBorder="1" applyAlignment="1">
      <alignment horizontal="center"/>
    </xf>
    <xf numFmtId="0" fontId="14" fillId="0" borderId="0" xfId="0" applyFont="1" applyAlignment="1">
      <alignment horizontal="center"/>
    </xf>
    <xf numFmtId="0" fontId="27" fillId="0" borderId="75" xfId="0" applyFont="1" applyBorder="1"/>
    <xf numFmtId="0" fontId="6" fillId="0" borderId="0" xfId="0" applyFont="1" applyAlignment="1">
      <alignment horizontal="left" indent="1"/>
    </xf>
    <xf numFmtId="0" fontId="0" fillId="0" borderId="5" xfId="0" applyBorder="1"/>
    <xf numFmtId="0" fontId="8" fillId="0" borderId="3" xfId="0" applyFont="1" applyBorder="1" applyAlignment="1">
      <alignment horizontal="left" indent="1"/>
    </xf>
    <xf numFmtId="0" fontId="0" fillId="0" borderId="76" xfId="0" applyBorder="1"/>
    <xf numFmtId="0" fontId="2" fillId="0" borderId="77" xfId="0" applyFont="1" applyBorder="1" applyAlignment="1">
      <alignment horizontal="left"/>
    </xf>
    <xf numFmtId="0" fontId="1" fillId="0" borderId="77" xfId="0" applyFont="1" applyBorder="1" applyAlignment="1">
      <alignment horizontal="left"/>
    </xf>
    <xf numFmtId="0" fontId="0" fillId="0" borderId="77" xfId="0" applyBorder="1" applyAlignment="1">
      <alignment horizontal="left"/>
    </xf>
    <xf numFmtId="3" fontId="1" fillId="0" borderId="77" xfId="0" applyNumberFormat="1" applyFont="1" applyBorder="1" applyAlignment="1">
      <alignment horizontal="left"/>
    </xf>
    <xf numFmtId="0" fontId="1" fillId="0" borderId="78" xfId="0" applyFont="1" applyBorder="1" applyAlignment="1">
      <alignment horizontal="left"/>
    </xf>
    <xf numFmtId="0" fontId="3" fillId="0" borderId="0" xfId="0" applyFont="1" applyAlignment="1">
      <alignment horizontal="left" indent="1"/>
    </xf>
    <xf numFmtId="0" fontId="13" fillId="0" borderId="0" xfId="0" applyFont="1" applyAlignment="1">
      <alignment horizontal="left" indent="1"/>
    </xf>
    <xf numFmtId="0" fontId="14" fillId="0" borderId="0" xfId="0" applyFont="1" applyAlignment="1">
      <alignment vertical="center"/>
    </xf>
    <xf numFmtId="0" fontId="27" fillId="0" borderId="0" xfId="0" applyFont="1" applyAlignment="1">
      <alignment horizontal="center" vertical="center"/>
    </xf>
    <xf numFmtId="3" fontId="27" fillId="0" borderId="79" xfId="0" applyNumberFormat="1" applyFont="1" applyBorder="1"/>
    <xf numFmtId="1" fontId="27" fillId="0" borderId="49" xfId="0" applyNumberFormat="1" applyFont="1" applyBorder="1" applyAlignment="1">
      <alignment horizontal="center"/>
    </xf>
    <xf numFmtId="0" fontId="27" fillId="0" borderId="80" xfId="0" applyFont="1" applyBorder="1" applyAlignment="1">
      <alignment horizontal="center"/>
    </xf>
    <xf numFmtId="1" fontId="27" fillId="0" borderId="50" xfId="0" applyNumberFormat="1" applyFont="1" applyBorder="1" applyAlignment="1">
      <alignment horizontal="center"/>
    </xf>
    <xf numFmtId="11" fontId="27" fillId="0" borderId="74" xfId="0" applyNumberFormat="1" applyFont="1" applyBorder="1" applyAlignment="1">
      <alignment horizontal="center"/>
    </xf>
    <xf numFmtId="0" fontId="27" fillId="0" borderId="49" xfId="0" applyFont="1" applyBorder="1" applyAlignment="1">
      <alignment horizontal="center"/>
    </xf>
    <xf numFmtId="11" fontId="27" fillId="0" borderId="81" xfId="0" applyNumberFormat="1" applyFont="1" applyBorder="1" applyAlignment="1">
      <alignment horizontal="center"/>
    </xf>
    <xf numFmtId="0" fontId="27" fillId="0" borderId="52" xfId="0" applyFont="1" applyBorder="1" applyAlignment="1">
      <alignment horizontal="center"/>
    </xf>
    <xf numFmtId="0" fontId="0" fillId="0" borderId="77" xfId="0" applyBorder="1"/>
    <xf numFmtId="0" fontId="0" fillId="0" borderId="78" xfId="0" applyBorder="1"/>
    <xf numFmtId="0" fontId="27" fillId="0" borderId="77" xfId="0" applyFont="1" applyBorder="1"/>
    <xf numFmtId="0" fontId="27" fillId="0" borderId="78" xfId="0" applyFont="1" applyBorder="1"/>
    <xf numFmtId="0" fontId="2" fillId="0" borderId="6" xfId="0" applyFont="1" applyBorder="1" applyAlignment="1">
      <alignment horizontal="center"/>
    </xf>
    <xf numFmtId="3" fontId="1" fillId="0" borderId="6" xfId="0" applyNumberFormat="1" applyFont="1" applyBorder="1"/>
    <xf numFmtId="167" fontId="14" fillId="0" borderId="0" xfId="0" applyNumberFormat="1" applyFont="1"/>
    <xf numFmtId="0" fontId="27" fillId="0" borderId="0" xfId="0" applyFont="1" applyAlignment="1">
      <alignment horizontal="left" vertical="center"/>
    </xf>
    <xf numFmtId="0" fontId="14" fillId="0" borderId="0" xfId="0" applyFont="1" applyAlignment="1">
      <alignment horizontal="left" vertical="center"/>
    </xf>
    <xf numFmtId="0" fontId="27" fillId="0" borderId="0" xfId="0" applyFont="1" applyAlignment="1">
      <alignment vertical="top"/>
    </xf>
    <xf numFmtId="0" fontId="21" fillId="14" borderId="231" xfId="0" applyFont="1" applyFill="1" applyBorder="1" applyAlignment="1">
      <alignment horizontal="center"/>
    </xf>
    <xf numFmtId="0" fontId="18" fillId="0" borderId="232" xfId="0" applyFont="1" applyBorder="1"/>
    <xf numFmtId="0" fontId="1" fillId="0" borderId="232" xfId="0" applyFont="1" applyBorder="1"/>
    <xf numFmtId="0" fontId="18" fillId="0" borderId="194" xfId="0" applyFont="1" applyBorder="1"/>
    <xf numFmtId="0" fontId="3" fillId="14" borderId="82" xfId="0" applyFont="1" applyFill="1" applyBorder="1" applyAlignment="1">
      <alignment horizontal="center" vertical="center"/>
    </xf>
    <xf numFmtId="0" fontId="46" fillId="15" borderId="82" xfId="0" applyFont="1" applyFill="1" applyBorder="1" applyAlignment="1">
      <alignment horizontal="center" vertical="center"/>
    </xf>
    <xf numFmtId="9" fontId="3" fillId="0" borderId="0" xfId="0" applyNumberFormat="1" applyFont="1" applyAlignment="1">
      <alignment horizontal="right"/>
    </xf>
    <xf numFmtId="1" fontId="3" fillId="0" borderId="82" xfId="0" applyNumberFormat="1" applyFont="1" applyBorder="1" applyAlignment="1">
      <alignment horizontal="center" vertical="center"/>
    </xf>
    <xf numFmtId="0" fontId="3" fillId="16" borderId="82" xfId="0" applyFont="1" applyFill="1" applyBorder="1" applyAlignment="1">
      <alignment horizontal="center" vertical="center"/>
    </xf>
    <xf numFmtId="0" fontId="21" fillId="17" borderId="234" xfId="0" applyFont="1" applyFill="1" applyBorder="1" applyAlignment="1">
      <alignment horizontal="center"/>
    </xf>
    <xf numFmtId="1" fontId="6" fillId="0" borderId="0" xfId="0" applyNumberFormat="1" applyFont="1"/>
    <xf numFmtId="1" fontId="3" fillId="0" borderId="0" xfId="0" applyNumberFormat="1" applyFont="1"/>
    <xf numFmtId="164" fontId="0" fillId="0" borderId="0" xfId="0" applyNumberFormat="1"/>
    <xf numFmtId="0" fontId="45" fillId="0" borderId="0" xfId="0" applyFont="1" applyAlignment="1">
      <alignment horizontal="right"/>
    </xf>
    <xf numFmtId="0" fontId="45" fillId="0" borderId="235" xfId="0" applyFont="1" applyBorder="1" applyAlignment="1">
      <alignment horizontal="right"/>
    </xf>
    <xf numFmtId="0" fontId="40" fillId="0" borderId="84" xfId="0" applyFont="1" applyBorder="1" applyAlignment="1">
      <alignment horizontal="center"/>
    </xf>
    <xf numFmtId="0" fontId="40" fillId="0" borderId="236" xfId="0" applyFont="1" applyBorder="1" applyAlignment="1">
      <alignment horizontal="center"/>
    </xf>
    <xf numFmtId="0" fontId="13" fillId="0" borderId="0" xfId="0" applyFont="1" applyAlignment="1">
      <alignment horizontal="left"/>
    </xf>
    <xf numFmtId="0" fontId="6" fillId="6" borderId="32" xfId="0" applyFont="1" applyFill="1" applyBorder="1" applyAlignment="1">
      <alignment horizontal="center"/>
    </xf>
    <xf numFmtId="0" fontId="6" fillId="6" borderId="85" xfId="0" applyFont="1" applyFill="1" applyBorder="1" applyAlignment="1">
      <alignment horizontal="center"/>
    </xf>
    <xf numFmtId="0" fontId="7" fillId="0" borderId="0" xfId="0" applyFont="1" applyAlignment="1">
      <alignment horizontal="center"/>
    </xf>
    <xf numFmtId="0" fontId="3" fillId="18" borderId="82" xfId="0" applyFont="1" applyFill="1" applyBorder="1" applyAlignment="1">
      <alignment horizontal="center" vertical="center"/>
    </xf>
    <xf numFmtId="0" fontId="9" fillId="0" borderId="0" xfId="0" applyFont="1" applyAlignment="1">
      <alignment horizontal="left" indent="1"/>
    </xf>
    <xf numFmtId="0" fontId="9" fillId="0" borderId="237" xfId="0" applyFont="1" applyBorder="1" applyAlignment="1">
      <alignment horizontal="left" indent="1"/>
    </xf>
    <xf numFmtId="0" fontId="9" fillId="0" borderId="238" xfId="0" applyFont="1" applyBorder="1" applyAlignment="1">
      <alignment horizontal="left" indent="1"/>
    </xf>
    <xf numFmtId="0" fontId="9" fillId="0" borderId="239" xfId="0" applyFont="1" applyBorder="1" applyAlignment="1">
      <alignment horizontal="left" indent="1"/>
    </xf>
    <xf numFmtId="0" fontId="9" fillId="0" borderId="171" xfId="0" applyFont="1" applyBorder="1" applyAlignment="1">
      <alignment horizontal="left" indent="1"/>
    </xf>
    <xf numFmtId="0" fontId="9" fillId="0" borderId="172" xfId="0" applyFont="1" applyBorder="1" applyAlignment="1">
      <alignment horizontal="left" indent="1"/>
    </xf>
    <xf numFmtId="0" fontId="9" fillId="0" borderId="176" xfId="0" applyFont="1" applyBorder="1" applyAlignment="1">
      <alignment horizontal="left" indent="1"/>
    </xf>
    <xf numFmtId="0" fontId="0" fillId="0" borderId="86" xfId="0" applyBorder="1"/>
    <xf numFmtId="0" fontId="0" fillId="0" borderId="86" xfId="0" applyBorder="1" applyAlignment="1">
      <alignment horizontal="center" vertical="top"/>
    </xf>
    <xf numFmtId="167" fontId="0" fillId="0" borderId="86" xfId="0" applyNumberFormat="1" applyBorder="1"/>
    <xf numFmtId="0" fontId="0" fillId="0" borderId="0" xfId="0" applyAlignment="1">
      <alignment horizontal="center" vertical="top"/>
    </xf>
    <xf numFmtId="167" fontId="0" fillId="0" borderId="0" xfId="0" applyNumberFormat="1"/>
    <xf numFmtId="0" fontId="1" fillId="0" borderId="0" xfId="0" quotePrefix="1" applyFont="1" applyAlignment="1">
      <alignment horizontal="right"/>
    </xf>
    <xf numFmtId="18" fontId="1" fillId="0" borderId="0" xfId="0" quotePrefix="1" applyNumberFormat="1" applyFont="1" applyAlignment="1">
      <alignment horizontal="right"/>
    </xf>
    <xf numFmtId="0" fontId="1" fillId="0" borderId="240" xfId="0" applyFont="1" applyBorder="1" applyAlignment="1">
      <alignment horizontal="right" vertical="center"/>
    </xf>
    <xf numFmtId="0" fontId="3" fillId="2" borderId="8" xfId="0" applyFont="1" applyFill="1" applyBorder="1" applyAlignment="1">
      <alignment horizontal="center"/>
    </xf>
    <xf numFmtId="0" fontId="6" fillId="2" borderId="56" xfId="0" applyFont="1" applyFill="1" applyBorder="1" applyAlignment="1">
      <alignment horizontal="center"/>
    </xf>
    <xf numFmtId="0" fontId="6" fillId="2" borderId="57" xfId="0" applyFont="1" applyFill="1" applyBorder="1" applyAlignment="1">
      <alignment horizontal="center"/>
    </xf>
    <xf numFmtId="0" fontId="13" fillId="2" borderId="58" xfId="0" applyFont="1" applyFill="1" applyBorder="1" applyAlignment="1">
      <alignment horizontal="center"/>
    </xf>
    <xf numFmtId="0" fontId="14" fillId="13" borderId="241" xfId="0" applyFont="1" applyFill="1" applyBorder="1" applyAlignment="1">
      <alignment vertical="top" wrapText="1"/>
    </xf>
    <xf numFmtId="0" fontId="3" fillId="2" borderId="8" xfId="0" applyFont="1" applyFill="1" applyBorder="1" applyAlignment="1">
      <alignment horizontal="center" vertical="center" wrapText="1"/>
    </xf>
    <xf numFmtId="0" fontId="1" fillId="0" borderId="89" xfId="0" applyFont="1" applyBorder="1" applyAlignment="1">
      <alignment horizontal="center"/>
    </xf>
    <xf numFmtId="0" fontId="1" fillId="0" borderId="0" xfId="0" quotePrefix="1" applyFont="1" applyAlignment="1">
      <alignment horizontal="center"/>
    </xf>
    <xf numFmtId="2" fontId="0" fillId="0" borderId="0" xfId="0" applyNumberFormat="1" applyAlignment="1">
      <alignment horizontal="center"/>
    </xf>
    <xf numFmtId="2" fontId="3" fillId="0" borderId="0" xfId="0" applyNumberFormat="1" applyFont="1" applyAlignment="1">
      <alignment horizontal="center"/>
    </xf>
    <xf numFmtId="1" fontId="41" fillId="0" borderId="0" xfId="1" applyNumberFormat="1" applyFont="1" applyBorder="1" applyAlignment="1" applyProtection="1">
      <alignment horizontal="center"/>
    </xf>
    <xf numFmtId="0" fontId="3" fillId="19" borderId="72" xfId="0" applyFont="1" applyFill="1" applyBorder="1"/>
    <xf numFmtId="2" fontId="3" fillId="20" borderId="2" xfId="0" applyNumberFormat="1" applyFont="1" applyFill="1" applyBorder="1"/>
    <xf numFmtId="0" fontId="4" fillId="0" borderId="242" xfId="0" applyFont="1" applyBorder="1"/>
    <xf numFmtId="0" fontId="1" fillId="0" borderId="243" xfId="0" applyFont="1" applyBorder="1"/>
    <xf numFmtId="0" fontId="1" fillId="0" borderId="244" xfId="0" applyFont="1" applyBorder="1"/>
    <xf numFmtId="1" fontId="3" fillId="0" borderId="238" xfId="0" applyNumberFormat="1" applyFont="1" applyBorder="1" applyAlignment="1">
      <alignment horizontal="center"/>
    </xf>
    <xf numFmtId="0" fontId="3" fillId="0" borderId="245" xfId="0" applyFont="1" applyBorder="1" applyAlignment="1">
      <alignment horizontal="center"/>
    </xf>
    <xf numFmtId="0" fontId="2" fillId="0" borderId="245" xfId="0" applyFont="1" applyBorder="1" applyAlignment="1">
      <alignment horizontal="center"/>
    </xf>
    <xf numFmtId="166" fontId="1" fillId="0" borderId="238" xfId="0" applyNumberFormat="1" applyFont="1" applyBorder="1"/>
    <xf numFmtId="0" fontId="1" fillId="0" borderId="246" xfId="0" applyFont="1" applyBorder="1"/>
    <xf numFmtId="0" fontId="3" fillId="19" borderId="247" xfId="0" applyFont="1" applyFill="1" applyBorder="1" applyAlignment="1">
      <alignment horizontal="center"/>
    </xf>
    <xf numFmtId="0" fontId="1" fillId="0" borderId="238" xfId="0" applyFont="1" applyBorder="1"/>
    <xf numFmtId="0" fontId="3" fillId="0" borderId="248" xfId="0" applyFont="1" applyBorder="1" applyAlignment="1">
      <alignment horizontal="center"/>
    </xf>
    <xf numFmtId="0" fontId="3" fillId="20" borderId="249" xfId="0" applyFont="1" applyFill="1" applyBorder="1" applyAlignment="1">
      <alignment horizontal="center"/>
    </xf>
    <xf numFmtId="0" fontId="6" fillId="0" borderId="248" xfId="0" applyFont="1" applyBorder="1" applyAlignment="1">
      <alignment horizontal="center"/>
    </xf>
    <xf numFmtId="0" fontId="1" fillId="0" borderId="163" xfId="0" applyFont="1" applyBorder="1"/>
    <xf numFmtId="1" fontId="1" fillId="0" borderId="163" xfId="0" applyNumberFormat="1" applyFont="1" applyBorder="1"/>
    <xf numFmtId="0" fontId="14" fillId="0" borderId="207" xfId="0" applyFont="1" applyBorder="1" applyAlignment="1">
      <alignment horizontal="left"/>
    </xf>
    <xf numFmtId="0" fontId="3" fillId="0" borderId="206" xfId="0" applyFont="1" applyBorder="1" applyAlignment="1">
      <alignment horizontal="left" indent="1"/>
    </xf>
    <xf numFmtId="0" fontId="1" fillId="0" borderId="206" xfId="0" applyFont="1" applyBorder="1" applyAlignment="1">
      <alignment horizontal="left" indent="1"/>
    </xf>
    <xf numFmtId="0" fontId="1" fillId="0" borderId="184" xfId="0" applyFont="1" applyBorder="1"/>
    <xf numFmtId="171" fontId="0" fillId="0" borderId="0" xfId="0" applyNumberFormat="1"/>
    <xf numFmtId="171" fontId="1" fillId="0" borderId="0" xfId="0" applyNumberFormat="1" applyFont="1"/>
    <xf numFmtId="0" fontId="0" fillId="0" borderId="251" xfId="0" applyBorder="1" applyAlignment="1">
      <alignment vertical="top"/>
    </xf>
    <xf numFmtId="0" fontId="0" fillId="0" borderId="252" xfId="0" applyBorder="1" applyAlignment="1">
      <alignment vertical="top"/>
    </xf>
    <xf numFmtId="170" fontId="0" fillId="0" borderId="91" xfId="0" applyNumberFormat="1" applyBorder="1" applyAlignment="1">
      <alignment vertical="top"/>
    </xf>
    <xf numFmtId="0" fontId="0" fillId="0" borderId="1" xfId="0" applyBorder="1" applyAlignment="1">
      <alignment horizontal="center" vertical="top"/>
    </xf>
    <xf numFmtId="18" fontId="0" fillId="0" borderId="1" xfId="0" applyNumberFormat="1" applyBorder="1" applyAlignment="1">
      <alignment vertical="top"/>
    </xf>
    <xf numFmtId="20" fontId="0" fillId="0" borderId="1" xfId="0" applyNumberFormat="1" applyBorder="1" applyAlignment="1">
      <alignment vertical="top"/>
    </xf>
    <xf numFmtId="0" fontId="0" fillId="0" borderId="92" xfId="0" applyBorder="1" applyAlignment="1">
      <alignment vertical="top"/>
    </xf>
    <xf numFmtId="0" fontId="0" fillId="0" borderId="91" xfId="0" applyBorder="1" applyAlignment="1">
      <alignment vertical="top"/>
    </xf>
    <xf numFmtId="168" fontId="0" fillId="0" borderId="91" xfId="0" applyNumberFormat="1" applyBorder="1" applyAlignment="1">
      <alignment vertical="top"/>
    </xf>
    <xf numFmtId="0" fontId="0" fillId="0" borderId="91" xfId="0" applyBorder="1" applyAlignment="1">
      <alignment horizontal="center" vertical="top"/>
    </xf>
    <xf numFmtId="0" fontId="0" fillId="0" borderId="91" xfId="0" applyBorder="1" applyAlignment="1">
      <alignment horizontal="right" vertical="top"/>
    </xf>
    <xf numFmtId="18" fontId="0" fillId="0" borderId="91" xfId="0" applyNumberFormat="1" applyBorder="1" applyAlignment="1">
      <alignment vertical="top"/>
    </xf>
    <xf numFmtId="20" fontId="0" fillId="0" borderId="91" xfId="0" applyNumberFormat="1" applyBorder="1" applyAlignment="1">
      <alignment vertical="top"/>
    </xf>
    <xf numFmtId="0" fontId="0" fillId="0" borderId="93" xfId="0" applyBorder="1" applyAlignment="1">
      <alignment wrapText="1"/>
    </xf>
    <xf numFmtId="0" fontId="0" fillId="0" borderId="20" xfId="0" applyBorder="1" applyAlignment="1">
      <alignment vertical="top"/>
    </xf>
    <xf numFmtId="0" fontId="0" fillId="0" borderId="1" xfId="0" applyBorder="1" applyAlignment="1">
      <alignment vertical="top"/>
    </xf>
    <xf numFmtId="168" fontId="0" fillId="0" borderId="1" xfId="0" applyNumberFormat="1" applyBorder="1" applyAlignment="1">
      <alignment vertical="top"/>
    </xf>
    <xf numFmtId="0" fontId="0" fillId="0" borderId="1" xfId="0" applyBorder="1" applyAlignment="1">
      <alignment horizontal="right" vertical="top"/>
    </xf>
    <xf numFmtId="168" fontId="14" fillId="0" borderId="22" xfId="0" applyNumberFormat="1" applyFont="1" applyBorder="1" applyAlignment="1">
      <alignment horizontal="left" vertical="top" wrapText="1" indent="1"/>
    </xf>
    <xf numFmtId="0" fontId="0" fillId="0" borderId="1" xfId="0" applyBorder="1" applyAlignment="1" applyProtection="1">
      <alignment vertical="top"/>
      <protection locked="0"/>
    </xf>
    <xf numFmtId="168" fontId="0" fillId="0" borderId="1" xfId="0" applyNumberFormat="1" applyBorder="1" applyAlignment="1" applyProtection="1">
      <alignment vertical="top"/>
      <protection locked="0"/>
    </xf>
    <xf numFmtId="0" fontId="0" fillId="0" borderId="1" xfId="0" applyBorder="1" applyAlignment="1" applyProtection="1">
      <alignment horizontal="center" vertical="top"/>
      <protection locked="0"/>
    </xf>
    <xf numFmtId="0" fontId="0" fillId="0" borderId="1" xfId="0" applyBorder="1" applyAlignment="1" applyProtection="1">
      <alignment horizontal="right" vertical="top"/>
      <protection locked="0"/>
    </xf>
    <xf numFmtId="18" fontId="0" fillId="0" borderId="1" xfId="0" applyNumberFormat="1" applyBorder="1" applyAlignment="1" applyProtection="1">
      <alignment vertical="top"/>
      <protection locked="0"/>
    </xf>
    <xf numFmtId="168" fontId="14" fillId="0" borderId="22" xfId="0" applyNumberFormat="1" applyFont="1" applyBorder="1" applyAlignment="1" applyProtection="1">
      <alignment horizontal="left" vertical="top" wrapText="1" indent="1"/>
      <protection locked="0"/>
    </xf>
    <xf numFmtId="0" fontId="14" fillId="0" borderId="22" xfId="0" applyFont="1" applyBorder="1" applyAlignment="1">
      <alignment horizontal="left" vertical="top" wrapText="1" indent="1"/>
    </xf>
    <xf numFmtId="0" fontId="1" fillId="0" borderId="1" xfId="0" applyFont="1" applyBorder="1" applyAlignment="1">
      <alignment vertical="top"/>
    </xf>
    <xf numFmtId="0" fontId="1" fillId="0" borderId="1" xfId="0" applyFont="1" applyBorder="1" applyAlignment="1">
      <alignment horizontal="center" vertical="top"/>
    </xf>
    <xf numFmtId="0" fontId="1" fillId="0" borderId="1" xfId="0" applyFont="1" applyBorder="1" applyAlignment="1">
      <alignment horizontal="right" vertical="top"/>
    </xf>
    <xf numFmtId="20" fontId="1" fillId="0" borderId="1" xfId="0" applyNumberFormat="1" applyFont="1" applyBorder="1" applyAlignment="1">
      <alignment vertical="top"/>
    </xf>
    <xf numFmtId="168" fontId="0" fillId="0" borderId="1" xfId="0" applyNumberFormat="1" applyBorder="1" applyAlignment="1">
      <alignment horizontal="right" vertical="top"/>
    </xf>
    <xf numFmtId="0" fontId="14" fillId="0" borderId="22" xfId="0" applyFont="1" applyBorder="1" applyAlignment="1" applyProtection="1">
      <alignment horizontal="left" vertical="top" wrapText="1" indent="1"/>
      <protection locked="0"/>
    </xf>
    <xf numFmtId="170" fontId="0" fillId="0" borderId="1" xfId="0" applyNumberFormat="1" applyBorder="1" applyAlignment="1">
      <alignment vertical="top"/>
    </xf>
    <xf numFmtId="170" fontId="0" fillId="0" borderId="1" xfId="0" applyNumberFormat="1" applyBorder="1"/>
    <xf numFmtId="0" fontId="0" fillId="0" borderId="1" xfId="0" applyBorder="1" applyAlignment="1">
      <alignment horizontal="center"/>
    </xf>
    <xf numFmtId="18" fontId="0" fillId="0" borderId="1" xfId="0" applyNumberFormat="1" applyBorder="1"/>
    <xf numFmtId="0" fontId="27" fillId="0" borderId="22" xfId="0" applyFont="1" applyBorder="1" applyAlignment="1">
      <alignment horizontal="left" vertical="top" wrapText="1" indent="1"/>
    </xf>
    <xf numFmtId="0" fontId="0" fillId="9" borderId="253" xfId="0" applyFill="1" applyBorder="1"/>
    <xf numFmtId="0" fontId="33" fillId="9" borderId="253" xfId="0" applyFont="1" applyFill="1" applyBorder="1" applyAlignment="1">
      <alignment horizontal="center"/>
    </xf>
    <xf numFmtId="0" fontId="0" fillId="9" borderId="254" xfId="0" applyFill="1" applyBorder="1"/>
    <xf numFmtId="0" fontId="0" fillId="9" borderId="255" xfId="0" applyFill="1" applyBorder="1"/>
    <xf numFmtId="0" fontId="0" fillId="9" borderId="256" xfId="0" applyFill="1" applyBorder="1" applyAlignment="1">
      <alignment vertical="center" wrapText="1"/>
    </xf>
    <xf numFmtId="0" fontId="1" fillId="0" borderId="0" xfId="0" quotePrefix="1" applyFont="1"/>
    <xf numFmtId="0" fontId="11" fillId="0" borderId="0" xfId="1" applyBorder="1" applyAlignment="1" applyProtection="1">
      <alignment horizontal="center"/>
    </xf>
    <xf numFmtId="0" fontId="0" fillId="21" borderId="257" xfId="0" applyFill="1" applyBorder="1"/>
    <xf numFmtId="0" fontId="6" fillId="21" borderId="258" xfId="0" applyFont="1" applyFill="1" applyBorder="1" applyAlignment="1">
      <alignment horizontal="center"/>
    </xf>
    <xf numFmtId="0" fontId="6" fillId="21" borderId="259" xfId="0" applyFont="1" applyFill="1" applyBorder="1" applyAlignment="1">
      <alignment horizontal="center"/>
    </xf>
    <xf numFmtId="0" fontId="6" fillId="21" borderId="260" xfId="0" applyFont="1" applyFill="1" applyBorder="1" applyAlignment="1">
      <alignment horizontal="center"/>
    </xf>
    <xf numFmtId="0" fontId="11" fillId="0" borderId="0" xfId="1" applyNumberFormat="1" applyBorder="1" applyAlignment="1" applyProtection="1">
      <alignment horizontal="center" vertical="top"/>
    </xf>
    <xf numFmtId="18" fontId="0" fillId="0" borderId="88" xfId="0" applyNumberFormat="1" applyBorder="1" applyAlignment="1">
      <alignment vertical="top"/>
    </xf>
    <xf numFmtId="18" fontId="0" fillId="0" borderId="87" xfId="0" applyNumberFormat="1" applyBorder="1" applyAlignment="1">
      <alignment vertical="top"/>
    </xf>
    <xf numFmtId="0" fontId="11" fillId="0" borderId="0" xfId="1" applyBorder="1" applyAlignment="1" applyProtection="1">
      <alignment horizontal="center" vertical="center" textRotation="180"/>
    </xf>
    <xf numFmtId="0" fontId="0" fillId="0" borderId="0" xfId="0" applyAlignment="1">
      <alignment horizontal="center" vertical="center"/>
    </xf>
    <xf numFmtId="0" fontId="1" fillId="0" borderId="0" xfId="0" applyFont="1" applyAlignment="1">
      <alignment horizontal="center"/>
    </xf>
    <xf numFmtId="0" fontId="3" fillId="0" borderId="261" xfId="0" applyFont="1" applyBorder="1" applyAlignment="1">
      <alignment horizontal="center"/>
    </xf>
    <xf numFmtId="1" fontId="3" fillId="0" borderId="261" xfId="0" applyNumberFormat="1" applyFont="1" applyBorder="1" applyAlignment="1">
      <alignment horizontal="center"/>
    </xf>
    <xf numFmtId="1" fontId="3" fillId="0" borderId="237" xfId="0" applyNumberFormat="1" applyFont="1" applyBorder="1" applyAlignment="1">
      <alignment horizontal="center"/>
    </xf>
    <xf numFmtId="0" fontId="3" fillId="0" borderId="262" xfId="0" applyFont="1" applyBorder="1" applyAlignment="1">
      <alignment horizontal="center"/>
    </xf>
    <xf numFmtId="0" fontId="40" fillId="0" borderId="263" xfId="0" applyFont="1" applyBorder="1" applyAlignment="1">
      <alignment horizontal="center"/>
    </xf>
    <xf numFmtId="0" fontId="40" fillId="0" borderId="264" xfId="0" applyFont="1" applyBorder="1" applyAlignment="1">
      <alignment horizontal="center"/>
    </xf>
    <xf numFmtId="0" fontId="48" fillId="0" borderId="265" xfId="0" applyFont="1" applyBorder="1"/>
    <xf numFmtId="0" fontId="2" fillId="0" borderId="266" xfId="0" applyFont="1" applyBorder="1"/>
    <xf numFmtId="1" fontId="1" fillId="0" borderId="266" xfId="0" applyNumberFormat="1" applyFont="1" applyBorder="1"/>
    <xf numFmtId="0" fontId="1" fillId="0" borderId="267" xfId="0" applyFont="1" applyBorder="1"/>
    <xf numFmtId="0" fontId="48" fillId="0" borderId="268" xfId="0" applyFont="1" applyBorder="1"/>
    <xf numFmtId="0" fontId="1" fillId="0" borderId="269" xfId="0" applyFont="1" applyBorder="1"/>
    <xf numFmtId="0" fontId="48" fillId="0" borderId="270" xfId="0" applyFont="1" applyBorder="1"/>
    <xf numFmtId="0" fontId="2" fillId="0" borderId="271" xfId="0" applyFont="1" applyBorder="1"/>
    <xf numFmtId="1" fontId="1" fillId="0" borderId="271" xfId="0" applyNumberFormat="1" applyFont="1" applyBorder="1"/>
    <xf numFmtId="0" fontId="1" fillId="0" borderId="272" xfId="0" applyFont="1" applyBorder="1"/>
    <xf numFmtId="0" fontId="48" fillId="0" borderId="162" xfId="0" applyFont="1" applyBorder="1"/>
    <xf numFmtId="0" fontId="1" fillId="0" borderId="162" xfId="0" applyFont="1" applyBorder="1"/>
    <xf numFmtId="0" fontId="48" fillId="0" borderId="0" xfId="0" applyFont="1"/>
    <xf numFmtId="0" fontId="49" fillId="0" borderId="0" xfId="0" applyFont="1"/>
    <xf numFmtId="0" fontId="18" fillId="0" borderId="0" xfId="0" applyFont="1"/>
    <xf numFmtId="0" fontId="50" fillId="0" borderId="0" xfId="0" applyFont="1"/>
    <xf numFmtId="0" fontId="43" fillId="0" borderId="0" xfId="0" applyFont="1"/>
    <xf numFmtId="172" fontId="43" fillId="0" borderId="0" xfId="0" applyNumberFormat="1" applyFont="1"/>
    <xf numFmtId="0" fontId="51" fillId="0" borderId="0" xfId="0" applyFont="1"/>
    <xf numFmtId="0" fontId="43" fillId="22" borderId="0" xfId="0" applyFont="1" applyFill="1"/>
    <xf numFmtId="0" fontId="51" fillId="22" borderId="0" xfId="0" applyFont="1" applyFill="1"/>
    <xf numFmtId="172" fontId="43" fillId="0" borderId="0" xfId="0" applyNumberFormat="1" applyFont="1" applyAlignment="1">
      <alignment textRotation="180"/>
    </xf>
    <xf numFmtId="0" fontId="44" fillId="0" borderId="0" xfId="0" applyFont="1" applyAlignment="1">
      <alignment horizontal="center" vertical="center"/>
    </xf>
    <xf numFmtId="49" fontId="44" fillId="0" borderId="0" xfId="0" applyNumberFormat="1" applyFont="1" applyAlignment="1">
      <alignment horizontal="center" vertical="center"/>
    </xf>
    <xf numFmtId="0" fontId="44" fillId="0" borderId="0" xfId="0" applyFont="1"/>
    <xf numFmtId="0" fontId="51" fillId="0" borderId="273" xfId="0" applyFont="1" applyBorder="1"/>
    <xf numFmtId="0" fontId="51" fillId="22" borderId="273" xfId="0" applyFont="1" applyFill="1" applyBorder="1"/>
    <xf numFmtId="0" fontId="51" fillId="0" borderId="274" xfId="0" applyFont="1" applyBorder="1"/>
    <xf numFmtId="0" fontId="51" fillId="22" borderId="274" xfId="0" applyFont="1" applyFill="1" applyBorder="1"/>
    <xf numFmtId="0" fontId="51" fillId="0" borderId="275" xfId="0" applyFont="1" applyBorder="1"/>
    <xf numFmtId="0" fontId="51" fillId="22" borderId="275" xfId="0" applyFont="1" applyFill="1" applyBorder="1"/>
    <xf numFmtId="0" fontId="51" fillId="0" borderId="276" xfId="0" applyFont="1" applyBorder="1"/>
    <xf numFmtId="0" fontId="51" fillId="0" borderId="277" xfId="0" applyFont="1" applyBorder="1"/>
    <xf numFmtId="0" fontId="3" fillId="0" borderId="207" xfId="0" applyFont="1" applyBorder="1"/>
    <xf numFmtId="0" fontId="0" fillId="0" borderId="1" xfId="0" applyBorder="1"/>
    <xf numFmtId="169" fontId="0" fillId="0" borderId="1" xfId="0" applyNumberFormat="1" applyBorder="1" applyAlignment="1">
      <alignment horizontal="center"/>
    </xf>
    <xf numFmtId="0" fontId="0" fillId="0" borderId="94" xfId="0" applyBorder="1"/>
    <xf numFmtId="0" fontId="0" fillId="0" borderId="94" xfId="0" applyBorder="1" applyAlignment="1">
      <alignment horizontal="center" vertical="top"/>
    </xf>
    <xf numFmtId="20" fontId="0" fillId="0" borderId="94" xfId="0" applyNumberFormat="1" applyBorder="1" applyAlignment="1">
      <alignment vertical="top"/>
    </xf>
    <xf numFmtId="0" fontId="44" fillId="0" borderId="0" xfId="0" applyFont="1" applyAlignment="1">
      <alignment horizontal="center"/>
    </xf>
    <xf numFmtId="0" fontId="52" fillId="0" borderId="0" xfId="0" applyFont="1" applyAlignment="1">
      <alignment horizontal="center"/>
    </xf>
    <xf numFmtId="11" fontId="27" fillId="0" borderId="0" xfId="0" applyNumberFormat="1" applyFont="1" applyAlignment="1">
      <alignment vertical="top"/>
    </xf>
    <xf numFmtId="1" fontId="27" fillId="8" borderId="278" xfId="0" applyNumberFormat="1" applyFont="1" applyFill="1" applyBorder="1" applyAlignment="1">
      <alignment horizontal="center"/>
    </xf>
    <xf numFmtId="0" fontId="27" fillId="8" borderId="279" xfId="0" applyFont="1" applyFill="1" applyBorder="1" applyAlignment="1">
      <alignment horizontal="center"/>
    </xf>
    <xf numFmtId="1" fontId="27" fillId="8" borderId="280" xfId="0" applyNumberFormat="1" applyFont="1" applyFill="1" applyBorder="1" applyAlignment="1">
      <alignment horizontal="center"/>
    </xf>
    <xf numFmtId="0" fontId="27" fillId="8" borderId="281" xfId="0" applyFont="1" applyFill="1" applyBorder="1" applyAlignment="1">
      <alignment horizontal="center"/>
    </xf>
    <xf numFmtId="0" fontId="27" fillId="0" borderId="282" xfId="0" applyFont="1" applyBorder="1" applyAlignment="1">
      <alignment horizontal="center"/>
    </xf>
    <xf numFmtId="11" fontId="27" fillId="0" borderId="283" xfId="0" applyNumberFormat="1" applyFont="1" applyBorder="1" applyAlignment="1">
      <alignment horizontal="center"/>
    </xf>
    <xf numFmtId="11" fontId="27" fillId="0" borderId="284" xfId="0" applyNumberFormat="1" applyFont="1" applyBorder="1" applyAlignment="1">
      <alignment horizontal="center"/>
    </xf>
    <xf numFmtId="0" fontId="27" fillId="0" borderId="285" xfId="0" applyFont="1" applyBorder="1" applyAlignment="1">
      <alignment horizontal="center"/>
    </xf>
    <xf numFmtId="11" fontId="27" fillId="0" borderId="286" xfId="0" applyNumberFormat="1" applyFont="1" applyBorder="1" applyAlignment="1">
      <alignment horizontal="center"/>
    </xf>
    <xf numFmtId="11" fontId="14" fillId="0" borderId="287" xfId="0" applyNumberFormat="1" applyFont="1" applyBorder="1" applyAlignment="1">
      <alignment horizontal="center"/>
    </xf>
    <xf numFmtId="11" fontId="27" fillId="0" borderId="289" xfId="0" applyNumberFormat="1" applyFont="1" applyBorder="1" applyAlignment="1">
      <alignment vertical="top"/>
    </xf>
    <xf numFmtId="2" fontId="9" fillId="0" borderId="162" xfId="0" applyNumberFormat="1" applyFont="1" applyBorder="1"/>
    <xf numFmtId="2" fontId="9" fillId="0" borderId="164" xfId="0" applyNumberFormat="1" applyFont="1" applyBorder="1" applyAlignment="1">
      <alignment horizontal="right" indent="1"/>
    </xf>
    <xf numFmtId="0" fontId="14" fillId="23" borderId="290" xfId="0" applyFont="1" applyFill="1" applyBorder="1" applyAlignment="1">
      <alignment horizontal="center" vertical="center"/>
    </xf>
    <xf numFmtId="0" fontId="14" fillId="23" borderId="291" xfId="0" applyFont="1" applyFill="1" applyBorder="1" applyAlignment="1">
      <alignment horizontal="center" vertical="center"/>
    </xf>
    <xf numFmtId="0" fontId="0" fillId="9" borderId="292" xfId="0" applyFill="1" applyBorder="1" applyAlignment="1">
      <alignment vertical="top" wrapText="1"/>
    </xf>
    <xf numFmtId="0" fontId="0" fillId="9" borderId="293" xfId="0" applyFill="1" applyBorder="1" applyAlignment="1">
      <alignment vertical="top" wrapText="1"/>
    </xf>
    <xf numFmtId="0" fontId="18" fillId="9" borderId="294" xfId="0" applyFont="1" applyFill="1" applyBorder="1" applyAlignment="1">
      <alignment horizontal="left" vertical="center" wrapText="1"/>
    </xf>
    <xf numFmtId="0" fontId="18" fillId="9" borderId="295" xfId="0" applyFont="1" applyFill="1" applyBorder="1" applyAlignment="1">
      <alignment horizontal="left" vertical="center" wrapText="1"/>
    </xf>
    <xf numFmtId="0" fontId="18" fillId="9" borderId="296" xfId="0" applyFont="1" applyFill="1" applyBorder="1" applyAlignment="1">
      <alignment horizontal="left" vertical="top"/>
    </xf>
    <xf numFmtId="0" fontId="18" fillId="9" borderId="297" xfId="0" applyFont="1" applyFill="1" applyBorder="1"/>
    <xf numFmtId="0" fontId="0" fillId="9" borderId="298" xfId="0" applyFill="1" applyBorder="1" applyAlignment="1">
      <alignment vertical="top" wrapText="1"/>
    </xf>
    <xf numFmtId="0" fontId="1" fillId="0" borderId="189" xfId="0" applyFont="1" applyBorder="1" applyAlignment="1">
      <alignment vertical="top" wrapText="1"/>
    </xf>
    <xf numFmtId="0" fontId="1" fillId="0" borderId="190" xfId="0" applyFont="1" applyBorder="1" applyAlignment="1">
      <alignment vertical="top" wrapText="1"/>
    </xf>
    <xf numFmtId="14" fontId="43" fillId="0" borderId="0" xfId="0" applyNumberFormat="1" applyFont="1"/>
    <xf numFmtId="0" fontId="3" fillId="24" borderId="95" xfId="0" applyFont="1" applyFill="1" applyBorder="1" applyAlignment="1">
      <alignment horizontal="center"/>
    </xf>
    <xf numFmtId="0" fontId="3" fillId="24" borderId="96" xfId="0" applyFont="1" applyFill="1" applyBorder="1" applyAlignment="1">
      <alignment horizontal="center"/>
    </xf>
    <xf numFmtId="0" fontId="3" fillId="24" borderId="97" xfId="0" applyFont="1" applyFill="1" applyBorder="1" applyAlignment="1">
      <alignment horizontal="center"/>
    </xf>
    <xf numFmtId="49" fontId="1" fillId="0" borderId="100" xfId="0" applyNumberFormat="1" applyFont="1" applyBorder="1" applyAlignment="1">
      <alignment horizontal="center"/>
    </xf>
    <xf numFmtId="14" fontId="1" fillId="0" borderId="82" xfId="0" applyNumberFormat="1" applyFont="1" applyBorder="1" applyAlignment="1">
      <alignment horizontal="center"/>
    </xf>
    <xf numFmtId="0" fontId="1" fillId="0" borderId="82" xfId="0" applyFont="1" applyBorder="1" applyAlignment="1">
      <alignment horizontal="center"/>
    </xf>
    <xf numFmtId="49" fontId="1" fillId="0" borderId="101" xfId="0" applyNumberFormat="1" applyFont="1" applyBorder="1" applyAlignment="1">
      <alignment horizontal="center"/>
    </xf>
    <xf numFmtId="0" fontId="1" fillId="0" borderId="71" xfId="0" applyFont="1" applyBorder="1" applyAlignment="1">
      <alignment horizontal="center"/>
    </xf>
    <xf numFmtId="0" fontId="1" fillId="0" borderId="102" xfId="0" applyFont="1" applyBorder="1" applyAlignment="1">
      <alignment horizontal="left" wrapText="1" indent="1"/>
    </xf>
    <xf numFmtId="0" fontId="21" fillId="16" borderId="233" xfId="0" applyFont="1" applyFill="1" applyBorder="1" applyAlignment="1">
      <alignment horizontal="center"/>
    </xf>
    <xf numFmtId="168" fontId="0" fillId="0" borderId="90" xfId="0" applyNumberFormat="1" applyBorder="1" applyAlignment="1">
      <alignment vertical="top"/>
    </xf>
    <xf numFmtId="18" fontId="0" fillId="0" borderId="90" xfId="0" applyNumberFormat="1" applyBorder="1" applyAlignment="1">
      <alignment vertical="top"/>
    </xf>
    <xf numFmtId="0" fontId="0" fillId="0" borderId="90" xfId="0" applyBorder="1" applyAlignment="1">
      <alignment horizontal="center" vertical="top"/>
    </xf>
    <xf numFmtId="0" fontId="0" fillId="0" borderId="90" xfId="0" applyBorder="1" applyAlignment="1">
      <alignment horizontal="right" vertical="top"/>
    </xf>
    <xf numFmtId="0" fontId="0" fillId="0" borderId="299" xfId="0" applyBorder="1" applyAlignment="1">
      <alignment horizontal="right" vertical="top"/>
    </xf>
    <xf numFmtId="0" fontId="0" fillId="0" borderId="166" xfId="0" applyBorder="1" applyAlignment="1">
      <alignment horizontal="right" vertical="top"/>
    </xf>
    <xf numFmtId="0" fontId="0" fillId="0" borderId="166" xfId="0" applyBorder="1" applyAlignment="1" applyProtection="1">
      <alignment horizontal="right" vertical="top"/>
      <protection locked="0"/>
    </xf>
    <xf numFmtId="0" fontId="0" fillId="0" borderId="166" xfId="0" applyBorder="1"/>
    <xf numFmtId="167" fontId="0" fillId="0" borderId="59" xfId="0" applyNumberFormat="1" applyBorder="1" applyAlignment="1">
      <alignment horizontal="right" vertical="top"/>
    </xf>
    <xf numFmtId="170" fontId="0" fillId="0" borderId="90" xfId="0" applyNumberFormat="1" applyBorder="1" applyAlignment="1">
      <alignment vertical="top"/>
    </xf>
    <xf numFmtId="168" fontId="0" fillId="0" borderId="301" xfId="0" applyNumberFormat="1" applyBorder="1" applyAlignment="1">
      <alignment vertical="top"/>
    </xf>
    <xf numFmtId="18" fontId="0" fillId="0" borderId="301" xfId="0" applyNumberFormat="1" applyBorder="1" applyAlignment="1">
      <alignment vertical="top"/>
    </xf>
    <xf numFmtId="0" fontId="0" fillId="0" borderId="301" xfId="0" applyBorder="1" applyAlignment="1">
      <alignment vertical="top"/>
    </xf>
    <xf numFmtId="0" fontId="0" fillId="0" borderId="301" xfId="0" applyBorder="1" applyAlignment="1">
      <alignment horizontal="center" vertical="top"/>
    </xf>
    <xf numFmtId="0" fontId="0" fillId="0" borderId="301" xfId="0" applyBorder="1" applyAlignment="1">
      <alignment horizontal="right" vertical="top"/>
    </xf>
    <xf numFmtId="0" fontId="0" fillId="0" borderId="105" xfId="0" applyBorder="1" applyAlignment="1">
      <alignment vertical="top"/>
    </xf>
    <xf numFmtId="168" fontId="0" fillId="0" borderId="106" xfId="0" applyNumberFormat="1" applyBorder="1" applyAlignment="1">
      <alignment vertical="top"/>
    </xf>
    <xf numFmtId="18" fontId="0" fillId="0" borderId="106" xfId="0" applyNumberFormat="1" applyBorder="1" applyAlignment="1">
      <alignment vertical="top"/>
    </xf>
    <xf numFmtId="0" fontId="1" fillId="0" borderId="106" xfId="0" applyFont="1" applyBorder="1" applyAlignment="1">
      <alignment vertical="top"/>
    </xf>
    <xf numFmtId="0" fontId="1" fillId="0" borderId="106" xfId="0" applyFont="1" applyBorder="1" applyAlignment="1">
      <alignment horizontal="center" vertical="top"/>
    </xf>
    <xf numFmtId="0" fontId="0" fillId="0" borderId="106" xfId="0" applyBorder="1" applyAlignment="1">
      <alignment horizontal="right" vertical="top"/>
    </xf>
    <xf numFmtId="0" fontId="6" fillId="4" borderId="107" xfId="0" applyFont="1" applyFill="1" applyBorder="1" applyAlignment="1">
      <alignment horizontal="center"/>
    </xf>
    <xf numFmtId="0" fontId="6" fillId="4" borderId="108" xfId="0" applyFont="1" applyFill="1" applyBorder="1" applyAlignment="1">
      <alignment horizontal="center" wrapText="1"/>
    </xf>
    <xf numFmtId="0" fontId="6" fillId="0" borderId="0" xfId="0" applyFont="1" applyAlignment="1">
      <alignment horizontal="center" wrapText="1"/>
    </xf>
    <xf numFmtId="0" fontId="3" fillId="0" borderId="109" xfId="0" applyFont="1" applyBorder="1"/>
    <xf numFmtId="0" fontId="3" fillId="0" borderId="0" xfId="0" applyFont="1" applyAlignment="1">
      <alignment horizontal="center" wrapText="1"/>
    </xf>
    <xf numFmtId="0" fontId="3" fillId="0" borderId="110" xfId="0" applyFont="1" applyBorder="1" applyAlignment="1">
      <alignment horizontal="center" vertical="center"/>
    </xf>
    <xf numFmtId="0" fontId="3" fillId="0" borderId="111" xfId="0" applyFont="1" applyBorder="1" applyAlignment="1">
      <alignment horizontal="center" vertical="center"/>
    </xf>
    <xf numFmtId="0" fontId="3" fillId="13" borderId="303" xfId="0" applyFont="1" applyFill="1" applyBorder="1" applyAlignment="1">
      <alignment horizontal="center"/>
    </xf>
    <xf numFmtId="0" fontId="3" fillId="13" borderId="304" xfId="0" applyFont="1" applyFill="1" applyBorder="1" applyAlignment="1">
      <alignment horizontal="center" wrapText="1"/>
    </xf>
    <xf numFmtId="0" fontId="1" fillId="0" borderId="305" xfId="0" applyFont="1" applyBorder="1" applyAlignment="1">
      <alignment horizontal="center" vertical="center"/>
    </xf>
    <xf numFmtId="0" fontId="1" fillId="0" borderId="306" xfId="0" applyFont="1" applyBorder="1" applyAlignment="1">
      <alignment wrapText="1"/>
    </xf>
    <xf numFmtId="0" fontId="1" fillId="0" borderId="307" xfId="0" applyFont="1" applyBorder="1" applyAlignment="1">
      <alignment horizontal="center" vertical="center"/>
    </xf>
    <xf numFmtId="0" fontId="1" fillId="0" borderId="308" xfId="0" applyFont="1" applyBorder="1" applyAlignment="1">
      <alignment wrapText="1"/>
    </xf>
    <xf numFmtId="0" fontId="43" fillId="0" borderId="274" xfId="0" applyFont="1" applyBorder="1"/>
    <xf numFmtId="0" fontId="43" fillId="0" borderId="273" xfId="0" applyFont="1" applyBorder="1"/>
    <xf numFmtId="0" fontId="43" fillId="0" borderId="309" xfId="0" applyFont="1" applyBorder="1"/>
    <xf numFmtId="0" fontId="43" fillId="0" borderId="310" xfId="0" applyFont="1" applyBorder="1"/>
    <xf numFmtId="0" fontId="43" fillId="0" borderId="311" xfId="0" applyFont="1" applyBorder="1"/>
    <xf numFmtId="0" fontId="1" fillId="0" borderId="112" xfId="0" applyFont="1" applyBorder="1" applyAlignment="1">
      <alignment horizontal="left" vertical="top" wrapText="1" indent="1"/>
    </xf>
    <xf numFmtId="0" fontId="1" fillId="0" borderId="113" xfId="0" applyFont="1" applyBorder="1" applyAlignment="1">
      <alignment horizontal="left" vertical="top" wrapText="1" indent="1"/>
    </xf>
    <xf numFmtId="0" fontId="35" fillId="0" borderId="0" xfId="0" applyFont="1" applyAlignment="1">
      <alignment horizontal="center" vertical="top" wrapText="1"/>
    </xf>
    <xf numFmtId="0" fontId="1" fillId="0" borderId="194" xfId="0" applyFont="1" applyBorder="1" applyAlignment="1">
      <alignment vertical="top" wrapText="1"/>
    </xf>
    <xf numFmtId="0" fontId="53" fillId="0" borderId="0" xfId="0" applyFont="1" applyAlignment="1">
      <alignment vertical="center"/>
    </xf>
    <xf numFmtId="0" fontId="54" fillId="0" borderId="0" xfId="0" applyFont="1" applyAlignment="1">
      <alignment horizontal="left"/>
    </xf>
    <xf numFmtId="0" fontId="54" fillId="0" borderId="0" xfId="0" applyFont="1"/>
    <xf numFmtId="166" fontId="0" fillId="29" borderId="0" xfId="0" applyNumberFormat="1" applyFill="1"/>
    <xf numFmtId="171" fontId="0" fillId="29" borderId="0" xfId="0" applyNumberFormat="1" applyFill="1"/>
    <xf numFmtId="0" fontId="0" fillId="29" borderId="20" xfId="0" applyFill="1" applyBorder="1" applyAlignment="1">
      <alignment vertical="top"/>
    </xf>
    <xf numFmtId="0" fontId="0" fillId="29" borderId="1" xfId="0" applyFill="1" applyBorder="1" applyAlignment="1">
      <alignment vertical="top"/>
    </xf>
    <xf numFmtId="168" fontId="0" fillId="29" borderId="1" xfId="0" applyNumberFormat="1" applyFill="1" applyBorder="1" applyAlignment="1">
      <alignment vertical="top"/>
    </xf>
    <xf numFmtId="0" fontId="0" fillId="29" borderId="1" xfId="0" applyFill="1" applyBorder="1" applyAlignment="1">
      <alignment horizontal="right" vertical="top"/>
    </xf>
    <xf numFmtId="0" fontId="0" fillId="29" borderId="1" xfId="0" applyFill="1" applyBorder="1" applyAlignment="1">
      <alignment horizontal="center" vertical="top"/>
    </xf>
    <xf numFmtId="18" fontId="0" fillId="29" borderId="1" xfId="0" applyNumberFormat="1" applyFill="1" applyBorder="1" applyAlignment="1">
      <alignment vertical="top"/>
    </xf>
    <xf numFmtId="0" fontId="14" fillId="29" borderId="22" xfId="0" applyFont="1" applyFill="1" applyBorder="1" applyAlignment="1">
      <alignment horizontal="left" vertical="top" wrapText="1" indent="1"/>
    </xf>
    <xf numFmtId="0" fontId="0" fillId="29" borderId="1" xfId="0" applyFill="1" applyBorder="1"/>
    <xf numFmtId="168" fontId="0" fillId="29" borderId="1" xfId="0" applyNumberFormat="1" applyFill="1" applyBorder="1"/>
    <xf numFmtId="0" fontId="0" fillId="29" borderId="1" xfId="0" applyFill="1" applyBorder="1" applyAlignment="1">
      <alignment horizontal="right"/>
    </xf>
    <xf numFmtId="0" fontId="0" fillId="29" borderId="1" xfId="0" applyFill="1" applyBorder="1" applyAlignment="1">
      <alignment horizontal="center"/>
    </xf>
    <xf numFmtId="0" fontId="0" fillId="29" borderId="0" xfId="0" applyFill="1"/>
    <xf numFmtId="0" fontId="1" fillId="29" borderId="1" xfId="0" applyFont="1" applyFill="1" applyBorder="1"/>
    <xf numFmtId="0" fontId="8" fillId="29" borderId="1" xfId="0" applyFont="1" applyFill="1" applyBorder="1" applyAlignment="1">
      <alignment horizontal="center"/>
    </xf>
    <xf numFmtId="0" fontId="0" fillId="29" borderId="19" xfId="0" applyFill="1" applyBorder="1" applyAlignment="1">
      <alignment horizontal="center" vertical="top"/>
    </xf>
    <xf numFmtId="2" fontId="14" fillId="11" borderId="288" xfId="0" applyNumberFormat="1" applyFont="1" applyFill="1" applyBorder="1"/>
    <xf numFmtId="2" fontId="14" fillId="11" borderId="354" xfId="0" applyNumberFormat="1" applyFont="1" applyFill="1" applyBorder="1"/>
    <xf numFmtId="0" fontId="0" fillId="11" borderId="0" xfId="0" applyFill="1" applyAlignment="1">
      <alignment horizontal="center"/>
    </xf>
    <xf numFmtId="0" fontId="3" fillId="29" borderId="363" xfId="0" applyFont="1" applyFill="1" applyBorder="1" applyAlignment="1">
      <alignment horizontal="center" vertical="center"/>
    </xf>
    <xf numFmtId="0" fontId="3" fillId="29" borderId="364" xfId="0" applyFont="1" applyFill="1" applyBorder="1" applyAlignment="1">
      <alignment horizontal="center" vertical="center"/>
    </xf>
    <xf numFmtId="164" fontId="3" fillId="29" borderId="364" xfId="0" applyNumberFormat="1" applyFont="1" applyFill="1" applyBorder="1" applyAlignment="1">
      <alignment horizontal="center" vertical="center"/>
    </xf>
    <xf numFmtId="0" fontId="3" fillId="30" borderId="358" xfId="0" applyFont="1" applyFill="1" applyBorder="1" applyAlignment="1">
      <alignment horizontal="center"/>
    </xf>
    <xf numFmtId="1" fontId="1" fillId="30" borderId="356" xfId="0" applyNumberFormat="1" applyFont="1" applyFill="1" applyBorder="1" applyAlignment="1">
      <alignment horizontal="center"/>
    </xf>
    <xf numFmtId="0" fontId="3" fillId="30" borderId="360" xfId="0" applyFont="1" applyFill="1" applyBorder="1" applyAlignment="1">
      <alignment horizontal="center"/>
    </xf>
    <xf numFmtId="1" fontId="1" fillId="30" borderId="361" xfId="0" applyNumberFormat="1" applyFont="1" applyFill="1" applyBorder="1" applyAlignment="1">
      <alignment horizontal="center"/>
    </xf>
    <xf numFmtId="0" fontId="3" fillId="13" borderId="358" xfId="0" applyFont="1" applyFill="1" applyBorder="1" applyAlignment="1">
      <alignment horizontal="center"/>
    </xf>
    <xf numFmtId="1" fontId="1" fillId="13" borderId="356" xfId="0" applyNumberFormat="1" applyFont="1" applyFill="1" applyBorder="1" applyAlignment="1">
      <alignment horizontal="center"/>
    </xf>
    <xf numFmtId="0" fontId="3" fillId="14" borderId="358" xfId="0" applyFont="1" applyFill="1" applyBorder="1" applyAlignment="1">
      <alignment horizontal="center"/>
    </xf>
    <xf numFmtId="1" fontId="1" fillId="14" borderId="356" xfId="0" applyNumberFormat="1" applyFont="1" applyFill="1" applyBorder="1" applyAlignment="1">
      <alignment horizontal="center"/>
    </xf>
    <xf numFmtId="0" fontId="3" fillId="31" borderId="357" xfId="0" applyFont="1" applyFill="1" applyBorder="1" applyAlignment="1">
      <alignment horizontal="center"/>
    </xf>
    <xf numFmtId="1" fontId="1" fillId="31" borderId="355" xfId="0" applyNumberFormat="1" applyFont="1" applyFill="1" applyBorder="1" applyAlignment="1">
      <alignment horizontal="center"/>
    </xf>
    <xf numFmtId="0" fontId="3" fillId="31" borderId="358" xfId="0" applyFont="1" applyFill="1" applyBorder="1" applyAlignment="1">
      <alignment horizontal="center"/>
    </xf>
    <xf numFmtId="10" fontId="1" fillId="31" borderId="356" xfId="0" applyNumberFormat="1" applyFont="1" applyFill="1" applyBorder="1" applyAlignment="1">
      <alignment horizontal="center"/>
    </xf>
    <xf numFmtId="9" fontId="1" fillId="30" borderId="359" xfId="0" applyNumberFormat="1" applyFont="1" applyFill="1" applyBorder="1" applyAlignment="1">
      <alignment horizontal="center"/>
    </xf>
    <xf numFmtId="9" fontId="1" fillId="30" borderId="362" xfId="0" applyNumberFormat="1" applyFont="1" applyFill="1" applyBorder="1" applyAlignment="1">
      <alignment horizontal="center"/>
    </xf>
    <xf numFmtId="9" fontId="1" fillId="14" borderId="359" xfId="0" applyNumberFormat="1" applyFont="1" applyFill="1" applyBorder="1" applyAlignment="1">
      <alignment horizontal="center"/>
    </xf>
    <xf numFmtId="9" fontId="1" fillId="13" borderId="359" xfId="0" applyNumberFormat="1" applyFont="1" applyFill="1" applyBorder="1" applyAlignment="1">
      <alignment horizontal="center"/>
    </xf>
    <xf numFmtId="172" fontId="3" fillId="0" borderId="0" xfId="0" applyNumberFormat="1" applyFont="1"/>
    <xf numFmtId="1" fontId="0" fillId="0" borderId="0" xfId="0" applyNumberFormat="1" applyAlignment="1">
      <alignment horizontal="center"/>
    </xf>
    <xf numFmtId="0" fontId="3" fillId="0" borderId="0" xfId="0" applyFont="1" applyAlignment="1">
      <alignment horizontal="left"/>
    </xf>
    <xf numFmtId="168" fontId="0" fillId="0" borderId="1" xfId="0" applyNumberFormat="1" applyBorder="1"/>
    <xf numFmtId="0" fontId="0" fillId="0" borderId="1" xfId="0" applyBorder="1" applyAlignment="1">
      <alignment horizontal="right"/>
    </xf>
    <xf numFmtId="10" fontId="1" fillId="31" borderId="365" xfId="0" applyNumberFormat="1" applyFont="1" applyFill="1" applyBorder="1" applyAlignment="1">
      <alignment horizontal="center"/>
    </xf>
    <xf numFmtId="0" fontId="3" fillId="29" borderId="366" xfId="0" applyFont="1" applyFill="1" applyBorder="1" applyAlignment="1">
      <alignment horizontal="center" vertical="center"/>
    </xf>
    <xf numFmtId="1" fontId="1" fillId="31" borderId="367" xfId="0" applyNumberFormat="1" applyFont="1" applyFill="1" applyBorder="1" applyAlignment="1">
      <alignment horizontal="center"/>
    </xf>
    <xf numFmtId="0" fontId="1" fillId="0" borderId="173" xfId="0" applyFont="1" applyBorder="1"/>
    <xf numFmtId="9" fontId="1" fillId="0" borderId="175" xfId="0" applyNumberFormat="1" applyFont="1" applyBorder="1" applyAlignment="1">
      <alignment horizontal="center"/>
    </xf>
    <xf numFmtId="0" fontId="0" fillId="0" borderId="368" xfId="0" applyBorder="1"/>
    <xf numFmtId="0" fontId="1" fillId="0" borderId="369" xfId="0" applyFont="1" applyBorder="1"/>
    <xf numFmtId="0" fontId="0" fillId="0" borderId="370" xfId="0" applyBorder="1"/>
    <xf numFmtId="0" fontId="0" fillId="0" borderId="161" xfId="0" applyBorder="1" applyAlignment="1">
      <alignment horizontal="center"/>
    </xf>
    <xf numFmtId="0" fontId="14" fillId="0" borderId="0" xfId="0" applyFont="1" applyAlignment="1">
      <alignment wrapText="1"/>
    </xf>
    <xf numFmtId="18" fontId="0" fillId="11" borderId="1" xfId="0" applyNumberFormat="1" applyFill="1" applyBorder="1" applyAlignment="1">
      <alignment vertical="top"/>
    </xf>
    <xf numFmtId="0" fontId="1" fillId="0" borderId="1" xfId="0" applyFont="1" applyBorder="1"/>
    <xf numFmtId="0" fontId="0" fillId="29" borderId="0" xfId="0" applyFill="1" applyAlignment="1">
      <alignment horizontal="center" vertical="top"/>
    </xf>
    <xf numFmtId="49" fontId="1" fillId="0" borderId="100" xfId="0" applyNumberFormat="1" applyFont="1" applyBorder="1" applyAlignment="1">
      <alignment horizontal="center" vertical="top"/>
    </xf>
    <xf numFmtId="14" fontId="1" fillId="0" borderId="82" xfId="0" applyNumberFormat="1" applyFont="1" applyBorder="1" applyAlignment="1">
      <alignment horizontal="center" vertical="top"/>
    </xf>
    <xf numFmtId="49" fontId="1" fillId="0" borderId="98" xfId="0" applyNumberFormat="1" applyFont="1" applyBorder="1" applyAlignment="1">
      <alignment horizontal="center" vertical="top"/>
    </xf>
    <xf numFmtId="14" fontId="1" fillId="0" borderId="99" xfId="0" applyNumberFormat="1" applyFont="1" applyBorder="1" applyAlignment="1">
      <alignment horizontal="center" vertical="top"/>
    </xf>
    <xf numFmtId="0" fontId="0" fillId="0" borderId="251" xfId="0" applyBorder="1"/>
    <xf numFmtId="0" fontId="0" fillId="0" borderId="252" xfId="0" applyBorder="1"/>
    <xf numFmtId="170" fontId="0" fillId="0" borderId="91" xfId="0" applyNumberFormat="1" applyBorder="1"/>
    <xf numFmtId="0" fontId="1" fillId="0" borderId="252" xfId="0" applyFont="1" applyBorder="1"/>
    <xf numFmtId="0" fontId="0" fillId="0" borderId="252" xfId="0" applyBorder="1" applyAlignment="1">
      <alignment horizontal="center"/>
    </xf>
    <xf numFmtId="0" fontId="1" fillId="0" borderId="252" xfId="0" applyFont="1" applyBorder="1" applyAlignment="1">
      <alignment horizontal="center"/>
    </xf>
    <xf numFmtId="20" fontId="0" fillId="0" borderId="1" xfId="0" applyNumberFormat="1" applyBorder="1"/>
    <xf numFmtId="0" fontId="0" fillId="0" borderId="92" xfId="0" applyBorder="1"/>
    <xf numFmtId="0" fontId="0" fillId="0" borderId="91" xfId="0" applyBorder="1"/>
    <xf numFmtId="168" fontId="0" fillId="0" borderId="91" xfId="0" applyNumberFormat="1" applyBorder="1"/>
    <xf numFmtId="0" fontId="0" fillId="0" borderId="91" xfId="0" applyBorder="1" applyAlignment="1">
      <alignment horizontal="center"/>
    </xf>
    <xf numFmtId="0" fontId="0" fillId="0" borderId="91" xfId="0" applyBorder="1" applyAlignment="1">
      <alignment horizontal="right"/>
    </xf>
    <xf numFmtId="18" fontId="0" fillId="0" borderId="91" xfId="0" applyNumberFormat="1" applyBorder="1"/>
    <xf numFmtId="20" fontId="0" fillId="0" borderId="91" xfId="0" applyNumberFormat="1" applyBorder="1"/>
    <xf numFmtId="169" fontId="0" fillId="0" borderId="91" xfId="0" applyNumberFormat="1" applyBorder="1" applyAlignment="1">
      <alignment horizontal="center"/>
    </xf>
    <xf numFmtId="0" fontId="0" fillId="0" borderId="20" xfId="0" applyBorder="1"/>
    <xf numFmtId="0" fontId="0" fillId="0" borderId="1" xfId="0" applyBorder="1" applyProtection="1">
      <protection locked="0"/>
    </xf>
    <xf numFmtId="168" fontId="0" fillId="0" borderId="1" xfId="0" applyNumberFormat="1"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right"/>
      <protection locked="0"/>
    </xf>
    <xf numFmtId="18" fontId="0" fillId="0" borderId="1" xfId="0" applyNumberFormat="1" applyBorder="1" applyProtection="1">
      <protection locked="0"/>
    </xf>
    <xf numFmtId="20" fontId="0" fillId="0" borderId="1" xfId="0" applyNumberFormat="1" applyBorder="1" applyAlignment="1">
      <alignment horizontal="center"/>
    </xf>
    <xf numFmtId="168" fontId="0" fillId="0" borderId="1" xfId="0" applyNumberFormat="1" applyBorder="1" applyAlignment="1">
      <alignment horizontal="left"/>
    </xf>
    <xf numFmtId="0" fontId="1" fillId="0" borderId="1" xfId="0" applyFont="1" applyBorder="1" applyAlignment="1">
      <alignment horizontal="center"/>
    </xf>
    <xf numFmtId="0" fontId="1" fillId="0" borderId="1" xfId="0" applyFont="1" applyBorder="1" applyAlignment="1">
      <alignment horizontal="right"/>
    </xf>
    <xf numFmtId="20" fontId="1" fillId="0" borderId="1" xfId="0" applyNumberFormat="1" applyFont="1" applyBorder="1"/>
    <xf numFmtId="169" fontId="1" fillId="0" borderId="1" xfId="0" applyNumberFormat="1" applyFont="1" applyBorder="1" applyAlignment="1">
      <alignment horizontal="center"/>
    </xf>
    <xf numFmtId="168" fontId="0" fillId="0" borderId="1" xfId="0" applyNumberFormat="1" applyBorder="1" applyAlignment="1">
      <alignment horizontal="right"/>
    </xf>
    <xf numFmtId="0" fontId="0" fillId="0" borderId="94" xfId="0" applyBorder="1" applyAlignment="1">
      <alignment horizontal="center"/>
    </xf>
    <xf numFmtId="20" fontId="0" fillId="0" borderId="94" xfId="0" applyNumberFormat="1" applyBorder="1"/>
    <xf numFmtId="169" fontId="0" fillId="0" borderId="94" xfId="0" applyNumberFormat="1" applyBorder="1" applyAlignment="1">
      <alignment horizontal="center"/>
    </xf>
    <xf numFmtId="18" fontId="0" fillId="29" borderId="1" xfId="0" applyNumberFormat="1" applyFill="1" applyBorder="1"/>
    <xf numFmtId="20" fontId="0" fillId="29" borderId="1" xfId="0" applyNumberFormat="1" applyFill="1" applyBorder="1"/>
    <xf numFmtId="169" fontId="0" fillId="29" borderId="1" xfId="0" applyNumberFormat="1" applyFill="1" applyBorder="1" applyAlignment="1">
      <alignment horizontal="center"/>
    </xf>
    <xf numFmtId="168" fontId="0" fillId="3" borderId="1" xfId="0" applyNumberFormat="1" applyFill="1" applyBorder="1"/>
    <xf numFmtId="18" fontId="0" fillId="11" borderId="87" xfId="0" applyNumberFormat="1" applyFill="1" applyBorder="1" applyAlignment="1">
      <alignment vertical="top"/>
    </xf>
    <xf numFmtId="0" fontId="0" fillId="0" borderId="372" xfId="0" applyBorder="1"/>
    <xf numFmtId="0" fontId="0" fillId="0" borderId="373" xfId="0" applyBorder="1"/>
    <xf numFmtId="0" fontId="3" fillId="0" borderId="371" xfId="0" applyFont="1" applyBorder="1" applyAlignment="1">
      <alignment horizontal="center"/>
    </xf>
    <xf numFmtId="0" fontId="3" fillId="0" borderId="371" xfId="0" applyFont="1" applyBorder="1" applyAlignment="1">
      <alignment horizontal="center" wrapText="1"/>
    </xf>
    <xf numFmtId="0" fontId="14" fillId="13" borderId="22" xfId="0" applyFont="1" applyFill="1" applyBorder="1" applyAlignment="1">
      <alignment horizontal="left" vertical="top" wrapText="1" indent="1"/>
    </xf>
    <xf numFmtId="18" fontId="1" fillId="3" borderId="1" xfId="0" applyNumberFormat="1" applyFont="1" applyFill="1" applyBorder="1"/>
    <xf numFmtId="0" fontId="14" fillId="3" borderId="24" xfId="0" applyFont="1" applyFill="1" applyBorder="1" applyAlignment="1">
      <alignment horizontal="left" vertical="top" wrapText="1" indent="1"/>
    </xf>
    <xf numFmtId="0" fontId="1" fillId="3" borderId="21" xfId="0" applyFont="1" applyFill="1" applyBorder="1"/>
    <xf numFmtId="169" fontId="1" fillId="3" borderId="1" xfId="0" applyNumberFormat="1" applyFont="1" applyFill="1" applyBorder="1" applyAlignment="1">
      <alignment horizontal="center"/>
    </xf>
    <xf numFmtId="18" fontId="1" fillId="0" borderId="0" xfId="0" applyNumberFormat="1" applyFont="1"/>
    <xf numFmtId="166" fontId="1" fillId="3" borderId="0" xfId="0" applyNumberFormat="1" applyFont="1" applyFill="1"/>
    <xf numFmtId="2" fontId="1" fillId="0" borderId="0" xfId="0" applyNumberFormat="1" applyFont="1" applyAlignment="1">
      <alignment horizontal="center"/>
    </xf>
    <xf numFmtId="168" fontId="1" fillId="0" borderId="1" xfId="0" applyNumberFormat="1" applyFont="1" applyBorder="1"/>
    <xf numFmtId="0" fontId="1" fillId="0" borderId="21" xfId="0" applyFont="1" applyBorder="1" applyAlignment="1">
      <alignment horizontal="center"/>
    </xf>
    <xf numFmtId="0" fontId="1" fillId="0" borderId="21" xfId="0" applyFont="1" applyBorder="1"/>
    <xf numFmtId="18" fontId="1" fillId="0" borderId="1" xfId="0" applyNumberFormat="1" applyFont="1" applyBorder="1"/>
    <xf numFmtId="0" fontId="0" fillId="0" borderId="21" xfId="0" applyBorder="1"/>
    <xf numFmtId="0" fontId="14" fillId="0" borderId="24" xfId="0" applyFont="1" applyBorder="1" applyAlignment="1">
      <alignment horizontal="left" vertical="top" wrapText="1" indent="1"/>
    </xf>
    <xf numFmtId="18" fontId="0" fillId="0" borderId="21" xfId="0" applyNumberFormat="1" applyBorder="1"/>
    <xf numFmtId="0" fontId="51" fillId="32" borderId="0" xfId="0" applyFont="1" applyFill="1"/>
    <xf numFmtId="0" fontId="43" fillId="32" borderId="0" xfId="0" applyFont="1" applyFill="1"/>
    <xf numFmtId="2" fontId="0" fillId="29" borderId="0" xfId="0" applyNumberFormat="1" applyFill="1"/>
    <xf numFmtId="2" fontId="1" fillId="3" borderId="0" xfId="0" applyNumberFormat="1" applyFont="1" applyFill="1"/>
    <xf numFmtId="170" fontId="0" fillId="3" borderId="1" xfId="0" applyNumberFormat="1" applyFill="1" applyBorder="1"/>
    <xf numFmtId="0" fontId="1" fillId="0" borderId="208" xfId="0" applyFont="1" applyBorder="1" applyAlignment="1">
      <alignment horizontal="left" indent="1"/>
    </xf>
    <xf numFmtId="173" fontId="0" fillId="11" borderId="0" xfId="0" applyNumberFormat="1" applyFill="1"/>
    <xf numFmtId="0" fontId="1" fillId="11" borderId="0" xfId="0" applyFont="1" applyFill="1" applyAlignment="1">
      <alignment horizontal="center"/>
    </xf>
    <xf numFmtId="0" fontId="14" fillId="13" borderId="24" xfId="0" applyFont="1" applyFill="1" applyBorder="1" applyAlignment="1">
      <alignment horizontal="left" vertical="top" wrapText="1" indent="1"/>
    </xf>
    <xf numFmtId="174" fontId="0" fillId="0" borderId="1" xfId="0" applyNumberFormat="1" applyBorder="1" applyAlignment="1">
      <alignment horizontal="right"/>
    </xf>
    <xf numFmtId="174" fontId="1" fillId="0" borderId="1" xfId="0" applyNumberFormat="1" applyFont="1" applyBorder="1" applyAlignment="1">
      <alignment horizontal="right"/>
    </xf>
    <xf numFmtId="174" fontId="1" fillId="0" borderId="0" xfId="0" applyNumberFormat="1" applyFont="1"/>
    <xf numFmtId="0" fontId="1" fillId="0" borderId="4" xfId="0" applyFont="1" applyBorder="1" applyAlignment="1">
      <alignment horizontal="right" indent="3"/>
    </xf>
    <xf numFmtId="1" fontId="22" fillId="14" borderId="377" xfId="0" applyNumberFormat="1" applyFont="1" applyFill="1" applyBorder="1" applyAlignment="1">
      <alignment horizontal="center" vertical="center"/>
    </xf>
    <xf numFmtId="164" fontId="6" fillId="0" borderId="145" xfId="0" applyNumberFormat="1" applyFont="1" applyBorder="1"/>
    <xf numFmtId="1" fontId="22" fillId="17" borderId="386" xfId="0" applyNumberFormat="1" applyFont="1" applyFill="1" applyBorder="1" applyAlignment="1">
      <alignment horizontal="center" vertical="center"/>
    </xf>
    <xf numFmtId="1" fontId="22" fillId="16" borderId="387" xfId="0" applyNumberFormat="1" applyFont="1" applyFill="1" applyBorder="1" applyAlignment="1">
      <alignment horizontal="center" vertical="center"/>
    </xf>
    <xf numFmtId="1" fontId="22" fillId="18" borderId="388" xfId="0" applyNumberFormat="1" applyFont="1" applyFill="1" applyBorder="1" applyAlignment="1">
      <alignment horizontal="center" vertical="center"/>
    </xf>
    <xf numFmtId="172" fontId="3" fillId="11" borderId="0" xfId="0" applyNumberFormat="1" applyFont="1" applyFill="1"/>
    <xf numFmtId="0" fontId="0" fillId="0" borderId="23" xfId="0" applyBorder="1"/>
    <xf numFmtId="164" fontId="6" fillId="11" borderId="82" xfId="0" applyNumberFormat="1" applyFont="1" applyFill="1" applyBorder="1" applyAlignment="1">
      <alignment horizontal="center"/>
    </xf>
    <xf numFmtId="0" fontId="3" fillId="17" borderId="82" xfId="0" applyFont="1" applyFill="1" applyBorder="1" applyAlignment="1">
      <alignment horizontal="center"/>
    </xf>
    <xf numFmtId="0" fontId="0" fillId="0" borderId="184" xfId="0" applyBorder="1"/>
    <xf numFmtId="0" fontId="21" fillId="18" borderId="391" xfId="0" applyFont="1" applyFill="1" applyBorder="1" applyAlignment="1">
      <alignment horizontal="center"/>
    </xf>
    <xf numFmtId="1" fontId="22" fillId="16" borderId="392" xfId="0" applyNumberFormat="1" applyFont="1" applyFill="1" applyBorder="1" applyAlignment="1">
      <alignment horizontal="center" vertical="center"/>
    </xf>
    <xf numFmtId="174" fontId="1" fillId="0" borderId="1" xfId="0" applyNumberFormat="1" applyFont="1" applyBorder="1" applyAlignment="1">
      <alignment horizontal="left" vertical="top"/>
    </xf>
    <xf numFmtId="174" fontId="1" fillId="0" borderId="87" xfId="0" applyNumberFormat="1" applyFont="1" applyBorder="1" applyAlignment="1">
      <alignment horizontal="right"/>
    </xf>
    <xf numFmtId="174" fontId="1" fillId="0" borderId="395" xfId="0" applyNumberFormat="1" applyFont="1" applyBorder="1" applyAlignment="1">
      <alignment horizontal="right"/>
    </xf>
    <xf numFmtId="168" fontId="0" fillId="11" borderId="1" xfId="0" applyNumberFormat="1" applyFill="1" applyBorder="1"/>
    <xf numFmtId="174" fontId="1" fillId="0" borderId="0" xfId="0" applyNumberFormat="1" applyFont="1" applyAlignment="1">
      <alignment horizontal="center"/>
    </xf>
    <xf numFmtId="0" fontId="1" fillId="9" borderId="396" xfId="0" applyFont="1" applyFill="1" applyBorder="1" applyAlignment="1">
      <alignment vertical="top" wrapText="1"/>
    </xf>
    <xf numFmtId="0" fontId="0" fillId="9" borderId="0" xfId="0" applyFill="1" applyAlignment="1">
      <alignment vertical="top" wrapText="1"/>
    </xf>
    <xf numFmtId="0" fontId="0" fillId="9" borderId="398" xfId="0" applyFill="1" applyBorder="1" applyAlignment="1">
      <alignment vertical="top" wrapText="1"/>
    </xf>
    <xf numFmtId="0" fontId="0" fillId="0" borderId="400" xfId="0" applyBorder="1"/>
    <xf numFmtId="0" fontId="0" fillId="0" borderId="401" xfId="0" applyBorder="1"/>
    <xf numFmtId="0" fontId="0" fillId="0" borderId="399" xfId="0" applyBorder="1"/>
    <xf numFmtId="0" fontId="0" fillId="0" borderId="402" xfId="0" applyBorder="1"/>
    <xf numFmtId="0" fontId="1" fillId="0" borderId="402" xfId="0" applyFont="1" applyBorder="1"/>
    <xf numFmtId="2" fontId="0" fillId="0" borderId="400" xfId="0" applyNumberFormat="1" applyBorder="1"/>
    <xf numFmtId="0" fontId="0" fillId="0" borderId="405" xfId="0" applyBorder="1"/>
    <xf numFmtId="0" fontId="1" fillId="0" borderId="405" xfId="0" applyFont="1" applyBorder="1"/>
    <xf numFmtId="0" fontId="1" fillId="0" borderId="406" xfId="0" applyFont="1" applyBorder="1"/>
    <xf numFmtId="0" fontId="1" fillId="0" borderId="403" xfId="0" applyFont="1" applyBorder="1"/>
    <xf numFmtId="0" fontId="1" fillId="0" borderId="0" xfId="0" applyFont="1" applyAlignment="1">
      <alignment vertical="center"/>
    </xf>
    <xf numFmtId="0" fontId="0" fillId="0" borderId="407" xfId="0" applyBorder="1"/>
    <xf numFmtId="0" fontId="0" fillId="11" borderId="407" xfId="0" applyFill="1" applyBorder="1"/>
    <xf numFmtId="0" fontId="1" fillId="11" borderId="365" xfId="0" applyFont="1" applyFill="1" applyBorder="1" applyAlignment="1">
      <alignment horizontal="right"/>
    </xf>
    <xf numFmtId="2" fontId="0" fillId="0" borderId="408" xfId="0" applyNumberFormat="1" applyBorder="1"/>
    <xf numFmtId="174" fontId="0" fillId="0" borderId="91" xfId="0" applyNumberFormat="1" applyBorder="1" applyAlignment="1">
      <alignment horizontal="right"/>
    </xf>
    <xf numFmtId="174" fontId="0" fillId="0" borderId="94" xfId="0" applyNumberFormat="1" applyBorder="1" applyAlignment="1">
      <alignment horizontal="right"/>
    </xf>
    <xf numFmtId="174" fontId="0" fillId="29" borderId="1" xfId="0" applyNumberFormat="1" applyFill="1" applyBorder="1" applyAlignment="1">
      <alignment horizontal="right"/>
    </xf>
    <xf numFmtId="0" fontId="1" fillId="34" borderId="410" xfId="0" applyFont="1" applyFill="1" applyBorder="1" applyAlignment="1">
      <alignment horizontal="center" vertical="center"/>
    </xf>
    <xf numFmtId="0" fontId="1" fillId="34" borderId="411" xfId="0" applyFont="1" applyFill="1" applyBorder="1" applyAlignment="1">
      <alignment horizontal="center" vertical="center" wrapText="1"/>
    </xf>
    <xf numFmtId="0" fontId="46" fillId="35" borderId="82" xfId="0" applyFont="1" applyFill="1" applyBorder="1" applyAlignment="1">
      <alignment horizontal="center" vertical="center"/>
    </xf>
    <xf numFmtId="0" fontId="3" fillId="36" borderId="82" xfId="0" applyFont="1" applyFill="1" applyBorder="1" applyAlignment="1">
      <alignment horizontal="center" vertical="center"/>
    </xf>
    <xf numFmtId="0" fontId="18" fillId="16" borderId="393" xfId="0" applyFont="1" applyFill="1" applyBorder="1" applyAlignment="1">
      <alignment horizontal="center"/>
    </xf>
    <xf numFmtId="0" fontId="22" fillId="36" borderId="412" xfId="0" applyFont="1" applyFill="1" applyBorder="1" applyAlignment="1">
      <alignment horizontal="center" vertical="center"/>
    </xf>
    <xf numFmtId="0" fontId="47" fillId="35" borderId="413" xfId="0" applyFont="1" applyFill="1" applyBorder="1" applyAlignment="1">
      <alignment horizontal="center" vertical="center"/>
    </xf>
    <xf numFmtId="0" fontId="56" fillId="35" borderId="415" xfId="0" applyFont="1" applyFill="1" applyBorder="1" applyAlignment="1">
      <alignment horizontal="center" vertical="center"/>
    </xf>
    <xf numFmtId="0" fontId="18" fillId="36" borderId="414" xfId="0" applyFont="1" applyFill="1" applyBorder="1" applyAlignment="1">
      <alignment horizontal="center" vertical="center"/>
    </xf>
    <xf numFmtId="174" fontId="0" fillId="3" borderId="170" xfId="0" applyNumberFormat="1" applyFill="1" applyBorder="1" applyAlignment="1">
      <alignment horizontal="right" vertical="top"/>
    </xf>
    <xf numFmtId="174" fontId="0" fillId="0" borderId="170" xfId="0" applyNumberFormat="1" applyBorder="1" applyAlignment="1">
      <alignment horizontal="right" vertical="top"/>
    </xf>
    <xf numFmtId="174" fontId="0" fillId="3" borderId="59" xfId="0" applyNumberFormat="1" applyFill="1" applyBorder="1" applyAlignment="1">
      <alignment horizontal="right" vertical="top"/>
    </xf>
    <xf numFmtId="174" fontId="0" fillId="0" borderId="59" xfId="0" applyNumberFormat="1" applyBorder="1" applyAlignment="1">
      <alignment horizontal="right" vertical="top"/>
    </xf>
    <xf numFmtId="174" fontId="0" fillId="0" borderId="103" xfId="0" applyNumberFormat="1" applyBorder="1" applyAlignment="1">
      <alignment horizontal="right" vertical="top"/>
    </xf>
    <xf numFmtId="174" fontId="0" fillId="0" borderId="22" xfId="0" applyNumberFormat="1" applyBorder="1" applyAlignment="1">
      <alignment horizontal="right" vertical="top"/>
    </xf>
    <xf numFmtId="174" fontId="0" fillId="3" borderId="22" xfId="0" applyNumberFormat="1" applyFill="1" applyBorder="1" applyAlignment="1">
      <alignment horizontal="right" vertical="top"/>
    </xf>
    <xf numFmtId="174" fontId="0" fillId="0" borderId="302" xfId="0" applyNumberFormat="1" applyBorder="1" applyAlignment="1">
      <alignment horizontal="right" vertical="top"/>
    </xf>
    <xf numFmtId="174" fontId="0" fillId="0" borderId="104" xfId="0" applyNumberFormat="1" applyBorder="1" applyAlignment="1">
      <alignment horizontal="right" vertical="top"/>
    </xf>
    <xf numFmtId="174" fontId="0" fillId="0" borderId="63" xfId="0" applyNumberFormat="1" applyBorder="1"/>
    <xf numFmtId="174" fontId="0" fillId="3" borderId="63" xfId="0" applyNumberFormat="1" applyFill="1" applyBorder="1"/>
    <xf numFmtId="174" fontId="0" fillId="0" borderId="300" xfId="0" applyNumberFormat="1" applyBorder="1" applyAlignment="1">
      <alignment horizontal="right" vertical="top"/>
    </xf>
    <xf numFmtId="174" fontId="1" fillId="0" borderId="394" xfId="0" applyNumberFormat="1" applyFont="1" applyBorder="1" applyAlignment="1">
      <alignment horizontal="right"/>
    </xf>
    <xf numFmtId="167" fontId="0" fillId="0" borderId="0" xfId="0" applyNumberFormat="1" applyAlignment="1">
      <alignment horizontal="center" vertical="top"/>
    </xf>
    <xf numFmtId="9" fontId="1" fillId="0" borderId="0" xfId="0" applyNumberFormat="1" applyFont="1" applyAlignment="1">
      <alignment horizontal="center"/>
    </xf>
    <xf numFmtId="10" fontId="1" fillId="0" borderId="0" xfId="0" applyNumberFormat="1" applyFont="1" applyAlignment="1">
      <alignment horizontal="center"/>
    </xf>
    <xf numFmtId="0" fontId="0" fillId="0" borderId="420" xfId="0" applyBorder="1"/>
    <xf numFmtId="0" fontId="3" fillId="0" borderId="423" xfId="0" applyFont="1" applyBorder="1" applyAlignment="1">
      <alignment horizontal="center"/>
    </xf>
    <xf numFmtId="0" fontId="0" fillId="0" borderId="423" xfId="0" applyBorder="1"/>
    <xf numFmtId="0" fontId="0" fillId="0" borderId="424" xfId="0" applyBorder="1"/>
    <xf numFmtId="0" fontId="0" fillId="11" borderId="424" xfId="0" applyFill="1" applyBorder="1"/>
    <xf numFmtId="0" fontId="0" fillId="0" borderId="425" xfId="0" applyBorder="1"/>
    <xf numFmtId="0" fontId="0" fillId="11" borderId="426" xfId="0" applyFill="1" applyBorder="1"/>
    <xf numFmtId="0" fontId="0" fillId="11" borderId="427" xfId="0" applyFill="1" applyBorder="1"/>
    <xf numFmtId="0" fontId="0" fillId="0" borderId="421" xfId="0" applyBorder="1"/>
    <xf numFmtId="0" fontId="0" fillId="0" borderId="422" xfId="0" applyBorder="1"/>
    <xf numFmtId="0" fontId="1" fillId="0" borderId="424" xfId="0" applyFont="1" applyBorder="1"/>
    <xf numFmtId="0" fontId="0" fillId="0" borderId="426" xfId="0" applyBorder="1"/>
    <xf numFmtId="0" fontId="3" fillId="2" borderId="9" xfId="0" applyFont="1" applyFill="1" applyBorder="1" applyAlignment="1">
      <alignment horizontal="center"/>
    </xf>
    <xf numFmtId="0" fontId="3" fillId="2" borderId="11" xfId="0" applyFont="1" applyFill="1" applyBorder="1" applyAlignment="1">
      <alignment horizontal="center"/>
    </xf>
    <xf numFmtId="0" fontId="1" fillId="11" borderId="21" xfId="0" applyFont="1" applyFill="1" applyBorder="1"/>
    <xf numFmtId="0" fontId="57" fillId="0" borderId="428" xfId="0" applyFont="1" applyBorder="1" applyAlignment="1">
      <alignment horizontal="center" vertical="center" wrapText="1"/>
    </xf>
    <xf numFmtId="0" fontId="58" fillId="0" borderId="428" xfId="0" applyFont="1" applyBorder="1" applyAlignment="1">
      <alignment horizontal="center" vertical="center" wrapText="1"/>
    </xf>
    <xf numFmtId="0" fontId="59" fillId="0" borderId="428" xfId="0" applyFont="1" applyBorder="1" applyAlignment="1">
      <alignment horizontal="center" vertical="center" wrapText="1"/>
    </xf>
    <xf numFmtId="0" fontId="60" fillId="0" borderId="428" xfId="0" applyFont="1" applyBorder="1" applyAlignment="1">
      <alignment horizontal="center" vertical="center" wrapText="1"/>
    </xf>
    <xf numFmtId="1" fontId="3" fillId="0" borderId="0" xfId="0" applyNumberFormat="1" applyFont="1" applyAlignment="1">
      <alignment horizontal="center" wrapText="1"/>
    </xf>
    <xf numFmtId="1" fontId="1" fillId="0" borderId="0" xfId="0" applyNumberFormat="1" applyFont="1" applyAlignment="1">
      <alignment vertical="top" wrapText="1"/>
    </xf>
    <xf numFmtId="0" fontId="1" fillId="29" borderId="0" xfId="0" applyFont="1" applyFill="1"/>
    <xf numFmtId="1" fontId="1" fillId="0" borderId="356" xfId="0" applyNumberFormat="1" applyFont="1" applyBorder="1" applyAlignment="1">
      <alignment horizontal="center"/>
    </xf>
    <xf numFmtId="0" fontId="1" fillId="0" borderId="430" xfId="0" applyFont="1" applyBorder="1" applyAlignment="1">
      <alignment horizontal="right"/>
    </xf>
    <xf numFmtId="0" fontId="0" fillId="0" borderId="432" xfId="0" applyBorder="1"/>
    <xf numFmtId="0" fontId="1" fillId="0" borderId="433" xfId="0" applyFont="1" applyBorder="1" applyAlignment="1">
      <alignment horizontal="right"/>
    </xf>
    <xf numFmtId="0" fontId="0" fillId="0" borderId="434" xfId="0" applyBorder="1"/>
    <xf numFmtId="0" fontId="0" fillId="0" borderId="435" xfId="0" applyBorder="1"/>
    <xf numFmtId="0" fontId="0" fillId="0" borderId="436" xfId="0" applyBorder="1"/>
    <xf numFmtId="0" fontId="61" fillId="0" borderId="428" xfId="0" applyFont="1" applyBorder="1" applyAlignment="1">
      <alignment horizontal="center" vertical="center" wrapText="1"/>
    </xf>
    <xf numFmtId="0" fontId="35" fillId="0" borderId="0" xfId="0" applyFont="1"/>
    <xf numFmtId="0" fontId="35" fillId="0" borderId="429" xfId="0" applyFont="1" applyBorder="1" applyAlignment="1">
      <alignment horizontal="center"/>
    </xf>
    <xf numFmtId="1" fontId="0" fillId="0" borderId="431" xfId="0" applyNumberFormat="1" applyBorder="1"/>
    <xf numFmtId="0" fontId="62" fillId="0" borderId="207" xfId="0" applyFont="1" applyBorder="1" applyAlignment="1">
      <alignment horizontal="left" indent="1"/>
    </xf>
    <xf numFmtId="0" fontId="62" fillId="0" borderId="209" xfId="0" applyFont="1" applyBorder="1" applyAlignment="1">
      <alignment horizontal="left" indent="1"/>
    </xf>
    <xf numFmtId="0" fontId="62" fillId="0" borderId="205" xfId="0" applyFont="1" applyBorder="1"/>
    <xf numFmtId="0" fontId="62" fillId="0" borderId="194" xfId="0" applyFont="1" applyBorder="1"/>
    <xf numFmtId="0" fontId="62" fillId="0" borderId="0" xfId="0" applyFont="1"/>
    <xf numFmtId="168" fontId="0" fillId="3" borderId="1" xfId="0" applyNumberFormat="1" applyFill="1" applyBorder="1" applyAlignment="1">
      <alignment horizontal="center"/>
    </xf>
    <xf numFmtId="0" fontId="22" fillId="33" borderId="382" xfId="0" applyFont="1" applyFill="1" applyBorder="1" applyAlignment="1">
      <alignment horizontal="center"/>
    </xf>
    <xf numFmtId="0" fontId="18" fillId="33" borderId="384" xfId="0" applyFont="1" applyFill="1" applyBorder="1" applyAlignment="1">
      <alignment horizontal="center"/>
    </xf>
    <xf numFmtId="168" fontId="0" fillId="0" borderId="1" xfId="0" applyNumberFormat="1" applyBorder="1" applyAlignment="1">
      <alignment horizontal="center"/>
    </xf>
    <xf numFmtId="168" fontId="1" fillId="0" borderId="1" xfId="0" applyNumberFormat="1" applyFont="1" applyBorder="1" applyAlignment="1">
      <alignment horizontal="center"/>
    </xf>
    <xf numFmtId="0" fontId="1" fillId="11" borderId="21" xfId="0" applyFont="1" applyFill="1" applyBorder="1" applyAlignment="1">
      <alignment horizontal="center"/>
    </xf>
    <xf numFmtId="0" fontId="0" fillId="11" borderId="21" xfId="0" applyFill="1" applyBorder="1"/>
    <xf numFmtId="0" fontId="0" fillId="11" borderId="21" xfId="0" applyFill="1" applyBorder="1" applyAlignment="1">
      <alignment horizontal="center"/>
    </xf>
    <xf numFmtId="0" fontId="22" fillId="33" borderId="442" xfId="0" applyFont="1" applyFill="1" applyBorder="1" applyAlignment="1">
      <alignment horizontal="center"/>
    </xf>
    <xf numFmtId="0" fontId="18" fillId="33" borderId="443" xfId="0" applyFont="1" applyFill="1" applyBorder="1" applyAlignment="1">
      <alignment horizontal="center"/>
    </xf>
    <xf numFmtId="0" fontId="22" fillId="33" borderId="444" xfId="0" applyFont="1" applyFill="1" applyBorder="1" applyAlignment="1">
      <alignment horizontal="center"/>
    </xf>
    <xf numFmtId="0" fontId="18" fillId="33" borderId="445" xfId="0" applyFont="1" applyFill="1" applyBorder="1" applyAlignment="1">
      <alignment horizontal="center"/>
    </xf>
    <xf numFmtId="0" fontId="21" fillId="14" borderId="446" xfId="0" applyFont="1" applyFill="1" applyBorder="1" applyAlignment="1">
      <alignment horizontal="center"/>
    </xf>
    <xf numFmtId="0" fontId="3" fillId="0" borderId="424" xfId="0" applyFont="1" applyBorder="1" applyAlignment="1">
      <alignment horizontal="left"/>
    </xf>
    <xf numFmtId="0" fontId="1" fillId="0" borderId="434" xfId="0" applyFont="1" applyBorder="1"/>
    <xf numFmtId="0" fontId="57" fillId="0" borderId="448" xfId="0" applyFont="1" applyBorder="1" applyAlignment="1">
      <alignment horizontal="center" vertical="center" wrapText="1"/>
    </xf>
    <xf numFmtId="0" fontId="58" fillId="0" borderId="449" xfId="0" applyFont="1" applyBorder="1" applyAlignment="1">
      <alignment horizontal="center" vertical="center" wrapText="1"/>
    </xf>
    <xf numFmtId="0" fontId="59" fillId="0" borderId="449" xfId="0" applyFont="1" applyBorder="1" applyAlignment="1">
      <alignment horizontal="center" vertical="center" wrapText="1"/>
    </xf>
    <xf numFmtId="0" fontId="60" fillId="0" borderId="449" xfId="0" applyFont="1" applyBorder="1" applyAlignment="1">
      <alignment horizontal="center" vertical="center" wrapText="1"/>
    </xf>
    <xf numFmtId="0" fontId="60" fillId="0" borderId="447" xfId="0" applyFont="1" applyBorder="1" applyAlignment="1">
      <alignment horizontal="center" vertical="center" wrapText="1"/>
    </xf>
    <xf numFmtId="0" fontId="59" fillId="0" borderId="447" xfId="0" applyFont="1" applyBorder="1" applyAlignment="1">
      <alignment horizontal="center" vertical="center" wrapText="1"/>
    </xf>
    <xf numFmtId="0" fontId="0" fillId="0" borderId="447" xfId="0" applyBorder="1"/>
    <xf numFmtId="167" fontId="0" fillId="11" borderId="59" xfId="0" applyNumberFormat="1" applyFill="1" applyBorder="1" applyAlignment="1">
      <alignment horizontal="right" vertical="top"/>
    </xf>
    <xf numFmtId="0" fontId="0" fillId="0" borderId="21" xfId="0" applyBorder="1" applyAlignment="1">
      <alignment horizontal="center"/>
    </xf>
    <xf numFmtId="0" fontId="1" fillId="27" borderId="21" xfId="0" applyFont="1" applyFill="1" applyBorder="1" applyAlignment="1">
      <alignment horizontal="center"/>
    </xf>
    <xf numFmtId="168" fontId="1" fillId="27" borderId="1" xfId="0" applyNumberFormat="1" applyFont="1" applyFill="1" applyBorder="1" applyAlignment="1">
      <alignment horizontal="center"/>
    </xf>
    <xf numFmtId="14" fontId="1" fillId="0" borderId="447" xfId="0" applyNumberFormat="1" applyFont="1" applyBorder="1" applyAlignment="1">
      <alignment horizontal="center"/>
    </xf>
    <xf numFmtId="0" fontId="9" fillId="0" borderId="0" xfId="0" applyFont="1" applyAlignment="1">
      <alignment horizontal="left" vertical="top" wrapText="1"/>
    </xf>
    <xf numFmtId="0" fontId="0" fillId="0" borderId="454" xfId="0" applyBorder="1"/>
    <xf numFmtId="168" fontId="0" fillId="0" borderId="455" xfId="0" applyNumberFormat="1" applyBorder="1"/>
    <xf numFmtId="0" fontId="1" fillId="0" borderId="454" xfId="0" applyFont="1" applyBorder="1"/>
    <xf numFmtId="168" fontId="0" fillId="0" borderId="455" xfId="0" applyNumberFormat="1" applyBorder="1" applyAlignment="1">
      <alignment horizontal="center"/>
    </xf>
    <xf numFmtId="174" fontId="1" fillId="0" borderId="455" xfId="0" applyNumberFormat="1" applyFont="1" applyBorder="1" applyAlignment="1">
      <alignment horizontal="right"/>
    </xf>
    <xf numFmtId="0" fontId="14" fillId="0" borderId="456" xfId="0" applyFont="1" applyBorder="1" applyAlignment="1">
      <alignment horizontal="left" vertical="top" wrapText="1" indent="1"/>
    </xf>
    <xf numFmtId="0" fontId="0" fillId="0" borderId="455" xfId="0" applyBorder="1" applyAlignment="1">
      <alignment horizontal="center" vertical="top"/>
    </xf>
    <xf numFmtId="18" fontId="0" fillId="0" borderId="454" xfId="0" applyNumberFormat="1" applyBorder="1"/>
    <xf numFmtId="20" fontId="0" fillId="0" borderId="455" xfId="0" applyNumberFormat="1" applyBorder="1" applyAlignment="1">
      <alignment vertical="top"/>
    </xf>
    <xf numFmtId="18" fontId="0" fillId="0" borderId="457" xfId="0" applyNumberFormat="1" applyBorder="1" applyAlignment="1">
      <alignment vertical="top"/>
    </xf>
    <xf numFmtId="18" fontId="1" fillId="0" borderId="455" xfId="0" applyNumberFormat="1" applyFont="1" applyBorder="1"/>
    <xf numFmtId="168" fontId="1" fillId="0" borderId="455" xfId="0" applyNumberFormat="1" applyFont="1" applyBorder="1"/>
    <xf numFmtId="0" fontId="0" fillId="29" borderId="455" xfId="0" applyFill="1" applyBorder="1" applyAlignment="1">
      <alignment horizontal="center" vertical="top"/>
    </xf>
    <xf numFmtId="0" fontId="0" fillId="29" borderId="21" xfId="0" applyFill="1" applyBorder="1"/>
    <xf numFmtId="0" fontId="1" fillId="29" borderId="21" xfId="0" applyFont="1" applyFill="1" applyBorder="1"/>
    <xf numFmtId="0" fontId="1" fillId="29" borderId="21" xfId="0" applyFont="1" applyFill="1" applyBorder="1" applyAlignment="1">
      <alignment horizontal="center"/>
    </xf>
    <xf numFmtId="18" fontId="1" fillId="29" borderId="1" xfId="0" applyNumberFormat="1" applyFont="1" applyFill="1" applyBorder="1"/>
    <xf numFmtId="20" fontId="0" fillId="29" borderId="1" xfId="0" applyNumberFormat="1" applyFill="1" applyBorder="1" applyAlignment="1">
      <alignment vertical="top"/>
    </xf>
    <xf numFmtId="18" fontId="0" fillId="29" borderId="87" xfId="0" applyNumberFormat="1" applyFill="1" applyBorder="1" applyAlignment="1">
      <alignment vertical="top"/>
    </xf>
    <xf numFmtId="0" fontId="0" fillId="29" borderId="21" xfId="0" applyFill="1" applyBorder="1" applyAlignment="1">
      <alignment horizontal="center"/>
    </xf>
    <xf numFmtId="168" fontId="0" fillId="29" borderId="1" xfId="0" applyNumberFormat="1" applyFill="1" applyBorder="1" applyAlignment="1">
      <alignment horizontal="center"/>
    </xf>
    <xf numFmtId="174" fontId="1" fillId="29" borderId="1" xfId="0" applyNumberFormat="1" applyFont="1" applyFill="1" applyBorder="1" applyAlignment="1">
      <alignment horizontal="right"/>
    </xf>
    <xf numFmtId="0" fontId="1" fillId="29" borderId="1" xfId="0" applyFont="1" applyFill="1" applyBorder="1" applyAlignment="1">
      <alignment horizontal="center"/>
    </xf>
    <xf numFmtId="20" fontId="1" fillId="29" borderId="1" xfId="0" applyNumberFormat="1" applyFont="1" applyFill="1" applyBorder="1"/>
    <xf numFmtId="169" fontId="1" fillId="29" borderId="1" xfId="0" applyNumberFormat="1" applyFont="1" applyFill="1" applyBorder="1" applyAlignment="1">
      <alignment horizontal="center"/>
    </xf>
    <xf numFmtId="0" fontId="14" fillId="29" borderId="24" xfId="0" applyFont="1" applyFill="1" applyBorder="1" applyAlignment="1">
      <alignment horizontal="left" vertical="top" wrapText="1" indent="1"/>
    </xf>
    <xf numFmtId="166" fontId="1" fillId="29" borderId="0" xfId="0" applyNumberFormat="1" applyFont="1" applyFill="1"/>
    <xf numFmtId="2" fontId="1" fillId="29" borderId="0" xfId="0" applyNumberFormat="1" applyFont="1" applyFill="1"/>
    <xf numFmtId="0" fontId="47" fillId="15" borderId="82" xfId="0" applyFont="1" applyFill="1" applyBorder="1" applyAlignment="1">
      <alignment horizontal="center" vertical="center"/>
    </xf>
    <xf numFmtId="0" fontId="56" fillId="15" borderId="82" xfId="0" applyFont="1" applyFill="1" applyBorder="1" applyAlignment="1">
      <alignment horizontal="center" vertical="center"/>
    </xf>
    <xf numFmtId="0" fontId="1" fillId="29" borderId="0" xfId="0" applyFont="1" applyFill="1" applyAlignment="1">
      <alignment horizontal="center"/>
    </xf>
    <xf numFmtId="173" fontId="0" fillId="29" borderId="0" xfId="0" applyNumberFormat="1" applyFill="1"/>
    <xf numFmtId="0" fontId="0" fillId="29" borderId="0" xfId="0" applyFill="1" applyAlignment="1">
      <alignment horizontal="center"/>
    </xf>
    <xf numFmtId="0" fontId="0" fillId="29" borderId="424" xfId="0" applyFill="1" applyBorder="1"/>
    <xf numFmtId="1" fontId="0" fillId="0" borderId="458" xfId="0" applyNumberFormat="1" applyBorder="1" applyAlignment="1">
      <alignment horizontal="right"/>
    </xf>
    <xf numFmtId="1" fontId="1" fillId="11" borderId="460" xfId="0" applyNumberFormat="1" applyFont="1" applyFill="1" applyBorder="1" applyAlignment="1">
      <alignment horizontal="center"/>
    </xf>
    <xf numFmtId="1" fontId="0" fillId="0" borderId="459" xfId="0" applyNumberFormat="1" applyBorder="1" applyAlignment="1">
      <alignment horizontal="right"/>
    </xf>
    <xf numFmtId="1" fontId="0" fillId="0" borderId="461" xfId="0" applyNumberFormat="1" applyBorder="1" applyAlignment="1">
      <alignment horizontal="right"/>
    </xf>
    <xf numFmtId="1" fontId="1" fillId="0" borderId="463" xfId="0" applyNumberFormat="1" applyFont="1" applyBorder="1" applyAlignment="1">
      <alignment horizontal="center"/>
    </xf>
    <xf numFmtId="1" fontId="1" fillId="11" borderId="464" xfId="0" applyNumberFormat="1" applyFont="1" applyFill="1" applyBorder="1" applyAlignment="1">
      <alignment horizontal="center"/>
    </xf>
    <xf numFmtId="1" fontId="0" fillId="0" borderId="462" xfId="0" applyNumberFormat="1" applyBorder="1" applyAlignment="1">
      <alignment horizontal="right"/>
    </xf>
    <xf numFmtId="0" fontId="0" fillId="0" borderId="462" xfId="0" applyBorder="1"/>
    <xf numFmtId="0" fontId="1" fillId="11" borderId="465" xfId="0" applyFont="1" applyFill="1" applyBorder="1"/>
    <xf numFmtId="172" fontId="3" fillId="0" borderId="0" xfId="0" applyNumberFormat="1" applyFont="1" applyAlignment="1">
      <alignment horizontal="center"/>
    </xf>
    <xf numFmtId="1" fontId="3" fillId="0" borderId="6" xfId="0" applyNumberFormat="1" applyFont="1" applyBorder="1"/>
    <xf numFmtId="0" fontId="3" fillId="0" borderId="4" xfId="0" applyFont="1" applyBorder="1" applyAlignment="1">
      <alignment horizontal="right"/>
    </xf>
    <xf numFmtId="1" fontId="6" fillId="0" borderId="6" xfId="0" applyNumberFormat="1" applyFont="1" applyBorder="1"/>
    <xf numFmtId="0" fontId="3" fillId="0" borderId="466" xfId="0" applyFont="1" applyBorder="1" applyAlignment="1">
      <alignment horizontal="center" vertical="center"/>
    </xf>
    <xf numFmtId="0" fontId="3" fillId="0" borderId="407" xfId="0" applyFont="1" applyBorder="1" applyAlignment="1">
      <alignment horizontal="center" vertical="center"/>
    </xf>
    <xf numFmtId="0" fontId="13" fillId="2" borderId="470" xfId="0" applyFont="1" applyFill="1" applyBorder="1" applyAlignment="1">
      <alignment horizontal="center"/>
    </xf>
    <xf numFmtId="0" fontId="3" fillId="2" borderId="54" xfId="0" applyFont="1" applyFill="1" applyBorder="1" applyAlignment="1">
      <alignment horizontal="center"/>
    </xf>
    <xf numFmtId="2" fontId="3" fillId="2" borderId="54" xfId="0" applyNumberFormat="1" applyFont="1" applyFill="1" applyBorder="1" applyAlignment="1">
      <alignment horizontal="center" wrapText="1"/>
    </xf>
    <xf numFmtId="2" fontId="13" fillId="2" borderId="470" xfId="0" applyNumberFormat="1" applyFont="1" applyFill="1" applyBorder="1" applyAlignment="1">
      <alignment horizontal="center"/>
    </xf>
    <xf numFmtId="0" fontId="3" fillId="2" borderId="53" xfId="0" applyFont="1" applyFill="1" applyBorder="1" applyAlignment="1">
      <alignment horizontal="center"/>
    </xf>
    <xf numFmtId="0" fontId="0" fillId="0" borderId="471" xfId="0" applyBorder="1" applyAlignment="1">
      <alignment horizontal="center"/>
    </xf>
    <xf numFmtId="0" fontId="1" fillId="0" borderId="472" xfId="0" applyFont="1" applyBorder="1" applyAlignment="1">
      <alignment horizontal="center"/>
    </xf>
    <xf numFmtId="175" fontId="0" fillId="0" borderId="471" xfId="0" applyNumberFormat="1" applyBorder="1" applyAlignment="1">
      <alignment horizontal="center"/>
    </xf>
    <xf numFmtId="175" fontId="0" fillId="0" borderId="161" xfId="0" applyNumberFormat="1" applyBorder="1" applyAlignment="1">
      <alignment horizontal="center"/>
    </xf>
    <xf numFmtId="175" fontId="1" fillId="0" borderId="472" xfId="0" applyNumberFormat="1" applyFont="1" applyBorder="1" applyAlignment="1">
      <alignment horizontal="center"/>
    </xf>
    <xf numFmtId="175" fontId="1" fillId="29" borderId="472" xfId="0" applyNumberFormat="1" applyFont="1" applyFill="1" applyBorder="1" applyAlignment="1">
      <alignment horizontal="center"/>
    </xf>
    <xf numFmtId="0" fontId="1" fillId="0" borderId="473" xfId="0" applyFont="1" applyBorder="1" applyAlignment="1">
      <alignment horizontal="right"/>
    </xf>
    <xf numFmtId="0" fontId="1" fillId="0" borderId="476" xfId="0" applyFont="1" applyBorder="1" applyAlignment="1">
      <alignment horizontal="right"/>
    </xf>
    <xf numFmtId="0" fontId="1" fillId="11" borderId="478" xfId="0" applyFont="1" applyFill="1" applyBorder="1"/>
    <xf numFmtId="0" fontId="0" fillId="0" borderId="190" xfId="0" applyBorder="1" applyAlignment="1">
      <alignment wrapText="1"/>
    </xf>
    <xf numFmtId="49" fontId="1" fillId="0" borderId="100" xfId="0" applyNumberFormat="1" applyFont="1" applyBorder="1" applyAlignment="1">
      <alignment horizontal="center" wrapText="1"/>
    </xf>
    <xf numFmtId="14" fontId="1" fillId="0" borderId="447" xfId="0" applyNumberFormat="1" applyFont="1" applyBorder="1" applyAlignment="1">
      <alignment horizontal="center" wrapText="1"/>
    </xf>
    <xf numFmtId="175" fontId="1" fillId="3" borderId="21" xfId="0" applyNumberFormat="1" applyFont="1" applyFill="1" applyBorder="1" applyAlignment="1">
      <alignment horizontal="center"/>
    </xf>
    <xf numFmtId="171" fontId="1" fillId="11" borderId="0" xfId="0" applyNumberFormat="1" applyFont="1" applyFill="1"/>
    <xf numFmtId="175" fontId="1" fillId="0" borderId="21" xfId="0" applyNumberFormat="1" applyFont="1" applyBorder="1" applyAlignment="1">
      <alignment horizontal="center"/>
    </xf>
    <xf numFmtId="0" fontId="56" fillId="35" borderId="481" xfId="0" applyFont="1" applyFill="1" applyBorder="1" applyAlignment="1">
      <alignment horizontal="center" vertical="center"/>
    </xf>
    <xf numFmtId="0" fontId="0" fillId="11" borderId="1" xfId="0" applyFill="1" applyBorder="1" applyAlignment="1">
      <alignment horizontal="center" vertical="top"/>
    </xf>
    <xf numFmtId="167" fontId="0" fillId="0" borderId="161" xfId="0" applyNumberFormat="1" applyBorder="1" applyAlignment="1">
      <alignment horizontal="center" vertical="top"/>
    </xf>
    <xf numFmtId="167" fontId="0" fillId="0" borderId="161" xfId="0" applyNumberFormat="1" applyBorder="1" applyAlignment="1">
      <alignment horizontal="center"/>
    </xf>
    <xf numFmtId="0" fontId="1" fillId="9" borderId="396" xfId="0" applyFont="1" applyFill="1" applyBorder="1" applyAlignment="1">
      <alignment horizontal="left" vertical="top" wrapText="1"/>
    </xf>
    <xf numFmtId="0" fontId="1" fillId="9" borderId="0" xfId="0" applyFont="1" applyFill="1" applyAlignment="1">
      <alignment horizontal="left" vertical="top" wrapText="1"/>
    </xf>
    <xf numFmtId="0" fontId="1" fillId="9" borderId="397" xfId="0" applyFont="1" applyFill="1" applyBorder="1" applyAlignment="1">
      <alignment horizontal="left" vertical="top" wrapText="1"/>
    </xf>
    <xf numFmtId="0" fontId="1" fillId="9" borderId="312" xfId="0" applyFont="1" applyFill="1" applyBorder="1" applyAlignment="1">
      <alignment vertical="top" wrapText="1"/>
    </xf>
    <xf numFmtId="0" fontId="0" fillId="9" borderId="313" xfId="0" applyFill="1" applyBorder="1" applyAlignment="1">
      <alignment vertical="top" wrapText="1"/>
    </xf>
    <xf numFmtId="0" fontId="0" fillId="9" borderId="253" xfId="0" applyFill="1" applyBorder="1" applyAlignment="1">
      <alignment vertical="top" wrapText="1"/>
    </xf>
    <xf numFmtId="0" fontId="0" fillId="9" borderId="255" xfId="0" applyFill="1" applyBorder="1" applyAlignment="1">
      <alignment vertical="top" wrapText="1"/>
    </xf>
    <xf numFmtId="0" fontId="35" fillId="9" borderId="314" xfId="0" applyFont="1" applyFill="1" applyBorder="1" applyAlignment="1">
      <alignment horizontal="center" vertical="center"/>
    </xf>
    <xf numFmtId="0" fontId="35" fillId="9" borderId="315" xfId="0" applyFont="1" applyFill="1" applyBorder="1"/>
    <xf numFmtId="0" fontId="35" fillId="9" borderId="316" xfId="0" applyFont="1" applyFill="1" applyBorder="1"/>
    <xf numFmtId="0" fontId="33" fillId="9" borderId="254" xfId="0" applyFont="1" applyFill="1" applyBorder="1" applyAlignment="1">
      <alignment horizontal="center"/>
    </xf>
    <xf numFmtId="0" fontId="0" fillId="9" borderId="253" xfId="0" applyFill="1" applyBorder="1"/>
    <xf numFmtId="0" fontId="0" fillId="9" borderId="255" xfId="0" applyFill="1" applyBorder="1"/>
    <xf numFmtId="0" fontId="35" fillId="25" borderId="114" xfId="0" applyFont="1" applyFill="1" applyBorder="1" applyAlignment="1">
      <alignment horizontal="center"/>
    </xf>
    <xf numFmtId="0" fontId="35" fillId="25" borderId="115" xfId="0" applyFont="1" applyFill="1" applyBorder="1" applyAlignment="1">
      <alignment horizontal="center"/>
    </xf>
    <xf numFmtId="0" fontId="35" fillId="25" borderId="116" xfId="0" applyFont="1" applyFill="1" applyBorder="1" applyAlignment="1">
      <alignment horizontal="center"/>
    </xf>
    <xf numFmtId="0" fontId="35" fillId="26" borderId="317" xfId="0" applyFont="1" applyFill="1" applyBorder="1" applyAlignment="1">
      <alignment horizontal="center" vertical="center"/>
    </xf>
    <xf numFmtId="0" fontId="35" fillId="26" borderId="318" xfId="0" applyFont="1" applyFill="1" applyBorder="1" applyAlignment="1">
      <alignment horizontal="center" vertical="center"/>
    </xf>
    <xf numFmtId="0" fontId="35" fillId="0" borderId="0" xfId="0" applyFont="1" applyAlignment="1">
      <alignment horizontal="center"/>
    </xf>
    <xf numFmtId="0" fontId="6" fillId="13" borderId="117" xfId="0" applyFont="1" applyFill="1" applyBorder="1" applyAlignment="1">
      <alignment horizontal="center" vertical="center" textRotation="90"/>
    </xf>
    <xf numFmtId="0" fontId="6" fillId="13" borderId="118" xfId="0" applyFont="1" applyFill="1" applyBorder="1" applyAlignment="1">
      <alignment horizontal="center" vertical="center" textRotation="90"/>
    </xf>
    <xf numFmtId="0" fontId="3" fillId="13" borderId="119" xfId="0" applyFont="1" applyFill="1" applyBorder="1" applyAlignment="1">
      <alignment horizontal="center" vertical="center" wrapText="1"/>
    </xf>
    <xf numFmtId="0" fontId="6" fillId="13" borderId="118" xfId="0" applyFont="1" applyFill="1" applyBorder="1" applyAlignment="1">
      <alignment horizontal="center" vertical="center"/>
    </xf>
    <xf numFmtId="0" fontId="6" fillId="13" borderId="120" xfId="0" applyFont="1" applyFill="1" applyBorder="1" applyAlignment="1">
      <alignment horizontal="center" vertical="center"/>
    </xf>
    <xf numFmtId="0" fontId="68" fillId="0" borderId="0" xfId="0" applyFont="1" applyAlignment="1">
      <alignment horizontal="left" vertical="top" wrapText="1"/>
    </xf>
    <xf numFmtId="0" fontId="3" fillId="0" borderId="127" xfId="0" applyFont="1" applyBorder="1" applyAlignment="1">
      <alignment horizontal="center" vertical="center"/>
    </xf>
    <xf numFmtId="0" fontId="3" fillId="0" borderId="128" xfId="0" applyFont="1" applyBorder="1" applyAlignment="1">
      <alignment horizontal="center" vertical="center"/>
    </xf>
    <xf numFmtId="0" fontId="3" fillId="0" borderId="129" xfId="0" applyFont="1" applyBorder="1" applyAlignment="1">
      <alignment horizontal="center" vertical="center"/>
    </xf>
    <xf numFmtId="0" fontId="3" fillId="0" borderId="319" xfId="0" applyFont="1" applyBorder="1" applyAlignment="1">
      <alignment horizontal="center"/>
    </xf>
    <xf numFmtId="0" fontId="3" fillId="0" borderId="320" xfId="0" applyFont="1" applyBorder="1" applyAlignment="1">
      <alignment horizontal="center"/>
    </xf>
    <xf numFmtId="0" fontId="3" fillId="0" borderId="321" xfId="0" applyFont="1" applyBorder="1" applyAlignment="1">
      <alignment horizontal="center"/>
    </xf>
    <xf numFmtId="0" fontId="3" fillId="0" borderId="121" xfId="0" applyFont="1" applyBorder="1" applyAlignment="1">
      <alignment horizontal="center" vertical="center"/>
    </xf>
    <xf numFmtId="0" fontId="3" fillId="0" borderId="122" xfId="0" applyFont="1" applyBorder="1" applyAlignment="1">
      <alignment horizontal="center" vertical="center"/>
    </xf>
    <xf numFmtId="0" fontId="3" fillId="0" borderId="123" xfId="0" applyFont="1" applyBorder="1" applyAlignment="1">
      <alignment horizontal="center" vertical="center"/>
    </xf>
    <xf numFmtId="0" fontId="3" fillId="0" borderId="124" xfId="0" applyFont="1" applyBorder="1" applyAlignment="1">
      <alignment horizontal="center" vertical="center"/>
    </xf>
    <xf numFmtId="0" fontId="3" fillId="0" borderId="125" xfId="0" applyFont="1" applyBorder="1" applyAlignment="1">
      <alignment horizontal="center" vertical="center"/>
    </xf>
    <xf numFmtId="0" fontId="3" fillId="0" borderId="75" xfId="0" applyFont="1" applyBorder="1" applyAlignment="1">
      <alignment horizontal="center" vertical="center"/>
    </xf>
    <xf numFmtId="0" fontId="3" fillId="0" borderId="126" xfId="0" applyFont="1" applyBorder="1" applyAlignment="1">
      <alignment horizontal="center" vertical="center"/>
    </xf>
    <xf numFmtId="0" fontId="3" fillId="0" borderId="467" xfId="0" applyFont="1" applyBorder="1" applyAlignment="1">
      <alignment horizontal="center"/>
    </xf>
    <xf numFmtId="0" fontId="0" fillId="0" borderId="468" xfId="0" applyBorder="1" applyAlignment="1">
      <alignment horizontal="center"/>
    </xf>
    <xf numFmtId="0" fontId="0" fillId="0" borderId="469" xfId="0" applyBorder="1" applyAlignment="1">
      <alignment horizontal="center"/>
    </xf>
    <xf numFmtId="0" fontId="10" fillId="2" borderId="130" xfId="0" applyFont="1" applyFill="1" applyBorder="1" applyAlignment="1">
      <alignment horizontal="center" vertical="center" wrapText="1"/>
    </xf>
    <xf numFmtId="0" fontId="0" fillId="2" borderId="131" xfId="0" applyFill="1" applyBorder="1" applyAlignment="1">
      <alignment vertical="center"/>
    </xf>
    <xf numFmtId="0" fontId="0" fillId="2" borderId="132" xfId="0" applyFill="1" applyBorder="1"/>
    <xf numFmtId="0" fontId="0" fillId="2" borderId="83" xfId="0" applyFill="1" applyBorder="1" applyAlignment="1">
      <alignment vertical="center"/>
    </xf>
    <xf numFmtId="0" fontId="0" fillId="2" borderId="0" xfId="0" applyFill="1" applyAlignment="1">
      <alignment vertical="center"/>
    </xf>
    <xf numFmtId="0" fontId="0" fillId="2" borderId="61" xfId="0" applyFill="1" applyBorder="1"/>
    <xf numFmtId="0" fontId="0" fillId="2" borderId="133" xfId="0" applyFill="1" applyBorder="1" applyAlignment="1">
      <alignment vertical="center"/>
    </xf>
    <xf numFmtId="0" fontId="0" fillId="2" borderId="134" xfId="0" applyFill="1" applyBorder="1" applyAlignment="1">
      <alignment vertical="center"/>
    </xf>
    <xf numFmtId="0" fontId="0" fillId="2" borderId="135" xfId="0" applyFill="1" applyBorder="1"/>
    <xf numFmtId="0" fontId="3" fillId="2" borderId="56"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6" fillId="2" borderId="58" xfId="0" applyFont="1" applyFill="1" applyBorder="1" applyAlignment="1">
      <alignment horizontal="center" vertical="center" wrapText="1"/>
    </xf>
    <xf numFmtId="0" fontId="6" fillId="0" borderId="322" xfId="0" applyFont="1" applyBorder="1" applyAlignment="1">
      <alignment horizontal="center" vertical="center"/>
    </xf>
    <xf numFmtId="0" fontId="0" fillId="0" borderId="164" xfId="0" applyBorder="1" applyAlignment="1">
      <alignment vertical="center"/>
    </xf>
    <xf numFmtId="0" fontId="0" fillId="0" borderId="323" xfId="0" applyBorder="1" applyAlignment="1">
      <alignment vertical="center"/>
    </xf>
    <xf numFmtId="0" fontId="0" fillId="0" borderId="136" xfId="0" applyBorder="1" applyAlignment="1">
      <alignment vertical="center"/>
    </xf>
    <xf numFmtId="0" fontId="0" fillId="0" borderId="137" xfId="0" applyBorder="1" applyAlignment="1">
      <alignment vertical="center"/>
    </xf>
    <xf numFmtId="0" fontId="0" fillId="0" borderId="138" xfId="0" applyBorder="1" applyAlignment="1">
      <alignment vertical="center"/>
    </xf>
    <xf numFmtId="0" fontId="3" fillId="0" borderId="324" xfId="0" applyFont="1" applyBorder="1" applyAlignment="1">
      <alignment horizontal="center" vertical="center"/>
    </xf>
    <xf numFmtId="0" fontId="0" fillId="0" borderId="177" xfId="0" applyBorder="1" applyAlignment="1">
      <alignment vertical="center"/>
    </xf>
    <xf numFmtId="0" fontId="0" fillId="0" borderId="325" xfId="0" applyBorder="1" applyAlignment="1">
      <alignment vertical="center"/>
    </xf>
    <xf numFmtId="0" fontId="29" fillId="0" borderId="0" xfId="0" applyFont="1" applyAlignment="1">
      <alignment horizontal="center" vertical="center"/>
    </xf>
    <xf numFmtId="0" fontId="0" fillId="0" borderId="0" xfId="0" applyAlignment="1">
      <alignment vertical="center"/>
    </xf>
    <xf numFmtId="0" fontId="2" fillId="0" borderId="0" xfId="0" applyFont="1" applyAlignment="1">
      <alignment horizontal="center" vertical="center"/>
    </xf>
    <xf numFmtId="0" fontId="1" fillId="0" borderId="0" xfId="0" applyFont="1" applyAlignment="1">
      <alignment horizontal="left" vertical="top" wrapText="1"/>
    </xf>
    <xf numFmtId="0" fontId="0" fillId="0" borderId="131" xfId="0" applyBorder="1" applyAlignment="1">
      <alignment vertical="center"/>
    </xf>
    <xf numFmtId="0" fontId="0" fillId="0" borderId="132" xfId="0" applyBorder="1" applyAlignment="1">
      <alignment vertical="center"/>
    </xf>
    <xf numFmtId="0" fontId="3" fillId="0" borderId="326" xfId="0" applyFont="1" applyBorder="1" applyAlignment="1">
      <alignment horizontal="center" vertical="center"/>
    </xf>
    <xf numFmtId="0" fontId="0" fillId="0" borderId="245" xfId="0" applyBorder="1" applyAlignment="1">
      <alignment vertical="center"/>
    </xf>
    <xf numFmtId="0" fontId="0" fillId="0" borderId="327" xfId="0" applyBorder="1" applyAlignment="1">
      <alignment vertical="center"/>
    </xf>
    <xf numFmtId="0" fontId="6" fillId="0" borderId="328" xfId="0" applyFont="1" applyBorder="1" applyAlignment="1">
      <alignment horizontal="center" vertical="center"/>
    </xf>
    <xf numFmtId="0" fontId="0" fillId="0" borderId="162" xfId="0" applyBorder="1" applyAlignment="1">
      <alignment vertical="center"/>
    </xf>
    <xf numFmtId="0" fontId="0" fillId="0" borderId="329" xfId="0" applyBorder="1" applyAlignment="1">
      <alignment vertical="center"/>
    </xf>
    <xf numFmtId="0" fontId="1" fillId="0" borderId="0" xfId="0" applyFont="1" applyAlignment="1">
      <alignment horizontal="center"/>
    </xf>
    <xf numFmtId="3" fontId="0" fillId="11" borderId="480" xfId="0" applyNumberFormat="1" applyFill="1" applyBorder="1" applyAlignment="1">
      <alignment horizontal="center"/>
    </xf>
    <xf numFmtId="3" fontId="0" fillId="11" borderId="479" xfId="0" applyNumberFormat="1" applyFill="1" applyBorder="1" applyAlignment="1">
      <alignment horizontal="center"/>
    </xf>
    <xf numFmtId="0" fontId="0" fillId="0" borderId="476" xfId="0" applyBorder="1" applyAlignment="1">
      <alignment horizontal="left"/>
    </xf>
    <xf numFmtId="0" fontId="0" fillId="0" borderId="0" xfId="0" applyAlignment="1">
      <alignment horizontal="left"/>
    </xf>
    <xf numFmtId="175" fontId="0" fillId="0" borderId="0" xfId="0" applyNumberFormat="1" applyAlignment="1">
      <alignment horizontal="center"/>
    </xf>
    <xf numFmtId="175" fontId="0" fillId="0" borderId="477" xfId="0" applyNumberFormat="1" applyBorder="1" applyAlignment="1">
      <alignment horizontal="center"/>
    </xf>
    <xf numFmtId="0" fontId="1" fillId="11" borderId="476" xfId="0" applyFont="1" applyFill="1" applyBorder="1" applyAlignment="1">
      <alignment horizontal="center"/>
    </xf>
    <xf numFmtId="0" fontId="1" fillId="11" borderId="0" xfId="0" applyFont="1" applyFill="1" applyAlignment="1">
      <alignment horizontal="center"/>
    </xf>
    <xf numFmtId="0" fontId="4" fillId="0" borderId="0" xfId="0" applyFont="1" applyAlignment="1">
      <alignment horizontal="center"/>
    </xf>
    <xf numFmtId="0" fontId="7" fillId="0" borderId="0" xfId="0" applyFont="1" applyAlignment="1">
      <alignment horizontal="center"/>
    </xf>
    <xf numFmtId="164" fontId="3" fillId="0" borderId="0" xfId="0" applyNumberFormat="1" applyFont="1" applyAlignment="1">
      <alignment horizontal="center"/>
    </xf>
    <xf numFmtId="0" fontId="0" fillId="0" borderId="0" xfId="0"/>
    <xf numFmtId="0" fontId="18" fillId="36" borderId="418" xfId="0" applyFont="1" applyFill="1" applyBorder="1" applyAlignment="1">
      <alignment horizontal="center"/>
    </xf>
    <xf numFmtId="0" fontId="18" fillId="36" borderId="419" xfId="0" applyFont="1" applyFill="1" applyBorder="1" applyAlignment="1">
      <alignment horizontal="center"/>
    </xf>
    <xf numFmtId="0" fontId="18" fillId="36" borderId="441" xfId="0" applyFont="1" applyFill="1" applyBorder="1" applyAlignment="1">
      <alignment horizontal="center"/>
    </xf>
    <xf numFmtId="0" fontId="22" fillId="33" borderId="382" xfId="0" applyFont="1" applyFill="1" applyBorder="1" applyAlignment="1">
      <alignment horizontal="center"/>
    </xf>
    <xf numFmtId="0" fontId="22" fillId="33" borderId="383" xfId="0" applyFont="1" applyFill="1" applyBorder="1" applyAlignment="1">
      <alignment horizontal="center"/>
    </xf>
    <xf numFmtId="1" fontId="22" fillId="36" borderId="416" xfId="0" applyNumberFormat="1" applyFont="1" applyFill="1" applyBorder="1" applyAlignment="1">
      <alignment horizontal="center" vertical="center"/>
    </xf>
    <xf numFmtId="1" fontId="22" fillId="36" borderId="417" xfId="0" applyNumberFormat="1" applyFont="1" applyFill="1" applyBorder="1" applyAlignment="1">
      <alignment horizontal="center" vertical="center"/>
    </xf>
    <xf numFmtId="1" fontId="22" fillId="36" borderId="440" xfId="0" applyNumberFormat="1" applyFont="1" applyFill="1" applyBorder="1" applyAlignment="1">
      <alignment horizontal="center" vertical="center"/>
    </xf>
    <xf numFmtId="0" fontId="18" fillId="33" borderId="384" xfId="0" applyFont="1" applyFill="1" applyBorder="1" applyAlignment="1">
      <alignment horizontal="center"/>
    </xf>
    <xf numFmtId="0" fontId="18" fillId="33" borderId="381" xfId="0" applyFont="1" applyFill="1" applyBorder="1" applyAlignment="1">
      <alignment horizontal="center"/>
    </xf>
    <xf numFmtId="175" fontId="0" fillId="0" borderId="474" xfId="0" applyNumberFormat="1" applyBorder="1" applyAlignment="1">
      <alignment horizontal="center"/>
    </xf>
    <xf numFmtId="175" fontId="0" fillId="0" borderId="475" xfId="0" applyNumberFormat="1" applyBorder="1" applyAlignment="1">
      <alignment horizontal="center"/>
    </xf>
    <xf numFmtId="0" fontId="3" fillId="0" borderId="421" xfId="0" applyFont="1" applyBorder="1" applyAlignment="1">
      <alignment horizontal="center"/>
    </xf>
    <xf numFmtId="0" fontId="0" fillId="0" borderId="421" xfId="0" applyBorder="1" applyAlignment="1">
      <alignment horizontal="center"/>
    </xf>
    <xf numFmtId="0" fontId="1" fillId="34" borderId="404" xfId="0" applyFont="1" applyFill="1" applyBorder="1" applyAlignment="1">
      <alignment horizontal="center" vertical="center" wrapText="1"/>
    </xf>
    <xf numFmtId="0" fontId="1" fillId="34" borderId="409" xfId="0" applyFont="1" applyFill="1" applyBorder="1" applyAlignment="1">
      <alignment horizontal="center" vertical="center" wrapText="1"/>
    </xf>
    <xf numFmtId="1" fontId="22" fillId="17" borderId="385" xfId="0" applyNumberFormat="1" applyFont="1" applyFill="1" applyBorder="1" applyAlignment="1">
      <alignment horizontal="center" vertical="center"/>
    </xf>
    <xf numFmtId="1" fontId="22" fillId="17" borderId="378" xfId="0" applyNumberFormat="1" applyFont="1" applyFill="1" applyBorder="1" applyAlignment="1">
      <alignment horizontal="center" vertical="center"/>
    </xf>
    <xf numFmtId="0" fontId="21" fillId="17" borderId="330" xfId="0" applyFont="1" applyFill="1" applyBorder="1" applyAlignment="1">
      <alignment horizontal="center"/>
    </xf>
    <xf numFmtId="0" fontId="21" fillId="17" borderId="331" xfId="0" applyFont="1" applyFill="1" applyBorder="1" applyAlignment="1">
      <alignment horizontal="center"/>
    </xf>
    <xf numFmtId="164" fontId="21" fillId="17" borderId="330" xfId="0" applyNumberFormat="1" applyFont="1" applyFill="1" applyBorder="1" applyAlignment="1">
      <alignment horizontal="center"/>
    </xf>
    <xf numFmtId="164" fontId="21" fillId="17" borderId="332" xfId="0" applyNumberFormat="1" applyFont="1" applyFill="1" applyBorder="1" applyAlignment="1">
      <alignment horizontal="center"/>
    </xf>
    <xf numFmtId="0" fontId="21" fillId="17" borderId="333" xfId="0" applyFont="1" applyFill="1" applyBorder="1" applyAlignment="1">
      <alignment horizontal="center"/>
    </xf>
    <xf numFmtId="0" fontId="22" fillId="11" borderId="389" xfId="0" applyFont="1" applyFill="1" applyBorder="1" applyAlignment="1">
      <alignment horizontal="center"/>
    </xf>
    <xf numFmtId="0" fontId="22" fillId="11" borderId="379" xfId="0" applyFont="1" applyFill="1" applyBorder="1" applyAlignment="1">
      <alignment horizontal="center"/>
    </xf>
    <xf numFmtId="164" fontId="18" fillId="11" borderId="390" xfId="0" applyNumberFormat="1" applyFont="1" applyFill="1" applyBorder="1" applyAlignment="1">
      <alignment horizontal="center"/>
    </xf>
    <xf numFmtId="164" fontId="18" fillId="11" borderId="380" xfId="0" applyNumberFormat="1" applyFont="1" applyFill="1" applyBorder="1" applyAlignment="1">
      <alignment horizontal="center"/>
    </xf>
    <xf numFmtId="0" fontId="35" fillId="0" borderId="429" xfId="0" applyFont="1" applyBorder="1" applyAlignment="1">
      <alignment horizontal="center"/>
    </xf>
    <xf numFmtId="0" fontId="0" fillId="0" borderId="0" xfId="0" applyAlignment="1">
      <alignment horizontal="center"/>
    </xf>
    <xf numFmtId="0" fontId="11" fillId="0" borderId="0" xfId="1" applyAlignment="1" applyProtection="1">
      <alignment horizontal="center"/>
    </xf>
    <xf numFmtId="0" fontId="44" fillId="0" borderId="334" xfId="0" applyFont="1" applyBorder="1" applyAlignment="1">
      <alignment horizontal="center" vertical="center"/>
    </xf>
    <xf numFmtId="0" fontId="44" fillId="0" borderId="335" xfId="0" applyFont="1" applyBorder="1" applyAlignment="1">
      <alignment horizontal="center" vertical="center"/>
    </xf>
    <xf numFmtId="0" fontId="44" fillId="0" borderId="336" xfId="0" applyFont="1" applyBorder="1" applyAlignment="1">
      <alignment horizontal="center" vertical="center"/>
    </xf>
    <xf numFmtId="0" fontId="12" fillId="14" borderId="337" xfId="0" applyFont="1" applyFill="1" applyBorder="1" applyAlignment="1">
      <alignment horizontal="center" vertical="center"/>
    </xf>
    <xf numFmtId="0" fontId="12" fillId="14" borderId="173" xfId="0" applyFont="1" applyFill="1" applyBorder="1" applyAlignment="1">
      <alignment horizontal="center" vertical="center"/>
    </xf>
    <xf numFmtId="0" fontId="12" fillId="14" borderId="173" xfId="0" applyFont="1" applyFill="1" applyBorder="1" applyAlignment="1">
      <alignment vertical="center"/>
    </xf>
    <xf numFmtId="0" fontId="12" fillId="14" borderId="175" xfId="0" applyFont="1" applyFill="1" applyBorder="1" applyAlignment="1">
      <alignment vertical="center"/>
    </xf>
    <xf numFmtId="0" fontId="12" fillId="27" borderId="338" xfId="0" applyFont="1" applyFill="1" applyBorder="1" applyAlignment="1">
      <alignment horizontal="center" vertical="center"/>
    </xf>
    <xf numFmtId="0" fontId="12" fillId="27" borderId="248" xfId="0" applyFont="1" applyFill="1" applyBorder="1" applyAlignment="1">
      <alignment horizontal="center" vertical="center"/>
    </xf>
    <xf numFmtId="0" fontId="12" fillId="27" borderId="248" xfId="0" applyFont="1" applyFill="1" applyBorder="1" applyAlignment="1">
      <alignment vertical="center"/>
    </xf>
    <xf numFmtId="0" fontId="12" fillId="27" borderId="250" xfId="0" applyFont="1" applyFill="1" applyBorder="1" applyAlignment="1">
      <alignment vertical="center"/>
    </xf>
    <xf numFmtId="0" fontId="9" fillId="0" borderId="339" xfId="0" applyFont="1" applyBorder="1" applyAlignment="1">
      <alignment vertical="top" wrapText="1"/>
    </xf>
    <xf numFmtId="0" fontId="0" fillId="0" borderId="340" xfId="0" applyBorder="1"/>
    <xf numFmtId="0" fontId="0" fillId="0" borderId="341" xfId="0" applyBorder="1"/>
    <xf numFmtId="0" fontId="20" fillId="0" borderId="139" xfId="0" applyFont="1" applyBorder="1" applyAlignment="1">
      <alignment horizontal="center" vertical="center"/>
    </xf>
    <xf numFmtId="0" fontId="20" fillId="0" borderId="140" xfId="0" applyFont="1" applyBorder="1" applyAlignment="1">
      <alignment horizontal="center" vertical="center"/>
    </xf>
    <xf numFmtId="0" fontId="20" fillId="0" borderId="141" xfId="0" applyFont="1" applyBorder="1" applyAlignment="1">
      <alignment horizontal="center" vertical="center"/>
    </xf>
    <xf numFmtId="0" fontId="20" fillId="0" borderId="205" xfId="0" applyFont="1" applyBorder="1" applyAlignment="1">
      <alignment horizontal="center" vertical="center"/>
    </xf>
    <xf numFmtId="0" fontId="7" fillId="2" borderId="142" xfId="0" applyFont="1" applyFill="1" applyBorder="1" applyAlignment="1">
      <alignment horizontal="center"/>
    </xf>
    <xf numFmtId="0" fontId="17" fillId="0" borderId="143" xfId="0" applyFont="1" applyBorder="1" applyAlignment="1">
      <alignment horizontal="center"/>
    </xf>
    <xf numFmtId="0" fontId="17" fillId="0" borderId="144" xfId="0" applyFont="1" applyBorder="1" applyAlignment="1">
      <alignment horizontal="center"/>
    </xf>
    <xf numFmtId="0" fontId="6" fillId="2" borderId="145" xfId="0" applyFont="1" applyFill="1" applyBorder="1" applyAlignment="1">
      <alignment horizontal="center"/>
    </xf>
    <xf numFmtId="0" fontId="0" fillId="0" borderId="143" xfId="0" applyBorder="1" applyAlignment="1">
      <alignment horizontal="center"/>
    </xf>
    <xf numFmtId="0" fontId="0" fillId="0" borderId="144" xfId="0" applyBorder="1" applyAlignment="1">
      <alignment horizontal="center"/>
    </xf>
    <xf numFmtId="0" fontId="4" fillId="2" borderId="142" xfId="0" applyFont="1" applyFill="1" applyBorder="1" applyAlignment="1">
      <alignment horizontal="center"/>
    </xf>
    <xf numFmtId="0" fontId="3" fillId="0" borderId="0" xfId="0" applyFont="1" applyAlignment="1">
      <alignment horizontal="center" wrapText="1"/>
    </xf>
    <xf numFmtId="0" fontId="6" fillId="0" borderId="0" xfId="0" applyFont="1" applyAlignment="1">
      <alignment horizontal="center" wrapText="1"/>
    </xf>
    <xf numFmtId="0" fontId="3" fillId="6" borderId="146" xfId="0" applyFont="1" applyFill="1" applyBorder="1" applyAlignment="1">
      <alignment horizontal="center" vertical="center"/>
    </xf>
    <xf numFmtId="0" fontId="1" fillId="0" borderId="147" xfId="0" applyFont="1" applyBorder="1" applyAlignment="1">
      <alignment horizontal="center" vertical="center"/>
    </xf>
    <xf numFmtId="0" fontId="1" fillId="0" borderId="148" xfId="0" applyFont="1" applyBorder="1" applyAlignment="1">
      <alignment horizontal="center" vertical="center"/>
    </xf>
    <xf numFmtId="0" fontId="6" fillId="7" borderId="17" xfId="0" applyFont="1" applyFill="1" applyBorder="1" applyAlignment="1">
      <alignment horizontal="center"/>
    </xf>
    <xf numFmtId="0" fontId="6" fillId="7" borderId="48" xfId="0" applyFont="1" applyFill="1" applyBorder="1" applyAlignment="1">
      <alignment horizontal="center"/>
    </xf>
    <xf numFmtId="0" fontId="26" fillId="5" borderId="149" xfId="0" applyFont="1" applyFill="1" applyBorder="1" applyAlignment="1">
      <alignment horizontal="center" vertical="center" wrapText="1"/>
    </xf>
    <xf numFmtId="0" fontId="26" fillId="5" borderId="150" xfId="0" applyFont="1" applyFill="1" applyBorder="1" applyAlignment="1">
      <alignment horizontal="center" vertical="center" wrapText="1"/>
    </xf>
    <xf numFmtId="0" fontId="26" fillId="5" borderId="151" xfId="0" applyFont="1" applyFill="1" applyBorder="1" applyAlignment="1">
      <alignment horizontal="center" vertical="center" wrapText="1"/>
    </xf>
    <xf numFmtId="0" fontId="6" fillId="5" borderId="17" xfId="0" applyFont="1" applyFill="1" applyBorder="1" applyAlignment="1">
      <alignment horizontal="center"/>
    </xf>
    <xf numFmtId="0" fontId="6" fillId="5" borderId="39" xfId="0" applyFont="1" applyFill="1" applyBorder="1" applyAlignment="1">
      <alignment horizontal="center"/>
    </xf>
    <xf numFmtId="0" fontId="26" fillId="7" borderId="152" xfId="0" applyFont="1" applyFill="1" applyBorder="1" applyAlignment="1">
      <alignment horizontal="center" vertical="center" wrapText="1"/>
    </xf>
    <xf numFmtId="0" fontId="26" fillId="7" borderId="153" xfId="0" applyFont="1" applyFill="1" applyBorder="1" applyAlignment="1">
      <alignment horizontal="center" vertical="center" wrapText="1"/>
    </xf>
    <xf numFmtId="0" fontId="26" fillId="7" borderId="154" xfId="0" applyFont="1" applyFill="1" applyBorder="1" applyAlignment="1">
      <alignment horizontal="center" vertical="center" wrapText="1"/>
    </xf>
    <xf numFmtId="0" fontId="26" fillId="6" borderId="147" xfId="0" applyFont="1" applyFill="1" applyBorder="1" applyAlignment="1">
      <alignment horizontal="center" vertical="center"/>
    </xf>
    <xf numFmtId="0" fontId="0" fillId="0" borderId="147" xfId="0" applyBorder="1" applyAlignment="1">
      <alignment horizontal="center" vertical="center"/>
    </xf>
    <xf numFmtId="0" fontId="0" fillId="0" borderId="148" xfId="0" applyBorder="1" applyAlignment="1">
      <alignment horizontal="center" vertical="center"/>
    </xf>
    <xf numFmtId="0" fontId="9" fillId="0" borderId="450" xfId="0" applyFont="1" applyBorder="1" applyAlignment="1">
      <alignment horizontal="left" vertical="top" wrapText="1" indent="1"/>
    </xf>
    <xf numFmtId="0" fontId="9" fillId="0" borderId="451" xfId="0" applyFont="1" applyBorder="1" applyAlignment="1">
      <alignment horizontal="left" vertical="top" wrapText="1" indent="1"/>
    </xf>
    <xf numFmtId="0" fontId="9" fillId="0" borderId="452" xfId="0" applyFont="1" applyBorder="1" applyAlignment="1">
      <alignment horizontal="left" vertical="top" wrapText="1" indent="1"/>
    </xf>
    <xf numFmtId="0" fontId="9" fillId="0" borderId="396" xfId="0" applyFont="1" applyBorder="1" applyAlignment="1">
      <alignment horizontal="left" vertical="top" wrapText="1" indent="1"/>
    </xf>
    <xf numFmtId="0" fontId="9" fillId="0" borderId="0" xfId="0" applyFont="1" applyAlignment="1">
      <alignment horizontal="left" vertical="top" wrapText="1" indent="1"/>
    </xf>
    <xf numFmtId="0" fontId="9" fillId="0" borderId="397" xfId="0" applyFont="1" applyBorder="1" applyAlignment="1">
      <alignment horizontal="left" vertical="top" wrapText="1" indent="1"/>
    </xf>
    <xf numFmtId="0" fontId="9" fillId="0" borderId="296" xfId="0" applyFont="1" applyBorder="1" applyAlignment="1">
      <alignment horizontal="left" vertical="top" wrapText="1" indent="1"/>
    </xf>
    <xf numFmtId="0" fontId="9" fillId="0" borderId="294" xfId="0" applyFont="1" applyBorder="1" applyAlignment="1">
      <alignment horizontal="left" vertical="top" wrapText="1" indent="1"/>
    </xf>
    <xf numFmtId="0" fontId="9" fillId="0" borderId="453" xfId="0" applyFont="1" applyBorder="1" applyAlignment="1">
      <alignment horizontal="left" vertical="top" wrapText="1" indent="1"/>
    </xf>
    <xf numFmtId="11" fontId="18" fillId="0" borderId="352" xfId="0" applyNumberFormat="1" applyFont="1" applyBorder="1" applyAlignment="1">
      <alignment horizontal="left" vertical="top" wrapText="1"/>
    </xf>
    <xf numFmtId="11" fontId="18" fillId="0" borderId="353" xfId="0" applyNumberFormat="1" applyFont="1" applyBorder="1" applyAlignment="1">
      <alignment horizontal="left" vertical="top" wrapText="1"/>
    </xf>
    <xf numFmtId="11" fontId="18" fillId="0" borderId="0" xfId="0" applyNumberFormat="1" applyFont="1" applyAlignment="1">
      <alignment horizontal="left" vertical="top" wrapText="1"/>
    </xf>
    <xf numFmtId="11" fontId="18" fillId="0" borderId="3" xfId="0" applyNumberFormat="1" applyFont="1" applyBorder="1" applyAlignment="1">
      <alignment horizontal="left" vertical="top" wrapText="1"/>
    </xf>
    <xf numFmtId="11" fontId="18" fillId="0" borderId="6" xfId="0" applyNumberFormat="1" applyFont="1" applyBorder="1" applyAlignment="1">
      <alignment horizontal="left" vertical="top" wrapText="1"/>
    </xf>
    <xf numFmtId="11" fontId="18" fillId="0" borderId="13" xfId="0" applyNumberFormat="1" applyFont="1" applyBorder="1" applyAlignment="1">
      <alignment horizontal="left" vertical="top" wrapText="1"/>
    </xf>
    <xf numFmtId="0" fontId="26" fillId="28" borderId="155" xfId="0" applyFont="1" applyFill="1" applyBorder="1" applyAlignment="1">
      <alignment horizontal="center" vertical="center"/>
    </xf>
    <xf numFmtId="0" fontId="0" fillId="0" borderId="156" xfId="0" applyBorder="1" applyAlignment="1">
      <alignment vertical="center"/>
    </xf>
    <xf numFmtId="0" fontId="0" fillId="0" borderId="157" xfId="0" applyBorder="1" applyAlignment="1">
      <alignment vertical="center"/>
    </xf>
    <xf numFmtId="0" fontId="27" fillId="0" borderId="158" xfId="0" applyFont="1" applyBorder="1" applyAlignment="1">
      <alignment horizontal="center"/>
    </xf>
    <xf numFmtId="0" fontId="27" fillId="0" borderId="159" xfId="0" applyFont="1" applyBorder="1" applyAlignment="1">
      <alignment horizontal="center"/>
    </xf>
    <xf numFmtId="0" fontId="27" fillId="0" borderId="160" xfId="0" applyFont="1" applyBorder="1" applyAlignment="1">
      <alignment horizontal="center"/>
    </xf>
    <xf numFmtId="0" fontId="27" fillId="0" borderId="0" xfId="0" applyFont="1" applyAlignment="1">
      <alignment horizontal="left" vertical="top" wrapText="1" indent="1"/>
    </xf>
    <xf numFmtId="0" fontId="0" fillId="0" borderId="0" xfId="0" applyAlignment="1">
      <alignment horizontal="left" vertical="top" wrapText="1" indent="1"/>
    </xf>
    <xf numFmtId="0" fontId="0" fillId="0" borderId="3" xfId="0" applyBorder="1" applyAlignment="1">
      <alignment horizontal="left" vertical="top" wrapText="1" indent="1"/>
    </xf>
    <xf numFmtId="0" fontId="27" fillId="0" borderId="0" xfId="0" applyFont="1" applyAlignment="1">
      <alignment horizontal="left" wrapText="1" indent="1"/>
    </xf>
    <xf numFmtId="0" fontId="0" fillId="0" borderId="0" xfId="0" applyAlignment="1">
      <alignment horizontal="left" wrapText="1" indent="1"/>
    </xf>
    <xf numFmtId="0" fontId="0" fillId="0" borderId="3" xfId="0" applyBorder="1" applyAlignment="1">
      <alignment horizontal="left" wrapText="1" indent="1"/>
    </xf>
    <xf numFmtId="0" fontId="0" fillId="0" borderId="160" xfId="0" applyBorder="1" applyAlignment="1">
      <alignment horizontal="center"/>
    </xf>
    <xf numFmtId="0" fontId="33" fillId="0" borderId="342" xfId="0" applyFont="1" applyBorder="1" applyAlignment="1">
      <alignment horizontal="left" vertical="center" wrapText="1"/>
    </xf>
    <xf numFmtId="0" fontId="33" fillId="0" borderId="352" xfId="0" applyFont="1" applyBorder="1" applyAlignment="1">
      <alignment horizontal="left" vertical="center" wrapText="1"/>
    </xf>
    <xf numFmtId="0" fontId="33" fillId="0" borderId="343" xfId="0" applyFont="1" applyBorder="1" applyAlignment="1">
      <alignment horizontal="left" vertical="center" wrapText="1"/>
    </xf>
    <xf numFmtId="0" fontId="33" fillId="0" borderId="344" xfId="0" applyFont="1" applyBorder="1" applyAlignment="1">
      <alignment horizontal="left" vertical="center" wrapText="1"/>
    </xf>
    <xf numFmtId="0" fontId="33" fillId="0" borderId="0" xfId="0" applyFont="1" applyAlignment="1">
      <alignment horizontal="left" vertical="center" wrapText="1"/>
    </xf>
    <xf numFmtId="0" fontId="33" fillId="0" borderId="345" xfId="0" applyFont="1" applyBorder="1" applyAlignment="1">
      <alignment horizontal="left" vertical="center" wrapText="1"/>
    </xf>
    <xf numFmtId="0" fontId="33" fillId="0" borderId="346" xfId="0" applyFont="1" applyBorder="1" applyAlignment="1">
      <alignment horizontal="left" vertical="center" wrapText="1"/>
    </xf>
    <xf numFmtId="0" fontId="33" fillId="0" borderId="289" xfId="0" applyFont="1" applyBorder="1" applyAlignment="1">
      <alignment horizontal="left" vertical="center" wrapText="1"/>
    </xf>
    <xf numFmtId="0" fontId="33" fillId="0" borderId="347" xfId="0" applyFont="1" applyBorder="1" applyAlignment="1">
      <alignment horizontal="left" vertical="center" wrapText="1"/>
    </xf>
    <xf numFmtId="0" fontId="10" fillId="2" borderId="348" xfId="0" applyFont="1" applyFill="1" applyBorder="1" applyAlignment="1">
      <alignment horizontal="center" vertical="center"/>
    </xf>
    <xf numFmtId="0" fontId="0" fillId="0" borderId="349" xfId="0" applyBorder="1" applyAlignment="1">
      <alignment vertical="center"/>
    </xf>
    <xf numFmtId="0" fontId="0" fillId="0" borderId="350" xfId="0" applyBorder="1" applyAlignment="1">
      <alignment vertical="center"/>
    </xf>
    <xf numFmtId="0" fontId="0" fillId="0" borderId="235" xfId="0" applyBorder="1" applyAlignment="1">
      <alignment vertical="center"/>
    </xf>
    <xf numFmtId="0" fontId="0" fillId="0" borderId="351" xfId="0" applyBorder="1" applyAlignment="1">
      <alignment vertical="center"/>
    </xf>
    <xf numFmtId="0" fontId="3" fillId="13" borderId="374" xfId="0" applyFont="1" applyFill="1" applyBorder="1" applyAlignment="1">
      <alignment horizontal="center" vertical="center"/>
    </xf>
    <xf numFmtId="0" fontId="3" fillId="13" borderId="375" xfId="0" applyFont="1" applyFill="1" applyBorder="1" applyAlignment="1">
      <alignment horizontal="center" vertical="center"/>
    </xf>
    <xf numFmtId="0" fontId="3" fillId="13" borderId="376" xfId="0" applyFont="1" applyFill="1" applyBorder="1" applyAlignment="1">
      <alignment horizontal="center" vertical="center"/>
    </xf>
    <xf numFmtId="0" fontId="0" fillId="2" borderId="132" xfId="0" applyFill="1" applyBorder="1" applyAlignment="1">
      <alignment vertical="center"/>
    </xf>
    <xf numFmtId="0" fontId="0" fillId="2" borderId="61" xfId="0" applyFill="1" applyBorder="1" applyAlignment="1">
      <alignment vertical="center"/>
    </xf>
    <xf numFmtId="0" fontId="0" fillId="2" borderId="135" xfId="0" applyFill="1" applyBorder="1" applyAlignment="1">
      <alignment vertical="center"/>
    </xf>
    <xf numFmtId="0" fontId="0" fillId="0" borderId="20" xfId="0" applyFill="1" applyBorder="1"/>
    <xf numFmtId="0" fontId="0" fillId="0" borderId="21" xfId="0" applyFill="1" applyBorder="1"/>
    <xf numFmtId="168" fontId="0" fillId="0" borderId="1" xfId="0" applyNumberFormat="1" applyFill="1" applyBorder="1"/>
    <xf numFmtId="0" fontId="1" fillId="0" borderId="21" xfId="0" applyFont="1" applyFill="1" applyBorder="1"/>
    <xf numFmtId="0" fontId="1" fillId="0" borderId="21" xfId="0" applyFont="1" applyFill="1" applyBorder="1" applyAlignment="1">
      <alignment horizontal="center"/>
    </xf>
    <xf numFmtId="168" fontId="0" fillId="0" borderId="1" xfId="0" applyNumberFormat="1" applyFill="1" applyBorder="1" applyAlignment="1">
      <alignment horizontal="center"/>
    </xf>
    <xf numFmtId="174" fontId="1" fillId="0" borderId="1" xfId="0" applyNumberFormat="1" applyFont="1" applyFill="1" applyBorder="1" applyAlignment="1">
      <alignment horizontal="right"/>
    </xf>
    <xf numFmtId="175" fontId="1" fillId="0" borderId="21" xfId="0" applyNumberFormat="1" applyFont="1" applyFill="1" applyBorder="1" applyAlignment="1">
      <alignment horizontal="center"/>
    </xf>
    <xf numFmtId="0" fontId="1" fillId="0" borderId="1" xfId="0" applyFont="1" applyFill="1" applyBorder="1" applyAlignment="1">
      <alignment horizontal="center"/>
    </xf>
    <xf numFmtId="18" fontId="1" fillId="0" borderId="1" xfId="0" applyNumberFormat="1" applyFont="1" applyFill="1" applyBorder="1"/>
    <xf numFmtId="20" fontId="1" fillId="0" borderId="1" xfId="0" applyNumberFormat="1" applyFont="1" applyFill="1" applyBorder="1"/>
    <xf numFmtId="169" fontId="1" fillId="0" borderId="1" xfId="0" applyNumberFormat="1" applyFont="1" applyFill="1" applyBorder="1" applyAlignment="1">
      <alignment horizontal="center"/>
    </xf>
    <xf numFmtId="0" fontId="14" fillId="0" borderId="24" xfId="0" applyFont="1" applyFill="1" applyBorder="1" applyAlignment="1">
      <alignment horizontal="left" vertical="top" wrapText="1" indent="1"/>
    </xf>
    <xf numFmtId="0" fontId="14" fillId="0" borderId="0" xfId="0" applyFont="1" applyFill="1"/>
    <xf numFmtId="18" fontId="1" fillId="0" borderId="0" xfId="0" applyNumberFormat="1" applyFont="1" applyFill="1"/>
    <xf numFmtId="166" fontId="1" fillId="0" borderId="0" xfId="0" applyNumberFormat="1" applyFont="1" applyFill="1"/>
    <xf numFmtId="2" fontId="1" fillId="0" borderId="0" xfId="0" applyNumberFormat="1" applyFont="1" applyFill="1"/>
    <xf numFmtId="171" fontId="1" fillId="0" borderId="0" xfId="0" applyNumberFormat="1" applyFont="1" applyFill="1"/>
    <xf numFmtId="2" fontId="1" fillId="0" borderId="0" xfId="0" applyNumberFormat="1" applyFont="1" applyFill="1" applyAlignment="1">
      <alignment horizontal="center"/>
    </xf>
    <xf numFmtId="2" fontId="0" fillId="0" borderId="0" xfId="0" applyNumberFormat="1" applyFill="1" applyAlignment="1">
      <alignment horizontal="center"/>
    </xf>
    <xf numFmtId="0" fontId="0" fillId="0" borderId="0" xfId="0" applyFill="1"/>
    <xf numFmtId="0" fontId="0" fillId="0" borderId="20" xfId="0" applyFill="1" applyBorder="1" applyAlignment="1">
      <alignment vertical="top"/>
    </xf>
    <xf numFmtId="0" fontId="0" fillId="0" borderId="21" xfId="0" applyFill="1" applyBorder="1" applyAlignment="1">
      <alignment horizontal="center"/>
    </xf>
    <xf numFmtId="0" fontId="0" fillId="0" borderId="1" xfId="0" applyFill="1" applyBorder="1" applyAlignment="1">
      <alignment horizontal="center" vertical="top"/>
    </xf>
    <xf numFmtId="18" fontId="0" fillId="0" borderId="0" xfId="0" applyNumberFormat="1" applyFill="1"/>
    <xf numFmtId="0" fontId="1" fillId="0" borderId="437" xfId="0" applyFont="1" applyBorder="1" applyAlignment="1"/>
    <xf numFmtId="0" fontId="1" fillId="0" borderId="438" xfId="0" applyFont="1" applyBorder="1" applyAlignment="1"/>
    <xf numFmtId="0" fontId="1" fillId="0" borderId="439" xfId="0" applyFont="1" applyBorder="1" applyAlignment="1"/>
    <xf numFmtId="168" fontId="0" fillId="0" borderId="1" xfId="0" applyNumberFormat="1" applyFill="1" applyBorder="1" applyAlignment="1">
      <alignment vertical="top"/>
    </xf>
    <xf numFmtId="18" fontId="0" fillId="0" borderId="1" xfId="0" applyNumberFormat="1" applyFill="1" applyBorder="1" applyAlignment="1">
      <alignment vertical="top"/>
    </xf>
    <xf numFmtId="0" fontId="0" fillId="0" borderId="1" xfId="0" applyFill="1" applyBorder="1" applyAlignment="1">
      <alignment vertical="top"/>
    </xf>
    <xf numFmtId="0" fontId="0" fillId="0" borderId="1" xfId="0" applyFill="1" applyBorder="1" applyAlignment="1">
      <alignment horizontal="right" vertical="top"/>
    </xf>
    <xf numFmtId="0" fontId="0" fillId="0" borderId="166" xfId="0" applyFill="1" applyBorder="1" applyAlignment="1">
      <alignment horizontal="right" vertical="top"/>
    </xf>
    <xf numFmtId="174" fontId="0" fillId="0" borderId="170" xfId="0" applyNumberFormat="1" applyFill="1" applyBorder="1" applyAlignment="1">
      <alignment horizontal="right" vertical="top"/>
    </xf>
    <xf numFmtId="0" fontId="1" fillId="0" borderId="0" xfId="0" applyFont="1" applyFill="1"/>
    <xf numFmtId="0" fontId="1" fillId="0" borderId="0" xfId="0" applyFont="1" applyFill="1" applyBorder="1" applyAlignment="1">
      <alignment horizontal="center"/>
    </xf>
    <xf numFmtId="0" fontId="0" fillId="0" borderId="0" xfId="0" applyFill="1" applyAlignment="1">
      <alignment horizontal="center"/>
    </xf>
    <xf numFmtId="174" fontId="0" fillId="0" borderId="0" xfId="0" applyNumberFormat="1" applyFill="1" applyAlignment="1">
      <alignment horizontal="center" vertical="top"/>
    </xf>
    <xf numFmtId="167" fontId="0" fillId="0" borderId="0" xfId="0" applyNumberFormat="1" applyFill="1" applyAlignment="1">
      <alignment horizontal="center"/>
    </xf>
    <xf numFmtId="174" fontId="1" fillId="0" borderId="0" xfId="0" applyNumberFormat="1" applyFont="1" applyFill="1" applyAlignment="1">
      <alignment horizontal="center"/>
    </xf>
    <xf numFmtId="174" fontId="1" fillId="0" borderId="0" xfId="0" applyNumberFormat="1" applyFont="1" applyFill="1" applyBorder="1" applyAlignment="1">
      <alignment horizontal="center"/>
    </xf>
    <xf numFmtId="0" fontId="0" fillId="0" borderId="1" xfId="0" applyFill="1" applyBorder="1" applyAlignment="1">
      <alignment horizontal="center"/>
    </xf>
    <xf numFmtId="0" fontId="1" fillId="0" borderId="0" xfId="0" applyFont="1" applyFill="1" applyAlignment="1">
      <alignment horizontal="center"/>
    </xf>
    <xf numFmtId="0" fontId="0" fillId="0" borderId="0" xfId="0" applyFill="1" applyAlignment="1">
      <alignment horizontal="center" vertical="top"/>
    </xf>
    <xf numFmtId="0" fontId="0" fillId="0" borderId="471" xfId="0" applyFill="1" applyBorder="1" applyAlignment="1">
      <alignment horizontal="center"/>
    </xf>
    <xf numFmtId="0" fontId="0" fillId="0" borderId="0" xfId="0" applyFill="1" applyBorder="1" applyAlignment="1">
      <alignment horizontal="center"/>
    </xf>
  </cellXfs>
  <cellStyles count="3">
    <cellStyle name="Hyperlink" xfId="1" builtinId="8"/>
    <cellStyle name="Normal" xfId="0" builtinId="0"/>
    <cellStyle name="Normal 2" xfId="2"/>
  </cellStyles>
  <dxfs count="0"/>
  <tableStyles count="0" defaultTableStyle="TableStyleMedium9" defaultPivotStyle="PivotStyleLight16"/>
  <colors>
    <mruColors>
      <color rgb="FFFFFF99"/>
      <color rgb="FF0000FF"/>
      <color rgb="FFFF00FF"/>
      <color rgb="FF0099CC"/>
      <color rgb="FF66CCFF"/>
      <color rgb="FF990000"/>
      <color rgb="FFB80000"/>
      <color rgb="FFCC66FF"/>
      <color rgb="FF00FF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1.png"/></Relationships>
</file>

<file path=xl/charts/_rels/chart10.xml.rels><?xml version="1.0" encoding="UTF-8" standalone="yes"?>
<Relationships xmlns="http://schemas.openxmlformats.org/package/2006/relationships"><Relationship Id="rId1" Type="http://schemas.openxmlformats.org/officeDocument/2006/relationships/image" Target="../media/image9.png"/></Relationships>
</file>

<file path=xl/charts/_rels/chart11.xml.rels><?xml version="1.0" encoding="UTF-8" standalone="yes"?>
<Relationships xmlns="http://schemas.openxmlformats.org/package/2006/relationships"><Relationship Id="rId1" Type="http://schemas.openxmlformats.org/officeDocument/2006/relationships/image" Target="../media/image10.jpeg"/></Relationships>
</file>

<file path=xl/charts/_rels/chart12.xml.rels><?xml version="1.0" encoding="UTF-8" standalone="yes"?>
<Relationships xmlns="http://schemas.openxmlformats.org/package/2006/relationships"><Relationship Id="rId1" Type="http://schemas.openxmlformats.org/officeDocument/2006/relationships/image" Target="../media/image11.jpeg"/></Relationships>
</file>

<file path=xl/charts/_rels/chart13.xml.rels><?xml version="1.0" encoding="UTF-8" standalone="yes"?>
<Relationships xmlns="http://schemas.openxmlformats.org/package/2006/relationships"><Relationship Id="rId1" Type="http://schemas.openxmlformats.org/officeDocument/2006/relationships/image" Target="../media/image4.png"/></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image" Target="../media/image4.png"/></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_rels/chart3.xml.rels><?xml version="1.0" encoding="UTF-8" standalone="yes"?>
<Relationships xmlns="http://schemas.openxmlformats.org/package/2006/relationships"><Relationship Id="rId1" Type="http://schemas.openxmlformats.org/officeDocument/2006/relationships/image" Target="../media/image3.png"/></Relationships>
</file>

<file path=xl/charts/_rels/chart5.xml.rels><?xml version="1.0" encoding="UTF-8" standalone="yes"?>
<Relationships xmlns="http://schemas.openxmlformats.org/package/2006/relationships"><Relationship Id="rId1" Type="http://schemas.openxmlformats.org/officeDocument/2006/relationships/image" Target="../media/image4.png"/></Relationships>
</file>

<file path=xl/charts/_rels/chart6.xml.rels><?xml version="1.0" encoding="UTF-8" standalone="yes"?>
<Relationships xmlns="http://schemas.openxmlformats.org/package/2006/relationships"><Relationship Id="rId1" Type="http://schemas.openxmlformats.org/officeDocument/2006/relationships/image" Target="../media/image5.png"/></Relationships>
</file>

<file path=xl/charts/_rels/chart7.xml.rels><?xml version="1.0" encoding="UTF-8" standalone="yes"?>
<Relationships xmlns="http://schemas.openxmlformats.org/package/2006/relationships"><Relationship Id="rId1" Type="http://schemas.openxmlformats.org/officeDocument/2006/relationships/image" Target="../media/image6.jpeg"/></Relationships>
</file>

<file path=xl/charts/_rels/chart8.xml.rels><?xml version="1.0" encoding="UTF-8" standalone="yes"?>
<Relationships xmlns="http://schemas.openxmlformats.org/package/2006/relationships"><Relationship Id="rId1" Type="http://schemas.openxmlformats.org/officeDocument/2006/relationships/image" Target="../media/image7.jpeg"/></Relationships>
</file>

<file path=xl/charts/_rels/chart9.xml.rels><?xml version="1.0" encoding="UTF-8" standalone="yes"?>
<Relationships xmlns="http://schemas.openxmlformats.org/package/2006/relationships"><Relationship Id="rId1" Type="http://schemas.openxmlformats.org/officeDocument/2006/relationships/image" Target="../media/image8.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n-US" sz="1400"/>
              <a:t>"ALL"  TORNADOES BY YEAR
Amarillo NWS CWA</a:t>
            </a:r>
          </a:p>
        </c:rich>
      </c:tx>
      <c:layout>
        <c:manualLayout>
          <c:xMode val="edge"/>
          <c:yMode val="edge"/>
          <c:x val="0.33805726556907761"/>
          <c:y val="2.6385158768981551E-2"/>
        </c:manualLayout>
      </c:layout>
      <c:overlay val="0"/>
      <c:spPr>
        <a:noFill/>
        <a:ln w="38100">
          <a:solidFill>
            <a:srgbClr val="FF0000"/>
          </a:solidFill>
          <a:prstDash val="solid"/>
        </a:ln>
      </c:spPr>
    </c:title>
    <c:autoTitleDeleted val="0"/>
    <c:plotArea>
      <c:layout>
        <c:manualLayout>
          <c:layoutTarget val="inner"/>
          <c:xMode val="edge"/>
          <c:yMode val="edge"/>
          <c:x val="7.9144476258649524E-2"/>
          <c:y val="0.13588390501319261"/>
          <c:w val="0.8940292293008838"/>
          <c:h val="0.79419525065963215"/>
        </c:manualLayout>
      </c:layout>
      <c:lineChart>
        <c:grouping val="standard"/>
        <c:varyColors val="0"/>
        <c:ser>
          <c:idx val="0"/>
          <c:order val="0"/>
          <c:tx>
            <c:v>Annual Total</c:v>
          </c:tx>
          <c:spPr>
            <a:ln w="25400">
              <a:solidFill>
                <a:srgbClr val="FFFFFF"/>
              </a:solidFill>
              <a:prstDash val="solid"/>
            </a:ln>
          </c:spPr>
          <c:marker>
            <c:symbol val="diamond"/>
            <c:size val="7"/>
            <c:spPr>
              <a:solidFill>
                <a:srgbClr val="000080"/>
              </a:solidFill>
              <a:ln>
                <a:solidFill>
                  <a:srgbClr val="000080"/>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Tornadoes'!$I$12:$I$98</c:f>
              <c:numCache>
                <c:formatCode>General</c:formatCode>
                <c:ptCount val="87"/>
                <c:pt idx="0">
                  <c:v>4</c:v>
                </c:pt>
                <c:pt idx="1">
                  <c:v>10</c:v>
                </c:pt>
                <c:pt idx="2">
                  <c:v>1</c:v>
                </c:pt>
                <c:pt idx="3">
                  <c:v>2</c:v>
                </c:pt>
                <c:pt idx="4">
                  <c:v>2</c:v>
                </c:pt>
                <c:pt idx="5">
                  <c:v>18</c:v>
                </c:pt>
                <c:pt idx="6">
                  <c:v>2</c:v>
                </c:pt>
                <c:pt idx="7">
                  <c:v>10</c:v>
                </c:pt>
                <c:pt idx="8">
                  <c:v>11</c:v>
                </c:pt>
                <c:pt idx="9">
                  <c:v>6</c:v>
                </c:pt>
                <c:pt idx="10">
                  <c:v>13</c:v>
                </c:pt>
                <c:pt idx="11">
                  <c:v>15</c:v>
                </c:pt>
                <c:pt idx="12">
                  <c:v>26</c:v>
                </c:pt>
                <c:pt idx="13">
                  <c:v>5</c:v>
                </c:pt>
                <c:pt idx="14">
                  <c:v>4</c:v>
                </c:pt>
                <c:pt idx="15">
                  <c:v>12</c:v>
                </c:pt>
                <c:pt idx="16">
                  <c:v>12</c:v>
                </c:pt>
                <c:pt idx="17">
                  <c:v>28</c:v>
                </c:pt>
                <c:pt idx="18">
                  <c:v>22</c:v>
                </c:pt>
                <c:pt idx="19">
                  <c:v>16</c:v>
                </c:pt>
                <c:pt idx="20">
                  <c:v>6</c:v>
                </c:pt>
                <c:pt idx="21">
                  <c:v>39</c:v>
                </c:pt>
                <c:pt idx="22">
                  <c:v>19</c:v>
                </c:pt>
                <c:pt idx="23">
                  <c:v>8</c:v>
                </c:pt>
                <c:pt idx="24">
                  <c:v>13</c:v>
                </c:pt>
                <c:pt idx="25">
                  <c:v>16</c:v>
                </c:pt>
                <c:pt idx="26">
                  <c:v>10</c:v>
                </c:pt>
                <c:pt idx="27">
                  <c:v>21</c:v>
                </c:pt>
                <c:pt idx="28">
                  <c:v>16</c:v>
                </c:pt>
                <c:pt idx="29">
                  <c:v>11</c:v>
                </c:pt>
                <c:pt idx="30">
                  <c:v>13</c:v>
                </c:pt>
                <c:pt idx="31">
                  <c:v>14</c:v>
                </c:pt>
                <c:pt idx="32">
                  <c:v>36</c:v>
                </c:pt>
                <c:pt idx="33">
                  <c:v>14</c:v>
                </c:pt>
                <c:pt idx="34">
                  <c:v>8</c:v>
                </c:pt>
                <c:pt idx="35">
                  <c:v>3</c:v>
                </c:pt>
                <c:pt idx="36">
                  <c:v>16</c:v>
                </c:pt>
                <c:pt idx="37">
                  <c:v>32</c:v>
                </c:pt>
                <c:pt idx="38">
                  <c:v>4</c:v>
                </c:pt>
                <c:pt idx="39">
                  <c:v>32</c:v>
                </c:pt>
                <c:pt idx="40">
                  <c:v>38</c:v>
                </c:pt>
                <c:pt idx="41">
                  <c:v>21</c:v>
                </c:pt>
                <c:pt idx="42">
                  <c:v>19</c:v>
                </c:pt>
                <c:pt idx="43">
                  <c:v>18</c:v>
                </c:pt>
                <c:pt idx="44">
                  <c:v>5</c:v>
                </c:pt>
                <c:pt idx="45">
                  <c:v>41</c:v>
                </c:pt>
                <c:pt idx="46">
                  <c:v>35</c:v>
                </c:pt>
                <c:pt idx="47">
                  <c:v>29</c:v>
                </c:pt>
                <c:pt idx="48">
                  <c:v>2</c:v>
                </c:pt>
                <c:pt idx="49">
                  <c:v>25</c:v>
                </c:pt>
                <c:pt idx="50">
                  <c:v>8</c:v>
                </c:pt>
                <c:pt idx="51">
                  <c:v>20</c:v>
                </c:pt>
                <c:pt idx="52">
                  <c:v>22</c:v>
                </c:pt>
                <c:pt idx="53">
                  <c:v>33</c:v>
                </c:pt>
                <c:pt idx="54">
                  <c:v>14</c:v>
                </c:pt>
                <c:pt idx="55">
                  <c:v>15</c:v>
                </c:pt>
                <c:pt idx="56">
                  <c:v>13</c:v>
                </c:pt>
                <c:pt idx="57">
                  <c:v>58</c:v>
                </c:pt>
                <c:pt idx="58">
                  <c:v>11</c:v>
                </c:pt>
                <c:pt idx="59">
                  <c:v>13</c:v>
                </c:pt>
                <c:pt idx="60">
                  <c:v>38</c:v>
                </c:pt>
                <c:pt idx="61">
                  <c:v>4</c:v>
                </c:pt>
                <c:pt idx="62">
                  <c:v>6</c:v>
                </c:pt>
                <c:pt idx="63">
                  <c:v>7</c:v>
                </c:pt>
                <c:pt idx="64">
                  <c:v>12</c:v>
                </c:pt>
                <c:pt idx="65">
                  <c:v>35</c:v>
                </c:pt>
                <c:pt idx="66">
                  <c:v>28</c:v>
                </c:pt>
                <c:pt idx="67">
                  <c:v>13</c:v>
                </c:pt>
                <c:pt idx="68">
                  <c:v>10</c:v>
                </c:pt>
                <c:pt idx="69">
                  <c:v>37</c:v>
                </c:pt>
                <c:pt idx="70">
                  <c:v>8</c:v>
                </c:pt>
                <c:pt idx="71">
                  <c:v>29</c:v>
                </c:pt>
                <c:pt idx="72">
                  <c:v>6</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0-6933-4425-9EBB-421F7F1B90CE}"/>
            </c:ext>
          </c:extLst>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Tornadoes'!$L$12:$L$98</c:f>
              <c:numCache>
                <c:formatCode>0.0</c:formatCode>
                <c:ptCount val="87"/>
                <c:pt idx="0">
                  <c:v>4</c:v>
                </c:pt>
                <c:pt idx="1">
                  <c:v>7</c:v>
                </c:pt>
                <c:pt idx="2">
                  <c:v>5</c:v>
                </c:pt>
                <c:pt idx="3">
                  <c:v>4.25</c:v>
                </c:pt>
                <c:pt idx="4">
                  <c:v>3.8</c:v>
                </c:pt>
                <c:pt idx="5">
                  <c:v>6.166666666666667</c:v>
                </c:pt>
                <c:pt idx="6">
                  <c:v>5.5714285714285712</c:v>
                </c:pt>
                <c:pt idx="7">
                  <c:v>6.125</c:v>
                </c:pt>
                <c:pt idx="8">
                  <c:v>6.666666666666667</c:v>
                </c:pt>
                <c:pt idx="9">
                  <c:v>6.6</c:v>
                </c:pt>
                <c:pt idx="10">
                  <c:v>7.1818181818181817</c:v>
                </c:pt>
                <c:pt idx="11">
                  <c:v>7.833333333333333</c:v>
                </c:pt>
                <c:pt idx="12">
                  <c:v>9.2307692307692299</c:v>
                </c:pt>
                <c:pt idx="13">
                  <c:v>8.9285714285714288</c:v>
                </c:pt>
                <c:pt idx="14">
                  <c:v>8.6</c:v>
                </c:pt>
                <c:pt idx="15">
                  <c:v>8.8125</c:v>
                </c:pt>
                <c:pt idx="16">
                  <c:v>9</c:v>
                </c:pt>
                <c:pt idx="17">
                  <c:v>10.055555555555555</c:v>
                </c:pt>
                <c:pt idx="18">
                  <c:v>10.684210526315789</c:v>
                </c:pt>
                <c:pt idx="19">
                  <c:v>10.95</c:v>
                </c:pt>
                <c:pt idx="20">
                  <c:v>10.714285714285714</c:v>
                </c:pt>
                <c:pt idx="21">
                  <c:v>12</c:v>
                </c:pt>
                <c:pt idx="22">
                  <c:v>12.304347826086957</c:v>
                </c:pt>
                <c:pt idx="23">
                  <c:v>12.125</c:v>
                </c:pt>
                <c:pt idx="24">
                  <c:v>12.16</c:v>
                </c:pt>
                <c:pt idx="25">
                  <c:v>12.307692307692308</c:v>
                </c:pt>
                <c:pt idx="26">
                  <c:v>12.222222222222221</c:v>
                </c:pt>
                <c:pt idx="27">
                  <c:v>12.535714285714286</c:v>
                </c:pt>
                <c:pt idx="28">
                  <c:v>12.655172413793103</c:v>
                </c:pt>
                <c:pt idx="29">
                  <c:v>12.6</c:v>
                </c:pt>
                <c:pt idx="30">
                  <c:v>12.612903225806452</c:v>
                </c:pt>
                <c:pt idx="31">
                  <c:v>12.65625</c:v>
                </c:pt>
                <c:pt idx="32">
                  <c:v>13.363636363636363</c:v>
                </c:pt>
                <c:pt idx="33">
                  <c:v>13.382352941176471</c:v>
                </c:pt>
                <c:pt idx="34">
                  <c:v>13.228571428571428</c:v>
                </c:pt>
                <c:pt idx="35">
                  <c:v>12.944444444444445</c:v>
                </c:pt>
                <c:pt idx="36">
                  <c:v>13.027027027027026</c:v>
                </c:pt>
                <c:pt idx="37">
                  <c:v>13.526315789473685</c:v>
                </c:pt>
                <c:pt idx="38">
                  <c:v>13.282051282051283</c:v>
                </c:pt>
                <c:pt idx="39">
                  <c:v>13.75</c:v>
                </c:pt>
                <c:pt idx="40">
                  <c:v>14.341463414634147</c:v>
                </c:pt>
                <c:pt idx="41">
                  <c:v>14.5</c:v>
                </c:pt>
                <c:pt idx="42">
                  <c:v>14.604651162790697</c:v>
                </c:pt>
                <c:pt idx="43">
                  <c:v>14.681818181818182</c:v>
                </c:pt>
                <c:pt idx="44">
                  <c:v>14.466666666666667</c:v>
                </c:pt>
                <c:pt idx="45">
                  <c:v>15.043478260869565</c:v>
                </c:pt>
                <c:pt idx="46">
                  <c:v>15.468085106382979</c:v>
                </c:pt>
                <c:pt idx="47">
                  <c:v>15.75</c:v>
                </c:pt>
                <c:pt idx="48">
                  <c:v>15.469387755102041</c:v>
                </c:pt>
                <c:pt idx="49">
                  <c:v>15.66</c:v>
                </c:pt>
                <c:pt idx="50">
                  <c:v>15.509803921568627</c:v>
                </c:pt>
                <c:pt idx="51">
                  <c:v>15.596153846153847</c:v>
                </c:pt>
                <c:pt idx="52">
                  <c:v>15.716981132075471</c:v>
                </c:pt>
                <c:pt idx="53">
                  <c:v>16.037037037037038</c:v>
                </c:pt>
                <c:pt idx="54">
                  <c:v>16</c:v>
                </c:pt>
                <c:pt idx="55">
                  <c:v>15.982142857142858</c:v>
                </c:pt>
                <c:pt idx="56">
                  <c:v>15.929824561403509</c:v>
                </c:pt>
                <c:pt idx="57">
                  <c:v>16.655172413793103</c:v>
                </c:pt>
                <c:pt idx="58">
                  <c:v>16.559322033898304</c:v>
                </c:pt>
                <c:pt idx="59">
                  <c:v>16.5</c:v>
                </c:pt>
                <c:pt idx="60">
                  <c:v>16.852459016393443</c:v>
                </c:pt>
                <c:pt idx="61">
                  <c:v>16.64516129032258</c:v>
                </c:pt>
                <c:pt idx="62">
                  <c:v>16.476190476190474</c:v>
                </c:pt>
                <c:pt idx="63">
                  <c:v>16.328125</c:v>
                </c:pt>
                <c:pt idx="64">
                  <c:v>16.261538461538461</c:v>
                </c:pt>
                <c:pt idx="65">
                  <c:v>16.545454545454547</c:v>
                </c:pt>
                <c:pt idx="66">
                  <c:v>16.71641791044776</c:v>
                </c:pt>
                <c:pt idx="67">
                  <c:v>16.661764705882351</c:v>
                </c:pt>
                <c:pt idx="68">
                  <c:v>16.565217391304348</c:v>
                </c:pt>
                <c:pt idx="69">
                  <c:v>16.857142857142858</c:v>
                </c:pt>
                <c:pt idx="70">
                  <c:v>16.732394366197184</c:v>
                </c:pt>
                <c:pt idx="71">
                  <c:v>16.902777777777779</c:v>
                </c:pt>
                <c:pt idx="72">
                  <c:v>16.753424657534246</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1-6933-4425-9EBB-421F7F1B90CE}"/>
            </c:ext>
          </c:extLst>
        </c:ser>
        <c:dLbls>
          <c:showLegendKey val="0"/>
          <c:showVal val="0"/>
          <c:showCatName val="0"/>
          <c:showSerName val="0"/>
          <c:showPercent val="0"/>
          <c:showBubbleSize val="0"/>
        </c:dLbls>
        <c:marker val="1"/>
        <c:smooth val="0"/>
        <c:axId val="155680128"/>
        <c:axId val="155699456"/>
      </c:lineChart>
      <c:catAx>
        <c:axId val="155680128"/>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5699456"/>
        <c:crosses val="autoZero"/>
        <c:auto val="1"/>
        <c:lblAlgn val="ctr"/>
        <c:lblOffset val="100"/>
        <c:tickLblSkip val="5"/>
        <c:tickMarkSkip val="1"/>
        <c:noMultiLvlLbl val="0"/>
      </c:catAx>
      <c:valAx>
        <c:axId val="155699456"/>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564543068480083E-3"/>
              <c:y val="0.39709760728806764"/>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5680128"/>
        <c:crosses val="autoZero"/>
        <c:crossBetween val="midCat"/>
      </c:valAx>
      <c:spPr>
        <a:noFill/>
        <a:ln w="3175">
          <a:solidFill>
            <a:srgbClr val="000000"/>
          </a:solidFill>
          <a:prstDash val="solid"/>
        </a:ln>
      </c:spPr>
    </c:plotArea>
    <c:legend>
      <c:legendPos val="t"/>
      <c:layout>
        <c:manualLayout>
          <c:xMode val="edge"/>
          <c:yMode val="edge"/>
          <c:x val="0.72816463851109658"/>
          <c:y val="7.9154634728775316E-3"/>
          <c:w val="0.22281651157241736"/>
          <c:h val="8.5751976393732651E-2"/>
        </c:manualLayout>
      </c:layout>
      <c:overlay val="0"/>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n-US" sz="1400"/>
              <a:t>F2 / EF2  TORNADOES BY YEAR
Amarillo NWS CWA</a:t>
            </a:r>
          </a:p>
        </c:rich>
      </c:tx>
      <c:layout>
        <c:manualLayout>
          <c:xMode val="edge"/>
          <c:yMode val="edge"/>
          <c:x val="0.34114939252502929"/>
          <c:y val="1.8385301837270343E-2"/>
        </c:manualLayout>
      </c:layout>
      <c:overlay val="0"/>
      <c:spPr>
        <a:noFill/>
        <a:ln w="38100">
          <a:solidFill>
            <a:srgbClr val="993366"/>
          </a:solidFill>
          <a:prstDash val="solid"/>
        </a:ln>
      </c:spPr>
    </c:title>
    <c:autoTitleDeleted val="0"/>
    <c:plotArea>
      <c:layout>
        <c:manualLayout>
          <c:layoutTarget val="inner"/>
          <c:xMode val="edge"/>
          <c:yMode val="edge"/>
          <c:x val="6.4582487143858364E-2"/>
          <c:y val="0.12796833773087118"/>
          <c:w val="0.90813185116566308"/>
          <c:h val="0.79419525065963215"/>
        </c:manualLayout>
      </c:layout>
      <c:lineChart>
        <c:grouping val="standard"/>
        <c:varyColors val="0"/>
        <c:ser>
          <c:idx val="0"/>
          <c:order val="0"/>
          <c:tx>
            <c:v>Annual Total</c:v>
          </c:tx>
          <c:spPr>
            <a:ln w="25400">
              <a:solidFill>
                <a:srgbClr val="FFFFFF"/>
              </a:solidFill>
              <a:prstDash val="solid"/>
            </a:ln>
          </c:spPr>
          <c:marker>
            <c:symbol val="plus"/>
            <c:size val="7"/>
            <c:spPr>
              <a:solidFill>
                <a:srgbClr val="FF00FF"/>
              </a:solidFill>
              <a:ln>
                <a:solidFill>
                  <a:srgbClr val="FF00FF"/>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Tornadoes'!$E$12:$E$98</c:f>
              <c:numCache>
                <c:formatCode>0</c:formatCode>
                <c:ptCount val="87"/>
                <c:pt idx="0">
                  <c:v>1</c:v>
                </c:pt>
                <c:pt idx="1">
                  <c:v>3</c:v>
                </c:pt>
                <c:pt idx="2">
                  <c:v>0</c:v>
                </c:pt>
                <c:pt idx="3">
                  <c:v>0</c:v>
                </c:pt>
                <c:pt idx="4">
                  <c:v>0</c:v>
                </c:pt>
                <c:pt idx="5">
                  <c:v>1</c:v>
                </c:pt>
                <c:pt idx="6">
                  <c:v>0</c:v>
                </c:pt>
                <c:pt idx="7">
                  <c:v>3</c:v>
                </c:pt>
                <c:pt idx="8">
                  <c:v>0</c:v>
                </c:pt>
                <c:pt idx="9">
                  <c:v>0</c:v>
                </c:pt>
                <c:pt idx="10">
                  <c:v>1</c:v>
                </c:pt>
                <c:pt idx="11">
                  <c:v>5</c:v>
                </c:pt>
                <c:pt idx="12">
                  <c:v>4</c:v>
                </c:pt>
                <c:pt idx="13">
                  <c:v>1</c:v>
                </c:pt>
                <c:pt idx="14">
                  <c:v>1</c:v>
                </c:pt>
                <c:pt idx="15">
                  <c:v>4</c:v>
                </c:pt>
                <c:pt idx="16">
                  <c:v>1</c:v>
                </c:pt>
                <c:pt idx="17">
                  <c:v>7</c:v>
                </c:pt>
                <c:pt idx="18">
                  <c:v>2</c:v>
                </c:pt>
                <c:pt idx="19">
                  <c:v>2</c:v>
                </c:pt>
                <c:pt idx="20">
                  <c:v>1</c:v>
                </c:pt>
                <c:pt idx="21">
                  <c:v>17</c:v>
                </c:pt>
                <c:pt idx="22">
                  <c:v>3</c:v>
                </c:pt>
                <c:pt idx="23">
                  <c:v>4</c:v>
                </c:pt>
                <c:pt idx="24">
                  <c:v>1</c:v>
                </c:pt>
                <c:pt idx="25">
                  <c:v>1</c:v>
                </c:pt>
                <c:pt idx="26">
                  <c:v>0</c:v>
                </c:pt>
                <c:pt idx="27">
                  <c:v>2</c:v>
                </c:pt>
                <c:pt idx="28">
                  <c:v>1</c:v>
                </c:pt>
                <c:pt idx="29">
                  <c:v>0</c:v>
                </c:pt>
                <c:pt idx="30">
                  <c:v>3</c:v>
                </c:pt>
                <c:pt idx="31">
                  <c:v>1</c:v>
                </c:pt>
                <c:pt idx="32">
                  <c:v>5</c:v>
                </c:pt>
                <c:pt idx="33">
                  <c:v>2</c:v>
                </c:pt>
                <c:pt idx="34">
                  <c:v>0</c:v>
                </c:pt>
                <c:pt idx="35">
                  <c:v>0</c:v>
                </c:pt>
                <c:pt idx="36">
                  <c:v>1</c:v>
                </c:pt>
                <c:pt idx="37">
                  <c:v>8</c:v>
                </c:pt>
                <c:pt idx="38">
                  <c:v>1</c:v>
                </c:pt>
                <c:pt idx="39">
                  <c:v>2</c:v>
                </c:pt>
                <c:pt idx="40">
                  <c:v>4</c:v>
                </c:pt>
                <c:pt idx="41">
                  <c:v>0</c:v>
                </c:pt>
                <c:pt idx="42">
                  <c:v>1</c:v>
                </c:pt>
                <c:pt idx="43">
                  <c:v>0</c:v>
                </c:pt>
                <c:pt idx="44">
                  <c:v>0</c:v>
                </c:pt>
                <c:pt idx="45">
                  <c:v>5</c:v>
                </c:pt>
                <c:pt idx="46">
                  <c:v>1</c:v>
                </c:pt>
                <c:pt idx="47">
                  <c:v>0</c:v>
                </c:pt>
                <c:pt idx="48">
                  <c:v>0</c:v>
                </c:pt>
                <c:pt idx="49">
                  <c:v>0</c:v>
                </c:pt>
                <c:pt idx="50">
                  <c:v>0</c:v>
                </c:pt>
                <c:pt idx="51">
                  <c:v>3</c:v>
                </c:pt>
                <c:pt idx="52">
                  <c:v>1</c:v>
                </c:pt>
                <c:pt idx="53">
                  <c:v>1</c:v>
                </c:pt>
                <c:pt idx="54">
                  <c:v>0</c:v>
                </c:pt>
                <c:pt idx="55">
                  <c:v>0</c:v>
                </c:pt>
                <c:pt idx="56">
                  <c:v>0</c:v>
                </c:pt>
                <c:pt idx="57">
                  <c:v>10</c:v>
                </c:pt>
                <c:pt idx="58">
                  <c:v>1</c:v>
                </c:pt>
                <c:pt idx="59">
                  <c:v>1</c:v>
                </c:pt>
                <c:pt idx="60">
                  <c:v>1</c:v>
                </c:pt>
                <c:pt idx="61">
                  <c:v>0</c:v>
                </c:pt>
                <c:pt idx="62">
                  <c:v>0</c:v>
                </c:pt>
                <c:pt idx="63">
                  <c:v>0</c:v>
                </c:pt>
                <c:pt idx="64">
                  <c:v>0</c:v>
                </c:pt>
                <c:pt idx="65">
                  <c:v>2</c:v>
                </c:pt>
                <c:pt idx="66">
                  <c:v>0</c:v>
                </c:pt>
                <c:pt idx="67">
                  <c:v>1</c:v>
                </c:pt>
                <c:pt idx="68">
                  <c:v>0</c:v>
                </c:pt>
                <c:pt idx="69">
                  <c:v>3</c:v>
                </c:pt>
                <c:pt idx="70">
                  <c:v>0</c:v>
                </c:pt>
                <c:pt idx="71">
                  <c:v>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0-4F61-4451-A45A-AD41959D28CF}"/>
            </c:ext>
          </c:extLst>
        </c:ser>
        <c:ser>
          <c:idx val="1"/>
          <c:order val="1"/>
          <c:tx>
            <c:v>Cumulative Average</c:v>
          </c:tx>
          <c:spPr>
            <a:ln w="12700">
              <a:solidFill>
                <a:srgbClr val="FF00FF"/>
              </a:solidFill>
              <a:prstDash val="solid"/>
            </a:ln>
          </c:spPr>
          <c:marker>
            <c:symbol val="square"/>
            <c:size val="5"/>
            <c:spPr>
              <a:solidFill>
                <a:srgbClr val="FFFF00"/>
              </a:solidFill>
              <a:ln>
                <a:solidFill>
                  <a:srgbClr val="FFFF00"/>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Tornadoes'!$R$12:$R$98</c:f>
              <c:numCache>
                <c:formatCode>0.0</c:formatCode>
                <c:ptCount val="87"/>
                <c:pt idx="0">
                  <c:v>1</c:v>
                </c:pt>
                <c:pt idx="1">
                  <c:v>2</c:v>
                </c:pt>
                <c:pt idx="2">
                  <c:v>1.3333333333333333</c:v>
                </c:pt>
                <c:pt idx="3">
                  <c:v>1</c:v>
                </c:pt>
                <c:pt idx="4">
                  <c:v>0.8</c:v>
                </c:pt>
                <c:pt idx="5">
                  <c:v>0.83333333333333337</c:v>
                </c:pt>
                <c:pt idx="6">
                  <c:v>0.7142857142857143</c:v>
                </c:pt>
                <c:pt idx="7">
                  <c:v>1</c:v>
                </c:pt>
                <c:pt idx="8">
                  <c:v>0.88888888888888884</c:v>
                </c:pt>
                <c:pt idx="9">
                  <c:v>0.8</c:v>
                </c:pt>
                <c:pt idx="10">
                  <c:v>0.81818181818181823</c:v>
                </c:pt>
                <c:pt idx="11">
                  <c:v>1.1666666666666667</c:v>
                </c:pt>
                <c:pt idx="12">
                  <c:v>1.3846153846153846</c:v>
                </c:pt>
                <c:pt idx="13">
                  <c:v>1.3571428571428572</c:v>
                </c:pt>
                <c:pt idx="14">
                  <c:v>1.3333333333333333</c:v>
                </c:pt>
                <c:pt idx="15">
                  <c:v>1.5</c:v>
                </c:pt>
                <c:pt idx="16">
                  <c:v>1.4705882352941178</c:v>
                </c:pt>
                <c:pt idx="17">
                  <c:v>1.7777777777777777</c:v>
                </c:pt>
                <c:pt idx="18">
                  <c:v>1.7894736842105263</c:v>
                </c:pt>
                <c:pt idx="19">
                  <c:v>1.8</c:v>
                </c:pt>
                <c:pt idx="20">
                  <c:v>1.7619047619047619</c:v>
                </c:pt>
                <c:pt idx="21">
                  <c:v>2.4545454545454546</c:v>
                </c:pt>
                <c:pt idx="22">
                  <c:v>2.4782608695652173</c:v>
                </c:pt>
                <c:pt idx="23">
                  <c:v>2.5416666666666665</c:v>
                </c:pt>
                <c:pt idx="24">
                  <c:v>2.48</c:v>
                </c:pt>
                <c:pt idx="25">
                  <c:v>2.4230769230769229</c:v>
                </c:pt>
                <c:pt idx="26">
                  <c:v>2.3333333333333335</c:v>
                </c:pt>
                <c:pt idx="27">
                  <c:v>2.3214285714285716</c:v>
                </c:pt>
                <c:pt idx="28">
                  <c:v>2.2758620689655173</c:v>
                </c:pt>
                <c:pt idx="29">
                  <c:v>2.2000000000000002</c:v>
                </c:pt>
                <c:pt idx="30">
                  <c:v>2.225806451612903</c:v>
                </c:pt>
                <c:pt idx="31">
                  <c:v>2.1875</c:v>
                </c:pt>
                <c:pt idx="32">
                  <c:v>2.2727272727272729</c:v>
                </c:pt>
                <c:pt idx="33">
                  <c:v>2.2647058823529411</c:v>
                </c:pt>
                <c:pt idx="34">
                  <c:v>2.2000000000000002</c:v>
                </c:pt>
                <c:pt idx="35">
                  <c:v>2.1388888888888888</c:v>
                </c:pt>
                <c:pt idx="36">
                  <c:v>2.1081081081081079</c:v>
                </c:pt>
                <c:pt idx="37">
                  <c:v>2.263157894736842</c:v>
                </c:pt>
                <c:pt idx="38">
                  <c:v>2.2307692307692308</c:v>
                </c:pt>
                <c:pt idx="39">
                  <c:v>2.2250000000000001</c:v>
                </c:pt>
                <c:pt idx="40">
                  <c:v>2.2682926829268291</c:v>
                </c:pt>
                <c:pt idx="41">
                  <c:v>2.2142857142857144</c:v>
                </c:pt>
                <c:pt idx="42">
                  <c:v>2.1860465116279069</c:v>
                </c:pt>
                <c:pt idx="43">
                  <c:v>2.1363636363636362</c:v>
                </c:pt>
                <c:pt idx="44">
                  <c:v>2.088888888888889</c:v>
                </c:pt>
                <c:pt idx="45">
                  <c:v>2.152173913043478</c:v>
                </c:pt>
                <c:pt idx="46">
                  <c:v>2.1276595744680851</c:v>
                </c:pt>
                <c:pt idx="47">
                  <c:v>2.0833333333333335</c:v>
                </c:pt>
                <c:pt idx="48">
                  <c:v>2.0408163265306123</c:v>
                </c:pt>
                <c:pt idx="49">
                  <c:v>2</c:v>
                </c:pt>
                <c:pt idx="50">
                  <c:v>1.9607843137254901</c:v>
                </c:pt>
                <c:pt idx="51">
                  <c:v>1.9807692307692308</c:v>
                </c:pt>
                <c:pt idx="52">
                  <c:v>1.9622641509433962</c:v>
                </c:pt>
                <c:pt idx="53">
                  <c:v>1.9444444444444444</c:v>
                </c:pt>
                <c:pt idx="54">
                  <c:v>1.9090909090909092</c:v>
                </c:pt>
                <c:pt idx="55">
                  <c:v>1.875</c:v>
                </c:pt>
                <c:pt idx="56">
                  <c:v>1.8421052631578947</c:v>
                </c:pt>
                <c:pt idx="57">
                  <c:v>1.9827586206896552</c:v>
                </c:pt>
                <c:pt idx="58">
                  <c:v>1.9661016949152543</c:v>
                </c:pt>
                <c:pt idx="59">
                  <c:v>1.95</c:v>
                </c:pt>
                <c:pt idx="60">
                  <c:v>1.9344262295081966</c:v>
                </c:pt>
                <c:pt idx="61">
                  <c:v>1.903225806451613</c:v>
                </c:pt>
                <c:pt idx="62">
                  <c:v>1.873015873015873</c:v>
                </c:pt>
                <c:pt idx="63">
                  <c:v>1.84375</c:v>
                </c:pt>
                <c:pt idx="64">
                  <c:v>1.8153846153846154</c:v>
                </c:pt>
                <c:pt idx="65">
                  <c:v>1.8181818181818181</c:v>
                </c:pt>
                <c:pt idx="66">
                  <c:v>1.791044776119403</c:v>
                </c:pt>
                <c:pt idx="67">
                  <c:v>1.7794117647058822</c:v>
                </c:pt>
                <c:pt idx="68">
                  <c:v>1.7536231884057971</c:v>
                </c:pt>
                <c:pt idx="69">
                  <c:v>1.7714285714285714</c:v>
                </c:pt>
                <c:pt idx="70">
                  <c:v>1.7464788732394365</c:v>
                </c:pt>
                <c:pt idx="71">
                  <c:v>1.75</c:v>
                </c:pt>
                <c:pt idx="72">
                  <c:v>1.726027397260274</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1-4F61-4451-A45A-AD41959D28CF}"/>
            </c:ext>
          </c:extLst>
        </c:ser>
        <c:dLbls>
          <c:showLegendKey val="0"/>
          <c:showVal val="0"/>
          <c:showCatName val="0"/>
          <c:showSerName val="0"/>
          <c:showPercent val="0"/>
          <c:showBubbleSize val="0"/>
        </c:dLbls>
        <c:marker val="1"/>
        <c:smooth val="0"/>
        <c:axId val="157703168"/>
        <c:axId val="157706112"/>
      </c:lineChart>
      <c:catAx>
        <c:axId val="157703168"/>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706112"/>
        <c:crosses val="autoZero"/>
        <c:auto val="1"/>
        <c:lblAlgn val="ctr"/>
        <c:lblOffset val="100"/>
        <c:tickLblSkip val="5"/>
        <c:tickMarkSkip val="1"/>
        <c:noMultiLvlLbl val="0"/>
      </c:catAx>
      <c:valAx>
        <c:axId val="157706112"/>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563603757675182E-3"/>
              <c:y val="0.38918215223097186"/>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703168"/>
        <c:crosses val="autoZero"/>
        <c:crossBetween val="midCat"/>
      </c:valAx>
      <c:spPr>
        <a:noFill/>
        <a:ln w="3175">
          <a:solidFill>
            <a:srgbClr val="000000"/>
          </a:solidFill>
          <a:prstDash val="solid"/>
        </a:ln>
      </c:spPr>
    </c:plotArea>
    <c:legend>
      <c:legendPos val="t"/>
      <c:layout>
        <c:manualLayout>
          <c:xMode val="edge"/>
          <c:yMode val="edge"/>
          <c:x val="0.72370826949798694"/>
          <c:y val="7.9155905511811113E-3"/>
          <c:w val="0.222816593627154"/>
          <c:h val="8.5752020997375528E-2"/>
        </c:manualLayout>
      </c:layout>
      <c:overlay val="0"/>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F3 / EF3 TORNADOES BY YEAR
Amarillo NWS CWA</a:t>
            </a:r>
          </a:p>
        </c:rich>
      </c:tx>
      <c:layout>
        <c:manualLayout>
          <c:xMode val="edge"/>
          <c:yMode val="edge"/>
          <c:x val="0.34156711682322344"/>
          <c:y val="2.631580052493444E-2"/>
        </c:manualLayout>
      </c:layout>
      <c:overlay val="0"/>
      <c:spPr>
        <a:noFill/>
        <a:ln w="38100">
          <a:solidFill>
            <a:srgbClr val="FFCC99"/>
          </a:solidFill>
          <a:prstDash val="solid"/>
        </a:ln>
      </c:spPr>
    </c:title>
    <c:autoTitleDeleted val="0"/>
    <c:plotArea>
      <c:layout>
        <c:manualLayout>
          <c:layoutTarget val="inner"/>
          <c:xMode val="edge"/>
          <c:yMode val="edge"/>
          <c:x val="8.1817428894033067E-2"/>
          <c:y val="0.14078956413803206"/>
          <c:w val="0.89043648204587367"/>
          <c:h val="0.79342156238535821"/>
        </c:manualLayout>
      </c:layout>
      <c:lineChart>
        <c:grouping val="standard"/>
        <c:varyColors val="0"/>
        <c:ser>
          <c:idx val="0"/>
          <c:order val="0"/>
          <c:tx>
            <c:v>Annual Total</c:v>
          </c:tx>
          <c:spPr>
            <a:ln w="25400">
              <a:solidFill>
                <a:srgbClr val="FFFFFF"/>
              </a:solidFill>
              <a:prstDash val="solid"/>
            </a:ln>
          </c:spPr>
          <c:marker>
            <c:symbol val="triangle"/>
            <c:size val="9"/>
            <c:spPr>
              <a:solidFill>
                <a:srgbClr val="FF0000"/>
              </a:solidFill>
              <a:ln>
                <a:solidFill>
                  <a:srgbClr val="FFFFFF"/>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Tornadoes'!$F$12:$F$98</c:f>
              <c:numCache>
                <c:formatCode>0</c:formatCode>
                <c:ptCount val="87"/>
                <c:pt idx="0">
                  <c:v>0</c:v>
                </c:pt>
                <c:pt idx="1">
                  <c:v>1</c:v>
                </c:pt>
                <c:pt idx="2">
                  <c:v>0</c:v>
                </c:pt>
                <c:pt idx="3">
                  <c:v>0</c:v>
                </c:pt>
                <c:pt idx="4">
                  <c:v>0</c:v>
                </c:pt>
                <c:pt idx="5">
                  <c:v>2</c:v>
                </c:pt>
                <c:pt idx="6">
                  <c:v>0</c:v>
                </c:pt>
                <c:pt idx="7">
                  <c:v>1</c:v>
                </c:pt>
                <c:pt idx="8">
                  <c:v>0</c:v>
                </c:pt>
                <c:pt idx="9">
                  <c:v>0</c:v>
                </c:pt>
                <c:pt idx="10">
                  <c:v>0</c:v>
                </c:pt>
                <c:pt idx="11">
                  <c:v>0</c:v>
                </c:pt>
                <c:pt idx="12">
                  <c:v>1</c:v>
                </c:pt>
                <c:pt idx="13">
                  <c:v>1</c:v>
                </c:pt>
                <c:pt idx="14">
                  <c:v>0</c:v>
                </c:pt>
                <c:pt idx="15">
                  <c:v>2</c:v>
                </c:pt>
                <c:pt idx="16">
                  <c:v>0</c:v>
                </c:pt>
                <c:pt idx="17">
                  <c:v>1</c:v>
                </c:pt>
                <c:pt idx="18">
                  <c:v>1</c:v>
                </c:pt>
                <c:pt idx="19">
                  <c:v>0</c:v>
                </c:pt>
                <c:pt idx="20">
                  <c:v>0</c:v>
                </c:pt>
                <c:pt idx="21">
                  <c:v>3</c:v>
                </c:pt>
                <c:pt idx="22">
                  <c:v>0</c:v>
                </c:pt>
                <c:pt idx="23">
                  <c:v>0</c:v>
                </c:pt>
                <c:pt idx="24">
                  <c:v>0</c:v>
                </c:pt>
                <c:pt idx="25">
                  <c:v>1</c:v>
                </c:pt>
                <c:pt idx="26">
                  <c:v>0</c:v>
                </c:pt>
                <c:pt idx="27">
                  <c:v>2</c:v>
                </c:pt>
                <c:pt idx="28">
                  <c:v>1</c:v>
                </c:pt>
                <c:pt idx="29">
                  <c:v>0</c:v>
                </c:pt>
                <c:pt idx="30">
                  <c:v>0</c:v>
                </c:pt>
                <c:pt idx="31">
                  <c:v>0</c:v>
                </c:pt>
                <c:pt idx="32">
                  <c:v>4</c:v>
                </c:pt>
                <c:pt idx="33">
                  <c:v>0</c:v>
                </c:pt>
                <c:pt idx="34">
                  <c:v>0</c:v>
                </c:pt>
                <c:pt idx="35">
                  <c:v>0</c:v>
                </c:pt>
                <c:pt idx="36">
                  <c:v>1</c:v>
                </c:pt>
                <c:pt idx="37">
                  <c:v>3</c:v>
                </c:pt>
                <c:pt idx="38">
                  <c:v>0</c:v>
                </c:pt>
                <c:pt idx="39">
                  <c:v>0</c:v>
                </c:pt>
                <c:pt idx="40">
                  <c:v>1</c:v>
                </c:pt>
                <c:pt idx="41">
                  <c:v>1</c:v>
                </c:pt>
                <c:pt idx="42">
                  <c:v>1</c:v>
                </c:pt>
                <c:pt idx="43">
                  <c:v>2</c:v>
                </c:pt>
                <c:pt idx="44">
                  <c:v>0</c:v>
                </c:pt>
                <c:pt idx="45">
                  <c:v>0</c:v>
                </c:pt>
                <c:pt idx="46">
                  <c:v>0</c:v>
                </c:pt>
                <c:pt idx="47">
                  <c:v>1</c:v>
                </c:pt>
                <c:pt idx="48">
                  <c:v>0</c:v>
                </c:pt>
                <c:pt idx="49">
                  <c:v>0</c:v>
                </c:pt>
                <c:pt idx="50">
                  <c:v>0</c:v>
                </c:pt>
                <c:pt idx="51">
                  <c:v>1</c:v>
                </c:pt>
                <c:pt idx="52">
                  <c:v>0</c:v>
                </c:pt>
                <c:pt idx="53">
                  <c:v>0</c:v>
                </c:pt>
                <c:pt idx="54">
                  <c:v>0</c:v>
                </c:pt>
                <c:pt idx="55">
                  <c:v>0</c:v>
                </c:pt>
                <c:pt idx="56">
                  <c:v>0</c:v>
                </c:pt>
                <c:pt idx="57">
                  <c:v>3</c:v>
                </c:pt>
                <c:pt idx="58">
                  <c:v>0</c:v>
                </c:pt>
                <c:pt idx="59">
                  <c:v>0</c:v>
                </c:pt>
                <c:pt idx="60">
                  <c:v>0</c:v>
                </c:pt>
                <c:pt idx="61">
                  <c:v>0</c:v>
                </c:pt>
                <c:pt idx="62">
                  <c:v>0</c:v>
                </c:pt>
                <c:pt idx="63">
                  <c:v>0</c:v>
                </c:pt>
                <c:pt idx="64">
                  <c:v>0</c:v>
                </c:pt>
                <c:pt idx="65">
                  <c:v>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0-7D42-4F59-8AE9-7A2D260561BD}"/>
            </c:ext>
          </c:extLst>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Tornadoes'!$T$12:$T$98</c:f>
              <c:numCache>
                <c:formatCode>0.0</c:formatCode>
                <c:ptCount val="87"/>
                <c:pt idx="0">
                  <c:v>0</c:v>
                </c:pt>
                <c:pt idx="1">
                  <c:v>0.5</c:v>
                </c:pt>
                <c:pt idx="2">
                  <c:v>0.33333333333333331</c:v>
                </c:pt>
                <c:pt idx="3">
                  <c:v>0.25</c:v>
                </c:pt>
                <c:pt idx="4">
                  <c:v>0.2</c:v>
                </c:pt>
                <c:pt idx="5">
                  <c:v>0.5</c:v>
                </c:pt>
                <c:pt idx="6">
                  <c:v>0.42857142857142855</c:v>
                </c:pt>
                <c:pt idx="7">
                  <c:v>0.5</c:v>
                </c:pt>
                <c:pt idx="8">
                  <c:v>0.44444444444444442</c:v>
                </c:pt>
                <c:pt idx="9">
                  <c:v>0.4</c:v>
                </c:pt>
                <c:pt idx="10">
                  <c:v>0.36363636363636365</c:v>
                </c:pt>
                <c:pt idx="11">
                  <c:v>0.33333333333333331</c:v>
                </c:pt>
                <c:pt idx="12">
                  <c:v>0.38461538461538464</c:v>
                </c:pt>
                <c:pt idx="13">
                  <c:v>0.42857142857142855</c:v>
                </c:pt>
                <c:pt idx="14">
                  <c:v>0.4</c:v>
                </c:pt>
                <c:pt idx="15">
                  <c:v>0.5</c:v>
                </c:pt>
                <c:pt idx="16">
                  <c:v>0.47058823529411764</c:v>
                </c:pt>
                <c:pt idx="17">
                  <c:v>0.5</c:v>
                </c:pt>
                <c:pt idx="18">
                  <c:v>0.52631578947368418</c:v>
                </c:pt>
                <c:pt idx="19">
                  <c:v>0.5</c:v>
                </c:pt>
                <c:pt idx="20">
                  <c:v>0.47619047619047616</c:v>
                </c:pt>
                <c:pt idx="21">
                  <c:v>0.59090909090909094</c:v>
                </c:pt>
                <c:pt idx="22">
                  <c:v>0.56521739130434778</c:v>
                </c:pt>
                <c:pt idx="23">
                  <c:v>0.54166666666666663</c:v>
                </c:pt>
                <c:pt idx="24">
                  <c:v>0.52</c:v>
                </c:pt>
                <c:pt idx="25">
                  <c:v>0.53846153846153844</c:v>
                </c:pt>
                <c:pt idx="26">
                  <c:v>0.51851851851851849</c:v>
                </c:pt>
                <c:pt idx="27">
                  <c:v>0.5714285714285714</c:v>
                </c:pt>
                <c:pt idx="28">
                  <c:v>0.58620689655172409</c:v>
                </c:pt>
                <c:pt idx="29">
                  <c:v>0.56666666666666665</c:v>
                </c:pt>
                <c:pt idx="30">
                  <c:v>0.54838709677419351</c:v>
                </c:pt>
                <c:pt idx="31">
                  <c:v>0.53125</c:v>
                </c:pt>
                <c:pt idx="32">
                  <c:v>0.63636363636363635</c:v>
                </c:pt>
                <c:pt idx="33">
                  <c:v>0.61764705882352944</c:v>
                </c:pt>
                <c:pt idx="34">
                  <c:v>0.6</c:v>
                </c:pt>
                <c:pt idx="35">
                  <c:v>0.58333333333333337</c:v>
                </c:pt>
                <c:pt idx="36">
                  <c:v>0.59459459459459463</c:v>
                </c:pt>
                <c:pt idx="37">
                  <c:v>0.65789473684210531</c:v>
                </c:pt>
                <c:pt idx="38">
                  <c:v>0.64102564102564108</c:v>
                </c:pt>
                <c:pt idx="39">
                  <c:v>0.625</c:v>
                </c:pt>
                <c:pt idx="40">
                  <c:v>0.63414634146341464</c:v>
                </c:pt>
                <c:pt idx="41">
                  <c:v>0.6428571428571429</c:v>
                </c:pt>
                <c:pt idx="42">
                  <c:v>0.65116279069767447</c:v>
                </c:pt>
                <c:pt idx="43">
                  <c:v>0.68181818181818177</c:v>
                </c:pt>
                <c:pt idx="44">
                  <c:v>0.66666666666666663</c:v>
                </c:pt>
                <c:pt idx="45">
                  <c:v>0.65217391304347827</c:v>
                </c:pt>
                <c:pt idx="46">
                  <c:v>0.63829787234042556</c:v>
                </c:pt>
                <c:pt idx="47">
                  <c:v>0.64583333333333337</c:v>
                </c:pt>
                <c:pt idx="48">
                  <c:v>0.63265306122448983</c:v>
                </c:pt>
                <c:pt idx="49">
                  <c:v>0.62</c:v>
                </c:pt>
                <c:pt idx="50">
                  <c:v>0.60784313725490191</c:v>
                </c:pt>
                <c:pt idx="51">
                  <c:v>0.61538461538461542</c:v>
                </c:pt>
                <c:pt idx="52">
                  <c:v>0.60377358490566035</c:v>
                </c:pt>
                <c:pt idx="53">
                  <c:v>0.59259259259259256</c:v>
                </c:pt>
                <c:pt idx="54">
                  <c:v>0.58181818181818179</c:v>
                </c:pt>
                <c:pt idx="55">
                  <c:v>0.5714285714285714</c:v>
                </c:pt>
                <c:pt idx="56">
                  <c:v>0.56140350877192979</c:v>
                </c:pt>
                <c:pt idx="57">
                  <c:v>0.60344827586206895</c:v>
                </c:pt>
                <c:pt idx="58">
                  <c:v>0.59322033898305082</c:v>
                </c:pt>
                <c:pt idx="59">
                  <c:v>0.58333333333333337</c:v>
                </c:pt>
                <c:pt idx="60">
                  <c:v>0.57377049180327866</c:v>
                </c:pt>
                <c:pt idx="61">
                  <c:v>0.56451612903225812</c:v>
                </c:pt>
                <c:pt idx="62">
                  <c:v>0.55555555555555558</c:v>
                </c:pt>
                <c:pt idx="63">
                  <c:v>0.546875</c:v>
                </c:pt>
                <c:pt idx="64">
                  <c:v>0.53846153846153844</c:v>
                </c:pt>
                <c:pt idx="65">
                  <c:v>0.56060606060606055</c:v>
                </c:pt>
                <c:pt idx="66">
                  <c:v>0.55223880597014929</c:v>
                </c:pt>
                <c:pt idx="67">
                  <c:v>0.54411764705882348</c:v>
                </c:pt>
                <c:pt idx="68">
                  <c:v>0.53623188405797106</c:v>
                </c:pt>
                <c:pt idx="69">
                  <c:v>0.52857142857142858</c:v>
                </c:pt>
                <c:pt idx="70">
                  <c:v>0.52112676056338025</c:v>
                </c:pt>
                <c:pt idx="71">
                  <c:v>0.51388888888888884</c:v>
                </c:pt>
                <c:pt idx="72">
                  <c:v>0.50684931506849318</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1-7D42-4F59-8AE9-7A2D260561BD}"/>
            </c:ext>
          </c:extLst>
        </c:ser>
        <c:dLbls>
          <c:showLegendKey val="0"/>
          <c:showVal val="0"/>
          <c:showCatName val="0"/>
          <c:showSerName val="0"/>
          <c:showPercent val="0"/>
          <c:showBubbleSize val="0"/>
        </c:dLbls>
        <c:marker val="1"/>
        <c:smooth val="0"/>
        <c:axId val="157884800"/>
        <c:axId val="157887488"/>
      </c:lineChart>
      <c:catAx>
        <c:axId val="157884800"/>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887488"/>
        <c:crosses val="autoZero"/>
        <c:auto val="1"/>
        <c:lblAlgn val="ctr"/>
        <c:lblOffset val="100"/>
        <c:tickLblSkip val="5"/>
        <c:tickMarkSkip val="1"/>
        <c:noMultiLvlLbl val="0"/>
      </c:catAx>
      <c:valAx>
        <c:axId val="157887488"/>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604526590816427E-3"/>
              <c:y val="0.40131611548556484"/>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884800"/>
        <c:crosses val="autoZero"/>
        <c:crossBetween val="midCat"/>
      </c:valAx>
      <c:spPr>
        <a:noFill/>
        <a:ln w="3175">
          <a:solidFill>
            <a:srgbClr val="000000"/>
          </a:solidFill>
          <a:prstDash val="solid"/>
        </a:ln>
      </c:spPr>
    </c:plotArea>
    <c:legend>
      <c:legendPos val="t"/>
      <c:layout>
        <c:manualLayout>
          <c:xMode val="edge"/>
          <c:yMode val="edge"/>
          <c:x val="0.72167704916567665"/>
          <c:y val="7.8948031496062984E-3"/>
          <c:w val="0.22569127780707321"/>
          <c:h val="8.5526299212598508E-2"/>
        </c:manualLayout>
      </c:layout>
      <c:overlay val="0"/>
      <c:spPr>
        <a:noFill/>
        <a:ln w="3175">
          <a:solidFill>
            <a:srgbClr val="FF8080"/>
          </a:solidFill>
          <a:prstDash val="solid"/>
        </a:ln>
      </c:spPr>
      <c:txPr>
        <a:bodyPr/>
        <a:lstStyle/>
        <a:p>
          <a:pPr>
            <a:defRPr sz="1200" b="0" i="0" u="none" strike="noStrike" baseline="0">
              <a:solidFill>
                <a:srgbClr val="FFFFFF"/>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n-US" sz="1400"/>
              <a:t>F4 / EF4 TORNADOES BY YEAR
Amarillo NWS CWA</a:t>
            </a:r>
          </a:p>
        </c:rich>
      </c:tx>
      <c:layout>
        <c:manualLayout>
          <c:xMode val="edge"/>
          <c:yMode val="edge"/>
          <c:x val="0.33702682170404241"/>
          <c:y val="2.6385158768981551E-2"/>
        </c:manualLayout>
      </c:layout>
      <c:overlay val="0"/>
      <c:spPr>
        <a:noFill/>
        <a:ln w="38100">
          <a:solidFill>
            <a:srgbClr val="00FFFF"/>
          </a:solidFill>
          <a:prstDash val="solid"/>
        </a:ln>
      </c:spPr>
    </c:title>
    <c:autoTitleDeleted val="0"/>
    <c:plotArea>
      <c:layout>
        <c:manualLayout>
          <c:layoutTarget val="inner"/>
          <c:xMode val="edge"/>
          <c:yMode val="edge"/>
          <c:x val="6.776587092334245E-2"/>
          <c:y val="0.13588390501319261"/>
          <c:w val="0.90227330550763907"/>
          <c:h val="0.79419525065963215"/>
        </c:manualLayout>
      </c:layout>
      <c:lineChart>
        <c:grouping val="standard"/>
        <c:varyColors val="0"/>
        <c:ser>
          <c:idx val="0"/>
          <c:order val="0"/>
          <c:tx>
            <c:v>Annual Total</c:v>
          </c:tx>
          <c:spPr>
            <a:ln w="25400">
              <a:solidFill>
                <a:srgbClr val="FFFFFF"/>
              </a:solidFill>
              <a:prstDash val="solid"/>
            </a:ln>
          </c:spPr>
          <c:marker>
            <c:symbol val="circle"/>
            <c:size val="9"/>
            <c:spPr>
              <a:solidFill>
                <a:srgbClr val="FFFF00"/>
              </a:solidFill>
              <a:ln>
                <a:solidFill>
                  <a:srgbClr val="FF0000"/>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Tornadoes'!$G$12:$G$98</c:f>
              <c:numCache>
                <c:formatCode>0</c:formatCode>
                <c:ptCount val="87"/>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c:v>
                </c:pt>
                <c:pt idx="21">
                  <c:v>2</c:v>
                </c:pt>
                <c:pt idx="22">
                  <c:v>0</c:v>
                </c:pt>
                <c:pt idx="23">
                  <c:v>0</c:v>
                </c:pt>
                <c:pt idx="24">
                  <c:v>0</c:v>
                </c:pt>
                <c:pt idx="25">
                  <c:v>0</c:v>
                </c:pt>
                <c:pt idx="26">
                  <c:v>0</c:v>
                </c:pt>
                <c:pt idx="27">
                  <c:v>1</c:v>
                </c:pt>
                <c:pt idx="28">
                  <c:v>0</c:v>
                </c:pt>
                <c:pt idx="29">
                  <c:v>0</c:v>
                </c:pt>
                <c:pt idx="30">
                  <c:v>0</c:v>
                </c:pt>
                <c:pt idx="31">
                  <c:v>0</c:v>
                </c:pt>
                <c:pt idx="32">
                  <c:v>1</c:v>
                </c:pt>
                <c:pt idx="33">
                  <c:v>0</c:v>
                </c:pt>
                <c:pt idx="34">
                  <c:v>0</c:v>
                </c:pt>
                <c:pt idx="35">
                  <c:v>0</c:v>
                </c:pt>
                <c:pt idx="36">
                  <c:v>0</c:v>
                </c:pt>
                <c:pt idx="37">
                  <c:v>0</c:v>
                </c:pt>
                <c:pt idx="38">
                  <c:v>0</c:v>
                </c:pt>
                <c:pt idx="39">
                  <c:v>0</c:v>
                </c:pt>
                <c:pt idx="40">
                  <c:v>0</c:v>
                </c:pt>
                <c:pt idx="41">
                  <c:v>0</c:v>
                </c:pt>
                <c:pt idx="42">
                  <c:v>1</c:v>
                </c:pt>
                <c:pt idx="43">
                  <c:v>0</c:v>
                </c:pt>
                <c:pt idx="44">
                  <c:v>0</c:v>
                </c:pt>
                <c:pt idx="45">
                  <c:v>3</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0-AD2B-4768-AC47-F8AD4A4C2F43}"/>
            </c:ext>
          </c:extLst>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Tornadoes'!$V$12:$V$98</c:f>
              <c:numCache>
                <c:formatCode>0.0</c:formatCode>
                <c:ptCount val="87"/>
                <c:pt idx="0">
                  <c:v>0</c:v>
                </c:pt>
                <c:pt idx="1">
                  <c:v>0</c:v>
                </c:pt>
                <c:pt idx="2">
                  <c:v>0</c:v>
                </c:pt>
                <c:pt idx="3">
                  <c:v>0</c:v>
                </c:pt>
                <c:pt idx="4">
                  <c:v>0</c:v>
                </c:pt>
                <c:pt idx="5">
                  <c:v>0.16666666666666666</c:v>
                </c:pt>
                <c:pt idx="6">
                  <c:v>0.14285714285714285</c:v>
                </c:pt>
                <c:pt idx="7">
                  <c:v>0.125</c:v>
                </c:pt>
                <c:pt idx="8">
                  <c:v>0.1111111111111111</c:v>
                </c:pt>
                <c:pt idx="9">
                  <c:v>0.1</c:v>
                </c:pt>
                <c:pt idx="10">
                  <c:v>9.0909090909090912E-2</c:v>
                </c:pt>
                <c:pt idx="11">
                  <c:v>8.3333333333333329E-2</c:v>
                </c:pt>
                <c:pt idx="12">
                  <c:v>7.6923076923076927E-2</c:v>
                </c:pt>
                <c:pt idx="13">
                  <c:v>7.1428571428571425E-2</c:v>
                </c:pt>
                <c:pt idx="14">
                  <c:v>6.6666666666666666E-2</c:v>
                </c:pt>
                <c:pt idx="15">
                  <c:v>6.25E-2</c:v>
                </c:pt>
                <c:pt idx="16">
                  <c:v>5.8823529411764705E-2</c:v>
                </c:pt>
                <c:pt idx="17">
                  <c:v>5.5555555555555552E-2</c:v>
                </c:pt>
                <c:pt idx="18">
                  <c:v>5.2631578947368418E-2</c:v>
                </c:pt>
                <c:pt idx="19">
                  <c:v>0.05</c:v>
                </c:pt>
                <c:pt idx="20">
                  <c:v>0.19047619047619047</c:v>
                </c:pt>
                <c:pt idx="21">
                  <c:v>0.27272727272727271</c:v>
                </c:pt>
                <c:pt idx="22">
                  <c:v>0.2608695652173913</c:v>
                </c:pt>
                <c:pt idx="23">
                  <c:v>0.25</c:v>
                </c:pt>
                <c:pt idx="24">
                  <c:v>0.24</c:v>
                </c:pt>
                <c:pt idx="25">
                  <c:v>0.23076923076923078</c:v>
                </c:pt>
                <c:pt idx="26">
                  <c:v>0.22222222222222221</c:v>
                </c:pt>
                <c:pt idx="27">
                  <c:v>0.25</c:v>
                </c:pt>
                <c:pt idx="28">
                  <c:v>0.2413793103448276</c:v>
                </c:pt>
                <c:pt idx="29">
                  <c:v>0.23333333333333334</c:v>
                </c:pt>
                <c:pt idx="30">
                  <c:v>0.22580645161290322</c:v>
                </c:pt>
                <c:pt idx="31">
                  <c:v>0.21875</c:v>
                </c:pt>
                <c:pt idx="32">
                  <c:v>0.24242424242424243</c:v>
                </c:pt>
                <c:pt idx="33">
                  <c:v>0.23529411764705882</c:v>
                </c:pt>
                <c:pt idx="34">
                  <c:v>0.22857142857142856</c:v>
                </c:pt>
                <c:pt idx="35">
                  <c:v>0.22222222222222221</c:v>
                </c:pt>
                <c:pt idx="36">
                  <c:v>0.21621621621621623</c:v>
                </c:pt>
                <c:pt idx="37">
                  <c:v>0.21052631578947367</c:v>
                </c:pt>
                <c:pt idx="38">
                  <c:v>0.20512820512820512</c:v>
                </c:pt>
                <c:pt idx="39">
                  <c:v>0.2</c:v>
                </c:pt>
                <c:pt idx="40">
                  <c:v>0.1951219512195122</c:v>
                </c:pt>
                <c:pt idx="41">
                  <c:v>0.19047619047619047</c:v>
                </c:pt>
                <c:pt idx="42">
                  <c:v>0.20930232558139536</c:v>
                </c:pt>
                <c:pt idx="43">
                  <c:v>0.20454545454545456</c:v>
                </c:pt>
                <c:pt idx="44">
                  <c:v>0.2</c:v>
                </c:pt>
                <c:pt idx="45">
                  <c:v>0.2608695652173913</c:v>
                </c:pt>
                <c:pt idx="46">
                  <c:v>0.25531914893617019</c:v>
                </c:pt>
                <c:pt idx="47">
                  <c:v>0.25</c:v>
                </c:pt>
                <c:pt idx="48">
                  <c:v>0.24489795918367346</c:v>
                </c:pt>
                <c:pt idx="49">
                  <c:v>0.24</c:v>
                </c:pt>
                <c:pt idx="50">
                  <c:v>0.23529411764705882</c:v>
                </c:pt>
                <c:pt idx="51">
                  <c:v>0.23076923076923078</c:v>
                </c:pt>
                <c:pt idx="52">
                  <c:v>0.22641509433962265</c:v>
                </c:pt>
                <c:pt idx="53">
                  <c:v>0.22222222222222221</c:v>
                </c:pt>
                <c:pt idx="54">
                  <c:v>0.21818181818181817</c:v>
                </c:pt>
                <c:pt idx="55">
                  <c:v>0.21428571428571427</c:v>
                </c:pt>
                <c:pt idx="56">
                  <c:v>0.21052631578947367</c:v>
                </c:pt>
                <c:pt idx="57">
                  <c:v>0.20689655172413793</c:v>
                </c:pt>
                <c:pt idx="58">
                  <c:v>0.20338983050847459</c:v>
                </c:pt>
                <c:pt idx="59">
                  <c:v>0.2</c:v>
                </c:pt>
                <c:pt idx="60">
                  <c:v>0.19672131147540983</c:v>
                </c:pt>
                <c:pt idx="61">
                  <c:v>0.19354838709677419</c:v>
                </c:pt>
                <c:pt idx="62">
                  <c:v>0.19047619047619047</c:v>
                </c:pt>
                <c:pt idx="63">
                  <c:v>0.1875</c:v>
                </c:pt>
                <c:pt idx="64">
                  <c:v>0.18461538461538463</c:v>
                </c:pt>
                <c:pt idx="65">
                  <c:v>0.18181818181818182</c:v>
                </c:pt>
                <c:pt idx="66">
                  <c:v>0.17910447761194029</c:v>
                </c:pt>
                <c:pt idx="67">
                  <c:v>0.17647058823529413</c:v>
                </c:pt>
                <c:pt idx="68">
                  <c:v>0.17391304347826086</c:v>
                </c:pt>
                <c:pt idx="69">
                  <c:v>0.17142857142857143</c:v>
                </c:pt>
                <c:pt idx="70">
                  <c:v>0.16901408450704225</c:v>
                </c:pt>
                <c:pt idx="71">
                  <c:v>0.16666666666666666</c:v>
                </c:pt>
                <c:pt idx="72">
                  <c:v>0.16438356164383561</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1-AD2B-4768-AC47-F8AD4A4C2F43}"/>
            </c:ext>
          </c:extLst>
        </c:ser>
        <c:dLbls>
          <c:showLegendKey val="0"/>
          <c:showVal val="0"/>
          <c:showCatName val="0"/>
          <c:showSerName val="0"/>
          <c:showPercent val="0"/>
          <c:showBubbleSize val="0"/>
        </c:dLbls>
        <c:marker val="1"/>
        <c:smooth val="0"/>
        <c:axId val="157922816"/>
        <c:axId val="157942144"/>
      </c:lineChart>
      <c:catAx>
        <c:axId val="157922816"/>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942144"/>
        <c:crosses val="autoZero"/>
        <c:auto val="1"/>
        <c:lblAlgn val="ctr"/>
        <c:lblOffset val="100"/>
        <c:tickLblSkip val="5"/>
        <c:tickMarkSkip val="1"/>
        <c:noMultiLvlLbl val="0"/>
      </c:catAx>
      <c:valAx>
        <c:axId val="157942144"/>
        <c:scaling>
          <c:orientation val="minMax"/>
        </c:scaling>
        <c:delete val="0"/>
        <c:axPos val="l"/>
        <c:majorGridlines>
          <c:spPr>
            <a:ln w="3175">
              <a:solidFill>
                <a:srgbClr val="C0C0C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604526590816427E-3"/>
              <c:y val="0.39709760728806764"/>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922816"/>
        <c:crosses val="autoZero"/>
        <c:crossBetween val="midCat"/>
      </c:valAx>
      <c:spPr>
        <a:noFill/>
        <a:ln w="3175">
          <a:solidFill>
            <a:srgbClr val="FFFFFF"/>
          </a:solidFill>
          <a:prstDash val="solid"/>
        </a:ln>
      </c:spPr>
    </c:plotArea>
    <c:legend>
      <c:legendPos val="t"/>
      <c:layout>
        <c:manualLayout>
          <c:xMode val="edge"/>
          <c:yMode val="edge"/>
          <c:x val="0.7225691396974927"/>
          <c:y val="7.9154634728775316E-3"/>
          <c:w val="0.22569127780707321"/>
          <c:h val="8.5751976393732651E-2"/>
        </c:manualLayout>
      </c:layout>
      <c:overlay val="0"/>
      <c:spPr>
        <a:noFill/>
        <a:ln w="3175">
          <a:solidFill>
            <a:srgbClr val="FF0000"/>
          </a:solidFill>
          <a:prstDash val="solid"/>
        </a:ln>
      </c:spPr>
      <c:txPr>
        <a:bodyPr/>
        <a:lstStyle/>
        <a:p>
          <a:pPr>
            <a:defRPr sz="1200" b="0" i="0" u="none" strike="noStrike" baseline="0">
              <a:solidFill>
                <a:srgbClr val="FFFF99"/>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FF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VIOLENT</a:t>
            </a:r>
            <a:r>
              <a:rPr lang="en-US" sz="1400" baseline="0"/>
              <a:t> </a:t>
            </a:r>
            <a:r>
              <a:rPr lang="en-US" sz="1400"/>
              <a:t>TORNADOES BY HOUR
Amarillo NWS CWA</a:t>
            </a:r>
          </a:p>
        </c:rich>
      </c:tx>
      <c:layout>
        <c:manualLayout>
          <c:xMode val="edge"/>
          <c:yMode val="edge"/>
          <c:x val="0.27966616160361718"/>
          <c:y val="3.1796570361783176E-2"/>
        </c:manualLayout>
      </c:layout>
      <c:overlay val="0"/>
      <c:spPr>
        <a:noFill/>
        <a:ln w="38100">
          <a:solidFill>
            <a:srgbClr val="FFFF00"/>
          </a:solidFill>
          <a:prstDash val="solid"/>
        </a:ln>
      </c:spPr>
    </c:title>
    <c:autoTitleDeleted val="0"/>
    <c:plotArea>
      <c:layout>
        <c:manualLayout>
          <c:layoutTarget val="inner"/>
          <c:xMode val="edge"/>
          <c:yMode val="edge"/>
          <c:x val="0.14089362839797706"/>
          <c:y val="0.22098569157392725"/>
          <c:w val="0.83276152719779961"/>
          <c:h val="0.55325914149443567"/>
        </c:manualLayout>
      </c:layout>
      <c:barChart>
        <c:barDir val="col"/>
        <c:grouping val="clustered"/>
        <c:varyColors val="0"/>
        <c:ser>
          <c:idx val="0"/>
          <c:order val="0"/>
          <c:spPr>
            <a:solidFill>
              <a:srgbClr val="00B0F0"/>
            </a:solidFill>
            <a:ln w="12700">
              <a:solidFill>
                <a:srgbClr val="000000"/>
              </a:solidFill>
              <a:prstDash val="solid"/>
            </a:ln>
          </c:spPr>
          <c:invertIfNegative val="0"/>
          <c:dLbls>
            <c:spPr>
              <a:noFill/>
              <a:ln w="25400">
                <a:noFill/>
              </a:ln>
            </c:spPr>
            <c:txPr>
              <a:bodyPr/>
              <a:lstStyle/>
              <a:p>
                <a:pPr>
                  <a:defRPr sz="85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Graphs!$A$408:$A$431</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AM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Graphs!$C$408:$C$431</c:f>
              <c:numCache>
                <c:formatCode>0.0%</c:formatCode>
                <c:ptCount val="24"/>
                <c:pt idx="0">
                  <c:v>0</c:v>
                </c:pt>
                <c:pt idx="1">
                  <c:v>8.3333333333333329E-2</c:v>
                </c:pt>
                <c:pt idx="2">
                  <c:v>0</c:v>
                </c:pt>
                <c:pt idx="3">
                  <c:v>0</c:v>
                </c:pt>
                <c:pt idx="4">
                  <c:v>0</c:v>
                </c:pt>
                <c:pt idx="5">
                  <c:v>0</c:v>
                </c:pt>
                <c:pt idx="6">
                  <c:v>0</c:v>
                </c:pt>
                <c:pt idx="7">
                  <c:v>0</c:v>
                </c:pt>
                <c:pt idx="8">
                  <c:v>0</c:v>
                </c:pt>
                <c:pt idx="9">
                  <c:v>0</c:v>
                </c:pt>
                <c:pt idx="10">
                  <c:v>0</c:v>
                </c:pt>
                <c:pt idx="11">
                  <c:v>0</c:v>
                </c:pt>
                <c:pt idx="12">
                  <c:v>0</c:v>
                </c:pt>
                <c:pt idx="13">
                  <c:v>8.3333333333333329E-2</c:v>
                </c:pt>
                <c:pt idx="14">
                  <c:v>0</c:v>
                </c:pt>
                <c:pt idx="15">
                  <c:v>0.16666666666666666</c:v>
                </c:pt>
                <c:pt idx="16">
                  <c:v>0</c:v>
                </c:pt>
                <c:pt idx="17">
                  <c:v>0.16666666666666666</c:v>
                </c:pt>
                <c:pt idx="18">
                  <c:v>0.16666666666666666</c:v>
                </c:pt>
                <c:pt idx="19">
                  <c:v>0</c:v>
                </c:pt>
                <c:pt idx="20">
                  <c:v>8.3333333333333329E-2</c:v>
                </c:pt>
                <c:pt idx="21">
                  <c:v>0</c:v>
                </c:pt>
                <c:pt idx="22">
                  <c:v>8.3333333333333329E-2</c:v>
                </c:pt>
                <c:pt idx="23">
                  <c:v>0.16666666666666666</c:v>
                </c:pt>
              </c:numCache>
            </c:numRef>
          </c:val>
          <c:extLst xmlns:c16r2="http://schemas.microsoft.com/office/drawing/2015/06/chart">
            <c:ext xmlns:c16="http://schemas.microsoft.com/office/drawing/2014/chart" uri="{C3380CC4-5D6E-409C-BE32-E72D297353CC}">
              <c16:uniqueId val="{00000000-1A05-4931-B83F-C934E4E1D5AB}"/>
            </c:ext>
          </c:extLst>
        </c:ser>
        <c:dLbls>
          <c:showLegendKey val="0"/>
          <c:showVal val="1"/>
          <c:showCatName val="0"/>
          <c:showSerName val="0"/>
          <c:showPercent val="0"/>
          <c:showBubbleSize val="0"/>
        </c:dLbls>
        <c:gapWidth val="150"/>
        <c:axId val="157975296"/>
        <c:axId val="157982720"/>
      </c:barChart>
      <c:catAx>
        <c:axId val="157975296"/>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b="1">
                    <a:solidFill>
                      <a:schemeClr val="bg2"/>
                    </a:solidFill>
                  </a:rPr>
                  <a:t>Hour (CST)</a:t>
                </a:r>
              </a:p>
            </c:rich>
          </c:tx>
          <c:layout>
            <c:manualLayout>
              <c:xMode val="edge"/>
              <c:yMode val="edge"/>
              <c:x val="0.48627553259312573"/>
              <c:y val="0.91705655339927661"/>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5400000" vert="horz"/>
          <a:lstStyle/>
          <a:p>
            <a:pPr>
              <a:defRPr sz="1000" b="1" i="0" u="none" strike="noStrike" baseline="0">
                <a:solidFill>
                  <a:srgbClr val="00FFFF"/>
                </a:solidFill>
                <a:latin typeface="Arial"/>
                <a:ea typeface="Arial"/>
                <a:cs typeface="Arial"/>
              </a:defRPr>
            </a:pPr>
            <a:endParaRPr lang="en-US"/>
          </a:p>
        </c:txPr>
        <c:crossAx val="157982720"/>
        <c:crosses val="autoZero"/>
        <c:auto val="1"/>
        <c:lblAlgn val="ctr"/>
        <c:lblOffset val="100"/>
        <c:tickLblSkip val="1"/>
        <c:tickMarkSkip val="1"/>
        <c:noMultiLvlLbl val="0"/>
      </c:catAx>
      <c:valAx>
        <c:axId val="157982720"/>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Percent of all Tornadoes </a:t>
                </a:r>
              </a:p>
            </c:rich>
          </c:tx>
          <c:layout>
            <c:manualLayout>
              <c:xMode val="edge"/>
              <c:yMode val="edge"/>
              <c:x val="9.2464624887188783E-3"/>
              <c:y val="0.27105965482804134"/>
            </c:manualLayout>
          </c:layout>
          <c:overlay val="0"/>
          <c:spPr>
            <a:noFill/>
            <a:ln w="25400">
              <a:noFill/>
            </a:ln>
          </c:spPr>
        </c:title>
        <c:numFmt formatCode="0.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57975296"/>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STRONG TORNADOES BY HOUR
Amarillo NWS CWA</a:t>
            </a:r>
          </a:p>
        </c:rich>
      </c:tx>
      <c:layout>
        <c:manualLayout>
          <c:xMode val="edge"/>
          <c:yMode val="edge"/>
          <c:x val="0.27546006276029422"/>
          <c:y val="3.1796570361783176E-2"/>
        </c:manualLayout>
      </c:layout>
      <c:overlay val="0"/>
      <c:spPr>
        <a:noFill/>
        <a:ln w="38100">
          <a:solidFill>
            <a:srgbClr val="FFFF00"/>
          </a:solidFill>
          <a:prstDash val="solid"/>
        </a:ln>
      </c:spPr>
    </c:title>
    <c:autoTitleDeleted val="0"/>
    <c:plotArea>
      <c:layout>
        <c:manualLayout>
          <c:layoutTarget val="inner"/>
          <c:xMode val="edge"/>
          <c:yMode val="edge"/>
          <c:x val="0.14089362839797706"/>
          <c:y val="0.22098569157392731"/>
          <c:w val="0.83276152719779961"/>
          <c:h val="0.55325914149443567"/>
        </c:manualLayout>
      </c:layout>
      <c:barChart>
        <c:barDir val="col"/>
        <c:grouping val="clustered"/>
        <c:varyColors val="0"/>
        <c:ser>
          <c:idx val="0"/>
          <c:order val="0"/>
          <c:spPr>
            <a:solidFill>
              <a:schemeClr val="accent6">
                <a:lumMod val="75000"/>
              </a:schemeClr>
            </a:solidFill>
            <a:ln w="12700">
              <a:solidFill>
                <a:srgbClr val="000000"/>
              </a:solidFill>
              <a:prstDash val="solid"/>
            </a:ln>
          </c:spPr>
          <c:invertIfNegative val="0"/>
          <c:dLbls>
            <c:spPr>
              <a:noFill/>
              <a:ln w="25400">
                <a:noFill/>
              </a:ln>
            </c:spPr>
            <c:txPr>
              <a:bodyPr/>
              <a:lstStyle/>
              <a:p>
                <a:pPr>
                  <a:defRPr sz="85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Graphs!$A$438:$A$461</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AM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Graphs!$C$438:$C$461</c:f>
              <c:numCache>
                <c:formatCode>0.0%</c:formatCode>
                <c:ptCount val="24"/>
                <c:pt idx="0">
                  <c:v>3.0674846625766871E-2</c:v>
                </c:pt>
                <c:pt idx="1">
                  <c:v>6.1349693251533744E-3</c:v>
                </c:pt>
                <c:pt idx="2">
                  <c:v>0</c:v>
                </c:pt>
                <c:pt idx="3">
                  <c:v>6.1349693251533744E-3</c:v>
                </c:pt>
                <c:pt idx="4">
                  <c:v>0</c:v>
                </c:pt>
                <c:pt idx="5">
                  <c:v>0</c:v>
                </c:pt>
                <c:pt idx="6">
                  <c:v>0</c:v>
                </c:pt>
                <c:pt idx="7">
                  <c:v>0</c:v>
                </c:pt>
                <c:pt idx="8">
                  <c:v>0</c:v>
                </c:pt>
                <c:pt idx="9">
                  <c:v>0</c:v>
                </c:pt>
                <c:pt idx="10">
                  <c:v>0</c:v>
                </c:pt>
                <c:pt idx="11">
                  <c:v>0</c:v>
                </c:pt>
                <c:pt idx="12">
                  <c:v>0</c:v>
                </c:pt>
                <c:pt idx="13">
                  <c:v>6.1349693251533744E-3</c:v>
                </c:pt>
                <c:pt idx="14">
                  <c:v>1.2269938650306749E-2</c:v>
                </c:pt>
                <c:pt idx="15">
                  <c:v>5.5214723926380369E-2</c:v>
                </c:pt>
                <c:pt idx="16">
                  <c:v>0.13496932515337423</c:v>
                </c:pt>
                <c:pt idx="17">
                  <c:v>0.17791411042944785</c:v>
                </c:pt>
                <c:pt idx="18">
                  <c:v>0.21472392638036811</c:v>
                </c:pt>
                <c:pt idx="19">
                  <c:v>0.1411042944785276</c:v>
                </c:pt>
                <c:pt idx="20">
                  <c:v>9.202453987730061E-2</c:v>
                </c:pt>
                <c:pt idx="21">
                  <c:v>6.7484662576687116E-2</c:v>
                </c:pt>
                <c:pt idx="22">
                  <c:v>3.6809815950920248E-2</c:v>
                </c:pt>
                <c:pt idx="23">
                  <c:v>1.8404907975460124E-2</c:v>
                </c:pt>
              </c:numCache>
            </c:numRef>
          </c:val>
          <c:extLst xmlns:c16r2="http://schemas.microsoft.com/office/drawing/2015/06/chart">
            <c:ext xmlns:c16="http://schemas.microsoft.com/office/drawing/2014/chart" uri="{C3380CC4-5D6E-409C-BE32-E72D297353CC}">
              <c16:uniqueId val="{00000000-6736-4E61-9915-7C1C8656CEDB}"/>
            </c:ext>
          </c:extLst>
        </c:ser>
        <c:dLbls>
          <c:showLegendKey val="0"/>
          <c:showVal val="1"/>
          <c:showCatName val="0"/>
          <c:showSerName val="0"/>
          <c:showPercent val="0"/>
          <c:showBubbleSize val="0"/>
        </c:dLbls>
        <c:gapWidth val="150"/>
        <c:axId val="158002560"/>
        <c:axId val="158022272"/>
      </c:barChart>
      <c:catAx>
        <c:axId val="158002560"/>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b="1">
                    <a:solidFill>
                      <a:schemeClr val="bg2"/>
                    </a:solidFill>
                  </a:rPr>
                  <a:t>Hour (CST)</a:t>
                </a:r>
              </a:p>
            </c:rich>
          </c:tx>
          <c:layout>
            <c:manualLayout>
              <c:xMode val="edge"/>
              <c:yMode val="edge"/>
              <c:x val="0.49255487385843416"/>
              <c:y val="0.92215534243688102"/>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5400000" vert="horz"/>
          <a:lstStyle/>
          <a:p>
            <a:pPr>
              <a:defRPr sz="1000" b="1" i="0" u="none" strike="noStrike" baseline="0">
                <a:solidFill>
                  <a:srgbClr val="00FFFF"/>
                </a:solidFill>
                <a:latin typeface="Arial"/>
                <a:ea typeface="Arial"/>
                <a:cs typeface="Arial"/>
              </a:defRPr>
            </a:pPr>
            <a:endParaRPr lang="en-US"/>
          </a:p>
        </c:txPr>
        <c:crossAx val="158022272"/>
        <c:crosses val="autoZero"/>
        <c:auto val="1"/>
        <c:lblAlgn val="ctr"/>
        <c:lblOffset val="100"/>
        <c:tickLblSkip val="1"/>
        <c:tickMarkSkip val="1"/>
        <c:noMultiLvlLbl val="0"/>
      </c:catAx>
      <c:valAx>
        <c:axId val="158022272"/>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Percent of all Tornadoes </a:t>
                </a:r>
              </a:p>
            </c:rich>
          </c:tx>
          <c:layout>
            <c:manualLayout>
              <c:xMode val="edge"/>
              <c:yMode val="edge"/>
              <c:x val="9.2464624887188783E-3"/>
              <c:y val="0.27615844386564564"/>
            </c:manualLayout>
          </c:layout>
          <c:overlay val="0"/>
          <c:spPr>
            <a:noFill/>
            <a:ln w="25400">
              <a:noFill/>
            </a:ln>
          </c:spPr>
        </c:title>
        <c:numFmt formatCode="0.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58002560"/>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WEAK TORNADOES BY HOUR
Amarillo NWS CWA</a:t>
            </a:r>
          </a:p>
        </c:rich>
      </c:tx>
      <c:layout>
        <c:manualLayout>
          <c:xMode val="edge"/>
          <c:yMode val="edge"/>
          <c:x val="0.29438750755524756"/>
          <c:y val="3.1796570361783176E-2"/>
        </c:manualLayout>
      </c:layout>
      <c:overlay val="0"/>
      <c:spPr>
        <a:noFill/>
        <a:ln w="38100">
          <a:solidFill>
            <a:srgbClr val="FFFF00"/>
          </a:solidFill>
          <a:prstDash val="solid"/>
        </a:ln>
      </c:spPr>
    </c:title>
    <c:autoTitleDeleted val="0"/>
    <c:plotArea>
      <c:layout>
        <c:manualLayout>
          <c:layoutTarget val="inner"/>
          <c:xMode val="edge"/>
          <c:yMode val="edge"/>
          <c:x val="0.14089362839797706"/>
          <c:y val="0.22098569157392736"/>
          <c:w val="0.83276152719779961"/>
          <c:h val="0.55325914149443567"/>
        </c:manualLayout>
      </c:layout>
      <c:barChart>
        <c:barDir val="col"/>
        <c:grouping val="clustered"/>
        <c:varyColors val="0"/>
        <c:ser>
          <c:idx val="0"/>
          <c:order val="0"/>
          <c:spPr>
            <a:solidFill>
              <a:srgbClr val="FF3399"/>
            </a:solidFill>
            <a:ln w="12700">
              <a:solidFill>
                <a:srgbClr val="000000"/>
              </a:solidFill>
              <a:prstDash val="solid"/>
            </a:ln>
          </c:spPr>
          <c:invertIfNegative val="0"/>
          <c:dLbls>
            <c:spPr>
              <a:noFill/>
              <a:ln w="25400">
                <a:noFill/>
              </a:ln>
            </c:spPr>
            <c:txPr>
              <a:bodyPr/>
              <a:lstStyle/>
              <a:p>
                <a:pPr>
                  <a:defRPr sz="85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Graphs!$A$468:$A$491</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AM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Graphs!$C$468:$C$491</c:f>
              <c:numCache>
                <c:formatCode>0.0%</c:formatCode>
                <c:ptCount val="24"/>
                <c:pt idx="0">
                  <c:v>1.1450381679389313E-2</c:v>
                </c:pt>
                <c:pt idx="1">
                  <c:v>7.6335877862595417E-3</c:v>
                </c:pt>
                <c:pt idx="2">
                  <c:v>5.7251908396946565E-3</c:v>
                </c:pt>
                <c:pt idx="3">
                  <c:v>2.8625954198473282E-3</c:v>
                </c:pt>
                <c:pt idx="4">
                  <c:v>9.5419847328244271E-4</c:v>
                </c:pt>
                <c:pt idx="5">
                  <c:v>0</c:v>
                </c:pt>
                <c:pt idx="6">
                  <c:v>9.5419847328244271E-4</c:v>
                </c:pt>
                <c:pt idx="7">
                  <c:v>1.9083969465648854E-3</c:v>
                </c:pt>
                <c:pt idx="8">
                  <c:v>1.9083969465648854E-3</c:v>
                </c:pt>
                <c:pt idx="9">
                  <c:v>1.9083969465648854E-3</c:v>
                </c:pt>
                <c:pt idx="10">
                  <c:v>0</c:v>
                </c:pt>
                <c:pt idx="11">
                  <c:v>1.9083969465648854E-3</c:v>
                </c:pt>
                <c:pt idx="12">
                  <c:v>1.049618320610687E-2</c:v>
                </c:pt>
                <c:pt idx="13">
                  <c:v>2.385496183206107E-2</c:v>
                </c:pt>
                <c:pt idx="14">
                  <c:v>4.5801526717557252E-2</c:v>
                </c:pt>
                <c:pt idx="15">
                  <c:v>7.9198473282442741E-2</c:v>
                </c:pt>
                <c:pt idx="16">
                  <c:v>0.14980916030534353</c:v>
                </c:pt>
                <c:pt idx="17">
                  <c:v>0.16698473282442747</c:v>
                </c:pt>
                <c:pt idx="18">
                  <c:v>0.16125954198473283</c:v>
                </c:pt>
                <c:pt idx="19">
                  <c:v>0.15458015267175573</c:v>
                </c:pt>
                <c:pt idx="20">
                  <c:v>8.3015267175572519E-2</c:v>
                </c:pt>
                <c:pt idx="21">
                  <c:v>4.1030534351145037E-2</c:v>
                </c:pt>
                <c:pt idx="22">
                  <c:v>2.1946564885496182E-2</c:v>
                </c:pt>
                <c:pt idx="23">
                  <c:v>2.4809160305343511E-2</c:v>
                </c:pt>
              </c:numCache>
            </c:numRef>
          </c:val>
          <c:extLst xmlns:c16r2="http://schemas.microsoft.com/office/drawing/2015/06/chart">
            <c:ext xmlns:c16="http://schemas.microsoft.com/office/drawing/2014/chart" uri="{C3380CC4-5D6E-409C-BE32-E72D297353CC}">
              <c16:uniqueId val="{00000000-147F-45E3-A562-9E879E5D7F4D}"/>
            </c:ext>
          </c:extLst>
        </c:ser>
        <c:dLbls>
          <c:showLegendKey val="0"/>
          <c:showVal val="1"/>
          <c:showCatName val="0"/>
          <c:showSerName val="0"/>
          <c:showPercent val="0"/>
          <c:showBubbleSize val="0"/>
        </c:dLbls>
        <c:gapWidth val="150"/>
        <c:axId val="158058752"/>
        <c:axId val="158070272"/>
      </c:barChart>
      <c:catAx>
        <c:axId val="158058752"/>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b="1">
                    <a:solidFill>
                      <a:schemeClr val="bg2"/>
                    </a:solidFill>
                  </a:rPr>
                  <a:t>Hour (CST)</a:t>
                </a:r>
              </a:p>
            </c:rich>
          </c:tx>
          <c:layout>
            <c:manualLayout>
              <c:xMode val="edge"/>
              <c:yMode val="edge"/>
              <c:x val="0.49255487385843416"/>
              <c:y val="0.9247047369556827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5400000" vert="horz"/>
          <a:lstStyle/>
          <a:p>
            <a:pPr>
              <a:defRPr sz="1000" b="1" i="0" u="none" strike="noStrike" baseline="0">
                <a:solidFill>
                  <a:srgbClr val="00FFFF"/>
                </a:solidFill>
                <a:latin typeface="Arial"/>
                <a:ea typeface="Arial"/>
                <a:cs typeface="Arial"/>
              </a:defRPr>
            </a:pPr>
            <a:endParaRPr lang="en-US"/>
          </a:p>
        </c:txPr>
        <c:crossAx val="158070272"/>
        <c:crosses val="autoZero"/>
        <c:auto val="1"/>
        <c:lblAlgn val="ctr"/>
        <c:lblOffset val="100"/>
        <c:tickLblSkip val="1"/>
        <c:tickMarkSkip val="1"/>
        <c:noMultiLvlLbl val="0"/>
      </c:catAx>
      <c:valAx>
        <c:axId val="158070272"/>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Percent of all Tornadoes </a:t>
                </a:r>
              </a:p>
            </c:rich>
          </c:tx>
          <c:layout>
            <c:manualLayout>
              <c:xMode val="edge"/>
              <c:yMode val="edge"/>
              <c:x val="9.2464624887188783E-3"/>
              <c:y val="0.28380662742205115"/>
            </c:manualLayout>
          </c:layout>
          <c:overlay val="0"/>
          <c:spPr>
            <a:noFill/>
            <a:ln w="25400">
              <a:noFill/>
            </a:ln>
          </c:spPr>
        </c:title>
        <c:numFmt formatCode="0.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58058752"/>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89264036537153E-2"/>
          <c:y val="8.7293990437616473E-2"/>
          <c:w val="0.83903692171560207"/>
          <c:h val="0.859394181020813"/>
        </c:manualLayout>
      </c:layout>
      <c:barChart>
        <c:barDir val="col"/>
        <c:grouping val="clustered"/>
        <c:varyColors val="0"/>
        <c:ser>
          <c:idx val="0"/>
          <c:order val="0"/>
          <c:tx>
            <c:v>6</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Graphs!$T$603:$T$683</c:f>
              <c:numCache>
                <c:formatCode>General</c:formatCode>
                <c:ptCount val="81"/>
                <c:pt idx="17">
                  <c:v>6</c:v>
                </c:pt>
                <c:pt idx="27">
                  <c:v>6</c:v>
                </c:pt>
                <c:pt idx="32">
                  <c:v>6</c:v>
                </c:pt>
                <c:pt idx="36">
                  <c:v>6</c:v>
                </c:pt>
                <c:pt idx="51">
                  <c:v>6</c:v>
                </c:pt>
                <c:pt idx="55">
                  <c:v>6</c:v>
                </c:pt>
                <c:pt idx="65">
                  <c:v>6</c:v>
                </c:pt>
                <c:pt idx="66">
                  <c:v>6</c:v>
                </c:pt>
              </c:numCache>
            </c:numRef>
          </c:val>
          <c:extLst xmlns:c16r2="http://schemas.microsoft.com/office/drawing/2015/06/chart">
            <c:ext xmlns:c16="http://schemas.microsoft.com/office/drawing/2014/chart" uri="{C3380CC4-5D6E-409C-BE32-E72D297353CC}">
              <c16:uniqueId val="{00000000-9C68-48BD-B00E-7C7DEA000A5F}"/>
            </c:ext>
          </c:extLst>
        </c:ser>
        <c:ser>
          <c:idx val="1"/>
          <c:order val="1"/>
          <c:tx>
            <c:v>7</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Graphs!$U$603:$U$683</c:f>
              <c:numCache>
                <c:formatCode>General</c:formatCode>
                <c:ptCount val="81"/>
                <c:pt idx="12">
                  <c:v>7</c:v>
                </c:pt>
                <c:pt idx="17">
                  <c:v>7</c:v>
                </c:pt>
                <c:pt idx="21">
                  <c:v>7</c:v>
                </c:pt>
                <c:pt idx="40">
                  <c:v>7</c:v>
                </c:pt>
                <c:pt idx="43">
                  <c:v>7</c:v>
                </c:pt>
                <c:pt idx="51">
                  <c:v>7</c:v>
                </c:pt>
                <c:pt idx="52">
                  <c:v>0</c:v>
                </c:pt>
                <c:pt idx="66">
                  <c:v>7</c:v>
                </c:pt>
              </c:numCache>
            </c:numRef>
          </c:val>
          <c:extLst xmlns:c16r2="http://schemas.microsoft.com/office/drawing/2015/06/chart">
            <c:ext xmlns:c16="http://schemas.microsoft.com/office/drawing/2014/chart" uri="{C3380CC4-5D6E-409C-BE32-E72D297353CC}">
              <c16:uniqueId val="{00000001-9C68-48BD-B00E-7C7DEA000A5F}"/>
            </c:ext>
          </c:extLst>
        </c:ser>
        <c:ser>
          <c:idx val="2"/>
          <c:order val="2"/>
          <c:tx>
            <c:v>8</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Graphs!$V$603:$V$683</c:f>
              <c:numCache>
                <c:formatCode>General</c:formatCode>
                <c:ptCount val="81"/>
                <c:pt idx="5">
                  <c:v>8</c:v>
                </c:pt>
                <c:pt idx="21">
                  <c:v>8</c:v>
                </c:pt>
                <c:pt idx="41">
                  <c:v>8</c:v>
                </c:pt>
                <c:pt idx="46">
                  <c:v>8</c:v>
                </c:pt>
                <c:pt idx="54">
                  <c:v>8</c:v>
                </c:pt>
                <c:pt idx="60">
                  <c:v>8</c:v>
                </c:pt>
                <c:pt idx="66">
                  <c:v>8</c:v>
                </c:pt>
                <c:pt idx="67">
                  <c:v>8</c:v>
                </c:pt>
                <c:pt idx="69">
                  <c:v>8</c:v>
                </c:pt>
              </c:numCache>
            </c:numRef>
          </c:val>
          <c:extLst xmlns:c16r2="http://schemas.microsoft.com/office/drawing/2015/06/chart">
            <c:ext xmlns:c16="http://schemas.microsoft.com/office/drawing/2014/chart" uri="{C3380CC4-5D6E-409C-BE32-E72D297353CC}">
              <c16:uniqueId val="{00000002-9C68-48BD-B00E-7C7DEA000A5F}"/>
            </c:ext>
          </c:extLst>
        </c:ser>
        <c:ser>
          <c:idx val="3"/>
          <c:order val="3"/>
          <c:tx>
            <c:v>9</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Graphs!$W$603:$W$683</c:f>
              <c:numCache>
                <c:formatCode>General</c:formatCode>
                <c:ptCount val="81"/>
                <c:pt idx="47">
                  <c:v>9</c:v>
                </c:pt>
                <c:pt idx="56">
                  <c:v>9</c:v>
                </c:pt>
                <c:pt idx="71">
                  <c:v>9</c:v>
                </c:pt>
              </c:numCache>
            </c:numRef>
          </c:val>
          <c:extLst xmlns:c16r2="http://schemas.microsoft.com/office/drawing/2015/06/chart">
            <c:ext xmlns:c16="http://schemas.microsoft.com/office/drawing/2014/chart" uri="{C3380CC4-5D6E-409C-BE32-E72D297353CC}">
              <c16:uniqueId val="{00000003-9C68-48BD-B00E-7C7DEA000A5F}"/>
            </c:ext>
          </c:extLst>
        </c:ser>
        <c:ser>
          <c:idx val="4"/>
          <c:order val="4"/>
          <c:tx>
            <c:v>10</c:v>
          </c:tx>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Graphs!$X$603:$X$683</c:f>
              <c:numCache>
                <c:formatCode>General</c:formatCode>
                <c:ptCount val="81"/>
                <c:pt idx="21">
                  <c:v>10</c:v>
                </c:pt>
                <c:pt idx="32">
                  <c:v>10</c:v>
                </c:pt>
              </c:numCache>
            </c:numRef>
          </c:val>
          <c:extLst xmlns:c16r2="http://schemas.microsoft.com/office/drawing/2015/06/chart">
            <c:ext xmlns:c16="http://schemas.microsoft.com/office/drawing/2014/chart" uri="{C3380CC4-5D6E-409C-BE32-E72D297353CC}">
              <c16:uniqueId val="{00000004-9C68-48BD-B00E-7C7DEA000A5F}"/>
            </c:ext>
          </c:extLst>
        </c:ser>
        <c:ser>
          <c:idx val="5"/>
          <c:order val="5"/>
          <c:tx>
            <c:v>11</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Graphs!$Y$603:$Y$683</c:f>
              <c:numCache>
                <c:formatCode>General</c:formatCode>
                <c:ptCount val="81"/>
                <c:pt idx="37">
                  <c:v>11</c:v>
                </c:pt>
              </c:numCache>
            </c:numRef>
          </c:val>
          <c:extLst xmlns:c16r2="http://schemas.microsoft.com/office/drawing/2015/06/chart">
            <c:ext xmlns:c16="http://schemas.microsoft.com/office/drawing/2014/chart" uri="{C3380CC4-5D6E-409C-BE32-E72D297353CC}">
              <c16:uniqueId val="{00000005-9C68-48BD-B00E-7C7DEA000A5F}"/>
            </c:ext>
          </c:extLst>
        </c:ser>
        <c:ser>
          <c:idx val="6"/>
          <c:order val="6"/>
          <c:tx>
            <c:v>12</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Graphs!$Z$603:$Z$683</c:f>
              <c:numCache>
                <c:formatCode>General</c:formatCode>
                <c:ptCount val="81"/>
                <c:pt idx="40">
                  <c:v>12</c:v>
                </c:pt>
                <c:pt idx="52">
                  <c:v>12</c:v>
                </c:pt>
                <c:pt idx="60">
                  <c:v>12</c:v>
                </c:pt>
              </c:numCache>
            </c:numRef>
          </c:val>
          <c:extLst xmlns:c16r2="http://schemas.microsoft.com/office/drawing/2015/06/chart">
            <c:ext xmlns:c16="http://schemas.microsoft.com/office/drawing/2014/chart" uri="{C3380CC4-5D6E-409C-BE32-E72D297353CC}">
              <c16:uniqueId val="{00000006-9C68-48BD-B00E-7C7DEA000A5F}"/>
            </c:ext>
          </c:extLst>
        </c:ser>
        <c:ser>
          <c:idx val="7"/>
          <c:order val="7"/>
          <c:tx>
            <c:v>13</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Graphs!$AA$603:$AA$683</c:f>
              <c:numCache>
                <c:formatCode>General</c:formatCode>
                <c:ptCount val="81"/>
                <c:pt idx="40">
                  <c:v>13</c:v>
                </c:pt>
                <c:pt idx="49">
                  <c:v>13</c:v>
                </c:pt>
                <c:pt idx="71">
                  <c:v>13</c:v>
                </c:pt>
              </c:numCache>
            </c:numRef>
          </c:val>
          <c:extLst xmlns:c16r2="http://schemas.microsoft.com/office/drawing/2015/06/chart">
            <c:ext xmlns:c16="http://schemas.microsoft.com/office/drawing/2014/chart" uri="{C3380CC4-5D6E-409C-BE32-E72D297353CC}">
              <c16:uniqueId val="{00000007-9C68-48BD-B00E-7C7DEA000A5F}"/>
            </c:ext>
          </c:extLst>
        </c:ser>
        <c:ser>
          <c:idx val="8"/>
          <c:order val="8"/>
          <c:tx>
            <c:v>14</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Graphs!$AB$603:$AB$683</c:f>
              <c:numCache>
                <c:formatCode>General</c:formatCode>
                <c:ptCount val="81"/>
                <c:pt idx="57">
                  <c:v>14</c:v>
                </c:pt>
              </c:numCache>
            </c:numRef>
          </c:val>
          <c:extLst xmlns:c16r2="http://schemas.microsoft.com/office/drawing/2015/06/chart">
            <c:ext xmlns:c16="http://schemas.microsoft.com/office/drawing/2014/chart" uri="{C3380CC4-5D6E-409C-BE32-E72D297353CC}">
              <c16:uniqueId val="{00000008-9C68-48BD-B00E-7C7DEA000A5F}"/>
            </c:ext>
          </c:extLst>
        </c:ser>
        <c:ser>
          <c:idx val="9"/>
          <c:order val="9"/>
          <c:tx>
            <c:v>15</c:v>
          </c:tx>
          <c:spPr>
            <a:effectLst>
              <a:outerShdw blurRad="50800" dist="2374900" dir="5400000" algn="ctr" rotWithShape="0">
                <a:srgbClr val="000000">
                  <a:alpha val="43137"/>
                </a:srgbClr>
              </a:outerShdw>
            </a:effectLst>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Graphs!$AC$603:$AC$683</c:f>
              <c:numCache>
                <c:formatCode>General</c:formatCode>
                <c:ptCount val="81"/>
                <c:pt idx="57">
                  <c:v>15</c:v>
                </c:pt>
              </c:numCache>
            </c:numRef>
          </c:val>
          <c:extLst xmlns:c16r2="http://schemas.microsoft.com/office/drawing/2015/06/chart">
            <c:ext xmlns:c16="http://schemas.microsoft.com/office/drawing/2014/chart" uri="{C3380CC4-5D6E-409C-BE32-E72D297353CC}">
              <c16:uniqueId val="{00000009-9C68-48BD-B00E-7C7DEA000A5F}"/>
            </c:ext>
          </c:extLst>
        </c:ser>
        <c:ser>
          <c:idx val="10"/>
          <c:order val="10"/>
          <c:tx>
            <c:v>16</c:v>
          </c:tx>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Graphs!$AD$603:$AD$683</c:f>
              <c:numCache>
                <c:formatCode>General</c:formatCode>
                <c:ptCount val="81"/>
              </c:numCache>
            </c:numRef>
          </c:val>
          <c:extLst xmlns:c16r2="http://schemas.microsoft.com/office/drawing/2015/06/chart">
            <c:ext xmlns:c16="http://schemas.microsoft.com/office/drawing/2014/chart" uri="{C3380CC4-5D6E-409C-BE32-E72D297353CC}">
              <c16:uniqueId val="{0000000A-9C68-48BD-B00E-7C7DEA000A5F}"/>
            </c:ext>
          </c:extLst>
        </c:ser>
        <c:ser>
          <c:idx val="11"/>
          <c:order val="11"/>
          <c:tx>
            <c:v>17</c:v>
          </c:tx>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Graphs!$AE$603:$AE$683</c:f>
              <c:numCache>
                <c:formatCode>General</c:formatCode>
                <c:ptCount val="81"/>
              </c:numCache>
            </c:numRef>
          </c:val>
          <c:extLst xmlns:c16r2="http://schemas.microsoft.com/office/drawing/2015/06/chart">
            <c:ext xmlns:c16="http://schemas.microsoft.com/office/drawing/2014/chart" uri="{C3380CC4-5D6E-409C-BE32-E72D297353CC}">
              <c16:uniqueId val="{0000000B-9C68-48BD-B00E-7C7DEA000A5F}"/>
            </c:ext>
          </c:extLst>
        </c:ser>
        <c:ser>
          <c:idx val="12"/>
          <c:order val="12"/>
          <c:tx>
            <c:v>18</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Graphs!$AF$603:$AF$683</c:f>
              <c:numCache>
                <c:formatCode>General</c:formatCode>
                <c:ptCount val="81"/>
                <c:pt idx="45">
                  <c:v>18</c:v>
                </c:pt>
              </c:numCache>
            </c:numRef>
          </c:val>
          <c:extLst xmlns:c16r2="http://schemas.microsoft.com/office/drawing/2015/06/chart">
            <c:ext xmlns:c16="http://schemas.microsoft.com/office/drawing/2014/chart" uri="{C3380CC4-5D6E-409C-BE32-E72D297353CC}">
              <c16:uniqueId val="{0000000C-9C68-48BD-B00E-7C7DEA000A5F}"/>
            </c:ext>
          </c:extLst>
        </c:ser>
        <c:ser>
          <c:idx val="13"/>
          <c:order val="13"/>
          <c:tx>
            <c:v>19</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Graphs!$AG$603:$AG$683</c:f>
              <c:numCache>
                <c:formatCode>General</c:formatCode>
                <c:ptCount val="81"/>
                <c:pt idx="65">
                  <c:v>19</c:v>
                </c:pt>
              </c:numCache>
            </c:numRef>
          </c:val>
          <c:extLst xmlns:c16r2="http://schemas.microsoft.com/office/drawing/2015/06/chart">
            <c:ext xmlns:c16="http://schemas.microsoft.com/office/drawing/2014/chart" uri="{C3380CC4-5D6E-409C-BE32-E72D297353CC}">
              <c16:uniqueId val="{0000000D-9C68-48BD-B00E-7C7DEA000A5F}"/>
            </c:ext>
          </c:extLst>
        </c:ser>
        <c:ser>
          <c:idx val="14"/>
          <c:order val="14"/>
          <c:tx>
            <c:v>20</c:v>
          </c:tx>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Graphs!$AH$603:$AH$683</c:f>
              <c:numCache>
                <c:formatCode>General</c:formatCode>
                <c:ptCount val="81"/>
              </c:numCache>
            </c:numRef>
          </c:val>
          <c:extLst xmlns:c16r2="http://schemas.microsoft.com/office/drawing/2015/06/chart">
            <c:ext xmlns:c16="http://schemas.microsoft.com/office/drawing/2014/chart" uri="{C3380CC4-5D6E-409C-BE32-E72D297353CC}">
              <c16:uniqueId val="{0000000E-9C68-48BD-B00E-7C7DEA000A5F}"/>
            </c:ext>
          </c:extLst>
        </c:ser>
        <c:ser>
          <c:idx val="15"/>
          <c:order val="15"/>
          <c:tx>
            <c:v>21</c:v>
          </c:tx>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Graphs!$AI$603:$AI$683</c:f>
              <c:numCache>
                <c:formatCode>General</c:formatCode>
                <c:ptCount val="81"/>
              </c:numCache>
            </c:numRef>
          </c:val>
          <c:extLst xmlns:c16r2="http://schemas.microsoft.com/office/drawing/2015/06/chart">
            <c:ext xmlns:c16="http://schemas.microsoft.com/office/drawing/2014/chart" uri="{C3380CC4-5D6E-409C-BE32-E72D297353CC}">
              <c16:uniqueId val="{0000000F-9C68-48BD-B00E-7C7DEA000A5F}"/>
            </c:ext>
          </c:extLst>
        </c:ser>
        <c:ser>
          <c:idx val="16"/>
          <c:order val="16"/>
          <c:tx>
            <c:v>22</c:v>
          </c:tx>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Graphs!$AJ$603:$AJ$683</c:f>
              <c:numCache>
                <c:formatCode>General</c:formatCode>
                <c:ptCount val="81"/>
              </c:numCache>
            </c:numRef>
          </c:val>
          <c:extLst xmlns:c16r2="http://schemas.microsoft.com/office/drawing/2015/06/chart">
            <c:ext xmlns:c16="http://schemas.microsoft.com/office/drawing/2014/chart" uri="{C3380CC4-5D6E-409C-BE32-E72D297353CC}">
              <c16:uniqueId val="{00000010-9C68-48BD-B00E-7C7DEA000A5F}"/>
            </c:ext>
          </c:extLst>
        </c:ser>
        <c:ser>
          <c:idx val="17"/>
          <c:order val="17"/>
          <c:tx>
            <c:v>23</c:v>
          </c:tx>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Graphs!$AK$603:$AK$683</c:f>
              <c:numCache>
                <c:formatCode>General</c:formatCode>
                <c:ptCount val="81"/>
              </c:numCache>
            </c:numRef>
          </c:val>
          <c:extLst xmlns:c16r2="http://schemas.microsoft.com/office/drawing/2015/06/chart">
            <c:ext xmlns:c16="http://schemas.microsoft.com/office/drawing/2014/chart" uri="{C3380CC4-5D6E-409C-BE32-E72D297353CC}">
              <c16:uniqueId val="{00000011-9C68-48BD-B00E-7C7DEA000A5F}"/>
            </c:ext>
          </c:extLst>
        </c:ser>
        <c:ser>
          <c:idx val="18"/>
          <c:order val="18"/>
          <c:tx>
            <c:v>24</c:v>
          </c:tx>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Graphs!$AL$603:$AL$683</c:f>
              <c:numCache>
                <c:formatCode>General</c:formatCode>
                <c:ptCount val="81"/>
              </c:numCache>
            </c:numRef>
          </c:val>
          <c:extLst xmlns:c16r2="http://schemas.microsoft.com/office/drawing/2015/06/chart">
            <c:ext xmlns:c16="http://schemas.microsoft.com/office/drawing/2014/chart" uri="{C3380CC4-5D6E-409C-BE32-E72D297353CC}">
              <c16:uniqueId val="{00000012-9C68-48BD-B00E-7C7DEA000A5F}"/>
            </c:ext>
          </c:extLst>
        </c:ser>
        <c:ser>
          <c:idx val="19"/>
          <c:order val="19"/>
          <c:tx>
            <c:v>25</c:v>
          </c:tx>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Graphs!$AM$603:$AM$683</c:f>
              <c:numCache>
                <c:formatCode>General</c:formatCode>
                <c:ptCount val="81"/>
              </c:numCache>
            </c:numRef>
          </c:val>
          <c:extLst xmlns:c16r2="http://schemas.microsoft.com/office/drawing/2015/06/chart">
            <c:ext xmlns:c16="http://schemas.microsoft.com/office/drawing/2014/chart" uri="{C3380CC4-5D6E-409C-BE32-E72D297353CC}">
              <c16:uniqueId val="{00000013-9C68-48BD-B00E-7C7DEA000A5F}"/>
            </c:ext>
          </c:extLst>
        </c:ser>
        <c:ser>
          <c:idx val="20"/>
          <c:order val="20"/>
          <c:tx>
            <c:v>26</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Graphs!$AN$603:$AN$683</c:f>
              <c:numCache>
                <c:formatCode>General</c:formatCode>
                <c:ptCount val="81"/>
                <c:pt idx="53">
                  <c:v>26</c:v>
                </c:pt>
              </c:numCache>
            </c:numRef>
          </c:val>
          <c:extLst xmlns:c16r2="http://schemas.microsoft.com/office/drawing/2015/06/chart">
            <c:ext xmlns:c16="http://schemas.microsoft.com/office/drawing/2014/chart" uri="{C3380CC4-5D6E-409C-BE32-E72D297353CC}">
              <c16:uniqueId val="{00000014-9C68-48BD-B00E-7C7DEA000A5F}"/>
            </c:ext>
          </c:extLst>
        </c:ser>
        <c:dLbls>
          <c:showLegendKey val="0"/>
          <c:showVal val="0"/>
          <c:showCatName val="0"/>
          <c:showSerName val="0"/>
          <c:showPercent val="0"/>
          <c:showBubbleSize val="0"/>
        </c:dLbls>
        <c:gapWidth val="500"/>
        <c:axId val="157359104"/>
        <c:axId val="157369088"/>
      </c:barChart>
      <c:catAx>
        <c:axId val="157359104"/>
        <c:scaling>
          <c:orientation val="minMax"/>
        </c:scaling>
        <c:delete val="0"/>
        <c:axPos val="b"/>
        <c:numFmt formatCode="General" sourceLinked="1"/>
        <c:majorTickMark val="out"/>
        <c:minorTickMark val="none"/>
        <c:tickLblPos val="nextTo"/>
        <c:spPr>
          <a:ln w="12700"/>
        </c:spPr>
        <c:txPr>
          <a:bodyPr rot="5400000" vert="horz"/>
          <a:lstStyle/>
          <a:p>
            <a:pPr>
              <a:defRPr sz="700"/>
            </a:pPr>
            <a:endParaRPr lang="en-US"/>
          </a:p>
        </c:txPr>
        <c:crossAx val="157369088"/>
        <c:crosses val="autoZero"/>
        <c:auto val="1"/>
        <c:lblAlgn val="ctr"/>
        <c:lblOffset val="5"/>
        <c:tickLblSkip val="2"/>
        <c:noMultiLvlLbl val="0"/>
      </c:catAx>
      <c:valAx>
        <c:axId val="157369088"/>
        <c:scaling>
          <c:orientation val="minMax"/>
        </c:scaling>
        <c:delete val="0"/>
        <c:axPos val="l"/>
        <c:majorGridlines/>
        <c:numFmt formatCode="General" sourceLinked="1"/>
        <c:majorTickMark val="out"/>
        <c:minorTickMark val="none"/>
        <c:tickLblPos val="nextTo"/>
        <c:crossAx val="157359104"/>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Days With At Least One Tornado By Year</a:t>
            </a:r>
          </a:p>
        </c:rich>
      </c:tx>
      <c:layout/>
      <c:overlay val="0"/>
    </c:title>
    <c:autoTitleDeleted val="0"/>
    <c:plotArea>
      <c:layout/>
      <c:barChart>
        <c:barDir val="col"/>
        <c:grouping val="clustered"/>
        <c:varyColors val="0"/>
        <c:ser>
          <c:idx val="19"/>
          <c:order val="0"/>
          <c:tx>
            <c:v># Days With At Least One Tornado</c:v>
          </c:tx>
          <c:spPr>
            <a:solidFill>
              <a:srgbClr val="00B0F0"/>
            </a:solidFill>
          </c:spPr>
          <c:invertIfNegative val="0"/>
          <c:cat>
            <c:numRef>
              <c:f>Graphs!$S$603:$S$683</c:f>
              <c:numCache>
                <c:formatCode>General</c:formatCode>
                <c:ptCount val="8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numCache>
            </c:numRef>
          </c:cat>
          <c:val>
            <c:numRef>
              <c:f>Graphs!$AP$603:$AP$683</c:f>
              <c:numCache>
                <c:formatCode>General</c:formatCode>
                <c:ptCount val="81"/>
                <c:pt idx="0">
                  <c:v>4</c:v>
                </c:pt>
                <c:pt idx="1">
                  <c:v>6</c:v>
                </c:pt>
                <c:pt idx="2">
                  <c:v>1</c:v>
                </c:pt>
                <c:pt idx="3">
                  <c:v>2</c:v>
                </c:pt>
                <c:pt idx="4">
                  <c:v>2</c:v>
                </c:pt>
                <c:pt idx="5">
                  <c:v>8</c:v>
                </c:pt>
                <c:pt idx="6">
                  <c:v>2</c:v>
                </c:pt>
                <c:pt idx="7">
                  <c:v>7</c:v>
                </c:pt>
                <c:pt idx="8">
                  <c:v>10</c:v>
                </c:pt>
                <c:pt idx="9">
                  <c:v>6</c:v>
                </c:pt>
                <c:pt idx="10">
                  <c:v>6</c:v>
                </c:pt>
                <c:pt idx="11">
                  <c:v>7</c:v>
                </c:pt>
                <c:pt idx="12">
                  <c:v>9</c:v>
                </c:pt>
                <c:pt idx="13">
                  <c:v>4</c:v>
                </c:pt>
                <c:pt idx="14">
                  <c:v>4</c:v>
                </c:pt>
                <c:pt idx="15">
                  <c:v>8</c:v>
                </c:pt>
                <c:pt idx="16">
                  <c:v>8</c:v>
                </c:pt>
                <c:pt idx="17">
                  <c:v>13</c:v>
                </c:pt>
                <c:pt idx="18">
                  <c:v>15</c:v>
                </c:pt>
                <c:pt idx="19">
                  <c:v>9</c:v>
                </c:pt>
                <c:pt idx="20">
                  <c:v>4</c:v>
                </c:pt>
                <c:pt idx="21">
                  <c:v>11</c:v>
                </c:pt>
                <c:pt idx="22">
                  <c:v>12</c:v>
                </c:pt>
                <c:pt idx="23">
                  <c:v>8</c:v>
                </c:pt>
                <c:pt idx="24">
                  <c:v>11</c:v>
                </c:pt>
                <c:pt idx="25">
                  <c:v>10</c:v>
                </c:pt>
                <c:pt idx="26">
                  <c:v>5</c:v>
                </c:pt>
                <c:pt idx="27">
                  <c:v>12</c:v>
                </c:pt>
                <c:pt idx="28">
                  <c:v>11</c:v>
                </c:pt>
                <c:pt idx="29">
                  <c:v>9</c:v>
                </c:pt>
                <c:pt idx="30">
                  <c:v>7</c:v>
                </c:pt>
                <c:pt idx="31">
                  <c:v>9</c:v>
                </c:pt>
                <c:pt idx="32">
                  <c:v>15</c:v>
                </c:pt>
                <c:pt idx="33">
                  <c:v>8</c:v>
                </c:pt>
                <c:pt idx="34">
                  <c:v>3</c:v>
                </c:pt>
                <c:pt idx="35">
                  <c:v>3</c:v>
                </c:pt>
                <c:pt idx="36">
                  <c:v>8</c:v>
                </c:pt>
                <c:pt idx="37">
                  <c:v>14</c:v>
                </c:pt>
                <c:pt idx="38">
                  <c:v>3</c:v>
                </c:pt>
                <c:pt idx="39">
                  <c:v>10</c:v>
                </c:pt>
                <c:pt idx="40">
                  <c:v>6</c:v>
                </c:pt>
                <c:pt idx="41">
                  <c:v>8</c:v>
                </c:pt>
                <c:pt idx="42">
                  <c:v>8</c:v>
                </c:pt>
                <c:pt idx="43">
                  <c:v>8</c:v>
                </c:pt>
                <c:pt idx="44">
                  <c:v>4</c:v>
                </c:pt>
                <c:pt idx="45">
                  <c:v>13</c:v>
                </c:pt>
                <c:pt idx="46">
                  <c:v>13</c:v>
                </c:pt>
                <c:pt idx="47">
                  <c:v>10</c:v>
                </c:pt>
                <c:pt idx="48">
                  <c:v>2</c:v>
                </c:pt>
                <c:pt idx="49">
                  <c:v>7</c:v>
                </c:pt>
                <c:pt idx="50">
                  <c:v>5</c:v>
                </c:pt>
                <c:pt idx="51">
                  <c:v>8</c:v>
                </c:pt>
                <c:pt idx="52">
                  <c:v>6</c:v>
                </c:pt>
                <c:pt idx="53">
                  <c:v>6</c:v>
                </c:pt>
                <c:pt idx="54">
                  <c:v>5</c:v>
                </c:pt>
                <c:pt idx="55">
                  <c:v>7</c:v>
                </c:pt>
                <c:pt idx="56">
                  <c:v>5</c:v>
                </c:pt>
                <c:pt idx="57">
                  <c:v>10</c:v>
                </c:pt>
                <c:pt idx="58">
                  <c:v>7</c:v>
                </c:pt>
                <c:pt idx="59">
                  <c:v>5</c:v>
                </c:pt>
                <c:pt idx="60">
                  <c:v>9</c:v>
                </c:pt>
                <c:pt idx="61">
                  <c:v>1</c:v>
                </c:pt>
                <c:pt idx="62">
                  <c:v>4</c:v>
                </c:pt>
                <c:pt idx="63">
                  <c:v>3</c:v>
                </c:pt>
                <c:pt idx="64">
                  <c:v>4</c:v>
                </c:pt>
                <c:pt idx="65">
                  <c:v>7</c:v>
                </c:pt>
                <c:pt idx="66">
                  <c:v>8</c:v>
                </c:pt>
                <c:pt idx="67">
                  <c:v>5</c:v>
                </c:pt>
                <c:pt idx="68">
                  <c:v>6</c:v>
                </c:pt>
                <c:pt idx="69">
                  <c:v>14</c:v>
                </c:pt>
                <c:pt idx="70">
                  <c:v>6</c:v>
                </c:pt>
                <c:pt idx="71">
                  <c:v>6</c:v>
                </c:pt>
                <c:pt idx="72">
                  <c:v>3</c:v>
                </c:pt>
              </c:numCache>
            </c:numRef>
          </c:val>
          <c:extLst xmlns:c16r2="http://schemas.microsoft.com/office/drawing/2015/06/chart">
            <c:ext xmlns:c16="http://schemas.microsoft.com/office/drawing/2014/chart" uri="{C3380CC4-5D6E-409C-BE32-E72D297353CC}">
              <c16:uniqueId val="{00000000-0457-4647-9EA4-D121AEE46DBA}"/>
            </c:ext>
          </c:extLst>
        </c:ser>
        <c:dLbls>
          <c:showLegendKey val="0"/>
          <c:showVal val="0"/>
          <c:showCatName val="0"/>
          <c:showSerName val="0"/>
          <c:showPercent val="0"/>
          <c:showBubbleSize val="0"/>
        </c:dLbls>
        <c:gapWidth val="150"/>
        <c:axId val="157403392"/>
        <c:axId val="157409280"/>
      </c:barChart>
      <c:catAx>
        <c:axId val="157403392"/>
        <c:scaling>
          <c:orientation val="minMax"/>
        </c:scaling>
        <c:delete val="0"/>
        <c:axPos val="b"/>
        <c:numFmt formatCode="General" sourceLinked="1"/>
        <c:majorTickMark val="out"/>
        <c:minorTickMark val="none"/>
        <c:tickLblPos val="nextTo"/>
        <c:crossAx val="157409280"/>
        <c:crosses val="autoZero"/>
        <c:auto val="1"/>
        <c:lblAlgn val="ctr"/>
        <c:lblOffset val="100"/>
        <c:noMultiLvlLbl val="0"/>
      </c:catAx>
      <c:valAx>
        <c:axId val="157409280"/>
        <c:scaling>
          <c:orientation val="minMax"/>
        </c:scaling>
        <c:delete val="0"/>
        <c:axPos val="l"/>
        <c:majorGridlines/>
        <c:numFmt formatCode="General" sourceLinked="1"/>
        <c:majorTickMark val="out"/>
        <c:minorTickMark val="none"/>
        <c:tickLblPos val="nextTo"/>
        <c:crossAx val="15740339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Tornadoes by Decade</a:t>
            </a:r>
          </a:p>
        </c:rich>
      </c:tx>
      <c:layout/>
      <c:overlay val="0"/>
    </c:title>
    <c:autoTitleDeleted val="0"/>
    <c:plotArea>
      <c:layout/>
      <c:barChart>
        <c:barDir val="col"/>
        <c:grouping val="clustered"/>
        <c:varyColors val="0"/>
        <c:ser>
          <c:idx val="0"/>
          <c:order val="0"/>
          <c:spPr>
            <a:gradFill>
              <a:gsLst>
                <a:gs pos="0">
                  <a:srgbClr val="000082"/>
                </a:gs>
                <a:gs pos="30000">
                  <a:srgbClr val="66008F"/>
                </a:gs>
                <a:gs pos="64999">
                  <a:srgbClr val="BA0066"/>
                </a:gs>
                <a:gs pos="89999">
                  <a:srgbClr val="FF0000"/>
                </a:gs>
                <a:gs pos="100000">
                  <a:srgbClr val="FF8200"/>
                </a:gs>
              </a:gsLst>
              <a:lin ang="5400000" scaled="0"/>
            </a:gradFill>
            <a:ln>
              <a:solidFill>
                <a:srgbClr val="FFFF00"/>
              </a:solidFill>
            </a:ln>
          </c:spPr>
          <c:invertIfNegative val="0"/>
          <c:cat>
            <c:strRef>
              <c:f>Graphs!$A$655:$A$662</c:f>
              <c:strCache>
                <c:ptCount val="8"/>
                <c:pt idx="0">
                  <c:v>1960s:</c:v>
                </c:pt>
                <c:pt idx="1">
                  <c:v>1970s:</c:v>
                </c:pt>
                <c:pt idx="2">
                  <c:v>1980s:</c:v>
                </c:pt>
                <c:pt idx="3">
                  <c:v>1990s:</c:v>
                </c:pt>
                <c:pt idx="4">
                  <c:v>2000s:</c:v>
                </c:pt>
                <c:pt idx="5">
                  <c:v>2010s:</c:v>
                </c:pt>
                <c:pt idx="6">
                  <c:v>2020s:</c:v>
                </c:pt>
                <c:pt idx="7">
                  <c:v>2030s:</c:v>
                </c:pt>
              </c:strCache>
            </c:strRef>
          </c:cat>
          <c:val>
            <c:numRef>
              <c:f>Graphs!$B$655:$B$662</c:f>
              <c:numCache>
                <c:formatCode>0</c:formatCode>
                <c:ptCount val="8"/>
                <c:pt idx="0">
                  <c:v>153</c:v>
                </c:pt>
                <c:pt idx="1">
                  <c:v>159</c:v>
                </c:pt>
                <c:pt idx="2">
                  <c:v>172</c:v>
                </c:pt>
                <c:pt idx="3">
                  <c:v>233</c:v>
                </c:pt>
                <c:pt idx="4">
                  <c:v>207</c:v>
                </c:pt>
                <c:pt idx="5">
                  <c:v>190</c:v>
                </c:pt>
                <c:pt idx="6">
                  <c:v>43</c:v>
                </c:pt>
              </c:numCache>
            </c:numRef>
          </c:val>
          <c:extLst xmlns:c16r2="http://schemas.microsoft.com/office/drawing/2015/06/chart">
            <c:ext xmlns:c16="http://schemas.microsoft.com/office/drawing/2014/chart" uri="{C3380CC4-5D6E-409C-BE32-E72D297353CC}">
              <c16:uniqueId val="{00000000-33D8-46EB-B7BD-09C1C9C55367}"/>
            </c:ext>
          </c:extLst>
        </c:ser>
        <c:dLbls>
          <c:showLegendKey val="0"/>
          <c:showVal val="0"/>
          <c:showCatName val="0"/>
          <c:showSerName val="0"/>
          <c:showPercent val="0"/>
          <c:showBubbleSize val="0"/>
        </c:dLbls>
        <c:gapWidth val="150"/>
        <c:axId val="157438720"/>
        <c:axId val="157440640"/>
      </c:barChart>
      <c:catAx>
        <c:axId val="157438720"/>
        <c:scaling>
          <c:orientation val="minMax"/>
        </c:scaling>
        <c:delete val="0"/>
        <c:axPos val="b"/>
        <c:title>
          <c:tx>
            <c:rich>
              <a:bodyPr/>
              <a:lstStyle/>
              <a:p>
                <a:pPr>
                  <a:defRPr/>
                </a:pPr>
                <a:r>
                  <a:rPr lang="en-US"/>
                  <a:t>Time Period</a:t>
                </a:r>
              </a:p>
            </c:rich>
          </c:tx>
          <c:layout/>
          <c:overlay val="0"/>
        </c:title>
        <c:numFmt formatCode="General" sourceLinked="0"/>
        <c:majorTickMark val="out"/>
        <c:minorTickMark val="none"/>
        <c:tickLblPos val="nextTo"/>
        <c:crossAx val="157440640"/>
        <c:crosses val="autoZero"/>
        <c:auto val="1"/>
        <c:lblAlgn val="ctr"/>
        <c:lblOffset val="100"/>
        <c:noMultiLvlLbl val="0"/>
      </c:catAx>
      <c:valAx>
        <c:axId val="157440640"/>
        <c:scaling>
          <c:orientation val="minMax"/>
        </c:scaling>
        <c:delete val="0"/>
        <c:axPos val="l"/>
        <c:majorGridlines/>
        <c:title>
          <c:tx>
            <c:rich>
              <a:bodyPr rot="-5400000" vert="horz"/>
              <a:lstStyle/>
              <a:p>
                <a:pPr>
                  <a:defRPr/>
                </a:pPr>
                <a:r>
                  <a:rPr lang="en-US"/>
                  <a:t>No. of Tornadoes</a:t>
                </a:r>
              </a:p>
            </c:rich>
          </c:tx>
          <c:layout/>
          <c:overlay val="0"/>
        </c:title>
        <c:numFmt formatCode="0" sourceLinked="1"/>
        <c:majorTickMark val="out"/>
        <c:minorTickMark val="none"/>
        <c:tickLblPos val="nextTo"/>
        <c:crossAx val="157438720"/>
        <c:crosses val="autoZero"/>
        <c:crossBetween val="between"/>
      </c:valAx>
      <c:spPr>
        <a:solidFill>
          <a:schemeClr val="tx1"/>
        </a:solidFill>
      </c:spPr>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FF00FF"/>
                </a:solidFill>
              </a:defRPr>
            </a:pPr>
            <a:r>
              <a:rPr lang="en-US">
                <a:solidFill>
                  <a:srgbClr val="FF00FF"/>
                </a:solidFill>
              </a:rPr>
              <a:t>Tornado Strength by Decade</a:t>
            </a:r>
          </a:p>
        </c:rich>
      </c:tx>
      <c:layout/>
      <c:overlay val="1"/>
    </c:title>
    <c:autoTitleDeleted val="0"/>
    <c:plotArea>
      <c:layout>
        <c:manualLayout>
          <c:layoutTarget val="inner"/>
          <c:xMode val="edge"/>
          <c:yMode val="edge"/>
          <c:x val="6.435270357560445E-2"/>
          <c:y val="0.17397052515249997"/>
          <c:w val="0.79737189393381902"/>
          <c:h val="0.73350259195439904"/>
        </c:manualLayout>
      </c:layout>
      <c:barChart>
        <c:barDir val="col"/>
        <c:grouping val="clustered"/>
        <c:varyColors val="0"/>
        <c:ser>
          <c:idx val="0"/>
          <c:order val="0"/>
          <c:tx>
            <c:strRef>
              <c:f>Graphs!$E$653</c:f>
              <c:strCache>
                <c:ptCount val="1"/>
                <c:pt idx="0">
                  <c:v>F0 / EF0</c:v>
                </c:pt>
              </c:strCache>
            </c:strRef>
          </c:tx>
          <c:spPr>
            <a:solidFill>
              <a:srgbClr val="FFFF99"/>
            </a:solidFill>
          </c:spPr>
          <c:invertIfNegative val="0"/>
          <c:cat>
            <c:strRef>
              <c:f>Graphs!$A$654:$A$662</c:f>
              <c:strCache>
                <c:ptCount val="9"/>
                <c:pt idx="0">
                  <c:v>1950s:</c:v>
                </c:pt>
                <c:pt idx="1">
                  <c:v>1960s:</c:v>
                </c:pt>
                <c:pt idx="2">
                  <c:v>1970s:</c:v>
                </c:pt>
                <c:pt idx="3">
                  <c:v>1980s:</c:v>
                </c:pt>
                <c:pt idx="4">
                  <c:v>1990s:</c:v>
                </c:pt>
                <c:pt idx="5">
                  <c:v>2000s:</c:v>
                </c:pt>
                <c:pt idx="6">
                  <c:v>2010s:</c:v>
                </c:pt>
                <c:pt idx="7">
                  <c:v>2020s:</c:v>
                </c:pt>
                <c:pt idx="8">
                  <c:v>2030s:</c:v>
                </c:pt>
              </c:strCache>
            </c:strRef>
          </c:cat>
          <c:val>
            <c:numRef>
              <c:f>Graphs!$E$654:$E$662</c:f>
              <c:numCache>
                <c:formatCode>0</c:formatCode>
                <c:ptCount val="9"/>
                <c:pt idx="0">
                  <c:v>26</c:v>
                </c:pt>
                <c:pt idx="1">
                  <c:v>84</c:v>
                </c:pt>
                <c:pt idx="2">
                  <c:v>63</c:v>
                </c:pt>
                <c:pt idx="3">
                  <c:v>104</c:v>
                </c:pt>
                <c:pt idx="4">
                  <c:v>176</c:v>
                </c:pt>
                <c:pt idx="5">
                  <c:v>156</c:v>
                </c:pt>
                <c:pt idx="6">
                  <c:v>152</c:v>
                </c:pt>
                <c:pt idx="7">
                  <c:v>36</c:v>
                </c:pt>
              </c:numCache>
            </c:numRef>
          </c:val>
          <c:extLst xmlns:c16r2="http://schemas.microsoft.com/office/drawing/2015/06/chart">
            <c:ext xmlns:c16="http://schemas.microsoft.com/office/drawing/2014/chart" uri="{C3380CC4-5D6E-409C-BE32-E72D297353CC}">
              <c16:uniqueId val="{00000000-52FA-4E53-8322-141C516FF2AC}"/>
            </c:ext>
          </c:extLst>
        </c:ser>
        <c:ser>
          <c:idx val="1"/>
          <c:order val="1"/>
          <c:tx>
            <c:strRef>
              <c:f>Graphs!$F$653</c:f>
              <c:strCache>
                <c:ptCount val="1"/>
                <c:pt idx="0">
                  <c:v>F1 / EF1</c:v>
                </c:pt>
              </c:strCache>
            </c:strRef>
          </c:tx>
          <c:spPr>
            <a:solidFill>
              <a:srgbClr val="FF0000"/>
            </a:solidFill>
          </c:spPr>
          <c:invertIfNegative val="0"/>
          <c:cat>
            <c:strRef>
              <c:f>Graphs!$A$654:$A$662</c:f>
              <c:strCache>
                <c:ptCount val="9"/>
                <c:pt idx="0">
                  <c:v>1950s:</c:v>
                </c:pt>
                <c:pt idx="1">
                  <c:v>1960s:</c:v>
                </c:pt>
                <c:pt idx="2">
                  <c:v>1970s:</c:v>
                </c:pt>
                <c:pt idx="3">
                  <c:v>1980s:</c:v>
                </c:pt>
                <c:pt idx="4">
                  <c:v>1990s:</c:v>
                </c:pt>
                <c:pt idx="5">
                  <c:v>2000s:</c:v>
                </c:pt>
                <c:pt idx="6">
                  <c:v>2010s:</c:v>
                </c:pt>
                <c:pt idx="7">
                  <c:v>2020s:</c:v>
                </c:pt>
                <c:pt idx="8">
                  <c:v>2030s:</c:v>
                </c:pt>
              </c:strCache>
            </c:strRef>
          </c:cat>
          <c:val>
            <c:numRef>
              <c:f>Graphs!$F$654:$F$662</c:f>
              <c:numCache>
                <c:formatCode>0</c:formatCode>
                <c:ptCount val="9"/>
                <c:pt idx="0">
                  <c:v>27</c:v>
                </c:pt>
                <c:pt idx="1">
                  <c:v>35</c:v>
                </c:pt>
                <c:pt idx="2">
                  <c:v>53</c:v>
                </c:pt>
                <c:pt idx="3">
                  <c:v>36</c:v>
                </c:pt>
                <c:pt idx="4">
                  <c:v>36</c:v>
                </c:pt>
                <c:pt idx="5">
                  <c:v>30</c:v>
                </c:pt>
                <c:pt idx="6">
                  <c:v>29</c:v>
                </c:pt>
                <c:pt idx="7">
                  <c:v>5</c:v>
                </c:pt>
              </c:numCache>
            </c:numRef>
          </c:val>
          <c:extLst xmlns:c16r2="http://schemas.microsoft.com/office/drawing/2015/06/chart">
            <c:ext xmlns:c16="http://schemas.microsoft.com/office/drawing/2014/chart" uri="{C3380CC4-5D6E-409C-BE32-E72D297353CC}">
              <c16:uniqueId val="{00000001-52FA-4E53-8322-141C516FF2AC}"/>
            </c:ext>
          </c:extLst>
        </c:ser>
        <c:ser>
          <c:idx val="2"/>
          <c:order val="2"/>
          <c:tx>
            <c:strRef>
              <c:f>Graphs!$G$653</c:f>
              <c:strCache>
                <c:ptCount val="1"/>
                <c:pt idx="0">
                  <c:v>F2 / EF2</c:v>
                </c:pt>
              </c:strCache>
            </c:strRef>
          </c:tx>
          <c:spPr>
            <a:solidFill>
              <a:srgbClr val="CC66FF"/>
            </a:solidFill>
          </c:spPr>
          <c:invertIfNegative val="0"/>
          <c:cat>
            <c:strRef>
              <c:f>Graphs!$A$654:$A$662</c:f>
              <c:strCache>
                <c:ptCount val="9"/>
                <c:pt idx="0">
                  <c:v>1950s:</c:v>
                </c:pt>
                <c:pt idx="1">
                  <c:v>1960s:</c:v>
                </c:pt>
                <c:pt idx="2">
                  <c:v>1970s:</c:v>
                </c:pt>
                <c:pt idx="3">
                  <c:v>1980s:</c:v>
                </c:pt>
                <c:pt idx="4">
                  <c:v>1990s:</c:v>
                </c:pt>
                <c:pt idx="5">
                  <c:v>2000s:</c:v>
                </c:pt>
                <c:pt idx="6">
                  <c:v>2010s:</c:v>
                </c:pt>
                <c:pt idx="7">
                  <c:v>2020s:</c:v>
                </c:pt>
                <c:pt idx="8">
                  <c:v>2030s:</c:v>
                </c:pt>
              </c:strCache>
            </c:strRef>
          </c:cat>
          <c:val>
            <c:numRef>
              <c:f>Graphs!$G$654:$G$662</c:f>
              <c:numCache>
                <c:formatCode>0</c:formatCode>
                <c:ptCount val="9"/>
                <c:pt idx="0">
                  <c:v>8</c:v>
                </c:pt>
                <c:pt idx="1">
                  <c:v>28</c:v>
                </c:pt>
                <c:pt idx="2">
                  <c:v>30</c:v>
                </c:pt>
                <c:pt idx="3">
                  <c:v>23</c:v>
                </c:pt>
                <c:pt idx="4">
                  <c:v>11</c:v>
                </c:pt>
                <c:pt idx="5">
                  <c:v>17</c:v>
                </c:pt>
                <c:pt idx="6">
                  <c:v>7</c:v>
                </c:pt>
                <c:pt idx="7">
                  <c:v>2</c:v>
                </c:pt>
              </c:numCache>
            </c:numRef>
          </c:val>
          <c:extLst xmlns:c16r2="http://schemas.microsoft.com/office/drawing/2015/06/chart">
            <c:ext xmlns:c16="http://schemas.microsoft.com/office/drawing/2014/chart" uri="{C3380CC4-5D6E-409C-BE32-E72D297353CC}">
              <c16:uniqueId val="{00000002-52FA-4E53-8322-141C516FF2AC}"/>
            </c:ext>
          </c:extLst>
        </c:ser>
        <c:ser>
          <c:idx val="3"/>
          <c:order val="3"/>
          <c:tx>
            <c:strRef>
              <c:f>Graphs!$H$653</c:f>
              <c:strCache>
                <c:ptCount val="1"/>
                <c:pt idx="0">
                  <c:v>F3 / EF3</c:v>
                </c:pt>
              </c:strCache>
            </c:strRef>
          </c:tx>
          <c:spPr>
            <a:solidFill>
              <a:srgbClr val="66FFFF"/>
            </a:solidFill>
          </c:spPr>
          <c:invertIfNegative val="0"/>
          <c:cat>
            <c:strRef>
              <c:f>Graphs!$A$654:$A$662</c:f>
              <c:strCache>
                <c:ptCount val="9"/>
                <c:pt idx="0">
                  <c:v>1950s:</c:v>
                </c:pt>
                <c:pt idx="1">
                  <c:v>1960s:</c:v>
                </c:pt>
                <c:pt idx="2">
                  <c:v>1970s:</c:v>
                </c:pt>
                <c:pt idx="3">
                  <c:v>1980s:</c:v>
                </c:pt>
                <c:pt idx="4">
                  <c:v>1990s:</c:v>
                </c:pt>
                <c:pt idx="5">
                  <c:v>2000s:</c:v>
                </c:pt>
                <c:pt idx="6">
                  <c:v>2010s:</c:v>
                </c:pt>
                <c:pt idx="7">
                  <c:v>2020s:</c:v>
                </c:pt>
                <c:pt idx="8">
                  <c:v>2030s:</c:v>
                </c:pt>
              </c:strCache>
            </c:strRef>
          </c:cat>
          <c:val>
            <c:numRef>
              <c:f>Graphs!$H$654:$H$662</c:f>
              <c:numCache>
                <c:formatCode>0</c:formatCode>
                <c:ptCount val="9"/>
                <c:pt idx="0">
                  <c:v>4</c:v>
                </c:pt>
                <c:pt idx="1">
                  <c:v>6</c:v>
                </c:pt>
                <c:pt idx="2">
                  <c:v>7</c:v>
                </c:pt>
                <c:pt idx="3">
                  <c:v>8</c:v>
                </c:pt>
                <c:pt idx="4">
                  <c:v>6</c:v>
                </c:pt>
                <c:pt idx="5">
                  <c:v>4</c:v>
                </c:pt>
                <c:pt idx="6">
                  <c:v>2</c:v>
                </c:pt>
                <c:pt idx="7">
                  <c:v>0</c:v>
                </c:pt>
              </c:numCache>
            </c:numRef>
          </c:val>
          <c:extLst xmlns:c16r2="http://schemas.microsoft.com/office/drawing/2015/06/chart">
            <c:ext xmlns:c16="http://schemas.microsoft.com/office/drawing/2014/chart" uri="{C3380CC4-5D6E-409C-BE32-E72D297353CC}">
              <c16:uniqueId val="{00000003-52FA-4E53-8322-141C516FF2AC}"/>
            </c:ext>
          </c:extLst>
        </c:ser>
        <c:ser>
          <c:idx val="4"/>
          <c:order val="4"/>
          <c:tx>
            <c:strRef>
              <c:f>Graphs!$I$653</c:f>
              <c:strCache>
                <c:ptCount val="1"/>
                <c:pt idx="0">
                  <c:v>F4 / EF4</c:v>
                </c:pt>
              </c:strCache>
            </c:strRef>
          </c:tx>
          <c:spPr>
            <a:solidFill>
              <a:srgbClr val="00FF00"/>
            </a:solidFill>
          </c:spPr>
          <c:invertIfNegative val="0"/>
          <c:cat>
            <c:strRef>
              <c:f>Graphs!$A$654:$A$662</c:f>
              <c:strCache>
                <c:ptCount val="9"/>
                <c:pt idx="0">
                  <c:v>1950s:</c:v>
                </c:pt>
                <c:pt idx="1">
                  <c:v>1960s:</c:v>
                </c:pt>
                <c:pt idx="2">
                  <c:v>1970s:</c:v>
                </c:pt>
                <c:pt idx="3">
                  <c:v>1980s:</c:v>
                </c:pt>
                <c:pt idx="4">
                  <c:v>1990s:</c:v>
                </c:pt>
                <c:pt idx="5">
                  <c:v>2000s:</c:v>
                </c:pt>
                <c:pt idx="6">
                  <c:v>2010s:</c:v>
                </c:pt>
                <c:pt idx="7">
                  <c:v>2020s:</c:v>
                </c:pt>
                <c:pt idx="8">
                  <c:v>2030s:</c:v>
                </c:pt>
              </c:strCache>
            </c:strRef>
          </c:cat>
          <c:val>
            <c:numRef>
              <c:f>Graphs!$I$654:$I$662</c:f>
              <c:numCache>
                <c:formatCode>0</c:formatCode>
                <c:ptCount val="9"/>
                <c:pt idx="0">
                  <c:v>1</c:v>
                </c:pt>
                <c:pt idx="1">
                  <c:v>0</c:v>
                </c:pt>
                <c:pt idx="2">
                  <c:v>6</c:v>
                </c:pt>
                <c:pt idx="3">
                  <c:v>1</c:v>
                </c:pt>
                <c:pt idx="4">
                  <c:v>4</c:v>
                </c:pt>
                <c:pt idx="5">
                  <c:v>0</c:v>
                </c:pt>
                <c:pt idx="6">
                  <c:v>0</c:v>
                </c:pt>
                <c:pt idx="7">
                  <c:v>0</c:v>
                </c:pt>
              </c:numCache>
            </c:numRef>
          </c:val>
          <c:extLst xmlns:c16r2="http://schemas.microsoft.com/office/drawing/2015/06/chart">
            <c:ext xmlns:c16="http://schemas.microsoft.com/office/drawing/2014/chart" uri="{C3380CC4-5D6E-409C-BE32-E72D297353CC}">
              <c16:uniqueId val="{00000004-52FA-4E53-8322-141C516FF2AC}"/>
            </c:ext>
          </c:extLst>
        </c:ser>
        <c:ser>
          <c:idx val="5"/>
          <c:order val="5"/>
          <c:tx>
            <c:strRef>
              <c:f>Graphs!$J$653</c:f>
              <c:strCache>
                <c:ptCount val="1"/>
                <c:pt idx="0">
                  <c:v>F5 / EF5</c:v>
                </c:pt>
              </c:strCache>
            </c:strRef>
          </c:tx>
          <c:spPr>
            <a:solidFill>
              <a:srgbClr val="FF00FF"/>
            </a:solidFill>
          </c:spPr>
          <c:invertIfNegative val="0"/>
          <c:cat>
            <c:strRef>
              <c:f>Graphs!$A$654:$A$662</c:f>
              <c:strCache>
                <c:ptCount val="9"/>
                <c:pt idx="0">
                  <c:v>1950s:</c:v>
                </c:pt>
                <c:pt idx="1">
                  <c:v>1960s:</c:v>
                </c:pt>
                <c:pt idx="2">
                  <c:v>1970s:</c:v>
                </c:pt>
                <c:pt idx="3">
                  <c:v>1980s:</c:v>
                </c:pt>
                <c:pt idx="4">
                  <c:v>1990s:</c:v>
                </c:pt>
                <c:pt idx="5">
                  <c:v>2000s:</c:v>
                </c:pt>
                <c:pt idx="6">
                  <c:v>2010s:</c:v>
                </c:pt>
                <c:pt idx="7">
                  <c:v>2020s:</c:v>
                </c:pt>
                <c:pt idx="8">
                  <c:v>2030s:</c:v>
                </c:pt>
              </c:strCache>
            </c:strRef>
          </c:cat>
          <c:val>
            <c:numRef>
              <c:f>Graphs!$J$654:$J$660</c:f>
              <c:numCache>
                <c:formatCode>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5-52FA-4E53-8322-141C516FF2AC}"/>
            </c:ext>
          </c:extLst>
        </c:ser>
        <c:dLbls>
          <c:showLegendKey val="0"/>
          <c:showVal val="0"/>
          <c:showCatName val="0"/>
          <c:showSerName val="0"/>
          <c:showPercent val="0"/>
          <c:showBubbleSize val="0"/>
        </c:dLbls>
        <c:gapWidth val="150"/>
        <c:axId val="157480064"/>
        <c:axId val="157481984"/>
      </c:barChart>
      <c:catAx>
        <c:axId val="157480064"/>
        <c:scaling>
          <c:orientation val="minMax"/>
        </c:scaling>
        <c:delete val="0"/>
        <c:axPos val="b"/>
        <c:title>
          <c:tx>
            <c:rich>
              <a:bodyPr/>
              <a:lstStyle/>
              <a:p>
                <a:pPr>
                  <a:defRPr b="1">
                    <a:solidFill>
                      <a:srgbClr val="FF0000"/>
                    </a:solidFill>
                  </a:defRPr>
                </a:pPr>
                <a:r>
                  <a:rPr lang="en-US" b="1">
                    <a:solidFill>
                      <a:srgbClr val="FF0000"/>
                    </a:solidFill>
                  </a:rPr>
                  <a:t>Time Period</a:t>
                </a:r>
              </a:p>
            </c:rich>
          </c:tx>
          <c:layout/>
          <c:overlay val="0"/>
        </c:title>
        <c:numFmt formatCode="General" sourceLinked="0"/>
        <c:majorTickMark val="out"/>
        <c:minorTickMark val="none"/>
        <c:tickLblPos val="nextTo"/>
        <c:txPr>
          <a:bodyPr/>
          <a:lstStyle/>
          <a:p>
            <a:pPr>
              <a:defRPr b="1">
                <a:solidFill>
                  <a:schemeClr val="bg1"/>
                </a:solidFill>
              </a:defRPr>
            </a:pPr>
            <a:endParaRPr lang="en-US"/>
          </a:p>
        </c:txPr>
        <c:crossAx val="157481984"/>
        <c:crosses val="autoZero"/>
        <c:auto val="1"/>
        <c:lblAlgn val="ctr"/>
        <c:lblOffset val="100"/>
        <c:noMultiLvlLbl val="0"/>
      </c:catAx>
      <c:valAx>
        <c:axId val="157481984"/>
        <c:scaling>
          <c:orientation val="minMax"/>
        </c:scaling>
        <c:delete val="0"/>
        <c:axPos val="l"/>
        <c:majorGridlines/>
        <c:title>
          <c:tx>
            <c:rich>
              <a:bodyPr rot="-5400000" vert="horz"/>
              <a:lstStyle/>
              <a:p>
                <a:pPr>
                  <a:defRPr>
                    <a:solidFill>
                      <a:srgbClr val="FF0000"/>
                    </a:solidFill>
                  </a:defRPr>
                </a:pPr>
                <a:r>
                  <a:rPr lang="en-US">
                    <a:solidFill>
                      <a:srgbClr val="FF0000"/>
                    </a:solidFill>
                  </a:rPr>
                  <a:t>No. of Tornadoes</a:t>
                </a:r>
              </a:p>
            </c:rich>
          </c:tx>
          <c:layout/>
          <c:overlay val="0"/>
        </c:title>
        <c:numFmt formatCode="0" sourceLinked="1"/>
        <c:majorTickMark val="out"/>
        <c:minorTickMark val="none"/>
        <c:tickLblPos val="nextTo"/>
        <c:txPr>
          <a:bodyPr/>
          <a:lstStyle/>
          <a:p>
            <a:pPr>
              <a:defRPr b="1">
                <a:solidFill>
                  <a:schemeClr val="bg1"/>
                </a:solidFill>
              </a:defRPr>
            </a:pPr>
            <a:endParaRPr lang="en-US"/>
          </a:p>
        </c:txPr>
        <c:crossAx val="157480064"/>
        <c:crosses val="autoZero"/>
        <c:crossBetween val="between"/>
      </c:valAx>
      <c:spPr>
        <a:solidFill>
          <a:schemeClr val="tx2">
            <a:lumMod val="75000"/>
          </a:schemeClr>
        </a:solidFill>
      </c:spPr>
    </c:plotArea>
    <c:legend>
      <c:legendPos val="r"/>
      <c:layout/>
      <c:overlay val="0"/>
      <c:txPr>
        <a:bodyPr/>
        <a:lstStyle/>
        <a:p>
          <a:pPr>
            <a:defRPr>
              <a:solidFill>
                <a:schemeClr val="bg1"/>
              </a:solidFill>
            </a:defRPr>
          </a:pPr>
          <a:endParaRPr lang="en-US"/>
        </a:p>
      </c:txPr>
    </c:legend>
    <c:plotVisOnly val="1"/>
    <c:dispBlanksAs val="gap"/>
    <c:showDLblsOverMax val="0"/>
  </c:chart>
  <c:spPr>
    <a:solidFill>
      <a:schemeClr val="tx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0" i="0" u="none" strike="noStrike" baseline="0">
                <a:solidFill>
                  <a:srgbClr val="CCFFFF"/>
                </a:solidFill>
                <a:latin typeface="Arial"/>
                <a:ea typeface="Arial"/>
                <a:cs typeface="Arial"/>
              </a:defRPr>
            </a:pPr>
            <a:r>
              <a:rPr lang="en-US" sz="1400"/>
              <a:t>TORNADOES BY CATEGORY
Amarillo NWS CWA</a:t>
            </a:r>
          </a:p>
        </c:rich>
      </c:tx>
      <c:layout>
        <c:manualLayout>
          <c:xMode val="edge"/>
          <c:yMode val="edge"/>
          <c:x val="0.35965840797521587"/>
          <c:y val="2.5458267716535452E-2"/>
        </c:manualLayout>
      </c:layout>
      <c:overlay val="0"/>
      <c:spPr>
        <a:noFill/>
        <a:ln w="38100">
          <a:solidFill>
            <a:srgbClr val="FFCC00"/>
          </a:solidFill>
          <a:prstDash val="solid"/>
        </a:ln>
      </c:spPr>
    </c:title>
    <c:autoTitleDeleted val="0"/>
    <c:plotArea>
      <c:layout>
        <c:manualLayout>
          <c:layoutTarget val="inner"/>
          <c:xMode val="edge"/>
          <c:yMode val="edge"/>
          <c:x val="8.5682074408117079E-2"/>
          <c:y val="0.23"/>
          <c:w val="0.90529875986471253"/>
          <c:h val="0.63200000000000112"/>
        </c:manualLayout>
      </c:layout>
      <c:barChart>
        <c:barDir val="col"/>
        <c:grouping val="clustered"/>
        <c:varyColors val="0"/>
        <c:ser>
          <c:idx val="0"/>
          <c:order val="0"/>
          <c:tx>
            <c:v/>
          </c:tx>
          <c:spPr>
            <a:solidFill>
              <a:srgbClr val="9999FF"/>
            </a:solidFill>
            <a:ln w="25400">
              <a:solidFill>
                <a:schemeClr val="tx1"/>
              </a:solidFill>
            </a:ln>
            <a:scene3d>
              <a:camera prst="orthographicFront"/>
              <a:lightRig rig="threePt" dir="t"/>
            </a:scene3d>
            <a:sp3d prstMaterial="dkEdge"/>
          </c:spPr>
          <c:invertIfNegative val="0"/>
          <c:dPt>
            <c:idx val="0"/>
            <c:invertIfNegative val="0"/>
            <c:bubble3D val="0"/>
            <c:spPr>
              <a:solidFill>
                <a:srgbClr val="FF0000"/>
              </a:solidFill>
              <a:ln w="12700">
                <a:solidFill>
                  <a:schemeClr val="tx1"/>
                </a:solidFill>
                <a:prstDash val="solid"/>
              </a:ln>
              <a:scene3d>
                <a:camera prst="orthographicFront"/>
                <a:lightRig rig="threePt" dir="t"/>
              </a:scene3d>
              <a:sp3d prstMaterial="dkEdge"/>
            </c:spPr>
            <c:extLst xmlns:c16r2="http://schemas.microsoft.com/office/drawing/2015/06/chart">
              <c:ext xmlns:c16="http://schemas.microsoft.com/office/drawing/2014/chart" uri="{C3380CC4-5D6E-409C-BE32-E72D297353CC}">
                <c16:uniqueId val="{00000001-E827-41D2-8029-45372AA344E5}"/>
              </c:ext>
            </c:extLst>
          </c:dPt>
          <c:dPt>
            <c:idx val="1"/>
            <c:invertIfNegative val="0"/>
            <c:bubble3D val="0"/>
            <c:spPr>
              <a:solidFill>
                <a:srgbClr val="00FF00"/>
              </a:solidFill>
              <a:ln w="12700">
                <a:solidFill>
                  <a:schemeClr val="tx1"/>
                </a:solidFill>
                <a:prstDash val="solid"/>
              </a:ln>
              <a:scene3d>
                <a:camera prst="orthographicFront"/>
                <a:lightRig rig="threePt" dir="t"/>
              </a:scene3d>
              <a:sp3d prstMaterial="dkEdge"/>
            </c:spPr>
            <c:extLst xmlns:c16r2="http://schemas.microsoft.com/office/drawing/2015/06/chart">
              <c:ext xmlns:c16="http://schemas.microsoft.com/office/drawing/2014/chart" uri="{C3380CC4-5D6E-409C-BE32-E72D297353CC}">
                <c16:uniqueId val="{00000003-E827-41D2-8029-45372AA344E5}"/>
              </c:ext>
            </c:extLst>
          </c:dPt>
          <c:dPt>
            <c:idx val="2"/>
            <c:invertIfNegative val="0"/>
            <c:bubble3D val="0"/>
            <c:spPr>
              <a:solidFill>
                <a:srgbClr val="0000FF"/>
              </a:solidFill>
              <a:ln w="12700">
                <a:solidFill>
                  <a:schemeClr val="tx1"/>
                </a:solidFill>
                <a:prstDash val="solid"/>
              </a:ln>
              <a:scene3d>
                <a:camera prst="orthographicFront"/>
                <a:lightRig rig="threePt" dir="t"/>
              </a:scene3d>
              <a:sp3d prstMaterial="dkEdge"/>
            </c:spPr>
            <c:extLst xmlns:c16r2="http://schemas.microsoft.com/office/drawing/2015/06/chart">
              <c:ext xmlns:c16="http://schemas.microsoft.com/office/drawing/2014/chart" uri="{C3380CC4-5D6E-409C-BE32-E72D297353CC}">
                <c16:uniqueId val="{00000005-E827-41D2-8029-45372AA344E5}"/>
              </c:ext>
            </c:extLst>
          </c:dPt>
          <c:dPt>
            <c:idx val="3"/>
            <c:invertIfNegative val="0"/>
            <c:bubble3D val="0"/>
            <c:spPr>
              <a:solidFill>
                <a:srgbClr val="FFFF00"/>
              </a:solidFill>
              <a:ln w="12700">
                <a:solidFill>
                  <a:schemeClr val="tx1"/>
                </a:solidFill>
                <a:prstDash val="solid"/>
              </a:ln>
              <a:scene3d>
                <a:camera prst="orthographicFront"/>
                <a:lightRig rig="threePt" dir="t"/>
              </a:scene3d>
              <a:sp3d prstMaterial="dkEdge"/>
            </c:spPr>
            <c:extLst xmlns:c16r2="http://schemas.microsoft.com/office/drawing/2015/06/chart">
              <c:ext xmlns:c16="http://schemas.microsoft.com/office/drawing/2014/chart" uri="{C3380CC4-5D6E-409C-BE32-E72D297353CC}">
                <c16:uniqueId val="{00000007-E827-41D2-8029-45372AA344E5}"/>
              </c:ext>
            </c:extLst>
          </c:dPt>
          <c:dPt>
            <c:idx val="4"/>
            <c:invertIfNegative val="0"/>
            <c:bubble3D val="0"/>
            <c:spPr>
              <a:solidFill>
                <a:srgbClr val="FF00FF"/>
              </a:solidFill>
              <a:ln w="12700">
                <a:solidFill>
                  <a:schemeClr val="tx1"/>
                </a:solidFill>
                <a:prstDash val="solid"/>
              </a:ln>
              <a:scene3d>
                <a:camera prst="orthographicFront"/>
                <a:lightRig rig="threePt" dir="t"/>
              </a:scene3d>
              <a:sp3d prstMaterial="dkEdge"/>
            </c:spPr>
            <c:extLst xmlns:c16r2="http://schemas.microsoft.com/office/drawing/2015/06/chart">
              <c:ext xmlns:c16="http://schemas.microsoft.com/office/drawing/2014/chart" uri="{C3380CC4-5D6E-409C-BE32-E72D297353CC}">
                <c16:uniqueId val="{00000009-E827-41D2-8029-45372AA344E5}"/>
              </c:ext>
            </c:extLst>
          </c:dPt>
          <c:dPt>
            <c:idx val="5"/>
            <c:invertIfNegative val="0"/>
            <c:bubble3D val="0"/>
            <c:spPr>
              <a:solidFill>
                <a:srgbClr val="00FFFF"/>
              </a:solidFill>
              <a:ln w="12700">
                <a:solidFill>
                  <a:schemeClr val="tx1"/>
                </a:solidFill>
                <a:prstDash val="solid"/>
              </a:ln>
              <a:scene3d>
                <a:camera prst="orthographicFront"/>
                <a:lightRig rig="threePt" dir="t"/>
              </a:scene3d>
              <a:sp3d prstMaterial="dkEdge"/>
            </c:spPr>
            <c:extLst xmlns:c16r2="http://schemas.microsoft.com/office/drawing/2015/06/chart">
              <c:ext xmlns:c16="http://schemas.microsoft.com/office/drawing/2014/chart" uri="{C3380CC4-5D6E-409C-BE32-E72D297353CC}">
                <c16:uniqueId val="{0000000B-E827-41D2-8029-45372AA344E5}"/>
              </c:ext>
            </c:extLst>
          </c:dPt>
          <c:dLbls>
            <c:spPr>
              <a:noFill/>
              <a:ln w="25400">
                <a:noFill/>
              </a:ln>
              <a:scene3d>
                <a:camera prst="orthographicFront"/>
                <a:lightRig rig="threePt" dir="t"/>
              </a:scene3d>
              <a:sp3d>
                <a:bevelT prst="relaxedInset"/>
              </a:sp3d>
            </c:spPr>
            <c:txPr>
              <a:bodyPr/>
              <a:lstStyle/>
              <a:p>
                <a:pPr>
                  <a:defRPr sz="120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Graphs!$A$260:$A$265</c:f>
              <c:strCache>
                <c:ptCount val="6"/>
                <c:pt idx="0">
                  <c:v>F0 / EF0</c:v>
                </c:pt>
                <c:pt idx="1">
                  <c:v>F1 / EF1</c:v>
                </c:pt>
                <c:pt idx="2">
                  <c:v>F2 / EF2</c:v>
                </c:pt>
                <c:pt idx="3">
                  <c:v>F3 / EF3</c:v>
                </c:pt>
                <c:pt idx="4">
                  <c:v>F4 / EF4</c:v>
                </c:pt>
                <c:pt idx="5">
                  <c:v>F5 / EF5</c:v>
                </c:pt>
              </c:strCache>
            </c:strRef>
          </c:cat>
          <c:val>
            <c:numRef>
              <c:f>Graphs!$B$260:$B$265</c:f>
              <c:numCache>
                <c:formatCode>0.0%</c:formatCode>
                <c:ptCount val="6"/>
                <c:pt idx="0">
                  <c:v>0.65167620605069498</c:v>
                </c:pt>
                <c:pt idx="1">
                  <c:v>0.20523303352412101</c:v>
                </c:pt>
                <c:pt idx="2">
                  <c:v>0.10302534750613246</c:v>
                </c:pt>
                <c:pt idx="3">
                  <c:v>3.025347506132461E-2</c:v>
                </c:pt>
                <c:pt idx="4">
                  <c:v>9.8119378577269014E-3</c:v>
                </c:pt>
                <c:pt idx="5">
                  <c:v>0</c:v>
                </c:pt>
              </c:numCache>
            </c:numRef>
          </c:val>
          <c:extLst xmlns:c16r2="http://schemas.microsoft.com/office/drawing/2015/06/chart">
            <c:ext xmlns:c16="http://schemas.microsoft.com/office/drawing/2014/chart" uri="{C3380CC4-5D6E-409C-BE32-E72D297353CC}">
              <c16:uniqueId val="{0000000C-E827-41D2-8029-45372AA344E5}"/>
            </c:ext>
          </c:extLst>
        </c:ser>
        <c:dLbls>
          <c:showLegendKey val="0"/>
          <c:showVal val="1"/>
          <c:showCatName val="0"/>
          <c:showSerName val="0"/>
          <c:showPercent val="0"/>
          <c:showBubbleSize val="0"/>
        </c:dLbls>
        <c:gapWidth val="150"/>
        <c:axId val="155804416"/>
        <c:axId val="155814144"/>
      </c:barChart>
      <c:catAx>
        <c:axId val="155804416"/>
        <c:scaling>
          <c:orientation val="minMax"/>
        </c:scaling>
        <c:delete val="0"/>
        <c:axPos val="b"/>
        <c:title>
          <c:tx>
            <c:rich>
              <a:bodyPr/>
              <a:lstStyle/>
              <a:p>
                <a:pPr>
                  <a:defRPr sz="1400" b="1" i="0" u="none" strike="noStrike" baseline="0">
                    <a:solidFill>
                      <a:srgbClr val="00FFFF"/>
                    </a:solidFill>
                    <a:latin typeface="Arial"/>
                    <a:ea typeface="Arial"/>
                    <a:cs typeface="Arial"/>
                  </a:defRPr>
                </a:pPr>
                <a:r>
                  <a:rPr lang="en-US" sz="1400"/>
                  <a:t>Category</a:t>
                </a:r>
              </a:p>
            </c:rich>
          </c:tx>
          <c:layout>
            <c:manualLayout>
              <c:xMode val="edge"/>
              <c:yMode val="edge"/>
              <c:x val="0.48436151230814356"/>
              <c:y val="0.93281322834645652"/>
            </c:manualLayout>
          </c:layout>
          <c:overlay val="0"/>
          <c:spPr>
            <a:noFill/>
            <a:ln w="25400">
              <a:noFill/>
            </a:ln>
          </c:spPr>
        </c:title>
        <c:numFmt formatCode="General" sourceLinked="1"/>
        <c:majorTickMark val="out"/>
        <c:minorTickMark val="none"/>
        <c:tickLblPos val="nextTo"/>
        <c:spPr>
          <a:ln w="25400">
            <a:solidFill>
              <a:srgbClr val="FFFFFF"/>
            </a:solidFill>
            <a:prstDash val="solid"/>
          </a:ln>
        </c:spPr>
        <c:txPr>
          <a:bodyPr rot="0" vert="horz"/>
          <a:lstStyle/>
          <a:p>
            <a:pPr>
              <a:defRPr sz="1400" b="1" i="0" u="none" strike="noStrike" baseline="0">
                <a:solidFill>
                  <a:srgbClr val="FFFFFF"/>
                </a:solidFill>
                <a:latin typeface="Arial"/>
                <a:ea typeface="Arial"/>
                <a:cs typeface="Arial"/>
              </a:defRPr>
            </a:pPr>
            <a:endParaRPr lang="en-US"/>
          </a:p>
        </c:txPr>
        <c:crossAx val="155814144"/>
        <c:crosses val="autoZero"/>
        <c:auto val="1"/>
        <c:lblAlgn val="ctr"/>
        <c:lblOffset val="100"/>
        <c:tickLblSkip val="1"/>
        <c:tickMarkSkip val="1"/>
        <c:noMultiLvlLbl val="0"/>
      </c:catAx>
      <c:valAx>
        <c:axId val="155814144"/>
        <c:scaling>
          <c:orientation val="minMax"/>
        </c:scaling>
        <c:delete val="0"/>
        <c:axPos val="l"/>
        <c:numFmt formatCode="0.0%" sourceLinked="1"/>
        <c:majorTickMark val="out"/>
        <c:minorTickMark val="none"/>
        <c:tickLblPos val="nextTo"/>
        <c:spPr>
          <a:ln w="25400">
            <a:solidFill>
              <a:srgbClr val="FFFFFF"/>
            </a:solidFill>
            <a:prstDash val="solid"/>
          </a:ln>
        </c:spPr>
        <c:txPr>
          <a:bodyPr rot="0" vert="horz"/>
          <a:lstStyle/>
          <a:p>
            <a:pPr>
              <a:defRPr sz="1400" b="1" i="0" u="none" strike="noStrike" baseline="0">
                <a:solidFill>
                  <a:srgbClr val="FFFFFF"/>
                </a:solidFill>
                <a:latin typeface="Arial"/>
                <a:ea typeface="Arial"/>
                <a:cs typeface="Arial"/>
              </a:defRPr>
            </a:pPr>
            <a:endParaRPr lang="en-US"/>
          </a:p>
        </c:txPr>
        <c:crossAx val="155804416"/>
        <c:crosses val="autoZero"/>
        <c:crossBetween val="between"/>
      </c:valAx>
      <c:spPr>
        <a:noFill/>
        <a:ln w="25400">
          <a:noFill/>
        </a:ln>
      </c:spPr>
    </c:plotArea>
    <c:plotVisOnly val="0"/>
    <c:dispBlanksAs val="gap"/>
    <c:showDLblsOverMax val="0"/>
  </c:chart>
  <c:spPr>
    <a:blipFill dpi="0" rotWithShape="0">
      <a:blip xmlns:r="http://schemas.openxmlformats.org/officeDocument/2006/relationships" r:embed="rId1"/>
      <a:srcRect/>
      <a:stretch>
        <a:fillRect/>
      </a:stretch>
    </a:blipFill>
    <a:ln w="9525">
      <a:noFill/>
    </a:ln>
  </c:spPr>
  <c:txPr>
    <a:bodyPr/>
    <a:lstStyle/>
    <a:p>
      <a:pPr>
        <a:defRPr sz="18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Tornadoes by Intensity and Decade</a:t>
            </a:r>
          </a:p>
        </c:rich>
      </c:tx>
      <c:layout/>
      <c:overlay val="1"/>
    </c:title>
    <c:autoTitleDeleted val="0"/>
    <c:plotArea>
      <c:layout>
        <c:manualLayout>
          <c:layoutTarget val="inner"/>
          <c:xMode val="edge"/>
          <c:yMode val="edge"/>
          <c:x val="4.8605218465338891E-2"/>
          <c:y val="0.13334238880517293"/>
          <c:w val="0.85594454222633931"/>
          <c:h val="0.77662471436353475"/>
        </c:manualLayout>
      </c:layout>
      <c:barChart>
        <c:barDir val="col"/>
        <c:grouping val="clustered"/>
        <c:varyColors val="0"/>
        <c:ser>
          <c:idx val="0"/>
          <c:order val="0"/>
          <c:tx>
            <c:strRef>
              <c:f>Graphs!$A$654</c:f>
              <c:strCache>
                <c:ptCount val="1"/>
                <c:pt idx="0">
                  <c:v>1950s:</c:v>
                </c:pt>
              </c:strCache>
            </c:strRef>
          </c:tx>
          <c:invertIfNegative val="0"/>
          <c:cat>
            <c:strRef>
              <c:f>Graphs!$E$653:$J$653</c:f>
              <c:strCache>
                <c:ptCount val="6"/>
                <c:pt idx="0">
                  <c:v>F0 / EF0</c:v>
                </c:pt>
                <c:pt idx="1">
                  <c:v>F1 / EF1</c:v>
                </c:pt>
                <c:pt idx="2">
                  <c:v>F2 / EF2</c:v>
                </c:pt>
                <c:pt idx="3">
                  <c:v>F3 / EF3</c:v>
                </c:pt>
                <c:pt idx="4">
                  <c:v>F4 / EF4</c:v>
                </c:pt>
                <c:pt idx="5">
                  <c:v>F5 / EF5</c:v>
                </c:pt>
              </c:strCache>
            </c:strRef>
          </c:cat>
          <c:val>
            <c:numRef>
              <c:f>Graphs!$E$654:$J$654</c:f>
              <c:numCache>
                <c:formatCode>0</c:formatCode>
                <c:ptCount val="6"/>
                <c:pt idx="0">
                  <c:v>26</c:v>
                </c:pt>
                <c:pt idx="1">
                  <c:v>27</c:v>
                </c:pt>
                <c:pt idx="2">
                  <c:v>8</c:v>
                </c:pt>
                <c:pt idx="3">
                  <c:v>4</c:v>
                </c:pt>
                <c:pt idx="4">
                  <c:v>1</c:v>
                </c:pt>
                <c:pt idx="5">
                  <c:v>0</c:v>
                </c:pt>
              </c:numCache>
            </c:numRef>
          </c:val>
          <c:extLst xmlns:c16r2="http://schemas.microsoft.com/office/drawing/2015/06/chart">
            <c:ext xmlns:c16="http://schemas.microsoft.com/office/drawing/2014/chart" uri="{C3380CC4-5D6E-409C-BE32-E72D297353CC}">
              <c16:uniqueId val="{00000000-86E6-47F4-870A-175A5E162C18}"/>
            </c:ext>
          </c:extLst>
        </c:ser>
        <c:ser>
          <c:idx val="1"/>
          <c:order val="1"/>
          <c:tx>
            <c:strRef>
              <c:f>Graphs!$A$655</c:f>
              <c:strCache>
                <c:ptCount val="1"/>
                <c:pt idx="0">
                  <c:v>1960s:</c:v>
                </c:pt>
              </c:strCache>
            </c:strRef>
          </c:tx>
          <c:invertIfNegative val="0"/>
          <c:cat>
            <c:strRef>
              <c:f>Graphs!$E$653:$J$653</c:f>
              <c:strCache>
                <c:ptCount val="6"/>
                <c:pt idx="0">
                  <c:v>F0 / EF0</c:v>
                </c:pt>
                <c:pt idx="1">
                  <c:v>F1 / EF1</c:v>
                </c:pt>
                <c:pt idx="2">
                  <c:v>F2 / EF2</c:v>
                </c:pt>
                <c:pt idx="3">
                  <c:v>F3 / EF3</c:v>
                </c:pt>
                <c:pt idx="4">
                  <c:v>F4 / EF4</c:v>
                </c:pt>
                <c:pt idx="5">
                  <c:v>F5 / EF5</c:v>
                </c:pt>
              </c:strCache>
            </c:strRef>
          </c:cat>
          <c:val>
            <c:numRef>
              <c:f>Graphs!$E$655:$J$655</c:f>
              <c:numCache>
                <c:formatCode>0</c:formatCode>
                <c:ptCount val="6"/>
                <c:pt idx="0">
                  <c:v>84</c:v>
                </c:pt>
                <c:pt idx="1">
                  <c:v>35</c:v>
                </c:pt>
                <c:pt idx="2">
                  <c:v>28</c:v>
                </c:pt>
                <c:pt idx="3">
                  <c:v>6</c:v>
                </c:pt>
                <c:pt idx="4">
                  <c:v>0</c:v>
                </c:pt>
                <c:pt idx="5">
                  <c:v>0</c:v>
                </c:pt>
              </c:numCache>
            </c:numRef>
          </c:val>
          <c:extLst xmlns:c16r2="http://schemas.microsoft.com/office/drawing/2015/06/chart">
            <c:ext xmlns:c16="http://schemas.microsoft.com/office/drawing/2014/chart" uri="{C3380CC4-5D6E-409C-BE32-E72D297353CC}">
              <c16:uniqueId val="{00000001-86E6-47F4-870A-175A5E162C18}"/>
            </c:ext>
          </c:extLst>
        </c:ser>
        <c:ser>
          <c:idx val="2"/>
          <c:order val="2"/>
          <c:tx>
            <c:strRef>
              <c:f>Graphs!$A$656</c:f>
              <c:strCache>
                <c:ptCount val="1"/>
                <c:pt idx="0">
                  <c:v>1970s:</c:v>
                </c:pt>
              </c:strCache>
            </c:strRef>
          </c:tx>
          <c:invertIfNegative val="0"/>
          <c:val>
            <c:numRef>
              <c:f>Graphs!$E$656:$J$656</c:f>
              <c:numCache>
                <c:formatCode>0</c:formatCode>
                <c:ptCount val="6"/>
                <c:pt idx="0">
                  <c:v>63</c:v>
                </c:pt>
                <c:pt idx="1">
                  <c:v>53</c:v>
                </c:pt>
                <c:pt idx="2">
                  <c:v>30</c:v>
                </c:pt>
                <c:pt idx="3">
                  <c:v>7</c:v>
                </c:pt>
                <c:pt idx="4">
                  <c:v>6</c:v>
                </c:pt>
                <c:pt idx="5">
                  <c:v>0</c:v>
                </c:pt>
              </c:numCache>
            </c:numRef>
          </c:val>
          <c:extLst xmlns:c16r2="http://schemas.microsoft.com/office/drawing/2015/06/chart">
            <c:ext xmlns:c16="http://schemas.microsoft.com/office/drawing/2014/chart" uri="{C3380CC4-5D6E-409C-BE32-E72D297353CC}">
              <c16:uniqueId val="{00000002-86E6-47F4-870A-175A5E162C18}"/>
            </c:ext>
          </c:extLst>
        </c:ser>
        <c:ser>
          <c:idx val="3"/>
          <c:order val="3"/>
          <c:tx>
            <c:strRef>
              <c:f>Graphs!$A$657</c:f>
              <c:strCache>
                <c:ptCount val="1"/>
                <c:pt idx="0">
                  <c:v>1980s:</c:v>
                </c:pt>
              </c:strCache>
            </c:strRef>
          </c:tx>
          <c:invertIfNegative val="0"/>
          <c:val>
            <c:numRef>
              <c:f>Graphs!$E$657:$J$657</c:f>
              <c:numCache>
                <c:formatCode>0</c:formatCode>
                <c:ptCount val="6"/>
                <c:pt idx="0">
                  <c:v>104</c:v>
                </c:pt>
                <c:pt idx="1">
                  <c:v>36</c:v>
                </c:pt>
                <c:pt idx="2">
                  <c:v>23</c:v>
                </c:pt>
                <c:pt idx="3">
                  <c:v>8</c:v>
                </c:pt>
                <c:pt idx="4">
                  <c:v>1</c:v>
                </c:pt>
                <c:pt idx="5">
                  <c:v>0</c:v>
                </c:pt>
              </c:numCache>
            </c:numRef>
          </c:val>
          <c:extLst xmlns:c16r2="http://schemas.microsoft.com/office/drawing/2015/06/chart">
            <c:ext xmlns:c16="http://schemas.microsoft.com/office/drawing/2014/chart" uri="{C3380CC4-5D6E-409C-BE32-E72D297353CC}">
              <c16:uniqueId val="{00000003-86E6-47F4-870A-175A5E162C18}"/>
            </c:ext>
          </c:extLst>
        </c:ser>
        <c:ser>
          <c:idx val="4"/>
          <c:order val="4"/>
          <c:tx>
            <c:strRef>
              <c:f>Graphs!$A$658</c:f>
              <c:strCache>
                <c:ptCount val="1"/>
                <c:pt idx="0">
                  <c:v>1990s:</c:v>
                </c:pt>
              </c:strCache>
            </c:strRef>
          </c:tx>
          <c:invertIfNegative val="0"/>
          <c:val>
            <c:numRef>
              <c:f>Graphs!$E$658:$J$658</c:f>
              <c:numCache>
                <c:formatCode>0</c:formatCode>
                <c:ptCount val="6"/>
                <c:pt idx="0">
                  <c:v>176</c:v>
                </c:pt>
                <c:pt idx="1">
                  <c:v>36</c:v>
                </c:pt>
                <c:pt idx="2">
                  <c:v>11</c:v>
                </c:pt>
                <c:pt idx="3">
                  <c:v>6</c:v>
                </c:pt>
                <c:pt idx="4">
                  <c:v>4</c:v>
                </c:pt>
                <c:pt idx="5">
                  <c:v>0</c:v>
                </c:pt>
              </c:numCache>
            </c:numRef>
          </c:val>
          <c:extLst xmlns:c16r2="http://schemas.microsoft.com/office/drawing/2015/06/chart">
            <c:ext xmlns:c16="http://schemas.microsoft.com/office/drawing/2014/chart" uri="{C3380CC4-5D6E-409C-BE32-E72D297353CC}">
              <c16:uniqueId val="{00000004-86E6-47F4-870A-175A5E162C18}"/>
            </c:ext>
          </c:extLst>
        </c:ser>
        <c:ser>
          <c:idx val="5"/>
          <c:order val="5"/>
          <c:tx>
            <c:strRef>
              <c:f>Graphs!$A$659</c:f>
              <c:strCache>
                <c:ptCount val="1"/>
                <c:pt idx="0">
                  <c:v>2000s:</c:v>
                </c:pt>
              </c:strCache>
            </c:strRef>
          </c:tx>
          <c:invertIfNegative val="0"/>
          <c:val>
            <c:numRef>
              <c:f>Graphs!$E$659:$J$659</c:f>
              <c:numCache>
                <c:formatCode>0</c:formatCode>
                <c:ptCount val="6"/>
                <c:pt idx="0">
                  <c:v>156</c:v>
                </c:pt>
                <c:pt idx="1">
                  <c:v>30</c:v>
                </c:pt>
                <c:pt idx="2">
                  <c:v>17</c:v>
                </c:pt>
                <c:pt idx="3">
                  <c:v>4</c:v>
                </c:pt>
                <c:pt idx="4">
                  <c:v>0</c:v>
                </c:pt>
                <c:pt idx="5">
                  <c:v>0</c:v>
                </c:pt>
              </c:numCache>
            </c:numRef>
          </c:val>
          <c:extLst xmlns:c16r2="http://schemas.microsoft.com/office/drawing/2015/06/chart">
            <c:ext xmlns:c16="http://schemas.microsoft.com/office/drawing/2014/chart" uri="{C3380CC4-5D6E-409C-BE32-E72D297353CC}">
              <c16:uniqueId val="{00000005-86E6-47F4-870A-175A5E162C18}"/>
            </c:ext>
          </c:extLst>
        </c:ser>
        <c:ser>
          <c:idx val="6"/>
          <c:order val="6"/>
          <c:tx>
            <c:strRef>
              <c:f>Graphs!$A$660</c:f>
              <c:strCache>
                <c:ptCount val="1"/>
                <c:pt idx="0">
                  <c:v>2010s:</c:v>
                </c:pt>
              </c:strCache>
            </c:strRef>
          </c:tx>
          <c:invertIfNegative val="0"/>
          <c:val>
            <c:numRef>
              <c:f>Graphs!$E$660:$J$660</c:f>
              <c:numCache>
                <c:formatCode>0</c:formatCode>
                <c:ptCount val="6"/>
                <c:pt idx="0">
                  <c:v>152</c:v>
                </c:pt>
                <c:pt idx="1">
                  <c:v>29</c:v>
                </c:pt>
                <c:pt idx="2">
                  <c:v>7</c:v>
                </c:pt>
                <c:pt idx="3">
                  <c:v>2</c:v>
                </c:pt>
                <c:pt idx="4">
                  <c:v>0</c:v>
                </c:pt>
                <c:pt idx="5">
                  <c:v>0</c:v>
                </c:pt>
              </c:numCache>
            </c:numRef>
          </c:val>
          <c:extLst xmlns:c16r2="http://schemas.microsoft.com/office/drawing/2015/06/chart">
            <c:ext xmlns:c16="http://schemas.microsoft.com/office/drawing/2014/chart" uri="{C3380CC4-5D6E-409C-BE32-E72D297353CC}">
              <c16:uniqueId val="{00000006-86E6-47F4-870A-175A5E162C18}"/>
            </c:ext>
          </c:extLst>
        </c:ser>
        <c:ser>
          <c:idx val="7"/>
          <c:order val="7"/>
          <c:tx>
            <c:strRef>
              <c:f>Graphs!$A$661</c:f>
              <c:strCache>
                <c:ptCount val="1"/>
                <c:pt idx="0">
                  <c:v>2020s:</c:v>
                </c:pt>
              </c:strCache>
            </c:strRef>
          </c:tx>
          <c:invertIfNegative val="0"/>
          <c:val>
            <c:numRef>
              <c:f>Graphs!$E$661:$J$661</c:f>
              <c:numCache>
                <c:formatCode>0</c:formatCode>
                <c:ptCount val="6"/>
                <c:pt idx="0">
                  <c:v>36</c:v>
                </c:pt>
                <c:pt idx="1">
                  <c:v>5</c:v>
                </c:pt>
                <c:pt idx="2">
                  <c:v>2</c:v>
                </c:pt>
                <c:pt idx="3">
                  <c:v>0</c:v>
                </c:pt>
                <c:pt idx="4">
                  <c:v>0</c:v>
                </c:pt>
                <c:pt idx="5">
                  <c:v>0</c:v>
                </c:pt>
              </c:numCache>
            </c:numRef>
          </c:val>
          <c:extLst xmlns:c16r2="http://schemas.microsoft.com/office/drawing/2015/06/chart">
            <c:ext xmlns:c16="http://schemas.microsoft.com/office/drawing/2014/chart" uri="{C3380CC4-5D6E-409C-BE32-E72D297353CC}">
              <c16:uniqueId val="{00000007-86E6-47F4-870A-175A5E162C18}"/>
            </c:ext>
          </c:extLst>
        </c:ser>
        <c:ser>
          <c:idx val="8"/>
          <c:order val="8"/>
          <c:tx>
            <c:strRef>
              <c:f>Graphs!$A$662</c:f>
              <c:strCache>
                <c:ptCount val="1"/>
                <c:pt idx="0">
                  <c:v>2030s:</c:v>
                </c:pt>
              </c:strCache>
            </c:strRef>
          </c:tx>
          <c:invertIfNegative val="0"/>
          <c:val>
            <c:numRef>
              <c:f>Graphs!$E$662:$J$662</c:f>
              <c:numCache>
                <c:formatCode>0</c:formatCode>
                <c:ptCount val="6"/>
              </c:numCache>
            </c:numRef>
          </c:val>
          <c:extLst xmlns:c16r2="http://schemas.microsoft.com/office/drawing/2015/06/chart">
            <c:ext xmlns:c16="http://schemas.microsoft.com/office/drawing/2014/chart" uri="{C3380CC4-5D6E-409C-BE32-E72D297353CC}">
              <c16:uniqueId val="{0000000A-86E6-47F4-870A-175A5E162C18}"/>
            </c:ext>
          </c:extLst>
        </c:ser>
        <c:dLbls>
          <c:showLegendKey val="0"/>
          <c:showVal val="0"/>
          <c:showCatName val="0"/>
          <c:showSerName val="0"/>
          <c:showPercent val="0"/>
          <c:showBubbleSize val="0"/>
        </c:dLbls>
        <c:gapWidth val="150"/>
        <c:axId val="158598656"/>
        <c:axId val="158600576"/>
      </c:barChart>
      <c:catAx>
        <c:axId val="158598656"/>
        <c:scaling>
          <c:orientation val="minMax"/>
        </c:scaling>
        <c:delete val="0"/>
        <c:axPos val="b"/>
        <c:title>
          <c:tx>
            <c:rich>
              <a:bodyPr/>
              <a:lstStyle/>
              <a:p>
                <a:pPr>
                  <a:defRPr/>
                </a:pPr>
                <a:r>
                  <a:rPr lang="en-US"/>
                  <a:t>Tornado Intensity</a:t>
                </a:r>
              </a:p>
            </c:rich>
          </c:tx>
          <c:layout/>
          <c:overlay val="0"/>
        </c:title>
        <c:numFmt formatCode="General" sourceLinked="0"/>
        <c:majorTickMark val="out"/>
        <c:minorTickMark val="none"/>
        <c:tickLblPos val="nextTo"/>
        <c:crossAx val="158600576"/>
        <c:crosses val="autoZero"/>
        <c:auto val="1"/>
        <c:lblAlgn val="ctr"/>
        <c:lblOffset val="100"/>
        <c:noMultiLvlLbl val="0"/>
      </c:catAx>
      <c:valAx>
        <c:axId val="158600576"/>
        <c:scaling>
          <c:orientation val="minMax"/>
        </c:scaling>
        <c:delete val="0"/>
        <c:axPos val="l"/>
        <c:majorGridlines/>
        <c:title>
          <c:tx>
            <c:rich>
              <a:bodyPr rot="-5400000" vert="horz"/>
              <a:lstStyle/>
              <a:p>
                <a:pPr>
                  <a:defRPr/>
                </a:pPr>
                <a:r>
                  <a:rPr lang="en-US"/>
                  <a:t>No. of Tornadoes</a:t>
                </a:r>
              </a:p>
            </c:rich>
          </c:tx>
          <c:layout/>
          <c:overlay val="0"/>
        </c:title>
        <c:numFmt formatCode="0" sourceLinked="1"/>
        <c:majorTickMark val="out"/>
        <c:minorTickMark val="none"/>
        <c:tickLblPos val="nextTo"/>
        <c:crossAx val="1585986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45572164925165E-2"/>
          <c:y val="3.7763662284090664E-2"/>
          <c:w val="0.89859966299393301"/>
          <c:h val="0.833857560257798"/>
        </c:manualLayout>
      </c:layout>
      <c:barChart>
        <c:barDir val="col"/>
        <c:grouping val="clustered"/>
        <c:varyColors val="0"/>
        <c:ser>
          <c:idx val="1"/>
          <c:order val="0"/>
          <c:tx>
            <c:strRef>
              <c:f>ONI!$Z$1</c:f>
              <c:strCache>
                <c:ptCount val="1"/>
                <c:pt idx="0">
                  <c:v>DJF</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ONI!$Z$2:$Z$82</c:f>
              <c:numCache>
                <c:formatCode>General</c:formatCode>
                <c:ptCount val="81"/>
                <c:pt idx="0">
                  <c:v>-1.5</c:v>
                </c:pt>
                <c:pt idx="1">
                  <c:v>-0.8</c:v>
                </c:pt>
                <c:pt idx="2">
                  <c:v>0.5</c:v>
                </c:pt>
                <c:pt idx="3">
                  <c:v>0.4</c:v>
                </c:pt>
                <c:pt idx="4">
                  <c:v>0.8</c:v>
                </c:pt>
                <c:pt idx="5">
                  <c:v>-0.7</c:v>
                </c:pt>
                <c:pt idx="6">
                  <c:v>-1.1000000000000001</c:v>
                </c:pt>
                <c:pt idx="7">
                  <c:v>-0.2</c:v>
                </c:pt>
                <c:pt idx="8">
                  <c:v>1.8</c:v>
                </c:pt>
                <c:pt idx="9">
                  <c:v>0.6</c:v>
                </c:pt>
                <c:pt idx="10">
                  <c:v>-0.1</c:v>
                </c:pt>
                <c:pt idx="11">
                  <c:v>0</c:v>
                </c:pt>
                <c:pt idx="12">
                  <c:v>-0.2</c:v>
                </c:pt>
                <c:pt idx="13">
                  <c:v>-0.4</c:v>
                </c:pt>
                <c:pt idx="14">
                  <c:v>1.1000000000000001</c:v>
                </c:pt>
                <c:pt idx="15">
                  <c:v>-0.6</c:v>
                </c:pt>
                <c:pt idx="16">
                  <c:v>1.4</c:v>
                </c:pt>
                <c:pt idx="17">
                  <c:v>-0.4</c:v>
                </c:pt>
                <c:pt idx="18">
                  <c:v>-0.6</c:v>
                </c:pt>
                <c:pt idx="19">
                  <c:v>1.1000000000000001</c:v>
                </c:pt>
                <c:pt idx="20">
                  <c:v>0.5</c:v>
                </c:pt>
                <c:pt idx="21">
                  <c:v>-1.4</c:v>
                </c:pt>
                <c:pt idx="22">
                  <c:v>-0.7</c:v>
                </c:pt>
                <c:pt idx="23">
                  <c:v>1.8</c:v>
                </c:pt>
                <c:pt idx="24">
                  <c:v>-1.8</c:v>
                </c:pt>
                <c:pt idx="25">
                  <c:v>-0.5</c:v>
                </c:pt>
                <c:pt idx="26">
                  <c:v>-1.6</c:v>
                </c:pt>
                <c:pt idx="27">
                  <c:v>0.7</c:v>
                </c:pt>
                <c:pt idx="28">
                  <c:v>0.7</c:v>
                </c:pt>
                <c:pt idx="29">
                  <c:v>0</c:v>
                </c:pt>
                <c:pt idx="30">
                  <c:v>0.6</c:v>
                </c:pt>
                <c:pt idx="31">
                  <c:v>-0.3</c:v>
                </c:pt>
                <c:pt idx="32">
                  <c:v>0</c:v>
                </c:pt>
                <c:pt idx="33">
                  <c:v>2.2000000000000002</c:v>
                </c:pt>
                <c:pt idx="34">
                  <c:v>-0.6</c:v>
                </c:pt>
                <c:pt idx="35">
                  <c:v>-1</c:v>
                </c:pt>
                <c:pt idx="36">
                  <c:v>-0.5</c:v>
                </c:pt>
                <c:pt idx="37">
                  <c:v>1.2</c:v>
                </c:pt>
                <c:pt idx="38">
                  <c:v>0.8</c:v>
                </c:pt>
                <c:pt idx="39">
                  <c:v>-1.7</c:v>
                </c:pt>
                <c:pt idx="40">
                  <c:v>0.1</c:v>
                </c:pt>
                <c:pt idx="41">
                  <c:v>0.4</c:v>
                </c:pt>
                <c:pt idx="42">
                  <c:v>1.7</c:v>
                </c:pt>
                <c:pt idx="43">
                  <c:v>0.1</c:v>
                </c:pt>
                <c:pt idx="44">
                  <c:v>0.1</c:v>
                </c:pt>
                <c:pt idx="45">
                  <c:v>1</c:v>
                </c:pt>
                <c:pt idx="46">
                  <c:v>-0.9</c:v>
                </c:pt>
                <c:pt idx="47">
                  <c:v>-0.5</c:v>
                </c:pt>
                <c:pt idx="48">
                  <c:v>2.2000000000000002</c:v>
                </c:pt>
                <c:pt idx="49">
                  <c:v>-1.5</c:v>
                </c:pt>
                <c:pt idx="50">
                  <c:v>-1.7</c:v>
                </c:pt>
                <c:pt idx="51">
                  <c:v>-0.7</c:v>
                </c:pt>
                <c:pt idx="52">
                  <c:v>-0.1</c:v>
                </c:pt>
                <c:pt idx="53">
                  <c:v>0.9</c:v>
                </c:pt>
                <c:pt idx="54">
                  <c:v>0.4</c:v>
                </c:pt>
                <c:pt idx="55">
                  <c:v>0.6</c:v>
                </c:pt>
                <c:pt idx="56">
                  <c:v>-0.8</c:v>
                </c:pt>
                <c:pt idx="57">
                  <c:v>0.7</c:v>
                </c:pt>
                <c:pt idx="58">
                  <c:v>-1.6</c:v>
                </c:pt>
                <c:pt idx="59">
                  <c:v>-0.8</c:v>
                </c:pt>
                <c:pt idx="60">
                  <c:v>1.5</c:v>
                </c:pt>
                <c:pt idx="61">
                  <c:v>-1.4</c:v>
                </c:pt>
                <c:pt idx="62">
                  <c:v>-0.8</c:v>
                </c:pt>
                <c:pt idx="63">
                  <c:v>-0.4</c:v>
                </c:pt>
                <c:pt idx="64">
                  <c:v>-0.4</c:v>
                </c:pt>
                <c:pt idx="65">
                  <c:v>0.6</c:v>
                </c:pt>
                <c:pt idx="66">
                  <c:v>2.5</c:v>
                </c:pt>
                <c:pt idx="67">
                  <c:v>-0.3</c:v>
                </c:pt>
                <c:pt idx="68">
                  <c:v>-0.9</c:v>
                </c:pt>
                <c:pt idx="69">
                  <c:v>0.8</c:v>
                </c:pt>
                <c:pt idx="70">
                  <c:v>0.5</c:v>
                </c:pt>
                <c:pt idx="71">
                  <c:v>-1</c:v>
                </c:pt>
                <c:pt idx="72">
                  <c:v>-1</c:v>
                </c:pt>
              </c:numCache>
            </c:numRef>
          </c:val>
          <c:extLst xmlns:c16r2="http://schemas.microsoft.com/office/drawing/2015/06/chart">
            <c:ext xmlns:c16="http://schemas.microsoft.com/office/drawing/2014/chart" uri="{C3380CC4-5D6E-409C-BE32-E72D297353CC}">
              <c16:uniqueId val="{00000000-F024-404E-B710-21F7FEAD93D5}"/>
            </c:ext>
          </c:extLst>
        </c:ser>
        <c:ser>
          <c:idx val="2"/>
          <c:order val="1"/>
          <c:tx>
            <c:strRef>
              <c:f>ONI!$AA$1</c:f>
              <c:strCache>
                <c:ptCount val="1"/>
                <c:pt idx="0">
                  <c:v>JFM</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ONI!$AA$2:$AA$82</c:f>
              <c:numCache>
                <c:formatCode>General</c:formatCode>
                <c:ptCount val="81"/>
                <c:pt idx="0">
                  <c:v>-1.3</c:v>
                </c:pt>
                <c:pt idx="1">
                  <c:v>-0.5</c:v>
                </c:pt>
                <c:pt idx="2">
                  <c:v>0.4</c:v>
                </c:pt>
                <c:pt idx="3">
                  <c:v>0.6</c:v>
                </c:pt>
                <c:pt idx="4">
                  <c:v>0.5</c:v>
                </c:pt>
                <c:pt idx="5">
                  <c:v>-0.6</c:v>
                </c:pt>
                <c:pt idx="6">
                  <c:v>-0.8</c:v>
                </c:pt>
                <c:pt idx="7">
                  <c:v>0.1</c:v>
                </c:pt>
                <c:pt idx="8">
                  <c:v>1.7</c:v>
                </c:pt>
                <c:pt idx="9">
                  <c:v>0.6</c:v>
                </c:pt>
                <c:pt idx="10">
                  <c:v>-0.1</c:v>
                </c:pt>
                <c:pt idx="11">
                  <c:v>0</c:v>
                </c:pt>
                <c:pt idx="12">
                  <c:v>-0.2</c:v>
                </c:pt>
                <c:pt idx="13">
                  <c:v>-0.2</c:v>
                </c:pt>
                <c:pt idx="14">
                  <c:v>0.6</c:v>
                </c:pt>
                <c:pt idx="15">
                  <c:v>-0.3</c:v>
                </c:pt>
                <c:pt idx="16">
                  <c:v>1.2</c:v>
                </c:pt>
                <c:pt idx="17">
                  <c:v>-0.5</c:v>
                </c:pt>
                <c:pt idx="18">
                  <c:v>-0.7</c:v>
                </c:pt>
                <c:pt idx="19">
                  <c:v>1.1000000000000001</c:v>
                </c:pt>
                <c:pt idx="20">
                  <c:v>0.3</c:v>
                </c:pt>
                <c:pt idx="21">
                  <c:v>-1.4</c:v>
                </c:pt>
                <c:pt idx="22">
                  <c:v>-0.4</c:v>
                </c:pt>
                <c:pt idx="23">
                  <c:v>1.2</c:v>
                </c:pt>
                <c:pt idx="24">
                  <c:v>-1.6</c:v>
                </c:pt>
                <c:pt idx="25">
                  <c:v>-0.6</c:v>
                </c:pt>
                <c:pt idx="26">
                  <c:v>-1.2</c:v>
                </c:pt>
                <c:pt idx="27">
                  <c:v>0.6</c:v>
                </c:pt>
                <c:pt idx="28">
                  <c:v>0.4</c:v>
                </c:pt>
                <c:pt idx="29">
                  <c:v>0.1</c:v>
                </c:pt>
                <c:pt idx="30">
                  <c:v>0.5</c:v>
                </c:pt>
                <c:pt idx="31">
                  <c:v>-0.5</c:v>
                </c:pt>
                <c:pt idx="32">
                  <c:v>0.1</c:v>
                </c:pt>
                <c:pt idx="33">
                  <c:v>1.9</c:v>
                </c:pt>
                <c:pt idx="34">
                  <c:v>-0.4</c:v>
                </c:pt>
                <c:pt idx="35">
                  <c:v>-0.8</c:v>
                </c:pt>
                <c:pt idx="36">
                  <c:v>-0.5</c:v>
                </c:pt>
                <c:pt idx="37">
                  <c:v>1.2</c:v>
                </c:pt>
                <c:pt idx="38">
                  <c:v>0.5</c:v>
                </c:pt>
                <c:pt idx="39">
                  <c:v>-1.4</c:v>
                </c:pt>
                <c:pt idx="40">
                  <c:v>0.2</c:v>
                </c:pt>
                <c:pt idx="41">
                  <c:v>0.3</c:v>
                </c:pt>
                <c:pt idx="42">
                  <c:v>1.6</c:v>
                </c:pt>
                <c:pt idx="43">
                  <c:v>0.3</c:v>
                </c:pt>
                <c:pt idx="44">
                  <c:v>0.1</c:v>
                </c:pt>
                <c:pt idx="45">
                  <c:v>0.7</c:v>
                </c:pt>
                <c:pt idx="46">
                  <c:v>-0.8</c:v>
                </c:pt>
                <c:pt idx="47">
                  <c:v>-0.4</c:v>
                </c:pt>
                <c:pt idx="48">
                  <c:v>1.9</c:v>
                </c:pt>
                <c:pt idx="49">
                  <c:v>-1.3</c:v>
                </c:pt>
                <c:pt idx="50">
                  <c:v>-1.4</c:v>
                </c:pt>
                <c:pt idx="51">
                  <c:v>-0.5</c:v>
                </c:pt>
                <c:pt idx="52">
                  <c:v>0</c:v>
                </c:pt>
                <c:pt idx="53">
                  <c:v>0.6</c:v>
                </c:pt>
                <c:pt idx="54">
                  <c:v>0.3</c:v>
                </c:pt>
                <c:pt idx="55">
                  <c:v>0.6</c:v>
                </c:pt>
                <c:pt idx="56">
                  <c:v>-0.7</c:v>
                </c:pt>
                <c:pt idx="57">
                  <c:v>0.3</c:v>
                </c:pt>
                <c:pt idx="58">
                  <c:v>-1.4</c:v>
                </c:pt>
                <c:pt idx="59">
                  <c:v>-0.7</c:v>
                </c:pt>
                <c:pt idx="60">
                  <c:v>1.3</c:v>
                </c:pt>
                <c:pt idx="61">
                  <c:v>-1.1000000000000001</c:v>
                </c:pt>
                <c:pt idx="62">
                  <c:v>-0.6</c:v>
                </c:pt>
                <c:pt idx="63">
                  <c:v>-0.3</c:v>
                </c:pt>
                <c:pt idx="64">
                  <c:v>-0.4</c:v>
                </c:pt>
                <c:pt idx="65">
                  <c:v>0.6</c:v>
                </c:pt>
                <c:pt idx="66">
                  <c:v>2.2000000000000002</c:v>
                </c:pt>
                <c:pt idx="67">
                  <c:v>-0.1</c:v>
                </c:pt>
                <c:pt idx="68">
                  <c:v>-0.8</c:v>
                </c:pt>
                <c:pt idx="69">
                  <c:v>0.8</c:v>
                </c:pt>
                <c:pt idx="70">
                  <c:v>0.6</c:v>
                </c:pt>
                <c:pt idx="71">
                  <c:v>-0.9</c:v>
                </c:pt>
                <c:pt idx="72">
                  <c:v>-0.9</c:v>
                </c:pt>
              </c:numCache>
            </c:numRef>
          </c:val>
          <c:extLst xmlns:c16r2="http://schemas.microsoft.com/office/drawing/2015/06/chart">
            <c:ext xmlns:c16="http://schemas.microsoft.com/office/drawing/2014/chart" uri="{C3380CC4-5D6E-409C-BE32-E72D297353CC}">
              <c16:uniqueId val="{00000001-F024-404E-B710-21F7FEAD93D5}"/>
            </c:ext>
          </c:extLst>
        </c:ser>
        <c:ser>
          <c:idx val="3"/>
          <c:order val="2"/>
          <c:tx>
            <c:strRef>
              <c:f>ONI!$AB$1</c:f>
              <c:strCache>
                <c:ptCount val="1"/>
                <c:pt idx="0">
                  <c:v>FMA</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ONI!$AB$2:$AB$82</c:f>
              <c:numCache>
                <c:formatCode>General</c:formatCode>
                <c:ptCount val="81"/>
                <c:pt idx="0">
                  <c:v>-1.2</c:v>
                </c:pt>
                <c:pt idx="1">
                  <c:v>-0.2</c:v>
                </c:pt>
                <c:pt idx="2">
                  <c:v>0.3</c:v>
                </c:pt>
                <c:pt idx="3">
                  <c:v>0.6</c:v>
                </c:pt>
                <c:pt idx="4">
                  <c:v>0</c:v>
                </c:pt>
                <c:pt idx="5">
                  <c:v>-0.7</c:v>
                </c:pt>
                <c:pt idx="6">
                  <c:v>-0.6</c:v>
                </c:pt>
                <c:pt idx="7">
                  <c:v>0.4</c:v>
                </c:pt>
                <c:pt idx="8">
                  <c:v>1.3</c:v>
                </c:pt>
                <c:pt idx="9">
                  <c:v>0.5</c:v>
                </c:pt>
                <c:pt idx="10">
                  <c:v>-0.1</c:v>
                </c:pt>
                <c:pt idx="11">
                  <c:v>0</c:v>
                </c:pt>
                <c:pt idx="12">
                  <c:v>-0.2</c:v>
                </c:pt>
                <c:pt idx="13">
                  <c:v>0.2</c:v>
                </c:pt>
                <c:pt idx="14">
                  <c:v>0.1</c:v>
                </c:pt>
                <c:pt idx="15">
                  <c:v>-0.1</c:v>
                </c:pt>
                <c:pt idx="16">
                  <c:v>1</c:v>
                </c:pt>
                <c:pt idx="17">
                  <c:v>-0.5</c:v>
                </c:pt>
                <c:pt idx="18">
                  <c:v>-0.6</c:v>
                </c:pt>
                <c:pt idx="19">
                  <c:v>0.9</c:v>
                </c:pt>
                <c:pt idx="20">
                  <c:v>0.3</c:v>
                </c:pt>
                <c:pt idx="21">
                  <c:v>-1.1000000000000001</c:v>
                </c:pt>
                <c:pt idx="22">
                  <c:v>0.1</c:v>
                </c:pt>
                <c:pt idx="23">
                  <c:v>0.5</c:v>
                </c:pt>
                <c:pt idx="24">
                  <c:v>-1.2</c:v>
                </c:pt>
                <c:pt idx="25">
                  <c:v>-0.7</c:v>
                </c:pt>
                <c:pt idx="26">
                  <c:v>-0.7</c:v>
                </c:pt>
                <c:pt idx="27">
                  <c:v>0.3</c:v>
                </c:pt>
                <c:pt idx="28">
                  <c:v>0.1</c:v>
                </c:pt>
                <c:pt idx="29">
                  <c:v>0.2</c:v>
                </c:pt>
                <c:pt idx="30">
                  <c:v>0.3</c:v>
                </c:pt>
                <c:pt idx="31">
                  <c:v>-0.5</c:v>
                </c:pt>
                <c:pt idx="32">
                  <c:v>0.2</c:v>
                </c:pt>
                <c:pt idx="33">
                  <c:v>1.5</c:v>
                </c:pt>
                <c:pt idx="34">
                  <c:v>-0.3</c:v>
                </c:pt>
                <c:pt idx="35">
                  <c:v>-0.8</c:v>
                </c:pt>
                <c:pt idx="36">
                  <c:v>-0.3</c:v>
                </c:pt>
                <c:pt idx="37">
                  <c:v>1.1000000000000001</c:v>
                </c:pt>
                <c:pt idx="38">
                  <c:v>0.1</c:v>
                </c:pt>
                <c:pt idx="39">
                  <c:v>-1.1000000000000001</c:v>
                </c:pt>
                <c:pt idx="40">
                  <c:v>0.3</c:v>
                </c:pt>
                <c:pt idx="41">
                  <c:v>0.2</c:v>
                </c:pt>
                <c:pt idx="42">
                  <c:v>1.5</c:v>
                </c:pt>
                <c:pt idx="43">
                  <c:v>0.5</c:v>
                </c:pt>
                <c:pt idx="44">
                  <c:v>0.2</c:v>
                </c:pt>
                <c:pt idx="45">
                  <c:v>0.5</c:v>
                </c:pt>
                <c:pt idx="46">
                  <c:v>-0.6</c:v>
                </c:pt>
                <c:pt idx="47">
                  <c:v>-0.1</c:v>
                </c:pt>
                <c:pt idx="48">
                  <c:v>1.4</c:v>
                </c:pt>
                <c:pt idx="49">
                  <c:v>-1.1000000000000001</c:v>
                </c:pt>
                <c:pt idx="50">
                  <c:v>-1.1000000000000001</c:v>
                </c:pt>
                <c:pt idx="51">
                  <c:v>-0.4</c:v>
                </c:pt>
                <c:pt idx="52">
                  <c:v>0.1</c:v>
                </c:pt>
                <c:pt idx="53">
                  <c:v>0.4</c:v>
                </c:pt>
                <c:pt idx="54">
                  <c:v>0.2</c:v>
                </c:pt>
                <c:pt idx="55">
                  <c:v>0.4</c:v>
                </c:pt>
                <c:pt idx="56">
                  <c:v>-0.5</c:v>
                </c:pt>
                <c:pt idx="57">
                  <c:v>0</c:v>
                </c:pt>
                <c:pt idx="58">
                  <c:v>-1.2</c:v>
                </c:pt>
                <c:pt idx="59">
                  <c:v>-0.5</c:v>
                </c:pt>
                <c:pt idx="60">
                  <c:v>0.9</c:v>
                </c:pt>
                <c:pt idx="61">
                  <c:v>-0.8</c:v>
                </c:pt>
                <c:pt idx="62">
                  <c:v>-0.5</c:v>
                </c:pt>
                <c:pt idx="63">
                  <c:v>-0.2</c:v>
                </c:pt>
                <c:pt idx="64">
                  <c:v>-0.2</c:v>
                </c:pt>
                <c:pt idx="65">
                  <c:v>0.6</c:v>
                </c:pt>
                <c:pt idx="66">
                  <c:v>1.7</c:v>
                </c:pt>
                <c:pt idx="67">
                  <c:v>0.1</c:v>
                </c:pt>
                <c:pt idx="68">
                  <c:v>-0.6</c:v>
                </c:pt>
                <c:pt idx="69">
                  <c:v>0.8</c:v>
                </c:pt>
                <c:pt idx="70">
                  <c:v>0.5</c:v>
                </c:pt>
                <c:pt idx="71">
                  <c:v>-0.8</c:v>
                </c:pt>
                <c:pt idx="72">
                  <c:v>-1</c:v>
                </c:pt>
              </c:numCache>
            </c:numRef>
          </c:val>
          <c:extLst xmlns:c16r2="http://schemas.microsoft.com/office/drawing/2015/06/chart">
            <c:ext xmlns:c16="http://schemas.microsoft.com/office/drawing/2014/chart" uri="{C3380CC4-5D6E-409C-BE32-E72D297353CC}">
              <c16:uniqueId val="{00000002-F024-404E-B710-21F7FEAD93D5}"/>
            </c:ext>
          </c:extLst>
        </c:ser>
        <c:ser>
          <c:idx val="4"/>
          <c:order val="3"/>
          <c:tx>
            <c:strRef>
              <c:f>ONI!$AC$1</c:f>
              <c:strCache>
                <c:ptCount val="1"/>
                <c:pt idx="0">
                  <c:v>MAM</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ONI!$AC$2:$AC$82</c:f>
              <c:numCache>
                <c:formatCode>General</c:formatCode>
                <c:ptCount val="81"/>
                <c:pt idx="0">
                  <c:v>-1.2</c:v>
                </c:pt>
                <c:pt idx="1">
                  <c:v>0.2</c:v>
                </c:pt>
                <c:pt idx="2">
                  <c:v>0.3</c:v>
                </c:pt>
                <c:pt idx="3">
                  <c:v>0.7</c:v>
                </c:pt>
                <c:pt idx="4">
                  <c:v>-0.4</c:v>
                </c:pt>
                <c:pt idx="5">
                  <c:v>-0.8</c:v>
                </c:pt>
                <c:pt idx="6">
                  <c:v>-0.5</c:v>
                </c:pt>
                <c:pt idx="7">
                  <c:v>0.7</c:v>
                </c:pt>
                <c:pt idx="8">
                  <c:v>0.9</c:v>
                </c:pt>
                <c:pt idx="9">
                  <c:v>0.3</c:v>
                </c:pt>
                <c:pt idx="10">
                  <c:v>0</c:v>
                </c:pt>
                <c:pt idx="11">
                  <c:v>0.1</c:v>
                </c:pt>
                <c:pt idx="12">
                  <c:v>-0.3</c:v>
                </c:pt>
                <c:pt idx="13">
                  <c:v>0.3</c:v>
                </c:pt>
                <c:pt idx="14">
                  <c:v>-0.3</c:v>
                </c:pt>
                <c:pt idx="15">
                  <c:v>0.2</c:v>
                </c:pt>
                <c:pt idx="16">
                  <c:v>0.7</c:v>
                </c:pt>
                <c:pt idx="17">
                  <c:v>-0.4</c:v>
                </c:pt>
                <c:pt idx="18">
                  <c:v>-0.4</c:v>
                </c:pt>
                <c:pt idx="19">
                  <c:v>0.8</c:v>
                </c:pt>
                <c:pt idx="20">
                  <c:v>0.2</c:v>
                </c:pt>
                <c:pt idx="21">
                  <c:v>-0.8</c:v>
                </c:pt>
                <c:pt idx="22">
                  <c:v>0.4</c:v>
                </c:pt>
                <c:pt idx="23">
                  <c:v>-0.1</c:v>
                </c:pt>
                <c:pt idx="24">
                  <c:v>-1</c:v>
                </c:pt>
                <c:pt idx="25">
                  <c:v>-0.7</c:v>
                </c:pt>
                <c:pt idx="26">
                  <c:v>-0.5</c:v>
                </c:pt>
                <c:pt idx="27">
                  <c:v>0.2</c:v>
                </c:pt>
                <c:pt idx="28">
                  <c:v>-0.2</c:v>
                </c:pt>
                <c:pt idx="29">
                  <c:v>0.3</c:v>
                </c:pt>
                <c:pt idx="30">
                  <c:v>0.4</c:v>
                </c:pt>
                <c:pt idx="31">
                  <c:v>-0.4</c:v>
                </c:pt>
                <c:pt idx="32">
                  <c:v>0.5</c:v>
                </c:pt>
                <c:pt idx="33">
                  <c:v>1.3</c:v>
                </c:pt>
                <c:pt idx="34">
                  <c:v>-0.4</c:v>
                </c:pt>
                <c:pt idx="35">
                  <c:v>-0.8</c:v>
                </c:pt>
                <c:pt idx="36">
                  <c:v>-0.2</c:v>
                </c:pt>
                <c:pt idx="37">
                  <c:v>0.9</c:v>
                </c:pt>
                <c:pt idx="38">
                  <c:v>-0.3</c:v>
                </c:pt>
                <c:pt idx="39">
                  <c:v>-0.8</c:v>
                </c:pt>
                <c:pt idx="40">
                  <c:v>0.3</c:v>
                </c:pt>
                <c:pt idx="41">
                  <c:v>0.3</c:v>
                </c:pt>
                <c:pt idx="42">
                  <c:v>1.3</c:v>
                </c:pt>
                <c:pt idx="43">
                  <c:v>0.7</c:v>
                </c:pt>
                <c:pt idx="44">
                  <c:v>0.3</c:v>
                </c:pt>
                <c:pt idx="45">
                  <c:v>0.3</c:v>
                </c:pt>
                <c:pt idx="46">
                  <c:v>-0.4</c:v>
                </c:pt>
                <c:pt idx="47">
                  <c:v>0.3</c:v>
                </c:pt>
                <c:pt idx="48">
                  <c:v>1</c:v>
                </c:pt>
                <c:pt idx="49">
                  <c:v>-1</c:v>
                </c:pt>
                <c:pt idx="50">
                  <c:v>-0.8</c:v>
                </c:pt>
                <c:pt idx="51">
                  <c:v>-0.3</c:v>
                </c:pt>
                <c:pt idx="52">
                  <c:v>0.2</c:v>
                </c:pt>
                <c:pt idx="53">
                  <c:v>0</c:v>
                </c:pt>
                <c:pt idx="54">
                  <c:v>0.2</c:v>
                </c:pt>
                <c:pt idx="55">
                  <c:v>0.4</c:v>
                </c:pt>
                <c:pt idx="56">
                  <c:v>-0.3</c:v>
                </c:pt>
                <c:pt idx="57">
                  <c:v>-0.2</c:v>
                </c:pt>
                <c:pt idx="58">
                  <c:v>-0.9</c:v>
                </c:pt>
                <c:pt idx="59">
                  <c:v>-0.2</c:v>
                </c:pt>
                <c:pt idx="60">
                  <c:v>0.4</c:v>
                </c:pt>
                <c:pt idx="61">
                  <c:v>-0.6</c:v>
                </c:pt>
                <c:pt idx="62">
                  <c:v>-0.4</c:v>
                </c:pt>
                <c:pt idx="63">
                  <c:v>-0.2</c:v>
                </c:pt>
                <c:pt idx="64">
                  <c:v>0.1</c:v>
                </c:pt>
                <c:pt idx="65">
                  <c:v>0.8</c:v>
                </c:pt>
                <c:pt idx="66">
                  <c:v>1</c:v>
                </c:pt>
                <c:pt idx="67">
                  <c:v>0.3</c:v>
                </c:pt>
                <c:pt idx="68">
                  <c:v>-0.4</c:v>
                </c:pt>
                <c:pt idx="69">
                  <c:v>0.7</c:v>
                </c:pt>
                <c:pt idx="70">
                  <c:v>0.3</c:v>
                </c:pt>
                <c:pt idx="71">
                  <c:v>-0.7</c:v>
                </c:pt>
                <c:pt idx="72">
                  <c:v>-1.1000000000000001</c:v>
                </c:pt>
              </c:numCache>
            </c:numRef>
          </c:val>
          <c:extLst xmlns:c16r2="http://schemas.microsoft.com/office/drawing/2015/06/chart">
            <c:ext xmlns:c16="http://schemas.microsoft.com/office/drawing/2014/chart" uri="{C3380CC4-5D6E-409C-BE32-E72D297353CC}">
              <c16:uniqueId val="{00000003-F024-404E-B710-21F7FEAD93D5}"/>
            </c:ext>
          </c:extLst>
        </c:ser>
        <c:ser>
          <c:idx val="5"/>
          <c:order val="4"/>
          <c:tx>
            <c:strRef>
              <c:f>ONI!$AD$1</c:f>
              <c:strCache>
                <c:ptCount val="1"/>
                <c:pt idx="0">
                  <c:v>AMJ</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ONI!$AD$2:$AD$82</c:f>
              <c:numCache>
                <c:formatCode>General</c:formatCode>
                <c:ptCount val="81"/>
                <c:pt idx="0">
                  <c:v>-1.1000000000000001</c:v>
                </c:pt>
                <c:pt idx="1">
                  <c:v>0.4</c:v>
                </c:pt>
                <c:pt idx="2">
                  <c:v>0.2</c:v>
                </c:pt>
                <c:pt idx="3">
                  <c:v>0.8</c:v>
                </c:pt>
                <c:pt idx="4">
                  <c:v>-0.5</c:v>
                </c:pt>
                <c:pt idx="5">
                  <c:v>-0.8</c:v>
                </c:pt>
                <c:pt idx="6">
                  <c:v>-0.5</c:v>
                </c:pt>
                <c:pt idx="7">
                  <c:v>0.9</c:v>
                </c:pt>
                <c:pt idx="8">
                  <c:v>0.7</c:v>
                </c:pt>
                <c:pt idx="9">
                  <c:v>0.2</c:v>
                </c:pt>
                <c:pt idx="10">
                  <c:v>0</c:v>
                </c:pt>
                <c:pt idx="11">
                  <c:v>0.2</c:v>
                </c:pt>
                <c:pt idx="12">
                  <c:v>-0.3</c:v>
                </c:pt>
                <c:pt idx="13">
                  <c:v>0.3</c:v>
                </c:pt>
                <c:pt idx="14">
                  <c:v>-0.6</c:v>
                </c:pt>
                <c:pt idx="15">
                  <c:v>0.5</c:v>
                </c:pt>
                <c:pt idx="16">
                  <c:v>0.4</c:v>
                </c:pt>
                <c:pt idx="17">
                  <c:v>-0.2</c:v>
                </c:pt>
                <c:pt idx="18">
                  <c:v>0</c:v>
                </c:pt>
                <c:pt idx="19">
                  <c:v>0.6</c:v>
                </c:pt>
                <c:pt idx="20">
                  <c:v>0</c:v>
                </c:pt>
                <c:pt idx="21">
                  <c:v>-0.7</c:v>
                </c:pt>
                <c:pt idx="22">
                  <c:v>0.7</c:v>
                </c:pt>
                <c:pt idx="23">
                  <c:v>-0.5</c:v>
                </c:pt>
                <c:pt idx="24">
                  <c:v>-0.9</c:v>
                </c:pt>
                <c:pt idx="25">
                  <c:v>-0.8</c:v>
                </c:pt>
                <c:pt idx="26">
                  <c:v>-0.3</c:v>
                </c:pt>
                <c:pt idx="27">
                  <c:v>0.2</c:v>
                </c:pt>
                <c:pt idx="28">
                  <c:v>-0.3</c:v>
                </c:pt>
                <c:pt idx="29">
                  <c:v>0.2</c:v>
                </c:pt>
                <c:pt idx="30">
                  <c:v>0.5</c:v>
                </c:pt>
                <c:pt idx="31">
                  <c:v>-0.3</c:v>
                </c:pt>
                <c:pt idx="32">
                  <c:v>0.7</c:v>
                </c:pt>
                <c:pt idx="33">
                  <c:v>1.1000000000000001</c:v>
                </c:pt>
                <c:pt idx="34">
                  <c:v>-0.5</c:v>
                </c:pt>
                <c:pt idx="35">
                  <c:v>-0.8</c:v>
                </c:pt>
                <c:pt idx="36">
                  <c:v>-0.1</c:v>
                </c:pt>
                <c:pt idx="37">
                  <c:v>1</c:v>
                </c:pt>
                <c:pt idx="38">
                  <c:v>-0.9</c:v>
                </c:pt>
                <c:pt idx="39">
                  <c:v>-0.6</c:v>
                </c:pt>
                <c:pt idx="40">
                  <c:v>0.3</c:v>
                </c:pt>
                <c:pt idx="41">
                  <c:v>0.5</c:v>
                </c:pt>
                <c:pt idx="42">
                  <c:v>1.1000000000000001</c:v>
                </c:pt>
                <c:pt idx="43">
                  <c:v>0.7</c:v>
                </c:pt>
                <c:pt idx="44">
                  <c:v>0.4</c:v>
                </c:pt>
                <c:pt idx="45">
                  <c:v>0.1</c:v>
                </c:pt>
                <c:pt idx="46">
                  <c:v>-0.3</c:v>
                </c:pt>
                <c:pt idx="47">
                  <c:v>0.8</c:v>
                </c:pt>
                <c:pt idx="48">
                  <c:v>0.5</c:v>
                </c:pt>
                <c:pt idx="49">
                  <c:v>-1</c:v>
                </c:pt>
                <c:pt idx="50">
                  <c:v>-0.7</c:v>
                </c:pt>
                <c:pt idx="51">
                  <c:v>-0.3</c:v>
                </c:pt>
                <c:pt idx="52">
                  <c:v>0.4</c:v>
                </c:pt>
                <c:pt idx="53">
                  <c:v>-0.3</c:v>
                </c:pt>
                <c:pt idx="54">
                  <c:v>0.2</c:v>
                </c:pt>
                <c:pt idx="55">
                  <c:v>0.3</c:v>
                </c:pt>
                <c:pt idx="56">
                  <c:v>0</c:v>
                </c:pt>
                <c:pt idx="57">
                  <c:v>-0.3</c:v>
                </c:pt>
                <c:pt idx="58">
                  <c:v>-0.8</c:v>
                </c:pt>
                <c:pt idx="59">
                  <c:v>0.1</c:v>
                </c:pt>
                <c:pt idx="60">
                  <c:v>-0.1</c:v>
                </c:pt>
                <c:pt idx="61">
                  <c:v>-0.5</c:v>
                </c:pt>
                <c:pt idx="62">
                  <c:v>-0.2</c:v>
                </c:pt>
                <c:pt idx="63">
                  <c:v>-0.3</c:v>
                </c:pt>
                <c:pt idx="64">
                  <c:v>0.3</c:v>
                </c:pt>
                <c:pt idx="65">
                  <c:v>1</c:v>
                </c:pt>
                <c:pt idx="66">
                  <c:v>0.5</c:v>
                </c:pt>
                <c:pt idx="67">
                  <c:v>0.4</c:v>
                </c:pt>
                <c:pt idx="68">
                  <c:v>-0.1</c:v>
                </c:pt>
                <c:pt idx="69">
                  <c:v>0.6</c:v>
                </c:pt>
                <c:pt idx="70">
                  <c:v>0</c:v>
                </c:pt>
                <c:pt idx="71">
                  <c:v>-0.5</c:v>
                </c:pt>
                <c:pt idx="72">
                  <c:v>-1</c:v>
                </c:pt>
              </c:numCache>
            </c:numRef>
          </c:val>
          <c:extLst xmlns:c16r2="http://schemas.microsoft.com/office/drawing/2015/06/chart">
            <c:ext xmlns:c16="http://schemas.microsoft.com/office/drawing/2014/chart" uri="{C3380CC4-5D6E-409C-BE32-E72D297353CC}">
              <c16:uniqueId val="{00000004-F024-404E-B710-21F7FEAD93D5}"/>
            </c:ext>
          </c:extLst>
        </c:ser>
        <c:ser>
          <c:idx val="6"/>
          <c:order val="5"/>
          <c:tx>
            <c:strRef>
              <c:f>ONI!$AE$1</c:f>
              <c:strCache>
                <c:ptCount val="1"/>
                <c:pt idx="0">
                  <c:v>MJJ</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ONI!$AE$2:$AE$82</c:f>
              <c:numCache>
                <c:formatCode>General</c:formatCode>
                <c:ptCount val="81"/>
                <c:pt idx="0">
                  <c:v>-0.9</c:v>
                </c:pt>
                <c:pt idx="1">
                  <c:v>0.6</c:v>
                </c:pt>
                <c:pt idx="2">
                  <c:v>0</c:v>
                </c:pt>
                <c:pt idx="3">
                  <c:v>0.8</c:v>
                </c:pt>
                <c:pt idx="4">
                  <c:v>-0.5</c:v>
                </c:pt>
                <c:pt idx="5">
                  <c:v>-0.7</c:v>
                </c:pt>
                <c:pt idx="6">
                  <c:v>-0.5</c:v>
                </c:pt>
                <c:pt idx="7">
                  <c:v>1.1000000000000001</c:v>
                </c:pt>
                <c:pt idx="8">
                  <c:v>0.6</c:v>
                </c:pt>
                <c:pt idx="9">
                  <c:v>-0.1</c:v>
                </c:pt>
                <c:pt idx="10">
                  <c:v>0</c:v>
                </c:pt>
                <c:pt idx="11">
                  <c:v>0.3</c:v>
                </c:pt>
                <c:pt idx="12">
                  <c:v>-0.2</c:v>
                </c:pt>
                <c:pt idx="13">
                  <c:v>0.5</c:v>
                </c:pt>
                <c:pt idx="14">
                  <c:v>-0.6</c:v>
                </c:pt>
                <c:pt idx="15">
                  <c:v>0.8</c:v>
                </c:pt>
                <c:pt idx="16">
                  <c:v>0.2</c:v>
                </c:pt>
                <c:pt idx="17">
                  <c:v>0</c:v>
                </c:pt>
                <c:pt idx="18">
                  <c:v>0.3</c:v>
                </c:pt>
                <c:pt idx="19">
                  <c:v>0.4</c:v>
                </c:pt>
                <c:pt idx="20">
                  <c:v>-0.3</c:v>
                </c:pt>
                <c:pt idx="21">
                  <c:v>-0.7</c:v>
                </c:pt>
                <c:pt idx="22">
                  <c:v>0.9</c:v>
                </c:pt>
                <c:pt idx="23">
                  <c:v>-0.9</c:v>
                </c:pt>
                <c:pt idx="24">
                  <c:v>-0.8</c:v>
                </c:pt>
                <c:pt idx="25">
                  <c:v>-1</c:v>
                </c:pt>
                <c:pt idx="26">
                  <c:v>0</c:v>
                </c:pt>
                <c:pt idx="27">
                  <c:v>0.3</c:v>
                </c:pt>
                <c:pt idx="28">
                  <c:v>-0.3</c:v>
                </c:pt>
                <c:pt idx="29">
                  <c:v>0</c:v>
                </c:pt>
                <c:pt idx="30">
                  <c:v>0.5</c:v>
                </c:pt>
                <c:pt idx="31">
                  <c:v>-0.3</c:v>
                </c:pt>
                <c:pt idx="32">
                  <c:v>0.7</c:v>
                </c:pt>
                <c:pt idx="33">
                  <c:v>0.7</c:v>
                </c:pt>
                <c:pt idx="34">
                  <c:v>-0.4</c:v>
                </c:pt>
                <c:pt idx="35">
                  <c:v>-0.6</c:v>
                </c:pt>
                <c:pt idx="36">
                  <c:v>0</c:v>
                </c:pt>
                <c:pt idx="37">
                  <c:v>1.2</c:v>
                </c:pt>
                <c:pt idx="38">
                  <c:v>-1.3</c:v>
                </c:pt>
                <c:pt idx="39">
                  <c:v>-0.4</c:v>
                </c:pt>
                <c:pt idx="40">
                  <c:v>0.3</c:v>
                </c:pt>
                <c:pt idx="41">
                  <c:v>0.6</c:v>
                </c:pt>
                <c:pt idx="42">
                  <c:v>0.7</c:v>
                </c:pt>
                <c:pt idx="43">
                  <c:v>0.6</c:v>
                </c:pt>
                <c:pt idx="44">
                  <c:v>0.4</c:v>
                </c:pt>
                <c:pt idx="45">
                  <c:v>0</c:v>
                </c:pt>
                <c:pt idx="46">
                  <c:v>-0.3</c:v>
                </c:pt>
                <c:pt idx="47">
                  <c:v>1.2</c:v>
                </c:pt>
                <c:pt idx="48">
                  <c:v>-0.1</c:v>
                </c:pt>
                <c:pt idx="49">
                  <c:v>-1</c:v>
                </c:pt>
                <c:pt idx="50">
                  <c:v>-0.6</c:v>
                </c:pt>
                <c:pt idx="51">
                  <c:v>-0.1</c:v>
                </c:pt>
                <c:pt idx="52">
                  <c:v>0.7</c:v>
                </c:pt>
                <c:pt idx="53">
                  <c:v>-0.2</c:v>
                </c:pt>
                <c:pt idx="54">
                  <c:v>0.3</c:v>
                </c:pt>
                <c:pt idx="55">
                  <c:v>0.1</c:v>
                </c:pt>
                <c:pt idx="56">
                  <c:v>0</c:v>
                </c:pt>
                <c:pt idx="57">
                  <c:v>-0.4</c:v>
                </c:pt>
                <c:pt idx="58">
                  <c:v>-0.5</c:v>
                </c:pt>
                <c:pt idx="59">
                  <c:v>0.4</c:v>
                </c:pt>
                <c:pt idx="60">
                  <c:v>-0.6</c:v>
                </c:pt>
                <c:pt idx="61">
                  <c:v>-0.4</c:v>
                </c:pt>
                <c:pt idx="62">
                  <c:v>0.1</c:v>
                </c:pt>
                <c:pt idx="63">
                  <c:v>-0.3</c:v>
                </c:pt>
                <c:pt idx="64">
                  <c:v>0.2</c:v>
                </c:pt>
                <c:pt idx="65">
                  <c:v>1.2</c:v>
                </c:pt>
                <c:pt idx="66">
                  <c:v>0</c:v>
                </c:pt>
                <c:pt idx="67">
                  <c:v>0.4</c:v>
                </c:pt>
                <c:pt idx="68">
                  <c:v>0.1</c:v>
                </c:pt>
                <c:pt idx="69">
                  <c:v>0.5</c:v>
                </c:pt>
                <c:pt idx="70">
                  <c:v>-0.2</c:v>
                </c:pt>
                <c:pt idx="71">
                  <c:v>-0.4</c:v>
                </c:pt>
                <c:pt idx="72">
                  <c:v>-0.9</c:v>
                </c:pt>
              </c:numCache>
            </c:numRef>
          </c:val>
          <c:extLst xmlns:c16r2="http://schemas.microsoft.com/office/drawing/2015/06/chart">
            <c:ext xmlns:c16="http://schemas.microsoft.com/office/drawing/2014/chart" uri="{C3380CC4-5D6E-409C-BE32-E72D297353CC}">
              <c16:uniqueId val="{00000005-F024-404E-B710-21F7FEAD93D5}"/>
            </c:ext>
          </c:extLst>
        </c:ser>
        <c:ser>
          <c:idx val="7"/>
          <c:order val="6"/>
          <c:tx>
            <c:strRef>
              <c:f>ONI!$AF$1</c:f>
              <c:strCache>
                <c:ptCount val="1"/>
                <c:pt idx="0">
                  <c:v>JJA</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ONI!$AF$2:$AF$82</c:f>
              <c:numCache>
                <c:formatCode>General</c:formatCode>
                <c:ptCount val="81"/>
                <c:pt idx="0">
                  <c:v>-0.5</c:v>
                </c:pt>
                <c:pt idx="1">
                  <c:v>0.7</c:v>
                </c:pt>
                <c:pt idx="2">
                  <c:v>-0.1</c:v>
                </c:pt>
                <c:pt idx="3">
                  <c:v>0.7</c:v>
                </c:pt>
                <c:pt idx="4">
                  <c:v>-0.6</c:v>
                </c:pt>
                <c:pt idx="5">
                  <c:v>-0.7</c:v>
                </c:pt>
                <c:pt idx="6">
                  <c:v>-0.6</c:v>
                </c:pt>
                <c:pt idx="7">
                  <c:v>1.3</c:v>
                </c:pt>
                <c:pt idx="8">
                  <c:v>0.6</c:v>
                </c:pt>
                <c:pt idx="9">
                  <c:v>-0.2</c:v>
                </c:pt>
                <c:pt idx="10">
                  <c:v>0.1</c:v>
                </c:pt>
                <c:pt idx="11">
                  <c:v>0.1</c:v>
                </c:pt>
                <c:pt idx="12">
                  <c:v>0</c:v>
                </c:pt>
                <c:pt idx="13">
                  <c:v>0.9</c:v>
                </c:pt>
                <c:pt idx="14">
                  <c:v>-0.6</c:v>
                </c:pt>
                <c:pt idx="15">
                  <c:v>1.2</c:v>
                </c:pt>
                <c:pt idx="16">
                  <c:v>0.2</c:v>
                </c:pt>
                <c:pt idx="17">
                  <c:v>0</c:v>
                </c:pt>
                <c:pt idx="18">
                  <c:v>0.6</c:v>
                </c:pt>
                <c:pt idx="19">
                  <c:v>0.4</c:v>
                </c:pt>
                <c:pt idx="20">
                  <c:v>-0.6</c:v>
                </c:pt>
                <c:pt idx="21">
                  <c:v>-0.8</c:v>
                </c:pt>
                <c:pt idx="22">
                  <c:v>1.1000000000000001</c:v>
                </c:pt>
                <c:pt idx="23">
                  <c:v>-1.1000000000000001</c:v>
                </c:pt>
                <c:pt idx="24">
                  <c:v>-0.5</c:v>
                </c:pt>
                <c:pt idx="25">
                  <c:v>-1.1000000000000001</c:v>
                </c:pt>
                <c:pt idx="26">
                  <c:v>0.2</c:v>
                </c:pt>
                <c:pt idx="27">
                  <c:v>0.4</c:v>
                </c:pt>
                <c:pt idx="28">
                  <c:v>-0.4</c:v>
                </c:pt>
                <c:pt idx="29">
                  <c:v>0</c:v>
                </c:pt>
                <c:pt idx="30">
                  <c:v>0.3</c:v>
                </c:pt>
                <c:pt idx="31">
                  <c:v>-0.3</c:v>
                </c:pt>
                <c:pt idx="32">
                  <c:v>0.8</c:v>
                </c:pt>
                <c:pt idx="33">
                  <c:v>0.3</c:v>
                </c:pt>
                <c:pt idx="34">
                  <c:v>-0.3</c:v>
                </c:pt>
                <c:pt idx="35">
                  <c:v>-0.5</c:v>
                </c:pt>
                <c:pt idx="36">
                  <c:v>0.2</c:v>
                </c:pt>
                <c:pt idx="37">
                  <c:v>1.5</c:v>
                </c:pt>
                <c:pt idx="38">
                  <c:v>-1.3</c:v>
                </c:pt>
                <c:pt idx="39">
                  <c:v>-0.3</c:v>
                </c:pt>
                <c:pt idx="40">
                  <c:v>0.3</c:v>
                </c:pt>
                <c:pt idx="41">
                  <c:v>0.7</c:v>
                </c:pt>
                <c:pt idx="42">
                  <c:v>0.4</c:v>
                </c:pt>
                <c:pt idx="43">
                  <c:v>0.3</c:v>
                </c:pt>
                <c:pt idx="44">
                  <c:v>0.4</c:v>
                </c:pt>
                <c:pt idx="45">
                  <c:v>-0.2</c:v>
                </c:pt>
                <c:pt idx="46">
                  <c:v>-0.3</c:v>
                </c:pt>
                <c:pt idx="47">
                  <c:v>1.6</c:v>
                </c:pt>
                <c:pt idx="48">
                  <c:v>-0.8</c:v>
                </c:pt>
                <c:pt idx="49">
                  <c:v>-1.1000000000000001</c:v>
                </c:pt>
                <c:pt idx="50">
                  <c:v>-0.6</c:v>
                </c:pt>
                <c:pt idx="51">
                  <c:v>-0.1</c:v>
                </c:pt>
                <c:pt idx="52">
                  <c:v>0.8</c:v>
                </c:pt>
                <c:pt idx="53">
                  <c:v>0.1</c:v>
                </c:pt>
                <c:pt idx="54">
                  <c:v>0.5</c:v>
                </c:pt>
                <c:pt idx="55">
                  <c:v>-0.1</c:v>
                </c:pt>
                <c:pt idx="56">
                  <c:v>0.1</c:v>
                </c:pt>
                <c:pt idx="57">
                  <c:v>-0.5</c:v>
                </c:pt>
                <c:pt idx="58">
                  <c:v>-0.4</c:v>
                </c:pt>
                <c:pt idx="59">
                  <c:v>0.5</c:v>
                </c:pt>
                <c:pt idx="60">
                  <c:v>-1</c:v>
                </c:pt>
                <c:pt idx="61">
                  <c:v>-0.5</c:v>
                </c:pt>
                <c:pt idx="62">
                  <c:v>0.3</c:v>
                </c:pt>
                <c:pt idx="63">
                  <c:v>-0.4</c:v>
                </c:pt>
                <c:pt idx="64">
                  <c:v>0.1</c:v>
                </c:pt>
                <c:pt idx="65">
                  <c:v>1.5</c:v>
                </c:pt>
                <c:pt idx="66">
                  <c:v>-0.3</c:v>
                </c:pt>
                <c:pt idx="67">
                  <c:v>0.2</c:v>
                </c:pt>
                <c:pt idx="68">
                  <c:v>0.1</c:v>
                </c:pt>
                <c:pt idx="69">
                  <c:v>0.3</c:v>
                </c:pt>
                <c:pt idx="70">
                  <c:v>-0.4</c:v>
                </c:pt>
                <c:pt idx="71">
                  <c:v>-0.4</c:v>
                </c:pt>
                <c:pt idx="72">
                  <c:v>-0.8</c:v>
                </c:pt>
              </c:numCache>
            </c:numRef>
          </c:val>
          <c:extLst xmlns:c16r2="http://schemas.microsoft.com/office/drawing/2015/06/chart">
            <c:ext xmlns:c16="http://schemas.microsoft.com/office/drawing/2014/chart" uri="{C3380CC4-5D6E-409C-BE32-E72D297353CC}">
              <c16:uniqueId val="{00000006-F024-404E-B710-21F7FEAD93D5}"/>
            </c:ext>
          </c:extLst>
        </c:ser>
        <c:ser>
          <c:idx val="8"/>
          <c:order val="7"/>
          <c:tx>
            <c:strRef>
              <c:f>ONI!$AG$1</c:f>
              <c:strCache>
                <c:ptCount val="1"/>
                <c:pt idx="0">
                  <c:v>JAS</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ONI!$AG$2:$AG$82</c:f>
              <c:numCache>
                <c:formatCode>General</c:formatCode>
                <c:ptCount val="81"/>
                <c:pt idx="0">
                  <c:v>-0.4</c:v>
                </c:pt>
                <c:pt idx="1">
                  <c:v>0.9</c:v>
                </c:pt>
                <c:pt idx="2">
                  <c:v>0</c:v>
                </c:pt>
                <c:pt idx="3">
                  <c:v>0.7</c:v>
                </c:pt>
                <c:pt idx="4">
                  <c:v>-0.8</c:v>
                </c:pt>
                <c:pt idx="5">
                  <c:v>-0.7</c:v>
                </c:pt>
                <c:pt idx="6">
                  <c:v>-0.6</c:v>
                </c:pt>
                <c:pt idx="7">
                  <c:v>1.3</c:v>
                </c:pt>
                <c:pt idx="8">
                  <c:v>0.4</c:v>
                </c:pt>
                <c:pt idx="9">
                  <c:v>-0.3</c:v>
                </c:pt>
                <c:pt idx="10">
                  <c:v>0.2</c:v>
                </c:pt>
                <c:pt idx="11">
                  <c:v>-0.1</c:v>
                </c:pt>
                <c:pt idx="12">
                  <c:v>-0.1</c:v>
                </c:pt>
                <c:pt idx="13">
                  <c:v>1.1000000000000001</c:v>
                </c:pt>
                <c:pt idx="14">
                  <c:v>-0.7</c:v>
                </c:pt>
                <c:pt idx="15">
                  <c:v>1.5</c:v>
                </c:pt>
                <c:pt idx="16">
                  <c:v>0.1</c:v>
                </c:pt>
                <c:pt idx="17">
                  <c:v>-0.2</c:v>
                </c:pt>
                <c:pt idx="18">
                  <c:v>0.5</c:v>
                </c:pt>
                <c:pt idx="19">
                  <c:v>0.5</c:v>
                </c:pt>
                <c:pt idx="20">
                  <c:v>-0.8</c:v>
                </c:pt>
                <c:pt idx="21">
                  <c:v>-0.8</c:v>
                </c:pt>
                <c:pt idx="22">
                  <c:v>1.4</c:v>
                </c:pt>
                <c:pt idx="23">
                  <c:v>-1.3</c:v>
                </c:pt>
                <c:pt idx="24">
                  <c:v>-0.4</c:v>
                </c:pt>
                <c:pt idx="25">
                  <c:v>-1.2</c:v>
                </c:pt>
                <c:pt idx="26">
                  <c:v>0.4</c:v>
                </c:pt>
                <c:pt idx="27">
                  <c:v>0.4</c:v>
                </c:pt>
                <c:pt idx="28">
                  <c:v>-0.4</c:v>
                </c:pt>
                <c:pt idx="29">
                  <c:v>0.2</c:v>
                </c:pt>
                <c:pt idx="30">
                  <c:v>0</c:v>
                </c:pt>
                <c:pt idx="31">
                  <c:v>-0.2</c:v>
                </c:pt>
                <c:pt idx="32">
                  <c:v>1.1000000000000001</c:v>
                </c:pt>
                <c:pt idx="33">
                  <c:v>-0.1</c:v>
                </c:pt>
                <c:pt idx="34">
                  <c:v>-0.2</c:v>
                </c:pt>
                <c:pt idx="35">
                  <c:v>-0.5</c:v>
                </c:pt>
                <c:pt idx="36">
                  <c:v>0.4</c:v>
                </c:pt>
                <c:pt idx="37">
                  <c:v>1.7</c:v>
                </c:pt>
                <c:pt idx="38">
                  <c:v>-1.1000000000000001</c:v>
                </c:pt>
                <c:pt idx="39">
                  <c:v>-0.3</c:v>
                </c:pt>
                <c:pt idx="40">
                  <c:v>0.4</c:v>
                </c:pt>
                <c:pt idx="41">
                  <c:v>0.6</c:v>
                </c:pt>
                <c:pt idx="42">
                  <c:v>0.1</c:v>
                </c:pt>
                <c:pt idx="43">
                  <c:v>0.3</c:v>
                </c:pt>
                <c:pt idx="44">
                  <c:v>0.4</c:v>
                </c:pt>
                <c:pt idx="45">
                  <c:v>-0.5</c:v>
                </c:pt>
                <c:pt idx="46">
                  <c:v>-0.3</c:v>
                </c:pt>
                <c:pt idx="47">
                  <c:v>1.9</c:v>
                </c:pt>
                <c:pt idx="48">
                  <c:v>-1.1000000000000001</c:v>
                </c:pt>
                <c:pt idx="49">
                  <c:v>-1.1000000000000001</c:v>
                </c:pt>
                <c:pt idx="50">
                  <c:v>-0.5</c:v>
                </c:pt>
                <c:pt idx="51">
                  <c:v>-0.1</c:v>
                </c:pt>
                <c:pt idx="52">
                  <c:v>0.9</c:v>
                </c:pt>
                <c:pt idx="53">
                  <c:v>0.2</c:v>
                </c:pt>
                <c:pt idx="54">
                  <c:v>0.6</c:v>
                </c:pt>
                <c:pt idx="55">
                  <c:v>-0.1</c:v>
                </c:pt>
                <c:pt idx="56">
                  <c:v>0.3</c:v>
                </c:pt>
                <c:pt idx="57">
                  <c:v>-0.8</c:v>
                </c:pt>
                <c:pt idx="58">
                  <c:v>-0.3</c:v>
                </c:pt>
                <c:pt idx="59">
                  <c:v>0.5</c:v>
                </c:pt>
                <c:pt idx="60">
                  <c:v>-1.4</c:v>
                </c:pt>
                <c:pt idx="61">
                  <c:v>-0.7</c:v>
                </c:pt>
                <c:pt idx="62">
                  <c:v>0.3</c:v>
                </c:pt>
                <c:pt idx="63">
                  <c:v>-0.4</c:v>
                </c:pt>
                <c:pt idx="64">
                  <c:v>0</c:v>
                </c:pt>
                <c:pt idx="65">
                  <c:v>1.8</c:v>
                </c:pt>
                <c:pt idx="66">
                  <c:v>-0.6</c:v>
                </c:pt>
                <c:pt idx="67">
                  <c:v>-0.1</c:v>
                </c:pt>
                <c:pt idx="68">
                  <c:v>0.2</c:v>
                </c:pt>
                <c:pt idx="69">
                  <c:v>0.1</c:v>
                </c:pt>
                <c:pt idx="70">
                  <c:v>-0.6</c:v>
                </c:pt>
                <c:pt idx="71">
                  <c:v>-0.5</c:v>
                </c:pt>
                <c:pt idx="72">
                  <c:v>-0.9</c:v>
                </c:pt>
              </c:numCache>
            </c:numRef>
          </c:val>
          <c:extLst xmlns:c16r2="http://schemas.microsoft.com/office/drawing/2015/06/chart">
            <c:ext xmlns:c16="http://schemas.microsoft.com/office/drawing/2014/chart" uri="{C3380CC4-5D6E-409C-BE32-E72D297353CC}">
              <c16:uniqueId val="{00000007-F024-404E-B710-21F7FEAD93D5}"/>
            </c:ext>
          </c:extLst>
        </c:ser>
        <c:ser>
          <c:idx val="9"/>
          <c:order val="8"/>
          <c:tx>
            <c:strRef>
              <c:f>ONI!$AH$1</c:f>
              <c:strCache>
                <c:ptCount val="1"/>
                <c:pt idx="0">
                  <c:v>ASO</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ONI!$AH$2:$AH$82</c:f>
              <c:numCache>
                <c:formatCode>General</c:formatCode>
                <c:ptCount val="81"/>
                <c:pt idx="0">
                  <c:v>-0.4</c:v>
                </c:pt>
                <c:pt idx="1">
                  <c:v>1</c:v>
                </c:pt>
                <c:pt idx="2">
                  <c:v>0.2</c:v>
                </c:pt>
                <c:pt idx="3">
                  <c:v>0.8</c:v>
                </c:pt>
                <c:pt idx="4">
                  <c:v>-0.9</c:v>
                </c:pt>
                <c:pt idx="5">
                  <c:v>-1.1000000000000001</c:v>
                </c:pt>
                <c:pt idx="6">
                  <c:v>-0.5</c:v>
                </c:pt>
                <c:pt idx="7">
                  <c:v>1.3</c:v>
                </c:pt>
                <c:pt idx="8">
                  <c:v>0.4</c:v>
                </c:pt>
                <c:pt idx="9">
                  <c:v>-0.1</c:v>
                </c:pt>
                <c:pt idx="10">
                  <c:v>0.3</c:v>
                </c:pt>
                <c:pt idx="11">
                  <c:v>-0.3</c:v>
                </c:pt>
                <c:pt idx="12">
                  <c:v>-0.1</c:v>
                </c:pt>
                <c:pt idx="13">
                  <c:v>1.2</c:v>
                </c:pt>
                <c:pt idx="14">
                  <c:v>-0.8</c:v>
                </c:pt>
                <c:pt idx="15">
                  <c:v>1.9</c:v>
                </c:pt>
                <c:pt idx="16">
                  <c:v>-0.1</c:v>
                </c:pt>
                <c:pt idx="17">
                  <c:v>-0.3</c:v>
                </c:pt>
                <c:pt idx="18">
                  <c:v>0.4</c:v>
                </c:pt>
                <c:pt idx="19">
                  <c:v>0.8</c:v>
                </c:pt>
                <c:pt idx="20">
                  <c:v>-0.8</c:v>
                </c:pt>
                <c:pt idx="21">
                  <c:v>-0.8</c:v>
                </c:pt>
                <c:pt idx="22">
                  <c:v>1.6</c:v>
                </c:pt>
                <c:pt idx="23">
                  <c:v>-1.5</c:v>
                </c:pt>
                <c:pt idx="24">
                  <c:v>-0.4</c:v>
                </c:pt>
                <c:pt idx="25">
                  <c:v>-1.4</c:v>
                </c:pt>
                <c:pt idx="26">
                  <c:v>0.6</c:v>
                </c:pt>
                <c:pt idx="27">
                  <c:v>0.6</c:v>
                </c:pt>
                <c:pt idx="28">
                  <c:v>-0.4</c:v>
                </c:pt>
                <c:pt idx="29">
                  <c:v>0.3</c:v>
                </c:pt>
                <c:pt idx="30">
                  <c:v>-0.1</c:v>
                </c:pt>
                <c:pt idx="31">
                  <c:v>-0.2</c:v>
                </c:pt>
                <c:pt idx="32">
                  <c:v>1.6</c:v>
                </c:pt>
                <c:pt idx="33">
                  <c:v>-0.5</c:v>
                </c:pt>
                <c:pt idx="34">
                  <c:v>-0.2</c:v>
                </c:pt>
                <c:pt idx="35">
                  <c:v>-0.4</c:v>
                </c:pt>
                <c:pt idx="36">
                  <c:v>0.7</c:v>
                </c:pt>
                <c:pt idx="37">
                  <c:v>1.6</c:v>
                </c:pt>
                <c:pt idx="38">
                  <c:v>-1.2</c:v>
                </c:pt>
                <c:pt idx="39">
                  <c:v>-0.2</c:v>
                </c:pt>
                <c:pt idx="40">
                  <c:v>0.4</c:v>
                </c:pt>
                <c:pt idx="41">
                  <c:v>0.6</c:v>
                </c:pt>
                <c:pt idx="42">
                  <c:v>-0.1</c:v>
                </c:pt>
                <c:pt idx="43">
                  <c:v>0.2</c:v>
                </c:pt>
                <c:pt idx="44">
                  <c:v>0.6</c:v>
                </c:pt>
                <c:pt idx="45">
                  <c:v>-0.8</c:v>
                </c:pt>
                <c:pt idx="46">
                  <c:v>-0.4</c:v>
                </c:pt>
                <c:pt idx="47">
                  <c:v>2.1</c:v>
                </c:pt>
                <c:pt idx="48">
                  <c:v>-1.3</c:v>
                </c:pt>
                <c:pt idx="49">
                  <c:v>-1.2</c:v>
                </c:pt>
                <c:pt idx="50">
                  <c:v>-0.5</c:v>
                </c:pt>
                <c:pt idx="51">
                  <c:v>-0.2</c:v>
                </c:pt>
                <c:pt idx="52">
                  <c:v>1</c:v>
                </c:pt>
                <c:pt idx="53">
                  <c:v>0.3</c:v>
                </c:pt>
                <c:pt idx="54">
                  <c:v>0.7</c:v>
                </c:pt>
                <c:pt idx="55">
                  <c:v>-0.1</c:v>
                </c:pt>
                <c:pt idx="56">
                  <c:v>0.5</c:v>
                </c:pt>
                <c:pt idx="57">
                  <c:v>-1.1000000000000001</c:v>
                </c:pt>
                <c:pt idx="58">
                  <c:v>-0.3</c:v>
                </c:pt>
                <c:pt idx="59">
                  <c:v>0.7</c:v>
                </c:pt>
                <c:pt idx="60">
                  <c:v>-1.6</c:v>
                </c:pt>
                <c:pt idx="61">
                  <c:v>-0.9</c:v>
                </c:pt>
                <c:pt idx="62">
                  <c:v>0.3</c:v>
                </c:pt>
                <c:pt idx="63">
                  <c:v>-0.3</c:v>
                </c:pt>
                <c:pt idx="64">
                  <c:v>0.2</c:v>
                </c:pt>
                <c:pt idx="65">
                  <c:v>2.1</c:v>
                </c:pt>
                <c:pt idx="66">
                  <c:v>-0.7</c:v>
                </c:pt>
                <c:pt idx="67">
                  <c:v>-0.4</c:v>
                </c:pt>
                <c:pt idx="68">
                  <c:v>0.4</c:v>
                </c:pt>
                <c:pt idx="69">
                  <c:v>0.1</c:v>
                </c:pt>
                <c:pt idx="70">
                  <c:v>-1</c:v>
                </c:pt>
                <c:pt idx="71">
                  <c:v>-0.7</c:v>
                </c:pt>
                <c:pt idx="72">
                  <c:v>-1</c:v>
                </c:pt>
              </c:numCache>
            </c:numRef>
          </c:val>
          <c:extLst xmlns:c16r2="http://schemas.microsoft.com/office/drawing/2015/06/chart">
            <c:ext xmlns:c16="http://schemas.microsoft.com/office/drawing/2014/chart" uri="{C3380CC4-5D6E-409C-BE32-E72D297353CC}">
              <c16:uniqueId val="{00000008-F024-404E-B710-21F7FEAD93D5}"/>
            </c:ext>
          </c:extLst>
        </c:ser>
        <c:ser>
          <c:idx val="10"/>
          <c:order val="9"/>
          <c:tx>
            <c:strRef>
              <c:f>ONI!$AI$1</c:f>
              <c:strCache>
                <c:ptCount val="1"/>
                <c:pt idx="0">
                  <c:v>SON</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ONI!$AI$2:$AI$82</c:f>
              <c:numCache>
                <c:formatCode>General</c:formatCode>
                <c:ptCount val="81"/>
                <c:pt idx="0">
                  <c:v>-0.4</c:v>
                </c:pt>
                <c:pt idx="1">
                  <c:v>1.2</c:v>
                </c:pt>
                <c:pt idx="2">
                  <c:v>0.1</c:v>
                </c:pt>
                <c:pt idx="3">
                  <c:v>0.8</c:v>
                </c:pt>
                <c:pt idx="4">
                  <c:v>-0.8</c:v>
                </c:pt>
                <c:pt idx="5">
                  <c:v>-1.4</c:v>
                </c:pt>
                <c:pt idx="6">
                  <c:v>-0.4</c:v>
                </c:pt>
                <c:pt idx="7">
                  <c:v>1.4</c:v>
                </c:pt>
                <c:pt idx="8">
                  <c:v>0.4</c:v>
                </c:pt>
                <c:pt idx="9">
                  <c:v>0</c:v>
                </c:pt>
                <c:pt idx="10">
                  <c:v>0.2</c:v>
                </c:pt>
                <c:pt idx="11">
                  <c:v>-0.3</c:v>
                </c:pt>
                <c:pt idx="12">
                  <c:v>-0.2</c:v>
                </c:pt>
                <c:pt idx="13">
                  <c:v>1.3</c:v>
                </c:pt>
                <c:pt idx="14">
                  <c:v>-0.8</c:v>
                </c:pt>
                <c:pt idx="15">
                  <c:v>2</c:v>
                </c:pt>
                <c:pt idx="16">
                  <c:v>-0.1</c:v>
                </c:pt>
                <c:pt idx="17">
                  <c:v>-0.4</c:v>
                </c:pt>
                <c:pt idx="18">
                  <c:v>0.5</c:v>
                </c:pt>
                <c:pt idx="19">
                  <c:v>0.9</c:v>
                </c:pt>
                <c:pt idx="20">
                  <c:v>-0.7</c:v>
                </c:pt>
                <c:pt idx="21">
                  <c:v>-0.9</c:v>
                </c:pt>
                <c:pt idx="22">
                  <c:v>1.8</c:v>
                </c:pt>
                <c:pt idx="23">
                  <c:v>-1.7</c:v>
                </c:pt>
                <c:pt idx="24">
                  <c:v>-0.6</c:v>
                </c:pt>
                <c:pt idx="25">
                  <c:v>-1.4</c:v>
                </c:pt>
                <c:pt idx="26">
                  <c:v>0.8</c:v>
                </c:pt>
                <c:pt idx="27">
                  <c:v>0.7</c:v>
                </c:pt>
                <c:pt idx="28">
                  <c:v>-0.3</c:v>
                </c:pt>
                <c:pt idx="29">
                  <c:v>0.5</c:v>
                </c:pt>
                <c:pt idx="30">
                  <c:v>0</c:v>
                </c:pt>
                <c:pt idx="31">
                  <c:v>-0.1</c:v>
                </c:pt>
                <c:pt idx="32">
                  <c:v>2</c:v>
                </c:pt>
                <c:pt idx="33">
                  <c:v>-0.8</c:v>
                </c:pt>
                <c:pt idx="34">
                  <c:v>-0.6</c:v>
                </c:pt>
                <c:pt idx="35">
                  <c:v>-0.3</c:v>
                </c:pt>
                <c:pt idx="36">
                  <c:v>0.9</c:v>
                </c:pt>
                <c:pt idx="37">
                  <c:v>1.5</c:v>
                </c:pt>
                <c:pt idx="38">
                  <c:v>-1.5</c:v>
                </c:pt>
                <c:pt idx="39">
                  <c:v>-0.2</c:v>
                </c:pt>
                <c:pt idx="40">
                  <c:v>0.3</c:v>
                </c:pt>
                <c:pt idx="41">
                  <c:v>0.8</c:v>
                </c:pt>
                <c:pt idx="42">
                  <c:v>-0.2</c:v>
                </c:pt>
                <c:pt idx="43">
                  <c:v>0.1</c:v>
                </c:pt>
                <c:pt idx="44">
                  <c:v>0.7</c:v>
                </c:pt>
                <c:pt idx="45">
                  <c:v>-1</c:v>
                </c:pt>
                <c:pt idx="46">
                  <c:v>-0.4</c:v>
                </c:pt>
                <c:pt idx="47">
                  <c:v>2.2999999999999998</c:v>
                </c:pt>
                <c:pt idx="48">
                  <c:v>-1.4</c:v>
                </c:pt>
                <c:pt idx="49">
                  <c:v>-1.3</c:v>
                </c:pt>
                <c:pt idx="50">
                  <c:v>-0.6</c:v>
                </c:pt>
                <c:pt idx="51">
                  <c:v>-0.3</c:v>
                </c:pt>
                <c:pt idx="52">
                  <c:v>1.2</c:v>
                </c:pt>
                <c:pt idx="53">
                  <c:v>0.3</c:v>
                </c:pt>
                <c:pt idx="54">
                  <c:v>0.7</c:v>
                </c:pt>
                <c:pt idx="55">
                  <c:v>-0.3</c:v>
                </c:pt>
                <c:pt idx="56">
                  <c:v>0.7</c:v>
                </c:pt>
                <c:pt idx="57">
                  <c:v>-1.4</c:v>
                </c:pt>
                <c:pt idx="58">
                  <c:v>-0.4</c:v>
                </c:pt>
                <c:pt idx="59">
                  <c:v>1</c:v>
                </c:pt>
                <c:pt idx="60">
                  <c:v>-1.7</c:v>
                </c:pt>
                <c:pt idx="61">
                  <c:v>-1.1000000000000001</c:v>
                </c:pt>
                <c:pt idx="62">
                  <c:v>0.2</c:v>
                </c:pt>
                <c:pt idx="63">
                  <c:v>-0.2</c:v>
                </c:pt>
                <c:pt idx="64">
                  <c:v>0.4</c:v>
                </c:pt>
                <c:pt idx="65">
                  <c:v>2.4</c:v>
                </c:pt>
                <c:pt idx="66">
                  <c:v>-0.7</c:v>
                </c:pt>
                <c:pt idx="67">
                  <c:v>-0.7</c:v>
                </c:pt>
                <c:pt idx="68">
                  <c:v>0.7</c:v>
                </c:pt>
                <c:pt idx="69">
                  <c:v>0.3</c:v>
                </c:pt>
                <c:pt idx="70">
                  <c:v>-1.2</c:v>
                </c:pt>
                <c:pt idx="71">
                  <c:v>-0.8</c:v>
                </c:pt>
                <c:pt idx="72">
                  <c:v>-1</c:v>
                </c:pt>
              </c:numCache>
            </c:numRef>
          </c:val>
          <c:extLst xmlns:c16r2="http://schemas.microsoft.com/office/drawing/2015/06/chart">
            <c:ext xmlns:c16="http://schemas.microsoft.com/office/drawing/2014/chart" uri="{C3380CC4-5D6E-409C-BE32-E72D297353CC}">
              <c16:uniqueId val="{00000009-F024-404E-B710-21F7FEAD93D5}"/>
            </c:ext>
          </c:extLst>
        </c:ser>
        <c:ser>
          <c:idx val="11"/>
          <c:order val="10"/>
          <c:tx>
            <c:strRef>
              <c:f>ONI!$AJ$1</c:f>
              <c:strCache>
                <c:ptCount val="1"/>
                <c:pt idx="0">
                  <c:v>OND</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ONI!$AJ$2:$AJ$82</c:f>
              <c:numCache>
                <c:formatCode>General</c:formatCode>
                <c:ptCount val="81"/>
                <c:pt idx="0">
                  <c:v>-0.6</c:v>
                </c:pt>
                <c:pt idx="1">
                  <c:v>1</c:v>
                </c:pt>
                <c:pt idx="2">
                  <c:v>0</c:v>
                </c:pt>
                <c:pt idx="3">
                  <c:v>0.8</c:v>
                </c:pt>
                <c:pt idx="4">
                  <c:v>-0.7</c:v>
                </c:pt>
                <c:pt idx="5">
                  <c:v>-1.7</c:v>
                </c:pt>
                <c:pt idx="6">
                  <c:v>-0.4</c:v>
                </c:pt>
                <c:pt idx="7">
                  <c:v>1.5</c:v>
                </c:pt>
                <c:pt idx="8">
                  <c:v>0.5</c:v>
                </c:pt>
                <c:pt idx="9">
                  <c:v>0</c:v>
                </c:pt>
                <c:pt idx="10">
                  <c:v>0.1</c:v>
                </c:pt>
                <c:pt idx="11">
                  <c:v>-0.2</c:v>
                </c:pt>
                <c:pt idx="12">
                  <c:v>-0.3</c:v>
                </c:pt>
                <c:pt idx="13">
                  <c:v>1.4</c:v>
                </c:pt>
                <c:pt idx="14">
                  <c:v>-0.8</c:v>
                </c:pt>
                <c:pt idx="15">
                  <c:v>2</c:v>
                </c:pt>
                <c:pt idx="16">
                  <c:v>-0.2</c:v>
                </c:pt>
                <c:pt idx="17">
                  <c:v>-0.3</c:v>
                </c:pt>
                <c:pt idx="18">
                  <c:v>0.7</c:v>
                </c:pt>
                <c:pt idx="19">
                  <c:v>0.8</c:v>
                </c:pt>
                <c:pt idx="20">
                  <c:v>-0.9</c:v>
                </c:pt>
                <c:pt idx="21">
                  <c:v>-1</c:v>
                </c:pt>
                <c:pt idx="22">
                  <c:v>2.1</c:v>
                </c:pt>
                <c:pt idx="23">
                  <c:v>-1.9</c:v>
                </c:pt>
                <c:pt idx="24">
                  <c:v>-0.8</c:v>
                </c:pt>
                <c:pt idx="25">
                  <c:v>-1.6</c:v>
                </c:pt>
                <c:pt idx="26">
                  <c:v>0.9</c:v>
                </c:pt>
                <c:pt idx="27">
                  <c:v>0.8</c:v>
                </c:pt>
                <c:pt idx="28">
                  <c:v>-0.1</c:v>
                </c:pt>
                <c:pt idx="29">
                  <c:v>0.5</c:v>
                </c:pt>
                <c:pt idx="30">
                  <c:v>0.1</c:v>
                </c:pt>
                <c:pt idx="31">
                  <c:v>-0.2</c:v>
                </c:pt>
                <c:pt idx="32">
                  <c:v>2.2000000000000002</c:v>
                </c:pt>
                <c:pt idx="33">
                  <c:v>-1</c:v>
                </c:pt>
                <c:pt idx="34">
                  <c:v>-0.9</c:v>
                </c:pt>
                <c:pt idx="35">
                  <c:v>-0.3</c:v>
                </c:pt>
                <c:pt idx="36">
                  <c:v>1.1000000000000001</c:v>
                </c:pt>
                <c:pt idx="37">
                  <c:v>1.3</c:v>
                </c:pt>
                <c:pt idx="38">
                  <c:v>-1.8</c:v>
                </c:pt>
                <c:pt idx="39">
                  <c:v>-0.2</c:v>
                </c:pt>
                <c:pt idx="40">
                  <c:v>0.4</c:v>
                </c:pt>
                <c:pt idx="41">
                  <c:v>1.2</c:v>
                </c:pt>
                <c:pt idx="42">
                  <c:v>-0.3</c:v>
                </c:pt>
                <c:pt idx="43">
                  <c:v>0</c:v>
                </c:pt>
                <c:pt idx="44">
                  <c:v>1</c:v>
                </c:pt>
                <c:pt idx="45">
                  <c:v>-1</c:v>
                </c:pt>
                <c:pt idx="46">
                  <c:v>-0.4</c:v>
                </c:pt>
                <c:pt idx="47">
                  <c:v>2.4</c:v>
                </c:pt>
                <c:pt idx="48">
                  <c:v>-1.5</c:v>
                </c:pt>
                <c:pt idx="49">
                  <c:v>-1.5</c:v>
                </c:pt>
                <c:pt idx="50">
                  <c:v>-0.7</c:v>
                </c:pt>
                <c:pt idx="51">
                  <c:v>-0.3</c:v>
                </c:pt>
                <c:pt idx="52">
                  <c:v>1.3</c:v>
                </c:pt>
                <c:pt idx="53">
                  <c:v>0.4</c:v>
                </c:pt>
                <c:pt idx="54">
                  <c:v>0.7</c:v>
                </c:pt>
                <c:pt idx="55">
                  <c:v>-0.6</c:v>
                </c:pt>
                <c:pt idx="56">
                  <c:v>0.9</c:v>
                </c:pt>
                <c:pt idx="57">
                  <c:v>-1.5</c:v>
                </c:pt>
                <c:pt idx="58">
                  <c:v>-0.6</c:v>
                </c:pt>
                <c:pt idx="59">
                  <c:v>1.3</c:v>
                </c:pt>
                <c:pt idx="60">
                  <c:v>-1.7</c:v>
                </c:pt>
                <c:pt idx="61">
                  <c:v>-1.1000000000000001</c:v>
                </c:pt>
                <c:pt idx="62">
                  <c:v>0</c:v>
                </c:pt>
                <c:pt idx="63">
                  <c:v>-0.2</c:v>
                </c:pt>
                <c:pt idx="64">
                  <c:v>0.6</c:v>
                </c:pt>
                <c:pt idx="65">
                  <c:v>2.5</c:v>
                </c:pt>
                <c:pt idx="66">
                  <c:v>-0.7</c:v>
                </c:pt>
                <c:pt idx="67">
                  <c:v>-0.9</c:v>
                </c:pt>
                <c:pt idx="68">
                  <c:v>0.9</c:v>
                </c:pt>
                <c:pt idx="69">
                  <c:v>0.5</c:v>
                </c:pt>
                <c:pt idx="70">
                  <c:v>-1.3</c:v>
                </c:pt>
                <c:pt idx="71">
                  <c:v>-1</c:v>
                </c:pt>
              </c:numCache>
            </c:numRef>
          </c:val>
          <c:extLst xmlns:c16r2="http://schemas.microsoft.com/office/drawing/2015/06/chart">
            <c:ext xmlns:c16="http://schemas.microsoft.com/office/drawing/2014/chart" uri="{C3380CC4-5D6E-409C-BE32-E72D297353CC}">
              <c16:uniqueId val="{0000000A-F024-404E-B710-21F7FEAD93D5}"/>
            </c:ext>
          </c:extLst>
        </c:ser>
        <c:ser>
          <c:idx val="12"/>
          <c:order val="11"/>
          <c:tx>
            <c:strRef>
              <c:f>ONI!$AK$1</c:f>
              <c:strCache>
                <c:ptCount val="1"/>
                <c:pt idx="0">
                  <c:v>NDJ</c:v>
                </c:pt>
              </c:strCache>
            </c:strRef>
          </c:tx>
          <c:spPr>
            <a:solidFill>
              <a:schemeClr val="accent5"/>
            </a:solidFill>
          </c:spPr>
          <c:invertIfNegative val="0"/>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ONI!$AK$2:$AK$82</c:f>
              <c:numCache>
                <c:formatCode>General</c:formatCode>
                <c:ptCount val="81"/>
                <c:pt idx="0">
                  <c:v>-0.8</c:v>
                </c:pt>
                <c:pt idx="1">
                  <c:v>0.8</c:v>
                </c:pt>
                <c:pt idx="2">
                  <c:v>0.1</c:v>
                </c:pt>
                <c:pt idx="3">
                  <c:v>0.8</c:v>
                </c:pt>
                <c:pt idx="4">
                  <c:v>-0.7</c:v>
                </c:pt>
                <c:pt idx="5">
                  <c:v>-1.5</c:v>
                </c:pt>
                <c:pt idx="6">
                  <c:v>-0.4</c:v>
                </c:pt>
                <c:pt idx="7">
                  <c:v>1.7</c:v>
                </c:pt>
                <c:pt idx="8">
                  <c:v>0.6</c:v>
                </c:pt>
                <c:pt idx="9">
                  <c:v>0</c:v>
                </c:pt>
                <c:pt idx="10">
                  <c:v>0.1</c:v>
                </c:pt>
                <c:pt idx="11">
                  <c:v>-0.2</c:v>
                </c:pt>
                <c:pt idx="12">
                  <c:v>-0.4</c:v>
                </c:pt>
                <c:pt idx="13">
                  <c:v>1.3</c:v>
                </c:pt>
                <c:pt idx="14">
                  <c:v>-0.8</c:v>
                </c:pt>
                <c:pt idx="15">
                  <c:v>1.7</c:v>
                </c:pt>
                <c:pt idx="16">
                  <c:v>-0.3</c:v>
                </c:pt>
                <c:pt idx="17">
                  <c:v>-0.4</c:v>
                </c:pt>
                <c:pt idx="18">
                  <c:v>1</c:v>
                </c:pt>
                <c:pt idx="19">
                  <c:v>0.6</c:v>
                </c:pt>
                <c:pt idx="20">
                  <c:v>-1.1000000000000001</c:v>
                </c:pt>
                <c:pt idx="21">
                  <c:v>-0.9</c:v>
                </c:pt>
                <c:pt idx="22">
                  <c:v>2.1</c:v>
                </c:pt>
                <c:pt idx="23">
                  <c:v>-2</c:v>
                </c:pt>
                <c:pt idx="24">
                  <c:v>-0.6</c:v>
                </c:pt>
                <c:pt idx="25">
                  <c:v>-1.7</c:v>
                </c:pt>
                <c:pt idx="26">
                  <c:v>0.8</c:v>
                </c:pt>
                <c:pt idx="27">
                  <c:v>0.8</c:v>
                </c:pt>
                <c:pt idx="28">
                  <c:v>0</c:v>
                </c:pt>
                <c:pt idx="29">
                  <c:v>0.6</c:v>
                </c:pt>
                <c:pt idx="30">
                  <c:v>0</c:v>
                </c:pt>
                <c:pt idx="31">
                  <c:v>-0.1</c:v>
                </c:pt>
                <c:pt idx="32">
                  <c:v>2.2000000000000002</c:v>
                </c:pt>
                <c:pt idx="33">
                  <c:v>-0.9</c:v>
                </c:pt>
                <c:pt idx="34">
                  <c:v>-1.1000000000000001</c:v>
                </c:pt>
                <c:pt idx="35">
                  <c:v>-0.4</c:v>
                </c:pt>
                <c:pt idx="36">
                  <c:v>1.2</c:v>
                </c:pt>
                <c:pt idx="37">
                  <c:v>1.1000000000000001</c:v>
                </c:pt>
                <c:pt idx="38">
                  <c:v>-1.8</c:v>
                </c:pt>
                <c:pt idx="39">
                  <c:v>-0.1</c:v>
                </c:pt>
                <c:pt idx="40">
                  <c:v>0.4</c:v>
                </c:pt>
                <c:pt idx="41">
                  <c:v>1.5</c:v>
                </c:pt>
                <c:pt idx="42">
                  <c:v>-0.1</c:v>
                </c:pt>
                <c:pt idx="43">
                  <c:v>0.1</c:v>
                </c:pt>
                <c:pt idx="44">
                  <c:v>1.1000000000000001</c:v>
                </c:pt>
                <c:pt idx="45">
                  <c:v>-1</c:v>
                </c:pt>
                <c:pt idx="46">
                  <c:v>-0.5</c:v>
                </c:pt>
                <c:pt idx="47">
                  <c:v>2.4</c:v>
                </c:pt>
                <c:pt idx="48">
                  <c:v>-1.6</c:v>
                </c:pt>
                <c:pt idx="49">
                  <c:v>-1.7</c:v>
                </c:pt>
                <c:pt idx="50">
                  <c:v>-0.7</c:v>
                </c:pt>
                <c:pt idx="51">
                  <c:v>-0.3</c:v>
                </c:pt>
                <c:pt idx="52">
                  <c:v>1.1000000000000001</c:v>
                </c:pt>
                <c:pt idx="53">
                  <c:v>0.4</c:v>
                </c:pt>
                <c:pt idx="54">
                  <c:v>0.7</c:v>
                </c:pt>
                <c:pt idx="55">
                  <c:v>-0.8</c:v>
                </c:pt>
                <c:pt idx="56">
                  <c:v>0.9</c:v>
                </c:pt>
                <c:pt idx="57">
                  <c:v>-1.6</c:v>
                </c:pt>
                <c:pt idx="58">
                  <c:v>-0.7</c:v>
                </c:pt>
                <c:pt idx="59">
                  <c:v>1.6</c:v>
                </c:pt>
                <c:pt idx="60">
                  <c:v>-1.6</c:v>
                </c:pt>
                <c:pt idx="61">
                  <c:v>-1</c:v>
                </c:pt>
                <c:pt idx="62">
                  <c:v>-0.2</c:v>
                </c:pt>
                <c:pt idx="63">
                  <c:v>-0.3</c:v>
                </c:pt>
                <c:pt idx="64">
                  <c:v>0.7</c:v>
                </c:pt>
                <c:pt idx="65">
                  <c:v>2.6</c:v>
                </c:pt>
                <c:pt idx="66">
                  <c:v>-0.6</c:v>
                </c:pt>
                <c:pt idx="67">
                  <c:v>-1</c:v>
                </c:pt>
                <c:pt idx="68">
                  <c:v>0.8</c:v>
                </c:pt>
                <c:pt idx="69">
                  <c:v>0.5</c:v>
                </c:pt>
                <c:pt idx="70">
                  <c:v>-1.2</c:v>
                </c:pt>
                <c:pt idx="71">
                  <c:v>-1</c:v>
                </c:pt>
              </c:numCache>
            </c:numRef>
          </c:val>
          <c:extLst xmlns:c16r2="http://schemas.microsoft.com/office/drawing/2015/06/chart">
            <c:ext xmlns:c16="http://schemas.microsoft.com/office/drawing/2014/chart" uri="{C3380CC4-5D6E-409C-BE32-E72D297353CC}">
              <c16:uniqueId val="{0000000B-F024-404E-B710-21F7FEAD93D5}"/>
            </c:ext>
          </c:extLst>
        </c:ser>
        <c:dLbls>
          <c:showLegendKey val="0"/>
          <c:showVal val="0"/>
          <c:showCatName val="0"/>
          <c:showSerName val="0"/>
          <c:showPercent val="0"/>
          <c:showBubbleSize val="0"/>
        </c:dLbls>
        <c:gapWidth val="0"/>
        <c:overlap val="1"/>
        <c:axId val="152376064"/>
        <c:axId val="152377984"/>
      </c:barChart>
      <c:lineChart>
        <c:grouping val="standard"/>
        <c:varyColors val="0"/>
        <c:ser>
          <c:idx val="0"/>
          <c:order val="12"/>
          <c:tx>
            <c:v>Yearly Totals</c:v>
          </c:tx>
          <c:spPr>
            <a:ln w="19050">
              <a:solidFill>
                <a:srgbClr val="990000"/>
              </a:solidFill>
            </a:ln>
          </c:spPr>
          <c:marker>
            <c:symbol val="none"/>
          </c:marker>
          <c:cat>
            <c:numRef>
              <c:f>'Summary - Whole Tornadoes'!$B$12:$B$98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Tornadoes'!$I$12:$I$98</c:f>
              <c:numCache>
                <c:formatCode>General</c:formatCode>
                <c:ptCount val="87"/>
                <c:pt idx="0">
                  <c:v>4</c:v>
                </c:pt>
                <c:pt idx="1">
                  <c:v>10</c:v>
                </c:pt>
                <c:pt idx="2">
                  <c:v>1</c:v>
                </c:pt>
                <c:pt idx="3">
                  <c:v>2</c:v>
                </c:pt>
                <c:pt idx="4">
                  <c:v>2</c:v>
                </c:pt>
                <c:pt idx="5">
                  <c:v>18</c:v>
                </c:pt>
                <c:pt idx="6">
                  <c:v>2</c:v>
                </c:pt>
                <c:pt idx="7">
                  <c:v>10</c:v>
                </c:pt>
                <c:pt idx="8">
                  <c:v>11</c:v>
                </c:pt>
                <c:pt idx="9">
                  <c:v>6</c:v>
                </c:pt>
                <c:pt idx="10">
                  <c:v>13</c:v>
                </c:pt>
                <c:pt idx="11">
                  <c:v>15</c:v>
                </c:pt>
                <c:pt idx="12">
                  <c:v>26</c:v>
                </c:pt>
                <c:pt idx="13">
                  <c:v>5</c:v>
                </c:pt>
                <c:pt idx="14">
                  <c:v>4</c:v>
                </c:pt>
                <c:pt idx="15">
                  <c:v>12</c:v>
                </c:pt>
                <c:pt idx="16">
                  <c:v>12</c:v>
                </c:pt>
                <c:pt idx="17">
                  <c:v>28</c:v>
                </c:pt>
                <c:pt idx="18">
                  <c:v>22</c:v>
                </c:pt>
                <c:pt idx="19">
                  <c:v>16</c:v>
                </c:pt>
                <c:pt idx="20">
                  <c:v>6</c:v>
                </c:pt>
                <c:pt idx="21">
                  <c:v>39</c:v>
                </c:pt>
                <c:pt idx="22">
                  <c:v>19</c:v>
                </c:pt>
                <c:pt idx="23">
                  <c:v>8</c:v>
                </c:pt>
                <c:pt idx="24">
                  <c:v>13</c:v>
                </c:pt>
                <c:pt idx="25">
                  <c:v>16</c:v>
                </c:pt>
                <c:pt idx="26">
                  <c:v>10</c:v>
                </c:pt>
                <c:pt idx="27">
                  <c:v>21</c:v>
                </c:pt>
                <c:pt idx="28">
                  <c:v>16</c:v>
                </c:pt>
                <c:pt idx="29">
                  <c:v>11</c:v>
                </c:pt>
                <c:pt idx="30">
                  <c:v>13</c:v>
                </c:pt>
                <c:pt idx="31">
                  <c:v>14</c:v>
                </c:pt>
                <c:pt idx="32">
                  <c:v>36</c:v>
                </c:pt>
                <c:pt idx="33">
                  <c:v>14</c:v>
                </c:pt>
                <c:pt idx="34">
                  <c:v>8</c:v>
                </c:pt>
                <c:pt idx="35">
                  <c:v>3</c:v>
                </c:pt>
                <c:pt idx="36">
                  <c:v>16</c:v>
                </c:pt>
                <c:pt idx="37">
                  <c:v>32</c:v>
                </c:pt>
                <c:pt idx="38">
                  <c:v>4</c:v>
                </c:pt>
                <c:pt idx="39">
                  <c:v>32</c:v>
                </c:pt>
                <c:pt idx="40">
                  <c:v>38</c:v>
                </c:pt>
                <c:pt idx="41">
                  <c:v>21</c:v>
                </c:pt>
                <c:pt idx="42">
                  <c:v>19</c:v>
                </c:pt>
                <c:pt idx="43">
                  <c:v>18</c:v>
                </c:pt>
                <c:pt idx="44">
                  <c:v>5</c:v>
                </c:pt>
                <c:pt idx="45">
                  <c:v>41</c:v>
                </c:pt>
                <c:pt idx="46">
                  <c:v>35</c:v>
                </c:pt>
                <c:pt idx="47">
                  <c:v>29</c:v>
                </c:pt>
                <c:pt idx="48">
                  <c:v>2</c:v>
                </c:pt>
                <c:pt idx="49">
                  <c:v>25</c:v>
                </c:pt>
                <c:pt idx="50">
                  <c:v>8</c:v>
                </c:pt>
                <c:pt idx="51">
                  <c:v>20</c:v>
                </c:pt>
                <c:pt idx="52">
                  <c:v>22</c:v>
                </c:pt>
                <c:pt idx="53">
                  <c:v>33</c:v>
                </c:pt>
                <c:pt idx="54">
                  <c:v>14</c:v>
                </c:pt>
                <c:pt idx="55">
                  <c:v>15</c:v>
                </c:pt>
                <c:pt idx="56">
                  <c:v>13</c:v>
                </c:pt>
                <c:pt idx="57">
                  <c:v>58</c:v>
                </c:pt>
                <c:pt idx="58">
                  <c:v>11</c:v>
                </c:pt>
                <c:pt idx="59">
                  <c:v>13</c:v>
                </c:pt>
                <c:pt idx="60">
                  <c:v>38</c:v>
                </c:pt>
                <c:pt idx="61">
                  <c:v>4</c:v>
                </c:pt>
                <c:pt idx="62">
                  <c:v>6</c:v>
                </c:pt>
                <c:pt idx="63">
                  <c:v>7</c:v>
                </c:pt>
                <c:pt idx="64">
                  <c:v>12</c:v>
                </c:pt>
                <c:pt idx="65">
                  <c:v>35</c:v>
                </c:pt>
                <c:pt idx="66">
                  <c:v>28</c:v>
                </c:pt>
                <c:pt idx="67">
                  <c:v>13</c:v>
                </c:pt>
                <c:pt idx="68">
                  <c:v>10</c:v>
                </c:pt>
                <c:pt idx="69">
                  <c:v>37</c:v>
                </c:pt>
                <c:pt idx="70">
                  <c:v>8</c:v>
                </c:pt>
                <c:pt idx="71">
                  <c:v>29</c:v>
                </c:pt>
                <c:pt idx="72">
                  <c:v>6</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C-F024-404E-B710-21F7FEAD93D5}"/>
            </c:ext>
          </c:extLst>
        </c:ser>
        <c:dLbls>
          <c:showLegendKey val="0"/>
          <c:showVal val="0"/>
          <c:showCatName val="0"/>
          <c:showSerName val="0"/>
          <c:showPercent val="0"/>
          <c:showBubbleSize val="0"/>
        </c:dLbls>
        <c:marker val="1"/>
        <c:smooth val="0"/>
        <c:axId val="152382080"/>
        <c:axId val="152380160"/>
      </c:lineChart>
      <c:catAx>
        <c:axId val="152376064"/>
        <c:scaling>
          <c:orientation val="minMax"/>
        </c:scaling>
        <c:delete val="0"/>
        <c:axPos val="b"/>
        <c:majorGridlines>
          <c:spPr>
            <a:ln>
              <a:solidFill>
                <a:schemeClr val="bg1">
                  <a:lumMod val="85000"/>
                </a:schemeClr>
              </a:solidFill>
            </a:ln>
          </c:spPr>
        </c:majorGridlines>
        <c:title>
          <c:tx>
            <c:rich>
              <a:bodyPr/>
              <a:lstStyle/>
              <a:p>
                <a:pPr>
                  <a:defRPr/>
                </a:pPr>
                <a:r>
                  <a:rPr lang="en-US"/>
                  <a:t>Year</a:t>
                </a:r>
              </a:p>
            </c:rich>
          </c:tx>
          <c:layout/>
          <c:overlay val="0"/>
        </c:title>
        <c:numFmt formatCode="General" sourceLinked="1"/>
        <c:majorTickMark val="out"/>
        <c:minorTickMark val="none"/>
        <c:tickLblPos val="low"/>
        <c:txPr>
          <a:bodyPr rot="-5400000" vert="horz"/>
          <a:lstStyle/>
          <a:p>
            <a:pPr>
              <a:defRPr/>
            </a:pPr>
            <a:endParaRPr lang="en-US"/>
          </a:p>
        </c:txPr>
        <c:crossAx val="152377984"/>
        <c:crosses val="autoZero"/>
        <c:auto val="1"/>
        <c:lblAlgn val="ctr"/>
        <c:lblOffset val="100"/>
        <c:noMultiLvlLbl val="0"/>
      </c:catAx>
      <c:valAx>
        <c:axId val="152377984"/>
        <c:scaling>
          <c:orientation val="minMax"/>
          <c:max val="3"/>
          <c:min val="-2.5"/>
        </c:scaling>
        <c:delete val="0"/>
        <c:axPos val="l"/>
        <c:majorGridlines/>
        <c:title>
          <c:tx>
            <c:rich>
              <a:bodyPr rot="-5400000" vert="horz"/>
              <a:lstStyle/>
              <a:p>
                <a:pPr>
                  <a:defRPr sz="1400">
                    <a:solidFill>
                      <a:srgbClr val="0099CC"/>
                    </a:solidFill>
                    <a:latin typeface="Times New Roman" panose="02020603050405020304" pitchFamily="18" charset="0"/>
                    <a:cs typeface="Times New Roman" panose="02020603050405020304" pitchFamily="18" charset="0"/>
                  </a:defRPr>
                </a:pPr>
                <a:r>
                  <a:rPr lang="en-US" sz="1400">
                    <a:solidFill>
                      <a:srgbClr val="0099CC"/>
                    </a:solidFill>
                    <a:latin typeface="Times New Roman" panose="02020603050405020304" pitchFamily="18" charset="0"/>
                    <a:cs typeface="Times New Roman" panose="02020603050405020304" pitchFamily="18" charset="0"/>
                  </a:rPr>
                  <a:t>ONI Value</a:t>
                </a:r>
              </a:p>
            </c:rich>
          </c:tx>
          <c:layout/>
          <c:overlay val="0"/>
        </c:title>
        <c:numFmt formatCode="General" sourceLinked="1"/>
        <c:majorTickMark val="out"/>
        <c:minorTickMark val="none"/>
        <c:tickLblPos val="nextTo"/>
        <c:crossAx val="152376064"/>
        <c:crosses val="autoZero"/>
        <c:crossBetween val="between"/>
        <c:majorUnit val="0.5"/>
        <c:minorUnit val="0.1"/>
      </c:valAx>
      <c:valAx>
        <c:axId val="152380160"/>
        <c:scaling>
          <c:orientation val="minMax"/>
        </c:scaling>
        <c:delete val="0"/>
        <c:axPos val="r"/>
        <c:title>
          <c:tx>
            <c:rich>
              <a:bodyPr rot="5400000" vert="horz"/>
              <a:lstStyle/>
              <a:p>
                <a:pPr>
                  <a:defRPr sz="1400">
                    <a:solidFill>
                      <a:srgbClr val="990000"/>
                    </a:solidFill>
                  </a:defRPr>
                </a:pPr>
                <a:r>
                  <a:rPr lang="en-US" sz="1400">
                    <a:solidFill>
                      <a:srgbClr val="990000"/>
                    </a:solidFill>
                  </a:rPr>
                  <a:t>Annual Total</a:t>
                </a:r>
              </a:p>
              <a:p>
                <a:pPr>
                  <a:defRPr sz="1400">
                    <a:solidFill>
                      <a:srgbClr val="990000"/>
                    </a:solidFill>
                  </a:defRPr>
                </a:pPr>
                <a:r>
                  <a:rPr lang="en-US" sz="1400">
                    <a:solidFill>
                      <a:srgbClr val="990000"/>
                    </a:solidFill>
                  </a:rPr>
                  <a:t>Number of Tornadoes</a:t>
                </a:r>
              </a:p>
            </c:rich>
          </c:tx>
          <c:layout>
            <c:manualLayout>
              <c:xMode val="edge"/>
              <c:yMode val="edge"/>
              <c:x val="0.96272222414598096"/>
              <c:y val="0.28372608569254842"/>
            </c:manualLayout>
          </c:layout>
          <c:overlay val="0"/>
        </c:title>
        <c:numFmt formatCode="General" sourceLinked="1"/>
        <c:majorTickMark val="out"/>
        <c:minorTickMark val="none"/>
        <c:tickLblPos val="nextTo"/>
        <c:txPr>
          <a:bodyPr/>
          <a:lstStyle/>
          <a:p>
            <a:pPr>
              <a:defRPr>
                <a:solidFill>
                  <a:srgbClr val="990000"/>
                </a:solidFill>
              </a:defRPr>
            </a:pPr>
            <a:endParaRPr lang="en-US"/>
          </a:p>
        </c:txPr>
        <c:crossAx val="152382080"/>
        <c:crosses val="max"/>
        <c:crossBetween val="between"/>
      </c:valAx>
      <c:catAx>
        <c:axId val="152382080"/>
        <c:scaling>
          <c:orientation val="minMax"/>
        </c:scaling>
        <c:delete val="1"/>
        <c:axPos val="b"/>
        <c:numFmt formatCode="General" sourceLinked="1"/>
        <c:majorTickMark val="out"/>
        <c:minorTickMark val="none"/>
        <c:tickLblPos val="nextTo"/>
        <c:crossAx val="152380160"/>
        <c:crossesAt val="30"/>
        <c:auto val="1"/>
        <c:lblAlgn val="ctr"/>
        <c:lblOffset val="100"/>
        <c:noMultiLvlLbl val="0"/>
      </c:catAx>
    </c:plotArea>
    <c:plotVisOnly val="1"/>
    <c:dispBlanksAs val="gap"/>
    <c:showDLblsOverMax val="0"/>
  </c:chart>
  <c:spPr>
    <a:ln w="15875">
      <a:solidFill>
        <a:srgbClr val="990000"/>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Date of First Tornado (1950 to 2020)</a:t>
            </a:r>
          </a:p>
        </c:rich>
      </c:tx>
      <c:layout>
        <c:manualLayout>
          <c:xMode val="edge"/>
          <c:yMode val="edge"/>
          <c:x val="0.32658001965346245"/>
          <c:y val="0"/>
        </c:manualLayout>
      </c:layout>
      <c:overlay val="0"/>
    </c:title>
    <c:autoTitleDeleted val="0"/>
    <c:plotArea>
      <c:layout/>
      <c:barChart>
        <c:barDir val="col"/>
        <c:grouping val="clustered"/>
        <c:varyColors val="0"/>
        <c:ser>
          <c:idx val="0"/>
          <c:order val="0"/>
          <c:spPr>
            <a:gradFill flip="none" rotWithShape="1">
              <a:gsLst>
                <a:gs pos="0">
                  <a:srgbClr val="000082"/>
                </a:gs>
                <a:gs pos="30000">
                  <a:srgbClr val="66008F"/>
                </a:gs>
                <a:gs pos="64999">
                  <a:srgbClr val="BA0066"/>
                </a:gs>
                <a:gs pos="89999">
                  <a:srgbClr val="FF0000"/>
                </a:gs>
                <a:gs pos="100000">
                  <a:srgbClr val="FF8200"/>
                </a:gs>
              </a:gsLst>
              <a:lin ang="0" scaled="1"/>
              <a:tileRect/>
            </a:gra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'First Tornado'!$D$2:$AM$2</c:f>
              <c:strCache>
                <c:ptCount val="36"/>
                <c:pt idx="0">
                  <c:v>Jan 1-10</c:v>
                </c:pt>
                <c:pt idx="1">
                  <c:v>Jan 11-20</c:v>
                </c:pt>
                <c:pt idx="2">
                  <c:v>Jan 21-31</c:v>
                </c:pt>
                <c:pt idx="3">
                  <c:v>Feb 1-10</c:v>
                </c:pt>
                <c:pt idx="4">
                  <c:v>Feb 11-20</c:v>
                </c:pt>
                <c:pt idx="5">
                  <c:v>Feb 21-28</c:v>
                </c:pt>
                <c:pt idx="6">
                  <c:v>Mar 1-10</c:v>
                </c:pt>
                <c:pt idx="7">
                  <c:v>Mar 11-20</c:v>
                </c:pt>
                <c:pt idx="8">
                  <c:v>Mar 21-31</c:v>
                </c:pt>
                <c:pt idx="9">
                  <c:v>Apr 1-10</c:v>
                </c:pt>
                <c:pt idx="10">
                  <c:v>Apr 11-20</c:v>
                </c:pt>
                <c:pt idx="11">
                  <c:v>Apr 21-30</c:v>
                </c:pt>
                <c:pt idx="12">
                  <c:v>May 1-10</c:v>
                </c:pt>
                <c:pt idx="13">
                  <c:v>May 11-20</c:v>
                </c:pt>
                <c:pt idx="14">
                  <c:v>May 21-31</c:v>
                </c:pt>
                <c:pt idx="15">
                  <c:v>Jun 1-10</c:v>
                </c:pt>
                <c:pt idx="16">
                  <c:v>Jun 11-20</c:v>
                </c:pt>
                <c:pt idx="17">
                  <c:v>Jun 21-30</c:v>
                </c:pt>
                <c:pt idx="18">
                  <c:v>Jul 1-10</c:v>
                </c:pt>
                <c:pt idx="19">
                  <c:v>Jul 11-20</c:v>
                </c:pt>
                <c:pt idx="20">
                  <c:v>Jul 21-31</c:v>
                </c:pt>
                <c:pt idx="21">
                  <c:v>Aug 1-10</c:v>
                </c:pt>
                <c:pt idx="22">
                  <c:v>Aug 11-20</c:v>
                </c:pt>
                <c:pt idx="23">
                  <c:v>Aug 21-31</c:v>
                </c:pt>
                <c:pt idx="24">
                  <c:v>Sep 1-10</c:v>
                </c:pt>
                <c:pt idx="25">
                  <c:v>Sep 11-20</c:v>
                </c:pt>
                <c:pt idx="26">
                  <c:v>Sep 21-30</c:v>
                </c:pt>
                <c:pt idx="27">
                  <c:v>Oct 1-10</c:v>
                </c:pt>
                <c:pt idx="28">
                  <c:v>Oct 11-20</c:v>
                </c:pt>
                <c:pt idx="29">
                  <c:v>Oct 21-31</c:v>
                </c:pt>
                <c:pt idx="30">
                  <c:v>Nov 1-10</c:v>
                </c:pt>
                <c:pt idx="31">
                  <c:v>Nov 11-20</c:v>
                </c:pt>
                <c:pt idx="32">
                  <c:v>Nov 21-30</c:v>
                </c:pt>
                <c:pt idx="33">
                  <c:v>Dec 1-10</c:v>
                </c:pt>
                <c:pt idx="34">
                  <c:v>Dec 11-20</c:v>
                </c:pt>
                <c:pt idx="35">
                  <c:v>Dec 21-31</c:v>
                </c:pt>
              </c:strCache>
            </c:strRef>
          </c:cat>
          <c:val>
            <c:numRef>
              <c:f>'First Tornado'!$D$83:$AM$83</c:f>
              <c:numCache>
                <c:formatCode>General</c:formatCode>
                <c:ptCount val="36"/>
                <c:pt idx="0">
                  <c:v>0</c:v>
                </c:pt>
                <c:pt idx="1">
                  <c:v>0</c:v>
                </c:pt>
                <c:pt idx="2">
                  <c:v>0</c:v>
                </c:pt>
                <c:pt idx="3">
                  <c:v>1</c:v>
                </c:pt>
                <c:pt idx="4">
                  <c:v>0</c:v>
                </c:pt>
                <c:pt idx="5">
                  <c:v>2</c:v>
                </c:pt>
                <c:pt idx="6">
                  <c:v>3</c:v>
                </c:pt>
                <c:pt idx="7">
                  <c:v>5</c:v>
                </c:pt>
                <c:pt idx="8">
                  <c:v>8</c:v>
                </c:pt>
                <c:pt idx="9">
                  <c:v>3</c:v>
                </c:pt>
                <c:pt idx="10">
                  <c:v>12</c:v>
                </c:pt>
                <c:pt idx="11">
                  <c:v>10</c:v>
                </c:pt>
                <c:pt idx="12">
                  <c:v>15</c:v>
                </c:pt>
                <c:pt idx="13">
                  <c:v>2</c:v>
                </c:pt>
                <c:pt idx="14">
                  <c:v>3</c:v>
                </c:pt>
                <c:pt idx="15">
                  <c:v>3</c:v>
                </c:pt>
                <c:pt idx="16">
                  <c:v>3</c:v>
                </c:pt>
                <c:pt idx="17">
                  <c:v>1</c:v>
                </c:pt>
                <c:pt idx="18">
                  <c:v>0</c:v>
                </c:pt>
                <c:pt idx="19">
                  <c:v>1</c:v>
                </c:pt>
                <c:pt idx="20">
                  <c:v>0</c:v>
                </c:pt>
                <c:pt idx="21">
                  <c:v>1</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0-8ECD-45DE-9366-AD50E32EDB1E}"/>
            </c:ext>
          </c:extLst>
        </c:ser>
        <c:dLbls>
          <c:showLegendKey val="0"/>
          <c:showVal val="0"/>
          <c:showCatName val="0"/>
          <c:showSerName val="0"/>
          <c:showPercent val="0"/>
          <c:showBubbleSize val="0"/>
        </c:dLbls>
        <c:gapWidth val="60"/>
        <c:overlap val="68"/>
        <c:axId val="152473600"/>
        <c:axId val="152475136"/>
      </c:barChart>
      <c:catAx>
        <c:axId val="152473600"/>
        <c:scaling>
          <c:orientation val="minMax"/>
        </c:scaling>
        <c:delete val="0"/>
        <c:axPos val="b"/>
        <c:numFmt formatCode="General" sourceLinked="0"/>
        <c:majorTickMark val="none"/>
        <c:minorTickMark val="none"/>
        <c:tickLblPos val="nextTo"/>
        <c:crossAx val="152475136"/>
        <c:crosses val="autoZero"/>
        <c:auto val="1"/>
        <c:lblAlgn val="ctr"/>
        <c:lblOffset val="100"/>
        <c:noMultiLvlLbl val="0"/>
      </c:catAx>
      <c:valAx>
        <c:axId val="152475136"/>
        <c:scaling>
          <c:orientation val="minMax"/>
        </c:scaling>
        <c:delete val="0"/>
        <c:axPos val="l"/>
        <c:majorGridlines/>
        <c:numFmt formatCode="General" sourceLinked="1"/>
        <c:majorTickMark val="none"/>
        <c:minorTickMark val="none"/>
        <c:tickLblPos val="nextTo"/>
        <c:crossAx val="152473600"/>
        <c:crosses val="autoZero"/>
        <c:crossBetween val="between"/>
      </c:valAx>
    </c:plotArea>
    <c:plotVisOnly val="1"/>
    <c:dispBlanksAs val="gap"/>
    <c:showDLblsOverMax val="0"/>
  </c:chart>
  <c:spPr>
    <a:ln w="38100" cap="flat">
      <a:solidFill>
        <a:srgbClr val="FFFF00"/>
      </a:solidFill>
    </a:ln>
  </c:spPr>
  <c:printSettings>
    <c:headerFooter/>
    <c:pageMargins b="0.750000000000001" l="0.70000000000000062" r="0.70000000000000062" t="0.750000000000001"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a:pPr>
            <a:r>
              <a:rPr lang="en-US"/>
              <a:t>Percent of Years - First Tornado On or Before Date (1950 to 2020)</a:t>
            </a:r>
          </a:p>
        </c:rich>
      </c:tx>
      <c:layout/>
      <c:overlay val="0"/>
    </c:title>
    <c:autoTitleDeleted val="0"/>
    <c:plotArea>
      <c:layout/>
      <c:barChart>
        <c:barDir val="col"/>
        <c:grouping val="clustered"/>
        <c:varyColors val="0"/>
        <c:ser>
          <c:idx val="0"/>
          <c:order val="0"/>
          <c:spPr>
            <a:solidFill>
              <a:srgbClr val="FF0066"/>
            </a:solidFill>
          </c:spPr>
          <c:invertIfNegative val="0"/>
          <c:dLbls>
            <c:spPr>
              <a:noFill/>
              <a:ln>
                <a:noFill/>
              </a:ln>
              <a:effectLst/>
            </c:spPr>
            <c:txPr>
              <a:bodyPr/>
              <a:lstStyle/>
              <a:p>
                <a:pPr>
                  <a:defRPr sz="9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'First Tornado'!$D$2:$AM$2</c:f>
              <c:strCache>
                <c:ptCount val="36"/>
                <c:pt idx="0">
                  <c:v>Jan 1-10</c:v>
                </c:pt>
                <c:pt idx="1">
                  <c:v>Jan 11-20</c:v>
                </c:pt>
                <c:pt idx="2">
                  <c:v>Jan 21-31</c:v>
                </c:pt>
                <c:pt idx="3">
                  <c:v>Feb 1-10</c:v>
                </c:pt>
                <c:pt idx="4">
                  <c:v>Feb 11-20</c:v>
                </c:pt>
                <c:pt idx="5">
                  <c:v>Feb 21-28</c:v>
                </c:pt>
                <c:pt idx="6">
                  <c:v>Mar 1-10</c:v>
                </c:pt>
                <c:pt idx="7">
                  <c:v>Mar 11-20</c:v>
                </c:pt>
                <c:pt idx="8">
                  <c:v>Mar 21-31</c:v>
                </c:pt>
                <c:pt idx="9">
                  <c:v>Apr 1-10</c:v>
                </c:pt>
                <c:pt idx="10">
                  <c:v>Apr 11-20</c:v>
                </c:pt>
                <c:pt idx="11">
                  <c:v>Apr 21-30</c:v>
                </c:pt>
                <c:pt idx="12">
                  <c:v>May 1-10</c:v>
                </c:pt>
                <c:pt idx="13">
                  <c:v>May 11-20</c:v>
                </c:pt>
                <c:pt idx="14">
                  <c:v>May 21-31</c:v>
                </c:pt>
                <c:pt idx="15">
                  <c:v>Jun 1-10</c:v>
                </c:pt>
                <c:pt idx="16">
                  <c:v>Jun 11-20</c:v>
                </c:pt>
                <c:pt idx="17">
                  <c:v>Jun 21-30</c:v>
                </c:pt>
                <c:pt idx="18">
                  <c:v>Jul 1-10</c:v>
                </c:pt>
                <c:pt idx="19">
                  <c:v>Jul 11-20</c:v>
                </c:pt>
                <c:pt idx="20">
                  <c:v>Jul 21-31</c:v>
                </c:pt>
                <c:pt idx="21">
                  <c:v>Aug 1-10</c:v>
                </c:pt>
                <c:pt idx="22">
                  <c:v>Aug 11-20</c:v>
                </c:pt>
                <c:pt idx="23">
                  <c:v>Aug 21-31</c:v>
                </c:pt>
                <c:pt idx="24">
                  <c:v>Sep 1-10</c:v>
                </c:pt>
                <c:pt idx="25">
                  <c:v>Sep 11-20</c:v>
                </c:pt>
                <c:pt idx="26">
                  <c:v>Sep 21-30</c:v>
                </c:pt>
                <c:pt idx="27">
                  <c:v>Oct 1-10</c:v>
                </c:pt>
                <c:pt idx="28">
                  <c:v>Oct 11-20</c:v>
                </c:pt>
                <c:pt idx="29">
                  <c:v>Oct 21-31</c:v>
                </c:pt>
                <c:pt idx="30">
                  <c:v>Nov 1-10</c:v>
                </c:pt>
                <c:pt idx="31">
                  <c:v>Nov 11-20</c:v>
                </c:pt>
                <c:pt idx="32">
                  <c:v>Nov 21-30</c:v>
                </c:pt>
                <c:pt idx="33">
                  <c:v>Dec 1-10</c:v>
                </c:pt>
                <c:pt idx="34">
                  <c:v>Dec 11-20</c:v>
                </c:pt>
                <c:pt idx="35">
                  <c:v>Dec 21-31</c:v>
                </c:pt>
              </c:strCache>
            </c:strRef>
          </c:cat>
          <c:val>
            <c:numRef>
              <c:f>'First Tornado'!$D$85:$AM$85</c:f>
              <c:numCache>
                <c:formatCode>0</c:formatCode>
                <c:ptCount val="36"/>
                <c:pt idx="0">
                  <c:v>0</c:v>
                </c:pt>
                <c:pt idx="1">
                  <c:v>0</c:v>
                </c:pt>
                <c:pt idx="2">
                  <c:v>0</c:v>
                </c:pt>
                <c:pt idx="3">
                  <c:v>1.3698630136986301</c:v>
                </c:pt>
                <c:pt idx="4">
                  <c:v>1.3698630136986301</c:v>
                </c:pt>
                <c:pt idx="5">
                  <c:v>4.10958904109589</c:v>
                </c:pt>
                <c:pt idx="6">
                  <c:v>8.2191780821917799</c:v>
                </c:pt>
                <c:pt idx="7">
                  <c:v>15.068493150684931</c:v>
                </c:pt>
                <c:pt idx="8">
                  <c:v>26.027397260273972</c:v>
                </c:pt>
                <c:pt idx="9">
                  <c:v>30.136986301369863</c:v>
                </c:pt>
                <c:pt idx="10">
                  <c:v>46.575342465753423</c:v>
                </c:pt>
                <c:pt idx="11">
                  <c:v>60.273972602739725</c:v>
                </c:pt>
                <c:pt idx="12">
                  <c:v>80.821917808219183</c:v>
                </c:pt>
                <c:pt idx="13">
                  <c:v>83.561643835616437</c:v>
                </c:pt>
                <c:pt idx="14">
                  <c:v>87.671232876712324</c:v>
                </c:pt>
                <c:pt idx="15">
                  <c:v>91.780821917808225</c:v>
                </c:pt>
                <c:pt idx="16">
                  <c:v>95.890410958904098</c:v>
                </c:pt>
                <c:pt idx="17">
                  <c:v>97.260273972602747</c:v>
                </c:pt>
                <c:pt idx="18">
                  <c:v>97.260273972602747</c:v>
                </c:pt>
                <c:pt idx="19">
                  <c:v>98.630136986301366</c:v>
                </c:pt>
                <c:pt idx="20">
                  <c:v>98.630136986301366</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extLst xmlns:c16r2="http://schemas.microsoft.com/office/drawing/2015/06/chart">
            <c:ext xmlns:c16="http://schemas.microsoft.com/office/drawing/2014/chart" uri="{C3380CC4-5D6E-409C-BE32-E72D297353CC}">
              <c16:uniqueId val="{00000000-CD30-49E5-B4AA-241B259295BD}"/>
            </c:ext>
          </c:extLst>
        </c:ser>
        <c:dLbls>
          <c:showLegendKey val="0"/>
          <c:showVal val="0"/>
          <c:showCatName val="0"/>
          <c:showSerName val="0"/>
          <c:showPercent val="0"/>
          <c:showBubbleSize val="0"/>
        </c:dLbls>
        <c:gapWidth val="88"/>
        <c:axId val="158930816"/>
        <c:axId val="158932352"/>
      </c:barChart>
      <c:catAx>
        <c:axId val="158930816"/>
        <c:scaling>
          <c:orientation val="minMax"/>
        </c:scaling>
        <c:delete val="0"/>
        <c:axPos val="b"/>
        <c:numFmt formatCode="General" sourceLinked="0"/>
        <c:majorTickMark val="none"/>
        <c:minorTickMark val="none"/>
        <c:tickLblPos val="nextTo"/>
        <c:crossAx val="158932352"/>
        <c:crosses val="autoZero"/>
        <c:auto val="1"/>
        <c:lblAlgn val="ctr"/>
        <c:lblOffset val="100"/>
        <c:noMultiLvlLbl val="0"/>
      </c:catAx>
      <c:valAx>
        <c:axId val="158932352"/>
        <c:scaling>
          <c:orientation val="minMax"/>
        </c:scaling>
        <c:delete val="0"/>
        <c:axPos val="l"/>
        <c:majorGridlines/>
        <c:numFmt formatCode="0" sourceLinked="1"/>
        <c:majorTickMark val="none"/>
        <c:minorTickMark val="none"/>
        <c:tickLblPos val="nextTo"/>
        <c:crossAx val="158930816"/>
        <c:crosses val="autoZero"/>
        <c:crossBetween val="between"/>
      </c:valAx>
    </c:plotArea>
    <c:plotVisOnly val="1"/>
    <c:dispBlanksAs val="gap"/>
    <c:showDLblsOverMax val="0"/>
  </c:chart>
  <c:spPr>
    <a:ln w="38100">
      <a:solidFill>
        <a:srgbClr val="7030A0"/>
      </a:solidFill>
    </a:ln>
  </c:sp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Annual Tornado Distribution</a:t>
            </a:r>
          </a:p>
        </c:rich>
      </c:tx>
      <c:layout/>
      <c:overlay val="0"/>
    </c:title>
    <c:autoTitleDeleted val="0"/>
    <c:plotArea>
      <c:layout>
        <c:manualLayout>
          <c:layoutTarget val="inner"/>
          <c:xMode val="edge"/>
          <c:yMode val="edge"/>
          <c:x val="6.5858933126317076E-2"/>
          <c:y val="0.10342595885191785"/>
          <c:w val="0.92005655983142842"/>
          <c:h val="0.75542981965964084"/>
        </c:manualLayout>
      </c:layout>
      <c:barChart>
        <c:barDir val="col"/>
        <c:grouping val="clustered"/>
        <c:varyColors val="0"/>
        <c:ser>
          <c:idx val="0"/>
          <c:order val="0"/>
          <c:spPr>
            <a:solidFill>
              <a:srgbClr val="66FF33"/>
            </a:solidFill>
          </c:spPr>
          <c:invertIfNegative val="0"/>
          <c:val>
            <c:numRef>
              <c:f>'Tornado Segment Distribution'!$C$140:$C$209</c:f>
              <c:numCache>
                <c:formatCode>General</c:formatCode>
                <c:ptCount val="70"/>
                <c:pt idx="0">
                  <c:v>1</c:v>
                </c:pt>
                <c:pt idx="1">
                  <c:v>4</c:v>
                </c:pt>
                <c:pt idx="2">
                  <c:v>1</c:v>
                </c:pt>
                <c:pt idx="3">
                  <c:v>4</c:v>
                </c:pt>
                <c:pt idx="4">
                  <c:v>2</c:v>
                </c:pt>
                <c:pt idx="5">
                  <c:v>4</c:v>
                </c:pt>
                <c:pt idx="6">
                  <c:v>1</c:v>
                </c:pt>
                <c:pt idx="7">
                  <c:v>4</c:v>
                </c:pt>
                <c:pt idx="8">
                  <c:v>0</c:v>
                </c:pt>
                <c:pt idx="9">
                  <c:v>4</c:v>
                </c:pt>
                <c:pt idx="10">
                  <c:v>3</c:v>
                </c:pt>
                <c:pt idx="11">
                  <c:v>3</c:v>
                </c:pt>
                <c:pt idx="12">
                  <c:v>6</c:v>
                </c:pt>
                <c:pt idx="13">
                  <c:v>3</c:v>
                </c:pt>
                <c:pt idx="14">
                  <c:v>2</c:v>
                </c:pt>
                <c:pt idx="15">
                  <c:v>4</c:v>
                </c:pt>
                <c:pt idx="16">
                  <c:v>0</c:v>
                </c:pt>
                <c:pt idx="17">
                  <c:v>2</c:v>
                </c:pt>
                <c:pt idx="18">
                  <c:v>2</c:v>
                </c:pt>
                <c:pt idx="19">
                  <c:v>1</c:v>
                </c:pt>
                <c:pt idx="20">
                  <c:v>2</c:v>
                </c:pt>
                <c:pt idx="21">
                  <c:v>2</c:v>
                </c:pt>
                <c:pt idx="22">
                  <c:v>0</c:v>
                </c:pt>
                <c:pt idx="23">
                  <c:v>0</c:v>
                </c:pt>
                <c:pt idx="24">
                  <c:v>1</c:v>
                </c:pt>
                <c:pt idx="25">
                  <c:v>1</c:v>
                </c:pt>
                <c:pt idx="26">
                  <c:v>0</c:v>
                </c:pt>
                <c:pt idx="27">
                  <c:v>2</c:v>
                </c:pt>
                <c:pt idx="28">
                  <c:v>2</c:v>
                </c:pt>
                <c:pt idx="29">
                  <c:v>0</c:v>
                </c:pt>
                <c:pt idx="30">
                  <c:v>0</c:v>
                </c:pt>
                <c:pt idx="31">
                  <c:v>2</c:v>
                </c:pt>
                <c:pt idx="32">
                  <c:v>1</c:v>
                </c:pt>
                <c:pt idx="33">
                  <c:v>0</c:v>
                </c:pt>
                <c:pt idx="34">
                  <c:v>2</c:v>
                </c:pt>
                <c:pt idx="35">
                  <c:v>1</c:v>
                </c:pt>
                <c:pt idx="36">
                  <c:v>1</c:v>
                </c:pt>
                <c:pt idx="37">
                  <c:v>2</c:v>
                </c:pt>
                <c:pt idx="38">
                  <c:v>1</c:v>
                </c:pt>
                <c:pt idx="39">
                  <c:v>0</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0</c:v>
                </c:pt>
                <c:pt idx="59">
                  <c:v>0</c:v>
                </c:pt>
                <c:pt idx="60">
                  <c:v>0</c:v>
                </c:pt>
                <c:pt idx="61">
                  <c:v>0</c:v>
                </c:pt>
                <c:pt idx="62">
                  <c:v>0</c:v>
                </c:pt>
                <c:pt idx="63">
                  <c:v>0</c:v>
                </c:pt>
                <c:pt idx="64">
                  <c:v>0</c:v>
                </c:pt>
                <c:pt idx="65">
                  <c:v>0</c:v>
                </c:pt>
                <c:pt idx="66">
                  <c:v>0</c:v>
                </c:pt>
                <c:pt idx="67">
                  <c:v>0</c:v>
                </c:pt>
                <c:pt idx="68">
                  <c:v>0</c:v>
                </c:pt>
                <c:pt idx="69">
                  <c:v>0</c:v>
                </c:pt>
              </c:numCache>
            </c:numRef>
          </c:val>
          <c:extLst xmlns:c16r2="http://schemas.microsoft.com/office/drawing/2015/06/chart">
            <c:ext xmlns:c16="http://schemas.microsoft.com/office/drawing/2014/chart" uri="{C3380CC4-5D6E-409C-BE32-E72D297353CC}">
              <c16:uniqueId val="{00000000-F953-4A63-868E-1B138CD9A8AD}"/>
            </c:ext>
          </c:extLst>
        </c:ser>
        <c:dLbls>
          <c:showLegendKey val="0"/>
          <c:showVal val="0"/>
          <c:showCatName val="0"/>
          <c:showSerName val="0"/>
          <c:showPercent val="0"/>
          <c:showBubbleSize val="0"/>
        </c:dLbls>
        <c:gapWidth val="150"/>
        <c:axId val="129969536"/>
        <c:axId val="129975808"/>
      </c:barChart>
      <c:catAx>
        <c:axId val="129969536"/>
        <c:scaling>
          <c:orientation val="minMax"/>
        </c:scaling>
        <c:delete val="0"/>
        <c:axPos val="b"/>
        <c:title>
          <c:tx>
            <c:rich>
              <a:bodyPr/>
              <a:lstStyle/>
              <a:p>
                <a:pPr>
                  <a:defRPr/>
                </a:pPr>
                <a:r>
                  <a:rPr lang="en-US" sz="1400" b="1"/>
                  <a:t>Annual</a:t>
                </a:r>
                <a:r>
                  <a:rPr lang="en-US" sz="1400" b="1" baseline="0"/>
                  <a:t> Number of Tornado Events</a:t>
                </a:r>
                <a:endParaRPr lang="en-US" sz="1400" b="1"/>
              </a:p>
            </c:rich>
          </c:tx>
          <c:layout/>
          <c:overlay val="0"/>
        </c:title>
        <c:numFmt formatCode="General" sourceLinked="1"/>
        <c:majorTickMark val="cross"/>
        <c:minorTickMark val="none"/>
        <c:tickLblPos val="nextTo"/>
        <c:spPr>
          <a:solidFill>
            <a:sysClr val="window" lastClr="FFFFFF"/>
          </a:solidFill>
          <a:ln>
            <a:solidFill>
              <a:schemeClr val="accent1"/>
            </a:solidFill>
          </a:ln>
        </c:spPr>
        <c:txPr>
          <a:bodyPr/>
          <a:lstStyle/>
          <a:p>
            <a:pPr>
              <a:defRPr sz="800" baseline="0">
                <a:solidFill>
                  <a:sysClr val="windowText" lastClr="000000"/>
                </a:solidFill>
              </a:defRPr>
            </a:pPr>
            <a:endParaRPr lang="en-US"/>
          </a:p>
        </c:txPr>
        <c:crossAx val="129975808"/>
        <c:crosses val="autoZero"/>
        <c:auto val="1"/>
        <c:lblAlgn val="ctr"/>
        <c:lblOffset val="10"/>
        <c:noMultiLvlLbl val="0"/>
      </c:catAx>
      <c:valAx>
        <c:axId val="129975808"/>
        <c:scaling>
          <c:orientation val="minMax"/>
        </c:scaling>
        <c:delete val="0"/>
        <c:axPos val="l"/>
        <c:majorGridlines/>
        <c:title>
          <c:tx>
            <c:rich>
              <a:bodyPr rot="-5400000" vert="horz"/>
              <a:lstStyle/>
              <a:p>
                <a:pPr>
                  <a:defRPr sz="1400"/>
                </a:pPr>
                <a:r>
                  <a:rPr lang="en-US" sz="1400"/>
                  <a:t>Number</a:t>
                </a:r>
                <a:r>
                  <a:rPr lang="en-US" sz="1400" baseline="0"/>
                  <a:t> of Times Annual Number Occurred</a:t>
                </a:r>
              </a:p>
            </c:rich>
          </c:tx>
          <c:layout/>
          <c:overlay val="0"/>
        </c:title>
        <c:numFmt formatCode="General" sourceLinked="1"/>
        <c:majorTickMark val="out"/>
        <c:minorTickMark val="none"/>
        <c:tickLblPos val="nextTo"/>
        <c:crossAx val="129969536"/>
        <c:crosses val="autoZero"/>
        <c:crossBetween val="between"/>
      </c:valAx>
      <c:spPr>
        <a:solidFill>
          <a:schemeClr val="tx1"/>
        </a:solidFill>
      </c:spPr>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F0 Width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8.2500924898261205E-2"/>
          <c:y val="0.10584113641200256"/>
          <c:w val="0.87791342952275253"/>
          <c:h val="0.78812300489465847"/>
        </c:manualLayout>
      </c:layout>
      <c:scatterChart>
        <c:scatterStyle val="lineMarker"/>
        <c:varyColors val="0"/>
        <c:ser>
          <c:idx val="0"/>
          <c:order val="0"/>
          <c:spPr>
            <a:ln w="12700">
              <a:solidFill>
                <a:srgbClr val="000099"/>
              </a:solidFill>
            </a:ln>
          </c:spPr>
          <c:marker>
            <c:spPr>
              <a:solidFill>
                <a:srgbClr val="000099"/>
              </a:solidFill>
              <a:ln>
                <a:solidFill>
                  <a:srgbClr val="000099"/>
                </a:solidFill>
              </a:ln>
            </c:spPr>
          </c:marker>
          <c:xVal>
            <c:numRef>
              <c:f>'F0 - EF0 Analysis'!$F$12:$F$810</c:f>
              <c:numCache>
                <c:formatCode>General</c:formatCode>
                <c:ptCount val="799"/>
                <c:pt idx="0">
                  <c:v>-3.2297102373667248</c:v>
                </c:pt>
                <c:pt idx="1">
                  <c:v>-2.9011910009329664</c:v>
                </c:pt>
                <c:pt idx="2">
                  <c:v>-2.7372357806755607</c:v>
                </c:pt>
                <c:pt idx="3">
                  <c:v>-2.6246384632745574</c:v>
                </c:pt>
                <c:pt idx="4">
                  <c:v>-2.5378864473628475</c:v>
                </c:pt>
                <c:pt idx="5">
                  <c:v>-2.466850349828011</c:v>
                </c:pt>
                <c:pt idx="6">
                  <c:v>-2.406435557000667</c:v>
                </c:pt>
                <c:pt idx="7">
                  <c:v>-2.3537049007249542</c:v>
                </c:pt>
                <c:pt idx="8">
                  <c:v>-2.3068053236275246</c:v>
                </c:pt>
                <c:pt idx="9">
                  <c:v>-2.2644900655881872</c:v>
                </c:pt>
                <c:pt idx="10">
                  <c:v>-2.2258787390295107</c:v>
                </c:pt>
                <c:pt idx="11">
                  <c:v>-2.1903257646302365</c:v>
                </c:pt>
                <c:pt idx="12">
                  <c:v>-2.157343187508133</c:v>
                </c:pt>
                <c:pt idx="13">
                  <c:v>-2.1265529048537464</c:v>
                </c:pt>
                <c:pt idx="14">
                  <c:v>-2.0976557798505122</c:v>
                </c:pt>
                <c:pt idx="15">
                  <c:v>-2.0704109364617698</c:v>
                </c:pt>
                <c:pt idx="16">
                  <c:v>-2.0446214479968488</c:v>
                </c:pt>
                <c:pt idx="17">
                  <c:v>-2.0201241824908265</c:v>
                </c:pt>
                <c:pt idx="18">
                  <c:v>-1.9967824321552781</c:v>
                </c:pt>
                <c:pt idx="19">
                  <c:v>-1.9744804563168559</c:v>
                </c:pt>
                <c:pt idx="20">
                  <c:v>-1.953119369661714</c:v>
                </c:pt>
                <c:pt idx="21">
                  <c:v>-1.9326139954890176</c:v>
                </c:pt>
                <c:pt idx="22">
                  <c:v>-1.9128904236723956</c:v>
                </c:pt>
                <c:pt idx="23">
                  <c:v>-1.8938840915645971</c:v>
                </c:pt>
                <c:pt idx="24">
                  <c:v>-1.8755382586208733</c:v>
                </c:pt>
                <c:pt idx="25">
                  <c:v>-1.8578027813659423</c:v>
                </c:pt>
                <c:pt idx="26">
                  <c:v>-1.8406331202309791</c:v>
                </c:pt>
                <c:pt idx="27">
                  <c:v>-1.8239895273675018</c:v>
                </c:pt>
                <c:pt idx="28">
                  <c:v>-1.8078363771423687</c:v>
                </c:pt>
                <c:pt idx="29">
                  <c:v>-1.7921416101686585</c:v>
                </c:pt>
                <c:pt idx="30">
                  <c:v>-1.7768762684579023</c:v>
                </c:pt>
                <c:pt idx="31">
                  <c:v>-1.7620141042876334</c:v>
                </c:pt>
                <c:pt idx="32">
                  <c:v>-1.7475312491454524</c:v>
                </c:pt>
                <c:pt idx="33">
                  <c:v>-1.7334059319727604</c:v>
                </c:pt>
                <c:pt idx="34">
                  <c:v>-1.7196182381259371</c:v>
                </c:pt>
                <c:pt idx="35">
                  <c:v>-1.706149902170248</c:v>
                </c:pt>
                <c:pt idx="36">
                  <c:v>-1.6929841289455307</c:v>
                </c:pt>
                <c:pt idx="37">
                  <c:v>-1.6801054383829324</c:v>
                </c:pt>
                <c:pt idx="38">
                  <c:v>-1.6674995303752358</c:v>
                </c:pt>
                <c:pt idx="39">
                  <c:v>-1.6551531666593429</c:v>
                </c:pt>
                <c:pt idx="40">
                  <c:v>-1.6430540671955431</c:v>
                </c:pt>
                <c:pt idx="41">
                  <c:v>-1.6311908189526321</c:v>
                </c:pt>
                <c:pt idx="42">
                  <c:v>-1.619552795352317</c:v>
                </c:pt>
                <c:pt idx="43">
                  <c:v>-1.6081300849072808</c:v>
                </c:pt>
                <c:pt idx="44">
                  <c:v>-1.5969134278176627</c:v>
                </c:pt>
                <c:pt idx="45">
                  <c:v>-1.5858941594805218</c:v>
                </c:pt>
                <c:pt idx="46">
                  <c:v>-1.5750641600240298</c:v>
                </c:pt>
                <c:pt idx="47">
                  <c:v>-1.5644158091087819</c:v>
                </c:pt>
                <c:pt idx="48">
                  <c:v>-1.5539419453477636</c:v>
                </c:pt>
                <c:pt idx="49">
                  <c:v>-1.5436358297879897</c:v>
                </c:pt>
                <c:pt idx="50">
                  <c:v>-1.5334911129738318</c:v>
                </c:pt>
                <c:pt idx="51">
                  <c:v>-1.5235018051771141</c:v>
                </c:pt>
                <c:pt idx="52">
                  <c:v>-1.5136622494342076</c:v>
                </c:pt>
                <c:pt idx="53">
                  <c:v>-1.5039670970772523</c:v>
                </c:pt>
                <c:pt idx="54">
                  <c:v>-1.4944112854866949</c:v>
                </c:pt>
                <c:pt idx="55">
                  <c:v>-1.4849900178265962</c:v>
                </c:pt>
                <c:pt idx="56">
                  <c:v>-1.4756987445536023</c:v>
                </c:pt>
                <c:pt idx="57">
                  <c:v>-1.4665331465158102</c:v>
                </c:pt>
                <c:pt idx="58">
                  <c:v>-1.4574891194796666</c:v>
                </c:pt>
                <c:pt idx="59">
                  <c:v>-1.4485627599419753</c:v>
                </c:pt>
                <c:pt idx="60">
                  <c:v>-1.4397503521005517</c:v>
                </c:pt>
                <c:pt idx="61">
                  <c:v>-1.4310483558713887</c:v>
                </c:pt>
                <c:pt idx="62">
                  <c:v>-1.4224533958526753</c:v>
                </c:pt>
                <c:pt idx="63">
                  <c:v>-1.4139622511469609</c:v>
                </c:pt>
                <c:pt idx="64">
                  <c:v>-1.4055718459622997</c:v>
                </c:pt>
                <c:pt idx="65">
                  <c:v>-1.3972792409216594</c:v>
                </c:pt>
                <c:pt idx="66">
                  <c:v>-1.3890816250172116</c:v>
                </c:pt>
                <c:pt idx="67">
                  <c:v>-1.3809763081527771</c:v>
                </c:pt>
                <c:pt idx="68">
                  <c:v>-1.3729607142232811</c:v>
                </c:pt>
                <c:pt idx="69">
                  <c:v>-1.3650323746853841</c:v>
                </c:pt>
                <c:pt idx="70">
                  <c:v>-1.3571889225778233</c:v>
                </c:pt>
                <c:pt idx="71">
                  <c:v>-1.3494280869541073</c:v>
                </c:pt>
                <c:pt idx="72">
                  <c:v>-1.3417476876937868</c:v>
                </c:pt>
                <c:pt idx="73">
                  <c:v>-1.3341456306616806</c:v>
                </c:pt>
                <c:pt idx="74">
                  <c:v>-1.3266199031873371</c:v>
                </c:pt>
                <c:pt idx="75">
                  <c:v>-1.3191685698395292</c:v>
                </c:pt>
                <c:pt idx="76">
                  <c:v>-1.3117897684728792</c:v>
                </c:pt>
                <c:pt idx="77">
                  <c:v>-1.3044817065257879</c:v>
                </c:pt>
                <c:pt idx="78">
                  <c:v>-1.2972426575506355</c:v>
                </c:pt>
                <c:pt idx="79">
                  <c:v>-1.290070957958934</c:v>
                </c:pt>
                <c:pt idx="80">
                  <c:v>-1.2829650039655704</c:v>
                </c:pt>
                <c:pt idx="81">
                  <c:v>-1.2759232487176544</c:v>
                </c:pt>
                <c:pt idx="82">
                  <c:v>-1.2689441995946946</c:v>
                </c:pt>
                <c:pt idx="83">
                  <c:v>-1.2620264156679111</c:v>
                </c:pt>
                <c:pt idx="84">
                  <c:v>-1.2551685053075385</c:v>
                </c:pt>
                <c:pt idx="85">
                  <c:v>-1.2483691239278443</c:v>
                </c:pt>
                <c:pt idx="86">
                  <c:v>-1.2416269718604036</c:v>
                </c:pt>
                <c:pt idx="87">
                  <c:v>-1.2349407923469664</c:v>
                </c:pt>
                <c:pt idx="88">
                  <c:v>-1.2283093696438858</c:v>
                </c:pt>
                <c:pt idx="89">
                  <c:v>-1.2217315272307172</c:v>
                </c:pt>
                <c:pt idx="90">
                  <c:v>-1.2152061261161777</c:v>
                </c:pt>
                <c:pt idx="91">
                  <c:v>-1.2087320632351395</c:v>
                </c:pt>
                <c:pt idx="92">
                  <c:v>-1.2023082699308456</c:v>
                </c:pt>
                <c:pt idx="93">
                  <c:v>-1.1959337105169319</c:v>
                </c:pt>
                <c:pt idx="94">
                  <c:v>-1.1896073809142442</c:v>
                </c:pt>
                <c:pt idx="95">
                  <c:v>-1.1833283073578369</c:v>
                </c:pt>
                <c:pt idx="96">
                  <c:v>-1.1770955451698164</c:v>
                </c:pt>
                <c:pt idx="97">
                  <c:v>-1.1709081775940402</c:v>
                </c:pt>
                <c:pt idx="98">
                  <c:v>-1.1647653146889521</c:v>
                </c:pt>
                <c:pt idx="99">
                  <c:v>-1.1586660922750927</c:v>
                </c:pt>
                <c:pt idx="100">
                  <c:v>-1.1526096709340612</c:v>
                </c:pt>
                <c:pt idx="101">
                  <c:v>-1.1465952350559252</c:v>
                </c:pt>
                <c:pt idx="102">
                  <c:v>-1.1406219919322809</c:v>
                </c:pt>
                <c:pt idx="103">
                  <c:v>-1.1346891708923552</c:v>
                </c:pt>
                <c:pt idx="104">
                  <c:v>-1.1287960224797093</c:v>
                </c:pt>
                <c:pt idx="105">
                  <c:v>-1.1229418176672605</c:v>
                </c:pt>
                <c:pt idx="106">
                  <c:v>-1.1171258471084931</c:v>
                </c:pt>
                <c:pt idx="107">
                  <c:v>-1.1113474204228826</c:v>
                </c:pt>
                <c:pt idx="108">
                  <c:v>-1.1056058655136347</c:v>
                </c:pt>
                <c:pt idx="109">
                  <c:v>-1.0999005279160254</c:v>
                </c:pt>
                <c:pt idx="110">
                  <c:v>-1.0942307701746825</c:v>
                </c:pt>
                <c:pt idx="111">
                  <c:v>-1.0885959712482742</c:v>
                </c:pt>
                <c:pt idx="112">
                  <c:v>-1.0829955259401776</c:v>
                </c:pt>
                <c:pt idx="113">
                  <c:v>-1.0774288443537556</c:v>
                </c:pt>
                <c:pt idx="114">
                  <c:v>-1.0718953513709781</c:v>
                </c:pt>
                <c:pt idx="115">
                  <c:v>-1.0663944861531984</c:v>
                </c:pt>
                <c:pt idx="116">
                  <c:v>-1.060925701662939</c:v>
                </c:pt>
                <c:pt idx="117">
                  <c:v>-1.0554884642056614</c:v>
                </c:pt>
                <c:pt idx="118">
                  <c:v>-1.0500822529904894</c:v>
                </c:pt>
                <c:pt idx="119">
                  <c:v>-1.0447065597089622</c:v>
                </c:pt>
                <c:pt idx="120">
                  <c:v>-1.0393608881309535</c:v>
                </c:pt>
                <c:pt idx="121">
                  <c:v>-1.0340447537168658</c:v>
                </c:pt>
                <c:pt idx="122">
                  <c:v>-1.0287576832453833</c:v>
                </c:pt>
                <c:pt idx="123">
                  <c:v>-1.0234992144559822</c:v>
                </c:pt>
                <c:pt idx="124">
                  <c:v>-1.0182688957055219</c:v>
                </c:pt>
                <c:pt idx="125">
                  <c:v>-1.0130662856382573</c:v>
                </c:pt>
                <c:pt idx="126">
                  <c:v>-1.0078909528686477</c:v>
                </c:pt>
                <c:pt idx="127">
                  <c:v>-1.0027424756763177</c:v>
                </c:pt>
                <c:pt idx="128">
                  <c:v>-0.99762044171272712</c:v>
                </c:pt>
                <c:pt idx="129">
                  <c:v>-0.99252444771886239</c:v>
                </c:pt>
                <c:pt idx="130">
                  <c:v>-0.98745409925358074</c:v>
                </c:pt>
                <c:pt idx="131">
                  <c:v>-0.9824090104320703</c:v>
                </c:pt>
                <c:pt idx="132">
                  <c:v>-0.97738880367395276</c:v>
                </c:pt>
                <c:pt idx="133">
                  <c:v>-0.97239310946067403</c:v>
                </c:pt>
                <c:pt idx="134">
                  <c:v>-0.96742156610170071</c:v>
                </c:pt>
                <c:pt idx="135">
                  <c:v>-0.96247381950917721</c:v>
                </c:pt>
                <c:pt idx="136">
                  <c:v>-0.9575495229806702</c:v>
                </c:pt>
                <c:pt idx="137">
                  <c:v>-0.95264833698965778</c:v>
                </c:pt>
                <c:pt idx="138">
                  <c:v>-0.94776992898341883</c:v>
                </c:pt>
                <c:pt idx="139">
                  <c:v>-0.94291397318801362</c:v>
                </c:pt>
                <c:pt idx="140">
                  <c:v>-0.93808015042007897</c:v>
                </c:pt>
                <c:pt idx="141">
                  <c:v>-0.93326814790512536</c:v>
                </c:pt>
                <c:pt idx="142">
                  <c:v>-0.92847765910206081</c:v>
                </c:pt>
                <c:pt idx="143">
                  <c:v>-0.92370838353373652</c:v>
                </c:pt>
                <c:pt idx="144">
                  <c:v>-0.91896002662320075</c:v>
                </c:pt>
                <c:pt idx="145">
                  <c:v>-0.91423229953548146</c:v>
                </c:pt>
                <c:pt idx="146">
                  <c:v>-0.90952491902464438</c:v>
                </c:pt>
                <c:pt idx="147">
                  <c:v>-0.9048376072859271</c:v>
                </c:pt>
                <c:pt idx="148">
                  <c:v>-0.90017009181275498</c:v>
                </c:pt>
                <c:pt idx="149">
                  <c:v>-0.89552210525841913</c:v>
                </c:pt>
                <c:pt idx="150">
                  <c:v>-0.89089338530226814</c:v>
                </c:pt>
                <c:pt idx="151">
                  <c:v>-0.88628367452021983</c:v>
                </c:pt>
                <c:pt idx="152">
                  <c:v>-0.88169272025940548</c:v>
                </c:pt>
                <c:pt idx="153">
                  <c:v>-0.87712027451684371</c:v>
                </c:pt>
                <c:pt idx="154">
                  <c:v>-0.87256609382191841</c:v>
                </c:pt>
                <c:pt idx="155">
                  <c:v>-0.86802993912258575</c:v>
                </c:pt>
                <c:pt idx="156">
                  <c:v>-0.86351157567511283</c:v>
                </c:pt>
                <c:pt idx="157">
                  <c:v>-0.85901077293724848</c:v>
                </c:pt>
                <c:pt idx="158">
                  <c:v>-0.85452730446469505</c:v>
                </c:pt>
                <c:pt idx="159">
                  <c:v>-0.85006094781074393</c:v>
                </c:pt>
                <c:pt idx="160">
                  <c:v>-0.84561148442897183</c:v>
                </c:pt>
                <c:pt idx="161">
                  <c:v>-0.84117869957888414</c:v>
                </c:pt>
                <c:pt idx="162">
                  <c:v>-0.83676238223438926</c:v>
                </c:pt>
                <c:pt idx="163">
                  <c:v>-0.83236232499502194</c:v>
                </c:pt>
                <c:pt idx="164">
                  <c:v>-0.82797832399978744</c:v>
                </c:pt>
                <c:pt idx="165">
                  <c:v>-0.82361017884355936</c:v>
                </c:pt>
                <c:pt idx="166">
                  <c:v>-0.81925769249593172</c:v>
                </c:pt>
                <c:pt idx="167">
                  <c:v>-0.81492067122242973</c:v>
                </c:pt>
                <c:pt idx="168">
                  <c:v>-0.81059892450800952</c:v>
                </c:pt>
                <c:pt idx="169">
                  <c:v>-0.80629226498276396</c:v>
                </c:pt>
                <c:pt idx="170">
                  <c:v>-0.80200050834975056</c:v>
                </c:pt>
                <c:pt idx="171">
                  <c:v>-0.79772347331488291</c:v>
                </c:pt>
                <c:pt idx="172">
                  <c:v>-0.79346098151879274</c:v>
                </c:pt>
                <c:pt idx="173">
                  <c:v>-0.78921285747062497</c:v>
                </c:pt>
                <c:pt idx="174">
                  <c:v>-0.78497892848367556</c:v>
                </c:pt>
                <c:pt idx="175">
                  <c:v>-0.78075902461281554</c:v>
                </c:pt>
                <c:pt idx="176">
                  <c:v>-0.77655297859365702</c:v>
                </c:pt>
                <c:pt idx="177">
                  <c:v>-0.77236062578338083</c:v>
                </c:pt>
                <c:pt idx="178">
                  <c:v>-0.76818180410318582</c:v>
                </c:pt>
                <c:pt idx="179">
                  <c:v>-0.76401635398230361</c:v>
                </c:pt>
                <c:pt idx="180">
                  <c:v>-0.75986411830352263</c:v>
                </c:pt>
                <c:pt idx="181">
                  <c:v>-0.75572494235017407</c:v>
                </c:pt>
                <c:pt idx="182">
                  <c:v>-0.75159867375454548</c:v>
                </c:pt>
                <c:pt idx="183">
                  <c:v>-0.74748516244764973</c:v>
                </c:pt>
                <c:pt idx="184">
                  <c:v>-0.74338426061033158</c:v>
                </c:pt>
                <c:pt idx="185">
                  <c:v>-0.73929582262565408</c:v>
                </c:pt>
                <c:pt idx="186">
                  <c:v>-0.73521970503253264</c:v>
                </c:pt>
                <c:pt idx="187">
                  <c:v>-0.73115576648057046</c:v>
                </c:pt>
                <c:pt idx="188">
                  <c:v>-0.72710386768606139</c:v>
                </c:pt>
                <c:pt idx="189">
                  <c:v>-0.7230638713891282</c:v>
                </c:pt>
                <c:pt idx="190">
                  <c:v>-0.71903564231194905</c:v>
                </c:pt>
                <c:pt idx="191">
                  <c:v>-0.71501904711805409</c:v>
                </c:pt>
                <c:pt idx="192">
                  <c:v>-0.71101395437264392</c:v>
                </c:pt>
                <c:pt idx="193">
                  <c:v>-0.70702023450391449</c:v>
                </c:pt>
                <c:pt idx="194">
                  <c:v>-0.70303775976533733</c:v>
                </c:pt>
                <c:pt idx="195">
                  <c:v>-0.69906640419889454</c:v>
                </c:pt>
                <c:pt idx="196">
                  <c:v>-0.69510604359921147</c:v>
                </c:pt>
                <c:pt idx="197">
                  <c:v>-0.69115655547857413</c:v>
                </c:pt>
                <c:pt idx="198">
                  <c:v>-0.68721781903280976</c:v>
                </c:pt>
                <c:pt idx="199">
                  <c:v>-0.68328971510799696</c:v>
                </c:pt>
                <c:pt idx="200">
                  <c:v>-0.67937212616797271</c:v>
                </c:pt>
                <c:pt idx="201">
                  <c:v>-0.67546493626264137</c:v>
                </c:pt>
                <c:pt idx="202">
                  <c:v>-0.67156803099702567</c:v>
                </c:pt>
                <c:pt idx="203">
                  <c:v>-0.66768129750106964</c:v>
                </c:pt>
                <c:pt idx="204">
                  <c:v>-0.66380462440015109</c:v>
                </c:pt>
                <c:pt idx="205">
                  <c:v>-0.65993790178629375</c:v>
                </c:pt>
                <c:pt idx="206">
                  <c:v>-0.65608102119005407</c:v>
                </c:pt>
                <c:pt idx="207">
                  <c:v>-0.65223387555306989</c:v>
                </c:pt>
                <c:pt idx="208">
                  <c:v>-0.64839635920124028</c:v>
                </c:pt>
                <c:pt idx="209">
                  <c:v>-0.64456836781853544</c:v>
                </c:pt>
                <c:pt idx="210">
                  <c:v>-0.64074979842139845</c:v>
                </c:pt>
                <c:pt idx="211">
                  <c:v>-0.636940549333748</c:v>
                </c:pt>
                <c:pt idx="212">
                  <c:v>-0.63314052016253586</c:v>
                </c:pt>
                <c:pt idx="213">
                  <c:v>-0.62934961177387116</c:v>
                </c:pt>
                <c:pt idx="214">
                  <c:v>-0.62556772626967638</c:v>
                </c:pt>
                <c:pt idx="215">
                  <c:v>-0.62179476696487046</c:v>
                </c:pt>
                <c:pt idx="216">
                  <c:v>-0.61803063836506167</c:v>
                </c:pt>
                <c:pt idx="217">
                  <c:v>-0.61427524614473805</c:v>
                </c:pt>
                <c:pt idx="218">
                  <c:v>-0.61052849712593604</c:v>
                </c:pt>
                <c:pt idx="219">
                  <c:v>-0.60679029925738348</c:v>
                </c:pt>
                <c:pt idx="220">
                  <c:v>-0.60306056159409904</c:v>
                </c:pt>
                <c:pt idx="221">
                  <c:v>-0.59933919427743332</c:v>
                </c:pt>
                <c:pt idx="222">
                  <c:v>-0.59562610851554787</c:v>
                </c:pt>
                <c:pt idx="223">
                  <c:v>-0.59192121656431196</c:v>
                </c:pt>
                <c:pt idx="224">
                  <c:v>-0.58822443170861116</c:v>
                </c:pt>
                <c:pt idx="225">
                  <c:v>-0.58453566824405612</c:v>
                </c:pt>
                <c:pt idx="226">
                  <c:v>-0.5808548414590804</c:v>
                </c:pt>
                <c:pt idx="227">
                  <c:v>-0.57718186761741808</c:v>
                </c:pt>
                <c:pt idx="228">
                  <c:v>-0.57351666394094913</c:v>
                </c:pt>
                <c:pt idx="229">
                  <c:v>-0.56985914859290521</c:v>
                </c:pt>
                <c:pt idx="230">
                  <c:v>-0.56620924066142819</c:v>
                </c:pt>
                <c:pt idx="231">
                  <c:v>-0.56256686014346691</c:v>
                </c:pt>
                <c:pt idx="232">
                  <c:v>-0.5589319279290087</c:v>
                </c:pt>
                <c:pt idx="233">
                  <c:v>-0.55530436578563602</c:v>
                </c:pt>
                <c:pt idx="234">
                  <c:v>-0.55168409634339777</c:v>
                </c:pt>
                <c:pt idx="235">
                  <c:v>-0.54807104307998966</c:v>
                </c:pt>
                <c:pt idx="236">
                  <c:v>-0.54446513030623522</c:v>
                </c:pt>
                <c:pt idx="237">
                  <c:v>-0.54086628315185947</c:v>
                </c:pt>
                <c:pt idx="238">
                  <c:v>-0.53727442755154975</c:v>
                </c:pt>
                <c:pt idx="239">
                  <c:v>-0.53368949023129297</c:v>
                </c:pt>
                <c:pt idx="240">
                  <c:v>-0.5301113986949858</c:v>
                </c:pt>
                <c:pt idx="241">
                  <c:v>-0.52654008121131124</c:v>
                </c:pt>
                <c:pt idx="242">
                  <c:v>-0.52297546680087248</c:v>
                </c:pt>
                <c:pt idx="243">
                  <c:v>-0.51941748522357756</c:v>
                </c:pt>
                <c:pt idx="244">
                  <c:v>-0.51586606696627446</c:v>
                </c:pt>
                <c:pt idx="245">
                  <c:v>-0.51232114323062183</c:v>
                </c:pt>
                <c:pt idx="246">
                  <c:v>-0.50878264592119848</c:v>
                </c:pt>
                <c:pt idx="247">
                  <c:v>-0.50525050763383694</c:v>
                </c:pt>
                <c:pt idx="248">
                  <c:v>-0.50172466164418483</c:v>
                </c:pt>
                <c:pt idx="249">
                  <c:v>-0.49820504189648129</c:v>
                </c:pt>
                <c:pt idx="250">
                  <c:v>-0.49469158299254773</c:v>
                </c:pt>
                <c:pt idx="251">
                  <c:v>-0.49118422018098601</c:v>
                </c:pt>
                <c:pt idx="252">
                  <c:v>-0.4876828893465785</c:v>
                </c:pt>
                <c:pt idx="253">
                  <c:v>-0.48418752699988798</c:v>
                </c:pt>
                <c:pt idx="254">
                  <c:v>-0.48069807026704975</c:v>
                </c:pt>
                <c:pt idx="255">
                  <c:v>-0.47721445687975278</c:v>
                </c:pt>
                <c:pt idx="256">
                  <c:v>-0.47373662516540577</c:v>
                </c:pt>
                <c:pt idx="257">
                  <c:v>-0.47026451403748454</c:v>
                </c:pt>
                <c:pt idx="258">
                  <c:v>-0.46679806298605186</c:v>
                </c:pt>
                <c:pt idx="259">
                  <c:v>-0.46333721206845424</c:v>
                </c:pt>
                <c:pt idx="260">
                  <c:v>-0.45988190190018269</c:v>
                </c:pt>
                <c:pt idx="261">
                  <c:v>-0.45643207364590005</c:v>
                </c:pt>
                <c:pt idx="262">
                  <c:v>-0.45298766901062815</c:v>
                </c:pt>
                <c:pt idx="263">
                  <c:v>-0.44954863023109176</c:v>
                </c:pt>
                <c:pt idx="264">
                  <c:v>-0.4461149000672151</c:v>
                </c:pt>
                <c:pt idx="265">
                  <c:v>-0.44268642179377005</c:v>
                </c:pt>
                <c:pt idx="266">
                  <c:v>-0.43926313919216853</c:v>
                </c:pt>
                <c:pt idx="267">
                  <c:v>-0.4358449965423995</c:v>
                </c:pt>
                <c:pt idx="268">
                  <c:v>-0.43243193861510604</c:v>
                </c:pt>
                <c:pt idx="269">
                  <c:v>-0.42902391066379769</c:v>
                </c:pt>
                <c:pt idx="270">
                  <c:v>-0.42562085841719849</c:v>
                </c:pt>
                <c:pt idx="271">
                  <c:v>-0.42222272807172406</c:v>
                </c:pt>
                <c:pt idx="272">
                  <c:v>-0.41882946628408779</c:v>
                </c:pt>
                <c:pt idx="273">
                  <c:v>-0.415441020164032</c:v>
                </c:pt>
                <c:pt idx="274">
                  <c:v>-0.41205733726718058</c:v>
                </c:pt>
                <c:pt idx="275">
                  <c:v>-0.40867836558801141</c:v>
                </c:pt>
                <c:pt idx="276">
                  <c:v>-0.40530405355294757</c:v>
                </c:pt>
                <c:pt idx="277">
                  <c:v>-0.40193435001356043</c:v>
                </c:pt>
                <c:pt idx="278">
                  <c:v>-0.39856920423988579</c:v>
                </c:pt>
                <c:pt idx="279">
                  <c:v>-0.39520856591384995</c:v>
                </c:pt>
                <c:pt idx="280">
                  <c:v>-0.39185238512280307</c:v>
                </c:pt>
                <c:pt idx="281">
                  <c:v>-0.38850061235315569</c:v>
                </c:pt>
                <c:pt idx="282">
                  <c:v>-0.38515319848411983</c:v>
                </c:pt>
                <c:pt idx="283">
                  <c:v>-0.38181009478154904</c:v>
                </c:pt>
                <c:pt idx="284">
                  <c:v>-0.37847125289187822</c:v>
                </c:pt>
                <c:pt idx="285">
                  <c:v>-0.37513662483615695</c:v>
                </c:pt>
                <c:pt idx="286">
                  <c:v>-0.37180616300417962</c:v>
                </c:pt>
                <c:pt idx="287">
                  <c:v>-0.36847982014870556</c:v>
                </c:pt>
                <c:pt idx="288">
                  <c:v>-0.36515754937977118</c:v>
                </c:pt>
                <c:pt idx="289">
                  <c:v>-0.36183930415908783</c:v>
                </c:pt>
                <c:pt idx="290">
                  <c:v>-0.35852503829452781</c:v>
                </c:pt>
                <c:pt idx="291">
                  <c:v>-0.3552147059346944</c:v>
                </c:pt>
                <c:pt idx="292">
                  <c:v>-0.35190826156357441</c:v>
                </c:pt>
                <c:pt idx="293">
                  <c:v>-0.34860565999527116</c:v>
                </c:pt>
                <c:pt idx="294">
                  <c:v>-0.34530685636881769</c:v>
                </c:pt>
                <c:pt idx="295">
                  <c:v>-0.34201180614306698</c:v>
                </c:pt>
                <c:pt idx="296">
                  <c:v>-0.33872046509165765</c:v>
                </c:pt>
                <c:pt idx="297">
                  <c:v>-0.33543278929805492</c:v>
                </c:pt>
                <c:pt idx="298">
                  <c:v>-0.33214873515066334</c:v>
                </c:pt>
                <c:pt idx="299">
                  <c:v>-0.32886825933801206</c:v>
                </c:pt>
                <c:pt idx="300">
                  <c:v>-0.32559131884400822</c:v>
                </c:pt>
                <c:pt idx="301">
                  <c:v>-0.32231787094325981</c:v>
                </c:pt>
                <c:pt idx="302">
                  <c:v>-0.31904787319646521</c:v>
                </c:pt>
                <c:pt idx="303">
                  <c:v>-0.31578128344586803</c:v>
                </c:pt>
                <c:pt idx="304">
                  <c:v>-0.31251805981077574</c:v>
                </c:pt>
                <c:pt idx="305">
                  <c:v>-0.30925816068314183</c:v>
                </c:pt>
                <c:pt idx="306">
                  <c:v>-0.30600154472320873</c:v>
                </c:pt>
                <c:pt idx="307">
                  <c:v>-0.30274817085521177</c:v>
                </c:pt>
                <c:pt idx="308">
                  <c:v>-0.29949799826314094</c:v>
                </c:pt>
                <c:pt idx="309">
                  <c:v>-0.29625098638656117</c:v>
                </c:pt>
                <c:pt idx="310">
                  <c:v>-0.2930070949164888</c:v>
                </c:pt>
                <c:pt idx="311">
                  <c:v>-0.28976628379132435</c:v>
                </c:pt>
                <c:pt idx="312">
                  <c:v>-0.28652851319283745</c:v>
                </c:pt>
                <c:pt idx="313">
                  <c:v>-0.28329374354220688</c:v>
                </c:pt>
                <c:pt idx="314">
                  <c:v>-0.28006193549611114</c:v>
                </c:pt>
                <c:pt idx="315">
                  <c:v>-0.27683304994287161</c:v>
                </c:pt>
                <c:pt idx="316">
                  <c:v>-0.27360704799864299</c:v>
                </c:pt>
                <c:pt idx="317">
                  <c:v>-0.27038389100365501</c:v>
                </c:pt>
                <c:pt idx="318">
                  <c:v>-0.26716354051850083</c:v>
                </c:pt>
                <c:pt idx="319">
                  <c:v>-0.26394595832047196</c:v>
                </c:pt>
                <c:pt idx="320">
                  <c:v>-0.26073110639993929</c:v>
                </c:pt>
                <c:pt idx="321">
                  <c:v>-0.2575189469567789</c:v>
                </c:pt>
                <c:pt idx="322">
                  <c:v>-0.254309442396843</c:v>
                </c:pt>
                <c:pt idx="323">
                  <c:v>-0.25110255532847103</c:v>
                </c:pt>
                <c:pt idx="324">
                  <c:v>-0.2478982485590456</c:v>
                </c:pt>
                <c:pt idx="325">
                  <c:v>-0.24469648509158839</c:v>
                </c:pt>
                <c:pt idx="326">
                  <c:v>-0.24149722812139685</c:v>
                </c:pt>
                <c:pt idx="327">
                  <c:v>-0.23830044103271933</c:v>
                </c:pt>
                <c:pt idx="328">
                  <c:v>-0.23510608739547059</c:v>
                </c:pt>
                <c:pt idx="329">
                  <c:v>-0.23191413096198332</c:v>
                </c:pt>
                <c:pt idx="330">
                  <c:v>-0.22872453566379866</c:v>
                </c:pt>
                <c:pt idx="331">
                  <c:v>-0.22553726560849066</c:v>
                </c:pt>
                <c:pt idx="332">
                  <c:v>-0.22235228507652813</c:v>
                </c:pt>
                <c:pt idx="333">
                  <c:v>-0.21916955851817027</c:v>
                </c:pt>
                <c:pt idx="334">
                  <c:v>-0.21598905055039688</c:v>
                </c:pt>
                <c:pt idx="335">
                  <c:v>-0.21281072595387035</c:v>
                </c:pt>
                <c:pt idx="336">
                  <c:v>-0.20963454966993217</c:v>
                </c:pt>
                <c:pt idx="337">
                  <c:v>-0.20646048679762946</c:v>
                </c:pt>
                <c:pt idx="338">
                  <c:v>-0.20328850259077433</c:v>
                </c:pt>
                <c:pt idx="339">
                  <c:v>-0.20011856245503135</c:v>
                </c:pt>
                <c:pt idx="340">
                  <c:v>-0.19695063194503698</c:v>
                </c:pt>
                <c:pt idx="341">
                  <c:v>-0.19378467676154726</c:v>
                </c:pt>
                <c:pt idx="342">
                  <c:v>-0.19062066274861308</c:v>
                </c:pt>
                <c:pt idx="343">
                  <c:v>-0.18745855589078456</c:v>
                </c:pt>
                <c:pt idx="344">
                  <c:v>-0.18429832231034171</c:v>
                </c:pt>
                <c:pt idx="345">
                  <c:v>-0.18113992826455266</c:v>
                </c:pt>
                <c:pt idx="346">
                  <c:v>-0.17798334014295583</c:v>
                </c:pt>
                <c:pt idx="347">
                  <c:v>-0.17482852446466976</c:v>
                </c:pt>
                <c:pt idx="348">
                  <c:v>-0.17167544787572603</c:v>
                </c:pt>
                <c:pt idx="349">
                  <c:v>-0.1685240771464275</c:v>
                </c:pt>
                <c:pt idx="350">
                  <c:v>-0.16537437916872888</c:v>
                </c:pt>
                <c:pt idx="351">
                  <c:v>-0.16222632095364145</c:v>
                </c:pt>
                <c:pt idx="352">
                  <c:v>-0.1590798696286595</c:v>
                </c:pt>
                <c:pt idx="353">
                  <c:v>-0.15593499243520981</c:v>
                </c:pt>
                <c:pt idx="354">
                  <c:v>-0.15279165672612058</c:v>
                </c:pt>
                <c:pt idx="355">
                  <c:v>-0.14964982996311305</c:v>
                </c:pt>
                <c:pt idx="356">
                  <c:v>-0.14650947971431272</c:v>
                </c:pt>
                <c:pt idx="357">
                  <c:v>-0.1433705736517806</c:v>
                </c:pt>
                <c:pt idx="358">
                  <c:v>-0.14023307954906311</c:v>
                </c:pt>
                <c:pt idx="359">
                  <c:v>-0.13709696527876158</c:v>
                </c:pt>
                <c:pt idx="360">
                  <c:v>-0.13396219881011989</c:v>
                </c:pt>
                <c:pt idx="361">
                  <c:v>-0.13082874820662996</c:v>
                </c:pt>
                <c:pt idx="362">
                  <c:v>-0.12769658162365391</c:v>
                </c:pt>
                <c:pt idx="363">
                  <c:v>-0.12456566730606403</c:v>
                </c:pt>
                <c:pt idx="364">
                  <c:v>-0.12143597358589922</c:v>
                </c:pt>
                <c:pt idx="365">
                  <c:v>-0.1183074688800359</c:v>
                </c:pt>
                <c:pt idx="366">
                  <c:v>-0.11518012168787614</c:v>
                </c:pt>
                <c:pt idx="367">
                  <c:v>-0.1120539005890499</c:v>
                </c:pt>
                <c:pt idx="368">
                  <c:v>-0.10892877424113243</c:v>
                </c:pt>
                <c:pt idx="369">
                  <c:v>-0.10580471137737471</c:v>
                </c:pt>
                <c:pt idx="370">
                  <c:v>-0.10268168080444878</c:v>
                </c:pt>
                <c:pt idx="371">
                  <c:v>-9.9559651400205743E-2</c:v>
                </c:pt>
                <c:pt idx="372">
                  <c:v>-9.6438592111447202E-2</c:v>
                </c:pt>
                <c:pt idx="373">
                  <c:v>-9.3318471951707754E-2</c:v>
                </c:pt>
                <c:pt idx="374">
                  <c:v>-9.0199259999051096E-2</c:v>
                </c:pt>
                <c:pt idx="375">
                  <c:v>-8.7080925393876574E-2</c:v>
                </c:pt>
                <c:pt idx="376">
                  <c:v>-8.3963437336737987E-2</c:v>
                </c:pt>
                <c:pt idx="377">
                  <c:v>-8.0846765086171571E-2</c:v>
                </c:pt>
                <c:pt idx="378">
                  <c:v>-7.7730877956535868E-2</c:v>
                </c:pt>
                <c:pt idx="379">
                  <c:v>-7.4615745315860654E-2</c:v>
                </c:pt>
                <c:pt idx="380">
                  <c:v>-7.1501336583706318E-2</c:v>
                </c:pt>
                <c:pt idx="381">
                  <c:v>-6.8387621229030929E-2</c:v>
                </c:pt>
                <c:pt idx="382">
                  <c:v>-6.527456876806742E-2</c:v>
                </c:pt>
                <c:pt idx="383">
                  <c:v>-6.2162148762209143E-2</c:v>
                </c:pt>
                <c:pt idx="384">
                  <c:v>-5.9050330815902101E-2</c:v>
                </c:pt>
                <c:pt idx="385">
                  <c:v>-5.5939084574546334E-2</c:v>
                </c:pt>
                <c:pt idx="386">
                  <c:v>-5.2828379722403541E-2</c:v>
                </c:pt>
                <c:pt idx="387">
                  <c:v>-4.9718185980512669E-2</c:v>
                </c:pt>
                <c:pt idx="388">
                  <c:v>-4.6608473104610221E-2</c:v>
                </c:pt>
                <c:pt idx="389">
                  <c:v>-4.3499210883058456E-2</c:v>
                </c:pt>
                <c:pt idx="390">
                  <c:v>-4.039036913477824E-2</c:v>
                </c:pt>
                <c:pt idx="391">
                  <c:v>-3.7281917707188278E-2</c:v>
                </c:pt>
                <c:pt idx="392">
                  <c:v>-3.4173826474147871E-2</c:v>
                </c:pt>
                <c:pt idx="393">
                  <c:v>-3.1066065333905688E-2</c:v>
                </c:pt>
                <c:pt idx="394">
                  <c:v>-2.7958604207052151E-2</c:v>
                </c:pt>
                <c:pt idx="395">
                  <c:v>-2.4851413034476393E-2</c:v>
                </c:pt>
                <c:pt idx="396">
                  <c:v>-2.1744461775325484E-2</c:v>
                </c:pt>
                <c:pt idx="397">
                  <c:v>-1.8637720404968229E-2</c:v>
                </c:pt>
                <c:pt idx="398">
                  <c:v>-1.5531158912960993E-2</c:v>
                </c:pt>
                <c:pt idx="399">
                  <c:v>-1.2424747301016821E-2</c:v>
                </c:pt>
                <c:pt idx="400">
                  <c:v>-9.3184555809752972E-3</c:v>
                </c:pt>
                <c:pt idx="401">
                  <c:v>-6.2122537727756083E-3</c:v>
                </c:pt>
                <c:pt idx="402">
                  <c:v>-3.1061119024301388E-3</c:v>
                </c:pt>
                <c:pt idx="403">
                  <c:v>0</c:v>
                </c:pt>
                <c:pt idx="404">
                  <c:v>3.1061119024302771E-3</c:v>
                </c:pt>
                <c:pt idx="405">
                  <c:v>6.2122537727754678E-3</c:v>
                </c:pt>
                <c:pt idx="406">
                  <c:v>9.3184555809752972E-3</c:v>
                </c:pt>
                <c:pt idx="407">
                  <c:v>1.2424747301016958E-2</c:v>
                </c:pt>
                <c:pt idx="408">
                  <c:v>1.5531158912960993E-2</c:v>
                </c:pt>
                <c:pt idx="409">
                  <c:v>1.8637720404968229E-2</c:v>
                </c:pt>
                <c:pt idx="410">
                  <c:v>2.1744461775325342E-2</c:v>
                </c:pt>
                <c:pt idx="411">
                  <c:v>2.4851413034476393E-2</c:v>
                </c:pt>
                <c:pt idx="412">
                  <c:v>2.7958604207052293E-2</c:v>
                </c:pt>
                <c:pt idx="413">
                  <c:v>3.1066065333905553E-2</c:v>
                </c:pt>
                <c:pt idx="414">
                  <c:v>3.4173826474147871E-2</c:v>
                </c:pt>
                <c:pt idx="415">
                  <c:v>3.7281917707188424E-2</c:v>
                </c:pt>
                <c:pt idx="416">
                  <c:v>4.039036913477824E-2</c:v>
                </c:pt>
                <c:pt idx="417">
                  <c:v>4.3499210883058456E-2</c:v>
                </c:pt>
                <c:pt idx="418">
                  <c:v>4.6608473104610082E-2</c:v>
                </c:pt>
                <c:pt idx="419">
                  <c:v>4.9718185980512669E-2</c:v>
                </c:pt>
                <c:pt idx="420">
                  <c:v>5.2828379722403694E-2</c:v>
                </c:pt>
                <c:pt idx="421">
                  <c:v>5.5939084574546188E-2</c:v>
                </c:pt>
                <c:pt idx="422">
                  <c:v>5.9050330815902101E-2</c:v>
                </c:pt>
                <c:pt idx="423">
                  <c:v>6.2162148762209282E-2</c:v>
                </c:pt>
                <c:pt idx="424">
                  <c:v>6.527456876806742E-2</c:v>
                </c:pt>
                <c:pt idx="425">
                  <c:v>6.8387621229030929E-2</c:v>
                </c:pt>
                <c:pt idx="426">
                  <c:v>7.1501336583706457E-2</c:v>
                </c:pt>
                <c:pt idx="427">
                  <c:v>7.4615745315860654E-2</c:v>
                </c:pt>
                <c:pt idx="428">
                  <c:v>7.7730877956535868E-2</c:v>
                </c:pt>
                <c:pt idx="429">
                  <c:v>8.0846765086171432E-2</c:v>
                </c:pt>
                <c:pt idx="430">
                  <c:v>8.3963437336737987E-2</c:v>
                </c:pt>
                <c:pt idx="431">
                  <c:v>8.7080925393876726E-2</c:v>
                </c:pt>
                <c:pt idx="432">
                  <c:v>9.0199259999050957E-2</c:v>
                </c:pt>
                <c:pt idx="433">
                  <c:v>9.3318471951707754E-2</c:v>
                </c:pt>
                <c:pt idx="434">
                  <c:v>9.6438592111447313E-2</c:v>
                </c:pt>
                <c:pt idx="435">
                  <c:v>9.9559651400205743E-2</c:v>
                </c:pt>
                <c:pt idx="436">
                  <c:v>0.10268168080444878</c:v>
                </c:pt>
                <c:pt idx="437">
                  <c:v>0.10580471137737456</c:v>
                </c:pt>
                <c:pt idx="438">
                  <c:v>0.10892877424113243</c:v>
                </c:pt>
                <c:pt idx="439">
                  <c:v>0.11205390058905006</c:v>
                </c:pt>
                <c:pt idx="440">
                  <c:v>0.115180121687876</c:v>
                </c:pt>
                <c:pt idx="441">
                  <c:v>0.1183074688800359</c:v>
                </c:pt>
                <c:pt idx="442">
                  <c:v>0.12143597358589935</c:v>
                </c:pt>
                <c:pt idx="443">
                  <c:v>0.12456566730606403</c:v>
                </c:pt>
                <c:pt idx="444">
                  <c:v>0.12769658162365391</c:v>
                </c:pt>
                <c:pt idx="445">
                  <c:v>0.13082874820662979</c:v>
                </c:pt>
                <c:pt idx="446">
                  <c:v>0.13396219881011989</c:v>
                </c:pt>
                <c:pt idx="447">
                  <c:v>0.13709696527876158</c:v>
                </c:pt>
                <c:pt idx="448">
                  <c:v>0.14023307954906297</c:v>
                </c:pt>
                <c:pt idx="449">
                  <c:v>0.1433705736517806</c:v>
                </c:pt>
                <c:pt idx="450">
                  <c:v>0.14650947971431286</c:v>
                </c:pt>
                <c:pt idx="451">
                  <c:v>0.14964982996311293</c:v>
                </c:pt>
                <c:pt idx="452">
                  <c:v>0.15279165672612058</c:v>
                </c:pt>
                <c:pt idx="453">
                  <c:v>0.15593499243520995</c:v>
                </c:pt>
                <c:pt idx="454">
                  <c:v>0.1590798696286595</c:v>
                </c:pt>
                <c:pt idx="455">
                  <c:v>0.16222632095364145</c:v>
                </c:pt>
                <c:pt idx="456">
                  <c:v>0.16537437916872874</c:v>
                </c:pt>
                <c:pt idx="457">
                  <c:v>0.1685240771464275</c:v>
                </c:pt>
                <c:pt idx="458">
                  <c:v>0.17167544787572614</c:v>
                </c:pt>
                <c:pt idx="459">
                  <c:v>0.17482852446466962</c:v>
                </c:pt>
                <c:pt idx="460">
                  <c:v>0.17798334014295583</c:v>
                </c:pt>
                <c:pt idx="461">
                  <c:v>0.18113992826455283</c:v>
                </c:pt>
                <c:pt idx="462">
                  <c:v>0.18429832231034171</c:v>
                </c:pt>
                <c:pt idx="463">
                  <c:v>0.18745855589078456</c:v>
                </c:pt>
                <c:pt idx="464">
                  <c:v>0.19062066274861295</c:v>
                </c:pt>
                <c:pt idx="465">
                  <c:v>0.19378467676154726</c:v>
                </c:pt>
                <c:pt idx="466">
                  <c:v>0.19695063194503712</c:v>
                </c:pt>
                <c:pt idx="467">
                  <c:v>0.20011856245503121</c:v>
                </c:pt>
                <c:pt idx="468">
                  <c:v>0.20328850259077433</c:v>
                </c:pt>
                <c:pt idx="469">
                  <c:v>0.20646048679762963</c:v>
                </c:pt>
                <c:pt idx="470">
                  <c:v>0.209634549669932</c:v>
                </c:pt>
                <c:pt idx="471">
                  <c:v>0.21281072595387035</c:v>
                </c:pt>
                <c:pt idx="472">
                  <c:v>0.21598905055039699</c:v>
                </c:pt>
                <c:pt idx="473">
                  <c:v>0.21916955851817027</c:v>
                </c:pt>
                <c:pt idx="474">
                  <c:v>0.22235228507652813</c:v>
                </c:pt>
                <c:pt idx="475">
                  <c:v>0.22553726560849049</c:v>
                </c:pt>
                <c:pt idx="476">
                  <c:v>0.22872453566379866</c:v>
                </c:pt>
                <c:pt idx="477">
                  <c:v>0.23191413096198346</c:v>
                </c:pt>
                <c:pt idx="478">
                  <c:v>0.23510608739547043</c:v>
                </c:pt>
                <c:pt idx="479">
                  <c:v>0.23830044103271933</c:v>
                </c:pt>
                <c:pt idx="480">
                  <c:v>0.24149722812139693</c:v>
                </c:pt>
                <c:pt idx="481">
                  <c:v>0.24469648509158839</c:v>
                </c:pt>
                <c:pt idx="482">
                  <c:v>0.2478982485590456</c:v>
                </c:pt>
                <c:pt idx="483">
                  <c:v>0.25110255532847081</c:v>
                </c:pt>
                <c:pt idx="484">
                  <c:v>0.254309442396843</c:v>
                </c:pt>
                <c:pt idx="485">
                  <c:v>0.25751894695677907</c:v>
                </c:pt>
                <c:pt idx="486">
                  <c:v>0.26073110639993913</c:v>
                </c:pt>
                <c:pt idx="487">
                  <c:v>0.26394595832047196</c:v>
                </c:pt>
                <c:pt idx="488">
                  <c:v>0.26716354051850105</c:v>
                </c:pt>
                <c:pt idx="489">
                  <c:v>0.27038389100365501</c:v>
                </c:pt>
                <c:pt idx="490">
                  <c:v>0.27360704799864299</c:v>
                </c:pt>
                <c:pt idx="491">
                  <c:v>0.27683304994287167</c:v>
                </c:pt>
                <c:pt idx="492">
                  <c:v>0.28006193549611114</c:v>
                </c:pt>
                <c:pt idx="493">
                  <c:v>0.28329374354220688</c:v>
                </c:pt>
                <c:pt idx="494">
                  <c:v>0.28652851319283734</c:v>
                </c:pt>
                <c:pt idx="495">
                  <c:v>0.28976628379132435</c:v>
                </c:pt>
                <c:pt idx="496">
                  <c:v>0.29300709491648896</c:v>
                </c:pt>
                <c:pt idx="497">
                  <c:v>0.296250986386561</c:v>
                </c:pt>
                <c:pt idx="498">
                  <c:v>0.29949799826314094</c:v>
                </c:pt>
                <c:pt idx="499">
                  <c:v>0.30274817085521194</c:v>
                </c:pt>
                <c:pt idx="500">
                  <c:v>0.30600154472320873</c:v>
                </c:pt>
                <c:pt idx="501">
                  <c:v>0.30925816068314183</c:v>
                </c:pt>
                <c:pt idx="502">
                  <c:v>0.31251805981077552</c:v>
                </c:pt>
                <c:pt idx="503">
                  <c:v>0.31578128344586803</c:v>
                </c:pt>
                <c:pt idx="504">
                  <c:v>0.31904787319646533</c:v>
                </c:pt>
                <c:pt idx="505">
                  <c:v>0.3223178709432597</c:v>
                </c:pt>
                <c:pt idx="506">
                  <c:v>0.32559131884400822</c:v>
                </c:pt>
                <c:pt idx="507">
                  <c:v>0.32886825933801223</c:v>
                </c:pt>
                <c:pt idx="508">
                  <c:v>0.33214873515066334</c:v>
                </c:pt>
                <c:pt idx="509">
                  <c:v>0.33543278929805492</c:v>
                </c:pt>
                <c:pt idx="510">
                  <c:v>0.3387204650916576</c:v>
                </c:pt>
                <c:pt idx="511">
                  <c:v>0.34201180614306698</c:v>
                </c:pt>
                <c:pt idx="512">
                  <c:v>0.34530685636881786</c:v>
                </c:pt>
                <c:pt idx="513">
                  <c:v>0.34860565999527104</c:v>
                </c:pt>
                <c:pt idx="514">
                  <c:v>0.35190826156357441</c:v>
                </c:pt>
                <c:pt idx="515">
                  <c:v>0.35521470593469451</c:v>
                </c:pt>
                <c:pt idx="516">
                  <c:v>0.35852503829452775</c:v>
                </c:pt>
                <c:pt idx="517">
                  <c:v>0.36183930415908783</c:v>
                </c:pt>
                <c:pt idx="518">
                  <c:v>0.36515754937977135</c:v>
                </c:pt>
                <c:pt idx="519">
                  <c:v>0.36847982014870556</c:v>
                </c:pt>
                <c:pt idx="520">
                  <c:v>0.37180616300417962</c:v>
                </c:pt>
                <c:pt idx="521">
                  <c:v>0.37513662483615684</c:v>
                </c:pt>
                <c:pt idx="522">
                  <c:v>0.37847125289187822</c:v>
                </c:pt>
                <c:pt idx="523">
                  <c:v>0.38181009478154926</c:v>
                </c:pt>
                <c:pt idx="524">
                  <c:v>0.38515319848411972</c:v>
                </c:pt>
                <c:pt idx="525">
                  <c:v>0.38850061235315569</c:v>
                </c:pt>
                <c:pt idx="526">
                  <c:v>0.39185238512280324</c:v>
                </c:pt>
                <c:pt idx="527">
                  <c:v>0.39520856591384995</c:v>
                </c:pt>
                <c:pt idx="528">
                  <c:v>0.39856920423988579</c:v>
                </c:pt>
                <c:pt idx="529">
                  <c:v>0.40193435001356026</c:v>
                </c:pt>
                <c:pt idx="530">
                  <c:v>0.40530405355294757</c:v>
                </c:pt>
                <c:pt idx="531">
                  <c:v>0.40867836558801146</c:v>
                </c:pt>
                <c:pt idx="532">
                  <c:v>0.41205733726718025</c:v>
                </c:pt>
                <c:pt idx="533">
                  <c:v>0.415441020164032</c:v>
                </c:pt>
                <c:pt idx="534">
                  <c:v>0.4188294662840879</c:v>
                </c:pt>
                <c:pt idx="535">
                  <c:v>0.42222272807172406</c:v>
                </c:pt>
                <c:pt idx="536">
                  <c:v>0.42562085841719849</c:v>
                </c:pt>
                <c:pt idx="537">
                  <c:v>0.4290239106637978</c:v>
                </c:pt>
                <c:pt idx="538">
                  <c:v>0.43243193861510604</c:v>
                </c:pt>
                <c:pt idx="539">
                  <c:v>0.4358449965423995</c:v>
                </c:pt>
                <c:pt idx="540">
                  <c:v>0.43926313919216836</c:v>
                </c:pt>
                <c:pt idx="541">
                  <c:v>0.44268642179377005</c:v>
                </c:pt>
                <c:pt idx="542">
                  <c:v>0.44611490006721516</c:v>
                </c:pt>
                <c:pt idx="543">
                  <c:v>0.44954863023109171</c:v>
                </c:pt>
                <c:pt idx="544">
                  <c:v>0.45298766901062815</c:v>
                </c:pt>
                <c:pt idx="545">
                  <c:v>0.45643207364590022</c:v>
                </c:pt>
                <c:pt idx="546">
                  <c:v>0.45988190190018269</c:v>
                </c:pt>
                <c:pt idx="547">
                  <c:v>0.46333721206845424</c:v>
                </c:pt>
                <c:pt idx="548">
                  <c:v>0.46679806298605175</c:v>
                </c:pt>
                <c:pt idx="549">
                  <c:v>0.47026451403748454</c:v>
                </c:pt>
                <c:pt idx="550">
                  <c:v>0.47373662516540604</c:v>
                </c:pt>
                <c:pt idx="551">
                  <c:v>0.47721445687975261</c:v>
                </c:pt>
                <c:pt idx="552">
                  <c:v>0.48069807026704975</c:v>
                </c:pt>
                <c:pt idx="553">
                  <c:v>0.48418752699988815</c:v>
                </c:pt>
                <c:pt idx="554">
                  <c:v>0.4876828893465785</c:v>
                </c:pt>
                <c:pt idx="555">
                  <c:v>0.49118422018098601</c:v>
                </c:pt>
                <c:pt idx="556">
                  <c:v>0.49469158299254795</c:v>
                </c:pt>
                <c:pt idx="557">
                  <c:v>0.49820504189648129</c:v>
                </c:pt>
                <c:pt idx="558">
                  <c:v>0.50172466164418483</c:v>
                </c:pt>
                <c:pt idx="559">
                  <c:v>0.50525050763383683</c:v>
                </c:pt>
                <c:pt idx="560">
                  <c:v>0.50878264592119848</c:v>
                </c:pt>
                <c:pt idx="561">
                  <c:v>0.51232114323062217</c:v>
                </c:pt>
                <c:pt idx="562">
                  <c:v>0.51586606696627435</c:v>
                </c:pt>
                <c:pt idx="563">
                  <c:v>0.51941748522357756</c:v>
                </c:pt>
                <c:pt idx="564">
                  <c:v>0.52297546680087259</c:v>
                </c:pt>
                <c:pt idx="565">
                  <c:v>0.52654008121131124</c:v>
                </c:pt>
                <c:pt idx="566">
                  <c:v>0.5301113986949858</c:v>
                </c:pt>
                <c:pt idx="567">
                  <c:v>0.53368949023129275</c:v>
                </c:pt>
                <c:pt idx="568">
                  <c:v>0.53727442755154975</c:v>
                </c:pt>
                <c:pt idx="569">
                  <c:v>0.54086628315185969</c:v>
                </c:pt>
                <c:pt idx="570">
                  <c:v>0.544465130306235</c:v>
                </c:pt>
                <c:pt idx="571">
                  <c:v>0.54807104307998966</c:v>
                </c:pt>
                <c:pt idx="572">
                  <c:v>0.55168409634339799</c:v>
                </c:pt>
                <c:pt idx="573">
                  <c:v>0.55530436578563602</c:v>
                </c:pt>
                <c:pt idx="574">
                  <c:v>0.5589319279290087</c:v>
                </c:pt>
                <c:pt idx="575">
                  <c:v>0.56256686014346657</c:v>
                </c:pt>
                <c:pt idx="576">
                  <c:v>0.56620924066142819</c:v>
                </c:pt>
                <c:pt idx="577">
                  <c:v>0.56985914859290532</c:v>
                </c:pt>
                <c:pt idx="578">
                  <c:v>0.5735166639409488</c:v>
                </c:pt>
                <c:pt idx="579">
                  <c:v>0.57718186761741808</c:v>
                </c:pt>
                <c:pt idx="580">
                  <c:v>0.58085484145908051</c:v>
                </c:pt>
                <c:pt idx="581">
                  <c:v>0.58453566824405578</c:v>
                </c:pt>
                <c:pt idx="582">
                  <c:v>0.58822443170861116</c:v>
                </c:pt>
                <c:pt idx="583">
                  <c:v>0.59192121656431218</c:v>
                </c:pt>
                <c:pt idx="584">
                  <c:v>0.59562610851554787</c:v>
                </c:pt>
                <c:pt idx="585">
                  <c:v>0.59933919427743332</c:v>
                </c:pt>
                <c:pt idx="586">
                  <c:v>0.60306056159409882</c:v>
                </c:pt>
                <c:pt idx="587">
                  <c:v>0.60679029925738348</c:v>
                </c:pt>
                <c:pt idx="588">
                  <c:v>0.61052849712593593</c:v>
                </c:pt>
                <c:pt idx="589">
                  <c:v>0.61427524614473794</c:v>
                </c:pt>
                <c:pt idx="590">
                  <c:v>0.61803063836506167</c:v>
                </c:pt>
                <c:pt idx="591">
                  <c:v>0.62179476696487035</c:v>
                </c:pt>
                <c:pt idx="592">
                  <c:v>0.62556772626967638</c:v>
                </c:pt>
                <c:pt idx="593">
                  <c:v>0.62934961177387116</c:v>
                </c:pt>
                <c:pt idx="594">
                  <c:v>0.63314052016253586</c:v>
                </c:pt>
                <c:pt idx="595">
                  <c:v>0.636940549333748</c:v>
                </c:pt>
                <c:pt idx="596">
                  <c:v>0.64074979842139901</c:v>
                </c:pt>
                <c:pt idx="597">
                  <c:v>0.64456836781853499</c:v>
                </c:pt>
                <c:pt idx="598">
                  <c:v>0.64839635920124028</c:v>
                </c:pt>
                <c:pt idx="599">
                  <c:v>0.65223387555306978</c:v>
                </c:pt>
                <c:pt idx="600">
                  <c:v>0.65608102119005429</c:v>
                </c:pt>
                <c:pt idx="601">
                  <c:v>0.65993790178629375</c:v>
                </c:pt>
                <c:pt idx="602">
                  <c:v>0.66380462440015164</c:v>
                </c:pt>
                <c:pt idx="603">
                  <c:v>0.66768129750106964</c:v>
                </c:pt>
                <c:pt idx="604">
                  <c:v>0.67156803099702567</c:v>
                </c:pt>
                <c:pt idx="605">
                  <c:v>0.67546493626264092</c:v>
                </c:pt>
                <c:pt idx="606">
                  <c:v>0.67937212616797271</c:v>
                </c:pt>
                <c:pt idx="607">
                  <c:v>0.68328971510799696</c:v>
                </c:pt>
                <c:pt idx="608">
                  <c:v>0.68721781903280976</c:v>
                </c:pt>
                <c:pt idx="609">
                  <c:v>0.69115655547857413</c:v>
                </c:pt>
                <c:pt idx="610">
                  <c:v>0.69510604359921124</c:v>
                </c:pt>
                <c:pt idx="611">
                  <c:v>0.69906640419889454</c:v>
                </c:pt>
                <c:pt idx="612">
                  <c:v>0.70303775976533733</c:v>
                </c:pt>
                <c:pt idx="613">
                  <c:v>0.7070202345039136</c:v>
                </c:pt>
                <c:pt idx="614">
                  <c:v>0.71101395437264392</c:v>
                </c:pt>
                <c:pt idx="615">
                  <c:v>0.71501904711805409</c:v>
                </c:pt>
                <c:pt idx="616">
                  <c:v>0.71903564231194905</c:v>
                </c:pt>
                <c:pt idx="617">
                  <c:v>0.7230638713891282</c:v>
                </c:pt>
                <c:pt idx="618">
                  <c:v>0.72710386768606206</c:v>
                </c:pt>
                <c:pt idx="619">
                  <c:v>0.73115576648057046</c:v>
                </c:pt>
                <c:pt idx="620">
                  <c:v>0.73521970503253264</c:v>
                </c:pt>
                <c:pt idx="621">
                  <c:v>0.73929582262565396</c:v>
                </c:pt>
                <c:pt idx="622">
                  <c:v>0.74338426061033158</c:v>
                </c:pt>
                <c:pt idx="623">
                  <c:v>0.74748516244764973</c:v>
                </c:pt>
                <c:pt idx="624">
                  <c:v>0.75159867375454548</c:v>
                </c:pt>
                <c:pt idx="625">
                  <c:v>0.75572494235017407</c:v>
                </c:pt>
                <c:pt idx="626">
                  <c:v>0.75986411830352263</c:v>
                </c:pt>
                <c:pt idx="627">
                  <c:v>0.76401635398230361</c:v>
                </c:pt>
                <c:pt idx="628">
                  <c:v>0.76818180410318582</c:v>
                </c:pt>
                <c:pt idx="629">
                  <c:v>0.77236062578338138</c:v>
                </c:pt>
                <c:pt idx="630">
                  <c:v>0.77655297859365702</c:v>
                </c:pt>
                <c:pt idx="631">
                  <c:v>0.78075902461281554</c:v>
                </c:pt>
                <c:pt idx="632">
                  <c:v>0.78497892848367534</c:v>
                </c:pt>
                <c:pt idx="633">
                  <c:v>0.78921285747062497</c:v>
                </c:pt>
                <c:pt idx="634">
                  <c:v>0.79346098151879274</c:v>
                </c:pt>
                <c:pt idx="635">
                  <c:v>0.79772347331488291</c:v>
                </c:pt>
                <c:pt idx="636">
                  <c:v>0.80200050834975056</c:v>
                </c:pt>
                <c:pt idx="637">
                  <c:v>0.80629226498276318</c:v>
                </c:pt>
                <c:pt idx="638">
                  <c:v>0.81059892450800952</c:v>
                </c:pt>
                <c:pt idx="639">
                  <c:v>0.81492067122242973</c:v>
                </c:pt>
                <c:pt idx="640">
                  <c:v>0.81925769249593305</c:v>
                </c:pt>
                <c:pt idx="641">
                  <c:v>0.82361017884355936</c:v>
                </c:pt>
                <c:pt idx="642">
                  <c:v>0.82797832399978744</c:v>
                </c:pt>
                <c:pt idx="643">
                  <c:v>0.83236232499502116</c:v>
                </c:pt>
                <c:pt idx="644">
                  <c:v>0.83676238223438926</c:v>
                </c:pt>
                <c:pt idx="645">
                  <c:v>0.84117869957888414</c:v>
                </c:pt>
                <c:pt idx="646">
                  <c:v>0.84561148442897183</c:v>
                </c:pt>
                <c:pt idx="647">
                  <c:v>0.85006094781074393</c:v>
                </c:pt>
                <c:pt idx="648">
                  <c:v>0.85452730446469527</c:v>
                </c:pt>
                <c:pt idx="649">
                  <c:v>0.85901077293724848</c:v>
                </c:pt>
                <c:pt idx="650">
                  <c:v>0.86351157567511283</c:v>
                </c:pt>
                <c:pt idx="651">
                  <c:v>0.86802993912258619</c:v>
                </c:pt>
                <c:pt idx="652">
                  <c:v>0.87256609382191841</c:v>
                </c:pt>
                <c:pt idx="653">
                  <c:v>0.87712027451684371</c:v>
                </c:pt>
                <c:pt idx="654">
                  <c:v>0.88169272025940548</c:v>
                </c:pt>
                <c:pt idx="655">
                  <c:v>0.88628367452021983</c:v>
                </c:pt>
                <c:pt idx="656">
                  <c:v>0.89089338530226825</c:v>
                </c:pt>
                <c:pt idx="657">
                  <c:v>0.89552210525841913</c:v>
                </c:pt>
                <c:pt idx="658">
                  <c:v>0.90017009181275498</c:v>
                </c:pt>
                <c:pt idx="659">
                  <c:v>0.90483760728592699</c:v>
                </c:pt>
                <c:pt idx="660">
                  <c:v>0.90952491902464438</c:v>
                </c:pt>
                <c:pt idx="661">
                  <c:v>0.91423229953548146</c:v>
                </c:pt>
                <c:pt idx="662">
                  <c:v>0.91896002662320075</c:v>
                </c:pt>
                <c:pt idx="663">
                  <c:v>0.92370838353373652</c:v>
                </c:pt>
                <c:pt idx="664">
                  <c:v>0.92847765910206115</c:v>
                </c:pt>
                <c:pt idx="665">
                  <c:v>0.93326814790512536</c:v>
                </c:pt>
                <c:pt idx="666">
                  <c:v>0.93808015042007897</c:v>
                </c:pt>
                <c:pt idx="667">
                  <c:v>0.94291397318801373</c:v>
                </c:pt>
                <c:pt idx="668">
                  <c:v>0.94776992898341883</c:v>
                </c:pt>
                <c:pt idx="669">
                  <c:v>0.95264833698965778</c:v>
                </c:pt>
                <c:pt idx="670">
                  <c:v>0.95754952298067086</c:v>
                </c:pt>
                <c:pt idx="671">
                  <c:v>0.96247381950917721</c:v>
                </c:pt>
                <c:pt idx="672">
                  <c:v>0.96742156610170071</c:v>
                </c:pt>
                <c:pt idx="673">
                  <c:v>0.97239310946067403</c:v>
                </c:pt>
                <c:pt idx="674">
                  <c:v>0.97738880367395276</c:v>
                </c:pt>
                <c:pt idx="675">
                  <c:v>0.9824090104320693</c:v>
                </c:pt>
                <c:pt idx="676">
                  <c:v>0.98745409925358074</c:v>
                </c:pt>
                <c:pt idx="677">
                  <c:v>0.99252444771886239</c:v>
                </c:pt>
                <c:pt idx="678">
                  <c:v>0.9976204417127269</c:v>
                </c:pt>
                <c:pt idx="679">
                  <c:v>1.0027424756763177</c:v>
                </c:pt>
                <c:pt idx="680">
                  <c:v>1.0078909528686477</c:v>
                </c:pt>
                <c:pt idx="681">
                  <c:v>1.0130662856382573</c:v>
                </c:pt>
                <c:pt idx="682">
                  <c:v>1.0182688957055219</c:v>
                </c:pt>
                <c:pt idx="683">
                  <c:v>1.0234992144559798</c:v>
                </c:pt>
                <c:pt idx="684">
                  <c:v>1.0287576832453833</c:v>
                </c:pt>
                <c:pt idx="685">
                  <c:v>1.0340447537168658</c:v>
                </c:pt>
                <c:pt idx="686">
                  <c:v>1.0393608881309517</c:v>
                </c:pt>
                <c:pt idx="687">
                  <c:v>1.0447065597089622</c:v>
                </c:pt>
                <c:pt idx="688">
                  <c:v>1.0500822529904894</c:v>
                </c:pt>
                <c:pt idx="689">
                  <c:v>1.0554884642056612</c:v>
                </c:pt>
                <c:pt idx="690">
                  <c:v>1.060925701662939</c:v>
                </c:pt>
                <c:pt idx="691">
                  <c:v>1.0663944861531984</c:v>
                </c:pt>
                <c:pt idx="692">
                  <c:v>1.0718953513709781</c:v>
                </c:pt>
                <c:pt idx="693">
                  <c:v>1.0774288443537556</c:v>
                </c:pt>
                <c:pt idx="694">
                  <c:v>1.0829955259401778</c:v>
                </c:pt>
                <c:pt idx="695">
                  <c:v>1.0885959712482742</c:v>
                </c:pt>
                <c:pt idx="696">
                  <c:v>1.0942307701746825</c:v>
                </c:pt>
                <c:pt idx="697">
                  <c:v>1.0999005279160257</c:v>
                </c:pt>
                <c:pt idx="698">
                  <c:v>1.1056058655136347</c:v>
                </c:pt>
                <c:pt idx="699">
                  <c:v>1.1113474204228826</c:v>
                </c:pt>
                <c:pt idx="700">
                  <c:v>1.1171258471084931</c:v>
                </c:pt>
                <c:pt idx="701">
                  <c:v>1.1229418176672605</c:v>
                </c:pt>
                <c:pt idx="702">
                  <c:v>1.1287960224797102</c:v>
                </c:pt>
                <c:pt idx="703">
                  <c:v>1.1346891708923552</c:v>
                </c:pt>
                <c:pt idx="704">
                  <c:v>1.1406219919322809</c:v>
                </c:pt>
                <c:pt idx="705">
                  <c:v>1.1465952350559254</c:v>
                </c:pt>
                <c:pt idx="706">
                  <c:v>1.1526096709340612</c:v>
                </c:pt>
                <c:pt idx="707">
                  <c:v>1.1586660922750927</c:v>
                </c:pt>
                <c:pt idx="708">
                  <c:v>1.1647653146889521</c:v>
                </c:pt>
                <c:pt idx="709">
                  <c:v>1.1709081775940402</c:v>
                </c:pt>
                <c:pt idx="710">
                  <c:v>1.1770955451698173</c:v>
                </c:pt>
                <c:pt idx="711">
                  <c:v>1.1833283073578369</c:v>
                </c:pt>
                <c:pt idx="712">
                  <c:v>1.1896073809142442</c:v>
                </c:pt>
                <c:pt idx="713">
                  <c:v>1.1959337105169316</c:v>
                </c:pt>
                <c:pt idx="714">
                  <c:v>1.2023082699308456</c:v>
                </c:pt>
                <c:pt idx="715">
                  <c:v>1.2087320632351395</c:v>
                </c:pt>
                <c:pt idx="716">
                  <c:v>1.2152061261161777</c:v>
                </c:pt>
                <c:pt idx="717">
                  <c:v>1.2217315272307172</c:v>
                </c:pt>
                <c:pt idx="718">
                  <c:v>1.2283093696438865</c:v>
                </c:pt>
                <c:pt idx="719">
                  <c:v>1.2349407923469664</c:v>
                </c:pt>
                <c:pt idx="720">
                  <c:v>1.2416269718604036</c:v>
                </c:pt>
                <c:pt idx="721">
                  <c:v>1.2483691239278443</c:v>
                </c:pt>
                <c:pt idx="722">
                  <c:v>1.2551685053075385</c:v>
                </c:pt>
                <c:pt idx="723">
                  <c:v>1.2620264156679111</c:v>
                </c:pt>
                <c:pt idx="724">
                  <c:v>1.2689441995946948</c:v>
                </c:pt>
                <c:pt idx="725">
                  <c:v>1.2759232487176544</c:v>
                </c:pt>
                <c:pt idx="726">
                  <c:v>1.2829650039655704</c:v>
                </c:pt>
                <c:pt idx="727">
                  <c:v>1.290070957958934</c:v>
                </c:pt>
                <c:pt idx="728">
                  <c:v>1.2972426575506355</c:v>
                </c:pt>
                <c:pt idx="729">
                  <c:v>1.3044817065257872</c:v>
                </c:pt>
                <c:pt idx="730">
                  <c:v>1.3117897684728792</c:v>
                </c:pt>
                <c:pt idx="731">
                  <c:v>1.3191685698395292</c:v>
                </c:pt>
                <c:pt idx="732">
                  <c:v>1.3266199031873385</c:v>
                </c:pt>
                <c:pt idx="733">
                  <c:v>1.3341456306616806</c:v>
                </c:pt>
                <c:pt idx="734">
                  <c:v>1.3417476876937868</c:v>
                </c:pt>
                <c:pt idx="735">
                  <c:v>1.3494280869541075</c:v>
                </c:pt>
                <c:pt idx="736">
                  <c:v>1.3571889225778233</c:v>
                </c:pt>
                <c:pt idx="737">
                  <c:v>1.3650323746853854</c:v>
                </c:pt>
                <c:pt idx="738">
                  <c:v>1.3729607142232811</c:v>
                </c:pt>
                <c:pt idx="739">
                  <c:v>1.3809763081527771</c:v>
                </c:pt>
                <c:pt idx="740">
                  <c:v>1.3890816250172116</c:v>
                </c:pt>
                <c:pt idx="741">
                  <c:v>1.3972792409216594</c:v>
                </c:pt>
                <c:pt idx="742">
                  <c:v>1.4055718459622997</c:v>
                </c:pt>
                <c:pt idx="743">
                  <c:v>1.4139622511469585</c:v>
                </c:pt>
                <c:pt idx="744">
                  <c:v>1.4224533958526753</c:v>
                </c:pt>
                <c:pt idx="745">
                  <c:v>1.4310483558713887</c:v>
                </c:pt>
                <c:pt idx="746">
                  <c:v>1.4397503521005519</c:v>
                </c:pt>
                <c:pt idx="747">
                  <c:v>1.4574891194796675</c:v>
                </c:pt>
                <c:pt idx="748">
                  <c:v>1.4574891194796675</c:v>
                </c:pt>
                <c:pt idx="749">
                  <c:v>1.4665331465158105</c:v>
                </c:pt>
                <c:pt idx="750">
                  <c:v>1.4756987445536025</c:v>
                </c:pt>
                <c:pt idx="751">
                  <c:v>1.484990017826596</c:v>
                </c:pt>
                <c:pt idx="752">
                  <c:v>1.4944112854866951</c:v>
                </c:pt>
                <c:pt idx="753">
                  <c:v>1.503967097077253</c:v>
                </c:pt>
                <c:pt idx="754">
                  <c:v>1.5136622494342076</c:v>
                </c:pt>
                <c:pt idx="755">
                  <c:v>1.5235018051771141</c:v>
                </c:pt>
                <c:pt idx="756">
                  <c:v>1.5334911129738322</c:v>
                </c:pt>
                <c:pt idx="757">
                  <c:v>1.5436358297879897</c:v>
                </c:pt>
                <c:pt idx="758">
                  <c:v>1.5539419453477636</c:v>
                </c:pt>
                <c:pt idx="759">
                  <c:v>1.5644158091087821</c:v>
                </c:pt>
                <c:pt idx="760">
                  <c:v>1.5750641600240294</c:v>
                </c:pt>
                <c:pt idx="761">
                  <c:v>1.5858941594805218</c:v>
                </c:pt>
                <c:pt idx="762">
                  <c:v>1.5969134278176618</c:v>
                </c:pt>
                <c:pt idx="763">
                  <c:v>1.6081300849072808</c:v>
                </c:pt>
                <c:pt idx="764">
                  <c:v>1.619552795352317</c:v>
                </c:pt>
                <c:pt idx="765">
                  <c:v>1.6311908189526314</c:v>
                </c:pt>
                <c:pt idx="766">
                  <c:v>1.6430540671955431</c:v>
                </c:pt>
                <c:pt idx="767">
                  <c:v>1.6551531666593431</c:v>
                </c:pt>
                <c:pt idx="768">
                  <c:v>1.6674995303752354</c:v>
                </c:pt>
                <c:pt idx="769">
                  <c:v>1.6801054383829324</c:v>
                </c:pt>
                <c:pt idx="770">
                  <c:v>1.6929841289455296</c:v>
                </c:pt>
                <c:pt idx="771">
                  <c:v>1.706149902170248</c:v>
                </c:pt>
                <c:pt idx="772">
                  <c:v>1.7196182381259377</c:v>
                </c:pt>
                <c:pt idx="773">
                  <c:v>1.7334059319727599</c:v>
                </c:pt>
                <c:pt idx="774">
                  <c:v>1.7475312491454524</c:v>
                </c:pt>
                <c:pt idx="775">
                  <c:v>1.7620141042876341</c:v>
                </c:pt>
                <c:pt idx="776">
                  <c:v>1.7768762684579016</c:v>
                </c:pt>
                <c:pt idx="777">
                  <c:v>1.7921416101686585</c:v>
                </c:pt>
                <c:pt idx="778">
                  <c:v>1.8078363771423696</c:v>
                </c:pt>
                <c:pt idx="779">
                  <c:v>1.8239895273675018</c:v>
                </c:pt>
                <c:pt idx="780">
                  <c:v>1.8406331202309794</c:v>
                </c:pt>
                <c:pt idx="781">
                  <c:v>1.8578027813659412</c:v>
                </c:pt>
                <c:pt idx="782">
                  <c:v>1.8755382586208733</c:v>
                </c:pt>
                <c:pt idx="783">
                  <c:v>1.8938840915645974</c:v>
                </c:pt>
                <c:pt idx="784">
                  <c:v>1.9128904236723947</c:v>
                </c:pt>
                <c:pt idx="785">
                  <c:v>1.9326139954890176</c:v>
                </c:pt>
                <c:pt idx="786">
                  <c:v>1.9531193696617146</c:v>
                </c:pt>
                <c:pt idx="787">
                  <c:v>1.9744804563168556</c:v>
                </c:pt>
                <c:pt idx="788">
                  <c:v>1.9967824321552787</c:v>
                </c:pt>
                <c:pt idx="789">
                  <c:v>2.020124182490826</c:v>
                </c:pt>
                <c:pt idx="790">
                  <c:v>2.0446214479968488</c:v>
                </c:pt>
                <c:pt idx="791">
                  <c:v>2.0704109364617698</c:v>
                </c:pt>
                <c:pt idx="792">
                  <c:v>2.0976557798505118</c:v>
                </c:pt>
                <c:pt idx="793">
                  <c:v>2.1265529048537464</c:v>
                </c:pt>
                <c:pt idx="794">
                  <c:v>2.1573431875081339</c:v>
                </c:pt>
                <c:pt idx="795">
                  <c:v>2.1903257646302356</c:v>
                </c:pt>
                <c:pt idx="796">
                  <c:v>2.2258787390295116</c:v>
                </c:pt>
                <c:pt idx="797">
                  <c:v>2.2644900655881894</c:v>
                </c:pt>
                <c:pt idx="798">
                  <c:v>2.3068053236275237</c:v>
                </c:pt>
              </c:numCache>
            </c:numRef>
          </c:xVal>
          <c:yVal>
            <c:numRef>
              <c:f>'F0 - EF0 Analysis'!$G$12:$G$810</c:f>
              <c:numCache>
                <c:formatCode>General</c:formatCode>
                <c:ptCount val="799"/>
                <c:pt idx="0">
                  <c:v>1.0986122886681098</c:v>
                </c:pt>
                <c:pt idx="1">
                  <c:v>1.0986122886681098</c:v>
                </c:pt>
                <c:pt idx="2">
                  <c:v>1.0986122886681098</c:v>
                </c:pt>
                <c:pt idx="3">
                  <c:v>1.0986122886681098</c:v>
                </c:pt>
                <c:pt idx="4">
                  <c:v>1.0986122886681098</c:v>
                </c:pt>
                <c:pt idx="5">
                  <c:v>1.0986122886681098</c:v>
                </c:pt>
                <c:pt idx="6">
                  <c:v>1.0986122886681098</c:v>
                </c:pt>
                <c:pt idx="7">
                  <c:v>1.0986122886681098</c:v>
                </c:pt>
                <c:pt idx="8">
                  <c:v>1.6094379124341003</c:v>
                </c:pt>
                <c:pt idx="9">
                  <c:v>1.9459101490553132</c:v>
                </c:pt>
                <c:pt idx="10">
                  <c:v>1.9459101490553132</c:v>
                </c:pt>
                <c:pt idx="11">
                  <c:v>1.9459101490553132</c:v>
                </c:pt>
                <c:pt idx="12">
                  <c:v>1.9459101490553132</c:v>
                </c:pt>
                <c:pt idx="13">
                  <c:v>1.9459101490553132</c:v>
                </c:pt>
                <c:pt idx="14">
                  <c:v>1.9459101490553132</c:v>
                </c:pt>
                <c:pt idx="15">
                  <c:v>2.3025850929940459</c:v>
                </c:pt>
                <c:pt idx="16">
                  <c:v>2.3025850929940459</c:v>
                </c:pt>
                <c:pt idx="17">
                  <c:v>2.3025850929940459</c:v>
                </c:pt>
                <c:pt idx="18">
                  <c:v>2.3025850929940459</c:v>
                </c:pt>
                <c:pt idx="19">
                  <c:v>2.3025850929940459</c:v>
                </c:pt>
                <c:pt idx="20">
                  <c:v>2.3025850929940459</c:v>
                </c:pt>
                <c:pt idx="21">
                  <c:v>2.3025850929940459</c:v>
                </c:pt>
                <c:pt idx="22">
                  <c:v>2.3025850929940459</c:v>
                </c:pt>
                <c:pt idx="23">
                  <c:v>2.3025850929940459</c:v>
                </c:pt>
                <c:pt idx="24">
                  <c:v>2.3025850929940459</c:v>
                </c:pt>
                <c:pt idx="25">
                  <c:v>2.3025850929940459</c:v>
                </c:pt>
                <c:pt idx="26">
                  <c:v>2.3025850929940459</c:v>
                </c:pt>
                <c:pt idx="27">
                  <c:v>2.3025850929940459</c:v>
                </c:pt>
                <c:pt idx="28">
                  <c:v>2.3025850929940459</c:v>
                </c:pt>
                <c:pt idx="29">
                  <c:v>2.3025850929940459</c:v>
                </c:pt>
                <c:pt idx="30">
                  <c:v>2.3025850929940459</c:v>
                </c:pt>
                <c:pt idx="31">
                  <c:v>2.3025850929940459</c:v>
                </c:pt>
                <c:pt idx="32">
                  <c:v>2.3025850929940459</c:v>
                </c:pt>
                <c:pt idx="33">
                  <c:v>2.3025850929940459</c:v>
                </c:pt>
                <c:pt idx="34">
                  <c:v>2.3025850929940459</c:v>
                </c:pt>
                <c:pt idx="35">
                  <c:v>2.3025850929940459</c:v>
                </c:pt>
                <c:pt idx="36">
                  <c:v>2.3025850929940459</c:v>
                </c:pt>
                <c:pt idx="37">
                  <c:v>2.3025850929940459</c:v>
                </c:pt>
                <c:pt idx="38">
                  <c:v>2.3025850929940459</c:v>
                </c:pt>
                <c:pt idx="39">
                  <c:v>2.3025850929940459</c:v>
                </c:pt>
                <c:pt idx="40">
                  <c:v>2.3025850929940459</c:v>
                </c:pt>
                <c:pt idx="41">
                  <c:v>2.3025850929940459</c:v>
                </c:pt>
                <c:pt idx="42">
                  <c:v>2.3025850929940459</c:v>
                </c:pt>
                <c:pt idx="43">
                  <c:v>2.3025850929940459</c:v>
                </c:pt>
                <c:pt idx="44">
                  <c:v>2.3025850929940459</c:v>
                </c:pt>
                <c:pt idx="45">
                  <c:v>2.3025850929940459</c:v>
                </c:pt>
                <c:pt idx="46">
                  <c:v>2.3025850929940459</c:v>
                </c:pt>
                <c:pt idx="47">
                  <c:v>2.3025850929940459</c:v>
                </c:pt>
                <c:pt idx="48">
                  <c:v>2.3025850929940459</c:v>
                </c:pt>
                <c:pt idx="49">
                  <c:v>2.3025850929940459</c:v>
                </c:pt>
                <c:pt idx="50">
                  <c:v>2.3025850929940459</c:v>
                </c:pt>
                <c:pt idx="51">
                  <c:v>2.3025850929940459</c:v>
                </c:pt>
                <c:pt idx="52">
                  <c:v>2.3025850929940459</c:v>
                </c:pt>
                <c:pt idx="53">
                  <c:v>2.3025850929940459</c:v>
                </c:pt>
                <c:pt idx="54">
                  <c:v>2.3025850929940459</c:v>
                </c:pt>
                <c:pt idx="55">
                  <c:v>2.3025850929940459</c:v>
                </c:pt>
                <c:pt idx="56">
                  <c:v>2.3025850929940459</c:v>
                </c:pt>
                <c:pt idx="57">
                  <c:v>2.3025850929940459</c:v>
                </c:pt>
                <c:pt idx="58">
                  <c:v>2.3025850929940459</c:v>
                </c:pt>
                <c:pt idx="59">
                  <c:v>2.3025850929940459</c:v>
                </c:pt>
                <c:pt idx="60">
                  <c:v>2.3025850929940459</c:v>
                </c:pt>
                <c:pt idx="61">
                  <c:v>2.3025850929940459</c:v>
                </c:pt>
                <c:pt idx="62">
                  <c:v>2.3025850929940459</c:v>
                </c:pt>
                <c:pt idx="63">
                  <c:v>2.3025850929940459</c:v>
                </c:pt>
                <c:pt idx="64">
                  <c:v>2.3025850929940459</c:v>
                </c:pt>
                <c:pt idx="65">
                  <c:v>2.3025850929940459</c:v>
                </c:pt>
                <c:pt idx="66">
                  <c:v>2.3025850929940459</c:v>
                </c:pt>
                <c:pt idx="67">
                  <c:v>2.3025850929940459</c:v>
                </c:pt>
                <c:pt idx="68">
                  <c:v>2.3025850929940459</c:v>
                </c:pt>
                <c:pt idx="69">
                  <c:v>2.3025850929940459</c:v>
                </c:pt>
                <c:pt idx="70">
                  <c:v>2.3025850929940459</c:v>
                </c:pt>
                <c:pt idx="71">
                  <c:v>2.3025850929940459</c:v>
                </c:pt>
                <c:pt idx="72">
                  <c:v>2.3025850929940459</c:v>
                </c:pt>
                <c:pt idx="73">
                  <c:v>2.3025850929940459</c:v>
                </c:pt>
                <c:pt idx="74">
                  <c:v>2.3025850929940459</c:v>
                </c:pt>
                <c:pt idx="75">
                  <c:v>2.3025850929940459</c:v>
                </c:pt>
                <c:pt idx="76">
                  <c:v>2.3025850929940459</c:v>
                </c:pt>
                <c:pt idx="77">
                  <c:v>2.3025850929940459</c:v>
                </c:pt>
                <c:pt idx="78">
                  <c:v>2.3025850929940459</c:v>
                </c:pt>
                <c:pt idx="79">
                  <c:v>2.3025850929940459</c:v>
                </c:pt>
                <c:pt idx="80">
                  <c:v>2.3025850929940459</c:v>
                </c:pt>
                <c:pt idx="81">
                  <c:v>2.3025850929940459</c:v>
                </c:pt>
                <c:pt idx="82">
                  <c:v>2.3025850929940459</c:v>
                </c:pt>
                <c:pt idx="83">
                  <c:v>2.3025850929940459</c:v>
                </c:pt>
                <c:pt idx="84">
                  <c:v>2.3025850929940459</c:v>
                </c:pt>
                <c:pt idx="85">
                  <c:v>2.3025850929940459</c:v>
                </c:pt>
                <c:pt idx="86">
                  <c:v>2.3025850929940459</c:v>
                </c:pt>
                <c:pt idx="87">
                  <c:v>2.3025850929940459</c:v>
                </c:pt>
                <c:pt idx="88">
                  <c:v>2.3025850929940459</c:v>
                </c:pt>
                <c:pt idx="89">
                  <c:v>2.3025850929940459</c:v>
                </c:pt>
                <c:pt idx="90">
                  <c:v>2.3025850929940459</c:v>
                </c:pt>
                <c:pt idx="91">
                  <c:v>2.3025850929940459</c:v>
                </c:pt>
                <c:pt idx="92">
                  <c:v>2.3025850929940459</c:v>
                </c:pt>
                <c:pt idx="93">
                  <c:v>2.3025850929940459</c:v>
                </c:pt>
                <c:pt idx="94">
                  <c:v>2.3025850929940459</c:v>
                </c:pt>
                <c:pt idx="95">
                  <c:v>2.3025850929940459</c:v>
                </c:pt>
                <c:pt idx="96">
                  <c:v>2.3025850929940459</c:v>
                </c:pt>
                <c:pt idx="97">
                  <c:v>2.3025850929940459</c:v>
                </c:pt>
                <c:pt idx="98">
                  <c:v>2.3025850929940459</c:v>
                </c:pt>
                <c:pt idx="99">
                  <c:v>2.3025850929940459</c:v>
                </c:pt>
                <c:pt idx="100">
                  <c:v>2.3025850929940459</c:v>
                </c:pt>
                <c:pt idx="101">
                  <c:v>2.3025850929940459</c:v>
                </c:pt>
                <c:pt idx="102">
                  <c:v>2.3025850929940459</c:v>
                </c:pt>
                <c:pt idx="103">
                  <c:v>2.3025850929940459</c:v>
                </c:pt>
                <c:pt idx="104">
                  <c:v>2.3025850929940459</c:v>
                </c:pt>
                <c:pt idx="105">
                  <c:v>2.3025850929940459</c:v>
                </c:pt>
                <c:pt idx="106">
                  <c:v>2.3025850929940459</c:v>
                </c:pt>
                <c:pt idx="107">
                  <c:v>2.3025850929940459</c:v>
                </c:pt>
                <c:pt idx="108">
                  <c:v>2.3025850929940459</c:v>
                </c:pt>
                <c:pt idx="109">
                  <c:v>2.5649493574615367</c:v>
                </c:pt>
                <c:pt idx="110">
                  <c:v>2.5649493574615367</c:v>
                </c:pt>
                <c:pt idx="111">
                  <c:v>2.5649493574615367</c:v>
                </c:pt>
                <c:pt idx="112">
                  <c:v>2.5649493574615367</c:v>
                </c:pt>
                <c:pt idx="113">
                  <c:v>2.5649493574615367</c:v>
                </c:pt>
                <c:pt idx="114">
                  <c:v>2.5649493574615367</c:v>
                </c:pt>
                <c:pt idx="115">
                  <c:v>2.5649493574615367</c:v>
                </c:pt>
                <c:pt idx="116">
                  <c:v>2.5649493574615367</c:v>
                </c:pt>
                <c:pt idx="117">
                  <c:v>2.5649493574615367</c:v>
                </c:pt>
                <c:pt idx="118">
                  <c:v>2.7080502011022101</c:v>
                </c:pt>
                <c:pt idx="119">
                  <c:v>2.7080502011022101</c:v>
                </c:pt>
                <c:pt idx="120">
                  <c:v>2.7080502011022101</c:v>
                </c:pt>
                <c:pt idx="121">
                  <c:v>2.8332133440562162</c:v>
                </c:pt>
                <c:pt idx="122">
                  <c:v>2.8332133440562162</c:v>
                </c:pt>
                <c:pt idx="123">
                  <c:v>2.8332133440562162</c:v>
                </c:pt>
                <c:pt idx="124">
                  <c:v>2.8332133440562162</c:v>
                </c:pt>
                <c:pt idx="125">
                  <c:v>2.8332133440562162</c:v>
                </c:pt>
                <c:pt idx="126">
                  <c:v>2.8332133440562162</c:v>
                </c:pt>
                <c:pt idx="127">
                  <c:v>2.8332133440562162</c:v>
                </c:pt>
                <c:pt idx="128">
                  <c:v>2.8332133440562162</c:v>
                </c:pt>
                <c:pt idx="129">
                  <c:v>2.8332133440562162</c:v>
                </c:pt>
                <c:pt idx="130">
                  <c:v>2.8332133440562162</c:v>
                </c:pt>
                <c:pt idx="131">
                  <c:v>2.8332133440562162</c:v>
                </c:pt>
                <c:pt idx="132">
                  <c:v>2.8332133440562162</c:v>
                </c:pt>
                <c:pt idx="133">
                  <c:v>2.8332133440562162</c:v>
                </c:pt>
                <c:pt idx="134">
                  <c:v>2.8332133440562162</c:v>
                </c:pt>
                <c:pt idx="135">
                  <c:v>2.8332133440562162</c:v>
                </c:pt>
                <c:pt idx="136">
                  <c:v>2.8332133440562162</c:v>
                </c:pt>
                <c:pt idx="137">
                  <c:v>2.8332133440562162</c:v>
                </c:pt>
                <c:pt idx="138">
                  <c:v>2.8332133440562162</c:v>
                </c:pt>
                <c:pt idx="139">
                  <c:v>2.8332133440562162</c:v>
                </c:pt>
                <c:pt idx="140">
                  <c:v>2.8332133440562162</c:v>
                </c:pt>
                <c:pt idx="141">
                  <c:v>2.9957322735539909</c:v>
                </c:pt>
                <c:pt idx="142">
                  <c:v>2.9957322735539909</c:v>
                </c:pt>
                <c:pt idx="143">
                  <c:v>2.9957322735539909</c:v>
                </c:pt>
                <c:pt idx="144">
                  <c:v>2.9957322735539909</c:v>
                </c:pt>
                <c:pt idx="145">
                  <c:v>2.9957322735539909</c:v>
                </c:pt>
                <c:pt idx="146">
                  <c:v>2.9957322735539909</c:v>
                </c:pt>
                <c:pt idx="147">
                  <c:v>2.9957322735539909</c:v>
                </c:pt>
                <c:pt idx="148">
                  <c:v>2.9957322735539909</c:v>
                </c:pt>
                <c:pt idx="149">
                  <c:v>2.9957322735539909</c:v>
                </c:pt>
                <c:pt idx="150">
                  <c:v>2.9957322735539909</c:v>
                </c:pt>
                <c:pt idx="151">
                  <c:v>2.9957322735539909</c:v>
                </c:pt>
                <c:pt idx="152">
                  <c:v>2.9957322735539909</c:v>
                </c:pt>
                <c:pt idx="153">
                  <c:v>2.9957322735539909</c:v>
                </c:pt>
                <c:pt idx="154">
                  <c:v>2.9957322735539909</c:v>
                </c:pt>
                <c:pt idx="155">
                  <c:v>2.9957322735539909</c:v>
                </c:pt>
                <c:pt idx="156">
                  <c:v>2.9957322735539909</c:v>
                </c:pt>
                <c:pt idx="157">
                  <c:v>2.9957322735539909</c:v>
                </c:pt>
                <c:pt idx="158">
                  <c:v>2.9957322735539909</c:v>
                </c:pt>
                <c:pt idx="159">
                  <c:v>2.9957322735539909</c:v>
                </c:pt>
                <c:pt idx="160">
                  <c:v>2.9957322735539909</c:v>
                </c:pt>
                <c:pt idx="161">
                  <c:v>2.9957322735539909</c:v>
                </c:pt>
                <c:pt idx="162">
                  <c:v>2.9957322735539909</c:v>
                </c:pt>
                <c:pt idx="163">
                  <c:v>2.9957322735539909</c:v>
                </c:pt>
                <c:pt idx="164">
                  <c:v>2.9957322735539909</c:v>
                </c:pt>
                <c:pt idx="165">
                  <c:v>2.9957322735539909</c:v>
                </c:pt>
                <c:pt idx="166">
                  <c:v>2.9957322735539909</c:v>
                </c:pt>
                <c:pt idx="167">
                  <c:v>2.9957322735539909</c:v>
                </c:pt>
                <c:pt idx="168">
                  <c:v>2.9957322735539909</c:v>
                </c:pt>
                <c:pt idx="169">
                  <c:v>2.9957322735539909</c:v>
                </c:pt>
                <c:pt idx="170">
                  <c:v>2.9957322735539909</c:v>
                </c:pt>
                <c:pt idx="171">
                  <c:v>2.9957322735539909</c:v>
                </c:pt>
                <c:pt idx="172">
                  <c:v>2.9957322735539909</c:v>
                </c:pt>
                <c:pt idx="173">
                  <c:v>2.9957322735539909</c:v>
                </c:pt>
                <c:pt idx="174">
                  <c:v>2.9957322735539909</c:v>
                </c:pt>
                <c:pt idx="175">
                  <c:v>2.9957322735539909</c:v>
                </c:pt>
                <c:pt idx="176">
                  <c:v>2.9957322735539909</c:v>
                </c:pt>
                <c:pt idx="177">
                  <c:v>2.9957322735539909</c:v>
                </c:pt>
                <c:pt idx="178">
                  <c:v>2.9957322735539909</c:v>
                </c:pt>
                <c:pt idx="179">
                  <c:v>2.9957322735539909</c:v>
                </c:pt>
                <c:pt idx="180">
                  <c:v>2.9957322735539909</c:v>
                </c:pt>
                <c:pt idx="181">
                  <c:v>2.9957322735539909</c:v>
                </c:pt>
                <c:pt idx="182">
                  <c:v>2.9957322735539909</c:v>
                </c:pt>
                <c:pt idx="183">
                  <c:v>2.9957322735539909</c:v>
                </c:pt>
                <c:pt idx="184">
                  <c:v>2.9957322735539909</c:v>
                </c:pt>
                <c:pt idx="185">
                  <c:v>2.9957322735539909</c:v>
                </c:pt>
                <c:pt idx="186">
                  <c:v>2.9957322735539909</c:v>
                </c:pt>
                <c:pt idx="187">
                  <c:v>2.9957322735539909</c:v>
                </c:pt>
                <c:pt idx="188">
                  <c:v>3.1354942159291497</c:v>
                </c:pt>
                <c:pt idx="189">
                  <c:v>3.1354942159291497</c:v>
                </c:pt>
                <c:pt idx="190">
                  <c:v>3.1354942159291497</c:v>
                </c:pt>
                <c:pt idx="191">
                  <c:v>3.2188758248682006</c:v>
                </c:pt>
                <c:pt idx="192">
                  <c:v>3.2188758248682006</c:v>
                </c:pt>
                <c:pt idx="193">
                  <c:v>3.2188758248682006</c:v>
                </c:pt>
                <c:pt idx="194">
                  <c:v>3.2188758248682006</c:v>
                </c:pt>
                <c:pt idx="195">
                  <c:v>3.2188758248682006</c:v>
                </c:pt>
                <c:pt idx="196">
                  <c:v>3.2188758248682006</c:v>
                </c:pt>
                <c:pt idx="197">
                  <c:v>3.2188758248682006</c:v>
                </c:pt>
                <c:pt idx="198">
                  <c:v>3.2188758248682006</c:v>
                </c:pt>
                <c:pt idx="199">
                  <c:v>3.2188758248682006</c:v>
                </c:pt>
                <c:pt idx="200">
                  <c:v>3.2188758248682006</c:v>
                </c:pt>
                <c:pt idx="201">
                  <c:v>3.2188758248682006</c:v>
                </c:pt>
                <c:pt idx="202">
                  <c:v>3.2188758248682006</c:v>
                </c:pt>
                <c:pt idx="203">
                  <c:v>3.2188758248682006</c:v>
                </c:pt>
                <c:pt idx="204">
                  <c:v>3.2188758248682006</c:v>
                </c:pt>
                <c:pt idx="205">
                  <c:v>3.2188758248682006</c:v>
                </c:pt>
                <c:pt idx="206">
                  <c:v>3.2188758248682006</c:v>
                </c:pt>
                <c:pt idx="207">
                  <c:v>3.2188758248682006</c:v>
                </c:pt>
                <c:pt idx="208">
                  <c:v>3.2188758248682006</c:v>
                </c:pt>
                <c:pt idx="209">
                  <c:v>3.2188758248682006</c:v>
                </c:pt>
                <c:pt idx="210">
                  <c:v>3.2188758248682006</c:v>
                </c:pt>
                <c:pt idx="211">
                  <c:v>3.2188758248682006</c:v>
                </c:pt>
                <c:pt idx="212">
                  <c:v>3.2188758248682006</c:v>
                </c:pt>
                <c:pt idx="213">
                  <c:v>3.2188758248682006</c:v>
                </c:pt>
                <c:pt idx="214">
                  <c:v>3.2188758248682006</c:v>
                </c:pt>
                <c:pt idx="215">
                  <c:v>3.2188758248682006</c:v>
                </c:pt>
                <c:pt idx="216">
                  <c:v>3.2188758248682006</c:v>
                </c:pt>
                <c:pt idx="217">
                  <c:v>3.2188758248682006</c:v>
                </c:pt>
                <c:pt idx="218">
                  <c:v>3.2188758248682006</c:v>
                </c:pt>
                <c:pt idx="219">
                  <c:v>3.2188758248682006</c:v>
                </c:pt>
                <c:pt idx="220">
                  <c:v>3.2188758248682006</c:v>
                </c:pt>
                <c:pt idx="221">
                  <c:v>3.2188758248682006</c:v>
                </c:pt>
                <c:pt idx="222">
                  <c:v>3.2188758248682006</c:v>
                </c:pt>
                <c:pt idx="223">
                  <c:v>3.2188758248682006</c:v>
                </c:pt>
                <c:pt idx="224">
                  <c:v>3.2188758248682006</c:v>
                </c:pt>
                <c:pt idx="225">
                  <c:v>3.2188758248682006</c:v>
                </c:pt>
                <c:pt idx="226">
                  <c:v>3.2188758248682006</c:v>
                </c:pt>
                <c:pt idx="227">
                  <c:v>3.2188758248682006</c:v>
                </c:pt>
                <c:pt idx="228">
                  <c:v>3.2188758248682006</c:v>
                </c:pt>
                <c:pt idx="229">
                  <c:v>3.2188758248682006</c:v>
                </c:pt>
                <c:pt idx="230">
                  <c:v>3.2188758248682006</c:v>
                </c:pt>
                <c:pt idx="231">
                  <c:v>3.2188758248682006</c:v>
                </c:pt>
                <c:pt idx="232">
                  <c:v>3.2188758248682006</c:v>
                </c:pt>
                <c:pt idx="233">
                  <c:v>3.2188758248682006</c:v>
                </c:pt>
                <c:pt idx="234">
                  <c:v>3.2188758248682006</c:v>
                </c:pt>
                <c:pt idx="235">
                  <c:v>3.2188758248682006</c:v>
                </c:pt>
                <c:pt idx="236">
                  <c:v>3.2188758248682006</c:v>
                </c:pt>
                <c:pt idx="237">
                  <c:v>3.2188758248682006</c:v>
                </c:pt>
                <c:pt idx="238">
                  <c:v>3.2188758248682006</c:v>
                </c:pt>
                <c:pt idx="239">
                  <c:v>3.2188758248682006</c:v>
                </c:pt>
                <c:pt idx="240">
                  <c:v>3.2188758248682006</c:v>
                </c:pt>
                <c:pt idx="241">
                  <c:v>3.2188758248682006</c:v>
                </c:pt>
                <c:pt idx="242">
                  <c:v>3.2188758248682006</c:v>
                </c:pt>
                <c:pt idx="243">
                  <c:v>3.2188758248682006</c:v>
                </c:pt>
                <c:pt idx="244">
                  <c:v>3.2188758248682006</c:v>
                </c:pt>
                <c:pt idx="245">
                  <c:v>3.2188758248682006</c:v>
                </c:pt>
                <c:pt idx="246">
                  <c:v>3.2188758248682006</c:v>
                </c:pt>
                <c:pt idx="247">
                  <c:v>3.2188758248682006</c:v>
                </c:pt>
                <c:pt idx="248">
                  <c:v>3.2188758248682006</c:v>
                </c:pt>
                <c:pt idx="249">
                  <c:v>3.2188758248682006</c:v>
                </c:pt>
                <c:pt idx="250">
                  <c:v>3.2188758248682006</c:v>
                </c:pt>
                <c:pt idx="251">
                  <c:v>3.2188758248682006</c:v>
                </c:pt>
                <c:pt idx="252">
                  <c:v>3.2188758248682006</c:v>
                </c:pt>
                <c:pt idx="253">
                  <c:v>3.2188758248682006</c:v>
                </c:pt>
                <c:pt idx="254">
                  <c:v>3.2188758248682006</c:v>
                </c:pt>
                <c:pt idx="255">
                  <c:v>3.2188758248682006</c:v>
                </c:pt>
                <c:pt idx="256">
                  <c:v>3.2188758248682006</c:v>
                </c:pt>
                <c:pt idx="257">
                  <c:v>3.2188758248682006</c:v>
                </c:pt>
                <c:pt idx="258">
                  <c:v>3.2188758248682006</c:v>
                </c:pt>
                <c:pt idx="259">
                  <c:v>3.2188758248682006</c:v>
                </c:pt>
                <c:pt idx="260">
                  <c:v>3.2188758248682006</c:v>
                </c:pt>
                <c:pt idx="261">
                  <c:v>3.2188758248682006</c:v>
                </c:pt>
                <c:pt idx="262">
                  <c:v>3.2188758248682006</c:v>
                </c:pt>
                <c:pt idx="263">
                  <c:v>3.2188758248682006</c:v>
                </c:pt>
                <c:pt idx="264">
                  <c:v>3.2188758248682006</c:v>
                </c:pt>
                <c:pt idx="265">
                  <c:v>3.2188758248682006</c:v>
                </c:pt>
                <c:pt idx="266">
                  <c:v>3.2188758248682006</c:v>
                </c:pt>
                <c:pt idx="267">
                  <c:v>3.2188758248682006</c:v>
                </c:pt>
                <c:pt idx="268">
                  <c:v>3.2188758248682006</c:v>
                </c:pt>
                <c:pt idx="269">
                  <c:v>3.2188758248682006</c:v>
                </c:pt>
                <c:pt idx="270">
                  <c:v>3.2188758248682006</c:v>
                </c:pt>
                <c:pt idx="271">
                  <c:v>3.2188758248682006</c:v>
                </c:pt>
                <c:pt idx="272">
                  <c:v>3.2188758248682006</c:v>
                </c:pt>
                <c:pt idx="273">
                  <c:v>3.2188758248682006</c:v>
                </c:pt>
                <c:pt idx="274">
                  <c:v>3.2188758248682006</c:v>
                </c:pt>
                <c:pt idx="275">
                  <c:v>3.2188758248682006</c:v>
                </c:pt>
                <c:pt idx="276">
                  <c:v>3.2188758248682006</c:v>
                </c:pt>
                <c:pt idx="277">
                  <c:v>3.2188758248682006</c:v>
                </c:pt>
                <c:pt idx="278">
                  <c:v>3.2188758248682006</c:v>
                </c:pt>
                <c:pt idx="279">
                  <c:v>3.2188758248682006</c:v>
                </c:pt>
                <c:pt idx="280">
                  <c:v>3.2188758248682006</c:v>
                </c:pt>
                <c:pt idx="281">
                  <c:v>3.2188758248682006</c:v>
                </c:pt>
                <c:pt idx="282">
                  <c:v>3.2188758248682006</c:v>
                </c:pt>
                <c:pt idx="283">
                  <c:v>3.2188758248682006</c:v>
                </c:pt>
                <c:pt idx="284">
                  <c:v>3.2188758248682006</c:v>
                </c:pt>
                <c:pt idx="285">
                  <c:v>3.2188758248682006</c:v>
                </c:pt>
                <c:pt idx="286">
                  <c:v>3.2188758248682006</c:v>
                </c:pt>
                <c:pt idx="287">
                  <c:v>3.2188758248682006</c:v>
                </c:pt>
                <c:pt idx="288">
                  <c:v>3.2188758248682006</c:v>
                </c:pt>
                <c:pt idx="289">
                  <c:v>3.2188758248682006</c:v>
                </c:pt>
                <c:pt idx="290">
                  <c:v>3.2188758248682006</c:v>
                </c:pt>
                <c:pt idx="291">
                  <c:v>3.2188758248682006</c:v>
                </c:pt>
                <c:pt idx="292">
                  <c:v>3.2188758248682006</c:v>
                </c:pt>
                <c:pt idx="293">
                  <c:v>3.2188758248682006</c:v>
                </c:pt>
                <c:pt idx="294">
                  <c:v>3.2188758248682006</c:v>
                </c:pt>
                <c:pt idx="295">
                  <c:v>3.2188758248682006</c:v>
                </c:pt>
                <c:pt idx="296">
                  <c:v>3.2188758248682006</c:v>
                </c:pt>
                <c:pt idx="297">
                  <c:v>3.2188758248682006</c:v>
                </c:pt>
                <c:pt idx="298">
                  <c:v>3.2188758248682006</c:v>
                </c:pt>
                <c:pt idx="299">
                  <c:v>3.2188758248682006</c:v>
                </c:pt>
                <c:pt idx="300">
                  <c:v>3.2188758248682006</c:v>
                </c:pt>
                <c:pt idx="301">
                  <c:v>3.2188758248682006</c:v>
                </c:pt>
                <c:pt idx="302">
                  <c:v>3.2188758248682006</c:v>
                </c:pt>
                <c:pt idx="303">
                  <c:v>3.2188758248682006</c:v>
                </c:pt>
                <c:pt idx="304">
                  <c:v>3.2188758248682006</c:v>
                </c:pt>
                <c:pt idx="305">
                  <c:v>3.2188758248682006</c:v>
                </c:pt>
                <c:pt idx="306">
                  <c:v>3.2188758248682006</c:v>
                </c:pt>
                <c:pt idx="307">
                  <c:v>3.2188758248682006</c:v>
                </c:pt>
                <c:pt idx="308">
                  <c:v>3.2188758248682006</c:v>
                </c:pt>
                <c:pt idx="309">
                  <c:v>3.2188758248682006</c:v>
                </c:pt>
                <c:pt idx="310">
                  <c:v>3.2188758248682006</c:v>
                </c:pt>
                <c:pt idx="311">
                  <c:v>3.2188758248682006</c:v>
                </c:pt>
                <c:pt idx="312">
                  <c:v>3.2188758248682006</c:v>
                </c:pt>
                <c:pt idx="313">
                  <c:v>3.2188758248682006</c:v>
                </c:pt>
                <c:pt idx="314">
                  <c:v>3.2188758248682006</c:v>
                </c:pt>
                <c:pt idx="315">
                  <c:v>3.2188758248682006</c:v>
                </c:pt>
                <c:pt idx="316">
                  <c:v>3.2188758248682006</c:v>
                </c:pt>
                <c:pt idx="317">
                  <c:v>3.2188758248682006</c:v>
                </c:pt>
                <c:pt idx="318">
                  <c:v>3.2188758248682006</c:v>
                </c:pt>
                <c:pt idx="319">
                  <c:v>3.2188758248682006</c:v>
                </c:pt>
                <c:pt idx="320">
                  <c:v>3.2188758248682006</c:v>
                </c:pt>
                <c:pt idx="321">
                  <c:v>3.2188758248682006</c:v>
                </c:pt>
                <c:pt idx="322">
                  <c:v>3.2188758248682006</c:v>
                </c:pt>
                <c:pt idx="323">
                  <c:v>3.2188758248682006</c:v>
                </c:pt>
                <c:pt idx="324">
                  <c:v>3.2188758248682006</c:v>
                </c:pt>
                <c:pt idx="325">
                  <c:v>3.2188758248682006</c:v>
                </c:pt>
                <c:pt idx="326">
                  <c:v>3.2188758248682006</c:v>
                </c:pt>
                <c:pt idx="327">
                  <c:v>3.2188758248682006</c:v>
                </c:pt>
                <c:pt idx="328">
                  <c:v>3.2188758248682006</c:v>
                </c:pt>
                <c:pt idx="329">
                  <c:v>3.2188758248682006</c:v>
                </c:pt>
                <c:pt idx="330">
                  <c:v>3.2188758248682006</c:v>
                </c:pt>
                <c:pt idx="331">
                  <c:v>3.2188758248682006</c:v>
                </c:pt>
                <c:pt idx="332">
                  <c:v>3.2188758248682006</c:v>
                </c:pt>
                <c:pt idx="333">
                  <c:v>3.2188758248682006</c:v>
                </c:pt>
                <c:pt idx="334">
                  <c:v>3.2188758248682006</c:v>
                </c:pt>
                <c:pt idx="335">
                  <c:v>3.2188758248682006</c:v>
                </c:pt>
                <c:pt idx="336">
                  <c:v>3.2188758248682006</c:v>
                </c:pt>
                <c:pt idx="337">
                  <c:v>3.2188758248682006</c:v>
                </c:pt>
                <c:pt idx="338">
                  <c:v>3.2188758248682006</c:v>
                </c:pt>
                <c:pt idx="339">
                  <c:v>3.2188758248682006</c:v>
                </c:pt>
                <c:pt idx="340">
                  <c:v>3.2188758248682006</c:v>
                </c:pt>
                <c:pt idx="341">
                  <c:v>3.2188758248682006</c:v>
                </c:pt>
                <c:pt idx="342">
                  <c:v>3.2188758248682006</c:v>
                </c:pt>
                <c:pt idx="343">
                  <c:v>3.2188758248682006</c:v>
                </c:pt>
                <c:pt idx="344">
                  <c:v>3.2188758248682006</c:v>
                </c:pt>
                <c:pt idx="345">
                  <c:v>3.2188758248682006</c:v>
                </c:pt>
                <c:pt idx="346">
                  <c:v>3.2188758248682006</c:v>
                </c:pt>
                <c:pt idx="347">
                  <c:v>3.2188758248682006</c:v>
                </c:pt>
                <c:pt idx="348">
                  <c:v>3.2188758248682006</c:v>
                </c:pt>
                <c:pt idx="349">
                  <c:v>3.2188758248682006</c:v>
                </c:pt>
                <c:pt idx="350">
                  <c:v>3.2188758248682006</c:v>
                </c:pt>
                <c:pt idx="351">
                  <c:v>3.2188758248682006</c:v>
                </c:pt>
                <c:pt idx="352">
                  <c:v>3.2958368660043291</c:v>
                </c:pt>
                <c:pt idx="353">
                  <c:v>3.2958368660043291</c:v>
                </c:pt>
                <c:pt idx="354">
                  <c:v>3.4011973816621555</c:v>
                </c:pt>
                <c:pt idx="355">
                  <c:v>3.4011973816621555</c:v>
                </c:pt>
                <c:pt idx="356">
                  <c:v>3.4011973816621555</c:v>
                </c:pt>
                <c:pt idx="357">
                  <c:v>3.4011973816621555</c:v>
                </c:pt>
                <c:pt idx="358">
                  <c:v>3.4011973816621555</c:v>
                </c:pt>
                <c:pt idx="359">
                  <c:v>3.4011973816621555</c:v>
                </c:pt>
                <c:pt idx="360">
                  <c:v>3.4011973816621555</c:v>
                </c:pt>
                <c:pt idx="361">
                  <c:v>3.4011973816621555</c:v>
                </c:pt>
                <c:pt idx="362">
                  <c:v>3.4011973816621555</c:v>
                </c:pt>
                <c:pt idx="363">
                  <c:v>3.4011973816621555</c:v>
                </c:pt>
                <c:pt idx="364">
                  <c:v>3.4011973816621555</c:v>
                </c:pt>
                <c:pt idx="365">
                  <c:v>3.4011973816621555</c:v>
                </c:pt>
                <c:pt idx="366">
                  <c:v>3.4011973816621555</c:v>
                </c:pt>
                <c:pt idx="367">
                  <c:v>3.4011973816621555</c:v>
                </c:pt>
                <c:pt idx="368">
                  <c:v>3.4011973816621555</c:v>
                </c:pt>
                <c:pt idx="369">
                  <c:v>3.4011973816621555</c:v>
                </c:pt>
                <c:pt idx="370">
                  <c:v>3.4011973816621555</c:v>
                </c:pt>
                <c:pt idx="371">
                  <c:v>3.4011973816621555</c:v>
                </c:pt>
                <c:pt idx="372">
                  <c:v>3.4011973816621555</c:v>
                </c:pt>
                <c:pt idx="373">
                  <c:v>3.4011973816621555</c:v>
                </c:pt>
                <c:pt idx="374">
                  <c:v>3.4011973816621555</c:v>
                </c:pt>
                <c:pt idx="375">
                  <c:v>3.4011973816621555</c:v>
                </c:pt>
                <c:pt idx="376">
                  <c:v>3.4011973816621555</c:v>
                </c:pt>
                <c:pt idx="377">
                  <c:v>3.4011973816621555</c:v>
                </c:pt>
                <c:pt idx="378">
                  <c:v>3.4011973816621555</c:v>
                </c:pt>
                <c:pt idx="379">
                  <c:v>3.4011973816621555</c:v>
                </c:pt>
                <c:pt idx="380">
                  <c:v>3.4011973816621555</c:v>
                </c:pt>
                <c:pt idx="381">
                  <c:v>3.4011973816621555</c:v>
                </c:pt>
                <c:pt idx="382">
                  <c:v>3.4011973816621555</c:v>
                </c:pt>
                <c:pt idx="383">
                  <c:v>3.4011973816621555</c:v>
                </c:pt>
                <c:pt idx="384">
                  <c:v>3.4011973816621555</c:v>
                </c:pt>
                <c:pt idx="385">
                  <c:v>3.4011973816621555</c:v>
                </c:pt>
                <c:pt idx="386">
                  <c:v>3.4011973816621555</c:v>
                </c:pt>
                <c:pt idx="387">
                  <c:v>3.4011973816621555</c:v>
                </c:pt>
                <c:pt idx="388">
                  <c:v>3.4011973816621555</c:v>
                </c:pt>
                <c:pt idx="389">
                  <c:v>3.4011973816621555</c:v>
                </c:pt>
                <c:pt idx="390">
                  <c:v>3.4011973816621555</c:v>
                </c:pt>
                <c:pt idx="391">
                  <c:v>3.4011973816621555</c:v>
                </c:pt>
                <c:pt idx="392">
                  <c:v>3.4011973816621555</c:v>
                </c:pt>
                <c:pt idx="393">
                  <c:v>3.4011973816621555</c:v>
                </c:pt>
                <c:pt idx="394">
                  <c:v>3.4011973816621555</c:v>
                </c:pt>
                <c:pt idx="395">
                  <c:v>3.4011973816621555</c:v>
                </c:pt>
                <c:pt idx="396">
                  <c:v>3.4011973816621555</c:v>
                </c:pt>
                <c:pt idx="397">
                  <c:v>3.4011973816621555</c:v>
                </c:pt>
                <c:pt idx="398">
                  <c:v>3.4011973816621555</c:v>
                </c:pt>
                <c:pt idx="399">
                  <c:v>3.4965075614664802</c:v>
                </c:pt>
                <c:pt idx="400">
                  <c:v>3.4965075614664802</c:v>
                </c:pt>
                <c:pt idx="401">
                  <c:v>3.4965075614664802</c:v>
                </c:pt>
                <c:pt idx="402">
                  <c:v>3.4965075614664802</c:v>
                </c:pt>
                <c:pt idx="403">
                  <c:v>3.4965075614664802</c:v>
                </c:pt>
                <c:pt idx="404">
                  <c:v>3.4965075614664802</c:v>
                </c:pt>
                <c:pt idx="405">
                  <c:v>3.4965075614664802</c:v>
                </c:pt>
                <c:pt idx="406">
                  <c:v>3.4965075614664802</c:v>
                </c:pt>
                <c:pt idx="407">
                  <c:v>3.4965075614664802</c:v>
                </c:pt>
                <c:pt idx="408">
                  <c:v>3.4965075614664802</c:v>
                </c:pt>
                <c:pt idx="409">
                  <c:v>3.4965075614664802</c:v>
                </c:pt>
                <c:pt idx="410">
                  <c:v>3.4965075614664802</c:v>
                </c:pt>
                <c:pt idx="411">
                  <c:v>3.4965075614664802</c:v>
                </c:pt>
                <c:pt idx="412">
                  <c:v>3.4965075614664802</c:v>
                </c:pt>
                <c:pt idx="413">
                  <c:v>3.4965075614664802</c:v>
                </c:pt>
                <c:pt idx="414">
                  <c:v>3.4965075614664802</c:v>
                </c:pt>
                <c:pt idx="415">
                  <c:v>3.4965075614664802</c:v>
                </c:pt>
                <c:pt idx="416">
                  <c:v>3.4965075614664802</c:v>
                </c:pt>
                <c:pt idx="417">
                  <c:v>3.4965075614664802</c:v>
                </c:pt>
                <c:pt idx="418">
                  <c:v>3.4965075614664802</c:v>
                </c:pt>
                <c:pt idx="419">
                  <c:v>3.4965075614664802</c:v>
                </c:pt>
                <c:pt idx="420">
                  <c:v>3.4965075614664802</c:v>
                </c:pt>
                <c:pt idx="421">
                  <c:v>3.4965075614664802</c:v>
                </c:pt>
                <c:pt idx="422">
                  <c:v>3.4965075614664802</c:v>
                </c:pt>
                <c:pt idx="423">
                  <c:v>3.4965075614664802</c:v>
                </c:pt>
                <c:pt idx="424">
                  <c:v>3.4965075614664802</c:v>
                </c:pt>
                <c:pt idx="425">
                  <c:v>3.4965075614664802</c:v>
                </c:pt>
                <c:pt idx="426">
                  <c:v>3.4965075614664802</c:v>
                </c:pt>
                <c:pt idx="427">
                  <c:v>3.4965075614664802</c:v>
                </c:pt>
                <c:pt idx="428">
                  <c:v>3.4965075614664802</c:v>
                </c:pt>
                <c:pt idx="429">
                  <c:v>3.4965075614664802</c:v>
                </c:pt>
                <c:pt idx="430">
                  <c:v>3.4965075614664802</c:v>
                </c:pt>
                <c:pt idx="431">
                  <c:v>3.4965075614664802</c:v>
                </c:pt>
                <c:pt idx="432">
                  <c:v>3.4965075614664802</c:v>
                </c:pt>
                <c:pt idx="433">
                  <c:v>3.4965075614664802</c:v>
                </c:pt>
                <c:pt idx="434">
                  <c:v>3.4965075614664802</c:v>
                </c:pt>
                <c:pt idx="435">
                  <c:v>3.4965075614664802</c:v>
                </c:pt>
                <c:pt idx="436">
                  <c:v>3.6888794541139363</c:v>
                </c:pt>
                <c:pt idx="437">
                  <c:v>3.6888794541139363</c:v>
                </c:pt>
                <c:pt idx="438">
                  <c:v>3.6888794541139363</c:v>
                </c:pt>
                <c:pt idx="439">
                  <c:v>3.6888794541139363</c:v>
                </c:pt>
                <c:pt idx="440">
                  <c:v>3.6888794541139363</c:v>
                </c:pt>
                <c:pt idx="441">
                  <c:v>3.6888794541139363</c:v>
                </c:pt>
                <c:pt idx="442">
                  <c:v>3.6888794541139363</c:v>
                </c:pt>
                <c:pt idx="443">
                  <c:v>3.6888794541139363</c:v>
                </c:pt>
                <c:pt idx="444">
                  <c:v>3.6888794541139363</c:v>
                </c:pt>
                <c:pt idx="445">
                  <c:v>3.6888794541139363</c:v>
                </c:pt>
                <c:pt idx="446">
                  <c:v>3.6888794541139363</c:v>
                </c:pt>
                <c:pt idx="447">
                  <c:v>3.6888794541139363</c:v>
                </c:pt>
                <c:pt idx="448">
                  <c:v>3.6888794541139363</c:v>
                </c:pt>
                <c:pt idx="449">
                  <c:v>3.6888794541139363</c:v>
                </c:pt>
                <c:pt idx="450">
                  <c:v>3.6888794541139363</c:v>
                </c:pt>
                <c:pt idx="451">
                  <c:v>3.6888794541139363</c:v>
                </c:pt>
                <c:pt idx="452">
                  <c:v>3.6888794541139363</c:v>
                </c:pt>
                <c:pt idx="453">
                  <c:v>3.6888794541139363</c:v>
                </c:pt>
                <c:pt idx="454">
                  <c:v>3.6888794541139363</c:v>
                </c:pt>
                <c:pt idx="455">
                  <c:v>3.6888794541139363</c:v>
                </c:pt>
                <c:pt idx="456">
                  <c:v>3.6888794541139363</c:v>
                </c:pt>
                <c:pt idx="457">
                  <c:v>3.6888794541139363</c:v>
                </c:pt>
                <c:pt idx="458">
                  <c:v>3.6888794541139363</c:v>
                </c:pt>
                <c:pt idx="459">
                  <c:v>3.6888794541139363</c:v>
                </c:pt>
                <c:pt idx="460">
                  <c:v>3.6888794541139363</c:v>
                </c:pt>
                <c:pt idx="461">
                  <c:v>3.6888794541139363</c:v>
                </c:pt>
                <c:pt idx="462">
                  <c:v>3.6888794541139363</c:v>
                </c:pt>
                <c:pt idx="463">
                  <c:v>3.6888794541139363</c:v>
                </c:pt>
                <c:pt idx="464">
                  <c:v>3.8066624897703196</c:v>
                </c:pt>
                <c:pt idx="465">
                  <c:v>3.912023005428146</c:v>
                </c:pt>
                <c:pt idx="466">
                  <c:v>3.912023005428146</c:v>
                </c:pt>
                <c:pt idx="467">
                  <c:v>3.912023005428146</c:v>
                </c:pt>
                <c:pt idx="468">
                  <c:v>3.912023005428146</c:v>
                </c:pt>
                <c:pt idx="469">
                  <c:v>3.912023005428146</c:v>
                </c:pt>
                <c:pt idx="470">
                  <c:v>3.912023005428146</c:v>
                </c:pt>
                <c:pt idx="471">
                  <c:v>3.912023005428146</c:v>
                </c:pt>
                <c:pt idx="472">
                  <c:v>3.912023005428146</c:v>
                </c:pt>
                <c:pt idx="473">
                  <c:v>3.912023005428146</c:v>
                </c:pt>
                <c:pt idx="474">
                  <c:v>3.912023005428146</c:v>
                </c:pt>
                <c:pt idx="475">
                  <c:v>3.912023005428146</c:v>
                </c:pt>
                <c:pt idx="476">
                  <c:v>3.912023005428146</c:v>
                </c:pt>
                <c:pt idx="477">
                  <c:v>3.912023005428146</c:v>
                </c:pt>
                <c:pt idx="478">
                  <c:v>3.912023005428146</c:v>
                </c:pt>
                <c:pt idx="479">
                  <c:v>3.912023005428146</c:v>
                </c:pt>
                <c:pt idx="480">
                  <c:v>3.912023005428146</c:v>
                </c:pt>
                <c:pt idx="481">
                  <c:v>3.912023005428146</c:v>
                </c:pt>
                <c:pt idx="482">
                  <c:v>3.912023005428146</c:v>
                </c:pt>
                <c:pt idx="483">
                  <c:v>3.912023005428146</c:v>
                </c:pt>
                <c:pt idx="484">
                  <c:v>3.912023005428146</c:v>
                </c:pt>
                <c:pt idx="485">
                  <c:v>3.912023005428146</c:v>
                </c:pt>
                <c:pt idx="486">
                  <c:v>3.912023005428146</c:v>
                </c:pt>
                <c:pt idx="487">
                  <c:v>3.912023005428146</c:v>
                </c:pt>
                <c:pt idx="488">
                  <c:v>3.912023005428146</c:v>
                </c:pt>
                <c:pt idx="489">
                  <c:v>3.912023005428146</c:v>
                </c:pt>
                <c:pt idx="490">
                  <c:v>3.912023005428146</c:v>
                </c:pt>
                <c:pt idx="491">
                  <c:v>3.912023005428146</c:v>
                </c:pt>
                <c:pt idx="492">
                  <c:v>3.912023005428146</c:v>
                </c:pt>
                <c:pt idx="493">
                  <c:v>3.912023005428146</c:v>
                </c:pt>
                <c:pt idx="494">
                  <c:v>3.912023005428146</c:v>
                </c:pt>
                <c:pt idx="495">
                  <c:v>3.912023005428146</c:v>
                </c:pt>
                <c:pt idx="496">
                  <c:v>3.912023005428146</c:v>
                </c:pt>
                <c:pt idx="497">
                  <c:v>3.912023005428146</c:v>
                </c:pt>
                <c:pt idx="498">
                  <c:v>3.912023005428146</c:v>
                </c:pt>
                <c:pt idx="499">
                  <c:v>3.912023005428146</c:v>
                </c:pt>
                <c:pt idx="500">
                  <c:v>3.912023005428146</c:v>
                </c:pt>
                <c:pt idx="501">
                  <c:v>3.912023005428146</c:v>
                </c:pt>
                <c:pt idx="502">
                  <c:v>3.912023005428146</c:v>
                </c:pt>
                <c:pt idx="503">
                  <c:v>3.912023005428146</c:v>
                </c:pt>
                <c:pt idx="504">
                  <c:v>3.912023005428146</c:v>
                </c:pt>
                <c:pt idx="505">
                  <c:v>3.912023005428146</c:v>
                </c:pt>
                <c:pt idx="506">
                  <c:v>3.912023005428146</c:v>
                </c:pt>
                <c:pt idx="507">
                  <c:v>3.912023005428146</c:v>
                </c:pt>
                <c:pt idx="508">
                  <c:v>3.912023005428146</c:v>
                </c:pt>
                <c:pt idx="509">
                  <c:v>3.912023005428146</c:v>
                </c:pt>
                <c:pt idx="510">
                  <c:v>3.912023005428146</c:v>
                </c:pt>
                <c:pt idx="511">
                  <c:v>3.912023005428146</c:v>
                </c:pt>
                <c:pt idx="512">
                  <c:v>3.912023005428146</c:v>
                </c:pt>
                <c:pt idx="513">
                  <c:v>3.912023005428146</c:v>
                </c:pt>
                <c:pt idx="514">
                  <c:v>3.912023005428146</c:v>
                </c:pt>
                <c:pt idx="515">
                  <c:v>3.912023005428146</c:v>
                </c:pt>
                <c:pt idx="516">
                  <c:v>3.912023005428146</c:v>
                </c:pt>
                <c:pt idx="517">
                  <c:v>3.912023005428146</c:v>
                </c:pt>
                <c:pt idx="518">
                  <c:v>3.912023005428146</c:v>
                </c:pt>
                <c:pt idx="519">
                  <c:v>3.912023005428146</c:v>
                </c:pt>
                <c:pt idx="520">
                  <c:v>3.912023005428146</c:v>
                </c:pt>
                <c:pt idx="521">
                  <c:v>3.912023005428146</c:v>
                </c:pt>
                <c:pt idx="522">
                  <c:v>3.912023005428146</c:v>
                </c:pt>
                <c:pt idx="523">
                  <c:v>3.912023005428146</c:v>
                </c:pt>
                <c:pt idx="524">
                  <c:v>3.912023005428146</c:v>
                </c:pt>
                <c:pt idx="525">
                  <c:v>3.912023005428146</c:v>
                </c:pt>
                <c:pt idx="526">
                  <c:v>3.912023005428146</c:v>
                </c:pt>
                <c:pt idx="527">
                  <c:v>3.912023005428146</c:v>
                </c:pt>
                <c:pt idx="528">
                  <c:v>3.912023005428146</c:v>
                </c:pt>
                <c:pt idx="529">
                  <c:v>3.912023005428146</c:v>
                </c:pt>
                <c:pt idx="530">
                  <c:v>3.912023005428146</c:v>
                </c:pt>
                <c:pt idx="531">
                  <c:v>3.912023005428146</c:v>
                </c:pt>
                <c:pt idx="532">
                  <c:v>3.912023005428146</c:v>
                </c:pt>
                <c:pt idx="533">
                  <c:v>3.912023005428146</c:v>
                </c:pt>
                <c:pt idx="534">
                  <c:v>3.912023005428146</c:v>
                </c:pt>
                <c:pt idx="535">
                  <c:v>3.912023005428146</c:v>
                </c:pt>
                <c:pt idx="536">
                  <c:v>3.912023005428146</c:v>
                </c:pt>
                <c:pt idx="537">
                  <c:v>3.912023005428146</c:v>
                </c:pt>
                <c:pt idx="538">
                  <c:v>3.912023005428146</c:v>
                </c:pt>
                <c:pt idx="539">
                  <c:v>3.912023005428146</c:v>
                </c:pt>
                <c:pt idx="540">
                  <c:v>3.912023005428146</c:v>
                </c:pt>
                <c:pt idx="541">
                  <c:v>3.912023005428146</c:v>
                </c:pt>
                <c:pt idx="542">
                  <c:v>3.912023005428146</c:v>
                </c:pt>
                <c:pt idx="543">
                  <c:v>3.912023005428146</c:v>
                </c:pt>
                <c:pt idx="544">
                  <c:v>3.912023005428146</c:v>
                </c:pt>
                <c:pt idx="545">
                  <c:v>3.912023005428146</c:v>
                </c:pt>
                <c:pt idx="546">
                  <c:v>3.912023005428146</c:v>
                </c:pt>
                <c:pt idx="547">
                  <c:v>3.912023005428146</c:v>
                </c:pt>
                <c:pt idx="548">
                  <c:v>3.912023005428146</c:v>
                </c:pt>
                <c:pt idx="549">
                  <c:v>3.912023005428146</c:v>
                </c:pt>
                <c:pt idx="550">
                  <c:v>3.912023005428146</c:v>
                </c:pt>
                <c:pt idx="551">
                  <c:v>3.912023005428146</c:v>
                </c:pt>
                <c:pt idx="552">
                  <c:v>3.912023005428146</c:v>
                </c:pt>
                <c:pt idx="553">
                  <c:v>3.912023005428146</c:v>
                </c:pt>
                <c:pt idx="554">
                  <c:v>3.912023005428146</c:v>
                </c:pt>
                <c:pt idx="555">
                  <c:v>3.912023005428146</c:v>
                </c:pt>
                <c:pt idx="556">
                  <c:v>3.912023005428146</c:v>
                </c:pt>
                <c:pt idx="557">
                  <c:v>3.912023005428146</c:v>
                </c:pt>
                <c:pt idx="558">
                  <c:v>3.912023005428146</c:v>
                </c:pt>
                <c:pt idx="559">
                  <c:v>3.912023005428146</c:v>
                </c:pt>
                <c:pt idx="560">
                  <c:v>3.912023005428146</c:v>
                </c:pt>
                <c:pt idx="561">
                  <c:v>3.912023005428146</c:v>
                </c:pt>
                <c:pt idx="562">
                  <c:v>3.912023005428146</c:v>
                </c:pt>
                <c:pt idx="563">
                  <c:v>3.912023005428146</c:v>
                </c:pt>
                <c:pt idx="564">
                  <c:v>3.912023005428146</c:v>
                </c:pt>
                <c:pt idx="565">
                  <c:v>3.912023005428146</c:v>
                </c:pt>
                <c:pt idx="566">
                  <c:v>3.912023005428146</c:v>
                </c:pt>
                <c:pt idx="567">
                  <c:v>3.912023005428146</c:v>
                </c:pt>
                <c:pt idx="568">
                  <c:v>3.912023005428146</c:v>
                </c:pt>
                <c:pt idx="569">
                  <c:v>3.912023005428146</c:v>
                </c:pt>
                <c:pt idx="570">
                  <c:v>3.912023005428146</c:v>
                </c:pt>
                <c:pt idx="571">
                  <c:v>3.912023005428146</c:v>
                </c:pt>
                <c:pt idx="572">
                  <c:v>3.912023005428146</c:v>
                </c:pt>
                <c:pt idx="573">
                  <c:v>3.912023005428146</c:v>
                </c:pt>
                <c:pt idx="574">
                  <c:v>3.912023005428146</c:v>
                </c:pt>
                <c:pt idx="575">
                  <c:v>3.912023005428146</c:v>
                </c:pt>
                <c:pt idx="576">
                  <c:v>3.912023005428146</c:v>
                </c:pt>
                <c:pt idx="577">
                  <c:v>3.912023005428146</c:v>
                </c:pt>
                <c:pt idx="578">
                  <c:v>3.912023005428146</c:v>
                </c:pt>
                <c:pt idx="579">
                  <c:v>3.912023005428146</c:v>
                </c:pt>
                <c:pt idx="580">
                  <c:v>3.912023005428146</c:v>
                </c:pt>
                <c:pt idx="581">
                  <c:v>3.912023005428146</c:v>
                </c:pt>
                <c:pt idx="582">
                  <c:v>3.912023005428146</c:v>
                </c:pt>
                <c:pt idx="583">
                  <c:v>3.912023005428146</c:v>
                </c:pt>
                <c:pt idx="584">
                  <c:v>3.912023005428146</c:v>
                </c:pt>
                <c:pt idx="585">
                  <c:v>3.912023005428146</c:v>
                </c:pt>
                <c:pt idx="586">
                  <c:v>3.912023005428146</c:v>
                </c:pt>
                <c:pt idx="587">
                  <c:v>3.912023005428146</c:v>
                </c:pt>
                <c:pt idx="588">
                  <c:v>3.912023005428146</c:v>
                </c:pt>
                <c:pt idx="589">
                  <c:v>3.912023005428146</c:v>
                </c:pt>
                <c:pt idx="590">
                  <c:v>3.912023005428146</c:v>
                </c:pt>
                <c:pt idx="591">
                  <c:v>3.912023005428146</c:v>
                </c:pt>
                <c:pt idx="592">
                  <c:v>3.912023005428146</c:v>
                </c:pt>
                <c:pt idx="593">
                  <c:v>3.912023005428146</c:v>
                </c:pt>
                <c:pt idx="594">
                  <c:v>3.912023005428146</c:v>
                </c:pt>
                <c:pt idx="595">
                  <c:v>3.912023005428146</c:v>
                </c:pt>
                <c:pt idx="596">
                  <c:v>3.912023005428146</c:v>
                </c:pt>
                <c:pt idx="597">
                  <c:v>3.912023005428146</c:v>
                </c:pt>
                <c:pt idx="598">
                  <c:v>3.912023005428146</c:v>
                </c:pt>
                <c:pt idx="599">
                  <c:v>3.912023005428146</c:v>
                </c:pt>
                <c:pt idx="600">
                  <c:v>3.912023005428146</c:v>
                </c:pt>
                <c:pt idx="601">
                  <c:v>3.912023005428146</c:v>
                </c:pt>
                <c:pt idx="602">
                  <c:v>3.912023005428146</c:v>
                </c:pt>
                <c:pt idx="603">
                  <c:v>3.912023005428146</c:v>
                </c:pt>
                <c:pt idx="604">
                  <c:v>3.912023005428146</c:v>
                </c:pt>
                <c:pt idx="605">
                  <c:v>3.912023005428146</c:v>
                </c:pt>
                <c:pt idx="606">
                  <c:v>3.912023005428146</c:v>
                </c:pt>
                <c:pt idx="607">
                  <c:v>3.912023005428146</c:v>
                </c:pt>
                <c:pt idx="608">
                  <c:v>3.912023005428146</c:v>
                </c:pt>
                <c:pt idx="609">
                  <c:v>3.912023005428146</c:v>
                </c:pt>
                <c:pt idx="610">
                  <c:v>3.912023005428146</c:v>
                </c:pt>
                <c:pt idx="611">
                  <c:v>3.912023005428146</c:v>
                </c:pt>
                <c:pt idx="612">
                  <c:v>3.912023005428146</c:v>
                </c:pt>
                <c:pt idx="613">
                  <c:v>3.912023005428146</c:v>
                </c:pt>
                <c:pt idx="614">
                  <c:v>3.912023005428146</c:v>
                </c:pt>
                <c:pt idx="615">
                  <c:v>3.912023005428146</c:v>
                </c:pt>
                <c:pt idx="616">
                  <c:v>3.912023005428146</c:v>
                </c:pt>
                <c:pt idx="617">
                  <c:v>3.912023005428146</c:v>
                </c:pt>
                <c:pt idx="618">
                  <c:v>3.912023005428146</c:v>
                </c:pt>
                <c:pt idx="619">
                  <c:v>3.912023005428146</c:v>
                </c:pt>
                <c:pt idx="620">
                  <c:v>3.912023005428146</c:v>
                </c:pt>
                <c:pt idx="621">
                  <c:v>3.912023005428146</c:v>
                </c:pt>
                <c:pt idx="622">
                  <c:v>3.912023005428146</c:v>
                </c:pt>
                <c:pt idx="623">
                  <c:v>3.912023005428146</c:v>
                </c:pt>
                <c:pt idx="624">
                  <c:v>3.912023005428146</c:v>
                </c:pt>
                <c:pt idx="625">
                  <c:v>3.912023005428146</c:v>
                </c:pt>
                <c:pt idx="626">
                  <c:v>3.912023005428146</c:v>
                </c:pt>
                <c:pt idx="627">
                  <c:v>3.912023005428146</c:v>
                </c:pt>
                <c:pt idx="628">
                  <c:v>3.912023005428146</c:v>
                </c:pt>
                <c:pt idx="629">
                  <c:v>3.912023005428146</c:v>
                </c:pt>
                <c:pt idx="630">
                  <c:v>3.912023005428146</c:v>
                </c:pt>
                <c:pt idx="631">
                  <c:v>3.912023005428146</c:v>
                </c:pt>
                <c:pt idx="632">
                  <c:v>3.912023005428146</c:v>
                </c:pt>
                <c:pt idx="633">
                  <c:v>3.912023005428146</c:v>
                </c:pt>
                <c:pt idx="634">
                  <c:v>3.912023005428146</c:v>
                </c:pt>
                <c:pt idx="635">
                  <c:v>3.912023005428146</c:v>
                </c:pt>
                <c:pt idx="636">
                  <c:v>4.0943445622221004</c:v>
                </c:pt>
                <c:pt idx="637">
                  <c:v>4.0943445622221004</c:v>
                </c:pt>
                <c:pt idx="638">
                  <c:v>4.0943445622221004</c:v>
                </c:pt>
                <c:pt idx="639">
                  <c:v>4.0943445622221004</c:v>
                </c:pt>
                <c:pt idx="640">
                  <c:v>4.0943445622221004</c:v>
                </c:pt>
                <c:pt idx="641">
                  <c:v>4.0943445622221004</c:v>
                </c:pt>
                <c:pt idx="642">
                  <c:v>4.0943445622221004</c:v>
                </c:pt>
                <c:pt idx="643">
                  <c:v>4.0943445622221004</c:v>
                </c:pt>
                <c:pt idx="644">
                  <c:v>4.0943445622221004</c:v>
                </c:pt>
                <c:pt idx="645">
                  <c:v>4.0943445622221004</c:v>
                </c:pt>
                <c:pt idx="646">
                  <c:v>4.0943445622221004</c:v>
                </c:pt>
                <c:pt idx="647">
                  <c:v>4.0943445622221004</c:v>
                </c:pt>
                <c:pt idx="648">
                  <c:v>4.0943445622221004</c:v>
                </c:pt>
                <c:pt idx="649">
                  <c:v>4.0943445622221004</c:v>
                </c:pt>
                <c:pt idx="650">
                  <c:v>4.0943445622221004</c:v>
                </c:pt>
                <c:pt idx="651">
                  <c:v>4.0943445622221004</c:v>
                </c:pt>
                <c:pt idx="652">
                  <c:v>4.0943445622221004</c:v>
                </c:pt>
                <c:pt idx="653">
                  <c:v>4.2046926193909657</c:v>
                </c:pt>
                <c:pt idx="654">
                  <c:v>4.2046926193909657</c:v>
                </c:pt>
                <c:pt idx="655">
                  <c:v>4.2046926193909657</c:v>
                </c:pt>
                <c:pt idx="656">
                  <c:v>4.2046926193909657</c:v>
                </c:pt>
                <c:pt idx="657">
                  <c:v>4.2484952420493594</c:v>
                </c:pt>
                <c:pt idx="658">
                  <c:v>4.2484952420493594</c:v>
                </c:pt>
                <c:pt idx="659">
                  <c:v>4.2484952420493594</c:v>
                </c:pt>
                <c:pt idx="660">
                  <c:v>4.2484952420493594</c:v>
                </c:pt>
                <c:pt idx="661">
                  <c:v>4.2484952420493594</c:v>
                </c:pt>
                <c:pt idx="662">
                  <c:v>4.2484952420493594</c:v>
                </c:pt>
                <c:pt idx="663">
                  <c:v>4.2484952420493594</c:v>
                </c:pt>
                <c:pt idx="664">
                  <c:v>4.2484952420493594</c:v>
                </c:pt>
                <c:pt idx="665">
                  <c:v>4.2484952420493594</c:v>
                </c:pt>
                <c:pt idx="666">
                  <c:v>4.2484952420493594</c:v>
                </c:pt>
                <c:pt idx="667">
                  <c:v>4.2484952420493594</c:v>
                </c:pt>
                <c:pt idx="668">
                  <c:v>4.2484952420493594</c:v>
                </c:pt>
                <c:pt idx="669">
                  <c:v>4.290459441148391</c:v>
                </c:pt>
                <c:pt idx="670">
                  <c:v>4.290459441148391</c:v>
                </c:pt>
                <c:pt idx="671">
                  <c:v>4.290459441148391</c:v>
                </c:pt>
                <c:pt idx="672">
                  <c:v>4.3174881135363101</c:v>
                </c:pt>
                <c:pt idx="673">
                  <c:v>4.3174881135363101</c:v>
                </c:pt>
                <c:pt idx="674">
                  <c:v>4.3174881135363101</c:v>
                </c:pt>
                <c:pt idx="675">
                  <c:v>4.3174881135363101</c:v>
                </c:pt>
                <c:pt idx="676">
                  <c:v>4.3174881135363101</c:v>
                </c:pt>
                <c:pt idx="677">
                  <c:v>4.3174881135363101</c:v>
                </c:pt>
                <c:pt idx="678">
                  <c:v>4.3174881135363101</c:v>
                </c:pt>
                <c:pt idx="679">
                  <c:v>4.3174881135363101</c:v>
                </c:pt>
                <c:pt idx="680">
                  <c:v>4.3174881135363101</c:v>
                </c:pt>
                <c:pt idx="681">
                  <c:v>4.3174881135363101</c:v>
                </c:pt>
                <c:pt idx="682">
                  <c:v>4.3174881135363101</c:v>
                </c:pt>
                <c:pt idx="683">
                  <c:v>4.3174881135363101</c:v>
                </c:pt>
                <c:pt idx="684">
                  <c:v>4.3174881135363101</c:v>
                </c:pt>
                <c:pt idx="685">
                  <c:v>4.3174881135363101</c:v>
                </c:pt>
                <c:pt idx="686">
                  <c:v>4.3174881135363101</c:v>
                </c:pt>
                <c:pt idx="687">
                  <c:v>4.3174881135363101</c:v>
                </c:pt>
                <c:pt idx="688">
                  <c:v>4.3174881135363101</c:v>
                </c:pt>
                <c:pt idx="689">
                  <c:v>4.3174881135363101</c:v>
                </c:pt>
                <c:pt idx="690">
                  <c:v>4.3174881135363101</c:v>
                </c:pt>
                <c:pt idx="691">
                  <c:v>4.3438054218536841</c:v>
                </c:pt>
                <c:pt idx="692">
                  <c:v>4.3820266346738812</c:v>
                </c:pt>
                <c:pt idx="693">
                  <c:v>4.3820266346738812</c:v>
                </c:pt>
                <c:pt idx="694">
                  <c:v>4.3820266346738812</c:v>
                </c:pt>
                <c:pt idx="695">
                  <c:v>4.3820266346738812</c:v>
                </c:pt>
                <c:pt idx="696">
                  <c:v>4.3820266346738812</c:v>
                </c:pt>
                <c:pt idx="697">
                  <c:v>4.3820266346738812</c:v>
                </c:pt>
                <c:pt idx="698">
                  <c:v>4.3820266346738812</c:v>
                </c:pt>
                <c:pt idx="699">
                  <c:v>4.499809670330265</c:v>
                </c:pt>
                <c:pt idx="700">
                  <c:v>4.499809670330265</c:v>
                </c:pt>
                <c:pt idx="701">
                  <c:v>4.499809670330265</c:v>
                </c:pt>
                <c:pt idx="702">
                  <c:v>4.499809670330265</c:v>
                </c:pt>
                <c:pt idx="703">
                  <c:v>4.6051701859880918</c:v>
                </c:pt>
                <c:pt idx="704">
                  <c:v>4.6051701859880918</c:v>
                </c:pt>
                <c:pt idx="705">
                  <c:v>4.6051701859880918</c:v>
                </c:pt>
                <c:pt idx="706">
                  <c:v>4.6051701859880918</c:v>
                </c:pt>
                <c:pt idx="707">
                  <c:v>4.6051701859880918</c:v>
                </c:pt>
                <c:pt idx="708">
                  <c:v>4.6051701859880918</c:v>
                </c:pt>
                <c:pt idx="709">
                  <c:v>4.6051701859880918</c:v>
                </c:pt>
                <c:pt idx="710">
                  <c:v>4.6051701859880918</c:v>
                </c:pt>
                <c:pt idx="711">
                  <c:v>4.6051701859880918</c:v>
                </c:pt>
                <c:pt idx="712">
                  <c:v>4.6051701859880918</c:v>
                </c:pt>
                <c:pt idx="713">
                  <c:v>4.6051701859880918</c:v>
                </c:pt>
                <c:pt idx="714">
                  <c:v>4.6051701859880918</c:v>
                </c:pt>
                <c:pt idx="715">
                  <c:v>4.6051701859880918</c:v>
                </c:pt>
                <c:pt idx="716">
                  <c:v>4.6051701859880918</c:v>
                </c:pt>
                <c:pt idx="717">
                  <c:v>4.6051701859880918</c:v>
                </c:pt>
                <c:pt idx="718">
                  <c:v>4.6051701859880918</c:v>
                </c:pt>
                <c:pt idx="719">
                  <c:v>4.6051701859880918</c:v>
                </c:pt>
                <c:pt idx="720">
                  <c:v>4.6051701859880918</c:v>
                </c:pt>
                <c:pt idx="721">
                  <c:v>4.6051701859880918</c:v>
                </c:pt>
                <c:pt idx="722">
                  <c:v>4.6051701859880918</c:v>
                </c:pt>
                <c:pt idx="723">
                  <c:v>4.6051701859880918</c:v>
                </c:pt>
                <c:pt idx="724">
                  <c:v>4.6051701859880918</c:v>
                </c:pt>
                <c:pt idx="725">
                  <c:v>4.6051701859880918</c:v>
                </c:pt>
                <c:pt idx="726">
                  <c:v>4.6051701859880918</c:v>
                </c:pt>
                <c:pt idx="727">
                  <c:v>4.6051701859880918</c:v>
                </c:pt>
                <c:pt idx="728">
                  <c:v>4.6051701859880918</c:v>
                </c:pt>
                <c:pt idx="729">
                  <c:v>4.6051701859880918</c:v>
                </c:pt>
                <c:pt idx="730">
                  <c:v>4.6051701859880918</c:v>
                </c:pt>
                <c:pt idx="731">
                  <c:v>4.6051701859880918</c:v>
                </c:pt>
                <c:pt idx="732">
                  <c:v>4.6051701859880918</c:v>
                </c:pt>
                <c:pt idx="733">
                  <c:v>4.6051701859880918</c:v>
                </c:pt>
                <c:pt idx="734">
                  <c:v>4.6051701859880918</c:v>
                </c:pt>
                <c:pt idx="735">
                  <c:v>4.6051701859880918</c:v>
                </c:pt>
                <c:pt idx="736">
                  <c:v>4.6051701859880918</c:v>
                </c:pt>
                <c:pt idx="737">
                  <c:v>4.6051701859880918</c:v>
                </c:pt>
                <c:pt idx="738">
                  <c:v>4.6051701859880918</c:v>
                </c:pt>
                <c:pt idx="739">
                  <c:v>4.6051701859880918</c:v>
                </c:pt>
                <c:pt idx="740">
                  <c:v>4.6051701859880918</c:v>
                </c:pt>
                <c:pt idx="741">
                  <c:v>4.6051701859880918</c:v>
                </c:pt>
                <c:pt idx="742">
                  <c:v>4.6051701859880918</c:v>
                </c:pt>
                <c:pt idx="743">
                  <c:v>4.6051701859880918</c:v>
                </c:pt>
                <c:pt idx="744">
                  <c:v>4.6051701859880918</c:v>
                </c:pt>
                <c:pt idx="745">
                  <c:v>4.6051701859880918</c:v>
                </c:pt>
                <c:pt idx="746">
                  <c:v>4.6051701859880918</c:v>
                </c:pt>
                <c:pt idx="747">
                  <c:v>4.6051701859880918</c:v>
                </c:pt>
                <c:pt idx="748">
                  <c:v>4.6051701859880918</c:v>
                </c:pt>
                <c:pt idx="749">
                  <c:v>4.6051701859880918</c:v>
                </c:pt>
                <c:pt idx="750">
                  <c:v>4.6051701859880918</c:v>
                </c:pt>
                <c:pt idx="751">
                  <c:v>4.6051701859880918</c:v>
                </c:pt>
                <c:pt idx="752">
                  <c:v>4.6051701859880918</c:v>
                </c:pt>
                <c:pt idx="753">
                  <c:v>4.6051701859880918</c:v>
                </c:pt>
                <c:pt idx="754">
                  <c:v>4.6051701859880918</c:v>
                </c:pt>
                <c:pt idx="755">
                  <c:v>4.6051701859880918</c:v>
                </c:pt>
                <c:pt idx="756">
                  <c:v>4.6051701859880918</c:v>
                </c:pt>
                <c:pt idx="757">
                  <c:v>4.6051701859880918</c:v>
                </c:pt>
                <c:pt idx="758">
                  <c:v>4.6051701859880918</c:v>
                </c:pt>
                <c:pt idx="759">
                  <c:v>4.6051701859880918</c:v>
                </c:pt>
                <c:pt idx="760">
                  <c:v>4.6051701859880918</c:v>
                </c:pt>
                <c:pt idx="761">
                  <c:v>4.6051701859880918</c:v>
                </c:pt>
                <c:pt idx="762">
                  <c:v>4.6051701859880918</c:v>
                </c:pt>
                <c:pt idx="763">
                  <c:v>4.6051701859880918</c:v>
                </c:pt>
                <c:pt idx="764">
                  <c:v>4.6051701859880918</c:v>
                </c:pt>
                <c:pt idx="765">
                  <c:v>4.7004803657924166</c:v>
                </c:pt>
                <c:pt idx="766">
                  <c:v>4.7621739347977563</c:v>
                </c:pt>
                <c:pt idx="767">
                  <c:v>4.7874917427820458</c:v>
                </c:pt>
                <c:pt idx="768">
                  <c:v>4.8283137373023015</c:v>
                </c:pt>
                <c:pt idx="769">
                  <c:v>5.0106352940962555</c:v>
                </c:pt>
                <c:pt idx="770">
                  <c:v>5.0106352940962555</c:v>
                </c:pt>
                <c:pt idx="771">
                  <c:v>5.0106352940962555</c:v>
                </c:pt>
                <c:pt idx="772">
                  <c:v>5.0106352940962555</c:v>
                </c:pt>
                <c:pt idx="773">
                  <c:v>5.0106352940962555</c:v>
                </c:pt>
                <c:pt idx="774">
                  <c:v>5.0106352940962555</c:v>
                </c:pt>
                <c:pt idx="775">
                  <c:v>5.0106352940962555</c:v>
                </c:pt>
                <c:pt idx="776">
                  <c:v>5.0106352940962555</c:v>
                </c:pt>
                <c:pt idx="777">
                  <c:v>5.0106352940962555</c:v>
                </c:pt>
                <c:pt idx="778">
                  <c:v>5.0106352940962555</c:v>
                </c:pt>
                <c:pt idx="779">
                  <c:v>5.1179938124167554</c:v>
                </c:pt>
                <c:pt idx="780">
                  <c:v>5.1929568508902104</c:v>
                </c:pt>
                <c:pt idx="781">
                  <c:v>5.2983173665480363</c:v>
                </c:pt>
                <c:pt idx="782">
                  <c:v>5.2983173665480363</c:v>
                </c:pt>
                <c:pt idx="783">
                  <c:v>5.2983173665480363</c:v>
                </c:pt>
                <c:pt idx="784">
                  <c:v>5.2983173665480363</c:v>
                </c:pt>
                <c:pt idx="785">
                  <c:v>5.2983173665480363</c:v>
                </c:pt>
                <c:pt idx="786">
                  <c:v>5.2983173665480363</c:v>
                </c:pt>
                <c:pt idx="787">
                  <c:v>5.2983173665480363</c:v>
                </c:pt>
                <c:pt idx="788">
                  <c:v>5.2983173665480363</c:v>
                </c:pt>
                <c:pt idx="789">
                  <c:v>5.7037824746562009</c:v>
                </c:pt>
                <c:pt idx="790">
                  <c:v>5.7037824746562009</c:v>
                </c:pt>
                <c:pt idx="791">
                  <c:v>5.9914645471079817</c:v>
                </c:pt>
                <c:pt idx="792">
                  <c:v>5.9914645471079817</c:v>
                </c:pt>
                <c:pt idx="793">
                  <c:v>6.0867747269123065</c:v>
                </c:pt>
                <c:pt idx="794">
                  <c:v>6.0867747269123065</c:v>
                </c:pt>
                <c:pt idx="795">
                  <c:v>6.0867747269123065</c:v>
                </c:pt>
                <c:pt idx="796">
                  <c:v>6.0867747269123065</c:v>
                </c:pt>
                <c:pt idx="797">
                  <c:v>6.0867747269123065</c:v>
                </c:pt>
                <c:pt idx="798">
                  <c:v>6.2146080984221914</c:v>
                </c:pt>
              </c:numCache>
            </c:numRef>
          </c:yVal>
          <c:smooth val="0"/>
          <c:extLst xmlns:c16r2="http://schemas.microsoft.com/office/drawing/2015/06/chart">
            <c:ext xmlns:c16="http://schemas.microsoft.com/office/drawing/2014/chart" uri="{C3380CC4-5D6E-409C-BE32-E72D297353CC}">
              <c16:uniqueId val="{00000000-A1EC-4694-8F99-0A9C9F56938A}"/>
            </c:ext>
          </c:extLst>
        </c:ser>
        <c:dLbls>
          <c:showLegendKey val="0"/>
          <c:showVal val="0"/>
          <c:showCatName val="0"/>
          <c:showSerName val="0"/>
          <c:showPercent val="0"/>
          <c:showBubbleSize val="0"/>
        </c:dLbls>
        <c:axId val="165305344"/>
        <c:axId val="165422592"/>
      </c:scatterChart>
      <c:valAx>
        <c:axId val="16530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422592"/>
        <c:crossesAt val="-4"/>
        <c:crossBetween val="midCat"/>
      </c:valAx>
      <c:valAx>
        <c:axId val="1654225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305344"/>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F0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7.9541250462449128E-2"/>
          <c:y val="0.1223491027732465"/>
          <c:w val="0.88235294117647056"/>
          <c:h val="0.77161500815660822"/>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'F0 - EF0 Analysis'!$F$12:$F$810</c:f>
              <c:numCache>
                <c:formatCode>General</c:formatCode>
                <c:ptCount val="799"/>
                <c:pt idx="0">
                  <c:v>-3.2297102373667248</c:v>
                </c:pt>
                <c:pt idx="1">
                  <c:v>-2.9011910009329664</c:v>
                </c:pt>
                <c:pt idx="2">
                  <c:v>-2.7372357806755607</c:v>
                </c:pt>
                <c:pt idx="3">
                  <c:v>-2.6246384632745574</c:v>
                </c:pt>
                <c:pt idx="4">
                  <c:v>-2.5378864473628475</c:v>
                </c:pt>
                <c:pt idx="5">
                  <c:v>-2.466850349828011</c:v>
                </c:pt>
                <c:pt idx="6">
                  <c:v>-2.406435557000667</c:v>
                </c:pt>
                <c:pt idx="7">
                  <c:v>-2.3537049007249542</c:v>
                </c:pt>
                <c:pt idx="8">
                  <c:v>-2.3068053236275246</c:v>
                </c:pt>
                <c:pt idx="9">
                  <c:v>-2.2644900655881872</c:v>
                </c:pt>
                <c:pt idx="10">
                  <c:v>-2.2258787390295107</c:v>
                </c:pt>
                <c:pt idx="11">
                  <c:v>-2.1903257646302365</c:v>
                </c:pt>
                <c:pt idx="12">
                  <c:v>-2.157343187508133</c:v>
                </c:pt>
                <c:pt idx="13">
                  <c:v>-2.1265529048537464</c:v>
                </c:pt>
                <c:pt idx="14">
                  <c:v>-2.0976557798505122</c:v>
                </c:pt>
                <c:pt idx="15">
                  <c:v>-2.0704109364617698</c:v>
                </c:pt>
                <c:pt idx="16">
                  <c:v>-2.0446214479968488</c:v>
                </c:pt>
                <c:pt idx="17">
                  <c:v>-2.0201241824908265</c:v>
                </c:pt>
                <c:pt idx="18">
                  <c:v>-1.9967824321552781</c:v>
                </c:pt>
                <c:pt idx="19">
                  <c:v>-1.9744804563168559</c:v>
                </c:pt>
                <c:pt idx="20">
                  <c:v>-1.953119369661714</c:v>
                </c:pt>
                <c:pt idx="21">
                  <c:v>-1.9326139954890176</c:v>
                </c:pt>
                <c:pt idx="22">
                  <c:v>-1.9128904236723956</c:v>
                </c:pt>
                <c:pt idx="23">
                  <c:v>-1.8938840915645971</c:v>
                </c:pt>
                <c:pt idx="24">
                  <c:v>-1.8755382586208733</c:v>
                </c:pt>
                <c:pt idx="25">
                  <c:v>-1.8578027813659423</c:v>
                </c:pt>
                <c:pt idx="26">
                  <c:v>-1.8406331202309791</c:v>
                </c:pt>
                <c:pt idx="27">
                  <c:v>-1.8239895273675018</c:v>
                </c:pt>
                <c:pt idx="28">
                  <c:v>-1.8078363771423687</c:v>
                </c:pt>
                <c:pt idx="29">
                  <c:v>-1.7921416101686585</c:v>
                </c:pt>
                <c:pt idx="30">
                  <c:v>-1.7768762684579023</c:v>
                </c:pt>
                <c:pt idx="31">
                  <c:v>-1.7620141042876334</c:v>
                </c:pt>
                <c:pt idx="32">
                  <c:v>-1.7475312491454524</c:v>
                </c:pt>
                <c:pt idx="33">
                  <c:v>-1.7334059319727604</c:v>
                </c:pt>
                <c:pt idx="34">
                  <c:v>-1.7196182381259371</c:v>
                </c:pt>
                <c:pt idx="35">
                  <c:v>-1.706149902170248</c:v>
                </c:pt>
                <c:pt idx="36">
                  <c:v>-1.6929841289455307</c:v>
                </c:pt>
                <c:pt idx="37">
                  <c:v>-1.6801054383829324</c:v>
                </c:pt>
                <c:pt idx="38">
                  <c:v>-1.6674995303752358</c:v>
                </c:pt>
                <c:pt idx="39">
                  <c:v>-1.6551531666593429</c:v>
                </c:pt>
                <c:pt idx="40">
                  <c:v>-1.6430540671955431</c:v>
                </c:pt>
                <c:pt idx="41">
                  <c:v>-1.6311908189526321</c:v>
                </c:pt>
                <c:pt idx="42">
                  <c:v>-1.619552795352317</c:v>
                </c:pt>
                <c:pt idx="43">
                  <c:v>-1.6081300849072808</c:v>
                </c:pt>
                <c:pt idx="44">
                  <c:v>-1.5969134278176627</c:v>
                </c:pt>
                <c:pt idx="45">
                  <c:v>-1.5858941594805218</c:v>
                </c:pt>
                <c:pt idx="46">
                  <c:v>-1.5750641600240298</c:v>
                </c:pt>
                <c:pt idx="47">
                  <c:v>-1.5644158091087819</c:v>
                </c:pt>
                <c:pt idx="48">
                  <c:v>-1.5539419453477636</c:v>
                </c:pt>
                <c:pt idx="49">
                  <c:v>-1.5436358297879897</c:v>
                </c:pt>
                <c:pt idx="50">
                  <c:v>-1.5334911129738318</c:v>
                </c:pt>
                <c:pt idx="51">
                  <c:v>-1.5235018051771141</c:v>
                </c:pt>
                <c:pt idx="52">
                  <c:v>-1.5136622494342076</c:v>
                </c:pt>
                <c:pt idx="53">
                  <c:v>-1.5039670970772523</c:v>
                </c:pt>
                <c:pt idx="54">
                  <c:v>-1.4944112854866949</c:v>
                </c:pt>
                <c:pt idx="55">
                  <c:v>-1.4849900178265962</c:v>
                </c:pt>
                <c:pt idx="56">
                  <c:v>-1.4756987445536023</c:v>
                </c:pt>
                <c:pt idx="57">
                  <c:v>-1.4665331465158102</c:v>
                </c:pt>
                <c:pt idx="58">
                  <c:v>-1.4574891194796666</c:v>
                </c:pt>
                <c:pt idx="59">
                  <c:v>-1.4485627599419753</c:v>
                </c:pt>
                <c:pt idx="60">
                  <c:v>-1.4397503521005517</c:v>
                </c:pt>
                <c:pt idx="61">
                  <c:v>-1.4310483558713887</c:v>
                </c:pt>
                <c:pt idx="62">
                  <c:v>-1.4224533958526753</c:v>
                </c:pt>
                <c:pt idx="63">
                  <c:v>-1.4139622511469609</c:v>
                </c:pt>
                <c:pt idx="64">
                  <c:v>-1.4055718459622997</c:v>
                </c:pt>
                <c:pt idx="65">
                  <c:v>-1.3972792409216594</c:v>
                </c:pt>
                <c:pt idx="66">
                  <c:v>-1.3890816250172116</c:v>
                </c:pt>
                <c:pt idx="67">
                  <c:v>-1.3809763081527771</c:v>
                </c:pt>
                <c:pt idx="68">
                  <c:v>-1.3729607142232811</c:v>
                </c:pt>
                <c:pt idx="69">
                  <c:v>-1.3650323746853841</c:v>
                </c:pt>
                <c:pt idx="70">
                  <c:v>-1.3571889225778233</c:v>
                </c:pt>
                <c:pt idx="71">
                  <c:v>-1.3494280869541073</c:v>
                </c:pt>
                <c:pt idx="72">
                  <c:v>-1.3417476876937868</c:v>
                </c:pt>
                <c:pt idx="73">
                  <c:v>-1.3341456306616806</c:v>
                </c:pt>
                <c:pt idx="74">
                  <c:v>-1.3266199031873371</c:v>
                </c:pt>
                <c:pt idx="75">
                  <c:v>-1.3191685698395292</c:v>
                </c:pt>
                <c:pt idx="76">
                  <c:v>-1.3117897684728792</c:v>
                </c:pt>
                <c:pt idx="77">
                  <c:v>-1.3044817065257879</c:v>
                </c:pt>
                <c:pt idx="78">
                  <c:v>-1.2972426575506355</c:v>
                </c:pt>
                <c:pt idx="79">
                  <c:v>-1.290070957958934</c:v>
                </c:pt>
                <c:pt idx="80">
                  <c:v>-1.2829650039655704</c:v>
                </c:pt>
                <c:pt idx="81">
                  <c:v>-1.2759232487176544</c:v>
                </c:pt>
                <c:pt idx="82">
                  <c:v>-1.2689441995946946</c:v>
                </c:pt>
                <c:pt idx="83">
                  <c:v>-1.2620264156679111</c:v>
                </c:pt>
                <c:pt idx="84">
                  <c:v>-1.2551685053075385</c:v>
                </c:pt>
                <c:pt idx="85">
                  <c:v>-1.2483691239278443</c:v>
                </c:pt>
                <c:pt idx="86">
                  <c:v>-1.2416269718604036</c:v>
                </c:pt>
                <c:pt idx="87">
                  <c:v>-1.2349407923469664</c:v>
                </c:pt>
                <c:pt idx="88">
                  <c:v>-1.2283093696438858</c:v>
                </c:pt>
                <c:pt idx="89">
                  <c:v>-1.2217315272307172</c:v>
                </c:pt>
                <c:pt idx="90">
                  <c:v>-1.2152061261161777</c:v>
                </c:pt>
                <c:pt idx="91">
                  <c:v>-1.2087320632351395</c:v>
                </c:pt>
                <c:pt idx="92">
                  <c:v>-1.2023082699308456</c:v>
                </c:pt>
                <c:pt idx="93">
                  <c:v>-1.1959337105169319</c:v>
                </c:pt>
                <c:pt idx="94">
                  <c:v>-1.1896073809142442</c:v>
                </c:pt>
                <c:pt idx="95">
                  <c:v>-1.1833283073578369</c:v>
                </c:pt>
                <c:pt idx="96">
                  <c:v>-1.1770955451698164</c:v>
                </c:pt>
                <c:pt idx="97">
                  <c:v>-1.1709081775940402</c:v>
                </c:pt>
                <c:pt idx="98">
                  <c:v>-1.1647653146889521</c:v>
                </c:pt>
                <c:pt idx="99">
                  <c:v>-1.1586660922750927</c:v>
                </c:pt>
                <c:pt idx="100">
                  <c:v>-1.1526096709340612</c:v>
                </c:pt>
                <c:pt idx="101">
                  <c:v>-1.1465952350559252</c:v>
                </c:pt>
                <c:pt idx="102">
                  <c:v>-1.1406219919322809</c:v>
                </c:pt>
                <c:pt idx="103">
                  <c:v>-1.1346891708923552</c:v>
                </c:pt>
                <c:pt idx="104">
                  <c:v>-1.1287960224797093</c:v>
                </c:pt>
                <c:pt idx="105">
                  <c:v>-1.1229418176672605</c:v>
                </c:pt>
                <c:pt idx="106">
                  <c:v>-1.1171258471084931</c:v>
                </c:pt>
                <c:pt idx="107">
                  <c:v>-1.1113474204228826</c:v>
                </c:pt>
                <c:pt idx="108">
                  <c:v>-1.1056058655136347</c:v>
                </c:pt>
                <c:pt idx="109">
                  <c:v>-1.0999005279160254</c:v>
                </c:pt>
                <c:pt idx="110">
                  <c:v>-1.0942307701746825</c:v>
                </c:pt>
                <c:pt idx="111">
                  <c:v>-1.0885959712482742</c:v>
                </c:pt>
                <c:pt idx="112">
                  <c:v>-1.0829955259401776</c:v>
                </c:pt>
                <c:pt idx="113">
                  <c:v>-1.0774288443537556</c:v>
                </c:pt>
                <c:pt idx="114">
                  <c:v>-1.0718953513709781</c:v>
                </c:pt>
                <c:pt idx="115">
                  <c:v>-1.0663944861531984</c:v>
                </c:pt>
                <c:pt idx="116">
                  <c:v>-1.060925701662939</c:v>
                </c:pt>
                <c:pt idx="117">
                  <c:v>-1.0554884642056614</c:v>
                </c:pt>
                <c:pt idx="118">
                  <c:v>-1.0500822529904894</c:v>
                </c:pt>
                <c:pt idx="119">
                  <c:v>-1.0447065597089622</c:v>
                </c:pt>
                <c:pt idx="120">
                  <c:v>-1.0393608881309535</c:v>
                </c:pt>
                <c:pt idx="121">
                  <c:v>-1.0340447537168658</c:v>
                </c:pt>
                <c:pt idx="122">
                  <c:v>-1.0287576832453833</c:v>
                </c:pt>
                <c:pt idx="123">
                  <c:v>-1.0234992144559822</c:v>
                </c:pt>
                <c:pt idx="124">
                  <c:v>-1.0182688957055219</c:v>
                </c:pt>
                <c:pt idx="125">
                  <c:v>-1.0130662856382573</c:v>
                </c:pt>
                <c:pt idx="126">
                  <c:v>-1.0078909528686477</c:v>
                </c:pt>
                <c:pt idx="127">
                  <c:v>-1.0027424756763177</c:v>
                </c:pt>
                <c:pt idx="128">
                  <c:v>-0.99762044171272712</c:v>
                </c:pt>
                <c:pt idx="129">
                  <c:v>-0.99252444771886239</c:v>
                </c:pt>
                <c:pt idx="130">
                  <c:v>-0.98745409925358074</c:v>
                </c:pt>
                <c:pt idx="131">
                  <c:v>-0.9824090104320703</c:v>
                </c:pt>
                <c:pt idx="132">
                  <c:v>-0.97738880367395276</c:v>
                </c:pt>
                <c:pt idx="133">
                  <c:v>-0.97239310946067403</c:v>
                </c:pt>
                <c:pt idx="134">
                  <c:v>-0.96742156610170071</c:v>
                </c:pt>
                <c:pt idx="135">
                  <c:v>-0.96247381950917721</c:v>
                </c:pt>
                <c:pt idx="136">
                  <c:v>-0.9575495229806702</c:v>
                </c:pt>
                <c:pt idx="137">
                  <c:v>-0.95264833698965778</c:v>
                </c:pt>
                <c:pt idx="138">
                  <c:v>-0.94776992898341883</c:v>
                </c:pt>
                <c:pt idx="139">
                  <c:v>-0.94291397318801362</c:v>
                </c:pt>
                <c:pt idx="140">
                  <c:v>-0.93808015042007897</c:v>
                </c:pt>
                <c:pt idx="141">
                  <c:v>-0.93326814790512536</c:v>
                </c:pt>
                <c:pt idx="142">
                  <c:v>-0.92847765910206081</c:v>
                </c:pt>
                <c:pt idx="143">
                  <c:v>-0.92370838353373652</c:v>
                </c:pt>
                <c:pt idx="144">
                  <c:v>-0.91896002662320075</c:v>
                </c:pt>
                <c:pt idx="145">
                  <c:v>-0.91423229953548146</c:v>
                </c:pt>
                <c:pt idx="146">
                  <c:v>-0.90952491902464438</c:v>
                </c:pt>
                <c:pt idx="147">
                  <c:v>-0.9048376072859271</c:v>
                </c:pt>
                <c:pt idx="148">
                  <c:v>-0.90017009181275498</c:v>
                </c:pt>
                <c:pt idx="149">
                  <c:v>-0.89552210525841913</c:v>
                </c:pt>
                <c:pt idx="150">
                  <c:v>-0.89089338530226814</c:v>
                </c:pt>
                <c:pt idx="151">
                  <c:v>-0.88628367452021983</c:v>
                </c:pt>
                <c:pt idx="152">
                  <c:v>-0.88169272025940548</c:v>
                </c:pt>
                <c:pt idx="153">
                  <c:v>-0.87712027451684371</c:v>
                </c:pt>
                <c:pt idx="154">
                  <c:v>-0.87256609382191841</c:v>
                </c:pt>
                <c:pt idx="155">
                  <c:v>-0.86802993912258575</c:v>
                </c:pt>
                <c:pt idx="156">
                  <c:v>-0.86351157567511283</c:v>
                </c:pt>
                <c:pt idx="157">
                  <c:v>-0.85901077293724848</c:v>
                </c:pt>
                <c:pt idx="158">
                  <c:v>-0.85452730446469505</c:v>
                </c:pt>
                <c:pt idx="159">
                  <c:v>-0.85006094781074393</c:v>
                </c:pt>
                <c:pt idx="160">
                  <c:v>-0.84561148442897183</c:v>
                </c:pt>
                <c:pt idx="161">
                  <c:v>-0.84117869957888414</c:v>
                </c:pt>
                <c:pt idx="162">
                  <c:v>-0.83676238223438926</c:v>
                </c:pt>
                <c:pt idx="163">
                  <c:v>-0.83236232499502194</c:v>
                </c:pt>
                <c:pt idx="164">
                  <c:v>-0.82797832399978744</c:v>
                </c:pt>
                <c:pt idx="165">
                  <c:v>-0.82361017884355936</c:v>
                </c:pt>
                <c:pt idx="166">
                  <c:v>-0.81925769249593172</c:v>
                </c:pt>
                <c:pt idx="167">
                  <c:v>-0.81492067122242973</c:v>
                </c:pt>
                <c:pt idx="168">
                  <c:v>-0.81059892450800952</c:v>
                </c:pt>
                <c:pt idx="169">
                  <c:v>-0.80629226498276396</c:v>
                </c:pt>
                <c:pt idx="170">
                  <c:v>-0.80200050834975056</c:v>
                </c:pt>
                <c:pt idx="171">
                  <c:v>-0.79772347331488291</c:v>
                </c:pt>
                <c:pt idx="172">
                  <c:v>-0.79346098151879274</c:v>
                </c:pt>
                <c:pt idx="173">
                  <c:v>-0.78921285747062497</c:v>
                </c:pt>
                <c:pt idx="174">
                  <c:v>-0.78497892848367556</c:v>
                </c:pt>
                <c:pt idx="175">
                  <c:v>-0.78075902461281554</c:v>
                </c:pt>
                <c:pt idx="176">
                  <c:v>-0.77655297859365702</c:v>
                </c:pt>
                <c:pt idx="177">
                  <c:v>-0.77236062578338083</c:v>
                </c:pt>
                <c:pt idx="178">
                  <c:v>-0.76818180410318582</c:v>
                </c:pt>
                <c:pt idx="179">
                  <c:v>-0.76401635398230361</c:v>
                </c:pt>
                <c:pt idx="180">
                  <c:v>-0.75986411830352263</c:v>
                </c:pt>
                <c:pt idx="181">
                  <c:v>-0.75572494235017407</c:v>
                </c:pt>
                <c:pt idx="182">
                  <c:v>-0.75159867375454548</c:v>
                </c:pt>
                <c:pt idx="183">
                  <c:v>-0.74748516244764973</c:v>
                </c:pt>
                <c:pt idx="184">
                  <c:v>-0.74338426061033158</c:v>
                </c:pt>
                <c:pt idx="185">
                  <c:v>-0.73929582262565408</c:v>
                </c:pt>
                <c:pt idx="186">
                  <c:v>-0.73521970503253264</c:v>
                </c:pt>
                <c:pt idx="187">
                  <c:v>-0.73115576648057046</c:v>
                </c:pt>
                <c:pt idx="188">
                  <c:v>-0.72710386768606139</c:v>
                </c:pt>
                <c:pt idx="189">
                  <c:v>-0.7230638713891282</c:v>
                </c:pt>
                <c:pt idx="190">
                  <c:v>-0.71903564231194905</c:v>
                </c:pt>
                <c:pt idx="191">
                  <c:v>-0.71501904711805409</c:v>
                </c:pt>
                <c:pt idx="192">
                  <c:v>-0.71101395437264392</c:v>
                </c:pt>
                <c:pt idx="193">
                  <c:v>-0.70702023450391449</c:v>
                </c:pt>
                <c:pt idx="194">
                  <c:v>-0.70303775976533733</c:v>
                </c:pt>
                <c:pt idx="195">
                  <c:v>-0.69906640419889454</c:v>
                </c:pt>
                <c:pt idx="196">
                  <c:v>-0.69510604359921147</c:v>
                </c:pt>
                <c:pt idx="197">
                  <c:v>-0.69115655547857413</c:v>
                </c:pt>
                <c:pt idx="198">
                  <c:v>-0.68721781903280976</c:v>
                </c:pt>
                <c:pt idx="199">
                  <c:v>-0.68328971510799696</c:v>
                </c:pt>
                <c:pt idx="200">
                  <c:v>-0.67937212616797271</c:v>
                </c:pt>
                <c:pt idx="201">
                  <c:v>-0.67546493626264137</c:v>
                </c:pt>
                <c:pt idx="202">
                  <c:v>-0.67156803099702567</c:v>
                </c:pt>
                <c:pt idx="203">
                  <c:v>-0.66768129750106964</c:v>
                </c:pt>
                <c:pt idx="204">
                  <c:v>-0.66380462440015109</c:v>
                </c:pt>
                <c:pt idx="205">
                  <c:v>-0.65993790178629375</c:v>
                </c:pt>
                <c:pt idx="206">
                  <c:v>-0.65608102119005407</c:v>
                </c:pt>
                <c:pt idx="207">
                  <c:v>-0.65223387555306989</c:v>
                </c:pt>
                <c:pt idx="208">
                  <c:v>-0.64839635920124028</c:v>
                </c:pt>
                <c:pt idx="209">
                  <c:v>-0.64456836781853544</c:v>
                </c:pt>
                <c:pt idx="210">
                  <c:v>-0.64074979842139845</c:v>
                </c:pt>
                <c:pt idx="211">
                  <c:v>-0.636940549333748</c:v>
                </c:pt>
                <c:pt idx="212">
                  <c:v>-0.63314052016253586</c:v>
                </c:pt>
                <c:pt idx="213">
                  <c:v>-0.62934961177387116</c:v>
                </c:pt>
                <c:pt idx="214">
                  <c:v>-0.62556772626967638</c:v>
                </c:pt>
                <c:pt idx="215">
                  <c:v>-0.62179476696487046</c:v>
                </c:pt>
                <c:pt idx="216">
                  <c:v>-0.61803063836506167</c:v>
                </c:pt>
                <c:pt idx="217">
                  <c:v>-0.61427524614473805</c:v>
                </c:pt>
                <c:pt idx="218">
                  <c:v>-0.61052849712593604</c:v>
                </c:pt>
                <c:pt idx="219">
                  <c:v>-0.60679029925738348</c:v>
                </c:pt>
                <c:pt idx="220">
                  <c:v>-0.60306056159409904</c:v>
                </c:pt>
                <c:pt idx="221">
                  <c:v>-0.59933919427743332</c:v>
                </c:pt>
                <c:pt idx="222">
                  <c:v>-0.59562610851554787</c:v>
                </c:pt>
                <c:pt idx="223">
                  <c:v>-0.59192121656431196</c:v>
                </c:pt>
                <c:pt idx="224">
                  <c:v>-0.58822443170861116</c:v>
                </c:pt>
                <c:pt idx="225">
                  <c:v>-0.58453566824405612</c:v>
                </c:pt>
                <c:pt idx="226">
                  <c:v>-0.5808548414590804</c:v>
                </c:pt>
                <c:pt idx="227">
                  <c:v>-0.57718186761741808</c:v>
                </c:pt>
                <c:pt idx="228">
                  <c:v>-0.57351666394094913</c:v>
                </c:pt>
                <c:pt idx="229">
                  <c:v>-0.56985914859290521</c:v>
                </c:pt>
                <c:pt idx="230">
                  <c:v>-0.56620924066142819</c:v>
                </c:pt>
                <c:pt idx="231">
                  <c:v>-0.56256686014346691</c:v>
                </c:pt>
                <c:pt idx="232">
                  <c:v>-0.5589319279290087</c:v>
                </c:pt>
                <c:pt idx="233">
                  <c:v>-0.55530436578563602</c:v>
                </c:pt>
                <c:pt idx="234">
                  <c:v>-0.55168409634339777</c:v>
                </c:pt>
                <c:pt idx="235">
                  <c:v>-0.54807104307998966</c:v>
                </c:pt>
                <c:pt idx="236">
                  <c:v>-0.54446513030623522</c:v>
                </c:pt>
                <c:pt idx="237">
                  <c:v>-0.54086628315185947</c:v>
                </c:pt>
                <c:pt idx="238">
                  <c:v>-0.53727442755154975</c:v>
                </c:pt>
                <c:pt idx="239">
                  <c:v>-0.53368949023129297</c:v>
                </c:pt>
                <c:pt idx="240">
                  <c:v>-0.5301113986949858</c:v>
                </c:pt>
                <c:pt idx="241">
                  <c:v>-0.52654008121131124</c:v>
                </c:pt>
                <c:pt idx="242">
                  <c:v>-0.52297546680087248</c:v>
                </c:pt>
                <c:pt idx="243">
                  <c:v>-0.51941748522357756</c:v>
                </c:pt>
                <c:pt idx="244">
                  <c:v>-0.51586606696627446</c:v>
                </c:pt>
                <c:pt idx="245">
                  <c:v>-0.51232114323062183</c:v>
                </c:pt>
                <c:pt idx="246">
                  <c:v>-0.50878264592119848</c:v>
                </c:pt>
                <c:pt idx="247">
                  <c:v>-0.50525050763383694</c:v>
                </c:pt>
                <c:pt idx="248">
                  <c:v>-0.50172466164418483</c:v>
                </c:pt>
                <c:pt idx="249">
                  <c:v>-0.49820504189648129</c:v>
                </c:pt>
                <c:pt idx="250">
                  <c:v>-0.49469158299254773</c:v>
                </c:pt>
                <c:pt idx="251">
                  <c:v>-0.49118422018098601</c:v>
                </c:pt>
                <c:pt idx="252">
                  <c:v>-0.4876828893465785</c:v>
                </c:pt>
                <c:pt idx="253">
                  <c:v>-0.48418752699988798</c:v>
                </c:pt>
                <c:pt idx="254">
                  <c:v>-0.48069807026704975</c:v>
                </c:pt>
                <c:pt idx="255">
                  <c:v>-0.47721445687975278</c:v>
                </c:pt>
                <c:pt idx="256">
                  <c:v>-0.47373662516540577</c:v>
                </c:pt>
                <c:pt idx="257">
                  <c:v>-0.47026451403748454</c:v>
                </c:pt>
                <c:pt idx="258">
                  <c:v>-0.46679806298605186</c:v>
                </c:pt>
                <c:pt idx="259">
                  <c:v>-0.46333721206845424</c:v>
                </c:pt>
                <c:pt idx="260">
                  <c:v>-0.45988190190018269</c:v>
                </c:pt>
                <c:pt idx="261">
                  <c:v>-0.45643207364590005</c:v>
                </c:pt>
                <c:pt idx="262">
                  <c:v>-0.45298766901062815</c:v>
                </c:pt>
                <c:pt idx="263">
                  <c:v>-0.44954863023109176</c:v>
                </c:pt>
                <c:pt idx="264">
                  <c:v>-0.4461149000672151</c:v>
                </c:pt>
                <c:pt idx="265">
                  <c:v>-0.44268642179377005</c:v>
                </c:pt>
                <c:pt idx="266">
                  <c:v>-0.43926313919216853</c:v>
                </c:pt>
                <c:pt idx="267">
                  <c:v>-0.4358449965423995</c:v>
                </c:pt>
                <c:pt idx="268">
                  <c:v>-0.43243193861510604</c:v>
                </c:pt>
                <c:pt idx="269">
                  <c:v>-0.42902391066379769</c:v>
                </c:pt>
                <c:pt idx="270">
                  <c:v>-0.42562085841719849</c:v>
                </c:pt>
                <c:pt idx="271">
                  <c:v>-0.42222272807172406</c:v>
                </c:pt>
                <c:pt idx="272">
                  <c:v>-0.41882946628408779</c:v>
                </c:pt>
                <c:pt idx="273">
                  <c:v>-0.415441020164032</c:v>
                </c:pt>
                <c:pt idx="274">
                  <c:v>-0.41205733726718058</c:v>
                </c:pt>
                <c:pt idx="275">
                  <c:v>-0.40867836558801141</c:v>
                </c:pt>
                <c:pt idx="276">
                  <c:v>-0.40530405355294757</c:v>
                </c:pt>
                <c:pt idx="277">
                  <c:v>-0.40193435001356043</c:v>
                </c:pt>
                <c:pt idx="278">
                  <c:v>-0.39856920423988579</c:v>
                </c:pt>
                <c:pt idx="279">
                  <c:v>-0.39520856591384995</c:v>
                </c:pt>
                <c:pt idx="280">
                  <c:v>-0.39185238512280307</c:v>
                </c:pt>
                <c:pt idx="281">
                  <c:v>-0.38850061235315569</c:v>
                </c:pt>
                <c:pt idx="282">
                  <c:v>-0.38515319848411983</c:v>
                </c:pt>
                <c:pt idx="283">
                  <c:v>-0.38181009478154904</c:v>
                </c:pt>
                <c:pt idx="284">
                  <c:v>-0.37847125289187822</c:v>
                </c:pt>
                <c:pt idx="285">
                  <c:v>-0.37513662483615695</c:v>
                </c:pt>
                <c:pt idx="286">
                  <c:v>-0.37180616300417962</c:v>
                </c:pt>
                <c:pt idx="287">
                  <c:v>-0.36847982014870556</c:v>
                </c:pt>
                <c:pt idx="288">
                  <c:v>-0.36515754937977118</c:v>
                </c:pt>
                <c:pt idx="289">
                  <c:v>-0.36183930415908783</c:v>
                </c:pt>
                <c:pt idx="290">
                  <c:v>-0.35852503829452781</c:v>
                </c:pt>
                <c:pt idx="291">
                  <c:v>-0.3552147059346944</c:v>
                </c:pt>
                <c:pt idx="292">
                  <c:v>-0.35190826156357441</c:v>
                </c:pt>
                <c:pt idx="293">
                  <c:v>-0.34860565999527116</c:v>
                </c:pt>
                <c:pt idx="294">
                  <c:v>-0.34530685636881769</c:v>
                </c:pt>
                <c:pt idx="295">
                  <c:v>-0.34201180614306698</c:v>
                </c:pt>
                <c:pt idx="296">
                  <c:v>-0.33872046509165765</c:v>
                </c:pt>
                <c:pt idx="297">
                  <c:v>-0.33543278929805492</c:v>
                </c:pt>
                <c:pt idx="298">
                  <c:v>-0.33214873515066334</c:v>
                </c:pt>
                <c:pt idx="299">
                  <c:v>-0.32886825933801206</c:v>
                </c:pt>
                <c:pt idx="300">
                  <c:v>-0.32559131884400822</c:v>
                </c:pt>
                <c:pt idx="301">
                  <c:v>-0.32231787094325981</c:v>
                </c:pt>
                <c:pt idx="302">
                  <c:v>-0.31904787319646521</c:v>
                </c:pt>
                <c:pt idx="303">
                  <c:v>-0.31578128344586803</c:v>
                </c:pt>
                <c:pt idx="304">
                  <c:v>-0.31251805981077574</c:v>
                </c:pt>
                <c:pt idx="305">
                  <c:v>-0.30925816068314183</c:v>
                </c:pt>
                <c:pt idx="306">
                  <c:v>-0.30600154472320873</c:v>
                </c:pt>
                <c:pt idx="307">
                  <c:v>-0.30274817085521177</c:v>
                </c:pt>
                <c:pt idx="308">
                  <c:v>-0.29949799826314094</c:v>
                </c:pt>
                <c:pt idx="309">
                  <c:v>-0.29625098638656117</c:v>
                </c:pt>
                <c:pt idx="310">
                  <c:v>-0.2930070949164888</c:v>
                </c:pt>
                <c:pt idx="311">
                  <c:v>-0.28976628379132435</c:v>
                </c:pt>
                <c:pt idx="312">
                  <c:v>-0.28652851319283745</c:v>
                </c:pt>
                <c:pt idx="313">
                  <c:v>-0.28329374354220688</c:v>
                </c:pt>
                <c:pt idx="314">
                  <c:v>-0.28006193549611114</c:v>
                </c:pt>
                <c:pt idx="315">
                  <c:v>-0.27683304994287161</c:v>
                </c:pt>
                <c:pt idx="316">
                  <c:v>-0.27360704799864299</c:v>
                </c:pt>
                <c:pt idx="317">
                  <c:v>-0.27038389100365501</c:v>
                </c:pt>
                <c:pt idx="318">
                  <c:v>-0.26716354051850083</c:v>
                </c:pt>
                <c:pt idx="319">
                  <c:v>-0.26394595832047196</c:v>
                </c:pt>
                <c:pt idx="320">
                  <c:v>-0.26073110639993929</c:v>
                </c:pt>
                <c:pt idx="321">
                  <c:v>-0.2575189469567789</c:v>
                </c:pt>
                <c:pt idx="322">
                  <c:v>-0.254309442396843</c:v>
                </c:pt>
                <c:pt idx="323">
                  <c:v>-0.25110255532847103</c:v>
                </c:pt>
                <c:pt idx="324">
                  <c:v>-0.2478982485590456</c:v>
                </c:pt>
                <c:pt idx="325">
                  <c:v>-0.24469648509158839</c:v>
                </c:pt>
                <c:pt idx="326">
                  <c:v>-0.24149722812139685</c:v>
                </c:pt>
                <c:pt idx="327">
                  <c:v>-0.23830044103271933</c:v>
                </c:pt>
                <c:pt idx="328">
                  <c:v>-0.23510608739547059</c:v>
                </c:pt>
                <c:pt idx="329">
                  <c:v>-0.23191413096198332</c:v>
                </c:pt>
                <c:pt idx="330">
                  <c:v>-0.22872453566379866</c:v>
                </c:pt>
                <c:pt idx="331">
                  <c:v>-0.22553726560849066</c:v>
                </c:pt>
                <c:pt idx="332">
                  <c:v>-0.22235228507652813</c:v>
                </c:pt>
                <c:pt idx="333">
                  <c:v>-0.21916955851817027</c:v>
                </c:pt>
                <c:pt idx="334">
                  <c:v>-0.21598905055039688</c:v>
                </c:pt>
                <c:pt idx="335">
                  <c:v>-0.21281072595387035</c:v>
                </c:pt>
                <c:pt idx="336">
                  <c:v>-0.20963454966993217</c:v>
                </c:pt>
                <c:pt idx="337">
                  <c:v>-0.20646048679762946</c:v>
                </c:pt>
                <c:pt idx="338">
                  <c:v>-0.20328850259077433</c:v>
                </c:pt>
                <c:pt idx="339">
                  <c:v>-0.20011856245503135</c:v>
                </c:pt>
                <c:pt idx="340">
                  <c:v>-0.19695063194503698</c:v>
                </c:pt>
                <c:pt idx="341">
                  <c:v>-0.19378467676154726</c:v>
                </c:pt>
                <c:pt idx="342">
                  <c:v>-0.19062066274861308</c:v>
                </c:pt>
                <c:pt idx="343">
                  <c:v>-0.18745855589078456</c:v>
                </c:pt>
                <c:pt idx="344">
                  <c:v>-0.18429832231034171</c:v>
                </c:pt>
                <c:pt idx="345">
                  <c:v>-0.18113992826455266</c:v>
                </c:pt>
                <c:pt idx="346">
                  <c:v>-0.17798334014295583</c:v>
                </c:pt>
                <c:pt idx="347">
                  <c:v>-0.17482852446466976</c:v>
                </c:pt>
                <c:pt idx="348">
                  <c:v>-0.17167544787572603</c:v>
                </c:pt>
                <c:pt idx="349">
                  <c:v>-0.1685240771464275</c:v>
                </c:pt>
                <c:pt idx="350">
                  <c:v>-0.16537437916872888</c:v>
                </c:pt>
                <c:pt idx="351">
                  <c:v>-0.16222632095364145</c:v>
                </c:pt>
                <c:pt idx="352">
                  <c:v>-0.1590798696286595</c:v>
                </c:pt>
                <c:pt idx="353">
                  <c:v>-0.15593499243520981</c:v>
                </c:pt>
                <c:pt idx="354">
                  <c:v>-0.15279165672612058</c:v>
                </c:pt>
                <c:pt idx="355">
                  <c:v>-0.14964982996311305</c:v>
                </c:pt>
                <c:pt idx="356">
                  <c:v>-0.14650947971431272</c:v>
                </c:pt>
                <c:pt idx="357">
                  <c:v>-0.1433705736517806</c:v>
                </c:pt>
                <c:pt idx="358">
                  <c:v>-0.14023307954906311</c:v>
                </c:pt>
                <c:pt idx="359">
                  <c:v>-0.13709696527876158</c:v>
                </c:pt>
                <c:pt idx="360">
                  <c:v>-0.13396219881011989</c:v>
                </c:pt>
                <c:pt idx="361">
                  <c:v>-0.13082874820662996</c:v>
                </c:pt>
                <c:pt idx="362">
                  <c:v>-0.12769658162365391</c:v>
                </c:pt>
                <c:pt idx="363">
                  <c:v>-0.12456566730606403</c:v>
                </c:pt>
                <c:pt idx="364">
                  <c:v>-0.12143597358589922</c:v>
                </c:pt>
                <c:pt idx="365">
                  <c:v>-0.1183074688800359</c:v>
                </c:pt>
                <c:pt idx="366">
                  <c:v>-0.11518012168787614</c:v>
                </c:pt>
                <c:pt idx="367">
                  <c:v>-0.1120539005890499</c:v>
                </c:pt>
                <c:pt idx="368">
                  <c:v>-0.10892877424113243</c:v>
                </c:pt>
                <c:pt idx="369">
                  <c:v>-0.10580471137737471</c:v>
                </c:pt>
                <c:pt idx="370">
                  <c:v>-0.10268168080444878</c:v>
                </c:pt>
                <c:pt idx="371">
                  <c:v>-9.9559651400205743E-2</c:v>
                </c:pt>
                <c:pt idx="372">
                  <c:v>-9.6438592111447202E-2</c:v>
                </c:pt>
                <c:pt idx="373">
                  <c:v>-9.3318471951707754E-2</c:v>
                </c:pt>
                <c:pt idx="374">
                  <c:v>-9.0199259999051096E-2</c:v>
                </c:pt>
                <c:pt idx="375">
                  <c:v>-8.7080925393876574E-2</c:v>
                </c:pt>
                <c:pt idx="376">
                  <c:v>-8.3963437336737987E-2</c:v>
                </c:pt>
                <c:pt idx="377">
                  <c:v>-8.0846765086171571E-2</c:v>
                </c:pt>
                <c:pt idx="378">
                  <c:v>-7.7730877956535868E-2</c:v>
                </c:pt>
                <c:pt idx="379">
                  <c:v>-7.4615745315860654E-2</c:v>
                </c:pt>
                <c:pt idx="380">
                  <c:v>-7.1501336583706318E-2</c:v>
                </c:pt>
                <c:pt idx="381">
                  <c:v>-6.8387621229030929E-2</c:v>
                </c:pt>
                <c:pt idx="382">
                  <c:v>-6.527456876806742E-2</c:v>
                </c:pt>
                <c:pt idx="383">
                  <c:v>-6.2162148762209143E-2</c:v>
                </c:pt>
                <c:pt idx="384">
                  <c:v>-5.9050330815902101E-2</c:v>
                </c:pt>
                <c:pt idx="385">
                  <c:v>-5.5939084574546334E-2</c:v>
                </c:pt>
                <c:pt idx="386">
                  <c:v>-5.2828379722403541E-2</c:v>
                </c:pt>
                <c:pt idx="387">
                  <c:v>-4.9718185980512669E-2</c:v>
                </c:pt>
                <c:pt idx="388">
                  <c:v>-4.6608473104610221E-2</c:v>
                </c:pt>
                <c:pt idx="389">
                  <c:v>-4.3499210883058456E-2</c:v>
                </c:pt>
                <c:pt idx="390">
                  <c:v>-4.039036913477824E-2</c:v>
                </c:pt>
                <c:pt idx="391">
                  <c:v>-3.7281917707188278E-2</c:v>
                </c:pt>
                <c:pt idx="392">
                  <c:v>-3.4173826474147871E-2</c:v>
                </c:pt>
                <c:pt idx="393">
                  <c:v>-3.1066065333905688E-2</c:v>
                </c:pt>
                <c:pt idx="394">
                  <c:v>-2.7958604207052151E-2</c:v>
                </c:pt>
                <c:pt idx="395">
                  <c:v>-2.4851413034476393E-2</c:v>
                </c:pt>
                <c:pt idx="396">
                  <c:v>-2.1744461775325484E-2</c:v>
                </c:pt>
                <c:pt idx="397">
                  <c:v>-1.8637720404968229E-2</c:v>
                </c:pt>
                <c:pt idx="398">
                  <c:v>-1.5531158912960993E-2</c:v>
                </c:pt>
                <c:pt idx="399">
                  <c:v>-1.2424747301016821E-2</c:v>
                </c:pt>
                <c:pt idx="400">
                  <c:v>-9.3184555809752972E-3</c:v>
                </c:pt>
                <c:pt idx="401">
                  <c:v>-6.2122537727756083E-3</c:v>
                </c:pt>
                <c:pt idx="402">
                  <c:v>-3.1061119024301388E-3</c:v>
                </c:pt>
                <c:pt idx="403">
                  <c:v>0</c:v>
                </c:pt>
                <c:pt idx="404">
                  <c:v>3.1061119024302771E-3</c:v>
                </c:pt>
                <c:pt idx="405">
                  <c:v>6.2122537727754678E-3</c:v>
                </c:pt>
                <c:pt idx="406">
                  <c:v>9.3184555809752972E-3</c:v>
                </c:pt>
                <c:pt idx="407">
                  <c:v>1.2424747301016958E-2</c:v>
                </c:pt>
                <c:pt idx="408">
                  <c:v>1.5531158912960993E-2</c:v>
                </c:pt>
                <c:pt idx="409">
                  <c:v>1.8637720404968229E-2</c:v>
                </c:pt>
                <c:pt idx="410">
                  <c:v>2.1744461775325342E-2</c:v>
                </c:pt>
                <c:pt idx="411">
                  <c:v>2.4851413034476393E-2</c:v>
                </c:pt>
                <c:pt idx="412">
                  <c:v>2.7958604207052293E-2</c:v>
                </c:pt>
                <c:pt idx="413">
                  <c:v>3.1066065333905553E-2</c:v>
                </c:pt>
                <c:pt idx="414">
                  <c:v>3.4173826474147871E-2</c:v>
                </c:pt>
                <c:pt idx="415">
                  <c:v>3.7281917707188424E-2</c:v>
                </c:pt>
                <c:pt idx="416">
                  <c:v>4.039036913477824E-2</c:v>
                </c:pt>
                <c:pt idx="417">
                  <c:v>4.3499210883058456E-2</c:v>
                </c:pt>
                <c:pt idx="418">
                  <c:v>4.6608473104610082E-2</c:v>
                </c:pt>
                <c:pt idx="419">
                  <c:v>4.9718185980512669E-2</c:v>
                </c:pt>
                <c:pt idx="420">
                  <c:v>5.2828379722403694E-2</c:v>
                </c:pt>
                <c:pt idx="421">
                  <c:v>5.5939084574546188E-2</c:v>
                </c:pt>
                <c:pt idx="422">
                  <c:v>5.9050330815902101E-2</c:v>
                </c:pt>
                <c:pt idx="423">
                  <c:v>6.2162148762209282E-2</c:v>
                </c:pt>
                <c:pt idx="424">
                  <c:v>6.527456876806742E-2</c:v>
                </c:pt>
                <c:pt idx="425">
                  <c:v>6.8387621229030929E-2</c:v>
                </c:pt>
                <c:pt idx="426">
                  <c:v>7.1501336583706457E-2</c:v>
                </c:pt>
                <c:pt idx="427">
                  <c:v>7.4615745315860654E-2</c:v>
                </c:pt>
                <c:pt idx="428">
                  <c:v>7.7730877956535868E-2</c:v>
                </c:pt>
                <c:pt idx="429">
                  <c:v>8.0846765086171432E-2</c:v>
                </c:pt>
                <c:pt idx="430">
                  <c:v>8.3963437336737987E-2</c:v>
                </c:pt>
                <c:pt idx="431">
                  <c:v>8.7080925393876726E-2</c:v>
                </c:pt>
                <c:pt idx="432">
                  <c:v>9.0199259999050957E-2</c:v>
                </c:pt>
                <c:pt idx="433">
                  <c:v>9.3318471951707754E-2</c:v>
                </c:pt>
                <c:pt idx="434">
                  <c:v>9.6438592111447313E-2</c:v>
                </c:pt>
                <c:pt idx="435">
                  <c:v>9.9559651400205743E-2</c:v>
                </c:pt>
                <c:pt idx="436">
                  <c:v>0.10268168080444878</c:v>
                </c:pt>
                <c:pt idx="437">
                  <c:v>0.10580471137737456</c:v>
                </c:pt>
                <c:pt idx="438">
                  <c:v>0.10892877424113243</c:v>
                </c:pt>
                <c:pt idx="439">
                  <c:v>0.11205390058905006</c:v>
                </c:pt>
                <c:pt idx="440">
                  <c:v>0.115180121687876</c:v>
                </c:pt>
                <c:pt idx="441">
                  <c:v>0.1183074688800359</c:v>
                </c:pt>
                <c:pt idx="442">
                  <c:v>0.12143597358589935</c:v>
                </c:pt>
                <c:pt idx="443">
                  <c:v>0.12456566730606403</c:v>
                </c:pt>
                <c:pt idx="444">
                  <c:v>0.12769658162365391</c:v>
                </c:pt>
                <c:pt idx="445">
                  <c:v>0.13082874820662979</c:v>
                </c:pt>
                <c:pt idx="446">
                  <c:v>0.13396219881011989</c:v>
                </c:pt>
                <c:pt idx="447">
                  <c:v>0.13709696527876158</c:v>
                </c:pt>
                <c:pt idx="448">
                  <c:v>0.14023307954906297</c:v>
                </c:pt>
                <c:pt idx="449">
                  <c:v>0.1433705736517806</c:v>
                </c:pt>
                <c:pt idx="450">
                  <c:v>0.14650947971431286</c:v>
                </c:pt>
                <c:pt idx="451">
                  <c:v>0.14964982996311293</c:v>
                </c:pt>
                <c:pt idx="452">
                  <c:v>0.15279165672612058</c:v>
                </c:pt>
                <c:pt idx="453">
                  <c:v>0.15593499243520995</c:v>
                </c:pt>
                <c:pt idx="454">
                  <c:v>0.1590798696286595</c:v>
                </c:pt>
                <c:pt idx="455">
                  <c:v>0.16222632095364145</c:v>
                </c:pt>
                <c:pt idx="456">
                  <c:v>0.16537437916872874</c:v>
                </c:pt>
                <c:pt idx="457">
                  <c:v>0.1685240771464275</c:v>
                </c:pt>
                <c:pt idx="458">
                  <c:v>0.17167544787572614</c:v>
                </c:pt>
                <c:pt idx="459">
                  <c:v>0.17482852446466962</c:v>
                </c:pt>
                <c:pt idx="460">
                  <c:v>0.17798334014295583</c:v>
                </c:pt>
                <c:pt idx="461">
                  <c:v>0.18113992826455283</c:v>
                </c:pt>
                <c:pt idx="462">
                  <c:v>0.18429832231034171</c:v>
                </c:pt>
                <c:pt idx="463">
                  <c:v>0.18745855589078456</c:v>
                </c:pt>
                <c:pt idx="464">
                  <c:v>0.19062066274861295</c:v>
                </c:pt>
                <c:pt idx="465">
                  <c:v>0.19378467676154726</c:v>
                </c:pt>
                <c:pt idx="466">
                  <c:v>0.19695063194503712</c:v>
                </c:pt>
                <c:pt idx="467">
                  <c:v>0.20011856245503121</c:v>
                </c:pt>
                <c:pt idx="468">
                  <c:v>0.20328850259077433</c:v>
                </c:pt>
                <c:pt idx="469">
                  <c:v>0.20646048679762963</c:v>
                </c:pt>
                <c:pt idx="470">
                  <c:v>0.209634549669932</c:v>
                </c:pt>
                <c:pt idx="471">
                  <c:v>0.21281072595387035</c:v>
                </c:pt>
                <c:pt idx="472">
                  <c:v>0.21598905055039699</c:v>
                </c:pt>
                <c:pt idx="473">
                  <c:v>0.21916955851817027</c:v>
                </c:pt>
                <c:pt idx="474">
                  <c:v>0.22235228507652813</c:v>
                </c:pt>
                <c:pt idx="475">
                  <c:v>0.22553726560849049</c:v>
                </c:pt>
                <c:pt idx="476">
                  <c:v>0.22872453566379866</c:v>
                </c:pt>
                <c:pt idx="477">
                  <c:v>0.23191413096198346</c:v>
                </c:pt>
                <c:pt idx="478">
                  <c:v>0.23510608739547043</c:v>
                </c:pt>
                <c:pt idx="479">
                  <c:v>0.23830044103271933</c:v>
                </c:pt>
                <c:pt idx="480">
                  <c:v>0.24149722812139693</c:v>
                </c:pt>
                <c:pt idx="481">
                  <c:v>0.24469648509158839</c:v>
                </c:pt>
                <c:pt idx="482">
                  <c:v>0.2478982485590456</c:v>
                </c:pt>
                <c:pt idx="483">
                  <c:v>0.25110255532847081</c:v>
                </c:pt>
                <c:pt idx="484">
                  <c:v>0.254309442396843</c:v>
                </c:pt>
                <c:pt idx="485">
                  <c:v>0.25751894695677907</c:v>
                </c:pt>
                <c:pt idx="486">
                  <c:v>0.26073110639993913</c:v>
                </c:pt>
                <c:pt idx="487">
                  <c:v>0.26394595832047196</c:v>
                </c:pt>
                <c:pt idx="488">
                  <c:v>0.26716354051850105</c:v>
                </c:pt>
                <c:pt idx="489">
                  <c:v>0.27038389100365501</c:v>
                </c:pt>
                <c:pt idx="490">
                  <c:v>0.27360704799864299</c:v>
                </c:pt>
                <c:pt idx="491">
                  <c:v>0.27683304994287167</c:v>
                </c:pt>
                <c:pt idx="492">
                  <c:v>0.28006193549611114</c:v>
                </c:pt>
                <c:pt idx="493">
                  <c:v>0.28329374354220688</c:v>
                </c:pt>
                <c:pt idx="494">
                  <c:v>0.28652851319283734</c:v>
                </c:pt>
                <c:pt idx="495">
                  <c:v>0.28976628379132435</c:v>
                </c:pt>
                <c:pt idx="496">
                  <c:v>0.29300709491648896</c:v>
                </c:pt>
                <c:pt idx="497">
                  <c:v>0.296250986386561</c:v>
                </c:pt>
                <c:pt idx="498">
                  <c:v>0.29949799826314094</c:v>
                </c:pt>
                <c:pt idx="499">
                  <c:v>0.30274817085521194</c:v>
                </c:pt>
                <c:pt idx="500">
                  <c:v>0.30600154472320873</c:v>
                </c:pt>
                <c:pt idx="501">
                  <c:v>0.30925816068314183</c:v>
                </c:pt>
                <c:pt idx="502">
                  <c:v>0.31251805981077552</c:v>
                </c:pt>
                <c:pt idx="503">
                  <c:v>0.31578128344586803</c:v>
                </c:pt>
                <c:pt idx="504">
                  <c:v>0.31904787319646533</c:v>
                </c:pt>
                <c:pt idx="505">
                  <c:v>0.3223178709432597</c:v>
                </c:pt>
                <c:pt idx="506">
                  <c:v>0.32559131884400822</c:v>
                </c:pt>
                <c:pt idx="507">
                  <c:v>0.32886825933801223</c:v>
                </c:pt>
                <c:pt idx="508">
                  <c:v>0.33214873515066334</c:v>
                </c:pt>
                <c:pt idx="509">
                  <c:v>0.33543278929805492</c:v>
                </c:pt>
                <c:pt idx="510">
                  <c:v>0.3387204650916576</c:v>
                </c:pt>
                <c:pt idx="511">
                  <c:v>0.34201180614306698</c:v>
                </c:pt>
                <c:pt idx="512">
                  <c:v>0.34530685636881786</c:v>
                </c:pt>
                <c:pt idx="513">
                  <c:v>0.34860565999527104</c:v>
                </c:pt>
                <c:pt idx="514">
                  <c:v>0.35190826156357441</c:v>
                </c:pt>
                <c:pt idx="515">
                  <c:v>0.35521470593469451</c:v>
                </c:pt>
                <c:pt idx="516">
                  <c:v>0.35852503829452775</c:v>
                </c:pt>
                <c:pt idx="517">
                  <c:v>0.36183930415908783</c:v>
                </c:pt>
                <c:pt idx="518">
                  <c:v>0.36515754937977135</c:v>
                </c:pt>
                <c:pt idx="519">
                  <c:v>0.36847982014870556</c:v>
                </c:pt>
                <c:pt idx="520">
                  <c:v>0.37180616300417962</c:v>
                </c:pt>
                <c:pt idx="521">
                  <c:v>0.37513662483615684</c:v>
                </c:pt>
                <c:pt idx="522">
                  <c:v>0.37847125289187822</c:v>
                </c:pt>
                <c:pt idx="523">
                  <c:v>0.38181009478154926</c:v>
                </c:pt>
                <c:pt idx="524">
                  <c:v>0.38515319848411972</c:v>
                </c:pt>
                <c:pt idx="525">
                  <c:v>0.38850061235315569</c:v>
                </c:pt>
                <c:pt idx="526">
                  <c:v>0.39185238512280324</c:v>
                </c:pt>
                <c:pt idx="527">
                  <c:v>0.39520856591384995</c:v>
                </c:pt>
                <c:pt idx="528">
                  <c:v>0.39856920423988579</c:v>
                </c:pt>
                <c:pt idx="529">
                  <c:v>0.40193435001356026</c:v>
                </c:pt>
                <c:pt idx="530">
                  <c:v>0.40530405355294757</c:v>
                </c:pt>
                <c:pt idx="531">
                  <c:v>0.40867836558801146</c:v>
                </c:pt>
                <c:pt idx="532">
                  <c:v>0.41205733726718025</c:v>
                </c:pt>
                <c:pt idx="533">
                  <c:v>0.415441020164032</c:v>
                </c:pt>
                <c:pt idx="534">
                  <c:v>0.4188294662840879</c:v>
                </c:pt>
                <c:pt idx="535">
                  <c:v>0.42222272807172406</c:v>
                </c:pt>
                <c:pt idx="536">
                  <c:v>0.42562085841719849</c:v>
                </c:pt>
                <c:pt idx="537">
                  <c:v>0.4290239106637978</c:v>
                </c:pt>
                <c:pt idx="538">
                  <c:v>0.43243193861510604</c:v>
                </c:pt>
                <c:pt idx="539">
                  <c:v>0.4358449965423995</c:v>
                </c:pt>
                <c:pt idx="540">
                  <c:v>0.43926313919216836</c:v>
                </c:pt>
                <c:pt idx="541">
                  <c:v>0.44268642179377005</c:v>
                </c:pt>
                <c:pt idx="542">
                  <c:v>0.44611490006721516</c:v>
                </c:pt>
                <c:pt idx="543">
                  <c:v>0.44954863023109171</c:v>
                </c:pt>
                <c:pt idx="544">
                  <c:v>0.45298766901062815</c:v>
                </c:pt>
                <c:pt idx="545">
                  <c:v>0.45643207364590022</c:v>
                </c:pt>
                <c:pt idx="546">
                  <c:v>0.45988190190018269</c:v>
                </c:pt>
                <c:pt idx="547">
                  <c:v>0.46333721206845424</c:v>
                </c:pt>
                <c:pt idx="548">
                  <c:v>0.46679806298605175</c:v>
                </c:pt>
                <c:pt idx="549">
                  <c:v>0.47026451403748454</c:v>
                </c:pt>
                <c:pt idx="550">
                  <c:v>0.47373662516540604</c:v>
                </c:pt>
                <c:pt idx="551">
                  <c:v>0.47721445687975261</c:v>
                </c:pt>
                <c:pt idx="552">
                  <c:v>0.48069807026704975</c:v>
                </c:pt>
                <c:pt idx="553">
                  <c:v>0.48418752699988815</c:v>
                </c:pt>
                <c:pt idx="554">
                  <c:v>0.4876828893465785</c:v>
                </c:pt>
                <c:pt idx="555">
                  <c:v>0.49118422018098601</c:v>
                </c:pt>
                <c:pt idx="556">
                  <c:v>0.49469158299254795</c:v>
                </c:pt>
                <c:pt idx="557">
                  <c:v>0.49820504189648129</c:v>
                </c:pt>
                <c:pt idx="558">
                  <c:v>0.50172466164418483</c:v>
                </c:pt>
                <c:pt idx="559">
                  <c:v>0.50525050763383683</c:v>
                </c:pt>
                <c:pt idx="560">
                  <c:v>0.50878264592119848</c:v>
                </c:pt>
                <c:pt idx="561">
                  <c:v>0.51232114323062217</c:v>
                </c:pt>
                <c:pt idx="562">
                  <c:v>0.51586606696627435</c:v>
                </c:pt>
                <c:pt idx="563">
                  <c:v>0.51941748522357756</c:v>
                </c:pt>
                <c:pt idx="564">
                  <c:v>0.52297546680087259</c:v>
                </c:pt>
                <c:pt idx="565">
                  <c:v>0.52654008121131124</c:v>
                </c:pt>
                <c:pt idx="566">
                  <c:v>0.5301113986949858</c:v>
                </c:pt>
                <c:pt idx="567">
                  <c:v>0.53368949023129275</c:v>
                </c:pt>
                <c:pt idx="568">
                  <c:v>0.53727442755154975</c:v>
                </c:pt>
                <c:pt idx="569">
                  <c:v>0.54086628315185969</c:v>
                </c:pt>
                <c:pt idx="570">
                  <c:v>0.544465130306235</c:v>
                </c:pt>
                <c:pt idx="571">
                  <c:v>0.54807104307998966</c:v>
                </c:pt>
                <c:pt idx="572">
                  <c:v>0.55168409634339799</c:v>
                </c:pt>
                <c:pt idx="573">
                  <c:v>0.55530436578563602</c:v>
                </c:pt>
                <c:pt idx="574">
                  <c:v>0.5589319279290087</c:v>
                </c:pt>
                <c:pt idx="575">
                  <c:v>0.56256686014346657</c:v>
                </c:pt>
                <c:pt idx="576">
                  <c:v>0.56620924066142819</c:v>
                </c:pt>
                <c:pt idx="577">
                  <c:v>0.56985914859290532</c:v>
                </c:pt>
                <c:pt idx="578">
                  <c:v>0.5735166639409488</c:v>
                </c:pt>
                <c:pt idx="579">
                  <c:v>0.57718186761741808</c:v>
                </c:pt>
                <c:pt idx="580">
                  <c:v>0.58085484145908051</c:v>
                </c:pt>
                <c:pt idx="581">
                  <c:v>0.58453566824405578</c:v>
                </c:pt>
                <c:pt idx="582">
                  <c:v>0.58822443170861116</c:v>
                </c:pt>
                <c:pt idx="583">
                  <c:v>0.59192121656431218</c:v>
                </c:pt>
                <c:pt idx="584">
                  <c:v>0.59562610851554787</c:v>
                </c:pt>
                <c:pt idx="585">
                  <c:v>0.59933919427743332</c:v>
                </c:pt>
                <c:pt idx="586">
                  <c:v>0.60306056159409882</c:v>
                </c:pt>
                <c:pt idx="587">
                  <c:v>0.60679029925738348</c:v>
                </c:pt>
                <c:pt idx="588">
                  <c:v>0.61052849712593593</c:v>
                </c:pt>
                <c:pt idx="589">
                  <c:v>0.61427524614473794</c:v>
                </c:pt>
                <c:pt idx="590">
                  <c:v>0.61803063836506167</c:v>
                </c:pt>
                <c:pt idx="591">
                  <c:v>0.62179476696487035</c:v>
                </c:pt>
                <c:pt idx="592">
                  <c:v>0.62556772626967638</c:v>
                </c:pt>
                <c:pt idx="593">
                  <c:v>0.62934961177387116</c:v>
                </c:pt>
                <c:pt idx="594">
                  <c:v>0.63314052016253586</c:v>
                </c:pt>
                <c:pt idx="595">
                  <c:v>0.636940549333748</c:v>
                </c:pt>
                <c:pt idx="596">
                  <c:v>0.64074979842139901</c:v>
                </c:pt>
                <c:pt idx="597">
                  <c:v>0.64456836781853499</c:v>
                </c:pt>
                <c:pt idx="598">
                  <c:v>0.64839635920124028</c:v>
                </c:pt>
                <c:pt idx="599">
                  <c:v>0.65223387555306978</c:v>
                </c:pt>
                <c:pt idx="600">
                  <c:v>0.65608102119005429</c:v>
                </c:pt>
                <c:pt idx="601">
                  <c:v>0.65993790178629375</c:v>
                </c:pt>
                <c:pt idx="602">
                  <c:v>0.66380462440015164</c:v>
                </c:pt>
                <c:pt idx="603">
                  <c:v>0.66768129750106964</c:v>
                </c:pt>
                <c:pt idx="604">
                  <c:v>0.67156803099702567</c:v>
                </c:pt>
                <c:pt idx="605">
                  <c:v>0.67546493626264092</c:v>
                </c:pt>
                <c:pt idx="606">
                  <c:v>0.67937212616797271</c:v>
                </c:pt>
                <c:pt idx="607">
                  <c:v>0.68328971510799696</c:v>
                </c:pt>
                <c:pt idx="608">
                  <c:v>0.68721781903280976</c:v>
                </c:pt>
                <c:pt idx="609">
                  <c:v>0.69115655547857413</c:v>
                </c:pt>
                <c:pt idx="610">
                  <c:v>0.69510604359921124</c:v>
                </c:pt>
                <c:pt idx="611">
                  <c:v>0.69906640419889454</c:v>
                </c:pt>
                <c:pt idx="612">
                  <c:v>0.70303775976533733</c:v>
                </c:pt>
                <c:pt idx="613">
                  <c:v>0.7070202345039136</c:v>
                </c:pt>
                <c:pt idx="614">
                  <c:v>0.71101395437264392</c:v>
                </c:pt>
                <c:pt idx="615">
                  <c:v>0.71501904711805409</c:v>
                </c:pt>
                <c:pt idx="616">
                  <c:v>0.71903564231194905</c:v>
                </c:pt>
                <c:pt idx="617">
                  <c:v>0.7230638713891282</c:v>
                </c:pt>
                <c:pt idx="618">
                  <c:v>0.72710386768606206</c:v>
                </c:pt>
                <c:pt idx="619">
                  <c:v>0.73115576648057046</c:v>
                </c:pt>
                <c:pt idx="620">
                  <c:v>0.73521970503253264</c:v>
                </c:pt>
                <c:pt idx="621">
                  <c:v>0.73929582262565396</c:v>
                </c:pt>
                <c:pt idx="622">
                  <c:v>0.74338426061033158</c:v>
                </c:pt>
                <c:pt idx="623">
                  <c:v>0.74748516244764973</c:v>
                </c:pt>
                <c:pt idx="624">
                  <c:v>0.75159867375454548</c:v>
                </c:pt>
                <c:pt idx="625">
                  <c:v>0.75572494235017407</c:v>
                </c:pt>
                <c:pt idx="626">
                  <c:v>0.75986411830352263</c:v>
                </c:pt>
                <c:pt idx="627">
                  <c:v>0.76401635398230361</c:v>
                </c:pt>
                <c:pt idx="628">
                  <c:v>0.76818180410318582</c:v>
                </c:pt>
                <c:pt idx="629">
                  <c:v>0.77236062578338138</c:v>
                </c:pt>
                <c:pt idx="630">
                  <c:v>0.77655297859365702</c:v>
                </c:pt>
                <c:pt idx="631">
                  <c:v>0.78075902461281554</c:v>
                </c:pt>
                <c:pt idx="632">
                  <c:v>0.78497892848367534</c:v>
                </c:pt>
                <c:pt idx="633">
                  <c:v>0.78921285747062497</c:v>
                </c:pt>
                <c:pt idx="634">
                  <c:v>0.79346098151879274</c:v>
                </c:pt>
                <c:pt idx="635">
                  <c:v>0.79772347331488291</c:v>
                </c:pt>
                <c:pt idx="636">
                  <c:v>0.80200050834975056</c:v>
                </c:pt>
                <c:pt idx="637">
                  <c:v>0.80629226498276318</c:v>
                </c:pt>
                <c:pt idx="638">
                  <c:v>0.81059892450800952</c:v>
                </c:pt>
                <c:pt idx="639">
                  <c:v>0.81492067122242973</c:v>
                </c:pt>
                <c:pt idx="640">
                  <c:v>0.81925769249593305</c:v>
                </c:pt>
                <c:pt idx="641">
                  <c:v>0.82361017884355936</c:v>
                </c:pt>
                <c:pt idx="642">
                  <c:v>0.82797832399978744</c:v>
                </c:pt>
                <c:pt idx="643">
                  <c:v>0.83236232499502116</c:v>
                </c:pt>
                <c:pt idx="644">
                  <c:v>0.83676238223438926</c:v>
                </c:pt>
                <c:pt idx="645">
                  <c:v>0.84117869957888414</c:v>
                </c:pt>
                <c:pt idx="646">
                  <c:v>0.84561148442897183</c:v>
                </c:pt>
                <c:pt idx="647">
                  <c:v>0.85006094781074393</c:v>
                </c:pt>
                <c:pt idx="648">
                  <c:v>0.85452730446469527</c:v>
                </c:pt>
                <c:pt idx="649">
                  <c:v>0.85901077293724848</c:v>
                </c:pt>
                <c:pt idx="650">
                  <c:v>0.86351157567511283</c:v>
                </c:pt>
                <c:pt idx="651">
                  <c:v>0.86802993912258619</c:v>
                </c:pt>
                <c:pt idx="652">
                  <c:v>0.87256609382191841</c:v>
                </c:pt>
                <c:pt idx="653">
                  <c:v>0.87712027451684371</c:v>
                </c:pt>
                <c:pt idx="654">
                  <c:v>0.88169272025940548</c:v>
                </c:pt>
                <c:pt idx="655">
                  <c:v>0.88628367452021983</c:v>
                </c:pt>
                <c:pt idx="656">
                  <c:v>0.89089338530226825</c:v>
                </c:pt>
                <c:pt idx="657">
                  <c:v>0.89552210525841913</c:v>
                </c:pt>
                <c:pt idx="658">
                  <c:v>0.90017009181275498</c:v>
                </c:pt>
                <c:pt idx="659">
                  <c:v>0.90483760728592699</c:v>
                </c:pt>
                <c:pt idx="660">
                  <c:v>0.90952491902464438</c:v>
                </c:pt>
                <c:pt idx="661">
                  <c:v>0.91423229953548146</c:v>
                </c:pt>
                <c:pt idx="662">
                  <c:v>0.91896002662320075</c:v>
                </c:pt>
                <c:pt idx="663">
                  <c:v>0.92370838353373652</c:v>
                </c:pt>
                <c:pt idx="664">
                  <c:v>0.92847765910206115</c:v>
                </c:pt>
                <c:pt idx="665">
                  <c:v>0.93326814790512536</c:v>
                </c:pt>
                <c:pt idx="666">
                  <c:v>0.93808015042007897</c:v>
                </c:pt>
                <c:pt idx="667">
                  <c:v>0.94291397318801373</c:v>
                </c:pt>
                <c:pt idx="668">
                  <c:v>0.94776992898341883</c:v>
                </c:pt>
                <c:pt idx="669">
                  <c:v>0.95264833698965778</c:v>
                </c:pt>
                <c:pt idx="670">
                  <c:v>0.95754952298067086</c:v>
                </c:pt>
                <c:pt idx="671">
                  <c:v>0.96247381950917721</c:v>
                </c:pt>
                <c:pt idx="672">
                  <c:v>0.96742156610170071</c:v>
                </c:pt>
                <c:pt idx="673">
                  <c:v>0.97239310946067403</c:v>
                </c:pt>
                <c:pt idx="674">
                  <c:v>0.97738880367395276</c:v>
                </c:pt>
                <c:pt idx="675">
                  <c:v>0.9824090104320693</c:v>
                </c:pt>
                <c:pt idx="676">
                  <c:v>0.98745409925358074</c:v>
                </c:pt>
                <c:pt idx="677">
                  <c:v>0.99252444771886239</c:v>
                </c:pt>
                <c:pt idx="678">
                  <c:v>0.9976204417127269</c:v>
                </c:pt>
                <c:pt idx="679">
                  <c:v>1.0027424756763177</c:v>
                </c:pt>
                <c:pt idx="680">
                  <c:v>1.0078909528686477</c:v>
                </c:pt>
                <c:pt idx="681">
                  <c:v>1.0130662856382573</c:v>
                </c:pt>
                <c:pt idx="682">
                  <c:v>1.0182688957055219</c:v>
                </c:pt>
                <c:pt idx="683">
                  <c:v>1.0234992144559798</c:v>
                </c:pt>
                <c:pt idx="684">
                  <c:v>1.0287576832453833</c:v>
                </c:pt>
                <c:pt idx="685">
                  <c:v>1.0340447537168658</c:v>
                </c:pt>
                <c:pt idx="686">
                  <c:v>1.0393608881309517</c:v>
                </c:pt>
                <c:pt idx="687">
                  <c:v>1.0447065597089622</c:v>
                </c:pt>
                <c:pt idx="688">
                  <c:v>1.0500822529904894</c:v>
                </c:pt>
                <c:pt idx="689">
                  <c:v>1.0554884642056612</c:v>
                </c:pt>
                <c:pt idx="690">
                  <c:v>1.060925701662939</c:v>
                </c:pt>
                <c:pt idx="691">
                  <c:v>1.0663944861531984</c:v>
                </c:pt>
                <c:pt idx="692">
                  <c:v>1.0718953513709781</c:v>
                </c:pt>
                <c:pt idx="693">
                  <c:v>1.0774288443537556</c:v>
                </c:pt>
                <c:pt idx="694">
                  <c:v>1.0829955259401778</c:v>
                </c:pt>
                <c:pt idx="695">
                  <c:v>1.0885959712482742</c:v>
                </c:pt>
                <c:pt idx="696">
                  <c:v>1.0942307701746825</c:v>
                </c:pt>
                <c:pt idx="697">
                  <c:v>1.0999005279160257</c:v>
                </c:pt>
                <c:pt idx="698">
                  <c:v>1.1056058655136347</c:v>
                </c:pt>
                <c:pt idx="699">
                  <c:v>1.1113474204228826</c:v>
                </c:pt>
                <c:pt idx="700">
                  <c:v>1.1171258471084931</c:v>
                </c:pt>
                <c:pt idx="701">
                  <c:v>1.1229418176672605</c:v>
                </c:pt>
                <c:pt idx="702">
                  <c:v>1.1287960224797102</c:v>
                </c:pt>
                <c:pt idx="703">
                  <c:v>1.1346891708923552</c:v>
                </c:pt>
                <c:pt idx="704">
                  <c:v>1.1406219919322809</c:v>
                </c:pt>
                <c:pt idx="705">
                  <c:v>1.1465952350559254</c:v>
                </c:pt>
                <c:pt idx="706">
                  <c:v>1.1526096709340612</c:v>
                </c:pt>
                <c:pt idx="707">
                  <c:v>1.1586660922750927</c:v>
                </c:pt>
                <c:pt idx="708">
                  <c:v>1.1647653146889521</c:v>
                </c:pt>
                <c:pt idx="709">
                  <c:v>1.1709081775940402</c:v>
                </c:pt>
                <c:pt idx="710">
                  <c:v>1.1770955451698173</c:v>
                </c:pt>
                <c:pt idx="711">
                  <c:v>1.1833283073578369</c:v>
                </c:pt>
                <c:pt idx="712">
                  <c:v>1.1896073809142442</c:v>
                </c:pt>
                <c:pt idx="713">
                  <c:v>1.1959337105169316</c:v>
                </c:pt>
                <c:pt idx="714">
                  <c:v>1.2023082699308456</c:v>
                </c:pt>
                <c:pt idx="715">
                  <c:v>1.2087320632351395</c:v>
                </c:pt>
                <c:pt idx="716">
                  <c:v>1.2152061261161777</c:v>
                </c:pt>
                <c:pt idx="717">
                  <c:v>1.2217315272307172</c:v>
                </c:pt>
                <c:pt idx="718">
                  <c:v>1.2283093696438865</c:v>
                </c:pt>
                <c:pt idx="719">
                  <c:v>1.2349407923469664</c:v>
                </c:pt>
                <c:pt idx="720">
                  <c:v>1.2416269718604036</c:v>
                </c:pt>
                <c:pt idx="721">
                  <c:v>1.2483691239278443</c:v>
                </c:pt>
                <c:pt idx="722">
                  <c:v>1.2551685053075385</c:v>
                </c:pt>
                <c:pt idx="723">
                  <c:v>1.2620264156679111</c:v>
                </c:pt>
                <c:pt idx="724">
                  <c:v>1.2689441995946948</c:v>
                </c:pt>
                <c:pt idx="725">
                  <c:v>1.2759232487176544</c:v>
                </c:pt>
                <c:pt idx="726">
                  <c:v>1.2829650039655704</c:v>
                </c:pt>
                <c:pt idx="727">
                  <c:v>1.290070957958934</c:v>
                </c:pt>
                <c:pt idx="728">
                  <c:v>1.2972426575506355</c:v>
                </c:pt>
                <c:pt idx="729">
                  <c:v>1.3044817065257872</c:v>
                </c:pt>
                <c:pt idx="730">
                  <c:v>1.3117897684728792</c:v>
                </c:pt>
                <c:pt idx="731">
                  <c:v>1.3191685698395292</c:v>
                </c:pt>
                <c:pt idx="732">
                  <c:v>1.3266199031873385</c:v>
                </c:pt>
                <c:pt idx="733">
                  <c:v>1.3341456306616806</c:v>
                </c:pt>
                <c:pt idx="734">
                  <c:v>1.3417476876937868</c:v>
                </c:pt>
                <c:pt idx="735">
                  <c:v>1.3494280869541075</c:v>
                </c:pt>
                <c:pt idx="736">
                  <c:v>1.3571889225778233</c:v>
                </c:pt>
                <c:pt idx="737">
                  <c:v>1.3650323746853854</c:v>
                </c:pt>
                <c:pt idx="738">
                  <c:v>1.3729607142232811</c:v>
                </c:pt>
                <c:pt idx="739">
                  <c:v>1.3809763081527771</c:v>
                </c:pt>
                <c:pt idx="740">
                  <c:v>1.3890816250172116</c:v>
                </c:pt>
                <c:pt idx="741">
                  <c:v>1.3972792409216594</c:v>
                </c:pt>
                <c:pt idx="742">
                  <c:v>1.4055718459622997</c:v>
                </c:pt>
                <c:pt idx="743">
                  <c:v>1.4139622511469585</c:v>
                </c:pt>
                <c:pt idx="744">
                  <c:v>1.4224533958526753</c:v>
                </c:pt>
                <c:pt idx="745">
                  <c:v>1.4310483558713887</c:v>
                </c:pt>
                <c:pt idx="746">
                  <c:v>1.4397503521005519</c:v>
                </c:pt>
                <c:pt idx="747">
                  <c:v>1.4574891194796675</c:v>
                </c:pt>
                <c:pt idx="748">
                  <c:v>1.4574891194796675</c:v>
                </c:pt>
                <c:pt idx="749">
                  <c:v>1.4665331465158105</c:v>
                </c:pt>
                <c:pt idx="750">
                  <c:v>1.4756987445536025</c:v>
                </c:pt>
                <c:pt idx="751">
                  <c:v>1.484990017826596</c:v>
                </c:pt>
                <c:pt idx="752">
                  <c:v>1.4944112854866951</c:v>
                </c:pt>
                <c:pt idx="753">
                  <c:v>1.503967097077253</c:v>
                </c:pt>
                <c:pt idx="754">
                  <c:v>1.5136622494342076</c:v>
                </c:pt>
                <c:pt idx="755">
                  <c:v>1.5235018051771141</c:v>
                </c:pt>
                <c:pt idx="756">
                  <c:v>1.5334911129738322</c:v>
                </c:pt>
                <c:pt idx="757">
                  <c:v>1.5436358297879897</c:v>
                </c:pt>
                <c:pt idx="758">
                  <c:v>1.5539419453477636</c:v>
                </c:pt>
                <c:pt idx="759">
                  <c:v>1.5644158091087821</c:v>
                </c:pt>
                <c:pt idx="760">
                  <c:v>1.5750641600240294</c:v>
                </c:pt>
                <c:pt idx="761">
                  <c:v>1.5858941594805218</c:v>
                </c:pt>
                <c:pt idx="762">
                  <c:v>1.5969134278176618</c:v>
                </c:pt>
                <c:pt idx="763">
                  <c:v>1.6081300849072808</c:v>
                </c:pt>
                <c:pt idx="764">
                  <c:v>1.619552795352317</c:v>
                </c:pt>
                <c:pt idx="765">
                  <c:v>1.6311908189526314</c:v>
                </c:pt>
                <c:pt idx="766">
                  <c:v>1.6430540671955431</c:v>
                </c:pt>
                <c:pt idx="767">
                  <c:v>1.6551531666593431</c:v>
                </c:pt>
                <c:pt idx="768">
                  <c:v>1.6674995303752354</c:v>
                </c:pt>
                <c:pt idx="769">
                  <c:v>1.6801054383829324</c:v>
                </c:pt>
                <c:pt idx="770">
                  <c:v>1.6929841289455296</c:v>
                </c:pt>
                <c:pt idx="771">
                  <c:v>1.706149902170248</c:v>
                </c:pt>
                <c:pt idx="772">
                  <c:v>1.7196182381259377</c:v>
                </c:pt>
                <c:pt idx="773">
                  <c:v>1.7334059319727599</c:v>
                </c:pt>
                <c:pt idx="774">
                  <c:v>1.7475312491454524</c:v>
                </c:pt>
                <c:pt idx="775">
                  <c:v>1.7620141042876341</c:v>
                </c:pt>
                <c:pt idx="776">
                  <c:v>1.7768762684579016</c:v>
                </c:pt>
                <c:pt idx="777">
                  <c:v>1.7921416101686585</c:v>
                </c:pt>
                <c:pt idx="778">
                  <c:v>1.8078363771423696</c:v>
                </c:pt>
                <c:pt idx="779">
                  <c:v>1.8239895273675018</c:v>
                </c:pt>
                <c:pt idx="780">
                  <c:v>1.8406331202309794</c:v>
                </c:pt>
                <c:pt idx="781">
                  <c:v>1.8578027813659412</c:v>
                </c:pt>
                <c:pt idx="782">
                  <c:v>1.8755382586208733</c:v>
                </c:pt>
                <c:pt idx="783">
                  <c:v>1.8938840915645974</c:v>
                </c:pt>
                <c:pt idx="784">
                  <c:v>1.9128904236723947</c:v>
                </c:pt>
                <c:pt idx="785">
                  <c:v>1.9326139954890176</c:v>
                </c:pt>
                <c:pt idx="786">
                  <c:v>1.9531193696617146</c:v>
                </c:pt>
                <c:pt idx="787">
                  <c:v>1.9744804563168556</c:v>
                </c:pt>
                <c:pt idx="788">
                  <c:v>1.9967824321552787</c:v>
                </c:pt>
                <c:pt idx="789">
                  <c:v>2.020124182490826</c:v>
                </c:pt>
                <c:pt idx="790">
                  <c:v>2.0446214479968488</c:v>
                </c:pt>
                <c:pt idx="791">
                  <c:v>2.0704109364617698</c:v>
                </c:pt>
                <c:pt idx="792">
                  <c:v>2.0976557798505118</c:v>
                </c:pt>
                <c:pt idx="793">
                  <c:v>2.1265529048537464</c:v>
                </c:pt>
                <c:pt idx="794">
                  <c:v>2.1573431875081339</c:v>
                </c:pt>
                <c:pt idx="795">
                  <c:v>2.1903257646302356</c:v>
                </c:pt>
                <c:pt idx="796">
                  <c:v>2.2258787390295116</c:v>
                </c:pt>
                <c:pt idx="797">
                  <c:v>2.2644900655881894</c:v>
                </c:pt>
                <c:pt idx="798">
                  <c:v>2.3068053236275237</c:v>
                </c:pt>
              </c:numCache>
            </c:numRef>
          </c:xVal>
          <c:yVal>
            <c:numRef>
              <c:f>'F0 - EF0 Analysis'!$H$12:$H$810</c:f>
              <c:numCache>
                <c:formatCode>General</c:formatCode>
                <c:ptCount val="799"/>
                <c:pt idx="0">
                  <c:v>-4.6051701859880909</c:v>
                </c:pt>
                <c:pt idx="1">
                  <c:v>-4.6051701859880909</c:v>
                </c:pt>
                <c:pt idx="2">
                  <c:v>-4.6051701859880909</c:v>
                </c:pt>
                <c:pt idx="3">
                  <c:v>-3.912023005428146</c:v>
                </c:pt>
                <c:pt idx="4">
                  <c:v>-3.5065578973199818</c:v>
                </c:pt>
                <c:pt idx="5">
                  <c:v>-3.2188758248682006</c:v>
                </c:pt>
                <c:pt idx="6">
                  <c:v>-3.2188758248682006</c:v>
                </c:pt>
                <c:pt idx="7">
                  <c:v>-3.2188758248682006</c:v>
                </c:pt>
                <c:pt idx="8">
                  <c:v>-2.9957322735539909</c:v>
                </c:pt>
                <c:pt idx="9">
                  <c:v>-2.8134107167600364</c:v>
                </c:pt>
                <c:pt idx="10">
                  <c:v>-2.8134107167600364</c:v>
                </c:pt>
                <c:pt idx="11">
                  <c:v>-2.8134107167600364</c:v>
                </c:pt>
                <c:pt idx="12">
                  <c:v>-2.8134107167600364</c:v>
                </c:pt>
                <c:pt idx="13">
                  <c:v>-2.6592600369327779</c:v>
                </c:pt>
                <c:pt idx="14">
                  <c:v>-2.4079456086518722</c:v>
                </c:pt>
                <c:pt idx="15">
                  <c:v>-2.4079456086518722</c:v>
                </c:pt>
                <c:pt idx="16">
                  <c:v>-2.4079456086518722</c:v>
                </c:pt>
                <c:pt idx="17">
                  <c:v>-2.4079456086518722</c:v>
                </c:pt>
                <c:pt idx="18">
                  <c:v>-2.3025850929940455</c:v>
                </c:pt>
                <c:pt idx="19">
                  <c:v>-2.3025850929940455</c:v>
                </c:pt>
                <c:pt idx="20">
                  <c:v>-2.3025850929940455</c:v>
                </c:pt>
                <c:pt idx="21">
                  <c:v>-2.3025850929940455</c:v>
                </c:pt>
                <c:pt idx="22">
                  <c:v>-2.3025850929940455</c:v>
                </c:pt>
                <c:pt idx="23">
                  <c:v>-2.3025850929940455</c:v>
                </c:pt>
                <c:pt idx="24">
                  <c:v>-2.3025850929940455</c:v>
                </c:pt>
                <c:pt idx="25">
                  <c:v>-2.3025850929940455</c:v>
                </c:pt>
                <c:pt idx="26">
                  <c:v>-2.3025850929940455</c:v>
                </c:pt>
                <c:pt idx="27">
                  <c:v>-2.3025850929940455</c:v>
                </c:pt>
                <c:pt idx="28">
                  <c:v>-2.3025850929940455</c:v>
                </c:pt>
                <c:pt idx="29">
                  <c:v>-2.3025850929940455</c:v>
                </c:pt>
                <c:pt idx="30">
                  <c:v>-2.3025850929940455</c:v>
                </c:pt>
                <c:pt idx="31">
                  <c:v>-2.3025850929940455</c:v>
                </c:pt>
                <c:pt idx="32">
                  <c:v>-2.3025850929940455</c:v>
                </c:pt>
                <c:pt idx="33">
                  <c:v>-2.3025850929940455</c:v>
                </c:pt>
                <c:pt idx="34">
                  <c:v>-2.3025850929940455</c:v>
                </c:pt>
                <c:pt idx="35">
                  <c:v>-2.3025850929940455</c:v>
                </c:pt>
                <c:pt idx="36">
                  <c:v>-2.3025850929940455</c:v>
                </c:pt>
                <c:pt idx="37">
                  <c:v>-2.3025850929940455</c:v>
                </c:pt>
                <c:pt idx="38">
                  <c:v>-2.3025850929940455</c:v>
                </c:pt>
                <c:pt idx="39">
                  <c:v>-2.3025850929940455</c:v>
                </c:pt>
                <c:pt idx="40">
                  <c:v>-2.3025850929940455</c:v>
                </c:pt>
                <c:pt idx="41">
                  <c:v>-2.3025850929940455</c:v>
                </c:pt>
                <c:pt idx="42">
                  <c:v>-2.3025850929940455</c:v>
                </c:pt>
                <c:pt idx="43">
                  <c:v>-2.3025850929940455</c:v>
                </c:pt>
                <c:pt idx="44">
                  <c:v>-2.3025850929940455</c:v>
                </c:pt>
                <c:pt idx="45">
                  <c:v>-2.3025850929940455</c:v>
                </c:pt>
                <c:pt idx="46">
                  <c:v>-2.3025850929940455</c:v>
                </c:pt>
                <c:pt idx="47">
                  <c:v>-2.3025850929940455</c:v>
                </c:pt>
                <c:pt idx="48">
                  <c:v>-2.3025850929940455</c:v>
                </c:pt>
                <c:pt idx="49">
                  <c:v>-2.3025850929940455</c:v>
                </c:pt>
                <c:pt idx="50">
                  <c:v>-2.3025850929940455</c:v>
                </c:pt>
                <c:pt idx="51">
                  <c:v>-2.3025850929940455</c:v>
                </c:pt>
                <c:pt idx="52">
                  <c:v>-2.3025850929940455</c:v>
                </c:pt>
                <c:pt idx="53">
                  <c:v>-2.3025850929940455</c:v>
                </c:pt>
                <c:pt idx="54">
                  <c:v>-2.3025850929940455</c:v>
                </c:pt>
                <c:pt idx="55">
                  <c:v>-2.3025850929940455</c:v>
                </c:pt>
                <c:pt idx="56">
                  <c:v>-2.3025850929940455</c:v>
                </c:pt>
                <c:pt idx="57">
                  <c:v>-2.3025850929940455</c:v>
                </c:pt>
                <c:pt idx="58">
                  <c:v>-2.3025850929940455</c:v>
                </c:pt>
                <c:pt idx="59">
                  <c:v>-2.3025850929940455</c:v>
                </c:pt>
                <c:pt idx="60">
                  <c:v>-2.3025850929940455</c:v>
                </c:pt>
                <c:pt idx="61">
                  <c:v>-2.3025850929940455</c:v>
                </c:pt>
                <c:pt idx="62">
                  <c:v>-2.3025850929940455</c:v>
                </c:pt>
                <c:pt idx="63">
                  <c:v>-2.3025850929940455</c:v>
                </c:pt>
                <c:pt idx="64">
                  <c:v>-2.3025850929940455</c:v>
                </c:pt>
                <c:pt idx="65">
                  <c:v>-2.3025850929940455</c:v>
                </c:pt>
                <c:pt idx="66">
                  <c:v>-2.3025850929940455</c:v>
                </c:pt>
                <c:pt idx="67">
                  <c:v>-2.3025850929940455</c:v>
                </c:pt>
                <c:pt idx="68">
                  <c:v>-2.3025850929940455</c:v>
                </c:pt>
                <c:pt idx="69">
                  <c:v>-2.3025850929940455</c:v>
                </c:pt>
                <c:pt idx="70">
                  <c:v>-2.3025850929940455</c:v>
                </c:pt>
                <c:pt idx="71">
                  <c:v>-2.3025850929940455</c:v>
                </c:pt>
                <c:pt idx="72">
                  <c:v>-2.3025850929940455</c:v>
                </c:pt>
                <c:pt idx="73">
                  <c:v>-2.3025850929940455</c:v>
                </c:pt>
                <c:pt idx="74">
                  <c:v>-2.3025850929940455</c:v>
                </c:pt>
                <c:pt idx="75">
                  <c:v>-2.3025850929940455</c:v>
                </c:pt>
                <c:pt idx="76">
                  <c:v>-2.3025850929940455</c:v>
                </c:pt>
                <c:pt idx="77">
                  <c:v>-2.3025850929940455</c:v>
                </c:pt>
                <c:pt idx="78">
                  <c:v>-2.3025850929940455</c:v>
                </c:pt>
                <c:pt idx="79">
                  <c:v>-2.3025850929940455</c:v>
                </c:pt>
                <c:pt idx="80">
                  <c:v>-2.3025850929940455</c:v>
                </c:pt>
                <c:pt idx="81">
                  <c:v>-2.3025850929940455</c:v>
                </c:pt>
                <c:pt idx="82">
                  <c:v>-2.3025850929940455</c:v>
                </c:pt>
                <c:pt idx="83">
                  <c:v>-2.3025850929940455</c:v>
                </c:pt>
                <c:pt idx="84">
                  <c:v>-2.3025850929940455</c:v>
                </c:pt>
                <c:pt idx="85">
                  <c:v>-2.3025850929940455</c:v>
                </c:pt>
                <c:pt idx="86">
                  <c:v>-2.3025850929940455</c:v>
                </c:pt>
                <c:pt idx="87">
                  <c:v>-2.3025850929940455</c:v>
                </c:pt>
                <c:pt idx="88">
                  <c:v>-2.3025850929940455</c:v>
                </c:pt>
                <c:pt idx="89">
                  <c:v>-2.3025850929940455</c:v>
                </c:pt>
                <c:pt idx="90">
                  <c:v>-2.3025850929940455</c:v>
                </c:pt>
                <c:pt idx="91">
                  <c:v>-2.3025850929940455</c:v>
                </c:pt>
                <c:pt idx="92">
                  <c:v>-2.3025850929940455</c:v>
                </c:pt>
                <c:pt idx="93">
                  <c:v>-2.3025850929940455</c:v>
                </c:pt>
                <c:pt idx="94">
                  <c:v>-2.3025850929940455</c:v>
                </c:pt>
                <c:pt idx="95">
                  <c:v>-2.3025850929940455</c:v>
                </c:pt>
                <c:pt idx="96">
                  <c:v>-2.3025850929940455</c:v>
                </c:pt>
                <c:pt idx="97">
                  <c:v>-2.3025850929940455</c:v>
                </c:pt>
                <c:pt idx="98">
                  <c:v>-2.3025850929940455</c:v>
                </c:pt>
                <c:pt idx="99">
                  <c:v>-2.3025850929940455</c:v>
                </c:pt>
                <c:pt idx="100">
                  <c:v>-2.3025850929940455</c:v>
                </c:pt>
                <c:pt idx="101">
                  <c:v>-2.3025850929940455</c:v>
                </c:pt>
                <c:pt idx="102">
                  <c:v>-2.3025850929940455</c:v>
                </c:pt>
                <c:pt idx="103">
                  <c:v>-2.3025850929940455</c:v>
                </c:pt>
                <c:pt idx="104">
                  <c:v>-2.3025850929940455</c:v>
                </c:pt>
                <c:pt idx="105">
                  <c:v>-2.3025850929940455</c:v>
                </c:pt>
                <c:pt idx="106">
                  <c:v>-2.3025850929940455</c:v>
                </c:pt>
                <c:pt idx="107">
                  <c:v>-2.3025850929940455</c:v>
                </c:pt>
                <c:pt idx="108">
                  <c:v>-2.3025850929940455</c:v>
                </c:pt>
                <c:pt idx="109">
                  <c:v>-2.3025850929940455</c:v>
                </c:pt>
                <c:pt idx="110">
                  <c:v>-2.3025850929940455</c:v>
                </c:pt>
                <c:pt idx="111">
                  <c:v>-2.3025850929940455</c:v>
                </c:pt>
                <c:pt idx="112">
                  <c:v>-2.3025850929940455</c:v>
                </c:pt>
                <c:pt idx="113">
                  <c:v>-2.3025850929940455</c:v>
                </c:pt>
                <c:pt idx="114">
                  <c:v>-2.3025850929940455</c:v>
                </c:pt>
                <c:pt idx="115">
                  <c:v>-2.3025850929940455</c:v>
                </c:pt>
                <c:pt idx="116">
                  <c:v>-2.3025850929940455</c:v>
                </c:pt>
                <c:pt idx="117">
                  <c:v>-2.3025850929940455</c:v>
                </c:pt>
                <c:pt idx="118">
                  <c:v>-2.3025850929940455</c:v>
                </c:pt>
                <c:pt idx="119">
                  <c:v>-2.3025850929940455</c:v>
                </c:pt>
                <c:pt idx="120">
                  <c:v>-2.3025850929940455</c:v>
                </c:pt>
                <c:pt idx="121">
                  <c:v>-2.3025850929940455</c:v>
                </c:pt>
                <c:pt idx="122">
                  <c:v>-2.3025850929940455</c:v>
                </c:pt>
                <c:pt idx="123">
                  <c:v>-2.3025850929940455</c:v>
                </c:pt>
                <c:pt idx="124">
                  <c:v>-2.3025850929940455</c:v>
                </c:pt>
                <c:pt idx="125">
                  <c:v>-2.3025850929940455</c:v>
                </c:pt>
                <c:pt idx="126">
                  <c:v>-2.3025850929940455</c:v>
                </c:pt>
                <c:pt idx="127">
                  <c:v>-2.3025850929940455</c:v>
                </c:pt>
                <c:pt idx="128">
                  <c:v>-2.3025850929940455</c:v>
                </c:pt>
                <c:pt idx="129">
                  <c:v>-2.3025850929940455</c:v>
                </c:pt>
                <c:pt idx="130">
                  <c:v>-2.3025850929940455</c:v>
                </c:pt>
                <c:pt idx="131">
                  <c:v>-2.3025850929940455</c:v>
                </c:pt>
                <c:pt idx="132">
                  <c:v>-2.3025850929940455</c:v>
                </c:pt>
                <c:pt idx="133">
                  <c:v>-2.3025850929940455</c:v>
                </c:pt>
                <c:pt idx="134">
                  <c:v>-2.3025850929940455</c:v>
                </c:pt>
                <c:pt idx="135">
                  <c:v>-2.3025850929940455</c:v>
                </c:pt>
                <c:pt idx="136">
                  <c:v>-2.3025850929940455</c:v>
                </c:pt>
                <c:pt idx="137">
                  <c:v>-2.3025850929940455</c:v>
                </c:pt>
                <c:pt idx="138">
                  <c:v>-2.3025850929940455</c:v>
                </c:pt>
                <c:pt idx="139">
                  <c:v>-2.3025850929940455</c:v>
                </c:pt>
                <c:pt idx="140">
                  <c:v>-2.3025850929940455</c:v>
                </c:pt>
                <c:pt idx="141">
                  <c:v>-2.3025850929940455</c:v>
                </c:pt>
                <c:pt idx="142">
                  <c:v>-2.3025850929940455</c:v>
                </c:pt>
                <c:pt idx="143">
                  <c:v>-2.3025850929940455</c:v>
                </c:pt>
                <c:pt idx="144">
                  <c:v>-2.3025850929940455</c:v>
                </c:pt>
                <c:pt idx="145">
                  <c:v>-2.3025850929940455</c:v>
                </c:pt>
                <c:pt idx="146">
                  <c:v>-2.3025850929940455</c:v>
                </c:pt>
                <c:pt idx="147">
                  <c:v>-2.3025850929940455</c:v>
                </c:pt>
                <c:pt idx="148">
                  <c:v>-2.3025850929940455</c:v>
                </c:pt>
                <c:pt idx="149">
                  <c:v>-2.3025850929940455</c:v>
                </c:pt>
                <c:pt idx="150">
                  <c:v>-2.3025850929940455</c:v>
                </c:pt>
                <c:pt idx="151">
                  <c:v>-2.3025850929940455</c:v>
                </c:pt>
                <c:pt idx="152">
                  <c:v>-2.3025850929940455</c:v>
                </c:pt>
                <c:pt idx="153">
                  <c:v>-2.3025850929940455</c:v>
                </c:pt>
                <c:pt idx="154">
                  <c:v>-2.3025850929940455</c:v>
                </c:pt>
                <c:pt idx="155">
                  <c:v>-2.3025850929940455</c:v>
                </c:pt>
                <c:pt idx="156">
                  <c:v>-2.3025850929940455</c:v>
                </c:pt>
                <c:pt idx="157">
                  <c:v>-2.3025850929940455</c:v>
                </c:pt>
                <c:pt idx="158">
                  <c:v>-2.3025850929940455</c:v>
                </c:pt>
                <c:pt idx="159">
                  <c:v>-2.3025850929940455</c:v>
                </c:pt>
                <c:pt idx="160">
                  <c:v>-2.3025850929940455</c:v>
                </c:pt>
                <c:pt idx="161">
                  <c:v>-2.3025850929940455</c:v>
                </c:pt>
                <c:pt idx="162">
                  <c:v>-2.3025850929940455</c:v>
                </c:pt>
                <c:pt idx="163">
                  <c:v>-2.3025850929940455</c:v>
                </c:pt>
                <c:pt idx="164">
                  <c:v>-2.3025850929940455</c:v>
                </c:pt>
                <c:pt idx="165">
                  <c:v>-2.3025850929940455</c:v>
                </c:pt>
                <c:pt idx="166">
                  <c:v>-2.3025850929940455</c:v>
                </c:pt>
                <c:pt idx="167">
                  <c:v>-2.3025850929940455</c:v>
                </c:pt>
                <c:pt idx="168">
                  <c:v>-2.3025850929940455</c:v>
                </c:pt>
                <c:pt idx="169">
                  <c:v>-2.3025850929940455</c:v>
                </c:pt>
                <c:pt idx="170">
                  <c:v>-2.3025850929940455</c:v>
                </c:pt>
                <c:pt idx="171">
                  <c:v>-2.3025850929940455</c:v>
                </c:pt>
                <c:pt idx="172">
                  <c:v>-2.3025850929940455</c:v>
                </c:pt>
                <c:pt idx="173">
                  <c:v>-2.3025850929940455</c:v>
                </c:pt>
                <c:pt idx="174">
                  <c:v>-2.3025850929940455</c:v>
                </c:pt>
                <c:pt idx="175">
                  <c:v>-2.3025850929940455</c:v>
                </c:pt>
                <c:pt idx="176">
                  <c:v>-2.3025850929940455</c:v>
                </c:pt>
                <c:pt idx="177">
                  <c:v>-2.3025850929940455</c:v>
                </c:pt>
                <c:pt idx="178">
                  <c:v>-2.3025850929940455</c:v>
                </c:pt>
                <c:pt idx="179">
                  <c:v>-2.3025850929940455</c:v>
                </c:pt>
                <c:pt idx="180">
                  <c:v>-2.3025850929940455</c:v>
                </c:pt>
                <c:pt idx="181">
                  <c:v>-2.3025850929940455</c:v>
                </c:pt>
                <c:pt idx="182">
                  <c:v>-2.3025850929940455</c:v>
                </c:pt>
                <c:pt idx="183">
                  <c:v>-2.3025850929940455</c:v>
                </c:pt>
                <c:pt idx="184">
                  <c:v>-2.3025850929940455</c:v>
                </c:pt>
                <c:pt idx="185">
                  <c:v>-2.3025850929940455</c:v>
                </c:pt>
                <c:pt idx="186">
                  <c:v>-2.3025850929940455</c:v>
                </c:pt>
                <c:pt idx="187">
                  <c:v>-2.3025850929940455</c:v>
                </c:pt>
                <c:pt idx="188">
                  <c:v>-2.3025850929940455</c:v>
                </c:pt>
                <c:pt idx="189">
                  <c:v>-2.3025850929940455</c:v>
                </c:pt>
                <c:pt idx="190">
                  <c:v>-2.3025850929940455</c:v>
                </c:pt>
                <c:pt idx="191">
                  <c:v>-2.3025850929940455</c:v>
                </c:pt>
                <c:pt idx="192">
                  <c:v>-2.3025850929940455</c:v>
                </c:pt>
                <c:pt idx="193">
                  <c:v>-2.3025850929940455</c:v>
                </c:pt>
                <c:pt idx="194">
                  <c:v>-2.3025850929940455</c:v>
                </c:pt>
                <c:pt idx="195">
                  <c:v>-2.3025850929940455</c:v>
                </c:pt>
                <c:pt idx="196">
                  <c:v>-2.3025850929940455</c:v>
                </c:pt>
                <c:pt idx="197">
                  <c:v>-2.3025850929940455</c:v>
                </c:pt>
                <c:pt idx="198">
                  <c:v>-2.3025850929940455</c:v>
                </c:pt>
                <c:pt idx="199">
                  <c:v>-2.3025850929940455</c:v>
                </c:pt>
                <c:pt idx="200">
                  <c:v>-2.3025850929940455</c:v>
                </c:pt>
                <c:pt idx="201">
                  <c:v>-2.3025850929940455</c:v>
                </c:pt>
                <c:pt idx="202">
                  <c:v>-2.3025850929940455</c:v>
                </c:pt>
                <c:pt idx="203">
                  <c:v>-2.3025850929940455</c:v>
                </c:pt>
                <c:pt idx="204">
                  <c:v>-2.3025850929940455</c:v>
                </c:pt>
                <c:pt idx="205">
                  <c:v>-2.3025850929940455</c:v>
                </c:pt>
                <c:pt idx="206">
                  <c:v>-2.3025850929940455</c:v>
                </c:pt>
                <c:pt idx="207">
                  <c:v>-2.3025850929940455</c:v>
                </c:pt>
                <c:pt idx="208">
                  <c:v>-2.3025850929940455</c:v>
                </c:pt>
                <c:pt idx="209">
                  <c:v>-2.3025850929940455</c:v>
                </c:pt>
                <c:pt idx="210">
                  <c:v>-2.3025850929940455</c:v>
                </c:pt>
                <c:pt idx="211">
                  <c:v>-2.3025850929940455</c:v>
                </c:pt>
                <c:pt idx="212">
                  <c:v>-2.3025850929940455</c:v>
                </c:pt>
                <c:pt idx="213">
                  <c:v>-2.3025850929940455</c:v>
                </c:pt>
                <c:pt idx="214">
                  <c:v>-2.3025850929940455</c:v>
                </c:pt>
                <c:pt idx="215">
                  <c:v>-2.3025850929940455</c:v>
                </c:pt>
                <c:pt idx="216">
                  <c:v>-2.3025850929940455</c:v>
                </c:pt>
                <c:pt idx="217">
                  <c:v>-2.3025850929940455</c:v>
                </c:pt>
                <c:pt idx="218">
                  <c:v>-2.3025850929940455</c:v>
                </c:pt>
                <c:pt idx="219">
                  <c:v>-2.3025850929940455</c:v>
                </c:pt>
                <c:pt idx="220">
                  <c:v>-2.3025850929940455</c:v>
                </c:pt>
                <c:pt idx="221">
                  <c:v>-2.3025850929940455</c:v>
                </c:pt>
                <c:pt idx="222">
                  <c:v>-2.3025850929940455</c:v>
                </c:pt>
                <c:pt idx="223">
                  <c:v>-2.3025850929940455</c:v>
                </c:pt>
                <c:pt idx="224">
                  <c:v>-2.3025850929940455</c:v>
                </c:pt>
                <c:pt idx="225">
                  <c:v>-2.3025850929940455</c:v>
                </c:pt>
                <c:pt idx="226">
                  <c:v>-2.3025850929940455</c:v>
                </c:pt>
                <c:pt idx="227">
                  <c:v>-2.3025850929940455</c:v>
                </c:pt>
                <c:pt idx="228">
                  <c:v>-2.3025850929940455</c:v>
                </c:pt>
                <c:pt idx="229">
                  <c:v>-2.3025850929940455</c:v>
                </c:pt>
                <c:pt idx="230">
                  <c:v>-2.3025850929940455</c:v>
                </c:pt>
                <c:pt idx="231">
                  <c:v>-2.3025850929940455</c:v>
                </c:pt>
                <c:pt idx="232">
                  <c:v>-2.3025850929940455</c:v>
                </c:pt>
                <c:pt idx="233">
                  <c:v>-2.3025850929940455</c:v>
                </c:pt>
                <c:pt idx="234">
                  <c:v>-2.3025850929940455</c:v>
                </c:pt>
                <c:pt idx="235">
                  <c:v>-2.3025850929940455</c:v>
                </c:pt>
                <c:pt idx="236">
                  <c:v>-2.3025850929940455</c:v>
                </c:pt>
                <c:pt idx="237">
                  <c:v>-2.3025850929940455</c:v>
                </c:pt>
                <c:pt idx="238">
                  <c:v>-2.3025850929940455</c:v>
                </c:pt>
                <c:pt idx="239">
                  <c:v>-2.3025850929940455</c:v>
                </c:pt>
                <c:pt idx="240">
                  <c:v>-2.3025850929940455</c:v>
                </c:pt>
                <c:pt idx="241">
                  <c:v>-2.3025850929940455</c:v>
                </c:pt>
                <c:pt idx="242">
                  <c:v>-2.3025850929940455</c:v>
                </c:pt>
                <c:pt idx="243">
                  <c:v>-2.3025850929940455</c:v>
                </c:pt>
                <c:pt idx="244">
                  <c:v>-2.3025850929940455</c:v>
                </c:pt>
                <c:pt idx="245">
                  <c:v>-2.3025850929940455</c:v>
                </c:pt>
                <c:pt idx="246">
                  <c:v>-2.3025850929940455</c:v>
                </c:pt>
                <c:pt idx="247">
                  <c:v>-2.3025850929940455</c:v>
                </c:pt>
                <c:pt idx="248">
                  <c:v>-2.3025850929940455</c:v>
                </c:pt>
                <c:pt idx="249">
                  <c:v>-2.3025850929940455</c:v>
                </c:pt>
                <c:pt idx="250">
                  <c:v>-2.2072749131897207</c:v>
                </c:pt>
                <c:pt idx="251">
                  <c:v>-2.2072749131897207</c:v>
                </c:pt>
                <c:pt idx="252">
                  <c:v>-2.2072749131897207</c:v>
                </c:pt>
                <c:pt idx="253">
                  <c:v>-2.2072749131897207</c:v>
                </c:pt>
                <c:pt idx="254">
                  <c:v>-2.2072749131897207</c:v>
                </c:pt>
                <c:pt idx="255">
                  <c:v>-2.120263536200091</c:v>
                </c:pt>
                <c:pt idx="256">
                  <c:v>-2.120263536200091</c:v>
                </c:pt>
                <c:pt idx="257">
                  <c:v>-2.0402208285265546</c:v>
                </c:pt>
                <c:pt idx="258">
                  <c:v>-1.9661128563728327</c:v>
                </c:pt>
                <c:pt idx="259">
                  <c:v>-1.9661128563728327</c:v>
                </c:pt>
                <c:pt idx="260">
                  <c:v>-1.8971199848858813</c:v>
                </c:pt>
                <c:pt idx="261">
                  <c:v>-1.8325814637483102</c:v>
                </c:pt>
                <c:pt idx="262">
                  <c:v>-1.7719568419318752</c:v>
                </c:pt>
                <c:pt idx="263">
                  <c:v>-1.6094379124341003</c:v>
                </c:pt>
                <c:pt idx="264">
                  <c:v>-1.6094379124341003</c:v>
                </c:pt>
                <c:pt idx="265">
                  <c:v>-1.6094379124341003</c:v>
                </c:pt>
                <c:pt idx="266">
                  <c:v>-1.6094379124341003</c:v>
                </c:pt>
                <c:pt idx="267">
                  <c:v>-1.6094379124341003</c:v>
                </c:pt>
                <c:pt idx="268">
                  <c:v>-1.6094379124341003</c:v>
                </c:pt>
                <c:pt idx="269">
                  <c:v>-1.6094379124341003</c:v>
                </c:pt>
                <c:pt idx="270">
                  <c:v>-1.6094379124341003</c:v>
                </c:pt>
                <c:pt idx="271">
                  <c:v>-1.6094379124341003</c:v>
                </c:pt>
                <c:pt idx="272">
                  <c:v>-1.6094379124341003</c:v>
                </c:pt>
                <c:pt idx="273">
                  <c:v>-1.6094379124341003</c:v>
                </c:pt>
                <c:pt idx="274">
                  <c:v>-1.6094379124341003</c:v>
                </c:pt>
                <c:pt idx="275">
                  <c:v>-1.6094379124341003</c:v>
                </c:pt>
                <c:pt idx="276">
                  <c:v>-1.6094379124341003</c:v>
                </c:pt>
                <c:pt idx="277">
                  <c:v>-1.6094379124341003</c:v>
                </c:pt>
                <c:pt idx="278">
                  <c:v>-1.6094379124341003</c:v>
                </c:pt>
                <c:pt idx="279">
                  <c:v>-1.6094379124341003</c:v>
                </c:pt>
                <c:pt idx="280">
                  <c:v>-1.6094379124341003</c:v>
                </c:pt>
                <c:pt idx="281">
                  <c:v>-1.6094379124341003</c:v>
                </c:pt>
                <c:pt idx="282">
                  <c:v>-1.6094379124341003</c:v>
                </c:pt>
                <c:pt idx="283">
                  <c:v>-1.6094379124341003</c:v>
                </c:pt>
                <c:pt idx="284">
                  <c:v>-1.6094379124341003</c:v>
                </c:pt>
                <c:pt idx="285">
                  <c:v>-1.6094379124341003</c:v>
                </c:pt>
                <c:pt idx="286">
                  <c:v>-1.6094379124341003</c:v>
                </c:pt>
                <c:pt idx="287">
                  <c:v>-1.6094379124341003</c:v>
                </c:pt>
                <c:pt idx="288">
                  <c:v>-1.6094379124341003</c:v>
                </c:pt>
                <c:pt idx="289">
                  <c:v>-1.6094379124341003</c:v>
                </c:pt>
                <c:pt idx="290">
                  <c:v>-1.6094379124341003</c:v>
                </c:pt>
                <c:pt idx="291">
                  <c:v>-1.6094379124341003</c:v>
                </c:pt>
                <c:pt idx="292">
                  <c:v>-1.6094379124341003</c:v>
                </c:pt>
                <c:pt idx="293">
                  <c:v>-1.6094379124341003</c:v>
                </c:pt>
                <c:pt idx="294">
                  <c:v>-1.6094379124341003</c:v>
                </c:pt>
                <c:pt idx="295">
                  <c:v>-1.6094379124341003</c:v>
                </c:pt>
                <c:pt idx="296">
                  <c:v>-1.6094379124341003</c:v>
                </c:pt>
                <c:pt idx="297">
                  <c:v>-1.6094379124341003</c:v>
                </c:pt>
                <c:pt idx="298">
                  <c:v>-1.6094379124341003</c:v>
                </c:pt>
                <c:pt idx="299">
                  <c:v>-1.6094379124341003</c:v>
                </c:pt>
                <c:pt idx="300">
                  <c:v>-1.6094379124341003</c:v>
                </c:pt>
                <c:pt idx="301">
                  <c:v>-1.6094379124341003</c:v>
                </c:pt>
                <c:pt idx="302">
                  <c:v>-1.6094379124341003</c:v>
                </c:pt>
                <c:pt idx="303">
                  <c:v>-1.6094379124341003</c:v>
                </c:pt>
                <c:pt idx="304">
                  <c:v>-1.6094379124341003</c:v>
                </c:pt>
                <c:pt idx="305">
                  <c:v>-1.6094379124341003</c:v>
                </c:pt>
                <c:pt idx="306">
                  <c:v>-1.6094379124341003</c:v>
                </c:pt>
                <c:pt idx="307">
                  <c:v>-1.6094379124341003</c:v>
                </c:pt>
                <c:pt idx="308">
                  <c:v>-1.6094379124341003</c:v>
                </c:pt>
                <c:pt idx="309">
                  <c:v>-1.6094379124341003</c:v>
                </c:pt>
                <c:pt idx="310">
                  <c:v>-1.6094379124341003</c:v>
                </c:pt>
                <c:pt idx="311">
                  <c:v>-1.6094379124341003</c:v>
                </c:pt>
                <c:pt idx="312">
                  <c:v>-1.6094379124341003</c:v>
                </c:pt>
                <c:pt idx="313">
                  <c:v>-1.6094379124341003</c:v>
                </c:pt>
                <c:pt idx="314">
                  <c:v>-1.6094379124341003</c:v>
                </c:pt>
                <c:pt idx="315">
                  <c:v>-1.6094379124341003</c:v>
                </c:pt>
                <c:pt idx="316">
                  <c:v>-1.6094379124341003</c:v>
                </c:pt>
                <c:pt idx="317">
                  <c:v>-1.6094379124341003</c:v>
                </c:pt>
                <c:pt idx="318">
                  <c:v>-1.6094379124341003</c:v>
                </c:pt>
                <c:pt idx="319">
                  <c:v>-1.6094379124341003</c:v>
                </c:pt>
                <c:pt idx="320">
                  <c:v>-1.5606477482646683</c:v>
                </c:pt>
                <c:pt idx="321">
                  <c:v>-1.5606477482646683</c:v>
                </c:pt>
                <c:pt idx="322">
                  <c:v>-1.5141277326297755</c:v>
                </c:pt>
                <c:pt idx="323">
                  <c:v>-1.4696759700589417</c:v>
                </c:pt>
                <c:pt idx="324">
                  <c:v>-1.3862943611198906</c:v>
                </c:pt>
                <c:pt idx="325">
                  <c:v>-1.3862943611198906</c:v>
                </c:pt>
                <c:pt idx="326">
                  <c:v>-1.3862943611198906</c:v>
                </c:pt>
                <c:pt idx="327">
                  <c:v>-1.3862943611198906</c:v>
                </c:pt>
                <c:pt idx="328">
                  <c:v>-1.3862943611198906</c:v>
                </c:pt>
                <c:pt idx="329">
                  <c:v>-1.3470736479666092</c:v>
                </c:pt>
                <c:pt idx="330">
                  <c:v>-1.3470736479666092</c:v>
                </c:pt>
                <c:pt idx="331">
                  <c:v>-1.3093333199837622</c:v>
                </c:pt>
                <c:pt idx="332">
                  <c:v>-1.2729656758128873</c:v>
                </c:pt>
                <c:pt idx="333">
                  <c:v>-1.2378743560016174</c:v>
                </c:pt>
                <c:pt idx="334">
                  <c:v>-1.2378743560016174</c:v>
                </c:pt>
                <c:pt idx="335">
                  <c:v>-1.2039728043259361</c:v>
                </c:pt>
                <c:pt idx="336">
                  <c:v>-1.2039728043259361</c:v>
                </c:pt>
                <c:pt idx="337">
                  <c:v>-1.2039728043259361</c:v>
                </c:pt>
                <c:pt idx="338">
                  <c:v>-1.2039728043259361</c:v>
                </c:pt>
                <c:pt idx="339">
                  <c:v>-1.2039728043259361</c:v>
                </c:pt>
                <c:pt idx="340">
                  <c:v>-1.2039728043259361</c:v>
                </c:pt>
                <c:pt idx="341">
                  <c:v>-1.2039728043259361</c:v>
                </c:pt>
                <c:pt idx="342">
                  <c:v>-1.2039728043259361</c:v>
                </c:pt>
                <c:pt idx="343">
                  <c:v>-1.2039728043259361</c:v>
                </c:pt>
                <c:pt idx="344">
                  <c:v>-1.2039728043259361</c:v>
                </c:pt>
                <c:pt idx="345">
                  <c:v>-1.2039728043259361</c:v>
                </c:pt>
                <c:pt idx="346">
                  <c:v>-1.2039728043259361</c:v>
                </c:pt>
                <c:pt idx="347">
                  <c:v>-1.2039728043259361</c:v>
                </c:pt>
                <c:pt idx="348">
                  <c:v>-1.2039728043259361</c:v>
                </c:pt>
                <c:pt idx="349">
                  <c:v>-1.2039728043259361</c:v>
                </c:pt>
                <c:pt idx="350">
                  <c:v>-1.2039728043259361</c:v>
                </c:pt>
                <c:pt idx="351">
                  <c:v>-1.2039728043259361</c:v>
                </c:pt>
                <c:pt idx="352">
                  <c:v>-1.2039728043259361</c:v>
                </c:pt>
                <c:pt idx="353">
                  <c:v>-1.2039728043259361</c:v>
                </c:pt>
                <c:pt idx="354">
                  <c:v>-1.2039728043259361</c:v>
                </c:pt>
                <c:pt idx="355">
                  <c:v>-1.2039728043259361</c:v>
                </c:pt>
                <c:pt idx="356">
                  <c:v>-1.2039728043259361</c:v>
                </c:pt>
                <c:pt idx="357">
                  <c:v>-1.2039728043259361</c:v>
                </c:pt>
                <c:pt idx="358">
                  <c:v>-1.2039728043259361</c:v>
                </c:pt>
                <c:pt idx="359">
                  <c:v>-1.2039728043259361</c:v>
                </c:pt>
                <c:pt idx="360">
                  <c:v>-1.2039728043259361</c:v>
                </c:pt>
                <c:pt idx="361">
                  <c:v>-1.2039728043259361</c:v>
                </c:pt>
                <c:pt idx="362">
                  <c:v>-1.2039728043259361</c:v>
                </c:pt>
                <c:pt idx="363">
                  <c:v>-1.2039728043259361</c:v>
                </c:pt>
                <c:pt idx="364">
                  <c:v>-1.2039728043259361</c:v>
                </c:pt>
                <c:pt idx="365">
                  <c:v>-1.2039728043259361</c:v>
                </c:pt>
                <c:pt idx="366">
                  <c:v>-1.2039728043259361</c:v>
                </c:pt>
                <c:pt idx="367">
                  <c:v>-1.2039728043259361</c:v>
                </c:pt>
                <c:pt idx="368">
                  <c:v>-1.2039728043259361</c:v>
                </c:pt>
                <c:pt idx="369">
                  <c:v>-1.2039728043259361</c:v>
                </c:pt>
                <c:pt idx="370">
                  <c:v>-1.1711829815029451</c:v>
                </c:pt>
                <c:pt idx="371">
                  <c:v>-1.1711829815029451</c:v>
                </c:pt>
                <c:pt idx="372">
                  <c:v>-1.1394342831883648</c:v>
                </c:pt>
                <c:pt idx="373">
                  <c:v>-1.1394342831883648</c:v>
                </c:pt>
                <c:pt idx="374">
                  <c:v>-1.0788096613719298</c:v>
                </c:pt>
                <c:pt idx="375">
                  <c:v>-1.0498221244986778</c:v>
                </c:pt>
                <c:pt idx="376">
                  <c:v>-1.0216512475319814</c:v>
                </c:pt>
                <c:pt idx="377">
                  <c:v>-1.0216512475319814</c:v>
                </c:pt>
                <c:pt idx="378">
                  <c:v>-0.96758402626170559</c:v>
                </c:pt>
                <c:pt idx="379">
                  <c:v>-0.96758402626170559</c:v>
                </c:pt>
                <c:pt idx="380">
                  <c:v>-0.916290731874155</c:v>
                </c:pt>
                <c:pt idx="381">
                  <c:v>-0.916290731874155</c:v>
                </c:pt>
                <c:pt idx="382">
                  <c:v>-0.916290731874155</c:v>
                </c:pt>
                <c:pt idx="383">
                  <c:v>-0.916290731874155</c:v>
                </c:pt>
                <c:pt idx="384">
                  <c:v>-0.916290731874155</c:v>
                </c:pt>
                <c:pt idx="385">
                  <c:v>-0.916290731874155</c:v>
                </c:pt>
                <c:pt idx="386">
                  <c:v>-0.84397007029452897</c:v>
                </c:pt>
                <c:pt idx="387">
                  <c:v>-0.82098055206983023</c:v>
                </c:pt>
                <c:pt idx="388">
                  <c:v>-0.82098055206983023</c:v>
                </c:pt>
                <c:pt idx="389">
                  <c:v>-0.75502258427803282</c:v>
                </c:pt>
                <c:pt idx="390">
                  <c:v>-0.71334988787746478</c:v>
                </c:pt>
                <c:pt idx="391">
                  <c:v>-0.69314718055994529</c:v>
                </c:pt>
                <c:pt idx="392">
                  <c:v>-0.69314718055994529</c:v>
                </c:pt>
                <c:pt idx="393">
                  <c:v>-0.69314718055994529</c:v>
                </c:pt>
                <c:pt idx="394">
                  <c:v>-0.69314718055994529</c:v>
                </c:pt>
                <c:pt idx="395">
                  <c:v>-0.69314718055994529</c:v>
                </c:pt>
                <c:pt idx="396">
                  <c:v>-0.69314718055994529</c:v>
                </c:pt>
                <c:pt idx="397">
                  <c:v>-0.69314718055994529</c:v>
                </c:pt>
                <c:pt idx="398">
                  <c:v>-0.69314718055994529</c:v>
                </c:pt>
                <c:pt idx="399">
                  <c:v>-0.69314718055994529</c:v>
                </c:pt>
                <c:pt idx="400">
                  <c:v>-0.69314718055994529</c:v>
                </c:pt>
                <c:pt idx="401">
                  <c:v>-0.69314718055994529</c:v>
                </c:pt>
                <c:pt idx="402">
                  <c:v>-0.69314718055994529</c:v>
                </c:pt>
                <c:pt idx="403">
                  <c:v>-0.69314718055994529</c:v>
                </c:pt>
                <c:pt idx="404">
                  <c:v>-0.69314718055994529</c:v>
                </c:pt>
                <c:pt idx="405">
                  <c:v>-0.69314718055994529</c:v>
                </c:pt>
                <c:pt idx="406">
                  <c:v>-0.69314718055994529</c:v>
                </c:pt>
                <c:pt idx="407">
                  <c:v>-0.69314718055994529</c:v>
                </c:pt>
                <c:pt idx="408">
                  <c:v>-0.69314718055994529</c:v>
                </c:pt>
                <c:pt idx="409">
                  <c:v>-0.69314718055994529</c:v>
                </c:pt>
                <c:pt idx="410">
                  <c:v>-0.69314718055994529</c:v>
                </c:pt>
                <c:pt idx="411">
                  <c:v>-0.69314718055994529</c:v>
                </c:pt>
                <c:pt idx="412">
                  <c:v>-0.69314718055994529</c:v>
                </c:pt>
                <c:pt idx="413">
                  <c:v>-0.69314718055994529</c:v>
                </c:pt>
                <c:pt idx="414">
                  <c:v>-0.69314718055994529</c:v>
                </c:pt>
                <c:pt idx="415">
                  <c:v>-0.69314718055994529</c:v>
                </c:pt>
                <c:pt idx="416">
                  <c:v>-0.69314718055994529</c:v>
                </c:pt>
                <c:pt idx="417">
                  <c:v>-0.69314718055994529</c:v>
                </c:pt>
                <c:pt idx="418">
                  <c:v>-0.69314718055994529</c:v>
                </c:pt>
                <c:pt idx="419">
                  <c:v>-0.69314718055994529</c:v>
                </c:pt>
                <c:pt idx="420">
                  <c:v>-0.69314718055994529</c:v>
                </c:pt>
                <c:pt idx="421">
                  <c:v>-0.69314718055994529</c:v>
                </c:pt>
                <c:pt idx="422">
                  <c:v>-0.69314718055994529</c:v>
                </c:pt>
                <c:pt idx="423">
                  <c:v>-0.69314718055994529</c:v>
                </c:pt>
                <c:pt idx="424">
                  <c:v>-0.69314718055994529</c:v>
                </c:pt>
                <c:pt idx="425">
                  <c:v>-0.69314718055994529</c:v>
                </c:pt>
                <c:pt idx="426">
                  <c:v>-0.69314718055994529</c:v>
                </c:pt>
                <c:pt idx="427">
                  <c:v>-0.69314718055994529</c:v>
                </c:pt>
                <c:pt idx="428">
                  <c:v>-0.69314718055994529</c:v>
                </c:pt>
                <c:pt idx="429">
                  <c:v>-0.69314718055994529</c:v>
                </c:pt>
                <c:pt idx="430">
                  <c:v>-0.69314718055994529</c:v>
                </c:pt>
                <c:pt idx="431">
                  <c:v>-0.69314718055994529</c:v>
                </c:pt>
                <c:pt idx="432">
                  <c:v>-0.69314718055994529</c:v>
                </c:pt>
                <c:pt idx="433">
                  <c:v>-0.69314718055994529</c:v>
                </c:pt>
                <c:pt idx="434">
                  <c:v>-0.69314718055994529</c:v>
                </c:pt>
                <c:pt idx="435">
                  <c:v>-0.69314718055994529</c:v>
                </c:pt>
                <c:pt idx="436">
                  <c:v>-0.69314718055994529</c:v>
                </c:pt>
                <c:pt idx="437">
                  <c:v>-0.69314718055994529</c:v>
                </c:pt>
                <c:pt idx="438">
                  <c:v>-0.69314718055994529</c:v>
                </c:pt>
                <c:pt idx="439">
                  <c:v>-0.69314718055994529</c:v>
                </c:pt>
                <c:pt idx="440">
                  <c:v>-0.69314718055994529</c:v>
                </c:pt>
                <c:pt idx="441">
                  <c:v>-0.69314718055994529</c:v>
                </c:pt>
                <c:pt idx="442">
                  <c:v>-0.69314718055994529</c:v>
                </c:pt>
                <c:pt idx="443">
                  <c:v>-0.69314718055994529</c:v>
                </c:pt>
                <c:pt idx="444">
                  <c:v>-0.69314718055994529</c:v>
                </c:pt>
                <c:pt idx="445">
                  <c:v>-0.69314718055994529</c:v>
                </c:pt>
                <c:pt idx="446">
                  <c:v>-0.69314718055994529</c:v>
                </c:pt>
                <c:pt idx="447">
                  <c:v>-0.69314718055994529</c:v>
                </c:pt>
                <c:pt idx="448">
                  <c:v>-0.69314718055994529</c:v>
                </c:pt>
                <c:pt idx="449">
                  <c:v>-0.69314718055994529</c:v>
                </c:pt>
                <c:pt idx="450">
                  <c:v>-0.69314718055994529</c:v>
                </c:pt>
                <c:pt idx="451">
                  <c:v>-0.69314718055994529</c:v>
                </c:pt>
                <c:pt idx="452">
                  <c:v>-0.69314718055994529</c:v>
                </c:pt>
                <c:pt idx="453">
                  <c:v>-0.69314718055994529</c:v>
                </c:pt>
                <c:pt idx="454">
                  <c:v>-0.69314718055994529</c:v>
                </c:pt>
                <c:pt idx="455">
                  <c:v>-0.69314718055994529</c:v>
                </c:pt>
                <c:pt idx="456">
                  <c:v>-0.69314718055994529</c:v>
                </c:pt>
                <c:pt idx="457">
                  <c:v>-0.69314718055994529</c:v>
                </c:pt>
                <c:pt idx="458">
                  <c:v>-0.69314718055994529</c:v>
                </c:pt>
                <c:pt idx="459">
                  <c:v>-0.69314718055994529</c:v>
                </c:pt>
                <c:pt idx="460">
                  <c:v>-0.69314718055994529</c:v>
                </c:pt>
                <c:pt idx="461">
                  <c:v>-0.69314718055994529</c:v>
                </c:pt>
                <c:pt idx="462">
                  <c:v>-0.69314718055994529</c:v>
                </c:pt>
                <c:pt idx="463">
                  <c:v>-0.69314718055994529</c:v>
                </c:pt>
                <c:pt idx="464">
                  <c:v>-0.69314718055994529</c:v>
                </c:pt>
                <c:pt idx="465">
                  <c:v>-0.69314718055994529</c:v>
                </c:pt>
                <c:pt idx="466">
                  <c:v>-0.69314718055994529</c:v>
                </c:pt>
                <c:pt idx="467">
                  <c:v>-0.69314718055994529</c:v>
                </c:pt>
                <c:pt idx="468">
                  <c:v>-0.69314718055994529</c:v>
                </c:pt>
                <c:pt idx="469">
                  <c:v>-0.69314718055994529</c:v>
                </c:pt>
                <c:pt idx="470">
                  <c:v>-0.69314718055994529</c:v>
                </c:pt>
                <c:pt idx="471">
                  <c:v>-0.69314718055994529</c:v>
                </c:pt>
                <c:pt idx="472">
                  <c:v>-0.69314718055994529</c:v>
                </c:pt>
                <c:pt idx="473">
                  <c:v>-0.69314718055994529</c:v>
                </c:pt>
                <c:pt idx="474">
                  <c:v>-0.69314718055994529</c:v>
                </c:pt>
                <c:pt idx="475">
                  <c:v>-0.69314718055994529</c:v>
                </c:pt>
                <c:pt idx="476">
                  <c:v>-0.69314718055994529</c:v>
                </c:pt>
                <c:pt idx="477">
                  <c:v>-0.69314718055994529</c:v>
                </c:pt>
                <c:pt idx="478">
                  <c:v>-0.69314718055994529</c:v>
                </c:pt>
                <c:pt idx="479">
                  <c:v>-0.69314718055994529</c:v>
                </c:pt>
                <c:pt idx="480">
                  <c:v>-0.67334455326376563</c:v>
                </c:pt>
                <c:pt idx="481">
                  <c:v>-0.67334455326376563</c:v>
                </c:pt>
                <c:pt idx="482">
                  <c:v>-0.65392646740666394</c:v>
                </c:pt>
                <c:pt idx="483">
                  <c:v>-0.65392646740666394</c:v>
                </c:pt>
                <c:pt idx="484">
                  <c:v>-0.65392646740666394</c:v>
                </c:pt>
                <c:pt idx="485">
                  <c:v>-0.6348782724359695</c:v>
                </c:pt>
                <c:pt idx="486">
                  <c:v>-0.6348782724359695</c:v>
                </c:pt>
                <c:pt idx="487">
                  <c:v>-0.6348782724359695</c:v>
                </c:pt>
                <c:pt idx="488">
                  <c:v>-0.59783700075562041</c:v>
                </c:pt>
                <c:pt idx="489">
                  <c:v>-0.59783700075562041</c:v>
                </c:pt>
                <c:pt idx="490">
                  <c:v>-0.57981849525294205</c:v>
                </c:pt>
                <c:pt idx="491">
                  <c:v>-0.57981849525294205</c:v>
                </c:pt>
                <c:pt idx="492">
                  <c:v>-0.56211891815354131</c:v>
                </c:pt>
                <c:pt idx="493">
                  <c:v>-0.52763274208237199</c:v>
                </c:pt>
                <c:pt idx="494">
                  <c:v>-0.52763274208237199</c:v>
                </c:pt>
                <c:pt idx="495">
                  <c:v>-0.51082562376599072</c:v>
                </c:pt>
                <c:pt idx="496">
                  <c:v>-0.51082562376599072</c:v>
                </c:pt>
                <c:pt idx="497">
                  <c:v>-0.51082562376599072</c:v>
                </c:pt>
                <c:pt idx="498">
                  <c:v>-0.51082562376599072</c:v>
                </c:pt>
                <c:pt idx="499">
                  <c:v>-0.51082562376599072</c:v>
                </c:pt>
                <c:pt idx="500">
                  <c:v>-0.51082562376599072</c:v>
                </c:pt>
                <c:pt idx="501">
                  <c:v>-0.51082562376599072</c:v>
                </c:pt>
                <c:pt idx="502">
                  <c:v>-0.51082562376599072</c:v>
                </c:pt>
                <c:pt idx="503">
                  <c:v>-0.44628710262841947</c:v>
                </c:pt>
                <c:pt idx="504">
                  <c:v>-0.35667494393873245</c:v>
                </c:pt>
                <c:pt idx="505">
                  <c:v>-0.35667494393873245</c:v>
                </c:pt>
                <c:pt idx="506">
                  <c:v>-0.35667494393873245</c:v>
                </c:pt>
                <c:pt idx="507">
                  <c:v>-0.35667494393873245</c:v>
                </c:pt>
                <c:pt idx="508">
                  <c:v>-0.34249030894677601</c:v>
                </c:pt>
                <c:pt idx="509">
                  <c:v>-0.34249030894677601</c:v>
                </c:pt>
                <c:pt idx="510">
                  <c:v>-0.2876820724517809</c:v>
                </c:pt>
                <c:pt idx="511">
                  <c:v>-0.2876820724517809</c:v>
                </c:pt>
                <c:pt idx="512">
                  <c:v>-0.24846135929849961</c:v>
                </c:pt>
                <c:pt idx="513">
                  <c:v>-0.22314355131420971</c:v>
                </c:pt>
                <c:pt idx="514">
                  <c:v>-0.22314355131420971</c:v>
                </c:pt>
                <c:pt idx="515">
                  <c:v>-0.22314355131420971</c:v>
                </c:pt>
                <c:pt idx="516">
                  <c:v>-0.22314355131420971</c:v>
                </c:pt>
                <c:pt idx="517">
                  <c:v>-0.22314355131420971</c:v>
                </c:pt>
                <c:pt idx="518">
                  <c:v>-0.22314355131420971</c:v>
                </c:pt>
                <c:pt idx="519">
                  <c:v>-0.22314355131420971</c:v>
                </c:pt>
                <c:pt idx="520">
                  <c:v>-0.19845093872383832</c:v>
                </c:pt>
                <c:pt idx="521">
                  <c:v>-0.19845093872383832</c:v>
                </c:pt>
                <c:pt idx="522">
                  <c:v>-0.18632957819149348</c:v>
                </c:pt>
                <c:pt idx="523">
                  <c:v>-0.15082288973458366</c:v>
                </c:pt>
                <c:pt idx="524">
                  <c:v>-0.10536051565782628</c:v>
                </c:pt>
                <c:pt idx="525">
                  <c:v>-0.10536051565782628</c:v>
                </c:pt>
                <c:pt idx="526">
                  <c:v>-9.431067947124129E-2</c:v>
                </c:pt>
                <c:pt idx="527">
                  <c:v>-5.1293294387550578E-2</c:v>
                </c:pt>
                <c:pt idx="528">
                  <c:v>-5.1293294387550578E-2</c:v>
                </c:pt>
                <c:pt idx="529">
                  <c:v>-4.0821994520255166E-2</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9.950330853168092E-3</c:v>
                </c:pt>
                <c:pt idx="600">
                  <c:v>4.8790164169432049E-2</c:v>
                </c:pt>
                <c:pt idx="601">
                  <c:v>5.8268908123975824E-2</c:v>
                </c:pt>
                <c:pt idx="602">
                  <c:v>5.8268908123975824E-2</c:v>
                </c:pt>
                <c:pt idx="603">
                  <c:v>6.7658648473814864E-2</c:v>
                </c:pt>
                <c:pt idx="604">
                  <c:v>8.6177696241052412E-2</c:v>
                </c:pt>
                <c:pt idx="605">
                  <c:v>9.5310179804324935E-2</c:v>
                </c:pt>
                <c:pt idx="606">
                  <c:v>9.5310179804324935E-2</c:v>
                </c:pt>
                <c:pt idx="607">
                  <c:v>0.11332868530700327</c:v>
                </c:pt>
                <c:pt idx="608">
                  <c:v>0.11332868530700327</c:v>
                </c:pt>
                <c:pt idx="609">
                  <c:v>0.131028262406404</c:v>
                </c:pt>
                <c:pt idx="610">
                  <c:v>0.15700374880966469</c:v>
                </c:pt>
                <c:pt idx="611">
                  <c:v>0.18232155679395459</c:v>
                </c:pt>
                <c:pt idx="612">
                  <c:v>0.18232155679395459</c:v>
                </c:pt>
                <c:pt idx="613">
                  <c:v>0.18232155679395459</c:v>
                </c:pt>
                <c:pt idx="614">
                  <c:v>0.18232155679395459</c:v>
                </c:pt>
                <c:pt idx="615">
                  <c:v>0.18232155679395459</c:v>
                </c:pt>
                <c:pt idx="616">
                  <c:v>0.18232155679395459</c:v>
                </c:pt>
                <c:pt idx="617">
                  <c:v>0.19885085874516517</c:v>
                </c:pt>
                <c:pt idx="618">
                  <c:v>0.20701416938432612</c:v>
                </c:pt>
                <c:pt idx="619">
                  <c:v>0.23111172096338664</c:v>
                </c:pt>
                <c:pt idx="620">
                  <c:v>0.24686007793152581</c:v>
                </c:pt>
                <c:pt idx="621">
                  <c:v>0.25464221837358075</c:v>
                </c:pt>
                <c:pt idx="622">
                  <c:v>0.25464221837358075</c:v>
                </c:pt>
                <c:pt idx="623">
                  <c:v>0.26236426446749106</c:v>
                </c:pt>
                <c:pt idx="624">
                  <c:v>0.26236426446749106</c:v>
                </c:pt>
                <c:pt idx="625">
                  <c:v>0.29266961396282004</c:v>
                </c:pt>
                <c:pt idx="626">
                  <c:v>0.29266961396282004</c:v>
                </c:pt>
                <c:pt idx="627">
                  <c:v>0.29266961396282004</c:v>
                </c:pt>
                <c:pt idx="628">
                  <c:v>0.32208349916911322</c:v>
                </c:pt>
                <c:pt idx="629">
                  <c:v>0.32208349916911322</c:v>
                </c:pt>
                <c:pt idx="630">
                  <c:v>0.3293037471426003</c:v>
                </c:pt>
                <c:pt idx="631">
                  <c:v>0.33647223662121289</c:v>
                </c:pt>
                <c:pt idx="632">
                  <c:v>0.33647223662121289</c:v>
                </c:pt>
                <c:pt idx="633">
                  <c:v>0.39204208777602367</c:v>
                </c:pt>
                <c:pt idx="634">
                  <c:v>0.39877611995736778</c:v>
                </c:pt>
                <c:pt idx="635">
                  <c:v>0.40546510810816438</c:v>
                </c:pt>
                <c:pt idx="636">
                  <c:v>0.40546510810816438</c:v>
                </c:pt>
                <c:pt idx="637">
                  <c:v>0.40546510810816438</c:v>
                </c:pt>
                <c:pt idx="638">
                  <c:v>0.40546510810816438</c:v>
                </c:pt>
                <c:pt idx="639">
                  <c:v>0.40546510810816438</c:v>
                </c:pt>
                <c:pt idx="640">
                  <c:v>0.40546510810816438</c:v>
                </c:pt>
                <c:pt idx="641">
                  <c:v>0.40546510810816438</c:v>
                </c:pt>
                <c:pt idx="642">
                  <c:v>0.40546510810816438</c:v>
                </c:pt>
                <c:pt idx="643">
                  <c:v>0.40546510810816438</c:v>
                </c:pt>
                <c:pt idx="644">
                  <c:v>0.40546510810816438</c:v>
                </c:pt>
                <c:pt idx="645">
                  <c:v>0.40546510810816438</c:v>
                </c:pt>
                <c:pt idx="646">
                  <c:v>0.40546510810816438</c:v>
                </c:pt>
                <c:pt idx="647">
                  <c:v>0.41210965082683298</c:v>
                </c:pt>
                <c:pt idx="648">
                  <c:v>0.42526773540434409</c:v>
                </c:pt>
                <c:pt idx="649">
                  <c:v>0.45742484703887548</c:v>
                </c:pt>
                <c:pt idx="650">
                  <c:v>0.50077528791248915</c:v>
                </c:pt>
                <c:pt idx="651">
                  <c:v>0.50681760236845186</c:v>
                </c:pt>
                <c:pt idx="652">
                  <c:v>0.50681760236845186</c:v>
                </c:pt>
                <c:pt idx="653">
                  <c:v>0.53062825106217038</c:v>
                </c:pt>
                <c:pt idx="654">
                  <c:v>0.5481214085096876</c:v>
                </c:pt>
                <c:pt idx="655">
                  <c:v>0.55961578793542266</c:v>
                </c:pt>
                <c:pt idx="656">
                  <c:v>0.55961578793542266</c:v>
                </c:pt>
                <c:pt idx="657">
                  <c:v>0.5709795465857378</c:v>
                </c:pt>
                <c:pt idx="658">
                  <c:v>0.5709795465857378</c:v>
                </c:pt>
                <c:pt idx="659">
                  <c:v>0.58778666490211906</c:v>
                </c:pt>
                <c:pt idx="660">
                  <c:v>0.59883650108870401</c:v>
                </c:pt>
                <c:pt idx="661">
                  <c:v>0.60431596685332956</c:v>
                </c:pt>
                <c:pt idx="662">
                  <c:v>0.64185388617239469</c:v>
                </c:pt>
                <c:pt idx="663">
                  <c:v>0.64185388617239469</c:v>
                </c:pt>
                <c:pt idx="664">
                  <c:v>0.65232518603969014</c:v>
                </c:pt>
                <c:pt idx="665">
                  <c:v>0.65752000291679413</c:v>
                </c:pt>
                <c:pt idx="666">
                  <c:v>0.65752000291679413</c:v>
                </c:pt>
                <c:pt idx="667">
                  <c:v>0.67803354274989713</c:v>
                </c:pt>
                <c:pt idx="668">
                  <c:v>0.69314718055994529</c:v>
                </c:pt>
                <c:pt idx="669">
                  <c:v>0.69314718055994529</c:v>
                </c:pt>
                <c:pt idx="670">
                  <c:v>0.69314718055994529</c:v>
                </c:pt>
                <c:pt idx="671">
                  <c:v>0.69314718055994529</c:v>
                </c:pt>
                <c:pt idx="672">
                  <c:v>0.69314718055994529</c:v>
                </c:pt>
                <c:pt idx="673">
                  <c:v>0.69314718055994529</c:v>
                </c:pt>
                <c:pt idx="674">
                  <c:v>0.69314718055994529</c:v>
                </c:pt>
                <c:pt idx="675">
                  <c:v>0.69314718055994529</c:v>
                </c:pt>
                <c:pt idx="676">
                  <c:v>0.69314718055994529</c:v>
                </c:pt>
                <c:pt idx="677">
                  <c:v>0.69314718055994529</c:v>
                </c:pt>
                <c:pt idx="678">
                  <c:v>0.69314718055994529</c:v>
                </c:pt>
                <c:pt idx="679">
                  <c:v>0.69314718055994529</c:v>
                </c:pt>
                <c:pt idx="680">
                  <c:v>0.69314718055994529</c:v>
                </c:pt>
                <c:pt idx="681">
                  <c:v>0.69314718055994529</c:v>
                </c:pt>
                <c:pt idx="682">
                  <c:v>0.69314718055994529</c:v>
                </c:pt>
                <c:pt idx="683">
                  <c:v>0.69314718055994529</c:v>
                </c:pt>
                <c:pt idx="684">
                  <c:v>0.69314718055994529</c:v>
                </c:pt>
                <c:pt idx="685">
                  <c:v>0.69314718055994529</c:v>
                </c:pt>
                <c:pt idx="686">
                  <c:v>0.69314718055994529</c:v>
                </c:pt>
                <c:pt idx="687">
                  <c:v>0.69314718055994529</c:v>
                </c:pt>
                <c:pt idx="688">
                  <c:v>0.69314718055994529</c:v>
                </c:pt>
                <c:pt idx="689">
                  <c:v>0.69314718055994529</c:v>
                </c:pt>
                <c:pt idx="690">
                  <c:v>0.69314718055994529</c:v>
                </c:pt>
                <c:pt idx="691">
                  <c:v>0.69314718055994529</c:v>
                </c:pt>
                <c:pt idx="692">
                  <c:v>0.69314718055994529</c:v>
                </c:pt>
                <c:pt idx="693">
                  <c:v>0.69314718055994529</c:v>
                </c:pt>
                <c:pt idx="694">
                  <c:v>0.69314718055994529</c:v>
                </c:pt>
                <c:pt idx="695">
                  <c:v>0.69314718055994529</c:v>
                </c:pt>
                <c:pt idx="696">
                  <c:v>0.69314718055994529</c:v>
                </c:pt>
                <c:pt idx="697">
                  <c:v>0.69314718055994529</c:v>
                </c:pt>
                <c:pt idx="698">
                  <c:v>0.69314718055994529</c:v>
                </c:pt>
                <c:pt idx="699">
                  <c:v>0.69314718055994529</c:v>
                </c:pt>
                <c:pt idx="700">
                  <c:v>0.69314718055994529</c:v>
                </c:pt>
                <c:pt idx="701">
                  <c:v>0.69314718055994529</c:v>
                </c:pt>
                <c:pt idx="702">
                  <c:v>0.69314718055994529</c:v>
                </c:pt>
                <c:pt idx="703">
                  <c:v>0.69314718055994529</c:v>
                </c:pt>
                <c:pt idx="704">
                  <c:v>0.69813472207098426</c:v>
                </c:pt>
                <c:pt idx="705">
                  <c:v>0.71783979315031676</c:v>
                </c:pt>
                <c:pt idx="706">
                  <c:v>0.72270598280148979</c:v>
                </c:pt>
                <c:pt idx="707">
                  <c:v>0.73236789371322664</c:v>
                </c:pt>
                <c:pt idx="708">
                  <c:v>0.73236789371322664</c:v>
                </c:pt>
                <c:pt idx="709">
                  <c:v>0.74193734472937733</c:v>
                </c:pt>
                <c:pt idx="710">
                  <c:v>0.76080582903376015</c:v>
                </c:pt>
                <c:pt idx="711">
                  <c:v>0.79750719588418817</c:v>
                </c:pt>
                <c:pt idx="712">
                  <c:v>0.80647586586694853</c:v>
                </c:pt>
                <c:pt idx="713">
                  <c:v>0.81093021621632877</c:v>
                </c:pt>
                <c:pt idx="714">
                  <c:v>0.81536481328419441</c:v>
                </c:pt>
                <c:pt idx="715">
                  <c:v>0.85015092936961001</c:v>
                </c:pt>
                <c:pt idx="716">
                  <c:v>0.85015092936961001</c:v>
                </c:pt>
                <c:pt idx="717">
                  <c:v>0.88789125735245711</c:v>
                </c:pt>
                <c:pt idx="718">
                  <c:v>0.89608802455663572</c:v>
                </c:pt>
                <c:pt idx="719">
                  <c:v>0.90016134994427144</c:v>
                </c:pt>
                <c:pt idx="720">
                  <c:v>0.91629073187415511</c:v>
                </c:pt>
                <c:pt idx="721">
                  <c:v>0.91629073187415511</c:v>
                </c:pt>
                <c:pt idx="722">
                  <c:v>0.91629073187415511</c:v>
                </c:pt>
                <c:pt idx="723">
                  <c:v>0.91629073187415511</c:v>
                </c:pt>
                <c:pt idx="724">
                  <c:v>0.92028275314369246</c:v>
                </c:pt>
                <c:pt idx="725">
                  <c:v>0.93609335917033476</c:v>
                </c:pt>
                <c:pt idx="726">
                  <c:v>0.99325177301028345</c:v>
                </c:pt>
                <c:pt idx="727">
                  <c:v>1.0224509277025455</c:v>
                </c:pt>
                <c:pt idx="728">
                  <c:v>1.0260415958332743</c:v>
                </c:pt>
                <c:pt idx="729">
                  <c:v>1.0296194171811581</c:v>
                </c:pt>
                <c:pt idx="730">
                  <c:v>1.0438040521731147</c:v>
                </c:pt>
                <c:pt idx="731">
                  <c:v>1.0543120297715298</c:v>
                </c:pt>
                <c:pt idx="732">
                  <c:v>1.0577902941478545</c:v>
                </c:pt>
                <c:pt idx="733">
                  <c:v>1.0986122886681098</c:v>
                </c:pt>
                <c:pt idx="734">
                  <c:v>1.0986122886681098</c:v>
                </c:pt>
                <c:pt idx="735">
                  <c:v>1.0986122886681098</c:v>
                </c:pt>
                <c:pt idx="736">
                  <c:v>1.0986122886681098</c:v>
                </c:pt>
                <c:pt idx="737">
                  <c:v>1.0986122886681098</c:v>
                </c:pt>
                <c:pt idx="738">
                  <c:v>1.0986122886681098</c:v>
                </c:pt>
                <c:pt idx="739">
                  <c:v>1.0986122886681098</c:v>
                </c:pt>
                <c:pt idx="740">
                  <c:v>1.0986122886681098</c:v>
                </c:pt>
                <c:pt idx="741">
                  <c:v>1.0986122886681098</c:v>
                </c:pt>
                <c:pt idx="742">
                  <c:v>1.0986122886681098</c:v>
                </c:pt>
                <c:pt idx="743">
                  <c:v>1.0986122886681098</c:v>
                </c:pt>
                <c:pt idx="744">
                  <c:v>1.1184149159642893</c:v>
                </c:pt>
                <c:pt idx="745">
                  <c:v>1.1216775615991057</c:v>
                </c:pt>
                <c:pt idx="746">
                  <c:v>1.1216775615991057</c:v>
                </c:pt>
                <c:pt idx="747">
                  <c:v>1.1314021114911006</c:v>
                </c:pt>
                <c:pt idx="748">
                  <c:v>1.1346227261911428</c:v>
                </c:pt>
                <c:pt idx="749">
                  <c:v>1.1631508098056809</c:v>
                </c:pt>
                <c:pt idx="750">
                  <c:v>1.1878434223960523</c:v>
                </c:pt>
                <c:pt idx="751">
                  <c:v>1.2669476034873244</c:v>
                </c:pt>
                <c:pt idx="752">
                  <c:v>1.2809338454620642</c:v>
                </c:pt>
                <c:pt idx="753">
                  <c:v>1.2809338454620642</c:v>
                </c:pt>
                <c:pt idx="754">
                  <c:v>1.297463147413275</c:v>
                </c:pt>
                <c:pt idx="755">
                  <c:v>1.3862943611198906</c:v>
                </c:pt>
                <c:pt idx="756">
                  <c:v>1.3862943611198906</c:v>
                </c:pt>
                <c:pt idx="757">
                  <c:v>1.3862943611198906</c:v>
                </c:pt>
                <c:pt idx="758">
                  <c:v>1.3887912413184778</c:v>
                </c:pt>
                <c:pt idx="759">
                  <c:v>1.4060969884160703</c:v>
                </c:pt>
                <c:pt idx="760">
                  <c:v>1.4182774069729414</c:v>
                </c:pt>
                <c:pt idx="761">
                  <c:v>1.43746264769429</c:v>
                </c:pt>
                <c:pt idx="762">
                  <c:v>1.4398351280479205</c:v>
                </c:pt>
                <c:pt idx="763">
                  <c:v>1.4445632692438664</c:v>
                </c:pt>
                <c:pt idx="764">
                  <c:v>1.4586150226995167</c:v>
                </c:pt>
                <c:pt idx="765">
                  <c:v>1.4770487243883548</c:v>
                </c:pt>
                <c:pt idx="766">
                  <c:v>1.4973884086254774</c:v>
                </c:pt>
                <c:pt idx="767">
                  <c:v>1.4973884086254774</c:v>
                </c:pt>
                <c:pt idx="768">
                  <c:v>1.5040773967762742</c:v>
                </c:pt>
                <c:pt idx="769">
                  <c:v>1.5040773967762742</c:v>
                </c:pt>
                <c:pt idx="770">
                  <c:v>1.5040773967762742</c:v>
                </c:pt>
                <c:pt idx="771">
                  <c:v>1.5260563034950492</c:v>
                </c:pt>
                <c:pt idx="772">
                  <c:v>1.5282278570085572</c:v>
                </c:pt>
                <c:pt idx="773">
                  <c:v>1.545432582458188</c:v>
                </c:pt>
                <c:pt idx="774">
                  <c:v>1.5933085305042167</c:v>
                </c:pt>
                <c:pt idx="775">
                  <c:v>1.6094379124341003</c:v>
                </c:pt>
                <c:pt idx="776">
                  <c:v>1.6094379124341003</c:v>
                </c:pt>
                <c:pt idx="777">
                  <c:v>1.6094379124341003</c:v>
                </c:pt>
                <c:pt idx="778">
                  <c:v>1.62924053973028</c:v>
                </c:pt>
                <c:pt idx="779">
                  <c:v>1.631199404215613</c:v>
                </c:pt>
                <c:pt idx="780">
                  <c:v>1.6486586255873816</c:v>
                </c:pt>
                <c:pt idx="781">
                  <c:v>1.6563214983329508</c:v>
                </c:pt>
                <c:pt idx="782">
                  <c:v>1.6695918352538475</c:v>
                </c:pt>
                <c:pt idx="783">
                  <c:v>1.6845453849209058</c:v>
                </c:pt>
                <c:pt idx="784">
                  <c:v>1.7029282555214393</c:v>
                </c:pt>
                <c:pt idx="785">
                  <c:v>1.7404661748405046</c:v>
                </c:pt>
                <c:pt idx="786">
                  <c:v>1.7404661748405046</c:v>
                </c:pt>
                <c:pt idx="787">
                  <c:v>1.7439688053917064</c:v>
                </c:pt>
                <c:pt idx="788">
                  <c:v>1.791759469228055</c:v>
                </c:pt>
                <c:pt idx="789">
                  <c:v>1.8082887711792655</c:v>
                </c:pt>
                <c:pt idx="790">
                  <c:v>1.8562979903656263</c:v>
                </c:pt>
                <c:pt idx="791">
                  <c:v>1.8718021769015913</c:v>
                </c:pt>
                <c:pt idx="792">
                  <c:v>1.9169226121820611</c:v>
                </c:pt>
                <c:pt idx="793">
                  <c:v>1.969905654611529</c:v>
                </c:pt>
                <c:pt idx="794">
                  <c:v>2.0756844928021239</c:v>
                </c:pt>
                <c:pt idx="795">
                  <c:v>2.1282317058492679</c:v>
                </c:pt>
                <c:pt idx="796">
                  <c:v>2.1972245773362196</c:v>
                </c:pt>
                <c:pt idx="797">
                  <c:v>2.2428350885882717</c:v>
                </c:pt>
                <c:pt idx="798">
                  <c:v>2.4248027257182949</c:v>
                </c:pt>
              </c:numCache>
            </c:numRef>
          </c:yVal>
          <c:smooth val="0"/>
          <c:extLst xmlns:c16r2="http://schemas.microsoft.com/office/drawing/2015/06/chart">
            <c:ext xmlns:c16="http://schemas.microsoft.com/office/drawing/2014/chart" uri="{C3380CC4-5D6E-409C-BE32-E72D297353CC}">
              <c16:uniqueId val="{00000000-3F7C-4209-AAFD-682CEC1734E5}"/>
            </c:ext>
          </c:extLst>
        </c:ser>
        <c:dLbls>
          <c:showLegendKey val="0"/>
          <c:showVal val="0"/>
          <c:showCatName val="0"/>
          <c:showSerName val="0"/>
          <c:showPercent val="0"/>
          <c:showBubbleSize val="0"/>
        </c:dLbls>
        <c:axId val="165455360"/>
        <c:axId val="165462016"/>
      </c:scatterChart>
      <c:valAx>
        <c:axId val="1654553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462016"/>
        <c:crossesAt val="-4"/>
        <c:crossBetween val="midCat"/>
      </c:valAx>
      <c:valAx>
        <c:axId val="1654620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455360"/>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F0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8.287088420273768E-2"/>
          <c:y val="0.1223491027732465"/>
          <c:w val="0.87606363300036993"/>
          <c:h val="0.77161500815660822"/>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'F0 - EF0 Analysis'!$F$12:$F$810</c:f>
              <c:numCache>
                <c:formatCode>General</c:formatCode>
                <c:ptCount val="799"/>
                <c:pt idx="0">
                  <c:v>-3.2297102373667248</c:v>
                </c:pt>
                <c:pt idx="1">
                  <c:v>-2.9011910009329664</c:v>
                </c:pt>
                <c:pt idx="2">
                  <c:v>-2.7372357806755607</c:v>
                </c:pt>
                <c:pt idx="3">
                  <c:v>-2.6246384632745574</c:v>
                </c:pt>
                <c:pt idx="4">
                  <c:v>-2.5378864473628475</c:v>
                </c:pt>
                <c:pt idx="5">
                  <c:v>-2.466850349828011</c:v>
                </c:pt>
                <c:pt idx="6">
                  <c:v>-2.406435557000667</c:v>
                </c:pt>
                <c:pt idx="7">
                  <c:v>-2.3537049007249542</c:v>
                </c:pt>
                <c:pt idx="8">
                  <c:v>-2.3068053236275246</c:v>
                </c:pt>
                <c:pt idx="9">
                  <c:v>-2.2644900655881872</c:v>
                </c:pt>
                <c:pt idx="10">
                  <c:v>-2.2258787390295107</c:v>
                </c:pt>
                <c:pt idx="11">
                  <c:v>-2.1903257646302365</c:v>
                </c:pt>
                <c:pt idx="12">
                  <c:v>-2.157343187508133</c:v>
                </c:pt>
                <c:pt idx="13">
                  <c:v>-2.1265529048537464</c:v>
                </c:pt>
                <c:pt idx="14">
                  <c:v>-2.0976557798505122</c:v>
                </c:pt>
                <c:pt idx="15">
                  <c:v>-2.0704109364617698</c:v>
                </c:pt>
                <c:pt idx="16">
                  <c:v>-2.0446214479968488</c:v>
                </c:pt>
                <c:pt idx="17">
                  <c:v>-2.0201241824908265</c:v>
                </c:pt>
                <c:pt idx="18">
                  <c:v>-1.9967824321552781</c:v>
                </c:pt>
                <c:pt idx="19">
                  <c:v>-1.9744804563168559</c:v>
                </c:pt>
                <c:pt idx="20">
                  <c:v>-1.953119369661714</c:v>
                </c:pt>
                <c:pt idx="21">
                  <c:v>-1.9326139954890176</c:v>
                </c:pt>
                <c:pt idx="22">
                  <c:v>-1.9128904236723956</c:v>
                </c:pt>
                <c:pt idx="23">
                  <c:v>-1.8938840915645971</c:v>
                </c:pt>
                <c:pt idx="24">
                  <c:v>-1.8755382586208733</c:v>
                </c:pt>
                <c:pt idx="25">
                  <c:v>-1.8578027813659423</c:v>
                </c:pt>
                <c:pt idx="26">
                  <c:v>-1.8406331202309791</c:v>
                </c:pt>
                <c:pt idx="27">
                  <c:v>-1.8239895273675018</c:v>
                </c:pt>
                <c:pt idx="28">
                  <c:v>-1.8078363771423687</c:v>
                </c:pt>
                <c:pt idx="29">
                  <c:v>-1.7921416101686585</c:v>
                </c:pt>
                <c:pt idx="30">
                  <c:v>-1.7768762684579023</c:v>
                </c:pt>
                <c:pt idx="31">
                  <c:v>-1.7620141042876334</c:v>
                </c:pt>
                <c:pt idx="32">
                  <c:v>-1.7475312491454524</c:v>
                </c:pt>
                <c:pt idx="33">
                  <c:v>-1.7334059319727604</c:v>
                </c:pt>
                <c:pt idx="34">
                  <c:v>-1.7196182381259371</c:v>
                </c:pt>
                <c:pt idx="35">
                  <c:v>-1.706149902170248</c:v>
                </c:pt>
                <c:pt idx="36">
                  <c:v>-1.6929841289455307</c:v>
                </c:pt>
                <c:pt idx="37">
                  <c:v>-1.6801054383829324</c:v>
                </c:pt>
                <c:pt idx="38">
                  <c:v>-1.6674995303752358</c:v>
                </c:pt>
                <c:pt idx="39">
                  <c:v>-1.6551531666593429</c:v>
                </c:pt>
                <c:pt idx="40">
                  <c:v>-1.6430540671955431</c:v>
                </c:pt>
                <c:pt idx="41">
                  <c:v>-1.6311908189526321</c:v>
                </c:pt>
                <c:pt idx="42">
                  <c:v>-1.619552795352317</c:v>
                </c:pt>
                <c:pt idx="43">
                  <c:v>-1.6081300849072808</c:v>
                </c:pt>
                <c:pt idx="44">
                  <c:v>-1.5969134278176627</c:v>
                </c:pt>
                <c:pt idx="45">
                  <c:v>-1.5858941594805218</c:v>
                </c:pt>
                <c:pt idx="46">
                  <c:v>-1.5750641600240298</c:v>
                </c:pt>
                <c:pt idx="47">
                  <c:v>-1.5644158091087819</c:v>
                </c:pt>
                <c:pt idx="48">
                  <c:v>-1.5539419453477636</c:v>
                </c:pt>
                <c:pt idx="49">
                  <c:v>-1.5436358297879897</c:v>
                </c:pt>
                <c:pt idx="50">
                  <c:v>-1.5334911129738318</c:v>
                </c:pt>
                <c:pt idx="51">
                  <c:v>-1.5235018051771141</c:v>
                </c:pt>
                <c:pt idx="52">
                  <c:v>-1.5136622494342076</c:v>
                </c:pt>
                <c:pt idx="53">
                  <c:v>-1.5039670970772523</c:v>
                </c:pt>
                <c:pt idx="54">
                  <c:v>-1.4944112854866949</c:v>
                </c:pt>
                <c:pt idx="55">
                  <c:v>-1.4849900178265962</c:v>
                </c:pt>
                <c:pt idx="56">
                  <c:v>-1.4756987445536023</c:v>
                </c:pt>
                <c:pt idx="57">
                  <c:v>-1.4665331465158102</c:v>
                </c:pt>
                <c:pt idx="58">
                  <c:v>-1.4574891194796666</c:v>
                </c:pt>
                <c:pt idx="59">
                  <c:v>-1.4485627599419753</c:v>
                </c:pt>
                <c:pt idx="60">
                  <c:v>-1.4397503521005517</c:v>
                </c:pt>
                <c:pt idx="61">
                  <c:v>-1.4310483558713887</c:v>
                </c:pt>
                <c:pt idx="62">
                  <c:v>-1.4224533958526753</c:v>
                </c:pt>
                <c:pt idx="63">
                  <c:v>-1.4139622511469609</c:v>
                </c:pt>
                <c:pt idx="64">
                  <c:v>-1.4055718459622997</c:v>
                </c:pt>
                <c:pt idx="65">
                  <c:v>-1.3972792409216594</c:v>
                </c:pt>
                <c:pt idx="66">
                  <c:v>-1.3890816250172116</c:v>
                </c:pt>
                <c:pt idx="67">
                  <c:v>-1.3809763081527771</c:v>
                </c:pt>
                <c:pt idx="68">
                  <c:v>-1.3729607142232811</c:v>
                </c:pt>
                <c:pt idx="69">
                  <c:v>-1.3650323746853841</c:v>
                </c:pt>
                <c:pt idx="70">
                  <c:v>-1.3571889225778233</c:v>
                </c:pt>
                <c:pt idx="71">
                  <c:v>-1.3494280869541073</c:v>
                </c:pt>
                <c:pt idx="72">
                  <c:v>-1.3417476876937868</c:v>
                </c:pt>
                <c:pt idx="73">
                  <c:v>-1.3341456306616806</c:v>
                </c:pt>
                <c:pt idx="74">
                  <c:v>-1.3266199031873371</c:v>
                </c:pt>
                <c:pt idx="75">
                  <c:v>-1.3191685698395292</c:v>
                </c:pt>
                <c:pt idx="76">
                  <c:v>-1.3117897684728792</c:v>
                </c:pt>
                <c:pt idx="77">
                  <c:v>-1.3044817065257879</c:v>
                </c:pt>
                <c:pt idx="78">
                  <c:v>-1.2972426575506355</c:v>
                </c:pt>
                <c:pt idx="79">
                  <c:v>-1.290070957958934</c:v>
                </c:pt>
                <c:pt idx="80">
                  <c:v>-1.2829650039655704</c:v>
                </c:pt>
                <c:pt idx="81">
                  <c:v>-1.2759232487176544</c:v>
                </c:pt>
                <c:pt idx="82">
                  <c:v>-1.2689441995946946</c:v>
                </c:pt>
                <c:pt idx="83">
                  <c:v>-1.2620264156679111</c:v>
                </c:pt>
                <c:pt idx="84">
                  <c:v>-1.2551685053075385</c:v>
                </c:pt>
                <c:pt idx="85">
                  <c:v>-1.2483691239278443</c:v>
                </c:pt>
                <c:pt idx="86">
                  <c:v>-1.2416269718604036</c:v>
                </c:pt>
                <c:pt idx="87">
                  <c:v>-1.2349407923469664</c:v>
                </c:pt>
                <c:pt idx="88">
                  <c:v>-1.2283093696438858</c:v>
                </c:pt>
                <c:pt idx="89">
                  <c:v>-1.2217315272307172</c:v>
                </c:pt>
                <c:pt idx="90">
                  <c:v>-1.2152061261161777</c:v>
                </c:pt>
                <c:pt idx="91">
                  <c:v>-1.2087320632351395</c:v>
                </c:pt>
                <c:pt idx="92">
                  <c:v>-1.2023082699308456</c:v>
                </c:pt>
                <c:pt idx="93">
                  <c:v>-1.1959337105169319</c:v>
                </c:pt>
                <c:pt idx="94">
                  <c:v>-1.1896073809142442</c:v>
                </c:pt>
                <c:pt idx="95">
                  <c:v>-1.1833283073578369</c:v>
                </c:pt>
                <c:pt idx="96">
                  <c:v>-1.1770955451698164</c:v>
                </c:pt>
                <c:pt idx="97">
                  <c:v>-1.1709081775940402</c:v>
                </c:pt>
                <c:pt idx="98">
                  <c:v>-1.1647653146889521</c:v>
                </c:pt>
                <c:pt idx="99">
                  <c:v>-1.1586660922750927</c:v>
                </c:pt>
                <c:pt idx="100">
                  <c:v>-1.1526096709340612</c:v>
                </c:pt>
                <c:pt idx="101">
                  <c:v>-1.1465952350559252</c:v>
                </c:pt>
                <c:pt idx="102">
                  <c:v>-1.1406219919322809</c:v>
                </c:pt>
                <c:pt idx="103">
                  <c:v>-1.1346891708923552</c:v>
                </c:pt>
                <c:pt idx="104">
                  <c:v>-1.1287960224797093</c:v>
                </c:pt>
                <c:pt idx="105">
                  <c:v>-1.1229418176672605</c:v>
                </c:pt>
                <c:pt idx="106">
                  <c:v>-1.1171258471084931</c:v>
                </c:pt>
                <c:pt idx="107">
                  <c:v>-1.1113474204228826</c:v>
                </c:pt>
                <c:pt idx="108">
                  <c:v>-1.1056058655136347</c:v>
                </c:pt>
                <c:pt idx="109">
                  <c:v>-1.0999005279160254</c:v>
                </c:pt>
                <c:pt idx="110">
                  <c:v>-1.0942307701746825</c:v>
                </c:pt>
                <c:pt idx="111">
                  <c:v>-1.0885959712482742</c:v>
                </c:pt>
                <c:pt idx="112">
                  <c:v>-1.0829955259401776</c:v>
                </c:pt>
                <c:pt idx="113">
                  <c:v>-1.0774288443537556</c:v>
                </c:pt>
                <c:pt idx="114">
                  <c:v>-1.0718953513709781</c:v>
                </c:pt>
                <c:pt idx="115">
                  <c:v>-1.0663944861531984</c:v>
                </c:pt>
                <c:pt idx="116">
                  <c:v>-1.060925701662939</c:v>
                </c:pt>
                <c:pt idx="117">
                  <c:v>-1.0554884642056614</c:v>
                </c:pt>
                <c:pt idx="118">
                  <c:v>-1.0500822529904894</c:v>
                </c:pt>
                <c:pt idx="119">
                  <c:v>-1.0447065597089622</c:v>
                </c:pt>
                <c:pt idx="120">
                  <c:v>-1.0393608881309535</c:v>
                </c:pt>
                <c:pt idx="121">
                  <c:v>-1.0340447537168658</c:v>
                </c:pt>
                <c:pt idx="122">
                  <c:v>-1.0287576832453833</c:v>
                </c:pt>
                <c:pt idx="123">
                  <c:v>-1.0234992144559822</c:v>
                </c:pt>
                <c:pt idx="124">
                  <c:v>-1.0182688957055219</c:v>
                </c:pt>
                <c:pt idx="125">
                  <c:v>-1.0130662856382573</c:v>
                </c:pt>
                <c:pt idx="126">
                  <c:v>-1.0078909528686477</c:v>
                </c:pt>
                <c:pt idx="127">
                  <c:v>-1.0027424756763177</c:v>
                </c:pt>
                <c:pt idx="128">
                  <c:v>-0.99762044171272712</c:v>
                </c:pt>
                <c:pt idx="129">
                  <c:v>-0.99252444771886239</c:v>
                </c:pt>
                <c:pt idx="130">
                  <c:v>-0.98745409925358074</c:v>
                </c:pt>
                <c:pt idx="131">
                  <c:v>-0.9824090104320703</c:v>
                </c:pt>
                <c:pt idx="132">
                  <c:v>-0.97738880367395276</c:v>
                </c:pt>
                <c:pt idx="133">
                  <c:v>-0.97239310946067403</c:v>
                </c:pt>
                <c:pt idx="134">
                  <c:v>-0.96742156610170071</c:v>
                </c:pt>
                <c:pt idx="135">
                  <c:v>-0.96247381950917721</c:v>
                </c:pt>
                <c:pt idx="136">
                  <c:v>-0.9575495229806702</c:v>
                </c:pt>
                <c:pt idx="137">
                  <c:v>-0.95264833698965778</c:v>
                </c:pt>
                <c:pt idx="138">
                  <c:v>-0.94776992898341883</c:v>
                </c:pt>
                <c:pt idx="139">
                  <c:v>-0.94291397318801362</c:v>
                </c:pt>
                <c:pt idx="140">
                  <c:v>-0.93808015042007897</c:v>
                </c:pt>
                <c:pt idx="141">
                  <c:v>-0.93326814790512536</c:v>
                </c:pt>
                <c:pt idx="142">
                  <c:v>-0.92847765910206081</c:v>
                </c:pt>
                <c:pt idx="143">
                  <c:v>-0.92370838353373652</c:v>
                </c:pt>
                <c:pt idx="144">
                  <c:v>-0.91896002662320075</c:v>
                </c:pt>
                <c:pt idx="145">
                  <c:v>-0.91423229953548146</c:v>
                </c:pt>
                <c:pt idx="146">
                  <c:v>-0.90952491902464438</c:v>
                </c:pt>
                <c:pt idx="147">
                  <c:v>-0.9048376072859271</c:v>
                </c:pt>
                <c:pt idx="148">
                  <c:v>-0.90017009181275498</c:v>
                </c:pt>
                <c:pt idx="149">
                  <c:v>-0.89552210525841913</c:v>
                </c:pt>
                <c:pt idx="150">
                  <c:v>-0.89089338530226814</c:v>
                </c:pt>
                <c:pt idx="151">
                  <c:v>-0.88628367452021983</c:v>
                </c:pt>
                <c:pt idx="152">
                  <c:v>-0.88169272025940548</c:v>
                </c:pt>
                <c:pt idx="153">
                  <c:v>-0.87712027451684371</c:v>
                </c:pt>
                <c:pt idx="154">
                  <c:v>-0.87256609382191841</c:v>
                </c:pt>
                <c:pt idx="155">
                  <c:v>-0.86802993912258575</c:v>
                </c:pt>
                <c:pt idx="156">
                  <c:v>-0.86351157567511283</c:v>
                </c:pt>
                <c:pt idx="157">
                  <c:v>-0.85901077293724848</c:v>
                </c:pt>
                <c:pt idx="158">
                  <c:v>-0.85452730446469505</c:v>
                </c:pt>
                <c:pt idx="159">
                  <c:v>-0.85006094781074393</c:v>
                </c:pt>
                <c:pt idx="160">
                  <c:v>-0.84561148442897183</c:v>
                </c:pt>
                <c:pt idx="161">
                  <c:v>-0.84117869957888414</c:v>
                </c:pt>
                <c:pt idx="162">
                  <c:v>-0.83676238223438926</c:v>
                </c:pt>
                <c:pt idx="163">
                  <c:v>-0.83236232499502194</c:v>
                </c:pt>
                <c:pt idx="164">
                  <c:v>-0.82797832399978744</c:v>
                </c:pt>
                <c:pt idx="165">
                  <c:v>-0.82361017884355936</c:v>
                </c:pt>
                <c:pt idx="166">
                  <c:v>-0.81925769249593172</c:v>
                </c:pt>
                <c:pt idx="167">
                  <c:v>-0.81492067122242973</c:v>
                </c:pt>
                <c:pt idx="168">
                  <c:v>-0.81059892450800952</c:v>
                </c:pt>
                <c:pt idx="169">
                  <c:v>-0.80629226498276396</c:v>
                </c:pt>
                <c:pt idx="170">
                  <c:v>-0.80200050834975056</c:v>
                </c:pt>
                <c:pt idx="171">
                  <c:v>-0.79772347331488291</c:v>
                </c:pt>
                <c:pt idx="172">
                  <c:v>-0.79346098151879274</c:v>
                </c:pt>
                <c:pt idx="173">
                  <c:v>-0.78921285747062497</c:v>
                </c:pt>
                <c:pt idx="174">
                  <c:v>-0.78497892848367556</c:v>
                </c:pt>
                <c:pt idx="175">
                  <c:v>-0.78075902461281554</c:v>
                </c:pt>
                <c:pt idx="176">
                  <c:v>-0.77655297859365702</c:v>
                </c:pt>
                <c:pt idx="177">
                  <c:v>-0.77236062578338083</c:v>
                </c:pt>
                <c:pt idx="178">
                  <c:v>-0.76818180410318582</c:v>
                </c:pt>
                <c:pt idx="179">
                  <c:v>-0.76401635398230361</c:v>
                </c:pt>
                <c:pt idx="180">
                  <c:v>-0.75986411830352263</c:v>
                </c:pt>
                <c:pt idx="181">
                  <c:v>-0.75572494235017407</c:v>
                </c:pt>
                <c:pt idx="182">
                  <c:v>-0.75159867375454548</c:v>
                </c:pt>
                <c:pt idx="183">
                  <c:v>-0.74748516244764973</c:v>
                </c:pt>
                <c:pt idx="184">
                  <c:v>-0.74338426061033158</c:v>
                </c:pt>
                <c:pt idx="185">
                  <c:v>-0.73929582262565408</c:v>
                </c:pt>
                <c:pt idx="186">
                  <c:v>-0.73521970503253264</c:v>
                </c:pt>
                <c:pt idx="187">
                  <c:v>-0.73115576648057046</c:v>
                </c:pt>
                <c:pt idx="188">
                  <c:v>-0.72710386768606139</c:v>
                </c:pt>
                <c:pt idx="189">
                  <c:v>-0.7230638713891282</c:v>
                </c:pt>
                <c:pt idx="190">
                  <c:v>-0.71903564231194905</c:v>
                </c:pt>
                <c:pt idx="191">
                  <c:v>-0.71501904711805409</c:v>
                </c:pt>
                <c:pt idx="192">
                  <c:v>-0.71101395437264392</c:v>
                </c:pt>
                <c:pt idx="193">
                  <c:v>-0.70702023450391449</c:v>
                </c:pt>
                <c:pt idx="194">
                  <c:v>-0.70303775976533733</c:v>
                </c:pt>
                <c:pt idx="195">
                  <c:v>-0.69906640419889454</c:v>
                </c:pt>
                <c:pt idx="196">
                  <c:v>-0.69510604359921147</c:v>
                </c:pt>
                <c:pt idx="197">
                  <c:v>-0.69115655547857413</c:v>
                </c:pt>
                <c:pt idx="198">
                  <c:v>-0.68721781903280976</c:v>
                </c:pt>
                <c:pt idx="199">
                  <c:v>-0.68328971510799696</c:v>
                </c:pt>
                <c:pt idx="200">
                  <c:v>-0.67937212616797271</c:v>
                </c:pt>
                <c:pt idx="201">
                  <c:v>-0.67546493626264137</c:v>
                </c:pt>
                <c:pt idx="202">
                  <c:v>-0.67156803099702567</c:v>
                </c:pt>
                <c:pt idx="203">
                  <c:v>-0.66768129750106964</c:v>
                </c:pt>
                <c:pt idx="204">
                  <c:v>-0.66380462440015109</c:v>
                </c:pt>
                <c:pt idx="205">
                  <c:v>-0.65993790178629375</c:v>
                </c:pt>
                <c:pt idx="206">
                  <c:v>-0.65608102119005407</c:v>
                </c:pt>
                <c:pt idx="207">
                  <c:v>-0.65223387555306989</c:v>
                </c:pt>
                <c:pt idx="208">
                  <c:v>-0.64839635920124028</c:v>
                </c:pt>
                <c:pt idx="209">
                  <c:v>-0.64456836781853544</c:v>
                </c:pt>
                <c:pt idx="210">
                  <c:v>-0.64074979842139845</c:v>
                </c:pt>
                <c:pt idx="211">
                  <c:v>-0.636940549333748</c:v>
                </c:pt>
                <c:pt idx="212">
                  <c:v>-0.63314052016253586</c:v>
                </c:pt>
                <c:pt idx="213">
                  <c:v>-0.62934961177387116</c:v>
                </c:pt>
                <c:pt idx="214">
                  <c:v>-0.62556772626967638</c:v>
                </c:pt>
                <c:pt idx="215">
                  <c:v>-0.62179476696487046</c:v>
                </c:pt>
                <c:pt idx="216">
                  <c:v>-0.61803063836506167</c:v>
                </c:pt>
                <c:pt idx="217">
                  <c:v>-0.61427524614473805</c:v>
                </c:pt>
                <c:pt idx="218">
                  <c:v>-0.61052849712593604</c:v>
                </c:pt>
                <c:pt idx="219">
                  <c:v>-0.60679029925738348</c:v>
                </c:pt>
                <c:pt idx="220">
                  <c:v>-0.60306056159409904</c:v>
                </c:pt>
                <c:pt idx="221">
                  <c:v>-0.59933919427743332</c:v>
                </c:pt>
                <c:pt idx="222">
                  <c:v>-0.59562610851554787</c:v>
                </c:pt>
                <c:pt idx="223">
                  <c:v>-0.59192121656431196</c:v>
                </c:pt>
                <c:pt idx="224">
                  <c:v>-0.58822443170861116</c:v>
                </c:pt>
                <c:pt idx="225">
                  <c:v>-0.58453566824405612</c:v>
                </c:pt>
                <c:pt idx="226">
                  <c:v>-0.5808548414590804</c:v>
                </c:pt>
                <c:pt idx="227">
                  <c:v>-0.57718186761741808</c:v>
                </c:pt>
                <c:pt idx="228">
                  <c:v>-0.57351666394094913</c:v>
                </c:pt>
                <c:pt idx="229">
                  <c:v>-0.56985914859290521</c:v>
                </c:pt>
                <c:pt idx="230">
                  <c:v>-0.56620924066142819</c:v>
                </c:pt>
                <c:pt idx="231">
                  <c:v>-0.56256686014346691</c:v>
                </c:pt>
                <c:pt idx="232">
                  <c:v>-0.5589319279290087</c:v>
                </c:pt>
                <c:pt idx="233">
                  <c:v>-0.55530436578563602</c:v>
                </c:pt>
                <c:pt idx="234">
                  <c:v>-0.55168409634339777</c:v>
                </c:pt>
                <c:pt idx="235">
                  <c:v>-0.54807104307998966</c:v>
                </c:pt>
                <c:pt idx="236">
                  <c:v>-0.54446513030623522</c:v>
                </c:pt>
                <c:pt idx="237">
                  <c:v>-0.54086628315185947</c:v>
                </c:pt>
                <c:pt idx="238">
                  <c:v>-0.53727442755154975</c:v>
                </c:pt>
                <c:pt idx="239">
                  <c:v>-0.53368949023129297</c:v>
                </c:pt>
                <c:pt idx="240">
                  <c:v>-0.5301113986949858</c:v>
                </c:pt>
                <c:pt idx="241">
                  <c:v>-0.52654008121131124</c:v>
                </c:pt>
                <c:pt idx="242">
                  <c:v>-0.52297546680087248</c:v>
                </c:pt>
                <c:pt idx="243">
                  <c:v>-0.51941748522357756</c:v>
                </c:pt>
                <c:pt idx="244">
                  <c:v>-0.51586606696627446</c:v>
                </c:pt>
                <c:pt idx="245">
                  <c:v>-0.51232114323062183</c:v>
                </c:pt>
                <c:pt idx="246">
                  <c:v>-0.50878264592119848</c:v>
                </c:pt>
                <c:pt idx="247">
                  <c:v>-0.50525050763383694</c:v>
                </c:pt>
                <c:pt idx="248">
                  <c:v>-0.50172466164418483</c:v>
                </c:pt>
                <c:pt idx="249">
                  <c:v>-0.49820504189648129</c:v>
                </c:pt>
                <c:pt idx="250">
                  <c:v>-0.49469158299254773</c:v>
                </c:pt>
                <c:pt idx="251">
                  <c:v>-0.49118422018098601</c:v>
                </c:pt>
                <c:pt idx="252">
                  <c:v>-0.4876828893465785</c:v>
                </c:pt>
                <c:pt idx="253">
                  <c:v>-0.48418752699988798</c:v>
                </c:pt>
                <c:pt idx="254">
                  <c:v>-0.48069807026704975</c:v>
                </c:pt>
                <c:pt idx="255">
                  <c:v>-0.47721445687975278</c:v>
                </c:pt>
                <c:pt idx="256">
                  <c:v>-0.47373662516540577</c:v>
                </c:pt>
                <c:pt idx="257">
                  <c:v>-0.47026451403748454</c:v>
                </c:pt>
                <c:pt idx="258">
                  <c:v>-0.46679806298605186</c:v>
                </c:pt>
                <c:pt idx="259">
                  <c:v>-0.46333721206845424</c:v>
                </c:pt>
                <c:pt idx="260">
                  <c:v>-0.45988190190018269</c:v>
                </c:pt>
                <c:pt idx="261">
                  <c:v>-0.45643207364590005</c:v>
                </c:pt>
                <c:pt idx="262">
                  <c:v>-0.45298766901062815</c:v>
                </c:pt>
                <c:pt idx="263">
                  <c:v>-0.44954863023109176</c:v>
                </c:pt>
                <c:pt idx="264">
                  <c:v>-0.4461149000672151</c:v>
                </c:pt>
                <c:pt idx="265">
                  <c:v>-0.44268642179377005</c:v>
                </c:pt>
                <c:pt idx="266">
                  <c:v>-0.43926313919216853</c:v>
                </c:pt>
                <c:pt idx="267">
                  <c:v>-0.4358449965423995</c:v>
                </c:pt>
                <c:pt idx="268">
                  <c:v>-0.43243193861510604</c:v>
                </c:pt>
                <c:pt idx="269">
                  <c:v>-0.42902391066379769</c:v>
                </c:pt>
                <c:pt idx="270">
                  <c:v>-0.42562085841719849</c:v>
                </c:pt>
                <c:pt idx="271">
                  <c:v>-0.42222272807172406</c:v>
                </c:pt>
                <c:pt idx="272">
                  <c:v>-0.41882946628408779</c:v>
                </c:pt>
                <c:pt idx="273">
                  <c:v>-0.415441020164032</c:v>
                </c:pt>
                <c:pt idx="274">
                  <c:v>-0.41205733726718058</c:v>
                </c:pt>
                <c:pt idx="275">
                  <c:v>-0.40867836558801141</c:v>
                </c:pt>
                <c:pt idx="276">
                  <c:v>-0.40530405355294757</c:v>
                </c:pt>
                <c:pt idx="277">
                  <c:v>-0.40193435001356043</c:v>
                </c:pt>
                <c:pt idx="278">
                  <c:v>-0.39856920423988579</c:v>
                </c:pt>
                <c:pt idx="279">
                  <c:v>-0.39520856591384995</c:v>
                </c:pt>
                <c:pt idx="280">
                  <c:v>-0.39185238512280307</c:v>
                </c:pt>
                <c:pt idx="281">
                  <c:v>-0.38850061235315569</c:v>
                </c:pt>
                <c:pt idx="282">
                  <c:v>-0.38515319848411983</c:v>
                </c:pt>
                <c:pt idx="283">
                  <c:v>-0.38181009478154904</c:v>
                </c:pt>
                <c:pt idx="284">
                  <c:v>-0.37847125289187822</c:v>
                </c:pt>
                <c:pt idx="285">
                  <c:v>-0.37513662483615695</c:v>
                </c:pt>
                <c:pt idx="286">
                  <c:v>-0.37180616300417962</c:v>
                </c:pt>
                <c:pt idx="287">
                  <c:v>-0.36847982014870556</c:v>
                </c:pt>
                <c:pt idx="288">
                  <c:v>-0.36515754937977118</c:v>
                </c:pt>
                <c:pt idx="289">
                  <c:v>-0.36183930415908783</c:v>
                </c:pt>
                <c:pt idx="290">
                  <c:v>-0.35852503829452781</c:v>
                </c:pt>
                <c:pt idx="291">
                  <c:v>-0.3552147059346944</c:v>
                </c:pt>
                <c:pt idx="292">
                  <c:v>-0.35190826156357441</c:v>
                </c:pt>
                <c:pt idx="293">
                  <c:v>-0.34860565999527116</c:v>
                </c:pt>
                <c:pt idx="294">
                  <c:v>-0.34530685636881769</c:v>
                </c:pt>
                <c:pt idx="295">
                  <c:v>-0.34201180614306698</c:v>
                </c:pt>
                <c:pt idx="296">
                  <c:v>-0.33872046509165765</c:v>
                </c:pt>
                <c:pt idx="297">
                  <c:v>-0.33543278929805492</c:v>
                </c:pt>
                <c:pt idx="298">
                  <c:v>-0.33214873515066334</c:v>
                </c:pt>
                <c:pt idx="299">
                  <c:v>-0.32886825933801206</c:v>
                </c:pt>
                <c:pt idx="300">
                  <c:v>-0.32559131884400822</c:v>
                </c:pt>
                <c:pt idx="301">
                  <c:v>-0.32231787094325981</c:v>
                </c:pt>
                <c:pt idx="302">
                  <c:v>-0.31904787319646521</c:v>
                </c:pt>
                <c:pt idx="303">
                  <c:v>-0.31578128344586803</c:v>
                </c:pt>
                <c:pt idx="304">
                  <c:v>-0.31251805981077574</c:v>
                </c:pt>
                <c:pt idx="305">
                  <c:v>-0.30925816068314183</c:v>
                </c:pt>
                <c:pt idx="306">
                  <c:v>-0.30600154472320873</c:v>
                </c:pt>
                <c:pt idx="307">
                  <c:v>-0.30274817085521177</c:v>
                </c:pt>
                <c:pt idx="308">
                  <c:v>-0.29949799826314094</c:v>
                </c:pt>
                <c:pt idx="309">
                  <c:v>-0.29625098638656117</c:v>
                </c:pt>
                <c:pt idx="310">
                  <c:v>-0.2930070949164888</c:v>
                </c:pt>
                <c:pt idx="311">
                  <c:v>-0.28976628379132435</c:v>
                </c:pt>
                <c:pt idx="312">
                  <c:v>-0.28652851319283745</c:v>
                </c:pt>
                <c:pt idx="313">
                  <c:v>-0.28329374354220688</c:v>
                </c:pt>
                <c:pt idx="314">
                  <c:v>-0.28006193549611114</c:v>
                </c:pt>
                <c:pt idx="315">
                  <c:v>-0.27683304994287161</c:v>
                </c:pt>
                <c:pt idx="316">
                  <c:v>-0.27360704799864299</c:v>
                </c:pt>
                <c:pt idx="317">
                  <c:v>-0.27038389100365501</c:v>
                </c:pt>
                <c:pt idx="318">
                  <c:v>-0.26716354051850083</c:v>
                </c:pt>
                <c:pt idx="319">
                  <c:v>-0.26394595832047196</c:v>
                </c:pt>
                <c:pt idx="320">
                  <c:v>-0.26073110639993929</c:v>
                </c:pt>
                <c:pt idx="321">
                  <c:v>-0.2575189469567789</c:v>
                </c:pt>
                <c:pt idx="322">
                  <c:v>-0.254309442396843</c:v>
                </c:pt>
                <c:pt idx="323">
                  <c:v>-0.25110255532847103</c:v>
                </c:pt>
                <c:pt idx="324">
                  <c:v>-0.2478982485590456</c:v>
                </c:pt>
                <c:pt idx="325">
                  <c:v>-0.24469648509158839</c:v>
                </c:pt>
                <c:pt idx="326">
                  <c:v>-0.24149722812139685</c:v>
                </c:pt>
                <c:pt idx="327">
                  <c:v>-0.23830044103271933</c:v>
                </c:pt>
                <c:pt idx="328">
                  <c:v>-0.23510608739547059</c:v>
                </c:pt>
                <c:pt idx="329">
                  <c:v>-0.23191413096198332</c:v>
                </c:pt>
                <c:pt idx="330">
                  <c:v>-0.22872453566379866</c:v>
                </c:pt>
                <c:pt idx="331">
                  <c:v>-0.22553726560849066</c:v>
                </c:pt>
                <c:pt idx="332">
                  <c:v>-0.22235228507652813</c:v>
                </c:pt>
                <c:pt idx="333">
                  <c:v>-0.21916955851817027</c:v>
                </c:pt>
                <c:pt idx="334">
                  <c:v>-0.21598905055039688</c:v>
                </c:pt>
                <c:pt idx="335">
                  <c:v>-0.21281072595387035</c:v>
                </c:pt>
                <c:pt idx="336">
                  <c:v>-0.20963454966993217</c:v>
                </c:pt>
                <c:pt idx="337">
                  <c:v>-0.20646048679762946</c:v>
                </c:pt>
                <c:pt idx="338">
                  <c:v>-0.20328850259077433</c:v>
                </c:pt>
                <c:pt idx="339">
                  <c:v>-0.20011856245503135</c:v>
                </c:pt>
                <c:pt idx="340">
                  <c:v>-0.19695063194503698</c:v>
                </c:pt>
                <c:pt idx="341">
                  <c:v>-0.19378467676154726</c:v>
                </c:pt>
                <c:pt idx="342">
                  <c:v>-0.19062066274861308</c:v>
                </c:pt>
                <c:pt idx="343">
                  <c:v>-0.18745855589078456</c:v>
                </c:pt>
                <c:pt idx="344">
                  <c:v>-0.18429832231034171</c:v>
                </c:pt>
                <c:pt idx="345">
                  <c:v>-0.18113992826455266</c:v>
                </c:pt>
                <c:pt idx="346">
                  <c:v>-0.17798334014295583</c:v>
                </c:pt>
                <c:pt idx="347">
                  <c:v>-0.17482852446466976</c:v>
                </c:pt>
                <c:pt idx="348">
                  <c:v>-0.17167544787572603</c:v>
                </c:pt>
                <c:pt idx="349">
                  <c:v>-0.1685240771464275</c:v>
                </c:pt>
                <c:pt idx="350">
                  <c:v>-0.16537437916872888</c:v>
                </c:pt>
                <c:pt idx="351">
                  <c:v>-0.16222632095364145</c:v>
                </c:pt>
                <c:pt idx="352">
                  <c:v>-0.1590798696286595</c:v>
                </c:pt>
                <c:pt idx="353">
                  <c:v>-0.15593499243520981</c:v>
                </c:pt>
                <c:pt idx="354">
                  <c:v>-0.15279165672612058</c:v>
                </c:pt>
                <c:pt idx="355">
                  <c:v>-0.14964982996311305</c:v>
                </c:pt>
                <c:pt idx="356">
                  <c:v>-0.14650947971431272</c:v>
                </c:pt>
                <c:pt idx="357">
                  <c:v>-0.1433705736517806</c:v>
                </c:pt>
                <c:pt idx="358">
                  <c:v>-0.14023307954906311</c:v>
                </c:pt>
                <c:pt idx="359">
                  <c:v>-0.13709696527876158</c:v>
                </c:pt>
                <c:pt idx="360">
                  <c:v>-0.13396219881011989</c:v>
                </c:pt>
                <c:pt idx="361">
                  <c:v>-0.13082874820662996</c:v>
                </c:pt>
                <c:pt idx="362">
                  <c:v>-0.12769658162365391</c:v>
                </c:pt>
                <c:pt idx="363">
                  <c:v>-0.12456566730606403</c:v>
                </c:pt>
                <c:pt idx="364">
                  <c:v>-0.12143597358589922</c:v>
                </c:pt>
                <c:pt idx="365">
                  <c:v>-0.1183074688800359</c:v>
                </c:pt>
                <c:pt idx="366">
                  <c:v>-0.11518012168787614</c:v>
                </c:pt>
                <c:pt idx="367">
                  <c:v>-0.1120539005890499</c:v>
                </c:pt>
                <c:pt idx="368">
                  <c:v>-0.10892877424113243</c:v>
                </c:pt>
                <c:pt idx="369">
                  <c:v>-0.10580471137737471</c:v>
                </c:pt>
                <c:pt idx="370">
                  <c:v>-0.10268168080444878</c:v>
                </c:pt>
                <c:pt idx="371">
                  <c:v>-9.9559651400205743E-2</c:v>
                </c:pt>
                <c:pt idx="372">
                  <c:v>-9.6438592111447202E-2</c:v>
                </c:pt>
                <c:pt idx="373">
                  <c:v>-9.3318471951707754E-2</c:v>
                </c:pt>
                <c:pt idx="374">
                  <c:v>-9.0199259999051096E-2</c:v>
                </c:pt>
                <c:pt idx="375">
                  <c:v>-8.7080925393876574E-2</c:v>
                </c:pt>
                <c:pt idx="376">
                  <c:v>-8.3963437336737987E-2</c:v>
                </c:pt>
                <c:pt idx="377">
                  <c:v>-8.0846765086171571E-2</c:v>
                </c:pt>
                <c:pt idx="378">
                  <c:v>-7.7730877956535868E-2</c:v>
                </c:pt>
                <c:pt idx="379">
                  <c:v>-7.4615745315860654E-2</c:v>
                </c:pt>
                <c:pt idx="380">
                  <c:v>-7.1501336583706318E-2</c:v>
                </c:pt>
                <c:pt idx="381">
                  <c:v>-6.8387621229030929E-2</c:v>
                </c:pt>
                <c:pt idx="382">
                  <c:v>-6.527456876806742E-2</c:v>
                </c:pt>
                <c:pt idx="383">
                  <c:v>-6.2162148762209143E-2</c:v>
                </c:pt>
                <c:pt idx="384">
                  <c:v>-5.9050330815902101E-2</c:v>
                </c:pt>
                <c:pt idx="385">
                  <c:v>-5.5939084574546334E-2</c:v>
                </c:pt>
                <c:pt idx="386">
                  <c:v>-5.2828379722403541E-2</c:v>
                </c:pt>
                <c:pt idx="387">
                  <c:v>-4.9718185980512669E-2</c:v>
                </c:pt>
                <c:pt idx="388">
                  <c:v>-4.6608473104610221E-2</c:v>
                </c:pt>
                <c:pt idx="389">
                  <c:v>-4.3499210883058456E-2</c:v>
                </c:pt>
                <c:pt idx="390">
                  <c:v>-4.039036913477824E-2</c:v>
                </c:pt>
                <c:pt idx="391">
                  <c:v>-3.7281917707188278E-2</c:v>
                </c:pt>
                <c:pt idx="392">
                  <c:v>-3.4173826474147871E-2</c:v>
                </c:pt>
                <c:pt idx="393">
                  <c:v>-3.1066065333905688E-2</c:v>
                </c:pt>
                <c:pt idx="394">
                  <c:v>-2.7958604207052151E-2</c:v>
                </c:pt>
                <c:pt idx="395">
                  <c:v>-2.4851413034476393E-2</c:v>
                </c:pt>
                <c:pt idx="396">
                  <c:v>-2.1744461775325484E-2</c:v>
                </c:pt>
                <c:pt idx="397">
                  <c:v>-1.8637720404968229E-2</c:v>
                </c:pt>
                <c:pt idx="398">
                  <c:v>-1.5531158912960993E-2</c:v>
                </c:pt>
                <c:pt idx="399">
                  <c:v>-1.2424747301016821E-2</c:v>
                </c:pt>
                <c:pt idx="400">
                  <c:v>-9.3184555809752972E-3</c:v>
                </c:pt>
                <c:pt idx="401">
                  <c:v>-6.2122537727756083E-3</c:v>
                </c:pt>
                <c:pt idx="402">
                  <c:v>-3.1061119024301388E-3</c:v>
                </c:pt>
                <c:pt idx="403">
                  <c:v>0</c:v>
                </c:pt>
                <c:pt idx="404">
                  <c:v>3.1061119024302771E-3</c:v>
                </c:pt>
                <c:pt idx="405">
                  <c:v>6.2122537727754678E-3</c:v>
                </c:pt>
                <c:pt idx="406">
                  <c:v>9.3184555809752972E-3</c:v>
                </c:pt>
                <c:pt idx="407">
                  <c:v>1.2424747301016958E-2</c:v>
                </c:pt>
                <c:pt idx="408">
                  <c:v>1.5531158912960993E-2</c:v>
                </c:pt>
                <c:pt idx="409">
                  <c:v>1.8637720404968229E-2</c:v>
                </c:pt>
                <c:pt idx="410">
                  <c:v>2.1744461775325342E-2</c:v>
                </c:pt>
                <c:pt idx="411">
                  <c:v>2.4851413034476393E-2</c:v>
                </c:pt>
                <c:pt idx="412">
                  <c:v>2.7958604207052293E-2</c:v>
                </c:pt>
                <c:pt idx="413">
                  <c:v>3.1066065333905553E-2</c:v>
                </c:pt>
                <c:pt idx="414">
                  <c:v>3.4173826474147871E-2</c:v>
                </c:pt>
                <c:pt idx="415">
                  <c:v>3.7281917707188424E-2</c:v>
                </c:pt>
                <c:pt idx="416">
                  <c:v>4.039036913477824E-2</c:v>
                </c:pt>
                <c:pt idx="417">
                  <c:v>4.3499210883058456E-2</c:v>
                </c:pt>
                <c:pt idx="418">
                  <c:v>4.6608473104610082E-2</c:v>
                </c:pt>
                <c:pt idx="419">
                  <c:v>4.9718185980512669E-2</c:v>
                </c:pt>
                <c:pt idx="420">
                  <c:v>5.2828379722403694E-2</c:v>
                </c:pt>
                <c:pt idx="421">
                  <c:v>5.5939084574546188E-2</c:v>
                </c:pt>
                <c:pt idx="422">
                  <c:v>5.9050330815902101E-2</c:v>
                </c:pt>
                <c:pt idx="423">
                  <c:v>6.2162148762209282E-2</c:v>
                </c:pt>
                <c:pt idx="424">
                  <c:v>6.527456876806742E-2</c:v>
                </c:pt>
                <c:pt idx="425">
                  <c:v>6.8387621229030929E-2</c:v>
                </c:pt>
                <c:pt idx="426">
                  <c:v>7.1501336583706457E-2</c:v>
                </c:pt>
                <c:pt idx="427">
                  <c:v>7.4615745315860654E-2</c:v>
                </c:pt>
                <c:pt idx="428">
                  <c:v>7.7730877956535868E-2</c:v>
                </c:pt>
                <c:pt idx="429">
                  <c:v>8.0846765086171432E-2</c:v>
                </c:pt>
                <c:pt idx="430">
                  <c:v>8.3963437336737987E-2</c:v>
                </c:pt>
                <c:pt idx="431">
                  <c:v>8.7080925393876726E-2</c:v>
                </c:pt>
                <c:pt idx="432">
                  <c:v>9.0199259999050957E-2</c:v>
                </c:pt>
                <c:pt idx="433">
                  <c:v>9.3318471951707754E-2</c:v>
                </c:pt>
                <c:pt idx="434">
                  <c:v>9.6438592111447313E-2</c:v>
                </c:pt>
                <c:pt idx="435">
                  <c:v>9.9559651400205743E-2</c:v>
                </c:pt>
                <c:pt idx="436">
                  <c:v>0.10268168080444878</c:v>
                </c:pt>
                <c:pt idx="437">
                  <c:v>0.10580471137737456</c:v>
                </c:pt>
                <c:pt idx="438">
                  <c:v>0.10892877424113243</c:v>
                </c:pt>
                <c:pt idx="439">
                  <c:v>0.11205390058905006</c:v>
                </c:pt>
                <c:pt idx="440">
                  <c:v>0.115180121687876</c:v>
                </c:pt>
                <c:pt idx="441">
                  <c:v>0.1183074688800359</c:v>
                </c:pt>
                <c:pt idx="442">
                  <c:v>0.12143597358589935</c:v>
                </c:pt>
                <c:pt idx="443">
                  <c:v>0.12456566730606403</c:v>
                </c:pt>
                <c:pt idx="444">
                  <c:v>0.12769658162365391</c:v>
                </c:pt>
                <c:pt idx="445">
                  <c:v>0.13082874820662979</c:v>
                </c:pt>
                <c:pt idx="446">
                  <c:v>0.13396219881011989</c:v>
                </c:pt>
                <c:pt idx="447">
                  <c:v>0.13709696527876158</c:v>
                </c:pt>
                <c:pt idx="448">
                  <c:v>0.14023307954906297</c:v>
                </c:pt>
                <c:pt idx="449">
                  <c:v>0.1433705736517806</c:v>
                </c:pt>
                <c:pt idx="450">
                  <c:v>0.14650947971431286</c:v>
                </c:pt>
                <c:pt idx="451">
                  <c:v>0.14964982996311293</c:v>
                </c:pt>
                <c:pt idx="452">
                  <c:v>0.15279165672612058</c:v>
                </c:pt>
                <c:pt idx="453">
                  <c:v>0.15593499243520995</c:v>
                </c:pt>
                <c:pt idx="454">
                  <c:v>0.1590798696286595</c:v>
                </c:pt>
                <c:pt idx="455">
                  <c:v>0.16222632095364145</c:v>
                </c:pt>
                <c:pt idx="456">
                  <c:v>0.16537437916872874</c:v>
                </c:pt>
                <c:pt idx="457">
                  <c:v>0.1685240771464275</c:v>
                </c:pt>
                <c:pt idx="458">
                  <c:v>0.17167544787572614</c:v>
                </c:pt>
                <c:pt idx="459">
                  <c:v>0.17482852446466962</c:v>
                </c:pt>
                <c:pt idx="460">
                  <c:v>0.17798334014295583</c:v>
                </c:pt>
                <c:pt idx="461">
                  <c:v>0.18113992826455283</c:v>
                </c:pt>
                <c:pt idx="462">
                  <c:v>0.18429832231034171</c:v>
                </c:pt>
                <c:pt idx="463">
                  <c:v>0.18745855589078456</c:v>
                </c:pt>
                <c:pt idx="464">
                  <c:v>0.19062066274861295</c:v>
                </c:pt>
                <c:pt idx="465">
                  <c:v>0.19378467676154726</c:v>
                </c:pt>
                <c:pt idx="466">
                  <c:v>0.19695063194503712</c:v>
                </c:pt>
                <c:pt idx="467">
                  <c:v>0.20011856245503121</c:v>
                </c:pt>
                <c:pt idx="468">
                  <c:v>0.20328850259077433</c:v>
                </c:pt>
                <c:pt idx="469">
                  <c:v>0.20646048679762963</c:v>
                </c:pt>
                <c:pt idx="470">
                  <c:v>0.209634549669932</c:v>
                </c:pt>
                <c:pt idx="471">
                  <c:v>0.21281072595387035</c:v>
                </c:pt>
                <c:pt idx="472">
                  <c:v>0.21598905055039699</c:v>
                </c:pt>
                <c:pt idx="473">
                  <c:v>0.21916955851817027</c:v>
                </c:pt>
                <c:pt idx="474">
                  <c:v>0.22235228507652813</c:v>
                </c:pt>
                <c:pt idx="475">
                  <c:v>0.22553726560849049</c:v>
                </c:pt>
                <c:pt idx="476">
                  <c:v>0.22872453566379866</c:v>
                </c:pt>
                <c:pt idx="477">
                  <c:v>0.23191413096198346</c:v>
                </c:pt>
                <c:pt idx="478">
                  <c:v>0.23510608739547043</c:v>
                </c:pt>
                <c:pt idx="479">
                  <c:v>0.23830044103271933</c:v>
                </c:pt>
                <c:pt idx="480">
                  <c:v>0.24149722812139693</c:v>
                </c:pt>
                <c:pt idx="481">
                  <c:v>0.24469648509158839</c:v>
                </c:pt>
                <c:pt idx="482">
                  <c:v>0.2478982485590456</c:v>
                </c:pt>
                <c:pt idx="483">
                  <c:v>0.25110255532847081</c:v>
                </c:pt>
                <c:pt idx="484">
                  <c:v>0.254309442396843</c:v>
                </c:pt>
                <c:pt idx="485">
                  <c:v>0.25751894695677907</c:v>
                </c:pt>
                <c:pt idx="486">
                  <c:v>0.26073110639993913</c:v>
                </c:pt>
                <c:pt idx="487">
                  <c:v>0.26394595832047196</c:v>
                </c:pt>
                <c:pt idx="488">
                  <c:v>0.26716354051850105</c:v>
                </c:pt>
                <c:pt idx="489">
                  <c:v>0.27038389100365501</c:v>
                </c:pt>
                <c:pt idx="490">
                  <c:v>0.27360704799864299</c:v>
                </c:pt>
                <c:pt idx="491">
                  <c:v>0.27683304994287167</c:v>
                </c:pt>
                <c:pt idx="492">
                  <c:v>0.28006193549611114</c:v>
                </c:pt>
                <c:pt idx="493">
                  <c:v>0.28329374354220688</c:v>
                </c:pt>
                <c:pt idx="494">
                  <c:v>0.28652851319283734</c:v>
                </c:pt>
                <c:pt idx="495">
                  <c:v>0.28976628379132435</c:v>
                </c:pt>
                <c:pt idx="496">
                  <c:v>0.29300709491648896</c:v>
                </c:pt>
                <c:pt idx="497">
                  <c:v>0.296250986386561</c:v>
                </c:pt>
                <c:pt idx="498">
                  <c:v>0.29949799826314094</c:v>
                </c:pt>
                <c:pt idx="499">
                  <c:v>0.30274817085521194</c:v>
                </c:pt>
                <c:pt idx="500">
                  <c:v>0.30600154472320873</c:v>
                </c:pt>
                <c:pt idx="501">
                  <c:v>0.30925816068314183</c:v>
                </c:pt>
                <c:pt idx="502">
                  <c:v>0.31251805981077552</c:v>
                </c:pt>
                <c:pt idx="503">
                  <c:v>0.31578128344586803</c:v>
                </c:pt>
                <c:pt idx="504">
                  <c:v>0.31904787319646533</c:v>
                </c:pt>
                <c:pt idx="505">
                  <c:v>0.3223178709432597</c:v>
                </c:pt>
                <c:pt idx="506">
                  <c:v>0.32559131884400822</c:v>
                </c:pt>
                <c:pt idx="507">
                  <c:v>0.32886825933801223</c:v>
                </c:pt>
                <c:pt idx="508">
                  <c:v>0.33214873515066334</c:v>
                </c:pt>
                <c:pt idx="509">
                  <c:v>0.33543278929805492</c:v>
                </c:pt>
                <c:pt idx="510">
                  <c:v>0.3387204650916576</c:v>
                </c:pt>
                <c:pt idx="511">
                  <c:v>0.34201180614306698</c:v>
                </c:pt>
                <c:pt idx="512">
                  <c:v>0.34530685636881786</c:v>
                </c:pt>
                <c:pt idx="513">
                  <c:v>0.34860565999527104</c:v>
                </c:pt>
                <c:pt idx="514">
                  <c:v>0.35190826156357441</c:v>
                </c:pt>
                <c:pt idx="515">
                  <c:v>0.35521470593469451</c:v>
                </c:pt>
                <c:pt idx="516">
                  <c:v>0.35852503829452775</c:v>
                </c:pt>
                <c:pt idx="517">
                  <c:v>0.36183930415908783</c:v>
                </c:pt>
                <c:pt idx="518">
                  <c:v>0.36515754937977135</c:v>
                </c:pt>
                <c:pt idx="519">
                  <c:v>0.36847982014870556</c:v>
                </c:pt>
                <c:pt idx="520">
                  <c:v>0.37180616300417962</c:v>
                </c:pt>
                <c:pt idx="521">
                  <c:v>0.37513662483615684</c:v>
                </c:pt>
                <c:pt idx="522">
                  <c:v>0.37847125289187822</c:v>
                </c:pt>
                <c:pt idx="523">
                  <c:v>0.38181009478154926</c:v>
                </c:pt>
                <c:pt idx="524">
                  <c:v>0.38515319848411972</c:v>
                </c:pt>
                <c:pt idx="525">
                  <c:v>0.38850061235315569</c:v>
                </c:pt>
                <c:pt idx="526">
                  <c:v>0.39185238512280324</c:v>
                </c:pt>
                <c:pt idx="527">
                  <c:v>0.39520856591384995</c:v>
                </c:pt>
                <c:pt idx="528">
                  <c:v>0.39856920423988579</c:v>
                </c:pt>
                <c:pt idx="529">
                  <c:v>0.40193435001356026</c:v>
                </c:pt>
                <c:pt idx="530">
                  <c:v>0.40530405355294757</c:v>
                </c:pt>
                <c:pt idx="531">
                  <c:v>0.40867836558801146</c:v>
                </c:pt>
                <c:pt idx="532">
                  <c:v>0.41205733726718025</c:v>
                </c:pt>
                <c:pt idx="533">
                  <c:v>0.415441020164032</c:v>
                </c:pt>
                <c:pt idx="534">
                  <c:v>0.4188294662840879</c:v>
                </c:pt>
                <c:pt idx="535">
                  <c:v>0.42222272807172406</c:v>
                </c:pt>
                <c:pt idx="536">
                  <c:v>0.42562085841719849</c:v>
                </c:pt>
                <c:pt idx="537">
                  <c:v>0.4290239106637978</c:v>
                </c:pt>
                <c:pt idx="538">
                  <c:v>0.43243193861510604</c:v>
                </c:pt>
                <c:pt idx="539">
                  <c:v>0.4358449965423995</c:v>
                </c:pt>
                <c:pt idx="540">
                  <c:v>0.43926313919216836</c:v>
                </c:pt>
                <c:pt idx="541">
                  <c:v>0.44268642179377005</c:v>
                </c:pt>
                <c:pt idx="542">
                  <c:v>0.44611490006721516</c:v>
                </c:pt>
                <c:pt idx="543">
                  <c:v>0.44954863023109171</c:v>
                </c:pt>
                <c:pt idx="544">
                  <c:v>0.45298766901062815</c:v>
                </c:pt>
                <c:pt idx="545">
                  <c:v>0.45643207364590022</c:v>
                </c:pt>
                <c:pt idx="546">
                  <c:v>0.45988190190018269</c:v>
                </c:pt>
                <c:pt idx="547">
                  <c:v>0.46333721206845424</c:v>
                </c:pt>
                <c:pt idx="548">
                  <c:v>0.46679806298605175</c:v>
                </c:pt>
                <c:pt idx="549">
                  <c:v>0.47026451403748454</c:v>
                </c:pt>
                <c:pt idx="550">
                  <c:v>0.47373662516540604</c:v>
                </c:pt>
                <c:pt idx="551">
                  <c:v>0.47721445687975261</c:v>
                </c:pt>
                <c:pt idx="552">
                  <c:v>0.48069807026704975</c:v>
                </c:pt>
                <c:pt idx="553">
                  <c:v>0.48418752699988815</c:v>
                </c:pt>
                <c:pt idx="554">
                  <c:v>0.4876828893465785</c:v>
                </c:pt>
                <c:pt idx="555">
                  <c:v>0.49118422018098601</c:v>
                </c:pt>
                <c:pt idx="556">
                  <c:v>0.49469158299254795</c:v>
                </c:pt>
                <c:pt idx="557">
                  <c:v>0.49820504189648129</c:v>
                </c:pt>
                <c:pt idx="558">
                  <c:v>0.50172466164418483</c:v>
                </c:pt>
                <c:pt idx="559">
                  <c:v>0.50525050763383683</c:v>
                </c:pt>
                <c:pt idx="560">
                  <c:v>0.50878264592119848</c:v>
                </c:pt>
                <c:pt idx="561">
                  <c:v>0.51232114323062217</c:v>
                </c:pt>
                <c:pt idx="562">
                  <c:v>0.51586606696627435</c:v>
                </c:pt>
                <c:pt idx="563">
                  <c:v>0.51941748522357756</c:v>
                </c:pt>
                <c:pt idx="564">
                  <c:v>0.52297546680087259</c:v>
                </c:pt>
                <c:pt idx="565">
                  <c:v>0.52654008121131124</c:v>
                </c:pt>
                <c:pt idx="566">
                  <c:v>0.5301113986949858</c:v>
                </c:pt>
                <c:pt idx="567">
                  <c:v>0.53368949023129275</c:v>
                </c:pt>
                <c:pt idx="568">
                  <c:v>0.53727442755154975</c:v>
                </c:pt>
                <c:pt idx="569">
                  <c:v>0.54086628315185969</c:v>
                </c:pt>
                <c:pt idx="570">
                  <c:v>0.544465130306235</c:v>
                </c:pt>
                <c:pt idx="571">
                  <c:v>0.54807104307998966</c:v>
                </c:pt>
                <c:pt idx="572">
                  <c:v>0.55168409634339799</c:v>
                </c:pt>
                <c:pt idx="573">
                  <c:v>0.55530436578563602</c:v>
                </c:pt>
                <c:pt idx="574">
                  <c:v>0.5589319279290087</c:v>
                </c:pt>
                <c:pt idx="575">
                  <c:v>0.56256686014346657</c:v>
                </c:pt>
                <c:pt idx="576">
                  <c:v>0.56620924066142819</c:v>
                </c:pt>
                <c:pt idx="577">
                  <c:v>0.56985914859290532</c:v>
                </c:pt>
                <c:pt idx="578">
                  <c:v>0.5735166639409488</c:v>
                </c:pt>
                <c:pt idx="579">
                  <c:v>0.57718186761741808</c:v>
                </c:pt>
                <c:pt idx="580">
                  <c:v>0.58085484145908051</c:v>
                </c:pt>
                <c:pt idx="581">
                  <c:v>0.58453566824405578</c:v>
                </c:pt>
                <c:pt idx="582">
                  <c:v>0.58822443170861116</c:v>
                </c:pt>
                <c:pt idx="583">
                  <c:v>0.59192121656431218</c:v>
                </c:pt>
                <c:pt idx="584">
                  <c:v>0.59562610851554787</c:v>
                </c:pt>
                <c:pt idx="585">
                  <c:v>0.59933919427743332</c:v>
                </c:pt>
                <c:pt idx="586">
                  <c:v>0.60306056159409882</c:v>
                </c:pt>
                <c:pt idx="587">
                  <c:v>0.60679029925738348</c:v>
                </c:pt>
                <c:pt idx="588">
                  <c:v>0.61052849712593593</c:v>
                </c:pt>
                <c:pt idx="589">
                  <c:v>0.61427524614473794</c:v>
                </c:pt>
                <c:pt idx="590">
                  <c:v>0.61803063836506167</c:v>
                </c:pt>
                <c:pt idx="591">
                  <c:v>0.62179476696487035</c:v>
                </c:pt>
                <c:pt idx="592">
                  <c:v>0.62556772626967638</c:v>
                </c:pt>
                <c:pt idx="593">
                  <c:v>0.62934961177387116</c:v>
                </c:pt>
                <c:pt idx="594">
                  <c:v>0.63314052016253586</c:v>
                </c:pt>
                <c:pt idx="595">
                  <c:v>0.636940549333748</c:v>
                </c:pt>
                <c:pt idx="596">
                  <c:v>0.64074979842139901</c:v>
                </c:pt>
                <c:pt idx="597">
                  <c:v>0.64456836781853499</c:v>
                </c:pt>
                <c:pt idx="598">
                  <c:v>0.64839635920124028</c:v>
                </c:pt>
                <c:pt idx="599">
                  <c:v>0.65223387555306978</c:v>
                </c:pt>
                <c:pt idx="600">
                  <c:v>0.65608102119005429</c:v>
                </c:pt>
                <c:pt idx="601">
                  <c:v>0.65993790178629375</c:v>
                </c:pt>
                <c:pt idx="602">
                  <c:v>0.66380462440015164</c:v>
                </c:pt>
                <c:pt idx="603">
                  <c:v>0.66768129750106964</c:v>
                </c:pt>
                <c:pt idx="604">
                  <c:v>0.67156803099702567</c:v>
                </c:pt>
                <c:pt idx="605">
                  <c:v>0.67546493626264092</c:v>
                </c:pt>
                <c:pt idx="606">
                  <c:v>0.67937212616797271</c:v>
                </c:pt>
                <c:pt idx="607">
                  <c:v>0.68328971510799696</c:v>
                </c:pt>
                <c:pt idx="608">
                  <c:v>0.68721781903280976</c:v>
                </c:pt>
                <c:pt idx="609">
                  <c:v>0.69115655547857413</c:v>
                </c:pt>
                <c:pt idx="610">
                  <c:v>0.69510604359921124</c:v>
                </c:pt>
                <c:pt idx="611">
                  <c:v>0.69906640419889454</c:v>
                </c:pt>
                <c:pt idx="612">
                  <c:v>0.70303775976533733</c:v>
                </c:pt>
                <c:pt idx="613">
                  <c:v>0.7070202345039136</c:v>
                </c:pt>
                <c:pt idx="614">
                  <c:v>0.71101395437264392</c:v>
                </c:pt>
                <c:pt idx="615">
                  <c:v>0.71501904711805409</c:v>
                </c:pt>
                <c:pt idx="616">
                  <c:v>0.71903564231194905</c:v>
                </c:pt>
                <c:pt idx="617">
                  <c:v>0.7230638713891282</c:v>
                </c:pt>
                <c:pt idx="618">
                  <c:v>0.72710386768606206</c:v>
                </c:pt>
                <c:pt idx="619">
                  <c:v>0.73115576648057046</c:v>
                </c:pt>
                <c:pt idx="620">
                  <c:v>0.73521970503253264</c:v>
                </c:pt>
                <c:pt idx="621">
                  <c:v>0.73929582262565396</c:v>
                </c:pt>
                <c:pt idx="622">
                  <c:v>0.74338426061033158</c:v>
                </c:pt>
                <c:pt idx="623">
                  <c:v>0.74748516244764973</c:v>
                </c:pt>
                <c:pt idx="624">
                  <c:v>0.75159867375454548</c:v>
                </c:pt>
                <c:pt idx="625">
                  <c:v>0.75572494235017407</c:v>
                </c:pt>
                <c:pt idx="626">
                  <c:v>0.75986411830352263</c:v>
                </c:pt>
                <c:pt idx="627">
                  <c:v>0.76401635398230361</c:v>
                </c:pt>
                <c:pt idx="628">
                  <c:v>0.76818180410318582</c:v>
                </c:pt>
                <c:pt idx="629">
                  <c:v>0.77236062578338138</c:v>
                </c:pt>
                <c:pt idx="630">
                  <c:v>0.77655297859365702</c:v>
                </c:pt>
                <c:pt idx="631">
                  <c:v>0.78075902461281554</c:v>
                </c:pt>
                <c:pt idx="632">
                  <c:v>0.78497892848367534</c:v>
                </c:pt>
                <c:pt idx="633">
                  <c:v>0.78921285747062497</c:v>
                </c:pt>
                <c:pt idx="634">
                  <c:v>0.79346098151879274</c:v>
                </c:pt>
                <c:pt idx="635">
                  <c:v>0.79772347331488291</c:v>
                </c:pt>
                <c:pt idx="636">
                  <c:v>0.80200050834975056</c:v>
                </c:pt>
                <c:pt idx="637">
                  <c:v>0.80629226498276318</c:v>
                </c:pt>
                <c:pt idx="638">
                  <c:v>0.81059892450800952</c:v>
                </c:pt>
                <c:pt idx="639">
                  <c:v>0.81492067122242973</c:v>
                </c:pt>
                <c:pt idx="640">
                  <c:v>0.81925769249593305</c:v>
                </c:pt>
                <c:pt idx="641">
                  <c:v>0.82361017884355936</c:v>
                </c:pt>
                <c:pt idx="642">
                  <c:v>0.82797832399978744</c:v>
                </c:pt>
                <c:pt idx="643">
                  <c:v>0.83236232499502116</c:v>
                </c:pt>
                <c:pt idx="644">
                  <c:v>0.83676238223438926</c:v>
                </c:pt>
                <c:pt idx="645">
                  <c:v>0.84117869957888414</c:v>
                </c:pt>
                <c:pt idx="646">
                  <c:v>0.84561148442897183</c:v>
                </c:pt>
                <c:pt idx="647">
                  <c:v>0.85006094781074393</c:v>
                </c:pt>
                <c:pt idx="648">
                  <c:v>0.85452730446469527</c:v>
                </c:pt>
                <c:pt idx="649">
                  <c:v>0.85901077293724848</c:v>
                </c:pt>
                <c:pt idx="650">
                  <c:v>0.86351157567511283</c:v>
                </c:pt>
                <c:pt idx="651">
                  <c:v>0.86802993912258619</c:v>
                </c:pt>
                <c:pt idx="652">
                  <c:v>0.87256609382191841</c:v>
                </c:pt>
                <c:pt idx="653">
                  <c:v>0.87712027451684371</c:v>
                </c:pt>
                <c:pt idx="654">
                  <c:v>0.88169272025940548</c:v>
                </c:pt>
                <c:pt idx="655">
                  <c:v>0.88628367452021983</c:v>
                </c:pt>
                <c:pt idx="656">
                  <c:v>0.89089338530226825</c:v>
                </c:pt>
                <c:pt idx="657">
                  <c:v>0.89552210525841913</c:v>
                </c:pt>
                <c:pt idx="658">
                  <c:v>0.90017009181275498</c:v>
                </c:pt>
                <c:pt idx="659">
                  <c:v>0.90483760728592699</c:v>
                </c:pt>
                <c:pt idx="660">
                  <c:v>0.90952491902464438</c:v>
                </c:pt>
                <c:pt idx="661">
                  <c:v>0.91423229953548146</c:v>
                </c:pt>
                <c:pt idx="662">
                  <c:v>0.91896002662320075</c:v>
                </c:pt>
                <c:pt idx="663">
                  <c:v>0.92370838353373652</c:v>
                </c:pt>
                <c:pt idx="664">
                  <c:v>0.92847765910206115</c:v>
                </c:pt>
                <c:pt idx="665">
                  <c:v>0.93326814790512536</c:v>
                </c:pt>
                <c:pt idx="666">
                  <c:v>0.93808015042007897</c:v>
                </c:pt>
                <c:pt idx="667">
                  <c:v>0.94291397318801373</c:v>
                </c:pt>
                <c:pt idx="668">
                  <c:v>0.94776992898341883</c:v>
                </c:pt>
                <c:pt idx="669">
                  <c:v>0.95264833698965778</c:v>
                </c:pt>
                <c:pt idx="670">
                  <c:v>0.95754952298067086</c:v>
                </c:pt>
                <c:pt idx="671">
                  <c:v>0.96247381950917721</c:v>
                </c:pt>
                <c:pt idx="672">
                  <c:v>0.96742156610170071</c:v>
                </c:pt>
                <c:pt idx="673">
                  <c:v>0.97239310946067403</c:v>
                </c:pt>
                <c:pt idx="674">
                  <c:v>0.97738880367395276</c:v>
                </c:pt>
                <c:pt idx="675">
                  <c:v>0.9824090104320693</c:v>
                </c:pt>
                <c:pt idx="676">
                  <c:v>0.98745409925358074</c:v>
                </c:pt>
                <c:pt idx="677">
                  <c:v>0.99252444771886239</c:v>
                </c:pt>
                <c:pt idx="678">
                  <c:v>0.9976204417127269</c:v>
                </c:pt>
                <c:pt idx="679">
                  <c:v>1.0027424756763177</c:v>
                </c:pt>
                <c:pt idx="680">
                  <c:v>1.0078909528686477</c:v>
                </c:pt>
                <c:pt idx="681">
                  <c:v>1.0130662856382573</c:v>
                </c:pt>
                <c:pt idx="682">
                  <c:v>1.0182688957055219</c:v>
                </c:pt>
                <c:pt idx="683">
                  <c:v>1.0234992144559798</c:v>
                </c:pt>
                <c:pt idx="684">
                  <c:v>1.0287576832453833</c:v>
                </c:pt>
                <c:pt idx="685">
                  <c:v>1.0340447537168658</c:v>
                </c:pt>
                <c:pt idx="686">
                  <c:v>1.0393608881309517</c:v>
                </c:pt>
                <c:pt idx="687">
                  <c:v>1.0447065597089622</c:v>
                </c:pt>
                <c:pt idx="688">
                  <c:v>1.0500822529904894</c:v>
                </c:pt>
                <c:pt idx="689">
                  <c:v>1.0554884642056612</c:v>
                </c:pt>
                <c:pt idx="690">
                  <c:v>1.060925701662939</c:v>
                </c:pt>
                <c:pt idx="691">
                  <c:v>1.0663944861531984</c:v>
                </c:pt>
                <c:pt idx="692">
                  <c:v>1.0718953513709781</c:v>
                </c:pt>
                <c:pt idx="693">
                  <c:v>1.0774288443537556</c:v>
                </c:pt>
                <c:pt idx="694">
                  <c:v>1.0829955259401778</c:v>
                </c:pt>
                <c:pt idx="695">
                  <c:v>1.0885959712482742</c:v>
                </c:pt>
                <c:pt idx="696">
                  <c:v>1.0942307701746825</c:v>
                </c:pt>
                <c:pt idx="697">
                  <c:v>1.0999005279160257</c:v>
                </c:pt>
                <c:pt idx="698">
                  <c:v>1.1056058655136347</c:v>
                </c:pt>
                <c:pt idx="699">
                  <c:v>1.1113474204228826</c:v>
                </c:pt>
                <c:pt idx="700">
                  <c:v>1.1171258471084931</c:v>
                </c:pt>
                <c:pt idx="701">
                  <c:v>1.1229418176672605</c:v>
                </c:pt>
                <c:pt idx="702">
                  <c:v>1.1287960224797102</c:v>
                </c:pt>
                <c:pt idx="703">
                  <c:v>1.1346891708923552</c:v>
                </c:pt>
                <c:pt idx="704">
                  <c:v>1.1406219919322809</c:v>
                </c:pt>
                <c:pt idx="705">
                  <c:v>1.1465952350559254</c:v>
                </c:pt>
                <c:pt idx="706">
                  <c:v>1.1526096709340612</c:v>
                </c:pt>
                <c:pt idx="707">
                  <c:v>1.1586660922750927</c:v>
                </c:pt>
                <c:pt idx="708">
                  <c:v>1.1647653146889521</c:v>
                </c:pt>
                <c:pt idx="709">
                  <c:v>1.1709081775940402</c:v>
                </c:pt>
                <c:pt idx="710">
                  <c:v>1.1770955451698173</c:v>
                </c:pt>
                <c:pt idx="711">
                  <c:v>1.1833283073578369</c:v>
                </c:pt>
                <c:pt idx="712">
                  <c:v>1.1896073809142442</c:v>
                </c:pt>
                <c:pt idx="713">
                  <c:v>1.1959337105169316</c:v>
                </c:pt>
                <c:pt idx="714">
                  <c:v>1.2023082699308456</c:v>
                </c:pt>
                <c:pt idx="715">
                  <c:v>1.2087320632351395</c:v>
                </c:pt>
                <c:pt idx="716">
                  <c:v>1.2152061261161777</c:v>
                </c:pt>
                <c:pt idx="717">
                  <c:v>1.2217315272307172</c:v>
                </c:pt>
                <c:pt idx="718">
                  <c:v>1.2283093696438865</c:v>
                </c:pt>
                <c:pt idx="719">
                  <c:v>1.2349407923469664</c:v>
                </c:pt>
                <c:pt idx="720">
                  <c:v>1.2416269718604036</c:v>
                </c:pt>
                <c:pt idx="721">
                  <c:v>1.2483691239278443</c:v>
                </c:pt>
                <c:pt idx="722">
                  <c:v>1.2551685053075385</c:v>
                </c:pt>
                <c:pt idx="723">
                  <c:v>1.2620264156679111</c:v>
                </c:pt>
                <c:pt idx="724">
                  <c:v>1.2689441995946948</c:v>
                </c:pt>
                <c:pt idx="725">
                  <c:v>1.2759232487176544</c:v>
                </c:pt>
                <c:pt idx="726">
                  <c:v>1.2829650039655704</c:v>
                </c:pt>
                <c:pt idx="727">
                  <c:v>1.290070957958934</c:v>
                </c:pt>
                <c:pt idx="728">
                  <c:v>1.2972426575506355</c:v>
                </c:pt>
                <c:pt idx="729">
                  <c:v>1.3044817065257872</c:v>
                </c:pt>
                <c:pt idx="730">
                  <c:v>1.3117897684728792</c:v>
                </c:pt>
                <c:pt idx="731">
                  <c:v>1.3191685698395292</c:v>
                </c:pt>
                <c:pt idx="732">
                  <c:v>1.3266199031873385</c:v>
                </c:pt>
                <c:pt idx="733">
                  <c:v>1.3341456306616806</c:v>
                </c:pt>
                <c:pt idx="734">
                  <c:v>1.3417476876937868</c:v>
                </c:pt>
                <c:pt idx="735">
                  <c:v>1.3494280869541075</c:v>
                </c:pt>
                <c:pt idx="736">
                  <c:v>1.3571889225778233</c:v>
                </c:pt>
                <c:pt idx="737">
                  <c:v>1.3650323746853854</c:v>
                </c:pt>
                <c:pt idx="738">
                  <c:v>1.3729607142232811</c:v>
                </c:pt>
                <c:pt idx="739">
                  <c:v>1.3809763081527771</c:v>
                </c:pt>
                <c:pt idx="740">
                  <c:v>1.3890816250172116</c:v>
                </c:pt>
                <c:pt idx="741">
                  <c:v>1.3972792409216594</c:v>
                </c:pt>
                <c:pt idx="742">
                  <c:v>1.4055718459622997</c:v>
                </c:pt>
                <c:pt idx="743">
                  <c:v>1.4139622511469585</c:v>
                </c:pt>
                <c:pt idx="744">
                  <c:v>1.4224533958526753</c:v>
                </c:pt>
                <c:pt idx="745">
                  <c:v>1.4310483558713887</c:v>
                </c:pt>
                <c:pt idx="746">
                  <c:v>1.4397503521005519</c:v>
                </c:pt>
                <c:pt idx="747">
                  <c:v>1.4574891194796675</c:v>
                </c:pt>
                <c:pt idx="748">
                  <c:v>1.4574891194796675</c:v>
                </c:pt>
                <c:pt idx="749">
                  <c:v>1.4665331465158105</c:v>
                </c:pt>
                <c:pt idx="750">
                  <c:v>1.4756987445536025</c:v>
                </c:pt>
                <c:pt idx="751">
                  <c:v>1.484990017826596</c:v>
                </c:pt>
                <c:pt idx="752">
                  <c:v>1.4944112854866951</c:v>
                </c:pt>
                <c:pt idx="753">
                  <c:v>1.503967097077253</c:v>
                </c:pt>
                <c:pt idx="754">
                  <c:v>1.5136622494342076</c:v>
                </c:pt>
                <c:pt idx="755">
                  <c:v>1.5235018051771141</c:v>
                </c:pt>
                <c:pt idx="756">
                  <c:v>1.5334911129738322</c:v>
                </c:pt>
                <c:pt idx="757">
                  <c:v>1.5436358297879897</c:v>
                </c:pt>
                <c:pt idx="758">
                  <c:v>1.5539419453477636</c:v>
                </c:pt>
                <c:pt idx="759">
                  <c:v>1.5644158091087821</c:v>
                </c:pt>
                <c:pt idx="760">
                  <c:v>1.5750641600240294</c:v>
                </c:pt>
                <c:pt idx="761">
                  <c:v>1.5858941594805218</c:v>
                </c:pt>
                <c:pt idx="762">
                  <c:v>1.5969134278176618</c:v>
                </c:pt>
                <c:pt idx="763">
                  <c:v>1.6081300849072808</c:v>
                </c:pt>
                <c:pt idx="764">
                  <c:v>1.619552795352317</c:v>
                </c:pt>
                <c:pt idx="765">
                  <c:v>1.6311908189526314</c:v>
                </c:pt>
                <c:pt idx="766">
                  <c:v>1.6430540671955431</c:v>
                </c:pt>
                <c:pt idx="767">
                  <c:v>1.6551531666593431</c:v>
                </c:pt>
                <c:pt idx="768">
                  <c:v>1.6674995303752354</c:v>
                </c:pt>
                <c:pt idx="769">
                  <c:v>1.6801054383829324</c:v>
                </c:pt>
                <c:pt idx="770">
                  <c:v>1.6929841289455296</c:v>
                </c:pt>
                <c:pt idx="771">
                  <c:v>1.706149902170248</c:v>
                </c:pt>
                <c:pt idx="772">
                  <c:v>1.7196182381259377</c:v>
                </c:pt>
                <c:pt idx="773">
                  <c:v>1.7334059319727599</c:v>
                </c:pt>
                <c:pt idx="774">
                  <c:v>1.7475312491454524</c:v>
                </c:pt>
                <c:pt idx="775">
                  <c:v>1.7620141042876341</c:v>
                </c:pt>
                <c:pt idx="776">
                  <c:v>1.7768762684579016</c:v>
                </c:pt>
                <c:pt idx="777">
                  <c:v>1.7921416101686585</c:v>
                </c:pt>
                <c:pt idx="778">
                  <c:v>1.8078363771423696</c:v>
                </c:pt>
                <c:pt idx="779">
                  <c:v>1.8239895273675018</c:v>
                </c:pt>
                <c:pt idx="780">
                  <c:v>1.8406331202309794</c:v>
                </c:pt>
                <c:pt idx="781">
                  <c:v>1.8578027813659412</c:v>
                </c:pt>
                <c:pt idx="782">
                  <c:v>1.8755382586208733</c:v>
                </c:pt>
                <c:pt idx="783">
                  <c:v>1.8938840915645974</c:v>
                </c:pt>
                <c:pt idx="784">
                  <c:v>1.9128904236723947</c:v>
                </c:pt>
                <c:pt idx="785">
                  <c:v>1.9326139954890176</c:v>
                </c:pt>
                <c:pt idx="786">
                  <c:v>1.9531193696617146</c:v>
                </c:pt>
                <c:pt idx="787">
                  <c:v>1.9744804563168556</c:v>
                </c:pt>
                <c:pt idx="788">
                  <c:v>1.9967824321552787</c:v>
                </c:pt>
                <c:pt idx="789">
                  <c:v>2.020124182490826</c:v>
                </c:pt>
                <c:pt idx="790">
                  <c:v>2.0446214479968488</c:v>
                </c:pt>
                <c:pt idx="791">
                  <c:v>2.0704109364617698</c:v>
                </c:pt>
                <c:pt idx="792">
                  <c:v>2.0976557798505118</c:v>
                </c:pt>
                <c:pt idx="793">
                  <c:v>2.1265529048537464</c:v>
                </c:pt>
                <c:pt idx="794">
                  <c:v>2.1573431875081339</c:v>
                </c:pt>
                <c:pt idx="795">
                  <c:v>2.1903257646302356</c:v>
                </c:pt>
                <c:pt idx="796">
                  <c:v>2.2258787390295116</c:v>
                </c:pt>
                <c:pt idx="797">
                  <c:v>2.2644900655881894</c:v>
                </c:pt>
                <c:pt idx="798">
                  <c:v>2.3068053236275237</c:v>
                </c:pt>
              </c:numCache>
            </c:numRef>
          </c:xVal>
          <c:yVal>
            <c:numRef>
              <c:f>'F0 - EF0 Analysis'!$I$12:$I$810</c:f>
              <c:numCache>
                <c:formatCode>General</c:formatCode>
                <c:ptCount val="799"/>
                <c:pt idx="0">
                  <c:v>-9.3701890729180786</c:v>
                </c:pt>
                <c:pt idx="1">
                  <c:v>-9.0825070004662987</c:v>
                </c:pt>
                <c:pt idx="2">
                  <c:v>-8.6770418923581332</c:v>
                </c:pt>
                <c:pt idx="3">
                  <c:v>-8.6770418923581332</c:v>
                </c:pt>
                <c:pt idx="4">
                  <c:v>-8.6770418923581332</c:v>
                </c:pt>
                <c:pt idx="5">
                  <c:v>-8.6770418923581332</c:v>
                </c:pt>
                <c:pt idx="6">
                  <c:v>-8.6770418923581332</c:v>
                </c:pt>
                <c:pt idx="7">
                  <c:v>-8.6770418923581332</c:v>
                </c:pt>
                <c:pt idx="8">
                  <c:v>-8.6770418923581332</c:v>
                </c:pt>
                <c:pt idx="9">
                  <c:v>-8.6770418923581332</c:v>
                </c:pt>
                <c:pt idx="10">
                  <c:v>-8.1662162685921427</c:v>
                </c:pt>
                <c:pt idx="11">
                  <c:v>-8.1662162685921427</c:v>
                </c:pt>
                <c:pt idx="12">
                  <c:v>-8.1662162685921427</c:v>
                </c:pt>
                <c:pt idx="13">
                  <c:v>-7.9838947117981887</c:v>
                </c:pt>
                <c:pt idx="14">
                  <c:v>-7.9838947117981887</c:v>
                </c:pt>
                <c:pt idx="15">
                  <c:v>-7.8297440319709297</c:v>
                </c:pt>
                <c:pt idx="16">
                  <c:v>-7.8297440319709297</c:v>
                </c:pt>
                <c:pt idx="17">
                  <c:v>-7.696212639346407</c:v>
                </c:pt>
                <c:pt idx="18">
                  <c:v>-7.5784296036900241</c:v>
                </c:pt>
                <c:pt idx="19">
                  <c:v>-7.4730690880321973</c:v>
                </c:pt>
                <c:pt idx="20">
                  <c:v>-7.4730690880321973</c:v>
                </c:pt>
                <c:pt idx="21">
                  <c:v>-7.4730690880321973</c:v>
                </c:pt>
                <c:pt idx="22">
                  <c:v>-7.4730690880321973</c:v>
                </c:pt>
                <c:pt idx="23">
                  <c:v>-7.4730690880321973</c:v>
                </c:pt>
                <c:pt idx="24">
                  <c:v>-7.4730690880321973</c:v>
                </c:pt>
                <c:pt idx="25">
                  <c:v>-7.4730690880321973</c:v>
                </c:pt>
                <c:pt idx="26">
                  <c:v>-7.4730690880321973</c:v>
                </c:pt>
                <c:pt idx="27">
                  <c:v>-7.4730690880321973</c:v>
                </c:pt>
                <c:pt idx="28">
                  <c:v>-7.4730690880321973</c:v>
                </c:pt>
                <c:pt idx="29">
                  <c:v>-7.4730690880321973</c:v>
                </c:pt>
                <c:pt idx="30">
                  <c:v>-7.4730690880321973</c:v>
                </c:pt>
                <c:pt idx="31">
                  <c:v>-7.4730690880321973</c:v>
                </c:pt>
                <c:pt idx="32">
                  <c:v>-7.4730690880321973</c:v>
                </c:pt>
                <c:pt idx="33">
                  <c:v>-7.4730690880321973</c:v>
                </c:pt>
                <c:pt idx="34">
                  <c:v>-7.4730690880321973</c:v>
                </c:pt>
                <c:pt idx="35">
                  <c:v>-7.4730690880321973</c:v>
                </c:pt>
                <c:pt idx="36">
                  <c:v>-7.4730690880321973</c:v>
                </c:pt>
                <c:pt idx="37">
                  <c:v>-7.4730690880321973</c:v>
                </c:pt>
                <c:pt idx="38">
                  <c:v>-7.4730690880321973</c:v>
                </c:pt>
                <c:pt idx="39">
                  <c:v>-7.4730690880321973</c:v>
                </c:pt>
                <c:pt idx="40">
                  <c:v>-7.4730690880321973</c:v>
                </c:pt>
                <c:pt idx="41">
                  <c:v>-7.4730690880321973</c:v>
                </c:pt>
                <c:pt idx="42">
                  <c:v>-7.4730690880321973</c:v>
                </c:pt>
                <c:pt idx="43">
                  <c:v>-7.4730690880321973</c:v>
                </c:pt>
                <c:pt idx="44">
                  <c:v>-7.4730690880321973</c:v>
                </c:pt>
                <c:pt idx="45">
                  <c:v>-7.4730690880321973</c:v>
                </c:pt>
                <c:pt idx="46">
                  <c:v>-7.4730690880321973</c:v>
                </c:pt>
                <c:pt idx="47">
                  <c:v>-7.4730690880321973</c:v>
                </c:pt>
                <c:pt idx="48">
                  <c:v>-7.4730690880321973</c:v>
                </c:pt>
                <c:pt idx="49">
                  <c:v>-7.4730690880321973</c:v>
                </c:pt>
                <c:pt idx="50">
                  <c:v>-7.4730690880321973</c:v>
                </c:pt>
                <c:pt idx="51">
                  <c:v>-7.4730690880321973</c:v>
                </c:pt>
                <c:pt idx="52">
                  <c:v>-7.4730690880321973</c:v>
                </c:pt>
                <c:pt idx="53">
                  <c:v>-7.4730690880321973</c:v>
                </c:pt>
                <c:pt idx="54">
                  <c:v>-7.4730690880321973</c:v>
                </c:pt>
                <c:pt idx="55">
                  <c:v>-7.4730690880321973</c:v>
                </c:pt>
                <c:pt idx="56">
                  <c:v>-7.4730690880321973</c:v>
                </c:pt>
                <c:pt idx="57">
                  <c:v>-7.4730690880321973</c:v>
                </c:pt>
                <c:pt idx="58">
                  <c:v>-7.4730690880321973</c:v>
                </c:pt>
                <c:pt idx="59">
                  <c:v>-7.4730690880321973</c:v>
                </c:pt>
                <c:pt idx="60">
                  <c:v>-7.4730690880321973</c:v>
                </c:pt>
                <c:pt idx="61">
                  <c:v>-7.4730690880321973</c:v>
                </c:pt>
                <c:pt idx="62">
                  <c:v>-7.4730690880321973</c:v>
                </c:pt>
                <c:pt idx="63">
                  <c:v>-7.4730690880321973</c:v>
                </c:pt>
                <c:pt idx="64">
                  <c:v>-7.4730690880321973</c:v>
                </c:pt>
                <c:pt idx="65">
                  <c:v>-7.4730690880321973</c:v>
                </c:pt>
                <c:pt idx="66">
                  <c:v>-7.4730690880321973</c:v>
                </c:pt>
                <c:pt idx="67">
                  <c:v>-7.4730690880321973</c:v>
                </c:pt>
                <c:pt idx="68">
                  <c:v>-7.4730690880321973</c:v>
                </c:pt>
                <c:pt idx="69">
                  <c:v>-7.4730690880321973</c:v>
                </c:pt>
                <c:pt idx="70">
                  <c:v>-7.4730690880321973</c:v>
                </c:pt>
                <c:pt idx="71">
                  <c:v>-7.4730690880321973</c:v>
                </c:pt>
                <c:pt idx="72">
                  <c:v>-7.4730690880321973</c:v>
                </c:pt>
                <c:pt idx="73">
                  <c:v>-7.4730690880321973</c:v>
                </c:pt>
                <c:pt idx="74">
                  <c:v>-7.4730690880321973</c:v>
                </c:pt>
                <c:pt idx="75">
                  <c:v>-7.4730690880321973</c:v>
                </c:pt>
                <c:pt idx="76">
                  <c:v>-7.4730690880321973</c:v>
                </c:pt>
                <c:pt idx="77">
                  <c:v>-7.4730690880321973</c:v>
                </c:pt>
                <c:pt idx="78">
                  <c:v>-7.4730690880321973</c:v>
                </c:pt>
                <c:pt idx="79">
                  <c:v>-7.4730690880321973</c:v>
                </c:pt>
                <c:pt idx="80">
                  <c:v>-7.4730690880321973</c:v>
                </c:pt>
                <c:pt idx="81">
                  <c:v>-7.4730690880321973</c:v>
                </c:pt>
                <c:pt idx="82">
                  <c:v>-7.4730690880321973</c:v>
                </c:pt>
                <c:pt idx="83">
                  <c:v>-7.4730690880321973</c:v>
                </c:pt>
                <c:pt idx="84">
                  <c:v>-7.4730690880321973</c:v>
                </c:pt>
                <c:pt idx="85">
                  <c:v>-7.4730690880321973</c:v>
                </c:pt>
                <c:pt idx="86">
                  <c:v>-7.4730690880321973</c:v>
                </c:pt>
                <c:pt idx="87">
                  <c:v>-7.4730690880321973</c:v>
                </c:pt>
                <c:pt idx="88">
                  <c:v>-7.4730690880321973</c:v>
                </c:pt>
                <c:pt idx="89">
                  <c:v>-7.4730690880321973</c:v>
                </c:pt>
                <c:pt idx="90">
                  <c:v>-7.3777589082278725</c:v>
                </c:pt>
                <c:pt idx="91">
                  <c:v>-7.2907475312382433</c:v>
                </c:pt>
                <c:pt idx="92">
                  <c:v>-7.2907475312382433</c:v>
                </c:pt>
                <c:pt idx="93">
                  <c:v>-7.2499255367179876</c:v>
                </c:pt>
                <c:pt idx="94">
                  <c:v>-7.210704823564706</c:v>
                </c:pt>
                <c:pt idx="95">
                  <c:v>-7.0676039799240336</c:v>
                </c:pt>
                <c:pt idx="96">
                  <c:v>-7.0676039799240336</c:v>
                </c:pt>
                <c:pt idx="97">
                  <c:v>-6.942440836970027</c:v>
                </c:pt>
                <c:pt idx="98">
                  <c:v>-6.942440836970027</c:v>
                </c:pt>
                <c:pt idx="99">
                  <c:v>-6.942440836970027</c:v>
                </c:pt>
                <c:pt idx="100">
                  <c:v>-6.942440836970027</c:v>
                </c:pt>
                <c:pt idx="101">
                  <c:v>-6.7799219074722519</c:v>
                </c:pt>
                <c:pt idx="102">
                  <c:v>-6.7799219074722519</c:v>
                </c:pt>
                <c:pt idx="103">
                  <c:v>-6.7799219074722519</c:v>
                </c:pt>
                <c:pt idx="104">
                  <c:v>-6.7799219074722519</c:v>
                </c:pt>
                <c:pt idx="105">
                  <c:v>-6.7799219074722519</c:v>
                </c:pt>
                <c:pt idx="106">
                  <c:v>-6.7799219074722519</c:v>
                </c:pt>
                <c:pt idx="107">
                  <c:v>-6.7799219074722519</c:v>
                </c:pt>
                <c:pt idx="108">
                  <c:v>-6.7799219074722519</c:v>
                </c:pt>
                <c:pt idx="109">
                  <c:v>-6.7799219074722519</c:v>
                </c:pt>
                <c:pt idx="110">
                  <c:v>-6.7799219074722519</c:v>
                </c:pt>
                <c:pt idx="111">
                  <c:v>-6.7799219074722519</c:v>
                </c:pt>
                <c:pt idx="112">
                  <c:v>-6.7799219074722519</c:v>
                </c:pt>
                <c:pt idx="113">
                  <c:v>-6.7799219074722519</c:v>
                </c:pt>
                <c:pt idx="114">
                  <c:v>-6.7799219074722519</c:v>
                </c:pt>
                <c:pt idx="115">
                  <c:v>-6.7799219074722519</c:v>
                </c:pt>
                <c:pt idx="116">
                  <c:v>-6.7799219074722519</c:v>
                </c:pt>
                <c:pt idx="117">
                  <c:v>-6.7799219074722519</c:v>
                </c:pt>
                <c:pt idx="118">
                  <c:v>-6.7799219074722519</c:v>
                </c:pt>
                <c:pt idx="119">
                  <c:v>-6.7799219074722519</c:v>
                </c:pt>
                <c:pt idx="120">
                  <c:v>-6.7799219074722519</c:v>
                </c:pt>
                <c:pt idx="121">
                  <c:v>-6.7799219074722519</c:v>
                </c:pt>
                <c:pt idx="122">
                  <c:v>-6.7799219074722519</c:v>
                </c:pt>
                <c:pt idx="123">
                  <c:v>-6.7311317433028206</c:v>
                </c:pt>
                <c:pt idx="124">
                  <c:v>-6.7311317433028197</c:v>
                </c:pt>
                <c:pt idx="125">
                  <c:v>-6.6401599650970935</c:v>
                </c:pt>
                <c:pt idx="126">
                  <c:v>-6.5976003506782979</c:v>
                </c:pt>
                <c:pt idx="127">
                  <c:v>-6.5567783561580422</c:v>
                </c:pt>
                <c:pt idx="128">
                  <c:v>-6.5567783561580422</c:v>
                </c:pt>
                <c:pt idx="129">
                  <c:v>-6.5567783561580422</c:v>
                </c:pt>
                <c:pt idx="130">
                  <c:v>-6.5567783561580422</c:v>
                </c:pt>
                <c:pt idx="131">
                  <c:v>-6.5567783561580422</c:v>
                </c:pt>
                <c:pt idx="132">
                  <c:v>-6.5567783561580422</c:v>
                </c:pt>
                <c:pt idx="133">
                  <c:v>-6.5567783561580422</c:v>
                </c:pt>
                <c:pt idx="134">
                  <c:v>-6.5567783561580422</c:v>
                </c:pt>
                <c:pt idx="135">
                  <c:v>-6.5567783561580422</c:v>
                </c:pt>
                <c:pt idx="136">
                  <c:v>-6.5567783561580422</c:v>
                </c:pt>
                <c:pt idx="137">
                  <c:v>-6.5567783561580422</c:v>
                </c:pt>
                <c:pt idx="138">
                  <c:v>-6.5567783561580422</c:v>
                </c:pt>
                <c:pt idx="139">
                  <c:v>-6.5567783561580422</c:v>
                </c:pt>
                <c:pt idx="140">
                  <c:v>-6.5567783561580422</c:v>
                </c:pt>
                <c:pt idx="141">
                  <c:v>-6.5567783561580422</c:v>
                </c:pt>
                <c:pt idx="142">
                  <c:v>-6.5567783561580422</c:v>
                </c:pt>
                <c:pt idx="143">
                  <c:v>-6.5567783561580422</c:v>
                </c:pt>
                <c:pt idx="144">
                  <c:v>-6.5567783561580422</c:v>
                </c:pt>
                <c:pt idx="145">
                  <c:v>-6.5567783561580422</c:v>
                </c:pt>
                <c:pt idx="146">
                  <c:v>-6.5567783561580422</c:v>
                </c:pt>
                <c:pt idx="147">
                  <c:v>-6.5567783561580422</c:v>
                </c:pt>
                <c:pt idx="148">
                  <c:v>-6.5567783561580422</c:v>
                </c:pt>
                <c:pt idx="149">
                  <c:v>-6.5567783561580422</c:v>
                </c:pt>
                <c:pt idx="150">
                  <c:v>-6.5567783561580422</c:v>
                </c:pt>
                <c:pt idx="151">
                  <c:v>-6.5567783561580422</c:v>
                </c:pt>
                <c:pt idx="152">
                  <c:v>-6.5567783561580422</c:v>
                </c:pt>
                <c:pt idx="153">
                  <c:v>-6.5567783561580422</c:v>
                </c:pt>
                <c:pt idx="154">
                  <c:v>-6.5567783561580422</c:v>
                </c:pt>
                <c:pt idx="155">
                  <c:v>-6.5567783561580422</c:v>
                </c:pt>
                <c:pt idx="156">
                  <c:v>-6.5567783561580422</c:v>
                </c:pt>
                <c:pt idx="157">
                  <c:v>-6.5567783561580422</c:v>
                </c:pt>
                <c:pt idx="158">
                  <c:v>-6.5567783561580422</c:v>
                </c:pt>
                <c:pt idx="159">
                  <c:v>-6.5567783561580422</c:v>
                </c:pt>
                <c:pt idx="160">
                  <c:v>-6.5567783561580422</c:v>
                </c:pt>
                <c:pt idx="161">
                  <c:v>-6.5567783561580422</c:v>
                </c:pt>
                <c:pt idx="162">
                  <c:v>-6.5567783561580422</c:v>
                </c:pt>
                <c:pt idx="163">
                  <c:v>-6.5567783561580422</c:v>
                </c:pt>
                <c:pt idx="164">
                  <c:v>-6.5567783561580422</c:v>
                </c:pt>
                <c:pt idx="165">
                  <c:v>-6.5567783561580422</c:v>
                </c:pt>
                <c:pt idx="166">
                  <c:v>-6.5567783561580422</c:v>
                </c:pt>
                <c:pt idx="167">
                  <c:v>-6.5567783561580422</c:v>
                </c:pt>
                <c:pt idx="168">
                  <c:v>-6.5567783561580422</c:v>
                </c:pt>
                <c:pt idx="169">
                  <c:v>-6.5567783561580422</c:v>
                </c:pt>
                <c:pt idx="170">
                  <c:v>-6.5567783561580422</c:v>
                </c:pt>
                <c:pt idx="171">
                  <c:v>-6.5567783561580422</c:v>
                </c:pt>
                <c:pt idx="172">
                  <c:v>-6.5567783561580422</c:v>
                </c:pt>
                <c:pt idx="173">
                  <c:v>-6.5567783561580422</c:v>
                </c:pt>
                <c:pt idx="174">
                  <c:v>-6.5567783561580422</c:v>
                </c:pt>
                <c:pt idx="175">
                  <c:v>-6.5567783561580422</c:v>
                </c:pt>
                <c:pt idx="176">
                  <c:v>-6.5567783561580422</c:v>
                </c:pt>
                <c:pt idx="177">
                  <c:v>-6.5567783561580422</c:v>
                </c:pt>
                <c:pt idx="178">
                  <c:v>-6.5567783561580422</c:v>
                </c:pt>
                <c:pt idx="179">
                  <c:v>-6.5567783561580422</c:v>
                </c:pt>
                <c:pt idx="180">
                  <c:v>-6.5567783561580422</c:v>
                </c:pt>
                <c:pt idx="181">
                  <c:v>-6.5567783561580422</c:v>
                </c:pt>
                <c:pt idx="182">
                  <c:v>-6.5567783561580422</c:v>
                </c:pt>
                <c:pt idx="183">
                  <c:v>-6.5567783561580422</c:v>
                </c:pt>
                <c:pt idx="184">
                  <c:v>-6.5567783561580422</c:v>
                </c:pt>
                <c:pt idx="185">
                  <c:v>-6.5567783561580422</c:v>
                </c:pt>
                <c:pt idx="186">
                  <c:v>-6.5567783561580422</c:v>
                </c:pt>
                <c:pt idx="187">
                  <c:v>-6.5567783561580422</c:v>
                </c:pt>
                <c:pt idx="188">
                  <c:v>-6.5567783561580422</c:v>
                </c:pt>
                <c:pt idx="189">
                  <c:v>-6.5567783561580422</c:v>
                </c:pt>
                <c:pt idx="190">
                  <c:v>-6.5567783561580422</c:v>
                </c:pt>
                <c:pt idx="191">
                  <c:v>-6.5567783561580422</c:v>
                </c:pt>
                <c:pt idx="192">
                  <c:v>-6.5567783561580422</c:v>
                </c:pt>
                <c:pt idx="193">
                  <c:v>-6.5567783561580422</c:v>
                </c:pt>
                <c:pt idx="194">
                  <c:v>-6.5567783561580422</c:v>
                </c:pt>
                <c:pt idx="195">
                  <c:v>-6.5567783561580422</c:v>
                </c:pt>
                <c:pt idx="196">
                  <c:v>-6.5567783561580422</c:v>
                </c:pt>
                <c:pt idx="197">
                  <c:v>-6.5567783561580422</c:v>
                </c:pt>
                <c:pt idx="198">
                  <c:v>-6.5567783561580422</c:v>
                </c:pt>
                <c:pt idx="199">
                  <c:v>-6.5567783561580422</c:v>
                </c:pt>
                <c:pt idx="200">
                  <c:v>-6.5567783561580422</c:v>
                </c:pt>
                <c:pt idx="201">
                  <c:v>-6.5567783561580422</c:v>
                </c:pt>
                <c:pt idx="202">
                  <c:v>-6.5567783561580422</c:v>
                </c:pt>
                <c:pt idx="203">
                  <c:v>-6.5567783561580422</c:v>
                </c:pt>
                <c:pt idx="204">
                  <c:v>-6.5567783561580422</c:v>
                </c:pt>
                <c:pt idx="205">
                  <c:v>-6.5567783561580422</c:v>
                </c:pt>
                <c:pt idx="206">
                  <c:v>-6.5567783561580422</c:v>
                </c:pt>
                <c:pt idx="207">
                  <c:v>-6.5567783561580422</c:v>
                </c:pt>
                <c:pt idx="208">
                  <c:v>-6.4614681763537174</c:v>
                </c:pt>
                <c:pt idx="209">
                  <c:v>-6.4614681763537174</c:v>
                </c:pt>
                <c:pt idx="210">
                  <c:v>-6.4434496708510389</c:v>
                </c:pt>
                <c:pt idx="211">
                  <c:v>-6.3744567993640882</c:v>
                </c:pt>
                <c:pt idx="212">
                  <c:v>-6.3744567993640882</c:v>
                </c:pt>
                <c:pt idx="213">
                  <c:v>-6.3744567993640882</c:v>
                </c:pt>
                <c:pt idx="214">
                  <c:v>-6.3744567993640882</c:v>
                </c:pt>
                <c:pt idx="215">
                  <c:v>-6.3744567993640882</c:v>
                </c:pt>
                <c:pt idx="216">
                  <c:v>-6.3744567993640882</c:v>
                </c:pt>
                <c:pt idx="217">
                  <c:v>-6.3744567993640882</c:v>
                </c:pt>
                <c:pt idx="218">
                  <c:v>-6.3744567993640882</c:v>
                </c:pt>
                <c:pt idx="219">
                  <c:v>-6.3744567993640882</c:v>
                </c:pt>
                <c:pt idx="220">
                  <c:v>-6.3416669765410969</c:v>
                </c:pt>
                <c:pt idx="221">
                  <c:v>-6.3099182782265162</c:v>
                </c:pt>
                <c:pt idx="222">
                  <c:v>-6.2791466195597634</c:v>
                </c:pt>
                <c:pt idx="223">
                  <c:v>-6.2791466195597634</c:v>
                </c:pt>
                <c:pt idx="224">
                  <c:v>-6.2791466195597634</c:v>
                </c:pt>
                <c:pt idx="225">
                  <c:v>-6.2791466195597634</c:v>
                </c:pt>
                <c:pt idx="226">
                  <c:v>-6.2791466195597634</c:v>
                </c:pt>
                <c:pt idx="227">
                  <c:v>-6.2791466195597634</c:v>
                </c:pt>
                <c:pt idx="228">
                  <c:v>-6.2791466195597634</c:v>
                </c:pt>
                <c:pt idx="229">
                  <c:v>-6.2791466195597634</c:v>
                </c:pt>
                <c:pt idx="230">
                  <c:v>-6.2791466195597634</c:v>
                </c:pt>
                <c:pt idx="231">
                  <c:v>-6.2492936564100816</c:v>
                </c:pt>
                <c:pt idx="232">
                  <c:v>-6.2492936564100816</c:v>
                </c:pt>
                <c:pt idx="233">
                  <c:v>-6.2492936564100816</c:v>
                </c:pt>
                <c:pt idx="234">
                  <c:v>-6.2203061195368292</c:v>
                </c:pt>
                <c:pt idx="235">
                  <c:v>-6.2203061195368292</c:v>
                </c:pt>
                <c:pt idx="236">
                  <c:v>-6.0867747269123065</c:v>
                </c:pt>
                <c:pt idx="237">
                  <c:v>-6.0867747269123065</c:v>
                </c:pt>
                <c:pt idx="238">
                  <c:v>-6.0867747269123065</c:v>
                </c:pt>
                <c:pt idx="239">
                  <c:v>-6.0867747269123065</c:v>
                </c:pt>
                <c:pt idx="240">
                  <c:v>-6.0867747269123065</c:v>
                </c:pt>
                <c:pt idx="241">
                  <c:v>-6.0867747269123065</c:v>
                </c:pt>
                <c:pt idx="242">
                  <c:v>-6.0867747269123065</c:v>
                </c:pt>
                <c:pt idx="243">
                  <c:v>-6.0867747269123065</c:v>
                </c:pt>
                <c:pt idx="244">
                  <c:v>-6.0867747269123065</c:v>
                </c:pt>
                <c:pt idx="245">
                  <c:v>-6.0867747269123065</c:v>
                </c:pt>
                <c:pt idx="246">
                  <c:v>-6.0867747269123065</c:v>
                </c:pt>
                <c:pt idx="247">
                  <c:v>-6.0867747269123065</c:v>
                </c:pt>
                <c:pt idx="248">
                  <c:v>-6.0379845627428752</c:v>
                </c:pt>
                <c:pt idx="249">
                  <c:v>-6.0379845627428752</c:v>
                </c:pt>
                <c:pt idx="250">
                  <c:v>-5.9914645471079817</c:v>
                </c:pt>
                <c:pt idx="251">
                  <c:v>-5.9914645471079817</c:v>
                </c:pt>
                <c:pt idx="252">
                  <c:v>-5.8636311755980968</c:v>
                </c:pt>
                <c:pt idx="253">
                  <c:v>-5.8636311755980968</c:v>
                </c:pt>
                <c:pt idx="254">
                  <c:v>-5.8636311755980968</c:v>
                </c:pt>
                <c:pt idx="255">
                  <c:v>-5.8636311755980968</c:v>
                </c:pt>
                <c:pt idx="256">
                  <c:v>-5.8636311755980968</c:v>
                </c:pt>
                <c:pt idx="257">
                  <c:v>-5.8636311755980968</c:v>
                </c:pt>
                <c:pt idx="258">
                  <c:v>-5.8636311755980968</c:v>
                </c:pt>
                <c:pt idx="259">
                  <c:v>-5.8636311755980968</c:v>
                </c:pt>
                <c:pt idx="260">
                  <c:v>-5.8636311755980968</c:v>
                </c:pt>
                <c:pt idx="261">
                  <c:v>-5.8636311755980968</c:v>
                </c:pt>
                <c:pt idx="262">
                  <c:v>-5.8636311755980968</c:v>
                </c:pt>
                <c:pt idx="263">
                  <c:v>-5.8636311755980968</c:v>
                </c:pt>
                <c:pt idx="264">
                  <c:v>-5.8636311755980968</c:v>
                </c:pt>
                <c:pt idx="265">
                  <c:v>-5.8636311755980968</c:v>
                </c:pt>
                <c:pt idx="266">
                  <c:v>-5.8636311755980968</c:v>
                </c:pt>
                <c:pt idx="267">
                  <c:v>-5.8636311755980968</c:v>
                </c:pt>
                <c:pt idx="268">
                  <c:v>-5.8636311755980968</c:v>
                </c:pt>
                <c:pt idx="269">
                  <c:v>-5.8636311755980968</c:v>
                </c:pt>
                <c:pt idx="270">
                  <c:v>-5.8636311755980968</c:v>
                </c:pt>
                <c:pt idx="271">
                  <c:v>-5.8636311755980968</c:v>
                </c:pt>
                <c:pt idx="272">
                  <c:v>-5.8636311755980968</c:v>
                </c:pt>
                <c:pt idx="273">
                  <c:v>-5.8636311755980968</c:v>
                </c:pt>
                <c:pt idx="274">
                  <c:v>-5.8636311755980968</c:v>
                </c:pt>
                <c:pt idx="275">
                  <c:v>-5.8636311755980968</c:v>
                </c:pt>
                <c:pt idx="276">
                  <c:v>-5.8636311755980968</c:v>
                </c:pt>
                <c:pt idx="277">
                  <c:v>-5.8636311755980968</c:v>
                </c:pt>
                <c:pt idx="278">
                  <c:v>-5.8636311755980968</c:v>
                </c:pt>
                <c:pt idx="279">
                  <c:v>-5.8636311755980968</c:v>
                </c:pt>
                <c:pt idx="280">
                  <c:v>-5.8636311755980968</c:v>
                </c:pt>
                <c:pt idx="281">
                  <c:v>-5.8636311755980968</c:v>
                </c:pt>
                <c:pt idx="282">
                  <c:v>-5.8636311755980968</c:v>
                </c:pt>
                <c:pt idx="283">
                  <c:v>-5.8636311755980968</c:v>
                </c:pt>
                <c:pt idx="284">
                  <c:v>-5.8636311755980968</c:v>
                </c:pt>
                <c:pt idx="285">
                  <c:v>-5.8636311755980968</c:v>
                </c:pt>
                <c:pt idx="286">
                  <c:v>-5.8636311755980968</c:v>
                </c:pt>
                <c:pt idx="287">
                  <c:v>-5.843828548301917</c:v>
                </c:pt>
                <c:pt idx="288">
                  <c:v>-5.843828548301917</c:v>
                </c:pt>
                <c:pt idx="289">
                  <c:v>-5.8148410114286655</c:v>
                </c:pt>
                <c:pt idx="290">
                  <c:v>-5.768320995793772</c:v>
                </c:pt>
                <c:pt idx="291">
                  <c:v>-5.7238692332229384</c:v>
                </c:pt>
                <c:pt idx="292">
                  <c:v>-5.6813096188041428</c:v>
                </c:pt>
                <c:pt idx="293">
                  <c:v>-5.6813096188041428</c:v>
                </c:pt>
                <c:pt idx="294">
                  <c:v>-5.6813096188041428</c:v>
                </c:pt>
                <c:pt idx="295">
                  <c:v>-5.6813096188041428</c:v>
                </c:pt>
                <c:pt idx="296">
                  <c:v>-5.6813096188041428</c:v>
                </c:pt>
                <c:pt idx="297">
                  <c:v>-5.6813096188041428</c:v>
                </c:pt>
                <c:pt idx="298">
                  <c:v>-5.6813096188041428</c:v>
                </c:pt>
                <c:pt idx="299">
                  <c:v>-5.6813096188041428</c:v>
                </c:pt>
                <c:pt idx="300">
                  <c:v>-5.6813096188041428</c:v>
                </c:pt>
                <c:pt idx="301">
                  <c:v>-5.6813096188041428</c:v>
                </c:pt>
                <c:pt idx="302">
                  <c:v>-5.6813096188041428</c:v>
                </c:pt>
                <c:pt idx="303">
                  <c:v>-5.6813096188041428</c:v>
                </c:pt>
                <c:pt idx="304">
                  <c:v>-5.6813096188041428</c:v>
                </c:pt>
                <c:pt idx="305">
                  <c:v>-5.6813096188041428</c:v>
                </c:pt>
                <c:pt idx="306">
                  <c:v>-5.6325194546347106</c:v>
                </c:pt>
                <c:pt idx="307">
                  <c:v>-5.6012669111306064</c:v>
                </c:pt>
                <c:pt idx="308">
                  <c:v>-5.6012669111306064</c:v>
                </c:pt>
                <c:pt idx="309">
                  <c:v>-5.6012669111306064</c:v>
                </c:pt>
                <c:pt idx="310">
                  <c:v>-5.6012669111306064</c:v>
                </c:pt>
                <c:pt idx="311">
                  <c:v>-5.6012669111306064</c:v>
                </c:pt>
                <c:pt idx="312">
                  <c:v>-5.6012669111306064</c:v>
                </c:pt>
                <c:pt idx="313">
                  <c:v>-5.6012669111306064</c:v>
                </c:pt>
                <c:pt idx="314">
                  <c:v>-5.6012669111306064</c:v>
                </c:pt>
                <c:pt idx="315">
                  <c:v>-5.585999438999818</c:v>
                </c:pt>
                <c:pt idx="316">
                  <c:v>-5.585999438999818</c:v>
                </c:pt>
                <c:pt idx="317">
                  <c:v>-5.585999438999818</c:v>
                </c:pt>
                <c:pt idx="318">
                  <c:v>-5.5709615616352774</c:v>
                </c:pt>
                <c:pt idx="319">
                  <c:v>-5.5635265831477589</c:v>
                </c:pt>
                <c:pt idx="320">
                  <c:v>-5.5561464758501362</c:v>
                </c:pt>
                <c:pt idx="321">
                  <c:v>-5.5271589389768838</c:v>
                </c:pt>
                <c:pt idx="322">
                  <c:v>-5.458166067489933</c:v>
                </c:pt>
                <c:pt idx="323">
                  <c:v>-5.458166067489933</c:v>
                </c:pt>
                <c:pt idx="324">
                  <c:v>-5.458166067489933</c:v>
                </c:pt>
                <c:pt idx="325">
                  <c:v>-5.458166067489933</c:v>
                </c:pt>
                <c:pt idx="326">
                  <c:v>-5.458166067489933</c:v>
                </c:pt>
                <c:pt idx="327">
                  <c:v>-5.458166067489933</c:v>
                </c:pt>
                <c:pt idx="328">
                  <c:v>-5.458166067489933</c:v>
                </c:pt>
                <c:pt idx="329">
                  <c:v>-5.458166067489933</c:v>
                </c:pt>
                <c:pt idx="330">
                  <c:v>-5.4253762446669418</c:v>
                </c:pt>
                <c:pt idx="331">
                  <c:v>-5.393627546352362</c:v>
                </c:pt>
                <c:pt idx="332">
                  <c:v>-5.393627546352362</c:v>
                </c:pt>
                <c:pt idx="333">
                  <c:v>-5.3936275463523611</c:v>
                </c:pt>
                <c:pt idx="334">
                  <c:v>-5.3936275463523611</c:v>
                </c:pt>
                <c:pt idx="335">
                  <c:v>-5.3330029245359265</c:v>
                </c:pt>
                <c:pt idx="336">
                  <c:v>-5.3330029245359265</c:v>
                </c:pt>
                <c:pt idx="337">
                  <c:v>-5.3330029245359265</c:v>
                </c:pt>
                <c:pt idx="338">
                  <c:v>-5.3330029245359265</c:v>
                </c:pt>
                <c:pt idx="339">
                  <c:v>-5.2758445106959782</c:v>
                </c:pt>
                <c:pt idx="340">
                  <c:v>-5.2758445106959782</c:v>
                </c:pt>
                <c:pt idx="341">
                  <c:v>-5.2758445106959782</c:v>
                </c:pt>
                <c:pt idx="342">
                  <c:v>-5.2217772894257024</c:v>
                </c:pt>
                <c:pt idx="343">
                  <c:v>-5.1805343308916534</c:v>
                </c:pt>
                <c:pt idx="344">
                  <c:v>-5.1704839950381514</c:v>
                </c:pt>
                <c:pt idx="345">
                  <c:v>-5.1704839950381514</c:v>
                </c:pt>
                <c:pt idx="346">
                  <c:v>-5.1704839950381514</c:v>
                </c:pt>
                <c:pt idx="347">
                  <c:v>-5.1704839950381514</c:v>
                </c:pt>
                <c:pt idx="348">
                  <c:v>-5.1704839950381514</c:v>
                </c:pt>
                <c:pt idx="349">
                  <c:v>-5.1704839950381514</c:v>
                </c:pt>
                <c:pt idx="350">
                  <c:v>-5.1704839950381514</c:v>
                </c:pt>
                <c:pt idx="351">
                  <c:v>-5.1704839950381514</c:v>
                </c:pt>
                <c:pt idx="352">
                  <c:v>-5.1704839950381514</c:v>
                </c:pt>
                <c:pt idx="353">
                  <c:v>-5.1704839950381514</c:v>
                </c:pt>
                <c:pt idx="354">
                  <c:v>-5.1704839950381514</c:v>
                </c:pt>
                <c:pt idx="355">
                  <c:v>-5.1704839950381514</c:v>
                </c:pt>
                <c:pt idx="356">
                  <c:v>-5.1704839950381514</c:v>
                </c:pt>
                <c:pt idx="357">
                  <c:v>-5.1704839950381514</c:v>
                </c:pt>
                <c:pt idx="358">
                  <c:v>-5.1704839950381514</c:v>
                </c:pt>
                <c:pt idx="359">
                  <c:v>-5.1704839950381514</c:v>
                </c:pt>
                <c:pt idx="360">
                  <c:v>-5.1704839950381514</c:v>
                </c:pt>
                <c:pt idx="361">
                  <c:v>-5.1704839950381514</c:v>
                </c:pt>
                <c:pt idx="362">
                  <c:v>-5.1704839950381514</c:v>
                </c:pt>
                <c:pt idx="363">
                  <c:v>-5.1704839950381514</c:v>
                </c:pt>
                <c:pt idx="364">
                  <c:v>-5.1704839950381514</c:v>
                </c:pt>
                <c:pt idx="365">
                  <c:v>-5.1704839950381514</c:v>
                </c:pt>
                <c:pt idx="366">
                  <c:v>-5.1704839950381514</c:v>
                </c:pt>
                <c:pt idx="367">
                  <c:v>-5.1216938308687201</c:v>
                </c:pt>
                <c:pt idx="368">
                  <c:v>-5.0751738152338266</c:v>
                </c:pt>
                <c:pt idx="369">
                  <c:v>-5.0134802462284869</c:v>
                </c:pt>
                <c:pt idx="370">
                  <c:v>-4.9881624382441974</c:v>
                </c:pt>
                <c:pt idx="371">
                  <c:v>-4.9675431510414612</c:v>
                </c:pt>
                <c:pt idx="372">
                  <c:v>-4.9473404437239417</c:v>
                </c:pt>
                <c:pt idx="373">
                  <c:v>-4.9473404437239417</c:v>
                </c:pt>
                <c:pt idx="374">
                  <c:v>-4.9473404437239417</c:v>
                </c:pt>
                <c:pt idx="375">
                  <c:v>-4.9473404437239417</c:v>
                </c:pt>
                <c:pt idx="376">
                  <c:v>-4.9473404437239417</c:v>
                </c:pt>
                <c:pt idx="377">
                  <c:v>-4.9473404437239417</c:v>
                </c:pt>
                <c:pt idx="378">
                  <c:v>-4.9473404437239417</c:v>
                </c:pt>
                <c:pt idx="379">
                  <c:v>-4.9473404437239417</c:v>
                </c:pt>
                <c:pt idx="380">
                  <c:v>-4.9473404437239417</c:v>
                </c:pt>
                <c:pt idx="381">
                  <c:v>-4.9473404437239417</c:v>
                </c:pt>
                <c:pt idx="382">
                  <c:v>-4.9473404437239417</c:v>
                </c:pt>
                <c:pt idx="383">
                  <c:v>-4.908119730570661</c:v>
                </c:pt>
                <c:pt idx="384">
                  <c:v>-4.908119730570661</c:v>
                </c:pt>
                <c:pt idx="385">
                  <c:v>-4.908119730570661</c:v>
                </c:pt>
                <c:pt idx="386">
                  <c:v>-4.908119730570661</c:v>
                </c:pt>
                <c:pt idx="387">
                  <c:v>-4.908119730570661</c:v>
                </c:pt>
                <c:pt idx="388">
                  <c:v>-4.8928522584398726</c:v>
                </c:pt>
                <c:pt idx="389">
                  <c:v>-4.8890715355999665</c:v>
                </c:pt>
                <c:pt idx="390">
                  <c:v>-4.8629992952901908</c:v>
                </c:pt>
                <c:pt idx="391">
                  <c:v>-4.8520302639196169</c:v>
                </c:pt>
                <c:pt idx="392">
                  <c:v>-4.8520302639196169</c:v>
                </c:pt>
                <c:pt idx="393">
                  <c:v>-4.8340117584169384</c:v>
                </c:pt>
                <c:pt idx="394">
                  <c:v>-4.8268942906480747</c:v>
                </c:pt>
                <c:pt idx="395">
                  <c:v>-4.798920438605669</c:v>
                </c:pt>
                <c:pt idx="396">
                  <c:v>-4.7818260052463692</c:v>
                </c:pt>
                <c:pt idx="397">
                  <c:v>-4.7650188869299877</c:v>
                </c:pt>
                <c:pt idx="398">
                  <c:v>-4.7650188869299877</c:v>
                </c:pt>
                <c:pt idx="399">
                  <c:v>-4.7650188869299877</c:v>
                </c:pt>
                <c:pt idx="400">
                  <c:v>-4.7650188869299877</c:v>
                </c:pt>
                <c:pt idx="401">
                  <c:v>-4.7650188869299877</c:v>
                </c:pt>
                <c:pt idx="402">
                  <c:v>-4.7650188869299877</c:v>
                </c:pt>
                <c:pt idx="403">
                  <c:v>-4.7650188869299877</c:v>
                </c:pt>
                <c:pt idx="404">
                  <c:v>-4.7650188869299877</c:v>
                </c:pt>
                <c:pt idx="405">
                  <c:v>-4.7650188869299877</c:v>
                </c:pt>
                <c:pt idx="406">
                  <c:v>-4.7650188869299877</c:v>
                </c:pt>
                <c:pt idx="407">
                  <c:v>-4.7650188869299877</c:v>
                </c:pt>
                <c:pt idx="408">
                  <c:v>-4.7650188869299877</c:v>
                </c:pt>
                <c:pt idx="409">
                  <c:v>-4.7650188869299877</c:v>
                </c:pt>
                <c:pt idx="410">
                  <c:v>-4.7650188869299877</c:v>
                </c:pt>
                <c:pt idx="411">
                  <c:v>-4.7650188869299877</c:v>
                </c:pt>
                <c:pt idx="412">
                  <c:v>-4.7650188869299877</c:v>
                </c:pt>
                <c:pt idx="413">
                  <c:v>-4.7650188869299877</c:v>
                </c:pt>
                <c:pt idx="414">
                  <c:v>-4.7650188869299877</c:v>
                </c:pt>
                <c:pt idx="415">
                  <c:v>-4.7650188869299877</c:v>
                </c:pt>
                <c:pt idx="416">
                  <c:v>-4.7004803657924157</c:v>
                </c:pt>
                <c:pt idx="417">
                  <c:v>-4.6697087071256629</c:v>
                </c:pt>
                <c:pt idx="418">
                  <c:v>-4.6697087071256629</c:v>
                </c:pt>
                <c:pt idx="419">
                  <c:v>-4.6697087071256629</c:v>
                </c:pt>
                <c:pt idx="420">
                  <c:v>-4.6697087071256629</c:v>
                </c:pt>
                <c:pt idx="421">
                  <c:v>-4.6636663926696995</c:v>
                </c:pt>
                <c:pt idx="422">
                  <c:v>-4.6398557439759811</c:v>
                </c:pt>
                <c:pt idx="423">
                  <c:v>-4.6398557439759811</c:v>
                </c:pt>
                <c:pt idx="424">
                  <c:v>-4.6398557439759811</c:v>
                </c:pt>
                <c:pt idx="425">
                  <c:v>-4.6398557439759811</c:v>
                </c:pt>
                <c:pt idx="426">
                  <c:v>-4.6281597042127904</c:v>
                </c:pt>
                <c:pt idx="427">
                  <c:v>-4.6108682071027287</c:v>
                </c:pt>
                <c:pt idx="428">
                  <c:v>-4.6108682071027287</c:v>
                </c:pt>
                <c:pt idx="429">
                  <c:v>-4.528630108865757</c:v>
                </c:pt>
                <c:pt idx="430">
                  <c:v>-4.528630108865757</c:v>
                </c:pt>
                <c:pt idx="431">
                  <c:v>-4.5181588089984617</c:v>
                </c:pt>
                <c:pt idx="432">
                  <c:v>-4.5026546224624964</c:v>
                </c:pt>
                <c:pt idx="433">
                  <c:v>-4.4773368144782069</c:v>
                </c:pt>
                <c:pt idx="434">
                  <c:v>-4.4773368144782069</c:v>
                </c:pt>
                <c:pt idx="435">
                  <c:v>-4.4773368144782069</c:v>
                </c:pt>
                <c:pt idx="436">
                  <c:v>-4.4773368144782069</c:v>
                </c:pt>
                <c:pt idx="437">
                  <c:v>-4.4773368144782069</c:v>
                </c:pt>
                <c:pt idx="438">
                  <c:v>-4.4773368144782069</c:v>
                </c:pt>
                <c:pt idx="439">
                  <c:v>-4.4773368144782069</c:v>
                </c:pt>
                <c:pt idx="440">
                  <c:v>-4.4773368144782069</c:v>
                </c:pt>
                <c:pt idx="441">
                  <c:v>-4.4773368144782069</c:v>
                </c:pt>
                <c:pt idx="442">
                  <c:v>-4.4723492729671674</c:v>
                </c:pt>
                <c:pt idx="443">
                  <c:v>-4.4526442018878347</c:v>
                </c:pt>
                <c:pt idx="444">
                  <c:v>-4.4285466503087747</c:v>
                </c:pt>
                <c:pt idx="445">
                  <c:v>-4.4285466503087747</c:v>
                </c:pt>
                <c:pt idx="446">
                  <c:v>-4.4050161528985807</c:v>
                </c:pt>
                <c:pt idx="447">
                  <c:v>-4.3820266346738821</c:v>
                </c:pt>
                <c:pt idx="448">
                  <c:v>-4.3375748721030476</c:v>
                </c:pt>
                <c:pt idx="449">
                  <c:v>-4.3375748721030476</c:v>
                </c:pt>
                <c:pt idx="450">
                  <c:v>-4.295015257684252</c:v>
                </c:pt>
                <c:pt idx="451">
                  <c:v>-4.295015257684252</c:v>
                </c:pt>
                <c:pt idx="452">
                  <c:v>-4.295015257684252</c:v>
                </c:pt>
                <c:pt idx="453">
                  <c:v>-4.295015257684252</c:v>
                </c:pt>
                <c:pt idx="454">
                  <c:v>-4.2541932631639972</c:v>
                </c:pt>
                <c:pt idx="455">
                  <c:v>-4.2541932631639972</c:v>
                </c:pt>
                <c:pt idx="456">
                  <c:v>-4.2541932631639972</c:v>
                </c:pt>
                <c:pt idx="457">
                  <c:v>-4.2541932631639972</c:v>
                </c:pt>
                <c:pt idx="458">
                  <c:v>-4.2541932631639972</c:v>
                </c:pt>
                <c:pt idx="459">
                  <c:v>-4.2541932631639972</c:v>
                </c:pt>
                <c:pt idx="460">
                  <c:v>-4.2541932631639972</c:v>
                </c:pt>
                <c:pt idx="461">
                  <c:v>-4.2541932631639972</c:v>
                </c:pt>
                <c:pt idx="462">
                  <c:v>-4.2541932631639972</c:v>
                </c:pt>
                <c:pt idx="463">
                  <c:v>-4.2541932631639972</c:v>
                </c:pt>
                <c:pt idx="464">
                  <c:v>-4.2541932631639972</c:v>
                </c:pt>
                <c:pt idx="465">
                  <c:v>-4.2541932631639972</c:v>
                </c:pt>
                <c:pt idx="466">
                  <c:v>-4.2541932631639972</c:v>
                </c:pt>
                <c:pt idx="467">
                  <c:v>-4.2541932631639972</c:v>
                </c:pt>
                <c:pt idx="468">
                  <c:v>-4.2541932631639972</c:v>
                </c:pt>
                <c:pt idx="469">
                  <c:v>-4.2541932631639972</c:v>
                </c:pt>
                <c:pt idx="470">
                  <c:v>-4.2541932631639972</c:v>
                </c:pt>
                <c:pt idx="471">
                  <c:v>-4.2541932631639972</c:v>
                </c:pt>
                <c:pt idx="472">
                  <c:v>-4.2541932631639972</c:v>
                </c:pt>
                <c:pt idx="473">
                  <c:v>-4.2541932631639972</c:v>
                </c:pt>
                <c:pt idx="474">
                  <c:v>-4.2541932631639972</c:v>
                </c:pt>
                <c:pt idx="475">
                  <c:v>-4.2541932631639972</c:v>
                </c:pt>
                <c:pt idx="476">
                  <c:v>-4.2541932631639972</c:v>
                </c:pt>
                <c:pt idx="477">
                  <c:v>-4.2541932631639972</c:v>
                </c:pt>
                <c:pt idx="478">
                  <c:v>-4.2541932631639972</c:v>
                </c:pt>
                <c:pt idx="479">
                  <c:v>-4.2541932631639972</c:v>
                </c:pt>
                <c:pt idx="480">
                  <c:v>-4.2541932631639972</c:v>
                </c:pt>
                <c:pt idx="481">
                  <c:v>-4.2541932631639972</c:v>
                </c:pt>
                <c:pt idx="482">
                  <c:v>-4.2541932631639972</c:v>
                </c:pt>
                <c:pt idx="483">
                  <c:v>-4.2541932631639972</c:v>
                </c:pt>
                <c:pt idx="484">
                  <c:v>-4.2541932631639972</c:v>
                </c:pt>
                <c:pt idx="485">
                  <c:v>-4.2541932631639972</c:v>
                </c:pt>
                <c:pt idx="486">
                  <c:v>-4.2541932631639972</c:v>
                </c:pt>
                <c:pt idx="487">
                  <c:v>-4.2541932631639972</c:v>
                </c:pt>
                <c:pt idx="488">
                  <c:v>-4.2541932631639972</c:v>
                </c:pt>
                <c:pt idx="489">
                  <c:v>-4.2343906358678174</c:v>
                </c:pt>
                <c:pt idx="490">
                  <c:v>-4.2343906358678174</c:v>
                </c:pt>
                <c:pt idx="491">
                  <c:v>-4.2304767365466809</c:v>
                </c:pt>
                <c:pt idx="492">
                  <c:v>-4.1997050778799272</c:v>
                </c:pt>
                <c:pt idx="493">
                  <c:v>-4.1959243550400211</c:v>
                </c:pt>
                <c:pt idx="494">
                  <c:v>-4.1846672005153867</c:v>
                </c:pt>
                <c:pt idx="495">
                  <c:v>-4.1772322220278681</c:v>
                </c:pt>
                <c:pt idx="496">
                  <c:v>-4.140864577856993</c:v>
                </c:pt>
                <c:pt idx="497">
                  <c:v>-4.0886788246864239</c:v>
                </c:pt>
                <c:pt idx="498">
                  <c:v>-4.0718717063700423</c:v>
                </c:pt>
                <c:pt idx="499">
                  <c:v>-4.0718717063700423</c:v>
                </c:pt>
                <c:pt idx="500">
                  <c:v>-4.0718717063700423</c:v>
                </c:pt>
                <c:pt idx="501">
                  <c:v>-4.0718717063700423</c:v>
                </c:pt>
                <c:pt idx="502">
                  <c:v>-4.0718717063700423</c:v>
                </c:pt>
                <c:pt idx="503">
                  <c:v>-4.0718717063700423</c:v>
                </c:pt>
                <c:pt idx="504">
                  <c:v>-4.0718717063700423</c:v>
                </c:pt>
                <c:pt idx="505">
                  <c:v>-4.0718717063700423</c:v>
                </c:pt>
                <c:pt idx="506">
                  <c:v>-4.0136027982460662</c:v>
                </c:pt>
                <c:pt idx="507">
                  <c:v>-3.9995510447904161</c:v>
                </c:pt>
                <c:pt idx="508">
                  <c:v>-3.9995510447904161</c:v>
                </c:pt>
                <c:pt idx="509">
                  <c:v>-3.9765615265657175</c:v>
                </c:pt>
                <c:pt idx="510">
                  <c:v>-3.9765615265657175</c:v>
                </c:pt>
                <c:pt idx="511">
                  <c:v>-3.9765615265657175</c:v>
                </c:pt>
                <c:pt idx="512">
                  <c:v>-3.9467085634160362</c:v>
                </c:pt>
                <c:pt idx="513">
                  <c:v>-3.9467085634160362</c:v>
                </c:pt>
                <c:pt idx="514">
                  <c:v>-3.9177210265427838</c:v>
                </c:pt>
                <c:pt idx="515">
                  <c:v>-3.9177210265427838</c:v>
                </c:pt>
                <c:pt idx="516">
                  <c:v>-3.9177210265427838</c:v>
                </c:pt>
                <c:pt idx="517">
                  <c:v>-3.9035363915508277</c:v>
                </c:pt>
                <c:pt idx="518">
                  <c:v>-3.9035363915508277</c:v>
                </c:pt>
                <c:pt idx="519">
                  <c:v>-3.8487281550558325</c:v>
                </c:pt>
                <c:pt idx="520">
                  <c:v>-3.8487281550558325</c:v>
                </c:pt>
                <c:pt idx="521">
                  <c:v>-3.8487281550558325</c:v>
                </c:pt>
                <c:pt idx="522">
                  <c:v>-3.8487281550558325</c:v>
                </c:pt>
                <c:pt idx="523">
                  <c:v>-3.8487281550558325</c:v>
                </c:pt>
                <c:pt idx="524">
                  <c:v>-3.8354829283058116</c:v>
                </c:pt>
                <c:pt idx="525">
                  <c:v>-3.8198168115614122</c:v>
                </c:pt>
                <c:pt idx="526">
                  <c:v>-3.7993032717283093</c:v>
                </c:pt>
                <c:pt idx="527">
                  <c:v>-3.784189633918261</c:v>
                </c:pt>
                <c:pt idx="528">
                  <c:v>-3.784189633918261</c:v>
                </c:pt>
                <c:pt idx="529">
                  <c:v>-3.784189633918261</c:v>
                </c:pt>
                <c:pt idx="530">
                  <c:v>-3.784189633918261</c:v>
                </c:pt>
                <c:pt idx="531">
                  <c:v>-3.784189633918261</c:v>
                </c:pt>
                <c:pt idx="532">
                  <c:v>-3.784189633918261</c:v>
                </c:pt>
                <c:pt idx="533">
                  <c:v>-3.784189633918261</c:v>
                </c:pt>
                <c:pt idx="534">
                  <c:v>-3.784189633918261</c:v>
                </c:pt>
                <c:pt idx="535">
                  <c:v>-3.784189633918261</c:v>
                </c:pt>
                <c:pt idx="536">
                  <c:v>-3.784189633918261</c:v>
                </c:pt>
                <c:pt idx="537">
                  <c:v>-3.779202092407222</c:v>
                </c:pt>
                <c:pt idx="538">
                  <c:v>-3.7235650121018264</c:v>
                </c:pt>
                <c:pt idx="539">
                  <c:v>-3.694577475228574</c:v>
                </c:pt>
                <c:pt idx="540">
                  <c:v>-3.6832137165782588</c:v>
                </c:pt>
                <c:pt idx="541">
                  <c:v>-3.6664065982618776</c:v>
                </c:pt>
                <c:pt idx="542">
                  <c:v>-3.6664065982618776</c:v>
                </c:pt>
                <c:pt idx="543">
                  <c:v>-3.6664065982618776</c:v>
                </c:pt>
                <c:pt idx="544">
                  <c:v>-3.6664065982618776</c:v>
                </c:pt>
                <c:pt idx="545">
                  <c:v>-3.6553567620752929</c:v>
                </c:pt>
                <c:pt idx="546">
                  <c:v>-3.6400892899445045</c:v>
                </c:pt>
                <c:pt idx="547">
                  <c:v>-3.5812487899215708</c:v>
                </c:pt>
                <c:pt idx="548">
                  <c:v>-3.5710964184575529</c:v>
                </c:pt>
                <c:pt idx="549">
                  <c:v>-3.5610460826040513</c:v>
                </c:pt>
                <c:pt idx="550">
                  <c:v>-3.5610460826040513</c:v>
                </c:pt>
                <c:pt idx="551">
                  <c:v>-3.5610460826040513</c:v>
                </c:pt>
                <c:pt idx="552">
                  <c:v>-3.5610460826040513</c:v>
                </c:pt>
                <c:pt idx="553">
                  <c:v>-3.5610460826040513</c:v>
                </c:pt>
                <c:pt idx="554">
                  <c:v>-3.5610460826040513</c:v>
                </c:pt>
                <c:pt idx="555">
                  <c:v>-3.5610460826040513</c:v>
                </c:pt>
                <c:pt idx="556">
                  <c:v>-3.5610460826040513</c:v>
                </c:pt>
                <c:pt idx="557">
                  <c:v>-3.5610460826040513</c:v>
                </c:pt>
                <c:pt idx="558">
                  <c:v>-3.5610460826040513</c:v>
                </c:pt>
                <c:pt idx="559">
                  <c:v>-3.5610460826040513</c:v>
                </c:pt>
                <c:pt idx="560">
                  <c:v>-3.5610460826040513</c:v>
                </c:pt>
                <c:pt idx="561">
                  <c:v>-3.5610460826040513</c:v>
                </c:pt>
                <c:pt idx="562">
                  <c:v>-3.5610460826040513</c:v>
                </c:pt>
                <c:pt idx="563">
                  <c:v>-3.5610460826040513</c:v>
                </c:pt>
                <c:pt idx="564">
                  <c:v>-3.5610460826040513</c:v>
                </c:pt>
                <c:pt idx="565">
                  <c:v>-3.5610460826040513</c:v>
                </c:pt>
                <c:pt idx="566">
                  <c:v>-3.5610460826040513</c:v>
                </c:pt>
                <c:pt idx="567">
                  <c:v>-3.5610460826040513</c:v>
                </c:pt>
                <c:pt idx="568">
                  <c:v>-3.5610460826040513</c:v>
                </c:pt>
                <c:pt idx="569">
                  <c:v>-3.5610460826040513</c:v>
                </c:pt>
                <c:pt idx="570">
                  <c:v>-3.5610460826040513</c:v>
                </c:pt>
                <c:pt idx="571">
                  <c:v>-3.5610460826040513</c:v>
                </c:pt>
                <c:pt idx="572">
                  <c:v>-3.5610460826040513</c:v>
                </c:pt>
                <c:pt idx="573">
                  <c:v>-3.5610460826040513</c:v>
                </c:pt>
                <c:pt idx="574">
                  <c:v>-3.5610460826040513</c:v>
                </c:pt>
                <c:pt idx="575">
                  <c:v>-3.5412434553078715</c:v>
                </c:pt>
                <c:pt idx="576">
                  <c:v>-3.5392845908225388</c:v>
                </c:pt>
                <c:pt idx="577">
                  <c:v>-3.5363534700136801</c:v>
                </c:pt>
                <c:pt idx="578">
                  <c:v>-3.5218253694507702</c:v>
                </c:pt>
                <c:pt idx="579">
                  <c:v>-3.5122559184346192</c:v>
                </c:pt>
                <c:pt idx="580">
                  <c:v>-3.5027771744800758</c:v>
                </c:pt>
                <c:pt idx="581">
                  <c:v>-3.4933874341302364</c:v>
                </c:pt>
                <c:pt idx="582">
                  <c:v>-3.4840850414679232</c:v>
                </c:pt>
                <c:pt idx="583">
                  <c:v>-3.4748683863629992</c:v>
                </c:pt>
                <c:pt idx="584">
                  <c:v>-3.4621061347491477</c:v>
                </c:pt>
                <c:pt idx="585">
                  <c:v>-3.4566860672798088</c:v>
                </c:pt>
                <c:pt idx="586">
                  <c:v>-3.4477173972970481</c:v>
                </c:pt>
                <c:pt idx="587">
                  <c:v>-3.4477173972970481</c:v>
                </c:pt>
                <c:pt idx="588">
                  <c:v>-3.4300178201976474</c:v>
                </c:pt>
                <c:pt idx="589">
                  <c:v>-3.3787245258100969</c:v>
                </c:pt>
                <c:pt idx="590">
                  <c:v>-3.3787245258100969</c:v>
                </c:pt>
                <c:pt idx="591">
                  <c:v>-3.3787245258100969</c:v>
                </c:pt>
                <c:pt idx="592">
                  <c:v>-3.3787245258100969</c:v>
                </c:pt>
                <c:pt idx="593">
                  <c:v>-3.3787245258100969</c:v>
                </c:pt>
                <c:pt idx="594">
                  <c:v>-3.3787245258100969</c:v>
                </c:pt>
                <c:pt idx="595">
                  <c:v>-3.3787245258100969</c:v>
                </c:pt>
                <c:pt idx="596">
                  <c:v>-3.3787245258100969</c:v>
                </c:pt>
                <c:pt idx="597">
                  <c:v>-3.3787245258100969</c:v>
                </c:pt>
                <c:pt idx="598">
                  <c:v>-3.3787245258100969</c:v>
                </c:pt>
                <c:pt idx="599">
                  <c:v>-3.3787245258100969</c:v>
                </c:pt>
                <c:pt idx="600">
                  <c:v>-3.3787245258100969</c:v>
                </c:pt>
                <c:pt idx="601">
                  <c:v>-3.3787245258100969</c:v>
                </c:pt>
                <c:pt idx="602">
                  <c:v>-3.3540319132197252</c:v>
                </c:pt>
                <c:pt idx="603">
                  <c:v>-3.3379025312898416</c:v>
                </c:pt>
                <c:pt idx="604">
                  <c:v>-3.3339105100203041</c:v>
                </c:pt>
                <c:pt idx="605">
                  <c:v>-3.3141860046725258</c:v>
                </c:pt>
                <c:pt idx="606">
                  <c:v>-3.3141860046725253</c:v>
                </c:pt>
                <c:pt idx="607">
                  <c:v>-3.2834143460057721</c:v>
                </c:pt>
                <c:pt idx="608">
                  <c:v>-3.2834143460057721</c:v>
                </c:pt>
                <c:pt idx="609">
                  <c:v>-3.2834143460057721</c:v>
                </c:pt>
                <c:pt idx="610">
                  <c:v>-3.2834143460057721</c:v>
                </c:pt>
                <c:pt idx="611">
                  <c:v>-3.2683764686412315</c:v>
                </c:pt>
                <c:pt idx="612">
                  <c:v>-3.2683764686412315</c:v>
                </c:pt>
                <c:pt idx="613">
                  <c:v>-3.2281516673307227</c:v>
                </c:pt>
                <c:pt idx="614">
                  <c:v>-3.2217207770004324</c:v>
                </c:pt>
                <c:pt idx="615">
                  <c:v>-3.1964029690161424</c:v>
                </c:pt>
                <c:pt idx="616">
                  <c:v>-3.1964029690161424</c:v>
                </c:pt>
                <c:pt idx="617">
                  <c:v>-3.1839804490175849</c:v>
                </c:pt>
                <c:pt idx="618">
                  <c:v>-3.1839804490175849</c:v>
                </c:pt>
                <c:pt idx="619">
                  <c:v>-3.1622699626466835</c:v>
                </c:pt>
                <c:pt idx="620">
                  <c:v>-3.1555809744958871</c:v>
                </c:pt>
                <c:pt idx="621">
                  <c:v>-3.1555809744958871</c:v>
                </c:pt>
                <c:pt idx="622">
                  <c:v>-3.1555809744958871</c:v>
                </c:pt>
                <c:pt idx="623">
                  <c:v>-3.1555809744958871</c:v>
                </c:pt>
                <c:pt idx="624">
                  <c:v>-3.1555809744958871</c:v>
                </c:pt>
                <c:pt idx="625">
                  <c:v>-3.1555809744958871</c:v>
                </c:pt>
                <c:pt idx="626">
                  <c:v>-3.1555809744958871</c:v>
                </c:pt>
                <c:pt idx="627">
                  <c:v>-3.1489364317772184</c:v>
                </c:pt>
                <c:pt idx="628">
                  <c:v>-3.1325157015648912</c:v>
                </c:pt>
                <c:pt idx="629">
                  <c:v>-3.1292636661785136</c:v>
                </c:pt>
                <c:pt idx="630">
                  <c:v>-3.1163602613426056</c:v>
                </c:pt>
                <c:pt idx="631">
                  <c:v>-3.1036212355651762</c:v>
                </c:pt>
                <c:pt idx="632">
                  <c:v>-3.0910424533583156</c:v>
                </c:pt>
                <c:pt idx="633">
                  <c:v>-3.0910424533583156</c:v>
                </c:pt>
                <c:pt idx="634">
                  <c:v>-3.0872994670794816</c:v>
                </c:pt>
                <c:pt idx="635">
                  <c:v>-3.0663498407679444</c:v>
                </c:pt>
                <c:pt idx="636">
                  <c:v>-3.0663498407679444</c:v>
                </c:pt>
                <c:pt idx="637">
                  <c:v>-3.0542284802355995</c:v>
                </c:pt>
                <c:pt idx="638">
                  <c:v>-3.0280676541969274</c:v>
                </c:pt>
                <c:pt idx="639">
                  <c:v>-3.0129246740943638</c:v>
                </c:pt>
                <c:pt idx="640">
                  <c:v>-2.9732594177019327</c:v>
                </c:pt>
                <c:pt idx="641">
                  <c:v>-2.9622095815153475</c:v>
                </c:pt>
                <c:pt idx="642">
                  <c:v>-2.9567301157507218</c:v>
                </c:pt>
                <c:pt idx="643">
                  <c:v>-2.9087208965643612</c:v>
                </c:pt>
                <c:pt idx="644">
                  <c:v>-2.9087208965643612</c:v>
                </c:pt>
                <c:pt idx="645">
                  <c:v>-2.9035260796872575</c:v>
                </c:pt>
                <c:pt idx="646">
                  <c:v>-2.8678989020441059</c:v>
                </c:pt>
                <c:pt idx="647">
                  <c:v>-2.8678989020441059</c:v>
                </c:pt>
                <c:pt idx="648">
                  <c:v>-2.8678989020441059</c:v>
                </c:pt>
                <c:pt idx="649">
                  <c:v>-2.8678989020441059</c:v>
                </c:pt>
                <c:pt idx="650">
                  <c:v>-2.8678989020441059</c:v>
                </c:pt>
                <c:pt idx="651">
                  <c:v>-2.8678989020441059</c:v>
                </c:pt>
                <c:pt idx="652">
                  <c:v>-2.8678989020441059</c:v>
                </c:pt>
                <c:pt idx="653">
                  <c:v>-2.8678989020441059</c:v>
                </c:pt>
                <c:pt idx="654">
                  <c:v>-2.8678989020441059</c:v>
                </c:pt>
                <c:pt idx="655">
                  <c:v>-2.8678989020441059</c:v>
                </c:pt>
                <c:pt idx="656">
                  <c:v>-2.8678989020441059</c:v>
                </c:pt>
                <c:pt idx="657">
                  <c:v>-2.8678989020441059</c:v>
                </c:pt>
                <c:pt idx="658">
                  <c:v>-2.8678989020441059</c:v>
                </c:pt>
                <c:pt idx="659">
                  <c:v>-2.8678989020441059</c:v>
                </c:pt>
                <c:pt idx="660">
                  <c:v>-2.8678989020441059</c:v>
                </c:pt>
                <c:pt idx="661">
                  <c:v>-2.8678989020441059</c:v>
                </c:pt>
                <c:pt idx="662">
                  <c:v>-2.8678989020441059</c:v>
                </c:pt>
                <c:pt idx="663">
                  <c:v>-2.8678989020441059</c:v>
                </c:pt>
                <c:pt idx="664">
                  <c:v>-2.8678989020441059</c:v>
                </c:pt>
                <c:pt idx="665">
                  <c:v>-2.857948571190938</c:v>
                </c:pt>
                <c:pt idx="666">
                  <c:v>-2.8480962747479266</c:v>
                </c:pt>
                <c:pt idx="667">
                  <c:v>-2.8286781888908248</c:v>
                </c:pt>
                <c:pt idx="668">
                  <c:v>-2.8191087378746742</c:v>
                </c:pt>
                <c:pt idx="669">
                  <c:v>-2.7771445387756417</c:v>
                </c:pt>
                <c:pt idx="670">
                  <c:v>-2.7545702167371031</c:v>
                </c:pt>
                <c:pt idx="671">
                  <c:v>-2.7545702167371027</c:v>
                </c:pt>
                <c:pt idx="672">
                  <c:v>-2.7501158663877225</c:v>
                </c:pt>
                <c:pt idx="673">
                  <c:v>-2.7501158663877225</c:v>
                </c:pt>
                <c:pt idx="674">
                  <c:v>-2.7368706396377021</c:v>
                </c:pt>
                <c:pt idx="675">
                  <c:v>-2.7368706396377021</c:v>
                </c:pt>
                <c:pt idx="676">
                  <c:v>-2.7237985580703494</c:v>
                </c:pt>
                <c:pt idx="677">
                  <c:v>-2.695627681103653</c:v>
                </c:pt>
                <c:pt idx="678">
                  <c:v>-2.6855773452501515</c:v>
                </c:pt>
                <c:pt idx="679">
                  <c:v>-2.669048043298941</c:v>
                </c:pt>
                <c:pt idx="680">
                  <c:v>-2.6649580580474157</c:v>
                </c:pt>
                <c:pt idx="681">
                  <c:v>-2.6367871810807193</c:v>
                </c:pt>
                <c:pt idx="682">
                  <c:v>-2.6229938589483837</c:v>
                </c:pt>
                <c:pt idx="683">
                  <c:v>-2.5752292880812861</c:v>
                </c:pt>
                <c:pt idx="684">
                  <c:v>-2.5677943095937681</c:v>
                </c:pt>
                <c:pt idx="685">
                  <c:v>-2.5677943095937681</c:v>
                </c:pt>
                <c:pt idx="686">
                  <c:v>-2.5677943095937681</c:v>
                </c:pt>
                <c:pt idx="687">
                  <c:v>-2.5677943095937681</c:v>
                </c:pt>
                <c:pt idx="688">
                  <c:v>-2.5067340528325217</c:v>
                </c:pt>
                <c:pt idx="689">
                  <c:v>-2.503255788456197</c:v>
                </c:pt>
                <c:pt idx="690">
                  <c:v>-2.4724841297894433</c:v>
                </c:pt>
                <c:pt idx="691">
                  <c:v>-2.4624337939359418</c:v>
                </c:pt>
                <c:pt idx="692">
                  <c:v>-2.4624337939359418</c:v>
                </c:pt>
                <c:pt idx="693">
                  <c:v>-2.4624337939359418</c:v>
                </c:pt>
                <c:pt idx="694">
                  <c:v>-2.4624337939359418</c:v>
                </c:pt>
                <c:pt idx="695">
                  <c:v>-2.4624337939359418</c:v>
                </c:pt>
                <c:pt idx="696">
                  <c:v>-2.4624337939359418</c:v>
                </c:pt>
                <c:pt idx="697">
                  <c:v>-2.4624337939359418</c:v>
                </c:pt>
                <c:pt idx="698">
                  <c:v>-2.4505052230706679</c:v>
                </c:pt>
                <c:pt idx="699">
                  <c:v>-2.442631166639762</c:v>
                </c:pt>
                <c:pt idx="700">
                  <c:v>-2.3978952727983707</c:v>
                </c:pt>
                <c:pt idx="701">
                  <c:v>-2.3947751454621269</c:v>
                </c:pt>
                <c:pt idx="702">
                  <c:v>-2.3689434508486027</c:v>
                </c:pt>
                <c:pt idx="703">
                  <c:v>-2.3659122269453197</c:v>
                </c:pt>
                <c:pt idx="704">
                  <c:v>-2.3491051086289385</c:v>
                </c:pt>
                <c:pt idx="705">
                  <c:v>-2.3473209868354372</c:v>
                </c:pt>
                <c:pt idx="706">
                  <c:v>-2.3054300451262772</c:v>
                </c:pt>
                <c:pt idx="707">
                  <c:v>-2.3054300451262772</c:v>
                </c:pt>
                <c:pt idx="708">
                  <c:v>-2.2969193554583685</c:v>
                </c:pt>
                <c:pt idx="709">
                  <c:v>-2.2940984791167272</c:v>
                </c:pt>
                <c:pt idx="710">
                  <c:v>-2.2801122371419873</c:v>
                </c:pt>
                <c:pt idx="711">
                  <c:v>-2.2690624009554021</c:v>
                </c:pt>
                <c:pt idx="712">
                  <c:v>-2.239290242621732</c:v>
                </c:pt>
                <c:pt idx="713">
                  <c:v>-2.2360953517252127</c:v>
                </c:pt>
                <c:pt idx="714">
                  <c:v>-2.2360953517252127</c:v>
                </c:pt>
                <c:pt idx="715">
                  <c:v>-2.2313220729725551</c:v>
                </c:pt>
                <c:pt idx="716">
                  <c:v>-2.2260450158717116</c:v>
                </c:pt>
                <c:pt idx="717">
                  <c:v>-2.174751721484161</c:v>
                </c:pt>
                <c:pt idx="718">
                  <c:v>-2.174751721484161</c:v>
                </c:pt>
                <c:pt idx="719">
                  <c:v>-2.174751721484161</c:v>
                </c:pt>
                <c:pt idx="720">
                  <c:v>-2.174751721484161</c:v>
                </c:pt>
                <c:pt idx="721">
                  <c:v>-2.174751721484161</c:v>
                </c:pt>
                <c:pt idx="722">
                  <c:v>-2.174751721484161</c:v>
                </c:pt>
                <c:pt idx="723">
                  <c:v>-2.174751721484161</c:v>
                </c:pt>
                <c:pt idx="724">
                  <c:v>-2.174751721484161</c:v>
                </c:pt>
                <c:pt idx="725">
                  <c:v>-2.169764179973122</c:v>
                </c:pt>
                <c:pt idx="726">
                  <c:v>-2.1235834349097615</c:v>
                </c:pt>
                <c:pt idx="727">
                  <c:v>-2.116482813360185</c:v>
                </c:pt>
                <c:pt idx="728">
                  <c:v>-2.1024310599045348</c:v>
                </c:pt>
                <c:pt idx="729">
                  <c:v>-2.0977906803480324</c:v>
                </c:pt>
                <c:pt idx="730">
                  <c:v>-2.0851395627944735</c:v>
                </c:pt>
                <c:pt idx="731">
                  <c:v>-2.0839973582156968</c:v>
                </c:pt>
                <c:pt idx="732">
                  <c:v>-2.059638914383656</c:v>
                </c:pt>
                <c:pt idx="733">
                  <c:v>-2.0569686858277771</c:v>
                </c:pt>
                <c:pt idx="734">
                  <c:v>-2.011358174575725</c:v>
                </c:pt>
                <c:pt idx="735">
                  <c:v>-1.9677375520998346</c:v>
                </c:pt>
                <c:pt idx="736">
                  <c:v>-1.9318055428737715</c:v>
                </c:pt>
                <c:pt idx="737">
                  <c:v>-1.8765006976831458</c:v>
                </c:pt>
                <c:pt idx="738">
                  <c:v>-1.8746471290338227</c:v>
                </c:pt>
                <c:pt idx="739">
                  <c:v>-1.8562979903656263</c:v>
                </c:pt>
                <c:pt idx="740">
                  <c:v>-1.8483298207164494</c:v>
                </c:pt>
                <c:pt idx="741">
                  <c:v>-1.8454479743415606</c:v>
                </c:pt>
                <c:pt idx="742">
                  <c:v>-1.8170772772123449</c:v>
                </c:pt>
                <c:pt idx="743">
                  <c:v>-1.7827096337081372</c:v>
                </c:pt>
                <c:pt idx="744">
                  <c:v>-1.7793369492294979</c:v>
                </c:pt>
                <c:pt idx="745">
                  <c:v>-1.7692866133759966</c:v>
                </c:pt>
                <c:pt idx="746">
                  <c:v>-1.7692866133759966</c:v>
                </c:pt>
                <c:pt idx="747">
                  <c:v>-1.7692866133759966</c:v>
                </c:pt>
                <c:pt idx="748">
                  <c:v>-1.7692866133759966</c:v>
                </c:pt>
                <c:pt idx="749">
                  <c:v>-1.7494839860798168</c:v>
                </c:pt>
                <c:pt idx="750">
                  <c:v>-1.7462213404450004</c:v>
                </c:pt>
                <c:pt idx="751">
                  <c:v>-1.7397278111344521</c:v>
                </c:pt>
                <c:pt idx="752">
                  <c:v>-1.6581925658704098</c:v>
                </c:pt>
                <c:pt idx="753">
                  <c:v>-1.6312653154786216</c:v>
                </c:pt>
                <c:pt idx="754">
                  <c:v>-1.6277870511022969</c:v>
                </c:pt>
                <c:pt idx="755">
                  <c:v>-1.4816045409242156</c:v>
                </c:pt>
                <c:pt idx="756">
                  <c:v>-1.5704357546308314</c:v>
                </c:pt>
                <c:pt idx="757">
                  <c:v>-1.4816045409242156</c:v>
                </c:pt>
                <c:pt idx="758">
                  <c:v>-1.5704357546308312</c:v>
                </c:pt>
                <c:pt idx="759">
                  <c:v>-1.5069223489085053</c:v>
                </c:pt>
                <c:pt idx="760">
                  <c:v>-1.4859891392420397</c:v>
                </c:pt>
                <c:pt idx="761">
                  <c:v>-1.4304362543498161</c:v>
                </c:pt>
                <c:pt idx="762">
                  <c:v>-1.4280637739961857</c:v>
                </c:pt>
                <c:pt idx="763">
                  <c:v>-1.4816045409242156</c:v>
                </c:pt>
                <c:pt idx="764">
                  <c:v>-1.4423838277709342</c:v>
                </c:pt>
                <c:pt idx="765">
                  <c:v>-1.2955399978514266</c:v>
                </c:pt>
                <c:pt idx="766">
                  <c:v>-1.4280637739961857</c:v>
                </c:pt>
                <c:pt idx="767">
                  <c:v>-1.3862943611198906</c:v>
                </c:pt>
                <c:pt idx="768">
                  <c:v>-1.3862943611198906</c:v>
                </c:pt>
                <c:pt idx="769">
                  <c:v>-1.3705104934186287</c:v>
                </c:pt>
                <c:pt idx="770">
                  <c:v>-1.3224663195859181</c:v>
                </c:pt>
                <c:pt idx="771">
                  <c:v>-0.93637749044089258</c:v>
                </c:pt>
                <c:pt idx="772">
                  <c:v>-1.2584609896100059</c:v>
                </c:pt>
                <c:pt idx="773">
                  <c:v>-1.2584609896100059</c:v>
                </c:pt>
                <c:pt idx="774">
                  <c:v>-1.2584609896100056</c:v>
                </c:pt>
                <c:pt idx="775">
                  <c:v>-1.2115774037111553</c:v>
                </c:pt>
                <c:pt idx="776">
                  <c:v>-1.1856753198843579</c:v>
                </c:pt>
                <c:pt idx="777">
                  <c:v>-1.1814999484738775</c:v>
                </c:pt>
                <c:pt idx="778">
                  <c:v>-1.0761394328160512</c:v>
                </c:pt>
                <c:pt idx="779">
                  <c:v>-1.0761394328160512</c:v>
                </c:pt>
                <c:pt idx="780">
                  <c:v>-1.0761394328160512</c:v>
                </c:pt>
                <c:pt idx="781">
                  <c:v>-1.0642108619507773</c:v>
                </c:pt>
                <c:pt idx="782">
                  <c:v>-0.98082925301172619</c:v>
                </c:pt>
                <c:pt idx="783">
                  <c:v>-0.96281074750904783</c:v>
                </c:pt>
                <c:pt idx="784">
                  <c:v>-0.95392180009180194</c:v>
                </c:pt>
                <c:pt idx="785">
                  <c:v>-0.93420593692738463</c:v>
                </c:pt>
                <c:pt idx="786">
                  <c:v>-0.91842368682429654</c:v>
                </c:pt>
                <c:pt idx="787">
                  <c:v>-0.56531380905006057</c:v>
                </c:pt>
                <c:pt idx="788">
                  <c:v>-0.38299225225610584</c:v>
                </c:pt>
                <c:pt idx="789">
                  <c:v>3.9002157803268961E-2</c:v>
                </c:pt>
                <c:pt idx="790">
                  <c:v>-0.42642181018344177</c:v>
                </c:pt>
                <c:pt idx="791">
                  <c:v>-0.38299225225610584</c:v>
                </c:pt>
                <c:pt idx="792">
                  <c:v>-0.3582996396657343</c:v>
                </c:pt>
                <c:pt idx="793">
                  <c:v>-0.3582996396657343</c:v>
                </c:pt>
                <c:pt idx="794">
                  <c:v>-0.35667494393873245</c:v>
                </c:pt>
                <c:pt idx="795">
                  <c:v>-0.2541593804131374</c:v>
                </c:pt>
                <c:pt idx="796">
                  <c:v>-5.8496206681608494E-2</c:v>
                </c:pt>
                <c:pt idx="797">
                  <c:v>0</c:v>
                </c:pt>
                <c:pt idx="798">
                  <c:v>2.4968801985871458E-3</c:v>
                </c:pt>
              </c:numCache>
            </c:numRef>
          </c:yVal>
          <c:smooth val="0"/>
          <c:extLst xmlns:c16r2="http://schemas.microsoft.com/office/drawing/2015/06/chart">
            <c:ext xmlns:c16="http://schemas.microsoft.com/office/drawing/2014/chart" uri="{C3380CC4-5D6E-409C-BE32-E72D297353CC}">
              <c16:uniqueId val="{00000000-C5D0-43A2-8F6D-4AD0DF9FEFBF}"/>
            </c:ext>
          </c:extLst>
        </c:ser>
        <c:dLbls>
          <c:showLegendKey val="0"/>
          <c:showVal val="0"/>
          <c:showCatName val="0"/>
          <c:showSerName val="0"/>
          <c:showPercent val="0"/>
          <c:showBubbleSize val="0"/>
        </c:dLbls>
        <c:axId val="165507072"/>
        <c:axId val="165509376"/>
      </c:scatterChart>
      <c:valAx>
        <c:axId val="1655070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722530521642638"/>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509376"/>
        <c:crossesAt val="-10"/>
        <c:crossBetween val="midCat"/>
      </c:valAx>
      <c:valAx>
        <c:axId val="16550937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507072"/>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F1 Width Analysis</a:t>
            </a:r>
          </a:p>
        </c:rich>
      </c:tx>
      <c:layout>
        <c:manualLayout>
          <c:xMode val="edge"/>
          <c:yMode val="edge"/>
          <c:x val="0.42064372918978932"/>
          <c:y val="1.9575856443719449E-2"/>
        </c:manualLayout>
      </c:layout>
      <c:overlay val="0"/>
      <c:spPr>
        <a:noFill/>
        <a:ln w="25400">
          <a:noFill/>
        </a:ln>
      </c:spPr>
    </c:title>
    <c:autoTitleDeleted val="0"/>
    <c:plotArea>
      <c:layout>
        <c:manualLayout>
          <c:layoutTarget val="inner"/>
          <c:xMode val="edge"/>
          <c:yMode val="edge"/>
          <c:x val="5.8823529411764705E-2"/>
          <c:y val="0.12234910277324648"/>
          <c:w val="0.9223085460599334"/>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'F1 - EF1 Analysis'!$F$12:$F$310</c:f>
              <c:numCache>
                <c:formatCode>General</c:formatCode>
                <c:ptCount val="299"/>
                <c:pt idx="0">
                  <c:v>-2.8929192678734181</c:v>
                </c:pt>
                <c:pt idx="1">
                  <c:v>-2.528644881189821</c:v>
                </c:pt>
                <c:pt idx="2">
                  <c:v>-2.3438866646343475</c:v>
                </c:pt>
                <c:pt idx="3">
                  <c:v>-2.2156197184696946</c:v>
                </c:pt>
                <c:pt idx="4">
                  <c:v>-2.1159254910219962</c:v>
                </c:pt>
                <c:pt idx="5">
                  <c:v>-2.0336714474073072</c:v>
                </c:pt>
                <c:pt idx="6">
                  <c:v>-1.9632397668732706</c:v>
                </c:pt>
                <c:pt idx="7">
                  <c:v>-1.9013826653257466</c:v>
                </c:pt>
                <c:pt idx="8">
                  <c:v>-1.8460462092017935</c:v>
                </c:pt>
                <c:pt idx="9">
                  <c:v>-1.7958455512600473</c:v>
                </c:pt>
                <c:pt idx="10">
                  <c:v>-1.7498009207740848</c:v>
                </c:pt>
                <c:pt idx="11">
                  <c:v>-1.7071926025024666</c:v>
                </c:pt>
                <c:pt idx="12">
                  <c:v>-1.6674757254802024</c:v>
                </c:pt>
                <c:pt idx="13">
                  <c:v>-1.6302274466655646</c:v>
                </c:pt>
                <c:pt idx="14">
                  <c:v>-1.5951127585631362</c:v>
                </c:pt>
                <c:pt idx="15">
                  <c:v>-1.5618615392556825</c:v>
                </c:pt>
                <c:pt idx="16">
                  <c:v>-1.5302526710293158</c:v>
                </c:pt>
                <c:pt idx="17">
                  <c:v>-1.5001027595109515</c:v>
                </c:pt>
                <c:pt idx="18">
                  <c:v>-1.4712579371990806</c:v>
                </c:pt>
                <c:pt idx="19">
                  <c:v>-1.4435877889473323</c:v>
                </c:pt>
                <c:pt idx="20">
                  <c:v>-1.4169807706927577</c:v>
                </c:pt>
                <c:pt idx="21">
                  <c:v>-1.3913407002534657</c:v>
                </c:pt>
                <c:pt idx="22">
                  <c:v>-1.3665840316741558</c:v>
                </c:pt>
                <c:pt idx="23">
                  <c:v>-1.3426377114882446</c:v>
                </c:pt>
                <c:pt idx="24">
                  <c:v>-1.3194374734384275</c:v>
                </c:pt>
                <c:pt idx="25">
                  <c:v>-1.2969264679191927</c:v>
                </c:pt>
                <c:pt idx="26">
                  <c:v>-1.2750541500157357</c:v>
                </c:pt>
                <c:pt idx="27">
                  <c:v>-1.2537753695199951</c:v>
                </c:pt>
                <c:pt idx="28">
                  <c:v>-1.2330496202910932</c:v>
                </c:pt>
                <c:pt idx="29">
                  <c:v>-1.2128404164935702</c:v>
                </c:pt>
                <c:pt idx="30">
                  <c:v>-1.1931147707289882</c:v>
                </c:pt>
                <c:pt idx="31">
                  <c:v>-1.1738427546475656</c:v>
                </c:pt>
                <c:pt idx="32">
                  <c:v>-1.1549971268193044</c:v>
                </c:pt>
                <c:pt idx="33">
                  <c:v>-1.136553015831067</c:v>
                </c:pt>
                <c:pt idx="34">
                  <c:v>-1.1184876490213236</c:v>
                </c:pt>
                <c:pt idx="35">
                  <c:v>-1.1007801191566395</c:v>
                </c:pt>
                <c:pt idx="36">
                  <c:v>-1.0834111828304476</c:v>
                </c:pt>
                <c:pt idx="37">
                  <c:v>-1.06636308552545</c:v>
                </c:pt>
                <c:pt idx="38">
                  <c:v>-1.0496194092001805</c:v>
                </c:pt>
                <c:pt idx="39">
                  <c:v>-1.0331649389930071</c:v>
                </c:pt>
                <c:pt idx="40">
                  <c:v>-1.0169855462247854</c:v>
                </c:pt>
                <c:pt idx="41">
                  <c:v>-1.0010680853558858</c:v>
                </c:pt>
                <c:pt idx="42">
                  <c:v>-0.9854003029385211</c:v>
                </c:pt>
                <c:pt idx="43">
                  <c:v>-0.96997075691972645</c:v>
                </c:pt>
                <c:pt idx="44">
                  <c:v>-0.95476874490815455</c:v>
                </c:pt>
                <c:pt idx="45">
                  <c:v>-0.93978424023057883</c:v>
                </c:pt>
                <c:pt idx="46">
                  <c:v>-0.92500783477998239</c:v>
                </c:pt>
                <c:pt idx="47">
                  <c:v>-0.91043068780363967</c:v>
                </c:pt>
                <c:pt idx="48">
                  <c:v>-0.89604447990194602</c:v>
                </c:pt>
                <c:pt idx="49">
                  <c:v>-0.88184137161139053</c:v>
                </c:pt>
                <c:pt idx="50">
                  <c:v>-0.86781396603145955</c:v>
                </c:pt>
                <c:pt idx="51">
                  <c:v>-0.85395527502834434</c:v>
                </c:pt>
                <c:pt idx="52">
                  <c:v>-0.84025868861020625</c:v>
                </c:pt>
                <c:pt idx="53">
                  <c:v>-0.82671794712148672</c:v>
                </c:pt>
                <c:pt idx="54">
                  <c:v>-0.81332711594875995</c:v>
                </c:pt>
                <c:pt idx="55">
                  <c:v>-0.80008056246913806</c:v>
                </c:pt>
                <c:pt idx="56">
                  <c:v>-0.78697293500536358</c:v>
                </c:pt>
                <c:pt idx="57">
                  <c:v>-0.7739991435802196</c:v>
                </c:pt>
                <c:pt idx="58">
                  <c:v>-0.76115434228754864</c:v>
                </c:pt>
                <c:pt idx="59">
                  <c:v>-0.74843391311848129</c:v>
                </c:pt>
                <c:pt idx="60">
                  <c:v>-0.7358334511000415</c:v>
                </c:pt>
                <c:pt idx="61">
                  <c:v>-0.72334875061938442</c:v>
                </c:pt>
                <c:pt idx="62">
                  <c:v>-0.7109757928210424</c:v>
                </c:pt>
                <c:pt idx="63">
                  <c:v>-0.69871073397684169</c:v>
                </c:pt>
                <c:pt idx="64">
                  <c:v>-0.68654989473896033</c:v>
                </c:pt>
                <c:pt idx="65">
                  <c:v>-0.67448975019608193</c:v>
                </c:pt>
                <c:pt idx="66">
                  <c:v>-0.66252692066093988</c:v>
                </c:pt>
                <c:pt idx="67">
                  <c:v>-0.65065816312493385</c:v>
                </c:pt>
                <c:pt idx="68">
                  <c:v>-0.63888036332198783</c:v>
                </c:pt>
                <c:pt idx="69">
                  <c:v>-0.62719052834960598</c:v>
                </c:pt>
                <c:pt idx="70">
                  <c:v>-0.61558577980018625</c:v>
                </c:pt>
                <c:pt idx="71">
                  <c:v>-0.60406334736020983</c:v>
                </c:pt>
                <c:pt idx="72">
                  <c:v>-0.59262056283896225</c:v>
                </c:pt>
                <c:pt idx="73">
                  <c:v>-0.58125485459206705</c:v>
                </c:pt>
                <c:pt idx="74">
                  <c:v>-0.56996374230832691</c:v>
                </c:pt>
                <c:pt idx="75">
                  <c:v>-0.55874483213126436</c:v>
                </c:pt>
                <c:pt idx="76">
                  <c:v>-0.54759581208933283</c:v>
                </c:pt>
                <c:pt idx="77">
                  <c:v>-0.53651444781109781</c:v>
                </c:pt>
                <c:pt idx="78">
                  <c:v>-0.5254985785037698</c:v>
                </c:pt>
                <c:pt idx="79">
                  <c:v>-0.51454611317535259</c:v>
                </c:pt>
                <c:pt idx="80">
                  <c:v>-0.50365502708235821</c:v>
                </c:pt>
                <c:pt idx="81">
                  <c:v>-0.49282335838657698</c:v>
                </c:pt>
                <c:pt idx="82">
                  <c:v>-0.48204920500576198</c:v>
                </c:pt>
                <c:pt idx="83">
                  <c:v>-0.47133072164434098</c:v>
                </c:pt>
                <c:pt idx="84">
                  <c:v>-0.46066611699140447</c:v>
                </c:pt>
                <c:pt idx="85">
                  <c:v>-0.45005365107423506</c:v>
                </c:pt>
                <c:pt idx="86">
                  <c:v>-0.43949163275658881</c:v>
                </c:pt>
                <c:pt idx="87">
                  <c:v>-0.42897841737177267</c:v>
                </c:pt>
                <c:pt idx="88">
                  <c:v>-0.41851240448134458</c:v>
                </c:pt>
                <c:pt idx="89">
                  <c:v>-0.40809203575095948</c:v>
                </c:pt>
                <c:pt idx="90">
                  <c:v>-0.39771579293552733</c:v>
                </c:pt>
                <c:pt idx="91">
                  <c:v>-0.38738219596643142</c:v>
                </c:pt>
                <c:pt idx="92">
                  <c:v>-0.37708980113409546</c:v>
                </c:pt>
                <c:pt idx="93">
                  <c:v>-0.36683719935966907</c:v>
                </c:pt>
                <c:pt idx="94">
                  <c:v>-0.35662301455005585</c:v>
                </c:pt>
                <c:pt idx="95">
                  <c:v>-0.3464459020309138</c:v>
                </c:pt>
                <c:pt idx="96">
                  <c:v>-0.33630454705263418</c:v>
                </c:pt>
                <c:pt idx="97">
                  <c:v>-0.32619766336465211</c:v>
                </c:pt>
                <c:pt idx="98">
                  <c:v>-0.31612399185375722</c:v>
                </c:pt>
                <c:pt idx="99">
                  <c:v>-0.30608229924236263</c:v>
                </c:pt>
                <c:pt idx="100">
                  <c:v>-0.29607137684296159</c:v>
                </c:pt>
                <c:pt idx="101">
                  <c:v>-0.28609003936524313</c:v>
                </c:pt>
                <c:pt idx="102">
                  <c:v>-0.27613712377257005</c:v>
                </c:pt>
                <c:pt idx="103">
                  <c:v>-0.26621148818472556</c:v>
                </c:pt>
                <c:pt idx="104">
                  <c:v>-0.25631201082403188</c:v>
                </c:pt>
                <c:pt idx="105">
                  <c:v>-0.24643758900211962</c:v>
                </c:pt>
                <c:pt idx="106">
                  <c:v>-0.23658713814479079</c:v>
                </c:pt>
                <c:pt idx="107">
                  <c:v>-0.22675959085256958</c:v>
                </c:pt>
                <c:pt idx="108">
                  <c:v>-0.21695389599467269</c:v>
                </c:pt>
                <c:pt idx="109">
                  <c:v>-0.20716901783426186</c:v>
                </c:pt>
                <c:pt idx="110">
                  <c:v>-0.19740393518295835</c:v>
                </c:pt>
                <c:pt idx="111">
                  <c:v>-0.18765764058270834</c:v>
                </c:pt>
                <c:pt idx="112">
                  <c:v>-0.17792913951318964</c:v>
                </c:pt>
                <c:pt idx="113">
                  <c:v>-0.16821744962304311</c:v>
                </c:pt>
                <c:pt idx="114">
                  <c:v>-0.15852159998329721</c:v>
                </c:pt>
                <c:pt idx="115">
                  <c:v>-0.14884063036143219</c:v>
                </c:pt>
                <c:pt idx="116">
                  <c:v>-0.13917359051460709</c:v>
                </c:pt>
                <c:pt idx="117">
                  <c:v>-0.12951953950063169</c:v>
                </c:pt>
                <c:pt idx="118">
                  <c:v>-0.11987754500533411</c:v>
                </c:pt>
                <c:pt idx="119">
                  <c:v>-0.11024668268502609</c:v>
                </c:pt>
                <c:pt idx="120">
                  <c:v>-0.1006260355228201</c:v>
                </c:pt>
                <c:pt idx="121">
                  <c:v>-9.1014693197598751E-2</c:v>
                </c:pt>
                <c:pt idx="122">
                  <c:v>-8.1411751464479085E-2</c:v>
                </c:pt>
                <c:pt idx="123">
                  <c:v>-7.1816311545650782E-2</c:v>
                </c:pt>
                <c:pt idx="124">
                  <c:v>-6.2227479530504601E-2</c:v>
                </c:pt>
                <c:pt idx="125">
                  <c:v>-5.2644365783992259E-2</c:v>
                </c:pt>
                <c:pt idx="126">
                  <c:v>-4.3066084362190685E-2</c:v>
                </c:pt>
                <c:pt idx="127">
                  <c:v>-3.3491752434063431E-2</c:v>
                </c:pt>
                <c:pt idx="128">
                  <c:v>-2.3920489708433315E-2</c:v>
                </c:pt>
                <c:pt idx="129">
                  <c:v>-1.4351417865196142E-2</c:v>
                </c:pt>
                <c:pt idx="130">
                  <c:v>-4.7836599898194694E-3</c:v>
                </c:pt>
                <c:pt idx="131">
                  <c:v>4.7836599898194694E-3</c:v>
                </c:pt>
                <c:pt idx="132">
                  <c:v>1.4351417865196279E-2</c:v>
                </c:pt>
                <c:pt idx="133">
                  <c:v>2.3920489708433315E-2</c:v>
                </c:pt>
                <c:pt idx="134">
                  <c:v>3.3491752434063569E-2</c:v>
                </c:pt>
                <c:pt idx="135">
                  <c:v>4.3066084362190685E-2</c:v>
                </c:pt>
                <c:pt idx="136">
                  <c:v>5.2644365783992113E-2</c:v>
                </c:pt>
                <c:pt idx="137">
                  <c:v>6.2227479530504601E-2</c:v>
                </c:pt>
                <c:pt idx="138">
                  <c:v>7.1816311545650643E-2</c:v>
                </c:pt>
                <c:pt idx="139">
                  <c:v>8.1411751464479085E-2</c:v>
                </c:pt>
                <c:pt idx="140">
                  <c:v>9.1014693197598751E-2</c:v>
                </c:pt>
                <c:pt idx="141">
                  <c:v>0.10062603552282023</c:v>
                </c:pt>
                <c:pt idx="142">
                  <c:v>0.11024668268502609</c:v>
                </c:pt>
                <c:pt idx="143">
                  <c:v>0.11987754500533426</c:v>
                </c:pt>
                <c:pt idx="144">
                  <c:v>0.12951953950063169</c:v>
                </c:pt>
                <c:pt idx="145">
                  <c:v>0.13917359051460698</c:v>
                </c:pt>
                <c:pt idx="146">
                  <c:v>0.14884063036143219</c:v>
                </c:pt>
                <c:pt idx="147">
                  <c:v>0.15852159998329707</c:v>
                </c:pt>
                <c:pt idx="148">
                  <c:v>0.16821744962304327</c:v>
                </c:pt>
                <c:pt idx="149">
                  <c:v>0.17792913951318964</c:v>
                </c:pt>
                <c:pt idx="150">
                  <c:v>0.18765764058270851</c:v>
                </c:pt>
                <c:pt idx="151">
                  <c:v>0.19740393518295835</c:v>
                </c:pt>
                <c:pt idx="152">
                  <c:v>0.207169017834262</c:v>
                </c:pt>
                <c:pt idx="153">
                  <c:v>0.21695389599467269</c:v>
                </c:pt>
                <c:pt idx="154">
                  <c:v>0.22675959085256941</c:v>
                </c:pt>
                <c:pt idx="155">
                  <c:v>0.23658713814479079</c:v>
                </c:pt>
                <c:pt idx="156">
                  <c:v>0.24643758900211943</c:v>
                </c:pt>
                <c:pt idx="157">
                  <c:v>0.25631201082403193</c:v>
                </c:pt>
                <c:pt idx="158">
                  <c:v>0.26621148818472556</c:v>
                </c:pt>
                <c:pt idx="159">
                  <c:v>0.27613712377257016</c:v>
                </c:pt>
                <c:pt idx="160">
                  <c:v>0.28609003936524313</c:v>
                </c:pt>
                <c:pt idx="161">
                  <c:v>0.29607137684296164</c:v>
                </c:pt>
                <c:pt idx="162">
                  <c:v>0.30608229924236263</c:v>
                </c:pt>
                <c:pt idx="163">
                  <c:v>0.31612399185375711</c:v>
                </c:pt>
                <c:pt idx="164">
                  <c:v>0.32619766336465211</c:v>
                </c:pt>
                <c:pt idx="165">
                  <c:v>0.33630454705263402</c:v>
                </c:pt>
                <c:pt idx="166">
                  <c:v>0.34644590203091391</c:v>
                </c:pt>
                <c:pt idx="167">
                  <c:v>0.35662301455005585</c:v>
                </c:pt>
                <c:pt idx="168">
                  <c:v>0.36683719935966919</c:v>
                </c:pt>
                <c:pt idx="169">
                  <c:v>0.37708980113409546</c:v>
                </c:pt>
                <c:pt idx="170">
                  <c:v>0.38738219596643125</c:v>
                </c:pt>
                <c:pt idx="171">
                  <c:v>0.39771579293552733</c:v>
                </c:pt>
                <c:pt idx="172">
                  <c:v>0.40809203575095937</c:v>
                </c:pt>
                <c:pt idx="173">
                  <c:v>0.41851240448134458</c:v>
                </c:pt>
                <c:pt idx="174">
                  <c:v>0.4289784173717725</c:v>
                </c:pt>
                <c:pt idx="175">
                  <c:v>0.43949163275658892</c:v>
                </c:pt>
                <c:pt idx="176">
                  <c:v>0.45005365107423506</c:v>
                </c:pt>
                <c:pt idx="177">
                  <c:v>0.46066611699140436</c:v>
                </c:pt>
                <c:pt idx="178">
                  <c:v>0.47133072164434098</c:v>
                </c:pt>
                <c:pt idx="179">
                  <c:v>0.48204920500576165</c:v>
                </c:pt>
                <c:pt idx="180">
                  <c:v>0.49282335838657698</c:v>
                </c:pt>
                <c:pt idx="181">
                  <c:v>0.50365502708235799</c:v>
                </c:pt>
                <c:pt idx="182">
                  <c:v>0.51454611317535259</c:v>
                </c:pt>
                <c:pt idx="183">
                  <c:v>0.5254985785037698</c:v>
                </c:pt>
                <c:pt idx="184">
                  <c:v>0.53651444781109792</c:v>
                </c:pt>
                <c:pt idx="185">
                  <c:v>0.54759581208933283</c:v>
                </c:pt>
                <c:pt idx="186">
                  <c:v>0.55874483213126447</c:v>
                </c:pt>
                <c:pt idx="187">
                  <c:v>0.56996374230832691</c:v>
                </c:pt>
                <c:pt idx="188">
                  <c:v>0.58125485459206683</c:v>
                </c:pt>
                <c:pt idx="189">
                  <c:v>0.59262056283896225</c:v>
                </c:pt>
                <c:pt idx="190">
                  <c:v>0.60406334736020972</c:v>
                </c:pt>
                <c:pt idx="191">
                  <c:v>0.61558577980018625</c:v>
                </c:pt>
                <c:pt idx="192">
                  <c:v>0.62719052834960598</c:v>
                </c:pt>
                <c:pt idx="193">
                  <c:v>0.63888036332198828</c:v>
                </c:pt>
                <c:pt idx="194">
                  <c:v>0.65065816312493385</c:v>
                </c:pt>
                <c:pt idx="195">
                  <c:v>0.66252692066094021</c:v>
                </c:pt>
                <c:pt idx="196">
                  <c:v>0.67448975019608193</c:v>
                </c:pt>
                <c:pt idx="197">
                  <c:v>0.68654989473896011</c:v>
                </c:pt>
                <c:pt idx="198">
                  <c:v>0.69871073397684169</c:v>
                </c:pt>
                <c:pt idx="199">
                  <c:v>0.7109757928210424</c:v>
                </c:pt>
                <c:pt idx="200">
                  <c:v>0.72334875061938442</c:v>
                </c:pt>
                <c:pt idx="201">
                  <c:v>0.7358334511000415</c:v>
                </c:pt>
                <c:pt idx="202">
                  <c:v>0.74843391311848129</c:v>
                </c:pt>
                <c:pt idx="203">
                  <c:v>0.76115434228754864</c:v>
                </c:pt>
                <c:pt idx="204">
                  <c:v>0.77399914358022004</c:v>
                </c:pt>
                <c:pt idx="205">
                  <c:v>0.78697293500536358</c:v>
                </c:pt>
                <c:pt idx="206">
                  <c:v>0.80008056246913695</c:v>
                </c:pt>
                <c:pt idx="207">
                  <c:v>0.81332711594875995</c:v>
                </c:pt>
                <c:pt idx="208">
                  <c:v>0.82671794712148672</c:v>
                </c:pt>
                <c:pt idx="209">
                  <c:v>0.84025868861020625</c:v>
                </c:pt>
                <c:pt idx="210">
                  <c:v>0.85395527502834434</c:v>
                </c:pt>
                <c:pt idx="211">
                  <c:v>0.86781396603145955</c:v>
                </c:pt>
                <c:pt idx="212">
                  <c:v>0.88184137161139053</c:v>
                </c:pt>
                <c:pt idx="213">
                  <c:v>0.8960444799019468</c:v>
                </c:pt>
                <c:pt idx="214">
                  <c:v>0.91043068780363967</c:v>
                </c:pt>
                <c:pt idx="215">
                  <c:v>0.92500783477998383</c:v>
                </c:pt>
                <c:pt idx="216">
                  <c:v>0.93978424023057883</c:v>
                </c:pt>
                <c:pt idx="217">
                  <c:v>0.95476874490815455</c:v>
                </c:pt>
                <c:pt idx="218">
                  <c:v>0.96997075691972645</c:v>
                </c:pt>
                <c:pt idx="219">
                  <c:v>0.9854003029385211</c:v>
                </c:pt>
                <c:pt idx="220">
                  <c:v>1.0010680853558858</c:v>
                </c:pt>
                <c:pt idx="221">
                  <c:v>1.0169855462247854</c:v>
                </c:pt>
                <c:pt idx="222">
                  <c:v>1.0331649389930126</c:v>
                </c:pt>
                <c:pt idx="223">
                  <c:v>1.0496194092001805</c:v>
                </c:pt>
                <c:pt idx="224">
                  <c:v>1.0663630855254498</c:v>
                </c:pt>
                <c:pt idx="225">
                  <c:v>1.0834111828304476</c:v>
                </c:pt>
                <c:pt idx="226">
                  <c:v>1.1007801191566395</c:v>
                </c:pt>
                <c:pt idx="227">
                  <c:v>1.1184876490213236</c:v>
                </c:pt>
                <c:pt idx="228">
                  <c:v>1.136553015831067</c:v>
                </c:pt>
                <c:pt idx="229">
                  <c:v>1.1549971268193051</c:v>
                </c:pt>
                <c:pt idx="230">
                  <c:v>1.1738427546475656</c:v>
                </c:pt>
                <c:pt idx="231">
                  <c:v>1.1931147707289882</c:v>
                </c:pt>
                <c:pt idx="232">
                  <c:v>1.2128404164935702</c:v>
                </c:pt>
                <c:pt idx="233">
                  <c:v>1.2330496202910921</c:v>
                </c:pt>
                <c:pt idx="234">
                  <c:v>1.2537753695199951</c:v>
                </c:pt>
                <c:pt idx="235">
                  <c:v>1.2750541500157357</c:v>
                </c:pt>
                <c:pt idx="236">
                  <c:v>1.2969264679191927</c:v>
                </c:pt>
                <c:pt idx="237">
                  <c:v>1.3194374734384275</c:v>
                </c:pt>
                <c:pt idx="238">
                  <c:v>1.3426377114882446</c:v>
                </c:pt>
                <c:pt idx="239">
                  <c:v>1.3665840316741558</c:v>
                </c:pt>
                <c:pt idx="240">
                  <c:v>1.3913407002534657</c:v>
                </c:pt>
                <c:pt idx="241">
                  <c:v>1.4169807706927577</c:v>
                </c:pt>
                <c:pt idx="242">
                  <c:v>1.4435877889473323</c:v>
                </c:pt>
                <c:pt idx="243">
                  <c:v>1.4712579371990813</c:v>
                </c:pt>
                <c:pt idx="244">
                  <c:v>1.5001027595109515</c:v>
                </c:pt>
                <c:pt idx="245">
                  <c:v>1.5302526710293167</c:v>
                </c:pt>
                <c:pt idx="246">
                  <c:v>1.5618615392556825</c:v>
                </c:pt>
                <c:pt idx="247">
                  <c:v>1.5951127585631368</c:v>
                </c:pt>
                <c:pt idx="248">
                  <c:v>1.6302274466655646</c:v>
                </c:pt>
                <c:pt idx="249">
                  <c:v>1.6674757254802022</c:v>
                </c:pt>
                <c:pt idx="250">
                  <c:v>1.7071926025024666</c:v>
                </c:pt>
                <c:pt idx="251">
                  <c:v>1.7498009207740837</c:v>
                </c:pt>
                <c:pt idx="252">
                  <c:v>1.7958455512600477</c:v>
                </c:pt>
                <c:pt idx="253">
                  <c:v>1.8460462092017929</c:v>
                </c:pt>
                <c:pt idx="254">
                  <c:v>1.9013826653257473</c:v>
                </c:pt>
                <c:pt idx="255">
                  <c:v>1.9632397668732697</c:v>
                </c:pt>
                <c:pt idx="256">
                  <c:v>2.0336714474073081</c:v>
                </c:pt>
                <c:pt idx="257">
                  <c:v>2.1159254910219962</c:v>
                </c:pt>
                <c:pt idx="258">
                  <c:v>2.2156197184696933</c:v>
                </c:pt>
                <c:pt idx="259">
                  <c:v>2.3438866646343479</c:v>
                </c:pt>
                <c:pt idx="260">
                  <c:v>2.5286448811898179</c:v>
                </c:pt>
                <c:pt idx="261">
                  <c:v>2.8929192678734226</c:v>
                </c:pt>
              </c:numCache>
            </c:numRef>
          </c:xVal>
          <c:yVal>
            <c:numRef>
              <c:f>'F1 - EF1 Analysis'!$G$12:$G$310</c:f>
              <c:numCache>
                <c:formatCode>General</c:formatCode>
                <c:ptCount val="299"/>
                <c:pt idx="0">
                  <c:v>1.0986122886681098</c:v>
                </c:pt>
                <c:pt idx="1">
                  <c:v>1.791759469228055</c:v>
                </c:pt>
                <c:pt idx="2">
                  <c:v>2.3025850929940459</c:v>
                </c:pt>
                <c:pt idx="3">
                  <c:v>2.3025850929940459</c:v>
                </c:pt>
                <c:pt idx="4">
                  <c:v>2.3025850929940459</c:v>
                </c:pt>
                <c:pt idx="5">
                  <c:v>2.3025850929940459</c:v>
                </c:pt>
                <c:pt idx="6">
                  <c:v>2.3025850929940459</c:v>
                </c:pt>
                <c:pt idx="7">
                  <c:v>2.3025850929940459</c:v>
                </c:pt>
                <c:pt idx="8">
                  <c:v>2.3025850929940459</c:v>
                </c:pt>
                <c:pt idx="9">
                  <c:v>2.3025850929940459</c:v>
                </c:pt>
                <c:pt idx="10">
                  <c:v>2.3025850929940459</c:v>
                </c:pt>
                <c:pt idx="11">
                  <c:v>2.3025850929940459</c:v>
                </c:pt>
                <c:pt idx="12">
                  <c:v>2.3025850929940459</c:v>
                </c:pt>
                <c:pt idx="13">
                  <c:v>2.3025850929940459</c:v>
                </c:pt>
                <c:pt idx="14">
                  <c:v>2.3025850929940459</c:v>
                </c:pt>
                <c:pt idx="15">
                  <c:v>2.3025850929940459</c:v>
                </c:pt>
                <c:pt idx="16">
                  <c:v>2.3025850929940459</c:v>
                </c:pt>
                <c:pt idx="17">
                  <c:v>2.3025850929940459</c:v>
                </c:pt>
                <c:pt idx="18">
                  <c:v>2.3025850929940459</c:v>
                </c:pt>
                <c:pt idx="19">
                  <c:v>2.3025850929940459</c:v>
                </c:pt>
                <c:pt idx="20">
                  <c:v>2.3025850929940459</c:v>
                </c:pt>
                <c:pt idx="21">
                  <c:v>2.3025850929940459</c:v>
                </c:pt>
                <c:pt idx="22">
                  <c:v>2.3025850929940459</c:v>
                </c:pt>
                <c:pt idx="23">
                  <c:v>2.3025850929940459</c:v>
                </c:pt>
                <c:pt idx="24">
                  <c:v>2.3025850929940459</c:v>
                </c:pt>
                <c:pt idx="25">
                  <c:v>2.3025850929940459</c:v>
                </c:pt>
                <c:pt idx="26">
                  <c:v>2.3025850929940459</c:v>
                </c:pt>
                <c:pt idx="27">
                  <c:v>2.3025850929940459</c:v>
                </c:pt>
                <c:pt idx="28">
                  <c:v>2.3025850929940459</c:v>
                </c:pt>
                <c:pt idx="29">
                  <c:v>2.5649493574615367</c:v>
                </c:pt>
                <c:pt idx="30">
                  <c:v>2.5649493574615367</c:v>
                </c:pt>
                <c:pt idx="31">
                  <c:v>2.5649493574615367</c:v>
                </c:pt>
                <c:pt idx="32">
                  <c:v>2.8332133440562162</c:v>
                </c:pt>
                <c:pt idx="33">
                  <c:v>2.8332133440562162</c:v>
                </c:pt>
                <c:pt idx="34">
                  <c:v>2.8332133440562162</c:v>
                </c:pt>
                <c:pt idx="35">
                  <c:v>2.8332133440562162</c:v>
                </c:pt>
                <c:pt idx="36">
                  <c:v>2.8332133440562162</c:v>
                </c:pt>
                <c:pt idx="37">
                  <c:v>2.8332133440562162</c:v>
                </c:pt>
                <c:pt idx="38">
                  <c:v>2.8332133440562162</c:v>
                </c:pt>
                <c:pt idx="39">
                  <c:v>2.8332133440562162</c:v>
                </c:pt>
                <c:pt idx="40">
                  <c:v>2.8332133440562162</c:v>
                </c:pt>
                <c:pt idx="41">
                  <c:v>2.8332133440562162</c:v>
                </c:pt>
                <c:pt idx="42">
                  <c:v>2.8332133440562162</c:v>
                </c:pt>
                <c:pt idx="43">
                  <c:v>2.8332133440562162</c:v>
                </c:pt>
                <c:pt idx="44">
                  <c:v>2.9957322735539909</c:v>
                </c:pt>
                <c:pt idx="45">
                  <c:v>2.9957322735539909</c:v>
                </c:pt>
                <c:pt idx="46">
                  <c:v>2.9957322735539909</c:v>
                </c:pt>
                <c:pt idx="47">
                  <c:v>2.9957322735539909</c:v>
                </c:pt>
                <c:pt idx="48">
                  <c:v>2.9957322735539909</c:v>
                </c:pt>
                <c:pt idx="49">
                  <c:v>2.9957322735539909</c:v>
                </c:pt>
                <c:pt idx="50">
                  <c:v>2.9957322735539909</c:v>
                </c:pt>
                <c:pt idx="51">
                  <c:v>2.9957322735539909</c:v>
                </c:pt>
                <c:pt idx="52">
                  <c:v>2.9957322735539909</c:v>
                </c:pt>
                <c:pt idx="53">
                  <c:v>2.9957322735539909</c:v>
                </c:pt>
                <c:pt idx="54">
                  <c:v>2.9957322735539909</c:v>
                </c:pt>
                <c:pt idx="55">
                  <c:v>2.9957322735539909</c:v>
                </c:pt>
                <c:pt idx="56">
                  <c:v>2.9957322735539909</c:v>
                </c:pt>
                <c:pt idx="57">
                  <c:v>2.9957322735539909</c:v>
                </c:pt>
                <c:pt idx="58">
                  <c:v>2.9957322735539909</c:v>
                </c:pt>
                <c:pt idx="59">
                  <c:v>2.9957322735539909</c:v>
                </c:pt>
                <c:pt idx="60">
                  <c:v>2.9957322735539909</c:v>
                </c:pt>
                <c:pt idx="61">
                  <c:v>2.9957322735539909</c:v>
                </c:pt>
                <c:pt idx="62">
                  <c:v>2.9957322735539909</c:v>
                </c:pt>
                <c:pt idx="63">
                  <c:v>2.9957322735539909</c:v>
                </c:pt>
                <c:pt idx="64">
                  <c:v>2.9957322735539909</c:v>
                </c:pt>
                <c:pt idx="65">
                  <c:v>2.9957322735539909</c:v>
                </c:pt>
                <c:pt idx="66">
                  <c:v>2.9957322735539909</c:v>
                </c:pt>
                <c:pt idx="67">
                  <c:v>2.9957322735539909</c:v>
                </c:pt>
                <c:pt idx="68">
                  <c:v>2.9957322735539909</c:v>
                </c:pt>
                <c:pt idx="69">
                  <c:v>3.1354942159291497</c:v>
                </c:pt>
                <c:pt idx="70">
                  <c:v>3.1354942159291497</c:v>
                </c:pt>
                <c:pt idx="71">
                  <c:v>3.2188758248682006</c:v>
                </c:pt>
                <c:pt idx="72">
                  <c:v>3.2188758248682006</c:v>
                </c:pt>
                <c:pt idx="73">
                  <c:v>3.2188758248682006</c:v>
                </c:pt>
                <c:pt idx="74">
                  <c:v>3.2188758248682006</c:v>
                </c:pt>
                <c:pt idx="75">
                  <c:v>3.2958368660043291</c:v>
                </c:pt>
                <c:pt idx="76">
                  <c:v>3.2958368660043291</c:v>
                </c:pt>
                <c:pt idx="77">
                  <c:v>3.4011973816621555</c:v>
                </c:pt>
                <c:pt idx="78">
                  <c:v>3.4011973816621555</c:v>
                </c:pt>
                <c:pt idx="79">
                  <c:v>3.4011973816621555</c:v>
                </c:pt>
                <c:pt idx="80">
                  <c:v>3.4011973816621555</c:v>
                </c:pt>
                <c:pt idx="81">
                  <c:v>3.4011973816621555</c:v>
                </c:pt>
                <c:pt idx="82">
                  <c:v>3.4011973816621555</c:v>
                </c:pt>
                <c:pt idx="83">
                  <c:v>3.4011973816621555</c:v>
                </c:pt>
                <c:pt idx="84">
                  <c:v>3.4011973816621555</c:v>
                </c:pt>
                <c:pt idx="85">
                  <c:v>3.4965075614664802</c:v>
                </c:pt>
                <c:pt idx="86">
                  <c:v>3.4965075614664802</c:v>
                </c:pt>
                <c:pt idx="87">
                  <c:v>3.4965075614664802</c:v>
                </c:pt>
                <c:pt idx="88">
                  <c:v>3.4965075614664802</c:v>
                </c:pt>
                <c:pt idx="89">
                  <c:v>3.4965075614664802</c:v>
                </c:pt>
                <c:pt idx="90">
                  <c:v>3.4965075614664802</c:v>
                </c:pt>
                <c:pt idx="91">
                  <c:v>3.4965075614664802</c:v>
                </c:pt>
                <c:pt idx="92">
                  <c:v>3.4965075614664802</c:v>
                </c:pt>
                <c:pt idx="93">
                  <c:v>3.4965075614664802</c:v>
                </c:pt>
                <c:pt idx="94">
                  <c:v>3.4965075614664802</c:v>
                </c:pt>
                <c:pt idx="95">
                  <c:v>3.4965075614664802</c:v>
                </c:pt>
                <c:pt idx="96">
                  <c:v>3.4965075614664802</c:v>
                </c:pt>
                <c:pt idx="97">
                  <c:v>3.4965075614664802</c:v>
                </c:pt>
                <c:pt idx="98">
                  <c:v>3.4965075614664802</c:v>
                </c:pt>
                <c:pt idx="99">
                  <c:v>3.6109179126442243</c:v>
                </c:pt>
                <c:pt idx="100">
                  <c:v>3.6888794541139363</c:v>
                </c:pt>
                <c:pt idx="101">
                  <c:v>3.6888794541139363</c:v>
                </c:pt>
                <c:pt idx="102">
                  <c:v>3.6888794541139363</c:v>
                </c:pt>
                <c:pt idx="103">
                  <c:v>3.6888794541139363</c:v>
                </c:pt>
                <c:pt idx="104">
                  <c:v>3.6888794541139363</c:v>
                </c:pt>
                <c:pt idx="105">
                  <c:v>3.912023005428146</c:v>
                </c:pt>
                <c:pt idx="106">
                  <c:v>3.912023005428146</c:v>
                </c:pt>
                <c:pt idx="107">
                  <c:v>3.912023005428146</c:v>
                </c:pt>
                <c:pt idx="108">
                  <c:v>3.912023005428146</c:v>
                </c:pt>
                <c:pt idx="109">
                  <c:v>3.912023005428146</c:v>
                </c:pt>
                <c:pt idx="110">
                  <c:v>3.912023005428146</c:v>
                </c:pt>
                <c:pt idx="111">
                  <c:v>3.912023005428146</c:v>
                </c:pt>
                <c:pt idx="112">
                  <c:v>3.912023005428146</c:v>
                </c:pt>
                <c:pt idx="113">
                  <c:v>3.912023005428146</c:v>
                </c:pt>
                <c:pt idx="114">
                  <c:v>3.912023005428146</c:v>
                </c:pt>
                <c:pt idx="115">
                  <c:v>3.912023005428146</c:v>
                </c:pt>
                <c:pt idx="116">
                  <c:v>3.912023005428146</c:v>
                </c:pt>
                <c:pt idx="117">
                  <c:v>3.912023005428146</c:v>
                </c:pt>
                <c:pt idx="118">
                  <c:v>3.912023005428146</c:v>
                </c:pt>
                <c:pt idx="119">
                  <c:v>3.912023005428146</c:v>
                </c:pt>
                <c:pt idx="120">
                  <c:v>3.912023005428146</c:v>
                </c:pt>
                <c:pt idx="121">
                  <c:v>3.912023005428146</c:v>
                </c:pt>
                <c:pt idx="122">
                  <c:v>3.912023005428146</c:v>
                </c:pt>
                <c:pt idx="123">
                  <c:v>3.912023005428146</c:v>
                </c:pt>
                <c:pt idx="124">
                  <c:v>3.912023005428146</c:v>
                </c:pt>
                <c:pt idx="125">
                  <c:v>4.0073331852324712</c:v>
                </c:pt>
                <c:pt idx="126">
                  <c:v>4.0073331852324712</c:v>
                </c:pt>
                <c:pt idx="127">
                  <c:v>4.0943445622221004</c:v>
                </c:pt>
                <c:pt idx="128">
                  <c:v>4.0943445622221004</c:v>
                </c:pt>
                <c:pt idx="129">
                  <c:v>4.0943445622221004</c:v>
                </c:pt>
                <c:pt idx="130">
                  <c:v>4.0943445622221004</c:v>
                </c:pt>
                <c:pt idx="131">
                  <c:v>4.0943445622221004</c:v>
                </c:pt>
                <c:pt idx="132">
                  <c:v>4.0943445622221004</c:v>
                </c:pt>
                <c:pt idx="133">
                  <c:v>4.2046926193909657</c:v>
                </c:pt>
                <c:pt idx="134">
                  <c:v>4.2484952420493594</c:v>
                </c:pt>
                <c:pt idx="135">
                  <c:v>4.2484952420493594</c:v>
                </c:pt>
                <c:pt idx="136">
                  <c:v>4.2484952420493594</c:v>
                </c:pt>
                <c:pt idx="137">
                  <c:v>4.290459441148391</c:v>
                </c:pt>
                <c:pt idx="138">
                  <c:v>4.3174881135363101</c:v>
                </c:pt>
                <c:pt idx="139">
                  <c:v>4.3174881135363101</c:v>
                </c:pt>
                <c:pt idx="140">
                  <c:v>4.3174881135363101</c:v>
                </c:pt>
                <c:pt idx="141">
                  <c:v>4.3438054218536841</c:v>
                </c:pt>
                <c:pt idx="142">
                  <c:v>4.3820266346738812</c:v>
                </c:pt>
                <c:pt idx="143">
                  <c:v>4.3820266346738812</c:v>
                </c:pt>
                <c:pt idx="144">
                  <c:v>4.3820266346738812</c:v>
                </c:pt>
                <c:pt idx="145">
                  <c:v>4.499809670330265</c:v>
                </c:pt>
                <c:pt idx="146">
                  <c:v>4.499809670330265</c:v>
                </c:pt>
                <c:pt idx="147">
                  <c:v>4.499809670330265</c:v>
                </c:pt>
                <c:pt idx="148">
                  <c:v>4.6051701859880918</c:v>
                </c:pt>
                <c:pt idx="149">
                  <c:v>4.6051701859880918</c:v>
                </c:pt>
                <c:pt idx="150">
                  <c:v>4.6051701859880918</c:v>
                </c:pt>
                <c:pt idx="151">
                  <c:v>4.6051701859880918</c:v>
                </c:pt>
                <c:pt idx="152">
                  <c:v>4.6051701859880918</c:v>
                </c:pt>
                <c:pt idx="153">
                  <c:v>4.6051701859880918</c:v>
                </c:pt>
                <c:pt idx="154">
                  <c:v>4.6051701859880918</c:v>
                </c:pt>
                <c:pt idx="155">
                  <c:v>4.6051701859880918</c:v>
                </c:pt>
                <c:pt idx="156">
                  <c:v>4.6051701859880918</c:v>
                </c:pt>
                <c:pt idx="157">
                  <c:v>4.6051701859880918</c:v>
                </c:pt>
                <c:pt idx="158">
                  <c:v>4.6051701859880918</c:v>
                </c:pt>
                <c:pt idx="159">
                  <c:v>4.6051701859880918</c:v>
                </c:pt>
                <c:pt idx="160">
                  <c:v>4.6051701859880918</c:v>
                </c:pt>
                <c:pt idx="161">
                  <c:v>4.6051701859880918</c:v>
                </c:pt>
                <c:pt idx="162">
                  <c:v>4.6051701859880918</c:v>
                </c:pt>
                <c:pt idx="163">
                  <c:v>4.6051701859880918</c:v>
                </c:pt>
                <c:pt idx="164">
                  <c:v>4.6051701859880918</c:v>
                </c:pt>
                <c:pt idx="165">
                  <c:v>4.6051701859880918</c:v>
                </c:pt>
                <c:pt idx="166">
                  <c:v>4.6051701859880918</c:v>
                </c:pt>
                <c:pt idx="167">
                  <c:v>4.6051701859880918</c:v>
                </c:pt>
                <c:pt idx="168">
                  <c:v>4.6051701859880918</c:v>
                </c:pt>
                <c:pt idx="169">
                  <c:v>4.6051701859880918</c:v>
                </c:pt>
                <c:pt idx="170">
                  <c:v>4.6051701859880918</c:v>
                </c:pt>
                <c:pt idx="171">
                  <c:v>4.6051701859880918</c:v>
                </c:pt>
                <c:pt idx="172">
                  <c:v>4.6051701859880918</c:v>
                </c:pt>
                <c:pt idx="173">
                  <c:v>4.6051701859880918</c:v>
                </c:pt>
                <c:pt idx="174">
                  <c:v>4.6051701859880918</c:v>
                </c:pt>
                <c:pt idx="175">
                  <c:v>4.6051701859880918</c:v>
                </c:pt>
                <c:pt idx="176">
                  <c:v>4.6051701859880918</c:v>
                </c:pt>
                <c:pt idx="177">
                  <c:v>4.6051701859880918</c:v>
                </c:pt>
                <c:pt idx="178">
                  <c:v>4.6051701859880918</c:v>
                </c:pt>
                <c:pt idx="179">
                  <c:v>4.6051701859880918</c:v>
                </c:pt>
                <c:pt idx="180">
                  <c:v>4.6051701859880918</c:v>
                </c:pt>
                <c:pt idx="181">
                  <c:v>4.6051701859880918</c:v>
                </c:pt>
                <c:pt idx="182">
                  <c:v>4.6051701859880918</c:v>
                </c:pt>
                <c:pt idx="183">
                  <c:v>4.7004803657924166</c:v>
                </c:pt>
                <c:pt idx="184">
                  <c:v>4.7004803657924166</c:v>
                </c:pt>
                <c:pt idx="185">
                  <c:v>4.7004803657924166</c:v>
                </c:pt>
                <c:pt idx="186">
                  <c:v>4.8283137373023015</c:v>
                </c:pt>
                <c:pt idx="187">
                  <c:v>4.8675344504555822</c:v>
                </c:pt>
                <c:pt idx="188">
                  <c:v>4.9416424226093039</c:v>
                </c:pt>
                <c:pt idx="189">
                  <c:v>5.0106352940962555</c:v>
                </c:pt>
                <c:pt idx="190">
                  <c:v>5.0106352940962555</c:v>
                </c:pt>
                <c:pt idx="191">
                  <c:v>5.0106352940962555</c:v>
                </c:pt>
                <c:pt idx="192">
                  <c:v>5.0106352940962555</c:v>
                </c:pt>
                <c:pt idx="193">
                  <c:v>5.0106352940962555</c:v>
                </c:pt>
                <c:pt idx="194">
                  <c:v>5.0106352940962555</c:v>
                </c:pt>
                <c:pt idx="195">
                  <c:v>5.0106352940962555</c:v>
                </c:pt>
                <c:pt idx="196">
                  <c:v>5.0106352940962555</c:v>
                </c:pt>
                <c:pt idx="197">
                  <c:v>5.0106352940962555</c:v>
                </c:pt>
                <c:pt idx="198">
                  <c:v>5.0106352940962555</c:v>
                </c:pt>
                <c:pt idx="199">
                  <c:v>5.0106352940962555</c:v>
                </c:pt>
                <c:pt idx="200">
                  <c:v>5.0751738152338266</c:v>
                </c:pt>
                <c:pt idx="201">
                  <c:v>5.1761497325738288</c:v>
                </c:pt>
                <c:pt idx="202">
                  <c:v>5.1929568508902104</c:v>
                </c:pt>
                <c:pt idx="203">
                  <c:v>5.2983173665480363</c:v>
                </c:pt>
                <c:pt idx="204">
                  <c:v>5.2983173665480363</c:v>
                </c:pt>
                <c:pt idx="205">
                  <c:v>5.2983173665480363</c:v>
                </c:pt>
                <c:pt idx="206">
                  <c:v>5.2983173665480363</c:v>
                </c:pt>
                <c:pt idx="207">
                  <c:v>5.2983173665480363</c:v>
                </c:pt>
                <c:pt idx="208">
                  <c:v>5.2983173665480363</c:v>
                </c:pt>
                <c:pt idx="209">
                  <c:v>5.2983173665480363</c:v>
                </c:pt>
                <c:pt idx="210">
                  <c:v>5.2983173665480363</c:v>
                </c:pt>
                <c:pt idx="211">
                  <c:v>5.2983173665480363</c:v>
                </c:pt>
                <c:pt idx="212">
                  <c:v>5.2983173665480363</c:v>
                </c:pt>
                <c:pt idx="213">
                  <c:v>5.2983173665480363</c:v>
                </c:pt>
                <c:pt idx="214">
                  <c:v>5.2983173665480363</c:v>
                </c:pt>
                <c:pt idx="215">
                  <c:v>5.2983173665480363</c:v>
                </c:pt>
                <c:pt idx="216">
                  <c:v>5.2983173665480363</c:v>
                </c:pt>
                <c:pt idx="217">
                  <c:v>5.3471075307174685</c:v>
                </c:pt>
                <c:pt idx="218">
                  <c:v>5.521460917862246</c:v>
                </c:pt>
                <c:pt idx="219">
                  <c:v>5.521460917862246</c:v>
                </c:pt>
                <c:pt idx="220">
                  <c:v>5.521460917862246</c:v>
                </c:pt>
                <c:pt idx="221">
                  <c:v>5.6167710976665717</c:v>
                </c:pt>
                <c:pt idx="222">
                  <c:v>5.7037824746562009</c:v>
                </c:pt>
                <c:pt idx="223">
                  <c:v>5.7037824746562009</c:v>
                </c:pt>
                <c:pt idx="224">
                  <c:v>5.7037824746562009</c:v>
                </c:pt>
                <c:pt idx="225">
                  <c:v>5.7037824746562009</c:v>
                </c:pt>
                <c:pt idx="226">
                  <c:v>5.7037824746562009</c:v>
                </c:pt>
                <c:pt idx="227">
                  <c:v>5.7037824746562009</c:v>
                </c:pt>
                <c:pt idx="228">
                  <c:v>5.7037824746562009</c:v>
                </c:pt>
                <c:pt idx="229">
                  <c:v>5.7037824746562009</c:v>
                </c:pt>
                <c:pt idx="230">
                  <c:v>5.8081424899804439</c:v>
                </c:pt>
                <c:pt idx="231">
                  <c:v>5.857933154483459</c:v>
                </c:pt>
                <c:pt idx="232">
                  <c:v>5.9914645471079817</c:v>
                </c:pt>
                <c:pt idx="233">
                  <c:v>5.9914645471079817</c:v>
                </c:pt>
                <c:pt idx="234">
                  <c:v>5.9914645471079817</c:v>
                </c:pt>
                <c:pt idx="235">
                  <c:v>6.0867747269123065</c:v>
                </c:pt>
                <c:pt idx="236">
                  <c:v>6.0867747269123065</c:v>
                </c:pt>
                <c:pt idx="237">
                  <c:v>6.0867747269123065</c:v>
                </c:pt>
                <c:pt idx="238">
                  <c:v>6.0867747269123065</c:v>
                </c:pt>
                <c:pt idx="239">
                  <c:v>6.0867747269123065</c:v>
                </c:pt>
                <c:pt idx="240">
                  <c:v>6.0867747269123065</c:v>
                </c:pt>
                <c:pt idx="241">
                  <c:v>6.0867747269123065</c:v>
                </c:pt>
                <c:pt idx="242">
                  <c:v>6.2146080984221914</c:v>
                </c:pt>
                <c:pt idx="243">
                  <c:v>6.2146080984221914</c:v>
                </c:pt>
                <c:pt idx="244">
                  <c:v>6.2146080984221914</c:v>
                </c:pt>
                <c:pt idx="245">
                  <c:v>6.2146080984221914</c:v>
                </c:pt>
                <c:pt idx="246">
                  <c:v>6.2146080984221914</c:v>
                </c:pt>
                <c:pt idx="247">
                  <c:v>6.2146080984221914</c:v>
                </c:pt>
                <c:pt idx="248">
                  <c:v>6.3969296552161463</c:v>
                </c:pt>
                <c:pt idx="249">
                  <c:v>6.5567783561580422</c:v>
                </c:pt>
                <c:pt idx="250">
                  <c:v>6.6846117276679271</c:v>
                </c:pt>
                <c:pt idx="251">
                  <c:v>6.6846117276679271</c:v>
                </c:pt>
                <c:pt idx="252">
                  <c:v>6.7799219074722519</c:v>
                </c:pt>
                <c:pt idx="253">
                  <c:v>6.7799219074722519</c:v>
                </c:pt>
                <c:pt idx="254">
                  <c:v>6.7799219074722519</c:v>
                </c:pt>
                <c:pt idx="255">
                  <c:v>6.7799219074722519</c:v>
                </c:pt>
                <c:pt idx="256">
                  <c:v>6.7799219074722519</c:v>
                </c:pt>
                <c:pt idx="257">
                  <c:v>7.1853870155804165</c:v>
                </c:pt>
                <c:pt idx="258">
                  <c:v>7.1853870155804165</c:v>
                </c:pt>
                <c:pt idx="259">
                  <c:v>7.1853870155804165</c:v>
                </c:pt>
                <c:pt idx="260">
                  <c:v>7.1853870155804165</c:v>
                </c:pt>
                <c:pt idx="261">
                  <c:v>7.1853870155804165</c:v>
                </c:pt>
              </c:numCache>
            </c:numRef>
          </c:yVal>
          <c:smooth val="0"/>
          <c:extLst xmlns:c16r2="http://schemas.microsoft.com/office/drawing/2015/06/chart">
            <c:ext xmlns:c16="http://schemas.microsoft.com/office/drawing/2014/chart" uri="{C3380CC4-5D6E-409C-BE32-E72D297353CC}">
              <c16:uniqueId val="{00000000-46C1-4D88-8609-6AA083A14279}"/>
            </c:ext>
          </c:extLst>
        </c:ser>
        <c:dLbls>
          <c:showLegendKey val="0"/>
          <c:showVal val="0"/>
          <c:showCatName val="0"/>
          <c:showSerName val="0"/>
          <c:showPercent val="0"/>
          <c:showBubbleSize val="0"/>
        </c:dLbls>
        <c:axId val="165620352"/>
        <c:axId val="165651584"/>
      </c:scatterChart>
      <c:valAx>
        <c:axId val="165620352"/>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056603773585006"/>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651584"/>
        <c:crosses val="autoZero"/>
        <c:crossBetween val="midCat"/>
      </c:valAx>
      <c:valAx>
        <c:axId val="1656515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5513866231647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620352"/>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F1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6.3263041065482792E-2"/>
          <c:y val="0.13974986405655249"/>
          <c:w val="0.9178690344062157"/>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'F1 - EF1 Analysis'!$F$12:$F$310</c:f>
              <c:numCache>
                <c:formatCode>General</c:formatCode>
                <c:ptCount val="299"/>
                <c:pt idx="0">
                  <c:v>-2.8929192678734181</c:v>
                </c:pt>
                <c:pt idx="1">
                  <c:v>-2.528644881189821</c:v>
                </c:pt>
                <c:pt idx="2">
                  <c:v>-2.3438866646343475</c:v>
                </c:pt>
                <c:pt idx="3">
                  <c:v>-2.2156197184696946</c:v>
                </c:pt>
                <c:pt idx="4">
                  <c:v>-2.1159254910219962</c:v>
                </c:pt>
                <c:pt idx="5">
                  <c:v>-2.0336714474073072</c:v>
                </c:pt>
                <c:pt idx="6">
                  <c:v>-1.9632397668732706</c:v>
                </c:pt>
                <c:pt idx="7">
                  <c:v>-1.9013826653257466</c:v>
                </c:pt>
                <c:pt idx="8">
                  <c:v>-1.8460462092017935</c:v>
                </c:pt>
                <c:pt idx="9">
                  <c:v>-1.7958455512600473</c:v>
                </c:pt>
                <c:pt idx="10">
                  <c:v>-1.7498009207740848</c:v>
                </c:pt>
                <c:pt idx="11">
                  <c:v>-1.7071926025024666</c:v>
                </c:pt>
                <c:pt idx="12">
                  <c:v>-1.6674757254802024</c:v>
                </c:pt>
                <c:pt idx="13">
                  <c:v>-1.6302274466655646</c:v>
                </c:pt>
                <c:pt idx="14">
                  <c:v>-1.5951127585631362</c:v>
                </c:pt>
                <c:pt idx="15">
                  <c:v>-1.5618615392556825</c:v>
                </c:pt>
                <c:pt idx="16">
                  <c:v>-1.5302526710293158</c:v>
                </c:pt>
                <c:pt idx="17">
                  <c:v>-1.5001027595109515</c:v>
                </c:pt>
                <c:pt idx="18">
                  <c:v>-1.4712579371990806</c:v>
                </c:pt>
                <c:pt idx="19">
                  <c:v>-1.4435877889473323</c:v>
                </c:pt>
                <c:pt idx="20">
                  <c:v>-1.4169807706927577</c:v>
                </c:pt>
                <c:pt idx="21">
                  <c:v>-1.3913407002534657</c:v>
                </c:pt>
                <c:pt idx="22">
                  <c:v>-1.3665840316741558</c:v>
                </c:pt>
                <c:pt idx="23">
                  <c:v>-1.3426377114882446</c:v>
                </c:pt>
                <c:pt idx="24">
                  <c:v>-1.3194374734384275</c:v>
                </c:pt>
                <c:pt idx="25">
                  <c:v>-1.2969264679191927</c:v>
                </c:pt>
                <c:pt idx="26">
                  <c:v>-1.2750541500157357</c:v>
                </c:pt>
                <c:pt idx="27">
                  <c:v>-1.2537753695199951</c:v>
                </c:pt>
                <c:pt idx="28">
                  <c:v>-1.2330496202910932</c:v>
                </c:pt>
                <c:pt idx="29">
                  <c:v>-1.2128404164935702</c:v>
                </c:pt>
                <c:pt idx="30">
                  <c:v>-1.1931147707289882</c:v>
                </c:pt>
                <c:pt idx="31">
                  <c:v>-1.1738427546475656</c:v>
                </c:pt>
                <c:pt idx="32">
                  <c:v>-1.1549971268193044</c:v>
                </c:pt>
                <c:pt idx="33">
                  <c:v>-1.136553015831067</c:v>
                </c:pt>
                <c:pt idx="34">
                  <c:v>-1.1184876490213236</c:v>
                </c:pt>
                <c:pt idx="35">
                  <c:v>-1.1007801191566395</c:v>
                </c:pt>
                <c:pt idx="36">
                  <c:v>-1.0834111828304476</c:v>
                </c:pt>
                <c:pt idx="37">
                  <c:v>-1.06636308552545</c:v>
                </c:pt>
                <c:pt idx="38">
                  <c:v>-1.0496194092001805</c:v>
                </c:pt>
                <c:pt idx="39">
                  <c:v>-1.0331649389930071</c:v>
                </c:pt>
                <c:pt idx="40">
                  <c:v>-1.0169855462247854</c:v>
                </c:pt>
                <c:pt idx="41">
                  <c:v>-1.0010680853558858</c:v>
                </c:pt>
                <c:pt idx="42">
                  <c:v>-0.9854003029385211</c:v>
                </c:pt>
                <c:pt idx="43">
                  <c:v>-0.96997075691972645</c:v>
                </c:pt>
                <c:pt idx="44">
                  <c:v>-0.95476874490815455</c:v>
                </c:pt>
                <c:pt idx="45">
                  <c:v>-0.93978424023057883</c:v>
                </c:pt>
                <c:pt idx="46">
                  <c:v>-0.92500783477998239</c:v>
                </c:pt>
                <c:pt idx="47">
                  <c:v>-0.91043068780363967</c:v>
                </c:pt>
                <c:pt idx="48">
                  <c:v>-0.89604447990194602</c:v>
                </c:pt>
                <c:pt idx="49">
                  <c:v>-0.88184137161139053</c:v>
                </c:pt>
                <c:pt idx="50">
                  <c:v>-0.86781396603145955</c:v>
                </c:pt>
                <c:pt idx="51">
                  <c:v>-0.85395527502834434</c:v>
                </c:pt>
                <c:pt idx="52">
                  <c:v>-0.84025868861020625</c:v>
                </c:pt>
                <c:pt idx="53">
                  <c:v>-0.82671794712148672</c:v>
                </c:pt>
                <c:pt idx="54">
                  <c:v>-0.81332711594875995</c:v>
                </c:pt>
                <c:pt idx="55">
                  <c:v>-0.80008056246913806</c:v>
                </c:pt>
                <c:pt idx="56">
                  <c:v>-0.78697293500536358</c:v>
                </c:pt>
                <c:pt idx="57">
                  <c:v>-0.7739991435802196</c:v>
                </c:pt>
                <c:pt idx="58">
                  <c:v>-0.76115434228754864</c:v>
                </c:pt>
                <c:pt idx="59">
                  <c:v>-0.74843391311848129</c:v>
                </c:pt>
                <c:pt idx="60">
                  <c:v>-0.7358334511000415</c:v>
                </c:pt>
                <c:pt idx="61">
                  <c:v>-0.72334875061938442</c:v>
                </c:pt>
                <c:pt idx="62">
                  <c:v>-0.7109757928210424</c:v>
                </c:pt>
                <c:pt idx="63">
                  <c:v>-0.69871073397684169</c:v>
                </c:pt>
                <c:pt idx="64">
                  <c:v>-0.68654989473896033</c:v>
                </c:pt>
                <c:pt idx="65">
                  <c:v>-0.67448975019608193</c:v>
                </c:pt>
                <c:pt idx="66">
                  <c:v>-0.66252692066093988</c:v>
                </c:pt>
                <c:pt idx="67">
                  <c:v>-0.65065816312493385</c:v>
                </c:pt>
                <c:pt idx="68">
                  <c:v>-0.63888036332198783</c:v>
                </c:pt>
                <c:pt idx="69">
                  <c:v>-0.62719052834960598</c:v>
                </c:pt>
                <c:pt idx="70">
                  <c:v>-0.61558577980018625</c:v>
                </c:pt>
                <c:pt idx="71">
                  <c:v>-0.60406334736020983</c:v>
                </c:pt>
                <c:pt idx="72">
                  <c:v>-0.59262056283896225</c:v>
                </c:pt>
                <c:pt idx="73">
                  <c:v>-0.58125485459206705</c:v>
                </c:pt>
                <c:pt idx="74">
                  <c:v>-0.56996374230832691</c:v>
                </c:pt>
                <c:pt idx="75">
                  <c:v>-0.55874483213126436</c:v>
                </c:pt>
                <c:pt idx="76">
                  <c:v>-0.54759581208933283</c:v>
                </c:pt>
                <c:pt idx="77">
                  <c:v>-0.53651444781109781</c:v>
                </c:pt>
                <c:pt idx="78">
                  <c:v>-0.5254985785037698</c:v>
                </c:pt>
                <c:pt idx="79">
                  <c:v>-0.51454611317535259</c:v>
                </c:pt>
                <c:pt idx="80">
                  <c:v>-0.50365502708235821</c:v>
                </c:pt>
                <c:pt idx="81">
                  <c:v>-0.49282335838657698</c:v>
                </c:pt>
                <c:pt idx="82">
                  <c:v>-0.48204920500576198</c:v>
                </c:pt>
                <c:pt idx="83">
                  <c:v>-0.47133072164434098</c:v>
                </c:pt>
                <c:pt idx="84">
                  <c:v>-0.46066611699140447</c:v>
                </c:pt>
                <c:pt idx="85">
                  <c:v>-0.45005365107423506</c:v>
                </c:pt>
                <c:pt idx="86">
                  <c:v>-0.43949163275658881</c:v>
                </c:pt>
                <c:pt idx="87">
                  <c:v>-0.42897841737177267</c:v>
                </c:pt>
                <c:pt idx="88">
                  <c:v>-0.41851240448134458</c:v>
                </c:pt>
                <c:pt idx="89">
                  <c:v>-0.40809203575095948</c:v>
                </c:pt>
                <c:pt idx="90">
                  <c:v>-0.39771579293552733</c:v>
                </c:pt>
                <c:pt idx="91">
                  <c:v>-0.38738219596643142</c:v>
                </c:pt>
                <c:pt idx="92">
                  <c:v>-0.37708980113409546</c:v>
                </c:pt>
                <c:pt idx="93">
                  <c:v>-0.36683719935966907</c:v>
                </c:pt>
                <c:pt idx="94">
                  <c:v>-0.35662301455005585</c:v>
                </c:pt>
                <c:pt idx="95">
                  <c:v>-0.3464459020309138</c:v>
                </c:pt>
                <c:pt idx="96">
                  <c:v>-0.33630454705263418</c:v>
                </c:pt>
                <c:pt idx="97">
                  <c:v>-0.32619766336465211</c:v>
                </c:pt>
                <c:pt idx="98">
                  <c:v>-0.31612399185375722</c:v>
                </c:pt>
                <c:pt idx="99">
                  <c:v>-0.30608229924236263</c:v>
                </c:pt>
                <c:pt idx="100">
                  <c:v>-0.29607137684296159</c:v>
                </c:pt>
                <c:pt idx="101">
                  <c:v>-0.28609003936524313</c:v>
                </c:pt>
                <c:pt idx="102">
                  <c:v>-0.27613712377257005</c:v>
                </c:pt>
                <c:pt idx="103">
                  <c:v>-0.26621148818472556</c:v>
                </c:pt>
                <c:pt idx="104">
                  <c:v>-0.25631201082403188</c:v>
                </c:pt>
                <c:pt idx="105">
                  <c:v>-0.24643758900211962</c:v>
                </c:pt>
                <c:pt idx="106">
                  <c:v>-0.23658713814479079</c:v>
                </c:pt>
                <c:pt idx="107">
                  <c:v>-0.22675959085256958</c:v>
                </c:pt>
                <c:pt idx="108">
                  <c:v>-0.21695389599467269</c:v>
                </c:pt>
                <c:pt idx="109">
                  <c:v>-0.20716901783426186</c:v>
                </c:pt>
                <c:pt idx="110">
                  <c:v>-0.19740393518295835</c:v>
                </c:pt>
                <c:pt idx="111">
                  <c:v>-0.18765764058270834</c:v>
                </c:pt>
                <c:pt idx="112">
                  <c:v>-0.17792913951318964</c:v>
                </c:pt>
                <c:pt idx="113">
                  <c:v>-0.16821744962304311</c:v>
                </c:pt>
                <c:pt idx="114">
                  <c:v>-0.15852159998329721</c:v>
                </c:pt>
                <c:pt idx="115">
                  <c:v>-0.14884063036143219</c:v>
                </c:pt>
                <c:pt idx="116">
                  <c:v>-0.13917359051460709</c:v>
                </c:pt>
                <c:pt idx="117">
                  <c:v>-0.12951953950063169</c:v>
                </c:pt>
                <c:pt idx="118">
                  <c:v>-0.11987754500533411</c:v>
                </c:pt>
                <c:pt idx="119">
                  <c:v>-0.11024668268502609</c:v>
                </c:pt>
                <c:pt idx="120">
                  <c:v>-0.1006260355228201</c:v>
                </c:pt>
                <c:pt idx="121">
                  <c:v>-9.1014693197598751E-2</c:v>
                </c:pt>
                <c:pt idx="122">
                  <c:v>-8.1411751464479085E-2</c:v>
                </c:pt>
                <c:pt idx="123">
                  <c:v>-7.1816311545650782E-2</c:v>
                </c:pt>
                <c:pt idx="124">
                  <c:v>-6.2227479530504601E-2</c:v>
                </c:pt>
                <c:pt idx="125">
                  <c:v>-5.2644365783992259E-2</c:v>
                </c:pt>
                <c:pt idx="126">
                  <c:v>-4.3066084362190685E-2</c:v>
                </c:pt>
                <c:pt idx="127">
                  <c:v>-3.3491752434063431E-2</c:v>
                </c:pt>
                <c:pt idx="128">
                  <c:v>-2.3920489708433315E-2</c:v>
                </c:pt>
                <c:pt idx="129">
                  <c:v>-1.4351417865196142E-2</c:v>
                </c:pt>
                <c:pt idx="130">
                  <c:v>-4.7836599898194694E-3</c:v>
                </c:pt>
                <c:pt idx="131">
                  <c:v>4.7836599898194694E-3</c:v>
                </c:pt>
                <c:pt idx="132">
                  <c:v>1.4351417865196279E-2</c:v>
                </c:pt>
                <c:pt idx="133">
                  <c:v>2.3920489708433315E-2</c:v>
                </c:pt>
                <c:pt idx="134">
                  <c:v>3.3491752434063569E-2</c:v>
                </c:pt>
                <c:pt idx="135">
                  <c:v>4.3066084362190685E-2</c:v>
                </c:pt>
                <c:pt idx="136">
                  <c:v>5.2644365783992113E-2</c:v>
                </c:pt>
                <c:pt idx="137">
                  <c:v>6.2227479530504601E-2</c:v>
                </c:pt>
                <c:pt idx="138">
                  <c:v>7.1816311545650643E-2</c:v>
                </c:pt>
                <c:pt idx="139">
                  <c:v>8.1411751464479085E-2</c:v>
                </c:pt>
                <c:pt idx="140">
                  <c:v>9.1014693197598751E-2</c:v>
                </c:pt>
                <c:pt idx="141">
                  <c:v>0.10062603552282023</c:v>
                </c:pt>
                <c:pt idx="142">
                  <c:v>0.11024668268502609</c:v>
                </c:pt>
                <c:pt idx="143">
                  <c:v>0.11987754500533426</c:v>
                </c:pt>
                <c:pt idx="144">
                  <c:v>0.12951953950063169</c:v>
                </c:pt>
                <c:pt idx="145">
                  <c:v>0.13917359051460698</c:v>
                </c:pt>
                <c:pt idx="146">
                  <c:v>0.14884063036143219</c:v>
                </c:pt>
                <c:pt idx="147">
                  <c:v>0.15852159998329707</c:v>
                </c:pt>
                <c:pt idx="148">
                  <c:v>0.16821744962304327</c:v>
                </c:pt>
                <c:pt idx="149">
                  <c:v>0.17792913951318964</c:v>
                </c:pt>
                <c:pt idx="150">
                  <c:v>0.18765764058270851</c:v>
                </c:pt>
                <c:pt idx="151">
                  <c:v>0.19740393518295835</c:v>
                </c:pt>
                <c:pt idx="152">
                  <c:v>0.207169017834262</c:v>
                </c:pt>
                <c:pt idx="153">
                  <c:v>0.21695389599467269</c:v>
                </c:pt>
                <c:pt idx="154">
                  <c:v>0.22675959085256941</c:v>
                </c:pt>
                <c:pt idx="155">
                  <c:v>0.23658713814479079</c:v>
                </c:pt>
                <c:pt idx="156">
                  <c:v>0.24643758900211943</c:v>
                </c:pt>
                <c:pt idx="157">
                  <c:v>0.25631201082403193</c:v>
                </c:pt>
                <c:pt idx="158">
                  <c:v>0.26621148818472556</c:v>
                </c:pt>
                <c:pt idx="159">
                  <c:v>0.27613712377257016</c:v>
                </c:pt>
                <c:pt idx="160">
                  <c:v>0.28609003936524313</c:v>
                </c:pt>
                <c:pt idx="161">
                  <c:v>0.29607137684296164</c:v>
                </c:pt>
                <c:pt idx="162">
                  <c:v>0.30608229924236263</c:v>
                </c:pt>
                <c:pt idx="163">
                  <c:v>0.31612399185375711</c:v>
                </c:pt>
                <c:pt idx="164">
                  <c:v>0.32619766336465211</c:v>
                </c:pt>
                <c:pt idx="165">
                  <c:v>0.33630454705263402</c:v>
                </c:pt>
                <c:pt idx="166">
                  <c:v>0.34644590203091391</c:v>
                </c:pt>
                <c:pt idx="167">
                  <c:v>0.35662301455005585</c:v>
                </c:pt>
                <c:pt idx="168">
                  <c:v>0.36683719935966919</c:v>
                </c:pt>
                <c:pt idx="169">
                  <c:v>0.37708980113409546</c:v>
                </c:pt>
                <c:pt idx="170">
                  <c:v>0.38738219596643125</c:v>
                </c:pt>
                <c:pt idx="171">
                  <c:v>0.39771579293552733</c:v>
                </c:pt>
                <c:pt idx="172">
                  <c:v>0.40809203575095937</c:v>
                </c:pt>
                <c:pt idx="173">
                  <c:v>0.41851240448134458</c:v>
                </c:pt>
                <c:pt idx="174">
                  <c:v>0.4289784173717725</c:v>
                </c:pt>
                <c:pt idx="175">
                  <c:v>0.43949163275658892</c:v>
                </c:pt>
                <c:pt idx="176">
                  <c:v>0.45005365107423506</c:v>
                </c:pt>
                <c:pt idx="177">
                  <c:v>0.46066611699140436</c:v>
                </c:pt>
                <c:pt idx="178">
                  <c:v>0.47133072164434098</c:v>
                </c:pt>
                <c:pt idx="179">
                  <c:v>0.48204920500576165</c:v>
                </c:pt>
                <c:pt idx="180">
                  <c:v>0.49282335838657698</c:v>
                </c:pt>
                <c:pt idx="181">
                  <c:v>0.50365502708235799</c:v>
                </c:pt>
                <c:pt idx="182">
                  <c:v>0.51454611317535259</c:v>
                </c:pt>
                <c:pt idx="183">
                  <c:v>0.5254985785037698</c:v>
                </c:pt>
                <c:pt idx="184">
                  <c:v>0.53651444781109792</c:v>
                </c:pt>
                <c:pt idx="185">
                  <c:v>0.54759581208933283</c:v>
                </c:pt>
                <c:pt idx="186">
                  <c:v>0.55874483213126447</c:v>
                </c:pt>
                <c:pt idx="187">
                  <c:v>0.56996374230832691</c:v>
                </c:pt>
                <c:pt idx="188">
                  <c:v>0.58125485459206683</c:v>
                </c:pt>
                <c:pt idx="189">
                  <c:v>0.59262056283896225</c:v>
                </c:pt>
                <c:pt idx="190">
                  <c:v>0.60406334736020972</c:v>
                </c:pt>
                <c:pt idx="191">
                  <c:v>0.61558577980018625</c:v>
                </c:pt>
                <c:pt idx="192">
                  <c:v>0.62719052834960598</c:v>
                </c:pt>
                <c:pt idx="193">
                  <c:v>0.63888036332198828</c:v>
                </c:pt>
                <c:pt idx="194">
                  <c:v>0.65065816312493385</c:v>
                </c:pt>
                <c:pt idx="195">
                  <c:v>0.66252692066094021</c:v>
                </c:pt>
                <c:pt idx="196">
                  <c:v>0.67448975019608193</c:v>
                </c:pt>
                <c:pt idx="197">
                  <c:v>0.68654989473896011</c:v>
                </c:pt>
                <c:pt idx="198">
                  <c:v>0.69871073397684169</c:v>
                </c:pt>
                <c:pt idx="199">
                  <c:v>0.7109757928210424</c:v>
                </c:pt>
                <c:pt idx="200">
                  <c:v>0.72334875061938442</c:v>
                </c:pt>
                <c:pt idx="201">
                  <c:v>0.7358334511000415</c:v>
                </c:pt>
                <c:pt idx="202">
                  <c:v>0.74843391311848129</c:v>
                </c:pt>
                <c:pt idx="203">
                  <c:v>0.76115434228754864</c:v>
                </c:pt>
                <c:pt idx="204">
                  <c:v>0.77399914358022004</c:v>
                </c:pt>
                <c:pt idx="205">
                  <c:v>0.78697293500536358</c:v>
                </c:pt>
                <c:pt idx="206">
                  <c:v>0.80008056246913695</c:v>
                </c:pt>
                <c:pt idx="207">
                  <c:v>0.81332711594875995</c:v>
                </c:pt>
                <c:pt idx="208">
                  <c:v>0.82671794712148672</c:v>
                </c:pt>
                <c:pt idx="209">
                  <c:v>0.84025868861020625</c:v>
                </c:pt>
                <c:pt idx="210">
                  <c:v>0.85395527502834434</c:v>
                </c:pt>
                <c:pt idx="211">
                  <c:v>0.86781396603145955</c:v>
                </c:pt>
                <c:pt idx="212">
                  <c:v>0.88184137161139053</c:v>
                </c:pt>
                <c:pt idx="213">
                  <c:v>0.8960444799019468</c:v>
                </c:pt>
                <c:pt idx="214">
                  <c:v>0.91043068780363967</c:v>
                </c:pt>
                <c:pt idx="215">
                  <c:v>0.92500783477998383</c:v>
                </c:pt>
                <c:pt idx="216">
                  <c:v>0.93978424023057883</c:v>
                </c:pt>
                <c:pt idx="217">
                  <c:v>0.95476874490815455</c:v>
                </c:pt>
                <c:pt idx="218">
                  <c:v>0.96997075691972645</c:v>
                </c:pt>
                <c:pt idx="219">
                  <c:v>0.9854003029385211</c:v>
                </c:pt>
                <c:pt idx="220">
                  <c:v>1.0010680853558858</c:v>
                </c:pt>
                <c:pt idx="221">
                  <c:v>1.0169855462247854</c:v>
                </c:pt>
                <c:pt idx="222">
                  <c:v>1.0331649389930126</c:v>
                </c:pt>
                <c:pt idx="223">
                  <c:v>1.0496194092001805</c:v>
                </c:pt>
                <c:pt idx="224">
                  <c:v>1.0663630855254498</c:v>
                </c:pt>
                <c:pt idx="225">
                  <c:v>1.0834111828304476</c:v>
                </c:pt>
                <c:pt idx="226">
                  <c:v>1.1007801191566395</c:v>
                </c:pt>
                <c:pt idx="227">
                  <c:v>1.1184876490213236</c:v>
                </c:pt>
                <c:pt idx="228">
                  <c:v>1.136553015831067</c:v>
                </c:pt>
                <c:pt idx="229">
                  <c:v>1.1549971268193051</c:v>
                </c:pt>
                <c:pt idx="230">
                  <c:v>1.1738427546475656</c:v>
                </c:pt>
                <c:pt idx="231">
                  <c:v>1.1931147707289882</c:v>
                </c:pt>
                <c:pt idx="232">
                  <c:v>1.2128404164935702</c:v>
                </c:pt>
                <c:pt idx="233">
                  <c:v>1.2330496202910921</c:v>
                </c:pt>
                <c:pt idx="234">
                  <c:v>1.2537753695199951</c:v>
                </c:pt>
                <c:pt idx="235">
                  <c:v>1.2750541500157357</c:v>
                </c:pt>
                <c:pt idx="236">
                  <c:v>1.2969264679191927</c:v>
                </c:pt>
                <c:pt idx="237">
                  <c:v>1.3194374734384275</c:v>
                </c:pt>
                <c:pt idx="238">
                  <c:v>1.3426377114882446</c:v>
                </c:pt>
                <c:pt idx="239">
                  <c:v>1.3665840316741558</c:v>
                </c:pt>
                <c:pt idx="240">
                  <c:v>1.3913407002534657</c:v>
                </c:pt>
                <c:pt idx="241">
                  <c:v>1.4169807706927577</c:v>
                </c:pt>
                <c:pt idx="242">
                  <c:v>1.4435877889473323</c:v>
                </c:pt>
                <c:pt idx="243">
                  <c:v>1.4712579371990813</c:v>
                </c:pt>
                <c:pt idx="244">
                  <c:v>1.5001027595109515</c:v>
                </c:pt>
                <c:pt idx="245">
                  <c:v>1.5302526710293167</c:v>
                </c:pt>
                <c:pt idx="246">
                  <c:v>1.5618615392556825</c:v>
                </c:pt>
                <c:pt idx="247">
                  <c:v>1.5951127585631368</c:v>
                </c:pt>
                <c:pt idx="248">
                  <c:v>1.6302274466655646</c:v>
                </c:pt>
                <c:pt idx="249">
                  <c:v>1.6674757254802022</c:v>
                </c:pt>
                <c:pt idx="250">
                  <c:v>1.7071926025024666</c:v>
                </c:pt>
                <c:pt idx="251">
                  <c:v>1.7498009207740837</c:v>
                </c:pt>
                <c:pt idx="252">
                  <c:v>1.7958455512600477</c:v>
                </c:pt>
                <c:pt idx="253">
                  <c:v>1.8460462092017929</c:v>
                </c:pt>
                <c:pt idx="254">
                  <c:v>1.9013826653257473</c:v>
                </c:pt>
                <c:pt idx="255">
                  <c:v>1.9632397668732697</c:v>
                </c:pt>
                <c:pt idx="256">
                  <c:v>2.0336714474073081</c:v>
                </c:pt>
                <c:pt idx="257">
                  <c:v>2.1159254910219962</c:v>
                </c:pt>
                <c:pt idx="258">
                  <c:v>2.2156197184696933</c:v>
                </c:pt>
                <c:pt idx="259">
                  <c:v>2.3438866646343479</c:v>
                </c:pt>
                <c:pt idx="260">
                  <c:v>2.5286448811898179</c:v>
                </c:pt>
                <c:pt idx="261">
                  <c:v>2.8929192678734226</c:v>
                </c:pt>
              </c:numCache>
            </c:numRef>
          </c:xVal>
          <c:yVal>
            <c:numRef>
              <c:f>'F1 - EF1 Analysis'!$H$12:$H$310</c:f>
              <c:numCache>
                <c:formatCode>General</c:formatCode>
                <c:ptCount val="299"/>
                <c:pt idx="0">
                  <c:v>-2.4079456086518722</c:v>
                </c:pt>
                <c:pt idx="1">
                  <c:v>-2.3025850929940455</c:v>
                </c:pt>
                <c:pt idx="2">
                  <c:v>-2.3025850929940455</c:v>
                </c:pt>
                <c:pt idx="3">
                  <c:v>-2.3025850929940455</c:v>
                </c:pt>
                <c:pt idx="4">
                  <c:v>-2.3025850929940455</c:v>
                </c:pt>
                <c:pt idx="5">
                  <c:v>-2.3025850929940455</c:v>
                </c:pt>
                <c:pt idx="6">
                  <c:v>-2.3025850929940455</c:v>
                </c:pt>
                <c:pt idx="7">
                  <c:v>-2.3025850929940455</c:v>
                </c:pt>
                <c:pt idx="8">
                  <c:v>-2.3025850929940455</c:v>
                </c:pt>
                <c:pt idx="9">
                  <c:v>-2.3025850929940455</c:v>
                </c:pt>
                <c:pt idx="10">
                  <c:v>-2.3025850929940455</c:v>
                </c:pt>
                <c:pt idx="11">
                  <c:v>-2.3025850929940455</c:v>
                </c:pt>
                <c:pt idx="12">
                  <c:v>-2.3025850929940455</c:v>
                </c:pt>
                <c:pt idx="13">
                  <c:v>-2.3025850929940455</c:v>
                </c:pt>
                <c:pt idx="14">
                  <c:v>-2.3025850929940455</c:v>
                </c:pt>
                <c:pt idx="15">
                  <c:v>-2.3025850929940455</c:v>
                </c:pt>
                <c:pt idx="16">
                  <c:v>-2.3025850929940455</c:v>
                </c:pt>
                <c:pt idx="17">
                  <c:v>-2.3025850929940455</c:v>
                </c:pt>
                <c:pt idx="18">
                  <c:v>-2.3025850929940455</c:v>
                </c:pt>
                <c:pt idx="19">
                  <c:v>-2.3025850929940455</c:v>
                </c:pt>
                <c:pt idx="20">
                  <c:v>-2.3025850929940455</c:v>
                </c:pt>
                <c:pt idx="21">
                  <c:v>-2.3025850929940455</c:v>
                </c:pt>
                <c:pt idx="22">
                  <c:v>-2.3025850929940455</c:v>
                </c:pt>
                <c:pt idx="23">
                  <c:v>-2.3025850929940455</c:v>
                </c:pt>
                <c:pt idx="24">
                  <c:v>-2.3025850929940455</c:v>
                </c:pt>
                <c:pt idx="25">
                  <c:v>-2.3025850929940455</c:v>
                </c:pt>
                <c:pt idx="26">
                  <c:v>-2.3025850929940455</c:v>
                </c:pt>
                <c:pt idx="27">
                  <c:v>-2.3025850929940455</c:v>
                </c:pt>
                <c:pt idx="28">
                  <c:v>-2.3025850929940455</c:v>
                </c:pt>
                <c:pt idx="29">
                  <c:v>-2.3025850929940455</c:v>
                </c:pt>
                <c:pt idx="30">
                  <c:v>-2.3025850929940455</c:v>
                </c:pt>
                <c:pt idx="31">
                  <c:v>-2.3025850929940455</c:v>
                </c:pt>
                <c:pt idx="32">
                  <c:v>-2.3025850929940455</c:v>
                </c:pt>
                <c:pt idx="33">
                  <c:v>-2.3025850929940455</c:v>
                </c:pt>
                <c:pt idx="34">
                  <c:v>-2.3025850929940455</c:v>
                </c:pt>
                <c:pt idx="35">
                  <c:v>-2.3025850929940455</c:v>
                </c:pt>
                <c:pt idx="36">
                  <c:v>-2.3025850929940455</c:v>
                </c:pt>
                <c:pt idx="37">
                  <c:v>-2.3025850929940455</c:v>
                </c:pt>
                <c:pt idx="38">
                  <c:v>-2.3025850929940455</c:v>
                </c:pt>
                <c:pt idx="39">
                  <c:v>-2.3025850929940455</c:v>
                </c:pt>
                <c:pt idx="40">
                  <c:v>-2.3025850929940455</c:v>
                </c:pt>
                <c:pt idx="41">
                  <c:v>-2.3025850929940455</c:v>
                </c:pt>
                <c:pt idx="42">
                  <c:v>-2.3025850929940455</c:v>
                </c:pt>
                <c:pt idx="43">
                  <c:v>-1.6094379124341003</c:v>
                </c:pt>
                <c:pt idx="44">
                  <c:v>-1.6094379124341003</c:v>
                </c:pt>
                <c:pt idx="45">
                  <c:v>-1.6094379124341003</c:v>
                </c:pt>
                <c:pt idx="46">
                  <c:v>-1.6094379124341003</c:v>
                </c:pt>
                <c:pt idx="47">
                  <c:v>-1.3862943611198906</c:v>
                </c:pt>
                <c:pt idx="48">
                  <c:v>-1.2039728043259361</c:v>
                </c:pt>
                <c:pt idx="49">
                  <c:v>-1.2039728043259361</c:v>
                </c:pt>
                <c:pt idx="50">
                  <c:v>-1.2039728043259361</c:v>
                </c:pt>
                <c:pt idx="51">
                  <c:v>-1.2039728043259361</c:v>
                </c:pt>
                <c:pt idx="52">
                  <c:v>-1.2039728043259361</c:v>
                </c:pt>
                <c:pt idx="53">
                  <c:v>-1.2039728043259361</c:v>
                </c:pt>
                <c:pt idx="54">
                  <c:v>-1.2039728043259361</c:v>
                </c:pt>
                <c:pt idx="55">
                  <c:v>-1.2039728043259361</c:v>
                </c:pt>
                <c:pt idx="56">
                  <c:v>-1.2039728043259361</c:v>
                </c:pt>
                <c:pt idx="57">
                  <c:v>-1.2039728043259361</c:v>
                </c:pt>
                <c:pt idx="58">
                  <c:v>-1.2039728043259361</c:v>
                </c:pt>
                <c:pt idx="59">
                  <c:v>-0.916290731874155</c:v>
                </c:pt>
                <c:pt idx="60">
                  <c:v>-0.916290731874155</c:v>
                </c:pt>
                <c:pt idx="61">
                  <c:v>-0.916290731874155</c:v>
                </c:pt>
                <c:pt idx="62">
                  <c:v>-0.916290731874155</c:v>
                </c:pt>
                <c:pt idx="63">
                  <c:v>-0.82098055206983023</c:v>
                </c:pt>
                <c:pt idx="64">
                  <c:v>-0.69314718055994529</c:v>
                </c:pt>
                <c:pt idx="65">
                  <c:v>-0.69314718055994529</c:v>
                </c:pt>
                <c:pt idx="66">
                  <c:v>-0.69314718055994529</c:v>
                </c:pt>
                <c:pt idx="67">
                  <c:v>-0.69314718055994529</c:v>
                </c:pt>
                <c:pt idx="68">
                  <c:v>-0.69314718055994529</c:v>
                </c:pt>
                <c:pt idx="69">
                  <c:v>-0.69314718055994529</c:v>
                </c:pt>
                <c:pt idx="70">
                  <c:v>-0.69314718055994529</c:v>
                </c:pt>
                <c:pt idx="71">
                  <c:v>-0.69314718055994529</c:v>
                </c:pt>
                <c:pt idx="72">
                  <c:v>-0.69314718055994529</c:v>
                </c:pt>
                <c:pt idx="73">
                  <c:v>-0.69314718055994529</c:v>
                </c:pt>
                <c:pt idx="74">
                  <c:v>-0.69314718055994529</c:v>
                </c:pt>
                <c:pt idx="75">
                  <c:v>-0.69314718055994529</c:v>
                </c:pt>
                <c:pt idx="76">
                  <c:v>-0.69314718055994529</c:v>
                </c:pt>
                <c:pt idx="77">
                  <c:v>-0.69314718055994529</c:v>
                </c:pt>
                <c:pt idx="78">
                  <c:v>-0.69314718055994529</c:v>
                </c:pt>
                <c:pt idx="79">
                  <c:v>-0.69314718055994529</c:v>
                </c:pt>
                <c:pt idx="80">
                  <c:v>-0.69314718055994529</c:v>
                </c:pt>
                <c:pt idx="81">
                  <c:v>-0.51082562376599072</c:v>
                </c:pt>
                <c:pt idx="82">
                  <c:v>-0.51082562376599072</c:v>
                </c:pt>
                <c:pt idx="83">
                  <c:v>-0.35667494393873245</c:v>
                </c:pt>
                <c:pt idx="84">
                  <c:v>-0.30110509278392161</c:v>
                </c:pt>
                <c:pt idx="85">
                  <c:v>-0.22314355131420971</c:v>
                </c:pt>
                <c:pt idx="86">
                  <c:v>-0.15082288973458366</c:v>
                </c:pt>
                <c:pt idx="87">
                  <c:v>-0.13926206733350766</c:v>
                </c:pt>
                <c:pt idx="88">
                  <c:v>-0.10536051565782628</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9.950330853168092E-3</c:v>
                </c:pt>
                <c:pt idx="119">
                  <c:v>4.8790164169432049E-2</c:v>
                </c:pt>
                <c:pt idx="120">
                  <c:v>6.7658648473814864E-2</c:v>
                </c:pt>
                <c:pt idx="121">
                  <c:v>9.5310179804324935E-2</c:v>
                </c:pt>
                <c:pt idx="122">
                  <c:v>0.11332868530700327</c:v>
                </c:pt>
                <c:pt idx="123">
                  <c:v>0.21511137961694549</c:v>
                </c:pt>
                <c:pt idx="124">
                  <c:v>0.26236426446749106</c:v>
                </c:pt>
                <c:pt idx="125">
                  <c:v>0.33647223662121289</c:v>
                </c:pt>
                <c:pt idx="126">
                  <c:v>0.40546510810816438</c:v>
                </c:pt>
                <c:pt idx="127">
                  <c:v>0.40546510810816438</c:v>
                </c:pt>
                <c:pt idx="128">
                  <c:v>0.40546510810816438</c:v>
                </c:pt>
                <c:pt idx="129">
                  <c:v>0.40546510810816438</c:v>
                </c:pt>
                <c:pt idx="130">
                  <c:v>0.40546510810816438</c:v>
                </c:pt>
                <c:pt idx="131">
                  <c:v>0.43825493093115531</c:v>
                </c:pt>
                <c:pt idx="132">
                  <c:v>0.60431596685332956</c:v>
                </c:pt>
                <c:pt idx="133">
                  <c:v>0.64185388617239469</c:v>
                </c:pt>
                <c:pt idx="134">
                  <c:v>0.69314718055994529</c:v>
                </c:pt>
                <c:pt idx="135">
                  <c:v>0.69314718055994529</c:v>
                </c:pt>
                <c:pt idx="136">
                  <c:v>0.69314718055994529</c:v>
                </c:pt>
                <c:pt idx="137">
                  <c:v>0.69314718055994529</c:v>
                </c:pt>
                <c:pt idx="138">
                  <c:v>0.69314718055994529</c:v>
                </c:pt>
                <c:pt idx="139">
                  <c:v>0.69314718055994529</c:v>
                </c:pt>
                <c:pt idx="140">
                  <c:v>0.69314718055994529</c:v>
                </c:pt>
                <c:pt idx="141">
                  <c:v>0.69314718055994529</c:v>
                </c:pt>
                <c:pt idx="142">
                  <c:v>0.69314718055994529</c:v>
                </c:pt>
                <c:pt idx="143">
                  <c:v>0.69314718055994529</c:v>
                </c:pt>
                <c:pt idx="144">
                  <c:v>0.69314718055994529</c:v>
                </c:pt>
                <c:pt idx="145">
                  <c:v>0.69314718055994529</c:v>
                </c:pt>
                <c:pt idx="146">
                  <c:v>0.69314718055994529</c:v>
                </c:pt>
                <c:pt idx="147">
                  <c:v>0.69314718055994529</c:v>
                </c:pt>
                <c:pt idx="148">
                  <c:v>0.69314718055994529</c:v>
                </c:pt>
                <c:pt idx="149">
                  <c:v>0.69314718055994529</c:v>
                </c:pt>
                <c:pt idx="150">
                  <c:v>0.69314718055994529</c:v>
                </c:pt>
                <c:pt idx="151">
                  <c:v>0.69314718055994529</c:v>
                </c:pt>
                <c:pt idx="152">
                  <c:v>0.69314718055994529</c:v>
                </c:pt>
                <c:pt idx="153">
                  <c:v>0.69314718055994529</c:v>
                </c:pt>
                <c:pt idx="154">
                  <c:v>0.69314718055994529</c:v>
                </c:pt>
                <c:pt idx="155">
                  <c:v>0.69314718055994529</c:v>
                </c:pt>
                <c:pt idx="156">
                  <c:v>0.69314718055994529</c:v>
                </c:pt>
                <c:pt idx="157">
                  <c:v>0.69813472207098426</c:v>
                </c:pt>
                <c:pt idx="158">
                  <c:v>0.70309751141311339</c:v>
                </c:pt>
                <c:pt idx="159">
                  <c:v>0.78845736036427028</c:v>
                </c:pt>
                <c:pt idx="160">
                  <c:v>0.78845736036427028</c:v>
                </c:pt>
                <c:pt idx="161">
                  <c:v>0.87546873735389985</c:v>
                </c:pt>
                <c:pt idx="162">
                  <c:v>0.91629073187415511</c:v>
                </c:pt>
                <c:pt idx="163">
                  <c:v>0.91629073187415511</c:v>
                </c:pt>
                <c:pt idx="164">
                  <c:v>0.91629073187415511</c:v>
                </c:pt>
                <c:pt idx="165">
                  <c:v>0.91629073187415511</c:v>
                </c:pt>
                <c:pt idx="166">
                  <c:v>0.91629073187415511</c:v>
                </c:pt>
                <c:pt idx="167">
                  <c:v>0.91629073187415511</c:v>
                </c:pt>
                <c:pt idx="168">
                  <c:v>0.97455963999813078</c:v>
                </c:pt>
                <c:pt idx="169">
                  <c:v>0.97832612279360776</c:v>
                </c:pt>
                <c:pt idx="170">
                  <c:v>1.0152306797290584</c:v>
                </c:pt>
                <c:pt idx="171">
                  <c:v>1.0296194171811581</c:v>
                </c:pt>
                <c:pt idx="172">
                  <c:v>1.0577902941478545</c:v>
                </c:pt>
                <c:pt idx="173">
                  <c:v>1.0986122886681098</c:v>
                </c:pt>
                <c:pt idx="174">
                  <c:v>1.0986122886681098</c:v>
                </c:pt>
                <c:pt idx="175">
                  <c:v>1.0986122886681098</c:v>
                </c:pt>
                <c:pt idx="176">
                  <c:v>1.0986122886681098</c:v>
                </c:pt>
                <c:pt idx="177">
                  <c:v>1.0986122886681098</c:v>
                </c:pt>
                <c:pt idx="178">
                  <c:v>1.0986122886681098</c:v>
                </c:pt>
                <c:pt idx="179">
                  <c:v>1.0986122886681098</c:v>
                </c:pt>
                <c:pt idx="180">
                  <c:v>1.0986122886681098</c:v>
                </c:pt>
                <c:pt idx="181">
                  <c:v>1.0986122886681098</c:v>
                </c:pt>
                <c:pt idx="182">
                  <c:v>1.0986122886681098</c:v>
                </c:pt>
                <c:pt idx="183">
                  <c:v>1.1939224684724346</c:v>
                </c:pt>
                <c:pt idx="184">
                  <c:v>1.2029723039923526</c:v>
                </c:pt>
                <c:pt idx="185">
                  <c:v>1.2527629684953681</c:v>
                </c:pt>
                <c:pt idx="186">
                  <c:v>1.2641267271456831</c:v>
                </c:pt>
                <c:pt idx="187">
                  <c:v>1.2725655957915476</c:v>
                </c:pt>
                <c:pt idx="188">
                  <c:v>1.2809338454620642</c:v>
                </c:pt>
                <c:pt idx="189">
                  <c:v>1.2809338454620642</c:v>
                </c:pt>
                <c:pt idx="190">
                  <c:v>1.2809338454620642</c:v>
                </c:pt>
                <c:pt idx="191">
                  <c:v>1.3270750014599193</c:v>
                </c:pt>
                <c:pt idx="192">
                  <c:v>1.33500106673234</c:v>
                </c:pt>
                <c:pt idx="193">
                  <c:v>1.3862943611198906</c:v>
                </c:pt>
                <c:pt idx="194">
                  <c:v>1.3862943611198906</c:v>
                </c:pt>
                <c:pt idx="195">
                  <c:v>1.3862943611198906</c:v>
                </c:pt>
                <c:pt idx="196">
                  <c:v>1.3862943611198906</c:v>
                </c:pt>
                <c:pt idx="197">
                  <c:v>1.3862943611198906</c:v>
                </c:pt>
                <c:pt idx="198">
                  <c:v>1.3862943611198906</c:v>
                </c:pt>
                <c:pt idx="199">
                  <c:v>1.3862943611198906</c:v>
                </c:pt>
                <c:pt idx="200">
                  <c:v>1.3862943611198906</c:v>
                </c:pt>
                <c:pt idx="201">
                  <c:v>1.3862943611198906</c:v>
                </c:pt>
                <c:pt idx="202">
                  <c:v>1.4279160358107101</c:v>
                </c:pt>
                <c:pt idx="203">
                  <c:v>1.4586150226995167</c:v>
                </c:pt>
                <c:pt idx="204">
                  <c:v>1.4586150226995167</c:v>
                </c:pt>
                <c:pt idx="205">
                  <c:v>1.5040773967762742</c:v>
                </c:pt>
                <c:pt idx="206">
                  <c:v>1.547562508716013</c:v>
                </c:pt>
                <c:pt idx="207">
                  <c:v>1.547562508716013</c:v>
                </c:pt>
                <c:pt idx="208">
                  <c:v>1.589235205116581</c:v>
                </c:pt>
                <c:pt idx="209">
                  <c:v>1.6094379124341003</c:v>
                </c:pt>
                <c:pt idx="210">
                  <c:v>1.6094379124341003</c:v>
                </c:pt>
                <c:pt idx="211">
                  <c:v>1.6620303625532709</c:v>
                </c:pt>
                <c:pt idx="212">
                  <c:v>1.7544036826842861</c:v>
                </c:pt>
                <c:pt idx="213">
                  <c:v>1.7749523509116738</c:v>
                </c:pt>
                <c:pt idx="214">
                  <c:v>1.791759469228055</c:v>
                </c:pt>
                <c:pt idx="215">
                  <c:v>1.791759469228055</c:v>
                </c:pt>
                <c:pt idx="216">
                  <c:v>1.791759469228055</c:v>
                </c:pt>
                <c:pt idx="217">
                  <c:v>1.791759469228055</c:v>
                </c:pt>
                <c:pt idx="218">
                  <c:v>1.7934247485471162</c:v>
                </c:pt>
                <c:pt idx="219">
                  <c:v>1.8325814637483102</c:v>
                </c:pt>
                <c:pt idx="220">
                  <c:v>1.8562979903656263</c:v>
                </c:pt>
                <c:pt idx="221">
                  <c:v>1.8885836538635949</c:v>
                </c:pt>
                <c:pt idx="222">
                  <c:v>1.9459101490553132</c:v>
                </c:pt>
                <c:pt idx="223">
                  <c:v>1.9459101490553132</c:v>
                </c:pt>
                <c:pt idx="224">
                  <c:v>1.9501867058225735</c:v>
                </c:pt>
                <c:pt idx="225">
                  <c:v>1.9837562915454279</c:v>
                </c:pt>
                <c:pt idx="226">
                  <c:v>1.9878743481543455</c:v>
                </c:pt>
                <c:pt idx="227">
                  <c:v>2.0014800002101243</c:v>
                </c:pt>
                <c:pt idx="228">
                  <c:v>2.0794415416798357</c:v>
                </c:pt>
                <c:pt idx="229">
                  <c:v>2.1162555148025524</c:v>
                </c:pt>
                <c:pt idx="230">
                  <c:v>2.150598735996164</c:v>
                </c:pt>
                <c:pt idx="231">
                  <c:v>2.1894163948884078</c:v>
                </c:pt>
                <c:pt idx="232">
                  <c:v>2.1972245773362196</c:v>
                </c:pt>
                <c:pt idx="233">
                  <c:v>2.2093727112718669</c:v>
                </c:pt>
                <c:pt idx="234">
                  <c:v>2.3025850929940459</c:v>
                </c:pt>
                <c:pt idx="235">
                  <c:v>2.3025850929940459</c:v>
                </c:pt>
                <c:pt idx="236">
                  <c:v>2.3025850929940459</c:v>
                </c:pt>
                <c:pt idx="237">
                  <c:v>2.3025850929940459</c:v>
                </c:pt>
                <c:pt idx="238">
                  <c:v>2.3025850929940459</c:v>
                </c:pt>
                <c:pt idx="239">
                  <c:v>2.3360198690802831</c:v>
                </c:pt>
                <c:pt idx="240">
                  <c:v>2.3702437414678603</c:v>
                </c:pt>
                <c:pt idx="241">
                  <c:v>2.388762789235098</c:v>
                </c:pt>
                <c:pt idx="242">
                  <c:v>2.3978952727983707</c:v>
                </c:pt>
                <c:pt idx="243">
                  <c:v>2.4069451083182885</c:v>
                </c:pt>
                <c:pt idx="244">
                  <c:v>2.4388627112865935</c:v>
                </c:pt>
                <c:pt idx="245">
                  <c:v>2.4423470353692043</c:v>
                </c:pt>
                <c:pt idx="246">
                  <c:v>2.4849066497880004</c:v>
                </c:pt>
                <c:pt idx="247">
                  <c:v>2.503891949699081</c:v>
                </c:pt>
                <c:pt idx="248">
                  <c:v>2.5416019934645457</c:v>
                </c:pt>
                <c:pt idx="249">
                  <c:v>2.5877640352277083</c:v>
                </c:pt>
                <c:pt idx="250">
                  <c:v>2.5907670404874779</c:v>
                </c:pt>
                <c:pt idx="251">
                  <c:v>2.6071242825122494</c:v>
                </c:pt>
                <c:pt idx="252">
                  <c:v>2.6390573296152584</c:v>
                </c:pt>
                <c:pt idx="253">
                  <c:v>2.6803363625346943</c:v>
                </c:pt>
                <c:pt idx="254">
                  <c:v>2.760009940032921</c:v>
                </c:pt>
                <c:pt idx="255">
                  <c:v>2.8021475244813256</c:v>
                </c:pt>
                <c:pt idx="256">
                  <c:v>2.8449093838194073</c:v>
                </c:pt>
                <c:pt idx="257">
                  <c:v>2.9957322735539909</c:v>
                </c:pt>
                <c:pt idx="258">
                  <c:v>3.0819099697950434</c:v>
                </c:pt>
                <c:pt idx="259">
                  <c:v>3.1471649773142003</c:v>
                </c:pt>
                <c:pt idx="260">
                  <c:v>3.1738784589374651</c:v>
                </c:pt>
                <c:pt idx="261">
                  <c:v>3.7658404952500648</c:v>
                </c:pt>
              </c:numCache>
            </c:numRef>
          </c:yVal>
          <c:smooth val="0"/>
          <c:extLst xmlns:c16r2="http://schemas.microsoft.com/office/drawing/2015/06/chart">
            <c:ext xmlns:c16="http://schemas.microsoft.com/office/drawing/2014/chart" uri="{C3380CC4-5D6E-409C-BE32-E72D297353CC}">
              <c16:uniqueId val="{00000000-82A1-4D95-8DF9-10B391FE286D}"/>
            </c:ext>
          </c:extLst>
        </c:ser>
        <c:dLbls>
          <c:showLegendKey val="0"/>
          <c:showVal val="0"/>
          <c:showCatName val="0"/>
          <c:showSerName val="0"/>
          <c:showPercent val="0"/>
          <c:showBubbleSize val="0"/>
        </c:dLbls>
        <c:axId val="166270080"/>
        <c:axId val="166272384"/>
      </c:scatterChart>
      <c:valAx>
        <c:axId val="166270080"/>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6272384"/>
        <c:crossesAt val="-4"/>
        <c:crossBetween val="midCat"/>
      </c:valAx>
      <c:valAx>
        <c:axId val="1662723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6270080"/>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CCFFCC"/>
                </a:solidFill>
                <a:latin typeface="Arial"/>
                <a:ea typeface="Arial"/>
                <a:cs typeface="Arial"/>
              </a:defRPr>
            </a:pPr>
            <a:r>
              <a:rPr lang="en-US" sz="1400"/>
              <a:t>TORNADOES BY CLASSIFICATION
Amarillo NWS CWA</a:t>
            </a:r>
          </a:p>
        </c:rich>
      </c:tx>
      <c:layout>
        <c:manualLayout>
          <c:xMode val="edge"/>
          <c:yMode val="edge"/>
          <c:x val="0.32790567845686036"/>
          <c:y val="2.7439084677522194E-2"/>
        </c:manualLayout>
      </c:layout>
      <c:overlay val="0"/>
      <c:spPr>
        <a:noFill/>
        <a:ln w="38100">
          <a:solidFill>
            <a:srgbClr val="0000FF"/>
          </a:solidFill>
          <a:prstDash val="solid"/>
        </a:ln>
      </c:spPr>
    </c:title>
    <c:autoTitleDeleted val="0"/>
    <c:plotArea>
      <c:layout>
        <c:manualLayout>
          <c:layoutTarget val="inner"/>
          <c:xMode val="edge"/>
          <c:yMode val="edge"/>
          <c:x val="7.8501338090990191E-2"/>
          <c:y val="0.25609756097560982"/>
          <c:w val="0.90900981266726255"/>
          <c:h val="0.59756097560975441"/>
        </c:manualLayout>
      </c:layout>
      <c:barChart>
        <c:barDir val="col"/>
        <c:grouping val="clustered"/>
        <c:varyColors val="0"/>
        <c:ser>
          <c:idx val="0"/>
          <c:order val="0"/>
          <c:tx>
            <c:v/>
          </c:tx>
          <c:spPr>
            <a:solidFill>
              <a:srgbClr val="9999FF"/>
            </a:solidFill>
            <a:ln w="25400" cap="rnd">
              <a:solidFill>
                <a:schemeClr val="tx1"/>
              </a:solidFill>
            </a:ln>
          </c:spPr>
          <c:invertIfNegative val="0"/>
          <c:dPt>
            <c:idx val="0"/>
            <c:invertIfNegative val="0"/>
            <c:bubble3D val="0"/>
            <c:spPr>
              <a:solidFill>
                <a:srgbClr val="FF0000"/>
              </a:solidFill>
              <a:ln w="25400" cap="rnd">
                <a:solidFill>
                  <a:srgbClr val="000000"/>
                </a:solidFill>
                <a:prstDash val="solid"/>
              </a:ln>
            </c:spPr>
            <c:extLst xmlns:c16r2="http://schemas.microsoft.com/office/drawing/2015/06/chart">
              <c:ext xmlns:c16="http://schemas.microsoft.com/office/drawing/2014/chart" uri="{C3380CC4-5D6E-409C-BE32-E72D297353CC}">
                <c16:uniqueId val="{00000001-4975-440B-B4C9-F567E4D8AE39}"/>
              </c:ext>
            </c:extLst>
          </c:dPt>
          <c:dPt>
            <c:idx val="1"/>
            <c:invertIfNegative val="0"/>
            <c:bubble3D val="0"/>
            <c:spPr>
              <a:solidFill>
                <a:srgbClr val="00FF00"/>
              </a:solidFill>
              <a:ln w="25400" cap="rnd">
                <a:solidFill>
                  <a:srgbClr val="000000"/>
                </a:solidFill>
                <a:prstDash val="solid"/>
              </a:ln>
            </c:spPr>
            <c:extLst xmlns:c16r2="http://schemas.microsoft.com/office/drawing/2015/06/chart">
              <c:ext xmlns:c16="http://schemas.microsoft.com/office/drawing/2014/chart" uri="{C3380CC4-5D6E-409C-BE32-E72D297353CC}">
                <c16:uniqueId val="{00000003-4975-440B-B4C9-F567E4D8AE39}"/>
              </c:ext>
            </c:extLst>
          </c:dPt>
          <c:dPt>
            <c:idx val="2"/>
            <c:invertIfNegative val="0"/>
            <c:bubble3D val="0"/>
            <c:spPr>
              <a:solidFill>
                <a:srgbClr val="0000FF"/>
              </a:solidFill>
              <a:ln w="25400" cap="rnd">
                <a:solidFill>
                  <a:srgbClr val="000000"/>
                </a:solidFill>
                <a:prstDash val="solid"/>
              </a:ln>
            </c:spPr>
            <c:extLst xmlns:c16r2="http://schemas.microsoft.com/office/drawing/2015/06/chart">
              <c:ext xmlns:c16="http://schemas.microsoft.com/office/drawing/2014/chart" uri="{C3380CC4-5D6E-409C-BE32-E72D297353CC}">
                <c16:uniqueId val="{00000005-4975-440B-B4C9-F567E4D8AE39}"/>
              </c:ext>
            </c:extLst>
          </c:dPt>
          <c:dLbls>
            <c:spPr>
              <a:noFill/>
              <a:ln w="25400">
                <a:noFill/>
              </a:ln>
            </c:spPr>
            <c:txPr>
              <a:bodyPr/>
              <a:lstStyle/>
              <a:p>
                <a:pPr>
                  <a:defRPr sz="120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Graphs!$A$299:$A$301</c:f>
              <c:strCache>
                <c:ptCount val="3"/>
                <c:pt idx="0">
                  <c:v>Weak (F1 / EF1 &amp; F1 / EF1)</c:v>
                </c:pt>
                <c:pt idx="1">
                  <c:v>Strong (F2 / EF2 &amp; F3 / EF3)</c:v>
                </c:pt>
                <c:pt idx="2">
                  <c:v>Violent (F4 / EF4 &amp; F5 / EF5)</c:v>
                </c:pt>
              </c:strCache>
            </c:strRef>
          </c:cat>
          <c:val>
            <c:numRef>
              <c:f>Graphs!$D$299:$D$301</c:f>
              <c:numCache>
                <c:formatCode>0.0%</c:formatCode>
                <c:ptCount val="3"/>
                <c:pt idx="0">
                  <c:v>0.85690923957481602</c:v>
                </c:pt>
                <c:pt idx="1">
                  <c:v>0.13327882256745707</c:v>
                </c:pt>
                <c:pt idx="2">
                  <c:v>9.8119378577269014E-3</c:v>
                </c:pt>
              </c:numCache>
            </c:numRef>
          </c:val>
          <c:extLst xmlns:c16r2="http://schemas.microsoft.com/office/drawing/2015/06/chart">
            <c:ext xmlns:c16="http://schemas.microsoft.com/office/drawing/2014/chart" uri="{C3380CC4-5D6E-409C-BE32-E72D297353CC}">
              <c16:uniqueId val="{00000006-4975-440B-B4C9-F567E4D8AE39}"/>
            </c:ext>
          </c:extLst>
        </c:ser>
        <c:dLbls>
          <c:showLegendKey val="0"/>
          <c:showVal val="1"/>
          <c:showCatName val="0"/>
          <c:showSerName val="0"/>
          <c:showPercent val="0"/>
          <c:showBubbleSize val="0"/>
        </c:dLbls>
        <c:gapWidth val="150"/>
        <c:axId val="157158016"/>
        <c:axId val="157170688"/>
      </c:barChart>
      <c:catAx>
        <c:axId val="157158016"/>
        <c:scaling>
          <c:orientation val="minMax"/>
        </c:scaling>
        <c:delete val="0"/>
        <c:axPos val="b"/>
        <c:title>
          <c:tx>
            <c:rich>
              <a:bodyPr/>
              <a:lstStyle/>
              <a:p>
                <a:pPr>
                  <a:defRPr sz="1400" b="1" i="0" u="none" strike="noStrike" baseline="0">
                    <a:solidFill>
                      <a:srgbClr val="FFFFFF"/>
                    </a:solidFill>
                    <a:latin typeface="Arial"/>
                    <a:ea typeface="Arial"/>
                    <a:cs typeface="Arial"/>
                  </a:defRPr>
                </a:pPr>
                <a:r>
                  <a:rPr lang="en-US" sz="1400"/>
                  <a:t>Classification</a:t>
                </a:r>
              </a:p>
            </c:rich>
          </c:tx>
          <c:layout>
            <c:manualLayout>
              <c:xMode val="edge"/>
              <c:yMode val="edge"/>
              <c:x val="0.47011599740508631"/>
              <c:y val="0.92073164640827843"/>
            </c:manualLayout>
          </c:layout>
          <c:overlay val="0"/>
          <c:spPr>
            <a:noFill/>
            <a:ln w="25400">
              <a:noFill/>
            </a:ln>
          </c:spPr>
        </c:title>
        <c:numFmt formatCode="General" sourceLinked="1"/>
        <c:majorTickMark val="out"/>
        <c:minorTickMark val="none"/>
        <c:tickLblPos val="nextTo"/>
        <c:spPr>
          <a:ln w="25400">
            <a:solidFill>
              <a:srgbClr val="00FFFF"/>
            </a:solidFill>
            <a:prstDash val="solid"/>
          </a:ln>
        </c:spPr>
        <c:txPr>
          <a:bodyPr rot="0" vert="horz"/>
          <a:lstStyle/>
          <a:p>
            <a:pPr>
              <a:defRPr sz="1100" b="1" i="0" u="none" strike="noStrike" baseline="0">
                <a:solidFill>
                  <a:srgbClr val="3366FF"/>
                </a:solidFill>
                <a:latin typeface="Arial"/>
                <a:ea typeface="Arial"/>
                <a:cs typeface="Arial"/>
              </a:defRPr>
            </a:pPr>
            <a:endParaRPr lang="en-US"/>
          </a:p>
        </c:txPr>
        <c:crossAx val="157170688"/>
        <c:crosses val="autoZero"/>
        <c:auto val="1"/>
        <c:lblAlgn val="ctr"/>
        <c:lblOffset val="100"/>
        <c:tickLblSkip val="1"/>
        <c:tickMarkSkip val="1"/>
        <c:noMultiLvlLbl val="0"/>
      </c:catAx>
      <c:valAx>
        <c:axId val="157170688"/>
        <c:scaling>
          <c:orientation val="minMax"/>
        </c:scaling>
        <c:delete val="0"/>
        <c:axPos val="l"/>
        <c:numFmt formatCode="0.0%" sourceLinked="1"/>
        <c:majorTickMark val="out"/>
        <c:minorTickMark val="none"/>
        <c:tickLblPos val="nextTo"/>
        <c:spPr>
          <a:ln w="25400">
            <a:solidFill>
              <a:srgbClr val="00FFFF"/>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157158016"/>
        <c:crosses val="autoZero"/>
        <c:crossBetween val="between"/>
      </c:valAx>
      <c:spPr>
        <a:noFill/>
        <a:ln w="25400">
          <a:noFill/>
        </a:ln>
      </c:spPr>
    </c:plotArea>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F1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7.1032186459489471E-2"/>
          <c:y val="0.12234910277324648"/>
          <c:w val="0.91009988901220851"/>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'F1 - EF1 Analysis'!$F$12:$F$310</c:f>
              <c:numCache>
                <c:formatCode>General</c:formatCode>
                <c:ptCount val="299"/>
                <c:pt idx="0">
                  <c:v>-2.8929192678734181</c:v>
                </c:pt>
                <c:pt idx="1">
                  <c:v>-2.528644881189821</c:v>
                </c:pt>
                <c:pt idx="2">
                  <c:v>-2.3438866646343475</c:v>
                </c:pt>
                <c:pt idx="3">
                  <c:v>-2.2156197184696946</c:v>
                </c:pt>
                <c:pt idx="4">
                  <c:v>-2.1159254910219962</c:v>
                </c:pt>
                <c:pt idx="5">
                  <c:v>-2.0336714474073072</c:v>
                </c:pt>
                <c:pt idx="6">
                  <c:v>-1.9632397668732706</c:v>
                </c:pt>
                <c:pt idx="7">
                  <c:v>-1.9013826653257466</c:v>
                </c:pt>
                <c:pt idx="8">
                  <c:v>-1.8460462092017935</c:v>
                </c:pt>
                <c:pt idx="9">
                  <c:v>-1.7958455512600473</c:v>
                </c:pt>
                <c:pt idx="10">
                  <c:v>-1.7498009207740848</c:v>
                </c:pt>
                <c:pt idx="11">
                  <c:v>-1.7071926025024666</c:v>
                </c:pt>
                <c:pt idx="12">
                  <c:v>-1.6674757254802024</c:v>
                </c:pt>
                <c:pt idx="13">
                  <c:v>-1.6302274466655646</c:v>
                </c:pt>
                <c:pt idx="14">
                  <c:v>-1.5951127585631362</c:v>
                </c:pt>
                <c:pt idx="15">
                  <c:v>-1.5618615392556825</c:v>
                </c:pt>
                <c:pt idx="16">
                  <c:v>-1.5302526710293158</c:v>
                </c:pt>
                <c:pt idx="17">
                  <c:v>-1.5001027595109515</c:v>
                </c:pt>
                <c:pt idx="18">
                  <c:v>-1.4712579371990806</c:v>
                </c:pt>
                <c:pt idx="19">
                  <c:v>-1.4435877889473323</c:v>
                </c:pt>
                <c:pt idx="20">
                  <c:v>-1.4169807706927577</c:v>
                </c:pt>
                <c:pt idx="21">
                  <c:v>-1.3913407002534657</c:v>
                </c:pt>
                <c:pt idx="22">
                  <c:v>-1.3665840316741558</c:v>
                </c:pt>
                <c:pt idx="23">
                  <c:v>-1.3426377114882446</c:v>
                </c:pt>
                <c:pt idx="24">
                  <c:v>-1.3194374734384275</c:v>
                </c:pt>
                <c:pt idx="25">
                  <c:v>-1.2969264679191927</c:v>
                </c:pt>
                <c:pt idx="26">
                  <c:v>-1.2750541500157357</c:v>
                </c:pt>
                <c:pt idx="27">
                  <c:v>-1.2537753695199951</c:v>
                </c:pt>
                <c:pt idx="28">
                  <c:v>-1.2330496202910932</c:v>
                </c:pt>
                <c:pt idx="29">
                  <c:v>-1.2128404164935702</c:v>
                </c:pt>
                <c:pt idx="30">
                  <c:v>-1.1931147707289882</c:v>
                </c:pt>
                <c:pt idx="31">
                  <c:v>-1.1738427546475656</c:v>
                </c:pt>
                <c:pt idx="32">
                  <c:v>-1.1549971268193044</c:v>
                </c:pt>
                <c:pt idx="33">
                  <c:v>-1.136553015831067</c:v>
                </c:pt>
                <c:pt idx="34">
                  <c:v>-1.1184876490213236</c:v>
                </c:pt>
                <c:pt idx="35">
                  <c:v>-1.1007801191566395</c:v>
                </c:pt>
                <c:pt idx="36">
                  <c:v>-1.0834111828304476</c:v>
                </c:pt>
                <c:pt idx="37">
                  <c:v>-1.06636308552545</c:v>
                </c:pt>
                <c:pt idx="38">
                  <c:v>-1.0496194092001805</c:v>
                </c:pt>
                <c:pt idx="39">
                  <c:v>-1.0331649389930071</c:v>
                </c:pt>
                <c:pt idx="40">
                  <c:v>-1.0169855462247854</c:v>
                </c:pt>
                <c:pt idx="41">
                  <c:v>-1.0010680853558858</c:v>
                </c:pt>
                <c:pt idx="42">
                  <c:v>-0.9854003029385211</c:v>
                </c:pt>
                <c:pt idx="43">
                  <c:v>-0.96997075691972645</c:v>
                </c:pt>
                <c:pt idx="44">
                  <c:v>-0.95476874490815455</c:v>
                </c:pt>
                <c:pt idx="45">
                  <c:v>-0.93978424023057883</c:v>
                </c:pt>
                <c:pt idx="46">
                  <c:v>-0.92500783477998239</c:v>
                </c:pt>
                <c:pt idx="47">
                  <c:v>-0.91043068780363967</c:v>
                </c:pt>
                <c:pt idx="48">
                  <c:v>-0.89604447990194602</c:v>
                </c:pt>
                <c:pt idx="49">
                  <c:v>-0.88184137161139053</c:v>
                </c:pt>
                <c:pt idx="50">
                  <c:v>-0.86781396603145955</c:v>
                </c:pt>
                <c:pt idx="51">
                  <c:v>-0.85395527502834434</c:v>
                </c:pt>
                <c:pt idx="52">
                  <c:v>-0.84025868861020625</c:v>
                </c:pt>
                <c:pt idx="53">
                  <c:v>-0.82671794712148672</c:v>
                </c:pt>
                <c:pt idx="54">
                  <c:v>-0.81332711594875995</c:v>
                </c:pt>
                <c:pt idx="55">
                  <c:v>-0.80008056246913806</c:v>
                </c:pt>
                <c:pt idx="56">
                  <c:v>-0.78697293500536358</c:v>
                </c:pt>
                <c:pt idx="57">
                  <c:v>-0.7739991435802196</c:v>
                </c:pt>
                <c:pt idx="58">
                  <c:v>-0.76115434228754864</c:v>
                </c:pt>
                <c:pt idx="59">
                  <c:v>-0.74843391311848129</c:v>
                </c:pt>
                <c:pt idx="60">
                  <c:v>-0.7358334511000415</c:v>
                </c:pt>
                <c:pt idx="61">
                  <c:v>-0.72334875061938442</c:v>
                </c:pt>
                <c:pt idx="62">
                  <c:v>-0.7109757928210424</c:v>
                </c:pt>
                <c:pt idx="63">
                  <c:v>-0.69871073397684169</c:v>
                </c:pt>
                <c:pt idx="64">
                  <c:v>-0.68654989473896033</c:v>
                </c:pt>
                <c:pt idx="65">
                  <c:v>-0.67448975019608193</c:v>
                </c:pt>
                <c:pt idx="66">
                  <c:v>-0.66252692066093988</c:v>
                </c:pt>
                <c:pt idx="67">
                  <c:v>-0.65065816312493385</c:v>
                </c:pt>
                <c:pt idx="68">
                  <c:v>-0.63888036332198783</c:v>
                </c:pt>
                <c:pt idx="69">
                  <c:v>-0.62719052834960598</c:v>
                </c:pt>
                <c:pt idx="70">
                  <c:v>-0.61558577980018625</c:v>
                </c:pt>
                <c:pt idx="71">
                  <c:v>-0.60406334736020983</c:v>
                </c:pt>
                <c:pt idx="72">
                  <c:v>-0.59262056283896225</c:v>
                </c:pt>
                <c:pt idx="73">
                  <c:v>-0.58125485459206705</c:v>
                </c:pt>
                <c:pt idx="74">
                  <c:v>-0.56996374230832691</c:v>
                </c:pt>
                <c:pt idx="75">
                  <c:v>-0.55874483213126436</c:v>
                </c:pt>
                <c:pt idx="76">
                  <c:v>-0.54759581208933283</c:v>
                </c:pt>
                <c:pt idx="77">
                  <c:v>-0.53651444781109781</c:v>
                </c:pt>
                <c:pt idx="78">
                  <c:v>-0.5254985785037698</c:v>
                </c:pt>
                <c:pt idx="79">
                  <c:v>-0.51454611317535259</c:v>
                </c:pt>
                <c:pt idx="80">
                  <c:v>-0.50365502708235821</c:v>
                </c:pt>
                <c:pt idx="81">
                  <c:v>-0.49282335838657698</c:v>
                </c:pt>
                <c:pt idx="82">
                  <c:v>-0.48204920500576198</c:v>
                </c:pt>
                <c:pt idx="83">
                  <c:v>-0.47133072164434098</c:v>
                </c:pt>
                <c:pt idx="84">
                  <c:v>-0.46066611699140447</c:v>
                </c:pt>
                <c:pt idx="85">
                  <c:v>-0.45005365107423506</c:v>
                </c:pt>
                <c:pt idx="86">
                  <c:v>-0.43949163275658881</c:v>
                </c:pt>
                <c:pt idx="87">
                  <c:v>-0.42897841737177267</c:v>
                </c:pt>
                <c:pt idx="88">
                  <c:v>-0.41851240448134458</c:v>
                </c:pt>
                <c:pt idx="89">
                  <c:v>-0.40809203575095948</c:v>
                </c:pt>
                <c:pt idx="90">
                  <c:v>-0.39771579293552733</c:v>
                </c:pt>
                <c:pt idx="91">
                  <c:v>-0.38738219596643142</c:v>
                </c:pt>
                <c:pt idx="92">
                  <c:v>-0.37708980113409546</c:v>
                </c:pt>
                <c:pt idx="93">
                  <c:v>-0.36683719935966907</c:v>
                </c:pt>
                <c:pt idx="94">
                  <c:v>-0.35662301455005585</c:v>
                </c:pt>
                <c:pt idx="95">
                  <c:v>-0.3464459020309138</c:v>
                </c:pt>
                <c:pt idx="96">
                  <c:v>-0.33630454705263418</c:v>
                </c:pt>
                <c:pt idx="97">
                  <c:v>-0.32619766336465211</c:v>
                </c:pt>
                <c:pt idx="98">
                  <c:v>-0.31612399185375722</c:v>
                </c:pt>
                <c:pt idx="99">
                  <c:v>-0.30608229924236263</c:v>
                </c:pt>
                <c:pt idx="100">
                  <c:v>-0.29607137684296159</c:v>
                </c:pt>
                <c:pt idx="101">
                  <c:v>-0.28609003936524313</c:v>
                </c:pt>
                <c:pt idx="102">
                  <c:v>-0.27613712377257005</c:v>
                </c:pt>
                <c:pt idx="103">
                  <c:v>-0.26621148818472556</c:v>
                </c:pt>
                <c:pt idx="104">
                  <c:v>-0.25631201082403188</c:v>
                </c:pt>
                <c:pt idx="105">
                  <c:v>-0.24643758900211962</c:v>
                </c:pt>
                <c:pt idx="106">
                  <c:v>-0.23658713814479079</c:v>
                </c:pt>
                <c:pt idx="107">
                  <c:v>-0.22675959085256958</c:v>
                </c:pt>
                <c:pt idx="108">
                  <c:v>-0.21695389599467269</c:v>
                </c:pt>
                <c:pt idx="109">
                  <c:v>-0.20716901783426186</c:v>
                </c:pt>
                <c:pt idx="110">
                  <c:v>-0.19740393518295835</c:v>
                </c:pt>
                <c:pt idx="111">
                  <c:v>-0.18765764058270834</c:v>
                </c:pt>
                <c:pt idx="112">
                  <c:v>-0.17792913951318964</c:v>
                </c:pt>
                <c:pt idx="113">
                  <c:v>-0.16821744962304311</c:v>
                </c:pt>
                <c:pt idx="114">
                  <c:v>-0.15852159998329721</c:v>
                </c:pt>
                <c:pt idx="115">
                  <c:v>-0.14884063036143219</c:v>
                </c:pt>
                <c:pt idx="116">
                  <c:v>-0.13917359051460709</c:v>
                </c:pt>
                <c:pt idx="117">
                  <c:v>-0.12951953950063169</c:v>
                </c:pt>
                <c:pt idx="118">
                  <c:v>-0.11987754500533411</c:v>
                </c:pt>
                <c:pt idx="119">
                  <c:v>-0.11024668268502609</c:v>
                </c:pt>
                <c:pt idx="120">
                  <c:v>-0.1006260355228201</c:v>
                </c:pt>
                <c:pt idx="121">
                  <c:v>-9.1014693197598751E-2</c:v>
                </c:pt>
                <c:pt idx="122">
                  <c:v>-8.1411751464479085E-2</c:v>
                </c:pt>
                <c:pt idx="123">
                  <c:v>-7.1816311545650782E-2</c:v>
                </c:pt>
                <c:pt idx="124">
                  <c:v>-6.2227479530504601E-2</c:v>
                </c:pt>
                <c:pt idx="125">
                  <c:v>-5.2644365783992259E-2</c:v>
                </c:pt>
                <c:pt idx="126">
                  <c:v>-4.3066084362190685E-2</c:v>
                </c:pt>
                <c:pt idx="127">
                  <c:v>-3.3491752434063431E-2</c:v>
                </c:pt>
                <c:pt idx="128">
                  <c:v>-2.3920489708433315E-2</c:v>
                </c:pt>
                <c:pt idx="129">
                  <c:v>-1.4351417865196142E-2</c:v>
                </c:pt>
                <c:pt idx="130">
                  <c:v>-4.7836599898194694E-3</c:v>
                </c:pt>
                <c:pt idx="131">
                  <c:v>4.7836599898194694E-3</c:v>
                </c:pt>
                <c:pt idx="132">
                  <c:v>1.4351417865196279E-2</c:v>
                </c:pt>
                <c:pt idx="133">
                  <c:v>2.3920489708433315E-2</c:v>
                </c:pt>
                <c:pt idx="134">
                  <c:v>3.3491752434063569E-2</c:v>
                </c:pt>
                <c:pt idx="135">
                  <c:v>4.3066084362190685E-2</c:v>
                </c:pt>
                <c:pt idx="136">
                  <c:v>5.2644365783992113E-2</c:v>
                </c:pt>
                <c:pt idx="137">
                  <c:v>6.2227479530504601E-2</c:v>
                </c:pt>
                <c:pt idx="138">
                  <c:v>7.1816311545650643E-2</c:v>
                </c:pt>
                <c:pt idx="139">
                  <c:v>8.1411751464479085E-2</c:v>
                </c:pt>
                <c:pt idx="140">
                  <c:v>9.1014693197598751E-2</c:v>
                </c:pt>
                <c:pt idx="141">
                  <c:v>0.10062603552282023</c:v>
                </c:pt>
                <c:pt idx="142">
                  <c:v>0.11024668268502609</c:v>
                </c:pt>
                <c:pt idx="143">
                  <c:v>0.11987754500533426</c:v>
                </c:pt>
                <c:pt idx="144">
                  <c:v>0.12951953950063169</c:v>
                </c:pt>
                <c:pt idx="145">
                  <c:v>0.13917359051460698</c:v>
                </c:pt>
                <c:pt idx="146">
                  <c:v>0.14884063036143219</c:v>
                </c:pt>
                <c:pt idx="147">
                  <c:v>0.15852159998329707</c:v>
                </c:pt>
                <c:pt idx="148">
                  <c:v>0.16821744962304327</c:v>
                </c:pt>
                <c:pt idx="149">
                  <c:v>0.17792913951318964</c:v>
                </c:pt>
                <c:pt idx="150">
                  <c:v>0.18765764058270851</c:v>
                </c:pt>
                <c:pt idx="151">
                  <c:v>0.19740393518295835</c:v>
                </c:pt>
                <c:pt idx="152">
                  <c:v>0.207169017834262</c:v>
                </c:pt>
                <c:pt idx="153">
                  <c:v>0.21695389599467269</c:v>
                </c:pt>
                <c:pt idx="154">
                  <c:v>0.22675959085256941</c:v>
                </c:pt>
                <c:pt idx="155">
                  <c:v>0.23658713814479079</c:v>
                </c:pt>
                <c:pt idx="156">
                  <c:v>0.24643758900211943</c:v>
                </c:pt>
                <c:pt idx="157">
                  <c:v>0.25631201082403193</c:v>
                </c:pt>
                <c:pt idx="158">
                  <c:v>0.26621148818472556</c:v>
                </c:pt>
                <c:pt idx="159">
                  <c:v>0.27613712377257016</c:v>
                </c:pt>
                <c:pt idx="160">
                  <c:v>0.28609003936524313</c:v>
                </c:pt>
                <c:pt idx="161">
                  <c:v>0.29607137684296164</c:v>
                </c:pt>
                <c:pt idx="162">
                  <c:v>0.30608229924236263</c:v>
                </c:pt>
                <c:pt idx="163">
                  <c:v>0.31612399185375711</c:v>
                </c:pt>
                <c:pt idx="164">
                  <c:v>0.32619766336465211</c:v>
                </c:pt>
                <c:pt idx="165">
                  <c:v>0.33630454705263402</c:v>
                </c:pt>
                <c:pt idx="166">
                  <c:v>0.34644590203091391</c:v>
                </c:pt>
                <c:pt idx="167">
                  <c:v>0.35662301455005585</c:v>
                </c:pt>
                <c:pt idx="168">
                  <c:v>0.36683719935966919</c:v>
                </c:pt>
                <c:pt idx="169">
                  <c:v>0.37708980113409546</c:v>
                </c:pt>
                <c:pt idx="170">
                  <c:v>0.38738219596643125</c:v>
                </c:pt>
                <c:pt idx="171">
                  <c:v>0.39771579293552733</c:v>
                </c:pt>
                <c:pt idx="172">
                  <c:v>0.40809203575095937</c:v>
                </c:pt>
                <c:pt idx="173">
                  <c:v>0.41851240448134458</c:v>
                </c:pt>
                <c:pt idx="174">
                  <c:v>0.4289784173717725</c:v>
                </c:pt>
                <c:pt idx="175">
                  <c:v>0.43949163275658892</c:v>
                </c:pt>
                <c:pt idx="176">
                  <c:v>0.45005365107423506</c:v>
                </c:pt>
                <c:pt idx="177">
                  <c:v>0.46066611699140436</c:v>
                </c:pt>
                <c:pt idx="178">
                  <c:v>0.47133072164434098</c:v>
                </c:pt>
                <c:pt idx="179">
                  <c:v>0.48204920500576165</c:v>
                </c:pt>
                <c:pt idx="180">
                  <c:v>0.49282335838657698</c:v>
                </c:pt>
                <c:pt idx="181">
                  <c:v>0.50365502708235799</c:v>
                </c:pt>
                <c:pt idx="182">
                  <c:v>0.51454611317535259</c:v>
                </c:pt>
                <c:pt idx="183">
                  <c:v>0.5254985785037698</c:v>
                </c:pt>
                <c:pt idx="184">
                  <c:v>0.53651444781109792</c:v>
                </c:pt>
                <c:pt idx="185">
                  <c:v>0.54759581208933283</c:v>
                </c:pt>
                <c:pt idx="186">
                  <c:v>0.55874483213126447</c:v>
                </c:pt>
                <c:pt idx="187">
                  <c:v>0.56996374230832691</c:v>
                </c:pt>
                <c:pt idx="188">
                  <c:v>0.58125485459206683</c:v>
                </c:pt>
                <c:pt idx="189">
                  <c:v>0.59262056283896225</c:v>
                </c:pt>
                <c:pt idx="190">
                  <c:v>0.60406334736020972</c:v>
                </c:pt>
                <c:pt idx="191">
                  <c:v>0.61558577980018625</c:v>
                </c:pt>
                <c:pt idx="192">
                  <c:v>0.62719052834960598</c:v>
                </c:pt>
                <c:pt idx="193">
                  <c:v>0.63888036332198828</c:v>
                </c:pt>
                <c:pt idx="194">
                  <c:v>0.65065816312493385</c:v>
                </c:pt>
                <c:pt idx="195">
                  <c:v>0.66252692066094021</c:v>
                </c:pt>
                <c:pt idx="196">
                  <c:v>0.67448975019608193</c:v>
                </c:pt>
                <c:pt idx="197">
                  <c:v>0.68654989473896011</c:v>
                </c:pt>
                <c:pt idx="198">
                  <c:v>0.69871073397684169</c:v>
                </c:pt>
                <c:pt idx="199">
                  <c:v>0.7109757928210424</c:v>
                </c:pt>
                <c:pt idx="200">
                  <c:v>0.72334875061938442</c:v>
                </c:pt>
                <c:pt idx="201">
                  <c:v>0.7358334511000415</c:v>
                </c:pt>
                <c:pt idx="202">
                  <c:v>0.74843391311848129</c:v>
                </c:pt>
                <c:pt idx="203">
                  <c:v>0.76115434228754864</c:v>
                </c:pt>
                <c:pt idx="204">
                  <c:v>0.77399914358022004</c:v>
                </c:pt>
                <c:pt idx="205">
                  <c:v>0.78697293500536358</c:v>
                </c:pt>
                <c:pt idx="206">
                  <c:v>0.80008056246913695</c:v>
                </c:pt>
                <c:pt idx="207">
                  <c:v>0.81332711594875995</c:v>
                </c:pt>
                <c:pt idx="208">
                  <c:v>0.82671794712148672</c:v>
                </c:pt>
                <c:pt idx="209">
                  <c:v>0.84025868861020625</c:v>
                </c:pt>
                <c:pt idx="210">
                  <c:v>0.85395527502834434</c:v>
                </c:pt>
                <c:pt idx="211">
                  <c:v>0.86781396603145955</c:v>
                </c:pt>
                <c:pt idx="212">
                  <c:v>0.88184137161139053</c:v>
                </c:pt>
                <c:pt idx="213">
                  <c:v>0.8960444799019468</c:v>
                </c:pt>
                <c:pt idx="214">
                  <c:v>0.91043068780363967</c:v>
                </c:pt>
                <c:pt idx="215">
                  <c:v>0.92500783477998383</c:v>
                </c:pt>
                <c:pt idx="216">
                  <c:v>0.93978424023057883</c:v>
                </c:pt>
                <c:pt idx="217">
                  <c:v>0.95476874490815455</c:v>
                </c:pt>
                <c:pt idx="218">
                  <c:v>0.96997075691972645</c:v>
                </c:pt>
                <c:pt idx="219">
                  <c:v>0.9854003029385211</c:v>
                </c:pt>
                <c:pt idx="220">
                  <c:v>1.0010680853558858</c:v>
                </c:pt>
                <c:pt idx="221">
                  <c:v>1.0169855462247854</c:v>
                </c:pt>
                <c:pt idx="222">
                  <c:v>1.0331649389930126</c:v>
                </c:pt>
                <c:pt idx="223">
                  <c:v>1.0496194092001805</c:v>
                </c:pt>
                <c:pt idx="224">
                  <c:v>1.0663630855254498</c:v>
                </c:pt>
                <c:pt idx="225">
                  <c:v>1.0834111828304476</c:v>
                </c:pt>
                <c:pt idx="226">
                  <c:v>1.1007801191566395</c:v>
                </c:pt>
                <c:pt idx="227">
                  <c:v>1.1184876490213236</c:v>
                </c:pt>
                <c:pt idx="228">
                  <c:v>1.136553015831067</c:v>
                </c:pt>
                <c:pt idx="229">
                  <c:v>1.1549971268193051</c:v>
                </c:pt>
                <c:pt idx="230">
                  <c:v>1.1738427546475656</c:v>
                </c:pt>
                <c:pt idx="231">
                  <c:v>1.1931147707289882</c:v>
                </c:pt>
                <c:pt idx="232">
                  <c:v>1.2128404164935702</c:v>
                </c:pt>
                <c:pt idx="233">
                  <c:v>1.2330496202910921</c:v>
                </c:pt>
                <c:pt idx="234">
                  <c:v>1.2537753695199951</c:v>
                </c:pt>
                <c:pt idx="235">
                  <c:v>1.2750541500157357</c:v>
                </c:pt>
                <c:pt idx="236">
                  <c:v>1.2969264679191927</c:v>
                </c:pt>
                <c:pt idx="237">
                  <c:v>1.3194374734384275</c:v>
                </c:pt>
                <c:pt idx="238">
                  <c:v>1.3426377114882446</c:v>
                </c:pt>
                <c:pt idx="239">
                  <c:v>1.3665840316741558</c:v>
                </c:pt>
                <c:pt idx="240">
                  <c:v>1.3913407002534657</c:v>
                </c:pt>
                <c:pt idx="241">
                  <c:v>1.4169807706927577</c:v>
                </c:pt>
                <c:pt idx="242">
                  <c:v>1.4435877889473323</c:v>
                </c:pt>
                <c:pt idx="243">
                  <c:v>1.4712579371990813</c:v>
                </c:pt>
                <c:pt idx="244">
                  <c:v>1.5001027595109515</c:v>
                </c:pt>
                <c:pt idx="245">
                  <c:v>1.5302526710293167</c:v>
                </c:pt>
                <c:pt idx="246">
                  <c:v>1.5618615392556825</c:v>
                </c:pt>
                <c:pt idx="247">
                  <c:v>1.5951127585631368</c:v>
                </c:pt>
                <c:pt idx="248">
                  <c:v>1.6302274466655646</c:v>
                </c:pt>
                <c:pt idx="249">
                  <c:v>1.6674757254802022</c:v>
                </c:pt>
                <c:pt idx="250">
                  <c:v>1.7071926025024666</c:v>
                </c:pt>
                <c:pt idx="251">
                  <c:v>1.7498009207740837</c:v>
                </c:pt>
                <c:pt idx="252">
                  <c:v>1.7958455512600477</c:v>
                </c:pt>
                <c:pt idx="253">
                  <c:v>1.8460462092017929</c:v>
                </c:pt>
                <c:pt idx="254">
                  <c:v>1.9013826653257473</c:v>
                </c:pt>
                <c:pt idx="255">
                  <c:v>1.9632397668732697</c:v>
                </c:pt>
                <c:pt idx="256">
                  <c:v>2.0336714474073081</c:v>
                </c:pt>
                <c:pt idx="257">
                  <c:v>2.1159254910219962</c:v>
                </c:pt>
                <c:pt idx="258">
                  <c:v>2.2156197184696933</c:v>
                </c:pt>
                <c:pt idx="259">
                  <c:v>2.3438866646343479</c:v>
                </c:pt>
                <c:pt idx="260">
                  <c:v>2.5286448811898179</c:v>
                </c:pt>
                <c:pt idx="261">
                  <c:v>2.8929192678734226</c:v>
                </c:pt>
              </c:numCache>
            </c:numRef>
          </c:xVal>
          <c:yVal>
            <c:numRef>
              <c:f>'F1 - EF1 Analysis'!$I$12:$I$310</c:f>
              <c:numCache>
                <c:formatCode>General</c:formatCode>
                <c:ptCount val="299"/>
                <c:pt idx="0">
                  <c:v>-8.6770418923581332</c:v>
                </c:pt>
                <c:pt idx="1">
                  <c:v>-7.9838947117981878</c:v>
                </c:pt>
                <c:pt idx="2">
                  <c:v>-7.4730690880321973</c:v>
                </c:pt>
                <c:pt idx="3">
                  <c:v>-7.4730690880321973</c:v>
                </c:pt>
                <c:pt idx="4">
                  <c:v>-7.4730690880321973</c:v>
                </c:pt>
                <c:pt idx="5">
                  <c:v>-7.4730690880321973</c:v>
                </c:pt>
                <c:pt idx="6">
                  <c:v>-7.4730690880321973</c:v>
                </c:pt>
                <c:pt idx="7">
                  <c:v>-7.4730690880321973</c:v>
                </c:pt>
                <c:pt idx="8">
                  <c:v>-7.4730690880321973</c:v>
                </c:pt>
                <c:pt idx="9">
                  <c:v>-7.4730690880321973</c:v>
                </c:pt>
                <c:pt idx="10">
                  <c:v>-7.4730690880321973</c:v>
                </c:pt>
                <c:pt idx="11">
                  <c:v>-7.4730690880321973</c:v>
                </c:pt>
                <c:pt idx="12">
                  <c:v>-7.4730690880321973</c:v>
                </c:pt>
                <c:pt idx="13">
                  <c:v>-7.4730690880321973</c:v>
                </c:pt>
                <c:pt idx="14">
                  <c:v>-7.4730690880321973</c:v>
                </c:pt>
                <c:pt idx="15">
                  <c:v>-7.4730690880321973</c:v>
                </c:pt>
                <c:pt idx="16">
                  <c:v>-7.4730690880321973</c:v>
                </c:pt>
                <c:pt idx="17">
                  <c:v>-7.4730690880321973</c:v>
                </c:pt>
                <c:pt idx="18">
                  <c:v>-7.4730690880321973</c:v>
                </c:pt>
                <c:pt idx="19">
                  <c:v>-7.4730690880321973</c:v>
                </c:pt>
                <c:pt idx="20">
                  <c:v>-7.4730690880321973</c:v>
                </c:pt>
                <c:pt idx="21">
                  <c:v>-7.4730690880321973</c:v>
                </c:pt>
                <c:pt idx="22">
                  <c:v>-7.4730690880321973</c:v>
                </c:pt>
                <c:pt idx="23">
                  <c:v>-7.4730690880321973</c:v>
                </c:pt>
                <c:pt idx="24">
                  <c:v>-7.4730690880321973</c:v>
                </c:pt>
                <c:pt idx="25">
                  <c:v>-6.942440836970027</c:v>
                </c:pt>
                <c:pt idx="26">
                  <c:v>-6.942440836970027</c:v>
                </c:pt>
                <c:pt idx="27">
                  <c:v>-6.942440836970027</c:v>
                </c:pt>
                <c:pt idx="28">
                  <c:v>-6.942440836970027</c:v>
                </c:pt>
                <c:pt idx="29">
                  <c:v>-6.942440836970027</c:v>
                </c:pt>
                <c:pt idx="30">
                  <c:v>-6.7799219074722519</c:v>
                </c:pt>
                <c:pt idx="31">
                  <c:v>-6.7799219074722519</c:v>
                </c:pt>
                <c:pt idx="32">
                  <c:v>-6.7799219074722519</c:v>
                </c:pt>
                <c:pt idx="33">
                  <c:v>-6.7799219074722519</c:v>
                </c:pt>
                <c:pt idx="34">
                  <c:v>-6.7799219074722519</c:v>
                </c:pt>
                <c:pt idx="35">
                  <c:v>-6.7799219074722519</c:v>
                </c:pt>
                <c:pt idx="36">
                  <c:v>-6.5567783561580422</c:v>
                </c:pt>
                <c:pt idx="37">
                  <c:v>-6.5175576430047615</c:v>
                </c:pt>
                <c:pt idx="38">
                  <c:v>-6.3744567993640882</c:v>
                </c:pt>
                <c:pt idx="39">
                  <c:v>-6.3744567993640882</c:v>
                </c:pt>
                <c:pt idx="40">
                  <c:v>-6.2791466195597634</c:v>
                </c:pt>
                <c:pt idx="41">
                  <c:v>-6.0867747269123065</c:v>
                </c:pt>
                <c:pt idx="42">
                  <c:v>-5.8636311755980968</c:v>
                </c:pt>
                <c:pt idx="43">
                  <c:v>-5.8636311755980968</c:v>
                </c:pt>
                <c:pt idx="44">
                  <c:v>-5.843828548301917</c:v>
                </c:pt>
                <c:pt idx="45">
                  <c:v>-5.6813096188041428</c:v>
                </c:pt>
                <c:pt idx="46">
                  <c:v>-5.6813096188041428</c:v>
                </c:pt>
                <c:pt idx="47">
                  <c:v>-5.6813096188041428</c:v>
                </c:pt>
                <c:pt idx="48">
                  <c:v>-5.3330029245359265</c:v>
                </c:pt>
                <c:pt idx="49">
                  <c:v>-5.2538656039772027</c:v>
                </c:pt>
                <c:pt idx="50">
                  <c:v>-5.1704839950381514</c:v>
                </c:pt>
                <c:pt idx="51">
                  <c:v>-5.1704839950381514</c:v>
                </c:pt>
                <c:pt idx="52">
                  <c:v>-5.1704839950381514</c:v>
                </c:pt>
                <c:pt idx="53">
                  <c:v>-5.1704839950381514</c:v>
                </c:pt>
                <c:pt idx="54">
                  <c:v>-5.1704839950381514</c:v>
                </c:pt>
                <c:pt idx="55">
                  <c:v>-5.1704839950381514</c:v>
                </c:pt>
                <c:pt idx="56">
                  <c:v>-5.1704839950381514</c:v>
                </c:pt>
                <c:pt idx="57">
                  <c:v>-4.9473404437239417</c:v>
                </c:pt>
                <c:pt idx="58">
                  <c:v>-4.908119730570661</c:v>
                </c:pt>
                <c:pt idx="59">
                  <c:v>-4.7650188869299877</c:v>
                </c:pt>
                <c:pt idx="60">
                  <c:v>-4.7650188869299877</c:v>
                </c:pt>
                <c:pt idx="61">
                  <c:v>-4.7650188869299877</c:v>
                </c:pt>
                <c:pt idx="62">
                  <c:v>-4.6697087071256629</c:v>
                </c:pt>
                <c:pt idx="63">
                  <c:v>-4.6697087071256629</c:v>
                </c:pt>
                <c:pt idx="64">
                  <c:v>-4.6697087071256629</c:v>
                </c:pt>
                <c:pt idx="65">
                  <c:v>-4.6398557439759811</c:v>
                </c:pt>
                <c:pt idx="66">
                  <c:v>-4.6398557439759811</c:v>
                </c:pt>
                <c:pt idx="67">
                  <c:v>-4.6398557439759811</c:v>
                </c:pt>
                <c:pt idx="68">
                  <c:v>-4.6398557439759811</c:v>
                </c:pt>
                <c:pt idx="69">
                  <c:v>-4.6398557439759811</c:v>
                </c:pt>
                <c:pt idx="70">
                  <c:v>-4.5826973301360328</c:v>
                </c:pt>
                <c:pt idx="71">
                  <c:v>-4.5826973301360328</c:v>
                </c:pt>
                <c:pt idx="72">
                  <c:v>-4.5339071659666006</c:v>
                </c:pt>
                <c:pt idx="73">
                  <c:v>-4.4773368144782069</c:v>
                </c:pt>
                <c:pt idx="74">
                  <c:v>-4.4773368144782069</c:v>
                </c:pt>
                <c:pt idx="75">
                  <c:v>-4.4773368144782069</c:v>
                </c:pt>
                <c:pt idx="76">
                  <c:v>-4.4773368144782069</c:v>
                </c:pt>
                <c:pt idx="77">
                  <c:v>-4.4773368144782069</c:v>
                </c:pt>
                <c:pt idx="78">
                  <c:v>-4.4773368144782069</c:v>
                </c:pt>
                <c:pt idx="79">
                  <c:v>-4.4773368144782069</c:v>
                </c:pt>
                <c:pt idx="80">
                  <c:v>-4.4773368144782069</c:v>
                </c:pt>
                <c:pt idx="81">
                  <c:v>-4.4773368144782069</c:v>
                </c:pt>
                <c:pt idx="82">
                  <c:v>-4.4773368144782069</c:v>
                </c:pt>
                <c:pt idx="83">
                  <c:v>-4.4773368144782069</c:v>
                </c:pt>
                <c:pt idx="84">
                  <c:v>-4.3934553304975044</c:v>
                </c:pt>
                <c:pt idx="85">
                  <c:v>-4.3820266346738812</c:v>
                </c:pt>
                <c:pt idx="86">
                  <c:v>-4.359553778821823</c:v>
                </c:pt>
                <c:pt idx="87">
                  <c:v>-4.2541932631639972</c:v>
                </c:pt>
                <c:pt idx="88">
                  <c:v>-4.0718717063700423</c:v>
                </c:pt>
                <c:pt idx="89">
                  <c:v>-4.0718717063700423</c:v>
                </c:pt>
                <c:pt idx="90">
                  <c:v>-4.0718717063700423</c:v>
                </c:pt>
                <c:pt idx="91">
                  <c:v>-3.9765615265657175</c:v>
                </c:pt>
                <c:pt idx="92">
                  <c:v>-3.8354829283058116</c:v>
                </c:pt>
                <c:pt idx="93">
                  <c:v>-3.822410846738459</c:v>
                </c:pt>
                <c:pt idx="94">
                  <c:v>-3.784189633918261</c:v>
                </c:pt>
                <c:pt idx="95">
                  <c:v>-3.784189633918261</c:v>
                </c:pt>
                <c:pt idx="96">
                  <c:v>-3.784189633918261</c:v>
                </c:pt>
                <c:pt idx="97">
                  <c:v>-3.7141972620982262</c:v>
                </c:pt>
                <c:pt idx="98">
                  <c:v>-3.6888794541139363</c:v>
                </c:pt>
                <c:pt idx="99">
                  <c:v>-3.6664065982618776</c:v>
                </c:pt>
                <c:pt idx="100">
                  <c:v>-3.6444276915431026</c:v>
                </c:pt>
                <c:pt idx="101">
                  <c:v>-3.5610460826040513</c:v>
                </c:pt>
                <c:pt idx="102">
                  <c:v>-3.5610460826040513</c:v>
                </c:pt>
                <c:pt idx="103">
                  <c:v>-3.5610460826040513</c:v>
                </c:pt>
                <c:pt idx="104">
                  <c:v>-3.4840850414679232</c:v>
                </c:pt>
                <c:pt idx="105">
                  <c:v>-3.4657359027997265</c:v>
                </c:pt>
                <c:pt idx="106">
                  <c:v>-3.4657359027997265</c:v>
                </c:pt>
                <c:pt idx="107">
                  <c:v>-3.3787245258100969</c:v>
                </c:pt>
                <c:pt idx="108">
                  <c:v>-3.3787245258100969</c:v>
                </c:pt>
                <c:pt idx="109">
                  <c:v>-3.3787245258100969</c:v>
                </c:pt>
                <c:pt idx="110">
                  <c:v>-3.3787245258100969</c:v>
                </c:pt>
                <c:pt idx="111">
                  <c:v>-3.3787245258100969</c:v>
                </c:pt>
                <c:pt idx="112">
                  <c:v>-3.3787245258100969</c:v>
                </c:pt>
                <c:pt idx="113">
                  <c:v>-3.3787245258100969</c:v>
                </c:pt>
                <c:pt idx="114">
                  <c:v>-3.360557221854648</c:v>
                </c:pt>
                <c:pt idx="115">
                  <c:v>-3.311065877336282</c:v>
                </c:pt>
                <c:pt idx="116">
                  <c:v>-3.2834143460057721</c:v>
                </c:pt>
                <c:pt idx="117">
                  <c:v>-3.2834143460057721</c:v>
                </c:pt>
                <c:pt idx="118">
                  <c:v>-3.196402969016142</c:v>
                </c:pt>
                <c:pt idx="119">
                  <c:v>-3.1690039948280275</c:v>
                </c:pt>
                <c:pt idx="120">
                  <c:v>-3.1555809744958871</c:v>
                </c:pt>
                <c:pt idx="121">
                  <c:v>-3.106790810326455</c:v>
                </c:pt>
                <c:pt idx="122">
                  <c:v>-3.0187217917786899</c:v>
                </c:pt>
                <c:pt idx="123">
                  <c:v>-2.9732594177019327</c:v>
                </c:pt>
                <c:pt idx="124">
                  <c:v>-2.9732594177019327</c:v>
                </c:pt>
                <c:pt idx="125">
                  <c:v>-2.8779492378976075</c:v>
                </c:pt>
                <c:pt idx="126">
                  <c:v>-2.8678989020441059</c:v>
                </c:pt>
                <c:pt idx="127">
                  <c:v>-2.8678989020441059</c:v>
                </c:pt>
                <c:pt idx="128">
                  <c:v>-2.8678989020441059</c:v>
                </c:pt>
                <c:pt idx="129">
                  <c:v>-2.8678989020441059</c:v>
                </c:pt>
                <c:pt idx="130">
                  <c:v>-2.8678989020441059</c:v>
                </c:pt>
                <c:pt idx="131">
                  <c:v>-2.8678989020441059</c:v>
                </c:pt>
                <c:pt idx="132">
                  <c:v>-2.8678989020441059</c:v>
                </c:pt>
                <c:pt idx="133">
                  <c:v>-2.8678989020441059</c:v>
                </c:pt>
                <c:pt idx="134">
                  <c:v>-2.8678989020441059</c:v>
                </c:pt>
                <c:pt idx="135">
                  <c:v>-2.7023844635665326</c:v>
                </c:pt>
                <c:pt idx="136">
                  <c:v>-2.6855773452501515</c:v>
                </c:pt>
                <c:pt idx="137">
                  <c:v>-2.6527875224271606</c:v>
                </c:pt>
                <c:pt idx="138">
                  <c:v>-2.6367871810807193</c:v>
                </c:pt>
                <c:pt idx="139">
                  <c:v>-2.6210388241125804</c:v>
                </c:pt>
                <c:pt idx="140">
                  <c:v>-2.5458154028749931</c:v>
                </c:pt>
                <c:pt idx="141">
                  <c:v>-2.5179465038662006</c:v>
                </c:pt>
                <c:pt idx="142">
                  <c:v>-2.4758568142680826</c:v>
                </c:pt>
                <c:pt idx="143">
                  <c:v>-2.4624337939359418</c:v>
                </c:pt>
                <c:pt idx="144">
                  <c:v>-2.4624337939359418</c:v>
                </c:pt>
                <c:pt idx="145">
                  <c:v>-2.4624337939359418</c:v>
                </c:pt>
                <c:pt idx="146">
                  <c:v>-2.4624337939359418</c:v>
                </c:pt>
                <c:pt idx="147">
                  <c:v>-2.367123614131617</c:v>
                </c:pt>
                <c:pt idx="148">
                  <c:v>-2.2801122371419873</c:v>
                </c:pt>
                <c:pt idx="149">
                  <c:v>-2.2801122371419869</c:v>
                </c:pt>
                <c:pt idx="150">
                  <c:v>-2.174751721484161</c:v>
                </c:pt>
                <c:pt idx="151">
                  <c:v>-2.174751721484161</c:v>
                </c:pt>
                <c:pt idx="152">
                  <c:v>-2.174751721484161</c:v>
                </c:pt>
                <c:pt idx="153">
                  <c:v>-2.174751721484161</c:v>
                </c:pt>
                <c:pt idx="154">
                  <c:v>-2.1667835518349841</c:v>
                </c:pt>
                <c:pt idx="155">
                  <c:v>-2.0569686858277771</c:v>
                </c:pt>
                <c:pt idx="156">
                  <c:v>-1.9924301646902063</c:v>
                </c:pt>
                <c:pt idx="157">
                  <c:v>-1.9924301646902063</c:v>
                </c:pt>
                <c:pt idx="158">
                  <c:v>-1.984131361875511</c:v>
                </c:pt>
                <c:pt idx="159">
                  <c:v>-1.975081526355593</c:v>
                </c:pt>
                <c:pt idx="160">
                  <c:v>-1.951608170169951</c:v>
                </c:pt>
                <c:pt idx="161">
                  <c:v>-1.8971199848858813</c:v>
                </c:pt>
                <c:pt idx="162">
                  <c:v>-1.8562979903656263</c:v>
                </c:pt>
                <c:pt idx="163">
                  <c:v>-1.8382794848629478</c:v>
                </c:pt>
                <c:pt idx="164">
                  <c:v>-1.7692866133759966</c:v>
                </c:pt>
                <c:pt idx="165">
                  <c:v>-1.7692866133759966</c:v>
                </c:pt>
                <c:pt idx="166">
                  <c:v>-1.7692866133759966</c:v>
                </c:pt>
                <c:pt idx="167">
                  <c:v>-1.7692866133759966</c:v>
                </c:pt>
                <c:pt idx="168">
                  <c:v>-1.6094379124341003</c:v>
                </c:pt>
                <c:pt idx="169">
                  <c:v>-1.5869650565820419</c:v>
                </c:pt>
                <c:pt idx="170">
                  <c:v>-1.5869650565820419</c:v>
                </c:pt>
                <c:pt idx="171">
                  <c:v>-1.5704357546308312</c:v>
                </c:pt>
                <c:pt idx="172">
                  <c:v>-1.5461430620617869</c:v>
                </c:pt>
                <c:pt idx="173">
                  <c:v>-1.5069223489085053</c:v>
                </c:pt>
                <c:pt idx="174">
                  <c:v>-1.4916548767777169</c:v>
                </c:pt>
                <c:pt idx="175">
                  <c:v>-1.4816045409242156</c:v>
                </c:pt>
                <c:pt idx="176">
                  <c:v>-1.4716542100710475</c:v>
                </c:pt>
                <c:pt idx="177">
                  <c:v>-1.4716542100710475</c:v>
                </c:pt>
                <c:pt idx="178">
                  <c:v>-1.3516733713321845</c:v>
                </c:pt>
                <c:pt idx="179">
                  <c:v>-1.2786636969275254</c:v>
                </c:pt>
                <c:pt idx="180">
                  <c:v>-1.2584609896100056</c:v>
                </c:pt>
                <c:pt idx="181">
                  <c:v>-1.216551586532796</c:v>
                </c:pt>
                <c:pt idx="182">
                  <c:v>-1.1631508098056809</c:v>
                </c:pt>
                <c:pt idx="183">
                  <c:v>-1.1353587924760224</c:v>
                </c:pt>
                <c:pt idx="184">
                  <c:v>-1.0761394328160512</c:v>
                </c:pt>
                <c:pt idx="185">
                  <c:v>-1.0761394328160512</c:v>
                </c:pt>
                <c:pt idx="186">
                  <c:v>-1.0761394328160512</c:v>
                </c:pt>
                <c:pt idx="187">
                  <c:v>-1.0761394328160512</c:v>
                </c:pt>
                <c:pt idx="188">
                  <c:v>-1.0761394328160512</c:v>
                </c:pt>
                <c:pt idx="189">
                  <c:v>-1.0761394328160512</c:v>
                </c:pt>
                <c:pt idx="190">
                  <c:v>-1.0761394328160512</c:v>
                </c:pt>
                <c:pt idx="191">
                  <c:v>-1.0761394328160512</c:v>
                </c:pt>
                <c:pt idx="192">
                  <c:v>-1.0761394328160512</c:v>
                </c:pt>
                <c:pt idx="193">
                  <c:v>-1.0194440891395058</c:v>
                </c:pt>
                <c:pt idx="194">
                  <c:v>-0.96281074750904783</c:v>
                </c:pt>
                <c:pt idx="195">
                  <c:v>-0.88002455388976064</c:v>
                </c:pt>
                <c:pt idx="196">
                  <c:v>-0.85299588150184136</c:v>
                </c:pt>
                <c:pt idx="197">
                  <c:v>-0.79096049058238882</c:v>
                </c:pt>
                <c:pt idx="198">
                  <c:v>-0.78845736036427017</c:v>
                </c:pt>
                <c:pt idx="199">
                  <c:v>-0.78845736036427017</c:v>
                </c:pt>
                <c:pt idx="200">
                  <c:v>-0.78845736036427005</c:v>
                </c:pt>
                <c:pt idx="201">
                  <c:v>-0.75164338724155377</c:v>
                </c:pt>
                <c:pt idx="202">
                  <c:v>-0.73966719619483812</c:v>
                </c:pt>
                <c:pt idx="203">
                  <c:v>-0.69456864490732273</c:v>
                </c:pt>
                <c:pt idx="204">
                  <c:v>-0.67067432470788668</c:v>
                </c:pt>
                <c:pt idx="205">
                  <c:v>-0.62718921276814799</c:v>
                </c:pt>
                <c:pt idx="206">
                  <c:v>-0.56531380905006057</c:v>
                </c:pt>
                <c:pt idx="207">
                  <c:v>-0.56531380905006057</c:v>
                </c:pt>
                <c:pt idx="208">
                  <c:v>-0.56531380905006057</c:v>
                </c:pt>
                <c:pt idx="209">
                  <c:v>-0.56531380905006035</c:v>
                </c:pt>
                <c:pt idx="210">
                  <c:v>-0.54423748344814415</c:v>
                </c:pt>
                <c:pt idx="211">
                  <c:v>-0.531879032963823</c:v>
                </c:pt>
                <c:pt idx="212">
                  <c:v>-0.47867750239051388</c:v>
                </c:pt>
                <c:pt idx="213">
                  <c:v>-0.45198512374305727</c:v>
                </c:pt>
                <c:pt idx="214">
                  <c:v>-0.42555186667490169</c:v>
                </c:pt>
                <c:pt idx="215">
                  <c:v>-0.42346708482182405</c:v>
                </c:pt>
                <c:pt idx="216">
                  <c:v>-0.42034803879987465</c:v>
                </c:pt>
                <c:pt idx="217">
                  <c:v>-0.41388110528985111</c:v>
                </c:pt>
                <c:pt idx="218">
                  <c:v>-0.351009206403055</c:v>
                </c:pt>
                <c:pt idx="219">
                  <c:v>-0.34217025773585069</c:v>
                </c:pt>
                <c:pt idx="220">
                  <c:v>-0.31183505793977778</c:v>
                </c:pt>
                <c:pt idx="221">
                  <c:v>-0.22884157242884753</c:v>
                </c:pt>
                <c:pt idx="222">
                  <c:v>-0.22314355131420971</c:v>
                </c:pt>
                <c:pt idx="223">
                  <c:v>-0.21072103131565253</c:v>
                </c:pt>
                <c:pt idx="224">
                  <c:v>-0.18332205712753813</c:v>
                </c:pt>
                <c:pt idx="225">
                  <c:v>-0.10725625082272555</c:v>
                </c:pt>
                <c:pt idx="226">
                  <c:v>-6.5751377562780419E-2</c:v>
                </c:pt>
                <c:pt idx="227">
                  <c:v>-6.4538521137571178E-2</c:v>
                </c:pt>
                <c:pt idx="228">
                  <c:v>-5.3688505113505487E-2</c:v>
                </c:pt>
                <c:pt idx="229">
                  <c:v>7.2320661579626078E-2</c:v>
                </c:pt>
                <c:pt idx="230">
                  <c:v>0.17662353567931685</c:v>
                </c:pt>
                <c:pt idx="231">
                  <c:v>0.20294084399669038</c:v>
                </c:pt>
                <c:pt idx="232">
                  <c:v>0.35097692282409476</c:v>
                </c:pt>
                <c:pt idx="233">
                  <c:v>0.40546510810816438</c:v>
                </c:pt>
                <c:pt idx="234">
                  <c:v>0.40546510810816438</c:v>
                </c:pt>
                <c:pt idx="235">
                  <c:v>0.40713038742722557</c:v>
                </c:pt>
                <c:pt idx="236">
                  <c:v>0.41045264961920352</c:v>
                </c:pt>
                <c:pt idx="237">
                  <c:v>0.53329847961804921</c:v>
                </c:pt>
                <c:pt idx="238">
                  <c:v>0.57941841523160231</c:v>
                </c:pt>
                <c:pt idx="239">
                  <c:v>0.62860865942237409</c:v>
                </c:pt>
                <c:pt idx="240">
                  <c:v>0.66957609791059713</c:v>
                </c:pt>
                <c:pt idx="241">
                  <c:v>0.82148042711148106</c:v>
                </c:pt>
                <c:pt idx="242">
                  <c:v>0.93095540527840204</c:v>
                </c:pt>
                <c:pt idx="243">
                  <c:v>1.0473189942805592</c:v>
                </c:pt>
                <c:pt idx="244">
                  <c:v>1.1175975885791904</c:v>
                </c:pt>
                <c:pt idx="245">
                  <c:v>1.1303017996250924</c:v>
                </c:pt>
                <c:pt idx="246">
                  <c:v>1.3293030456177024</c:v>
                </c:pt>
                <c:pt idx="247">
                  <c:v>1.4169833717432898</c:v>
                </c:pt>
                <c:pt idx="248">
                  <c:v>1.6770965609079151</c:v>
                </c:pt>
                <c:pt idx="249">
                  <c:v>1.7001922757025645</c:v>
                </c:pt>
                <c:pt idx="250">
                  <c:v>1.7137979277583431</c:v>
                </c:pt>
                <c:pt idx="251">
                  <c:v>1.9139771019523042</c:v>
                </c:pt>
                <c:pt idx="252">
                  <c:v>1.9154174693274593</c:v>
                </c:pt>
                <c:pt idx="253">
                  <c:v>2.0149030205422647</c:v>
                </c:pt>
                <c:pt idx="254">
                  <c:v>2.066862759472976</c:v>
                </c:pt>
                <c:pt idx="255">
                  <c:v>2.1090003439213802</c:v>
                </c:pt>
                <c:pt idx="256">
                  <c:v>2.1517622032594619</c:v>
                </c:pt>
                <c:pt idx="257">
                  <c:v>2.7080502011022101</c:v>
                </c:pt>
                <c:pt idx="258">
                  <c:v>2.7942278973432626</c:v>
                </c:pt>
                <c:pt idx="259">
                  <c:v>2.8594829048624195</c:v>
                </c:pt>
                <c:pt idx="260">
                  <c:v>2.8861963864856839</c:v>
                </c:pt>
                <c:pt idx="261">
                  <c:v>3.478158422798284</c:v>
                </c:pt>
              </c:numCache>
            </c:numRef>
          </c:yVal>
          <c:smooth val="0"/>
          <c:extLst xmlns:c16r2="http://schemas.microsoft.com/office/drawing/2015/06/chart">
            <c:ext xmlns:c16="http://schemas.microsoft.com/office/drawing/2014/chart" uri="{C3380CC4-5D6E-409C-BE32-E72D297353CC}">
              <c16:uniqueId val="{00000000-00BC-4C80-8015-AF6D03D4A879}"/>
            </c:ext>
          </c:extLst>
        </c:ser>
        <c:dLbls>
          <c:showLegendKey val="0"/>
          <c:showVal val="0"/>
          <c:showCatName val="0"/>
          <c:showSerName val="0"/>
          <c:showPercent val="0"/>
          <c:showBubbleSize val="0"/>
        </c:dLbls>
        <c:axId val="166305152"/>
        <c:axId val="166311808"/>
      </c:scatterChart>
      <c:valAx>
        <c:axId val="166305152"/>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722530521642638"/>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6311808"/>
        <c:crossesAt val="-10"/>
        <c:crossBetween val="midCat"/>
      </c:valAx>
      <c:valAx>
        <c:axId val="1663118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6305152"/>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F2 Width Analysis</a:t>
            </a:r>
          </a:p>
        </c:rich>
      </c:tx>
      <c:layout>
        <c:manualLayout>
          <c:xMode val="edge"/>
          <c:yMode val="edge"/>
          <c:x val="0.42064372918978932"/>
          <c:y val="1.9575856443719449E-2"/>
        </c:manualLayout>
      </c:layout>
      <c:overlay val="0"/>
      <c:spPr>
        <a:noFill/>
        <a:ln w="25400">
          <a:noFill/>
        </a:ln>
      </c:spPr>
    </c:title>
    <c:autoTitleDeleted val="0"/>
    <c:plotArea>
      <c:layout>
        <c:manualLayout>
          <c:layoutTarget val="inner"/>
          <c:xMode val="edge"/>
          <c:yMode val="edge"/>
          <c:x val="5.8823529411764705E-2"/>
          <c:y val="0.12234910277324648"/>
          <c:w val="0.9223085460599334"/>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'F2 - EF2 Analysis'!$F$12:$F$210</c:f>
              <c:numCache>
                <c:formatCode>General</c:formatCode>
                <c:ptCount val="199"/>
                <c:pt idx="0">
                  <c:v>-2.6828730125874056</c:v>
                </c:pt>
                <c:pt idx="1">
                  <c:v>-2.2921357641631155</c:v>
                </c:pt>
                <c:pt idx="2">
                  <c:v>-2.0913539118795437</c:v>
                </c:pt>
                <c:pt idx="3">
                  <c:v>-1.9506819612496027</c:v>
                </c:pt>
                <c:pt idx="4">
                  <c:v>-1.8405097738970768</c:v>
                </c:pt>
                <c:pt idx="5">
                  <c:v>-1.7489944960886423</c:v>
                </c:pt>
                <c:pt idx="6">
                  <c:v>-1.6701458480348186</c:v>
                </c:pt>
                <c:pt idx="7">
                  <c:v>-1.6004939360412309</c:v>
                </c:pt>
                <c:pt idx="8">
                  <c:v>-1.537840610864756</c:v>
                </c:pt>
                <c:pt idx="9">
                  <c:v>-1.4807015101747427</c:v>
                </c:pt>
                <c:pt idx="10">
                  <c:v>-1.4280249699576559</c:v>
                </c:pt>
                <c:pt idx="11">
                  <c:v>-1.3790374366159088</c:v>
                </c:pt>
                <c:pt idx="12">
                  <c:v>-1.3331525358280887</c:v>
                </c:pt>
                <c:pt idx="13">
                  <c:v>-1.2899146547910327</c:v>
                </c:pt>
                <c:pt idx="14">
                  <c:v>-1.2489623848000839</c:v>
                </c:pt>
                <c:pt idx="15">
                  <c:v>-1.2100039628572927</c:v>
                </c:pt>
                <c:pt idx="16">
                  <c:v>-1.1728002636200223</c:v>
                </c:pt>
                <c:pt idx="17">
                  <c:v>-1.1371527090780242</c:v>
                </c:pt>
                <c:pt idx="18">
                  <c:v>-1.1028944776204754</c:v>
                </c:pt>
                <c:pt idx="19">
                  <c:v>-1.0698839844739778</c:v>
                </c:pt>
                <c:pt idx="20">
                  <c:v>-1.037999961538197</c:v>
                </c:pt>
                <c:pt idx="21">
                  <c:v>-1.0071376861882799</c:v>
                </c:pt>
                <c:pt idx="22">
                  <c:v>-0.97720605030376595</c:v>
                </c:pt>
                <c:pt idx="23">
                  <c:v>-0.9481252536440512</c:v>
                </c:pt>
                <c:pt idx="24">
                  <c:v>-0.9198249678932835</c:v>
                </c:pt>
                <c:pt idx="25">
                  <c:v>-0.8922428601924105</c:v>
                </c:pt>
                <c:pt idx="26">
                  <c:v>-0.86532339452865425</c:v>
                </c:pt>
                <c:pt idx="27">
                  <c:v>-0.83901685024068029</c:v>
                </c:pt>
                <c:pt idx="28">
                  <c:v>-0.81327851188156097</c:v>
                </c:pt>
                <c:pt idx="29">
                  <c:v>-0.78806799557729368</c:v>
                </c:pt>
                <c:pt idx="30">
                  <c:v>-0.76334868504124276</c:v>
                </c:pt>
                <c:pt idx="31">
                  <c:v>-0.73908725638057371</c:v>
                </c:pt>
                <c:pt idx="32">
                  <c:v>-0.71525327532990435</c:v>
                </c:pt>
                <c:pt idx="33">
                  <c:v>-0.69181885396849097</c:v>
                </c:pt>
                <c:pt idx="34">
                  <c:v>-0.66875835660309491</c:v>
                </c:pt>
                <c:pt idx="35">
                  <c:v>-0.64604814653141884</c:v>
                </c:pt>
                <c:pt idx="36">
                  <c:v>-0.62366636698757649</c:v>
                </c:pt>
                <c:pt idx="37">
                  <c:v>-0.60159275081877228</c:v>
                </c:pt>
                <c:pt idx="38">
                  <c:v>-0.579808454430637</c:v>
                </c:pt>
                <c:pt idx="39">
                  <c:v>-0.55829591232674869</c:v>
                </c:pt>
                <c:pt idx="40">
                  <c:v>-0.53703870920027352</c:v>
                </c:pt>
                <c:pt idx="41">
                  <c:v>-0.51602146704622143</c:v>
                </c:pt>
                <c:pt idx="42">
                  <c:v>-0.49522974517731161</c:v>
                </c:pt>
                <c:pt idx="43">
                  <c:v>-0.47464995136478644</c:v>
                </c:pt>
                <c:pt idx="44">
                  <c:v>-0.45426926260306744</c:v>
                </c:pt>
                <c:pt idx="45">
                  <c:v>-0.43407555422595223</c:v>
                </c:pt>
                <c:pt idx="46">
                  <c:v>-0.41405733629151137</c:v>
                </c:pt>
                <c:pt idx="47">
                  <c:v>-0.39420369631040153</c:v>
                </c:pt>
                <c:pt idx="48">
                  <c:v>-0.37450424752387929</c:v>
                </c:pt>
                <c:pt idx="49">
                  <c:v>-0.35494908204806463</c:v>
                </c:pt>
                <c:pt idx="50">
                  <c:v>-0.33552872829378111</c:v>
                </c:pt>
                <c:pt idx="51">
                  <c:v>-0.31623411214957631</c:v>
                </c:pt>
                <c:pt idx="52">
                  <c:v>-0.29705652148182426</c:v>
                </c:pt>
                <c:pt idx="53">
                  <c:v>-0.27798757356208736</c:v>
                </c:pt>
                <c:pt idx="54">
                  <c:v>-0.25901918507982119</c:v>
                </c:pt>
                <c:pt idx="55">
                  <c:v>-0.24014354443937477</c:v>
                </c:pt>
                <c:pt idx="56">
                  <c:v>-0.22135308607517393</c:v>
                </c:pt>
                <c:pt idx="57">
                  <c:v>-0.20264046654887435</c:v>
                </c:pt>
                <c:pt idx="58">
                  <c:v>-0.18399854221788967</c:v>
                </c:pt>
                <c:pt idx="59">
                  <c:v>-0.16542034828665858</c:v>
                </c:pt>
                <c:pt idx="60">
                  <c:v>-0.14689907907082775</c:v>
                </c:pt>
                <c:pt idx="61">
                  <c:v>-0.12842806932061654</c:v>
                </c:pt>
                <c:pt idx="62">
                  <c:v>-0.11000077646337013</c:v>
                </c:pt>
                <c:pt idx="63">
                  <c:v>-9.1610763636967629E-2</c:v>
                </c:pt>
                <c:pt idx="64">
                  <c:v>-7.3251683395603423E-2</c:v>
                </c:pt>
                <c:pt idx="65">
                  <c:v>-5.4917261977687724E-2</c:v>
                </c:pt>
                <c:pt idx="66">
                  <c:v>-3.6601284032390755E-2</c:v>
                </c:pt>
                <c:pt idx="67">
                  <c:v>-1.8297577706810939E-2</c:v>
                </c:pt>
                <c:pt idx="68">
                  <c:v>0</c:v>
                </c:pt>
                <c:pt idx="69">
                  <c:v>1.8297577706810939E-2</c:v>
                </c:pt>
                <c:pt idx="70">
                  <c:v>3.6601284032390755E-2</c:v>
                </c:pt>
                <c:pt idx="71">
                  <c:v>5.4917261977687724E-2</c:v>
                </c:pt>
                <c:pt idx="72">
                  <c:v>7.3251683395603284E-2</c:v>
                </c:pt>
                <c:pt idx="73">
                  <c:v>9.161076363696749E-2</c:v>
                </c:pt>
                <c:pt idx="74">
                  <c:v>0.11000077646336999</c:v>
                </c:pt>
                <c:pt idx="75">
                  <c:v>0.12842806932061668</c:v>
                </c:pt>
                <c:pt idx="76">
                  <c:v>0.14689907907082789</c:v>
                </c:pt>
                <c:pt idx="77">
                  <c:v>0.16542034828665872</c:v>
                </c:pt>
                <c:pt idx="78">
                  <c:v>0.18399854221788967</c:v>
                </c:pt>
                <c:pt idx="79">
                  <c:v>0.20264046654887435</c:v>
                </c:pt>
                <c:pt idx="80">
                  <c:v>0.22135308607517393</c:v>
                </c:pt>
                <c:pt idx="81">
                  <c:v>0.24014354443937477</c:v>
                </c:pt>
                <c:pt idx="82">
                  <c:v>0.25901918507982119</c:v>
                </c:pt>
                <c:pt idx="83">
                  <c:v>0.27798757356208736</c:v>
                </c:pt>
                <c:pt idx="84">
                  <c:v>0.2970565214818241</c:v>
                </c:pt>
                <c:pt idx="85">
                  <c:v>0.3162341121495762</c:v>
                </c:pt>
                <c:pt idx="86">
                  <c:v>0.33552872829378094</c:v>
                </c:pt>
                <c:pt idx="87">
                  <c:v>0.35494908204806469</c:v>
                </c:pt>
                <c:pt idx="88">
                  <c:v>0.3745042475238794</c:v>
                </c:pt>
                <c:pt idx="89">
                  <c:v>0.39420369631040175</c:v>
                </c:pt>
                <c:pt idx="90">
                  <c:v>0.41405733629151137</c:v>
                </c:pt>
                <c:pt idx="91">
                  <c:v>0.43407555422595223</c:v>
                </c:pt>
                <c:pt idx="92">
                  <c:v>0.45426926260306744</c:v>
                </c:pt>
                <c:pt idx="93">
                  <c:v>0.47464995136478644</c:v>
                </c:pt>
                <c:pt idx="94">
                  <c:v>0.49522974517731161</c:v>
                </c:pt>
                <c:pt idx="95">
                  <c:v>0.51602146704622143</c:v>
                </c:pt>
                <c:pt idx="96">
                  <c:v>0.53703870920027352</c:v>
                </c:pt>
                <c:pt idx="97">
                  <c:v>0.55829591232674869</c:v>
                </c:pt>
                <c:pt idx="98">
                  <c:v>0.579808454430637</c:v>
                </c:pt>
                <c:pt idx="99">
                  <c:v>0.60159275081877217</c:v>
                </c:pt>
                <c:pt idx="100">
                  <c:v>0.62366636698757638</c:v>
                </c:pt>
                <c:pt idx="101">
                  <c:v>0.64604814653141884</c:v>
                </c:pt>
                <c:pt idx="102">
                  <c:v>0.66875835660309513</c:v>
                </c:pt>
                <c:pt idx="103">
                  <c:v>0.69181885396849097</c:v>
                </c:pt>
                <c:pt idx="104">
                  <c:v>0.71525327532990435</c:v>
                </c:pt>
                <c:pt idx="105">
                  <c:v>0.73908725638057371</c:v>
                </c:pt>
                <c:pt idx="106">
                  <c:v>0.76334868504124276</c:v>
                </c:pt>
                <c:pt idx="107">
                  <c:v>0.78806799557729368</c:v>
                </c:pt>
                <c:pt idx="108">
                  <c:v>0.81327851188156097</c:v>
                </c:pt>
                <c:pt idx="109">
                  <c:v>0.83901685024068029</c:v>
                </c:pt>
                <c:pt idx="110">
                  <c:v>0.86532339452865425</c:v>
                </c:pt>
                <c:pt idx="111">
                  <c:v>0.89224286019240973</c:v>
                </c:pt>
                <c:pt idx="112">
                  <c:v>0.91982496789328505</c:v>
                </c:pt>
                <c:pt idx="113">
                  <c:v>0.94812525364405054</c:v>
                </c:pt>
                <c:pt idx="114">
                  <c:v>0.97720605030376595</c:v>
                </c:pt>
                <c:pt idx="115">
                  <c:v>1.0071376861882799</c:v>
                </c:pt>
                <c:pt idx="116">
                  <c:v>1.037999961538197</c:v>
                </c:pt>
                <c:pt idx="117">
                  <c:v>1.0698839844739778</c:v>
                </c:pt>
                <c:pt idx="118">
                  <c:v>1.1028944776204754</c:v>
                </c:pt>
                <c:pt idx="119">
                  <c:v>1.1371527090780242</c:v>
                </c:pt>
                <c:pt idx="120">
                  <c:v>1.1728002636200223</c:v>
                </c:pt>
                <c:pt idx="121">
                  <c:v>1.2100039628572927</c:v>
                </c:pt>
                <c:pt idx="122">
                  <c:v>1.2489623848000828</c:v>
                </c:pt>
                <c:pt idx="123">
                  <c:v>1.2899146547910303</c:v>
                </c:pt>
                <c:pt idx="124">
                  <c:v>1.333152535828088</c:v>
                </c:pt>
                <c:pt idx="125">
                  <c:v>1.3790374366159073</c:v>
                </c:pt>
                <c:pt idx="126">
                  <c:v>1.4280249699576566</c:v>
                </c:pt>
                <c:pt idx="127">
                  <c:v>1.4807015101747432</c:v>
                </c:pt>
                <c:pt idx="128">
                  <c:v>1.537840610864756</c:v>
                </c:pt>
                <c:pt idx="129">
                  <c:v>1.6004939360412309</c:v>
                </c:pt>
                <c:pt idx="130">
                  <c:v>1.6701458480348186</c:v>
                </c:pt>
                <c:pt idx="131">
                  <c:v>1.7489944960886423</c:v>
                </c:pt>
                <c:pt idx="132">
                  <c:v>1.8405097738970768</c:v>
                </c:pt>
                <c:pt idx="133">
                  <c:v>1.9506819612496025</c:v>
                </c:pt>
                <c:pt idx="134">
                  <c:v>2.0913539118795432</c:v>
                </c:pt>
                <c:pt idx="135">
                  <c:v>2.2921357641631146</c:v>
                </c:pt>
                <c:pt idx="136">
                  <c:v>2.6828730125874012</c:v>
                </c:pt>
              </c:numCache>
            </c:numRef>
          </c:xVal>
          <c:yVal>
            <c:numRef>
              <c:f>'F2 - EF2 Analysis'!$G$12:$G$210</c:f>
              <c:numCache>
                <c:formatCode>General</c:formatCode>
                <c:ptCount val="199"/>
                <c:pt idx="0">
                  <c:v>2.3025850929940459</c:v>
                </c:pt>
                <c:pt idx="1">
                  <c:v>2.3025850929940459</c:v>
                </c:pt>
                <c:pt idx="2">
                  <c:v>2.3025850929940459</c:v>
                </c:pt>
                <c:pt idx="3">
                  <c:v>2.3025850929940459</c:v>
                </c:pt>
                <c:pt idx="4">
                  <c:v>2.3025850929940459</c:v>
                </c:pt>
                <c:pt idx="5">
                  <c:v>2.3025850929940459</c:v>
                </c:pt>
                <c:pt idx="6">
                  <c:v>2.3025850929940459</c:v>
                </c:pt>
                <c:pt idx="7">
                  <c:v>2.3025850929940459</c:v>
                </c:pt>
                <c:pt idx="8">
                  <c:v>2.3025850929940459</c:v>
                </c:pt>
                <c:pt idx="9">
                  <c:v>2.3025850929940459</c:v>
                </c:pt>
                <c:pt idx="10">
                  <c:v>2.3025850929940459</c:v>
                </c:pt>
                <c:pt idx="11">
                  <c:v>2.3025850929940459</c:v>
                </c:pt>
                <c:pt idx="12">
                  <c:v>2.3025850929940459</c:v>
                </c:pt>
                <c:pt idx="13">
                  <c:v>2.3025850929940459</c:v>
                </c:pt>
                <c:pt idx="14">
                  <c:v>2.3025850929940459</c:v>
                </c:pt>
                <c:pt idx="15">
                  <c:v>2.3025850929940459</c:v>
                </c:pt>
                <c:pt idx="16">
                  <c:v>2.3025850929940459</c:v>
                </c:pt>
                <c:pt idx="17">
                  <c:v>2.3025850929940459</c:v>
                </c:pt>
                <c:pt idx="18">
                  <c:v>2.3025850929940459</c:v>
                </c:pt>
                <c:pt idx="19">
                  <c:v>2.3025850929940459</c:v>
                </c:pt>
                <c:pt idx="20">
                  <c:v>2.3025850929940459</c:v>
                </c:pt>
                <c:pt idx="21">
                  <c:v>2.3025850929940459</c:v>
                </c:pt>
                <c:pt idx="22">
                  <c:v>2.3025850929940459</c:v>
                </c:pt>
                <c:pt idx="23">
                  <c:v>2.3025850929940459</c:v>
                </c:pt>
                <c:pt idx="24">
                  <c:v>2.3025850929940459</c:v>
                </c:pt>
                <c:pt idx="25">
                  <c:v>2.3025850929940459</c:v>
                </c:pt>
                <c:pt idx="26">
                  <c:v>2.8332133440562162</c:v>
                </c:pt>
                <c:pt idx="27">
                  <c:v>2.8332133440562162</c:v>
                </c:pt>
                <c:pt idx="28">
                  <c:v>2.9957322735539909</c:v>
                </c:pt>
                <c:pt idx="29">
                  <c:v>2.9957322735539909</c:v>
                </c:pt>
                <c:pt idx="30">
                  <c:v>3.1354942159291497</c:v>
                </c:pt>
                <c:pt idx="31">
                  <c:v>3.2958368660043291</c:v>
                </c:pt>
                <c:pt idx="32">
                  <c:v>3.2958368660043291</c:v>
                </c:pt>
                <c:pt idx="33">
                  <c:v>3.4011973816621555</c:v>
                </c:pt>
                <c:pt idx="34">
                  <c:v>3.4965075614664802</c:v>
                </c:pt>
                <c:pt idx="35">
                  <c:v>3.4965075614664802</c:v>
                </c:pt>
                <c:pt idx="36">
                  <c:v>3.4965075614664802</c:v>
                </c:pt>
                <c:pt idx="37">
                  <c:v>3.4965075614664802</c:v>
                </c:pt>
                <c:pt idx="38">
                  <c:v>3.4965075614664802</c:v>
                </c:pt>
                <c:pt idx="39">
                  <c:v>3.4965075614664802</c:v>
                </c:pt>
                <c:pt idx="40">
                  <c:v>3.4965075614664802</c:v>
                </c:pt>
                <c:pt idx="41">
                  <c:v>3.4965075614664802</c:v>
                </c:pt>
                <c:pt idx="42">
                  <c:v>3.912023005428146</c:v>
                </c:pt>
                <c:pt idx="43">
                  <c:v>3.912023005428146</c:v>
                </c:pt>
                <c:pt idx="44">
                  <c:v>3.912023005428146</c:v>
                </c:pt>
                <c:pt idx="45">
                  <c:v>3.912023005428146</c:v>
                </c:pt>
                <c:pt idx="46">
                  <c:v>3.912023005428146</c:v>
                </c:pt>
                <c:pt idx="47">
                  <c:v>3.912023005428146</c:v>
                </c:pt>
                <c:pt idx="48">
                  <c:v>3.912023005428146</c:v>
                </c:pt>
                <c:pt idx="49">
                  <c:v>3.912023005428146</c:v>
                </c:pt>
                <c:pt idx="50">
                  <c:v>4.2046926193909657</c:v>
                </c:pt>
                <c:pt idx="51">
                  <c:v>4.2046926193909657</c:v>
                </c:pt>
                <c:pt idx="52">
                  <c:v>4.2046926193909657</c:v>
                </c:pt>
                <c:pt idx="53">
                  <c:v>4.4188406077965983</c:v>
                </c:pt>
                <c:pt idx="54">
                  <c:v>4.4188406077965983</c:v>
                </c:pt>
                <c:pt idx="55">
                  <c:v>4.6051701859880918</c:v>
                </c:pt>
                <c:pt idx="56">
                  <c:v>4.6051701859880918</c:v>
                </c:pt>
                <c:pt idx="57">
                  <c:v>4.6051701859880918</c:v>
                </c:pt>
                <c:pt idx="58">
                  <c:v>4.6051701859880918</c:v>
                </c:pt>
                <c:pt idx="59">
                  <c:v>4.6051701859880918</c:v>
                </c:pt>
                <c:pt idx="60">
                  <c:v>4.6051701859880918</c:v>
                </c:pt>
                <c:pt idx="61">
                  <c:v>4.6051701859880918</c:v>
                </c:pt>
                <c:pt idx="62">
                  <c:v>4.6051701859880918</c:v>
                </c:pt>
                <c:pt idx="63">
                  <c:v>4.6051701859880918</c:v>
                </c:pt>
                <c:pt idx="64">
                  <c:v>4.6051701859880918</c:v>
                </c:pt>
                <c:pt idx="65">
                  <c:v>4.6051701859880918</c:v>
                </c:pt>
                <c:pt idx="66">
                  <c:v>4.6051701859880918</c:v>
                </c:pt>
                <c:pt idx="67">
                  <c:v>4.6051701859880918</c:v>
                </c:pt>
                <c:pt idx="68">
                  <c:v>4.6051701859880918</c:v>
                </c:pt>
                <c:pt idx="69">
                  <c:v>4.6051701859880918</c:v>
                </c:pt>
                <c:pt idx="70">
                  <c:v>4.6051701859880918</c:v>
                </c:pt>
                <c:pt idx="71">
                  <c:v>5.0106352940962555</c:v>
                </c:pt>
                <c:pt idx="72">
                  <c:v>5.0106352940962555</c:v>
                </c:pt>
                <c:pt idx="73">
                  <c:v>5.0106352940962555</c:v>
                </c:pt>
                <c:pt idx="74">
                  <c:v>5.0106352940962555</c:v>
                </c:pt>
                <c:pt idx="75">
                  <c:v>5.0106352940962555</c:v>
                </c:pt>
                <c:pt idx="76">
                  <c:v>5.0106352940962555</c:v>
                </c:pt>
                <c:pt idx="77">
                  <c:v>5.0106352940962555</c:v>
                </c:pt>
                <c:pt idx="78">
                  <c:v>5.0106352940962555</c:v>
                </c:pt>
                <c:pt idx="79">
                  <c:v>5.0106352940962555</c:v>
                </c:pt>
                <c:pt idx="80">
                  <c:v>5.0106352940962555</c:v>
                </c:pt>
                <c:pt idx="81">
                  <c:v>5.0106352940962555</c:v>
                </c:pt>
                <c:pt idx="82">
                  <c:v>5.0106352940962555</c:v>
                </c:pt>
                <c:pt idx="83">
                  <c:v>5.0106352940962555</c:v>
                </c:pt>
                <c:pt idx="84">
                  <c:v>5.0106352940962555</c:v>
                </c:pt>
                <c:pt idx="85">
                  <c:v>5.0751738152338266</c:v>
                </c:pt>
                <c:pt idx="86">
                  <c:v>5.1532915944977793</c:v>
                </c:pt>
                <c:pt idx="87">
                  <c:v>5.1647859739235145</c:v>
                </c:pt>
                <c:pt idx="88">
                  <c:v>5.1647859739235145</c:v>
                </c:pt>
                <c:pt idx="89">
                  <c:v>5.2983173665480363</c:v>
                </c:pt>
                <c:pt idx="90">
                  <c:v>5.2983173665480363</c:v>
                </c:pt>
                <c:pt idx="91">
                  <c:v>5.2983173665480363</c:v>
                </c:pt>
                <c:pt idx="92">
                  <c:v>5.2983173665480363</c:v>
                </c:pt>
                <c:pt idx="93">
                  <c:v>5.2983173665480363</c:v>
                </c:pt>
                <c:pt idx="94">
                  <c:v>5.2983173665480363</c:v>
                </c:pt>
                <c:pt idx="95">
                  <c:v>5.2983173665480363</c:v>
                </c:pt>
                <c:pt idx="96">
                  <c:v>5.2983173665480363</c:v>
                </c:pt>
                <c:pt idx="97">
                  <c:v>5.2983173665480363</c:v>
                </c:pt>
                <c:pt idx="98">
                  <c:v>5.2983173665480363</c:v>
                </c:pt>
                <c:pt idx="99">
                  <c:v>5.2983173665480363</c:v>
                </c:pt>
                <c:pt idx="100">
                  <c:v>5.2983173665480363</c:v>
                </c:pt>
                <c:pt idx="101">
                  <c:v>5.598421958998375</c:v>
                </c:pt>
                <c:pt idx="102">
                  <c:v>5.7037824746562009</c:v>
                </c:pt>
                <c:pt idx="103">
                  <c:v>5.7037824746562009</c:v>
                </c:pt>
                <c:pt idx="104">
                  <c:v>5.7037824746562009</c:v>
                </c:pt>
                <c:pt idx="105">
                  <c:v>5.7037824746562009</c:v>
                </c:pt>
                <c:pt idx="106">
                  <c:v>5.7037824746562009</c:v>
                </c:pt>
                <c:pt idx="107">
                  <c:v>5.9914645471079817</c:v>
                </c:pt>
                <c:pt idx="108">
                  <c:v>5.9914645471079817</c:v>
                </c:pt>
                <c:pt idx="109">
                  <c:v>6.0867747269123065</c:v>
                </c:pt>
                <c:pt idx="110">
                  <c:v>6.0867747269123065</c:v>
                </c:pt>
                <c:pt idx="111">
                  <c:v>6.0867747269123065</c:v>
                </c:pt>
                <c:pt idx="112">
                  <c:v>6.0867747269123065</c:v>
                </c:pt>
                <c:pt idx="113">
                  <c:v>6.1092475827643655</c:v>
                </c:pt>
                <c:pt idx="114">
                  <c:v>6.2146080984221914</c:v>
                </c:pt>
                <c:pt idx="115">
                  <c:v>6.2690962837062614</c:v>
                </c:pt>
                <c:pt idx="116">
                  <c:v>6.2690962837062614</c:v>
                </c:pt>
                <c:pt idx="117">
                  <c:v>6.3969296552161463</c:v>
                </c:pt>
                <c:pt idx="118">
                  <c:v>6.5567783561580422</c:v>
                </c:pt>
                <c:pt idx="119">
                  <c:v>6.7799219074722519</c:v>
                </c:pt>
                <c:pt idx="120">
                  <c:v>6.7799219074722519</c:v>
                </c:pt>
                <c:pt idx="121">
                  <c:v>6.7799219074722519</c:v>
                </c:pt>
                <c:pt idx="122">
                  <c:v>6.8023947633243109</c:v>
                </c:pt>
                <c:pt idx="123">
                  <c:v>6.8023947633243109</c:v>
                </c:pt>
                <c:pt idx="124">
                  <c:v>6.8023947633243109</c:v>
                </c:pt>
                <c:pt idx="125">
                  <c:v>7.0900768357760917</c:v>
                </c:pt>
                <c:pt idx="126">
                  <c:v>7.1308988302963465</c:v>
                </c:pt>
                <c:pt idx="127">
                  <c:v>7.1853870155804165</c:v>
                </c:pt>
                <c:pt idx="128">
                  <c:v>7.1853870155804165</c:v>
                </c:pt>
                <c:pt idx="129">
                  <c:v>7.2442275156033498</c:v>
                </c:pt>
                <c:pt idx="130">
                  <c:v>7.2442275156033498</c:v>
                </c:pt>
                <c:pt idx="131">
                  <c:v>7.3777589082278725</c:v>
                </c:pt>
                <c:pt idx="132">
                  <c:v>7.3777589082278725</c:v>
                </c:pt>
                <c:pt idx="133">
                  <c:v>7.4730690880321973</c:v>
                </c:pt>
                <c:pt idx="134">
                  <c:v>7.4730690880321973</c:v>
                </c:pt>
                <c:pt idx="135">
                  <c:v>6.9077552789821368</c:v>
                </c:pt>
                <c:pt idx="136">
                  <c:v>7.0900768357760917</c:v>
                </c:pt>
              </c:numCache>
            </c:numRef>
          </c:yVal>
          <c:smooth val="0"/>
          <c:extLst xmlns:c16r2="http://schemas.microsoft.com/office/drawing/2015/06/chart">
            <c:ext xmlns:c16="http://schemas.microsoft.com/office/drawing/2014/chart" uri="{C3380CC4-5D6E-409C-BE32-E72D297353CC}">
              <c16:uniqueId val="{00000000-8272-4B1C-B824-D19ED18E9A3F}"/>
            </c:ext>
          </c:extLst>
        </c:ser>
        <c:dLbls>
          <c:showLegendKey val="0"/>
          <c:showVal val="0"/>
          <c:showCatName val="0"/>
          <c:showSerName val="0"/>
          <c:showPercent val="0"/>
          <c:showBubbleSize val="0"/>
        </c:dLbls>
        <c:axId val="165775616"/>
        <c:axId val="165831424"/>
      </c:scatterChart>
      <c:valAx>
        <c:axId val="165775616"/>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056603773585006"/>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831424"/>
        <c:crosses val="autoZero"/>
        <c:crossBetween val="midCat"/>
      </c:valAx>
      <c:valAx>
        <c:axId val="165831424"/>
        <c:scaling>
          <c:orientation val="minMax"/>
          <c:min val="2"/>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5513866231647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775616"/>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F2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6.3263041065482792E-2"/>
          <c:y val="0.12234910277324648"/>
          <c:w val="0.9178690344062157"/>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'F2 - EF2 Analysis'!$F$12:$F$210</c:f>
              <c:numCache>
                <c:formatCode>General</c:formatCode>
                <c:ptCount val="199"/>
                <c:pt idx="0">
                  <c:v>-2.6828730125874056</c:v>
                </c:pt>
                <c:pt idx="1">
                  <c:v>-2.2921357641631155</c:v>
                </c:pt>
                <c:pt idx="2">
                  <c:v>-2.0913539118795437</c:v>
                </c:pt>
                <c:pt idx="3">
                  <c:v>-1.9506819612496027</c:v>
                </c:pt>
                <c:pt idx="4">
                  <c:v>-1.8405097738970768</c:v>
                </c:pt>
                <c:pt idx="5">
                  <c:v>-1.7489944960886423</c:v>
                </c:pt>
                <c:pt idx="6">
                  <c:v>-1.6701458480348186</c:v>
                </c:pt>
                <c:pt idx="7">
                  <c:v>-1.6004939360412309</c:v>
                </c:pt>
                <c:pt idx="8">
                  <c:v>-1.537840610864756</c:v>
                </c:pt>
                <c:pt idx="9">
                  <c:v>-1.4807015101747427</c:v>
                </c:pt>
                <c:pt idx="10">
                  <c:v>-1.4280249699576559</c:v>
                </c:pt>
                <c:pt idx="11">
                  <c:v>-1.3790374366159088</c:v>
                </c:pt>
                <c:pt idx="12">
                  <c:v>-1.3331525358280887</c:v>
                </c:pt>
                <c:pt idx="13">
                  <c:v>-1.2899146547910327</c:v>
                </c:pt>
                <c:pt idx="14">
                  <c:v>-1.2489623848000839</c:v>
                </c:pt>
                <c:pt idx="15">
                  <c:v>-1.2100039628572927</c:v>
                </c:pt>
                <c:pt idx="16">
                  <c:v>-1.1728002636200223</c:v>
                </c:pt>
                <c:pt idx="17">
                  <c:v>-1.1371527090780242</c:v>
                </c:pt>
                <c:pt idx="18">
                  <c:v>-1.1028944776204754</c:v>
                </c:pt>
                <c:pt idx="19">
                  <c:v>-1.0698839844739778</c:v>
                </c:pt>
                <c:pt idx="20">
                  <c:v>-1.037999961538197</c:v>
                </c:pt>
                <c:pt idx="21">
                  <c:v>-1.0071376861882799</c:v>
                </c:pt>
                <c:pt idx="22">
                  <c:v>-0.97720605030376595</c:v>
                </c:pt>
                <c:pt idx="23">
                  <c:v>-0.9481252536440512</c:v>
                </c:pt>
                <c:pt idx="24">
                  <c:v>-0.9198249678932835</c:v>
                </c:pt>
                <c:pt idx="25">
                  <c:v>-0.8922428601924105</c:v>
                </c:pt>
                <c:pt idx="26">
                  <c:v>-0.86532339452865425</c:v>
                </c:pt>
                <c:pt idx="27">
                  <c:v>-0.83901685024068029</c:v>
                </c:pt>
                <c:pt idx="28">
                  <c:v>-0.81327851188156097</c:v>
                </c:pt>
                <c:pt idx="29">
                  <c:v>-0.78806799557729368</c:v>
                </c:pt>
                <c:pt idx="30">
                  <c:v>-0.76334868504124276</c:v>
                </c:pt>
                <c:pt idx="31">
                  <c:v>-0.73908725638057371</c:v>
                </c:pt>
                <c:pt idx="32">
                  <c:v>-0.71525327532990435</c:v>
                </c:pt>
                <c:pt idx="33">
                  <c:v>-0.69181885396849097</c:v>
                </c:pt>
                <c:pt idx="34">
                  <c:v>-0.66875835660309491</c:v>
                </c:pt>
                <c:pt idx="35">
                  <c:v>-0.64604814653141884</c:v>
                </c:pt>
                <c:pt idx="36">
                  <c:v>-0.62366636698757649</c:v>
                </c:pt>
                <c:pt idx="37">
                  <c:v>-0.60159275081877228</c:v>
                </c:pt>
                <c:pt idx="38">
                  <c:v>-0.579808454430637</c:v>
                </c:pt>
                <c:pt idx="39">
                  <c:v>-0.55829591232674869</c:v>
                </c:pt>
                <c:pt idx="40">
                  <c:v>-0.53703870920027352</c:v>
                </c:pt>
                <c:pt idx="41">
                  <c:v>-0.51602146704622143</c:v>
                </c:pt>
                <c:pt idx="42">
                  <c:v>-0.49522974517731161</c:v>
                </c:pt>
                <c:pt idx="43">
                  <c:v>-0.47464995136478644</c:v>
                </c:pt>
                <c:pt idx="44">
                  <c:v>-0.45426926260306744</c:v>
                </c:pt>
                <c:pt idx="45">
                  <c:v>-0.43407555422595223</c:v>
                </c:pt>
                <c:pt idx="46">
                  <c:v>-0.41405733629151137</c:v>
                </c:pt>
                <c:pt idx="47">
                  <c:v>-0.39420369631040153</c:v>
                </c:pt>
                <c:pt idx="48">
                  <c:v>-0.37450424752387929</c:v>
                </c:pt>
                <c:pt idx="49">
                  <c:v>-0.35494908204806463</c:v>
                </c:pt>
                <c:pt idx="50">
                  <c:v>-0.33552872829378111</c:v>
                </c:pt>
                <c:pt idx="51">
                  <c:v>-0.31623411214957631</c:v>
                </c:pt>
                <c:pt idx="52">
                  <c:v>-0.29705652148182426</c:v>
                </c:pt>
                <c:pt idx="53">
                  <c:v>-0.27798757356208736</c:v>
                </c:pt>
                <c:pt idx="54">
                  <c:v>-0.25901918507982119</c:v>
                </c:pt>
                <c:pt idx="55">
                  <c:v>-0.24014354443937477</c:v>
                </c:pt>
                <c:pt idx="56">
                  <c:v>-0.22135308607517393</c:v>
                </c:pt>
                <c:pt idx="57">
                  <c:v>-0.20264046654887435</c:v>
                </c:pt>
                <c:pt idx="58">
                  <c:v>-0.18399854221788967</c:v>
                </c:pt>
                <c:pt idx="59">
                  <c:v>-0.16542034828665858</c:v>
                </c:pt>
                <c:pt idx="60">
                  <c:v>-0.14689907907082775</c:v>
                </c:pt>
                <c:pt idx="61">
                  <c:v>-0.12842806932061654</c:v>
                </c:pt>
                <c:pt idx="62">
                  <c:v>-0.11000077646337013</c:v>
                </c:pt>
                <c:pt idx="63">
                  <c:v>-9.1610763636967629E-2</c:v>
                </c:pt>
                <c:pt idx="64">
                  <c:v>-7.3251683395603423E-2</c:v>
                </c:pt>
                <c:pt idx="65">
                  <c:v>-5.4917261977687724E-2</c:v>
                </c:pt>
                <c:pt idx="66">
                  <c:v>-3.6601284032390755E-2</c:v>
                </c:pt>
                <c:pt idx="67">
                  <c:v>-1.8297577706810939E-2</c:v>
                </c:pt>
                <c:pt idx="68">
                  <c:v>0</c:v>
                </c:pt>
                <c:pt idx="69">
                  <c:v>1.8297577706810939E-2</c:v>
                </c:pt>
                <c:pt idx="70">
                  <c:v>3.6601284032390755E-2</c:v>
                </c:pt>
                <c:pt idx="71">
                  <c:v>5.4917261977687724E-2</c:v>
                </c:pt>
                <c:pt idx="72">
                  <c:v>7.3251683395603284E-2</c:v>
                </c:pt>
                <c:pt idx="73">
                  <c:v>9.161076363696749E-2</c:v>
                </c:pt>
                <c:pt idx="74">
                  <c:v>0.11000077646336999</c:v>
                </c:pt>
                <c:pt idx="75">
                  <c:v>0.12842806932061668</c:v>
                </c:pt>
                <c:pt idx="76">
                  <c:v>0.14689907907082789</c:v>
                </c:pt>
                <c:pt idx="77">
                  <c:v>0.16542034828665872</c:v>
                </c:pt>
                <c:pt idx="78">
                  <c:v>0.18399854221788967</c:v>
                </c:pt>
                <c:pt idx="79">
                  <c:v>0.20264046654887435</c:v>
                </c:pt>
                <c:pt idx="80">
                  <c:v>0.22135308607517393</c:v>
                </c:pt>
                <c:pt idx="81">
                  <c:v>0.24014354443937477</c:v>
                </c:pt>
                <c:pt idx="82">
                  <c:v>0.25901918507982119</c:v>
                </c:pt>
                <c:pt idx="83">
                  <c:v>0.27798757356208736</c:v>
                </c:pt>
                <c:pt idx="84">
                  <c:v>0.2970565214818241</c:v>
                </c:pt>
                <c:pt idx="85">
                  <c:v>0.3162341121495762</c:v>
                </c:pt>
                <c:pt idx="86">
                  <c:v>0.33552872829378094</c:v>
                </c:pt>
                <c:pt idx="87">
                  <c:v>0.35494908204806469</c:v>
                </c:pt>
                <c:pt idx="88">
                  <c:v>0.3745042475238794</c:v>
                </c:pt>
                <c:pt idx="89">
                  <c:v>0.39420369631040175</c:v>
                </c:pt>
                <c:pt idx="90">
                  <c:v>0.41405733629151137</c:v>
                </c:pt>
                <c:pt idx="91">
                  <c:v>0.43407555422595223</c:v>
                </c:pt>
                <c:pt idx="92">
                  <c:v>0.45426926260306744</c:v>
                </c:pt>
                <c:pt idx="93">
                  <c:v>0.47464995136478644</c:v>
                </c:pt>
                <c:pt idx="94">
                  <c:v>0.49522974517731161</c:v>
                </c:pt>
                <c:pt idx="95">
                  <c:v>0.51602146704622143</c:v>
                </c:pt>
                <c:pt idx="96">
                  <c:v>0.53703870920027352</c:v>
                </c:pt>
                <c:pt idx="97">
                  <c:v>0.55829591232674869</c:v>
                </c:pt>
                <c:pt idx="98">
                  <c:v>0.579808454430637</c:v>
                </c:pt>
                <c:pt idx="99">
                  <c:v>0.60159275081877217</c:v>
                </c:pt>
                <c:pt idx="100">
                  <c:v>0.62366636698757638</c:v>
                </c:pt>
                <c:pt idx="101">
                  <c:v>0.64604814653141884</c:v>
                </c:pt>
                <c:pt idx="102">
                  <c:v>0.66875835660309513</c:v>
                </c:pt>
                <c:pt idx="103">
                  <c:v>0.69181885396849097</c:v>
                </c:pt>
                <c:pt idx="104">
                  <c:v>0.71525327532990435</c:v>
                </c:pt>
                <c:pt idx="105">
                  <c:v>0.73908725638057371</c:v>
                </c:pt>
                <c:pt idx="106">
                  <c:v>0.76334868504124276</c:v>
                </c:pt>
                <c:pt idx="107">
                  <c:v>0.78806799557729368</c:v>
                </c:pt>
                <c:pt idx="108">
                  <c:v>0.81327851188156097</c:v>
                </c:pt>
                <c:pt idx="109">
                  <c:v>0.83901685024068029</c:v>
                </c:pt>
                <c:pt idx="110">
                  <c:v>0.86532339452865425</c:v>
                </c:pt>
                <c:pt idx="111">
                  <c:v>0.89224286019240973</c:v>
                </c:pt>
                <c:pt idx="112">
                  <c:v>0.91982496789328505</c:v>
                </c:pt>
                <c:pt idx="113">
                  <c:v>0.94812525364405054</c:v>
                </c:pt>
                <c:pt idx="114">
                  <c:v>0.97720605030376595</c:v>
                </c:pt>
                <c:pt idx="115">
                  <c:v>1.0071376861882799</c:v>
                </c:pt>
                <c:pt idx="116">
                  <c:v>1.037999961538197</c:v>
                </c:pt>
                <c:pt idx="117">
                  <c:v>1.0698839844739778</c:v>
                </c:pt>
                <c:pt idx="118">
                  <c:v>1.1028944776204754</c:v>
                </c:pt>
                <c:pt idx="119">
                  <c:v>1.1371527090780242</c:v>
                </c:pt>
                <c:pt idx="120">
                  <c:v>1.1728002636200223</c:v>
                </c:pt>
                <c:pt idx="121">
                  <c:v>1.2100039628572927</c:v>
                </c:pt>
                <c:pt idx="122">
                  <c:v>1.2489623848000828</c:v>
                </c:pt>
                <c:pt idx="123">
                  <c:v>1.2899146547910303</c:v>
                </c:pt>
                <c:pt idx="124">
                  <c:v>1.333152535828088</c:v>
                </c:pt>
                <c:pt idx="125">
                  <c:v>1.3790374366159073</c:v>
                </c:pt>
                <c:pt idx="126">
                  <c:v>1.4280249699576566</c:v>
                </c:pt>
                <c:pt idx="127">
                  <c:v>1.4807015101747432</c:v>
                </c:pt>
                <c:pt idx="128">
                  <c:v>1.537840610864756</c:v>
                </c:pt>
                <c:pt idx="129">
                  <c:v>1.6004939360412309</c:v>
                </c:pt>
                <c:pt idx="130">
                  <c:v>1.6701458480348186</c:v>
                </c:pt>
                <c:pt idx="131">
                  <c:v>1.7489944960886423</c:v>
                </c:pt>
                <c:pt idx="132">
                  <c:v>1.8405097738970768</c:v>
                </c:pt>
                <c:pt idx="133">
                  <c:v>1.9506819612496025</c:v>
                </c:pt>
                <c:pt idx="134">
                  <c:v>2.0913539118795432</c:v>
                </c:pt>
                <c:pt idx="135">
                  <c:v>2.2921357641631146</c:v>
                </c:pt>
                <c:pt idx="136">
                  <c:v>2.6828730125874012</c:v>
                </c:pt>
              </c:numCache>
            </c:numRef>
          </c:xVal>
          <c:yVal>
            <c:numRef>
              <c:f>'F2 - EF2 Analysis'!$H$12:$H$210</c:f>
              <c:numCache>
                <c:formatCode>General</c:formatCode>
                <c:ptCount val="199"/>
                <c:pt idx="0">
                  <c:v>-2.3025850929940455</c:v>
                </c:pt>
                <c:pt idx="1">
                  <c:v>-2.3025850929940455</c:v>
                </c:pt>
                <c:pt idx="2">
                  <c:v>-2.3025850929940455</c:v>
                </c:pt>
                <c:pt idx="3">
                  <c:v>-2.3025850929940455</c:v>
                </c:pt>
                <c:pt idx="4">
                  <c:v>-2.3025850929940455</c:v>
                </c:pt>
                <c:pt idx="5">
                  <c:v>-2.3025850929940455</c:v>
                </c:pt>
                <c:pt idx="6">
                  <c:v>-2.3025850929940455</c:v>
                </c:pt>
                <c:pt idx="7">
                  <c:v>-2.3025850929940455</c:v>
                </c:pt>
                <c:pt idx="8">
                  <c:v>-2.3025850929940455</c:v>
                </c:pt>
                <c:pt idx="9">
                  <c:v>-2.3025850929940455</c:v>
                </c:pt>
                <c:pt idx="10">
                  <c:v>-2.3025850929940455</c:v>
                </c:pt>
                <c:pt idx="11">
                  <c:v>-2.3025850929940455</c:v>
                </c:pt>
                <c:pt idx="12">
                  <c:v>-2.3025850929940455</c:v>
                </c:pt>
                <c:pt idx="13">
                  <c:v>-2.3025850929940455</c:v>
                </c:pt>
                <c:pt idx="14">
                  <c:v>-2.3025850929940455</c:v>
                </c:pt>
                <c:pt idx="15">
                  <c:v>-2.3025850929940455</c:v>
                </c:pt>
                <c:pt idx="16">
                  <c:v>-2.3025850929940455</c:v>
                </c:pt>
                <c:pt idx="17">
                  <c:v>-2.3025850929940455</c:v>
                </c:pt>
                <c:pt idx="18">
                  <c:v>-2.3025850929940455</c:v>
                </c:pt>
                <c:pt idx="19">
                  <c:v>-2.3025850929940455</c:v>
                </c:pt>
                <c:pt idx="20">
                  <c:v>-2.3025850929940455</c:v>
                </c:pt>
                <c:pt idx="21">
                  <c:v>-2.3025850929940455</c:v>
                </c:pt>
                <c:pt idx="22">
                  <c:v>-2.3025850929940455</c:v>
                </c:pt>
                <c:pt idx="23">
                  <c:v>-2.3025850929940455</c:v>
                </c:pt>
                <c:pt idx="24">
                  <c:v>-2.3025850929940455</c:v>
                </c:pt>
                <c:pt idx="25">
                  <c:v>-2.3025850929940455</c:v>
                </c:pt>
                <c:pt idx="26">
                  <c:v>-2.3025850929940455</c:v>
                </c:pt>
                <c:pt idx="27">
                  <c:v>-2.3025850929940455</c:v>
                </c:pt>
                <c:pt idx="28">
                  <c:v>-2.3025850929940455</c:v>
                </c:pt>
                <c:pt idx="29">
                  <c:v>-1.6094379124341003</c:v>
                </c:pt>
                <c:pt idx="30">
                  <c:v>-1.2039728043259361</c:v>
                </c:pt>
                <c:pt idx="31">
                  <c:v>-1.2039728043259361</c:v>
                </c:pt>
                <c:pt idx="32">
                  <c:v>-1.2039728043259361</c:v>
                </c:pt>
                <c:pt idx="33">
                  <c:v>-1.2039728043259361</c:v>
                </c:pt>
                <c:pt idx="34">
                  <c:v>-0.69314718055994529</c:v>
                </c:pt>
                <c:pt idx="35">
                  <c:v>-0.69314718055994529</c:v>
                </c:pt>
                <c:pt idx="36">
                  <c:v>-0.69314718055994529</c:v>
                </c:pt>
                <c:pt idx="37">
                  <c:v>-0.69314718055994529</c:v>
                </c:pt>
                <c:pt idx="38">
                  <c:v>-0.69314718055994529</c:v>
                </c:pt>
                <c:pt idx="39">
                  <c:v>-0.69314718055994529</c:v>
                </c:pt>
                <c:pt idx="40">
                  <c:v>-0.35667494393873245</c:v>
                </c:pt>
                <c:pt idx="41">
                  <c:v>-0.22314355131420971</c:v>
                </c:pt>
                <c:pt idx="42">
                  <c:v>0</c:v>
                </c:pt>
                <c:pt idx="43">
                  <c:v>0</c:v>
                </c:pt>
                <c:pt idx="44">
                  <c:v>0</c:v>
                </c:pt>
                <c:pt idx="45">
                  <c:v>0</c:v>
                </c:pt>
                <c:pt idx="46">
                  <c:v>0</c:v>
                </c:pt>
                <c:pt idx="47">
                  <c:v>0</c:v>
                </c:pt>
                <c:pt idx="48">
                  <c:v>0</c:v>
                </c:pt>
                <c:pt idx="49">
                  <c:v>0.26236426446749106</c:v>
                </c:pt>
                <c:pt idx="50">
                  <c:v>0.3148107398400336</c:v>
                </c:pt>
                <c:pt idx="51">
                  <c:v>0.3293037471426003</c:v>
                </c:pt>
                <c:pt idx="52">
                  <c:v>0.33647223662121289</c:v>
                </c:pt>
                <c:pt idx="53">
                  <c:v>0.40546510810816438</c:v>
                </c:pt>
                <c:pt idx="54">
                  <c:v>0.47000362924573563</c:v>
                </c:pt>
                <c:pt idx="55">
                  <c:v>0.64185388617239469</c:v>
                </c:pt>
                <c:pt idx="56">
                  <c:v>0.69314718055994529</c:v>
                </c:pt>
                <c:pt idx="57">
                  <c:v>0.69314718055994529</c:v>
                </c:pt>
                <c:pt idx="58">
                  <c:v>0.69314718055994529</c:v>
                </c:pt>
                <c:pt idx="59">
                  <c:v>0.69314718055994529</c:v>
                </c:pt>
                <c:pt idx="60">
                  <c:v>0.69314718055994529</c:v>
                </c:pt>
                <c:pt idx="61">
                  <c:v>0.69314718055994529</c:v>
                </c:pt>
                <c:pt idx="62">
                  <c:v>0.69314718055994529</c:v>
                </c:pt>
                <c:pt idx="63">
                  <c:v>0.83290912293510388</c:v>
                </c:pt>
                <c:pt idx="64">
                  <c:v>0.95551144502743635</c:v>
                </c:pt>
                <c:pt idx="65">
                  <c:v>0.99325177301028345</c:v>
                </c:pt>
                <c:pt idx="66">
                  <c:v>1.0750024230289761</c:v>
                </c:pt>
                <c:pt idx="67">
                  <c:v>1.0986122886681098</c:v>
                </c:pt>
                <c:pt idx="68">
                  <c:v>1.0986122886681098</c:v>
                </c:pt>
                <c:pt idx="69">
                  <c:v>1.0986122886681098</c:v>
                </c:pt>
                <c:pt idx="70">
                  <c:v>1.0986122886681098</c:v>
                </c:pt>
                <c:pt idx="71">
                  <c:v>1.0986122886681098</c:v>
                </c:pt>
                <c:pt idx="72">
                  <c:v>1.0986122886681098</c:v>
                </c:pt>
                <c:pt idx="73">
                  <c:v>1.2837077723447896</c:v>
                </c:pt>
                <c:pt idx="74">
                  <c:v>1.3862943611198906</c:v>
                </c:pt>
                <c:pt idx="75">
                  <c:v>1.3862943611198906</c:v>
                </c:pt>
                <c:pt idx="76">
                  <c:v>1.3862943611198906</c:v>
                </c:pt>
                <c:pt idx="77">
                  <c:v>1.3862943611198906</c:v>
                </c:pt>
                <c:pt idx="78">
                  <c:v>1.3862943611198906</c:v>
                </c:pt>
                <c:pt idx="79">
                  <c:v>1.410986973710262</c:v>
                </c:pt>
                <c:pt idx="80">
                  <c:v>1.423108334242607</c:v>
                </c:pt>
                <c:pt idx="81">
                  <c:v>1.4973884086254774</c:v>
                </c:pt>
                <c:pt idx="82">
                  <c:v>1.5040773967762742</c:v>
                </c:pt>
                <c:pt idx="83">
                  <c:v>1.5040773967762742</c:v>
                </c:pt>
                <c:pt idx="84">
                  <c:v>1.5107219394949427</c:v>
                </c:pt>
                <c:pt idx="85">
                  <c:v>1.5432981099295553</c:v>
                </c:pt>
                <c:pt idx="86">
                  <c:v>1.547562508716013</c:v>
                </c:pt>
                <c:pt idx="87">
                  <c:v>1.6074359097634274</c:v>
                </c:pt>
                <c:pt idx="88">
                  <c:v>1.6094379124341003</c:v>
                </c:pt>
                <c:pt idx="89">
                  <c:v>1.6094379124341003</c:v>
                </c:pt>
                <c:pt idx="90">
                  <c:v>1.6094379124341003</c:v>
                </c:pt>
                <c:pt idx="91">
                  <c:v>1.6094379124341003</c:v>
                </c:pt>
                <c:pt idx="92">
                  <c:v>1.7047480922384253</c:v>
                </c:pt>
                <c:pt idx="93">
                  <c:v>1.7404661748405046</c:v>
                </c:pt>
                <c:pt idx="94">
                  <c:v>1.7509374747077999</c:v>
                </c:pt>
                <c:pt idx="95">
                  <c:v>1.7544036826842861</c:v>
                </c:pt>
                <c:pt idx="96">
                  <c:v>1.7749523509116738</c:v>
                </c:pt>
                <c:pt idx="97">
                  <c:v>1.791759469228055</c:v>
                </c:pt>
                <c:pt idx="98">
                  <c:v>1.791759469228055</c:v>
                </c:pt>
                <c:pt idx="99">
                  <c:v>1.791759469228055</c:v>
                </c:pt>
                <c:pt idx="100">
                  <c:v>1.791759469228055</c:v>
                </c:pt>
                <c:pt idx="101">
                  <c:v>1.791759469228055</c:v>
                </c:pt>
                <c:pt idx="102">
                  <c:v>1.791759469228055</c:v>
                </c:pt>
                <c:pt idx="103">
                  <c:v>1.791759469228055</c:v>
                </c:pt>
                <c:pt idx="104">
                  <c:v>1.791759469228055</c:v>
                </c:pt>
                <c:pt idx="105">
                  <c:v>1.9459101490553132</c:v>
                </c:pt>
                <c:pt idx="106">
                  <c:v>1.9459101490553132</c:v>
                </c:pt>
                <c:pt idx="107">
                  <c:v>1.9530276168241774</c:v>
                </c:pt>
                <c:pt idx="108">
                  <c:v>1.9530276168241774</c:v>
                </c:pt>
                <c:pt idx="109">
                  <c:v>1.9740810260220096</c:v>
                </c:pt>
                <c:pt idx="110">
                  <c:v>2.0149030205422647</c:v>
                </c:pt>
                <c:pt idx="111">
                  <c:v>2.0794415416798357</c:v>
                </c:pt>
                <c:pt idx="112">
                  <c:v>2.0794415416798357</c:v>
                </c:pt>
                <c:pt idx="113">
                  <c:v>2.0794415416798357</c:v>
                </c:pt>
                <c:pt idx="114">
                  <c:v>2.1517622032594619</c:v>
                </c:pt>
                <c:pt idx="115">
                  <c:v>2.2027647577118348</c:v>
                </c:pt>
                <c:pt idx="116">
                  <c:v>2.2170272046323989</c:v>
                </c:pt>
                <c:pt idx="117">
                  <c:v>2.2192034840549946</c:v>
                </c:pt>
                <c:pt idx="118">
                  <c:v>2.3025850929940459</c:v>
                </c:pt>
                <c:pt idx="119">
                  <c:v>2.3025850929940459</c:v>
                </c:pt>
                <c:pt idx="120">
                  <c:v>2.3025850929940459</c:v>
                </c:pt>
                <c:pt idx="121">
                  <c:v>2.4790562361098245</c:v>
                </c:pt>
                <c:pt idx="122">
                  <c:v>2.4849066497880004</c:v>
                </c:pt>
                <c:pt idx="123">
                  <c:v>2.4849066497880004</c:v>
                </c:pt>
                <c:pt idx="124">
                  <c:v>2.4865719291070616</c:v>
                </c:pt>
                <c:pt idx="125">
                  <c:v>2.5014359517392109</c:v>
                </c:pt>
                <c:pt idx="126">
                  <c:v>2.5160822672564502</c:v>
                </c:pt>
                <c:pt idx="127">
                  <c:v>2.7725887222397811</c:v>
                </c:pt>
                <c:pt idx="128">
                  <c:v>2.7788192719904172</c:v>
                </c:pt>
                <c:pt idx="129">
                  <c:v>2.7850112422383382</c:v>
                </c:pt>
                <c:pt idx="130">
                  <c:v>2.7850112422383382</c:v>
                </c:pt>
                <c:pt idx="131">
                  <c:v>2.9444389791664403</c:v>
                </c:pt>
                <c:pt idx="132">
                  <c:v>2.9790946324009679</c:v>
                </c:pt>
                <c:pt idx="133">
                  <c:v>3.3499040872746049</c:v>
                </c:pt>
                <c:pt idx="134">
                  <c:v>4.0253516907351496</c:v>
                </c:pt>
                <c:pt idx="135">
                  <c:v>2.8449093838194073</c:v>
                </c:pt>
                <c:pt idx="136">
                  <c:v>2.5817308344235403</c:v>
                </c:pt>
              </c:numCache>
            </c:numRef>
          </c:yVal>
          <c:smooth val="0"/>
          <c:extLst xmlns:c16r2="http://schemas.microsoft.com/office/drawing/2015/06/chart">
            <c:ext xmlns:c16="http://schemas.microsoft.com/office/drawing/2014/chart" uri="{C3380CC4-5D6E-409C-BE32-E72D297353CC}">
              <c16:uniqueId val="{00000000-BD6E-486F-BDD4-8588F56EF437}"/>
            </c:ext>
          </c:extLst>
        </c:ser>
        <c:dLbls>
          <c:showLegendKey val="0"/>
          <c:showVal val="0"/>
          <c:showCatName val="0"/>
          <c:showSerName val="0"/>
          <c:showPercent val="0"/>
          <c:showBubbleSize val="0"/>
        </c:dLbls>
        <c:axId val="165868288"/>
        <c:axId val="165870592"/>
      </c:scatterChart>
      <c:valAx>
        <c:axId val="165868288"/>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870592"/>
        <c:crossesAt val="-4"/>
        <c:crossBetween val="midCat"/>
      </c:valAx>
      <c:valAx>
        <c:axId val="1658705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868288"/>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F2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6.3263041065482792E-2"/>
          <c:y val="0.12234910277324648"/>
          <c:w val="0.9178690344062157"/>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'F2 - EF2 Analysis'!$F$12:$F$210</c:f>
              <c:numCache>
                <c:formatCode>General</c:formatCode>
                <c:ptCount val="199"/>
                <c:pt idx="0">
                  <c:v>-2.6828730125874056</c:v>
                </c:pt>
                <c:pt idx="1">
                  <c:v>-2.2921357641631155</c:v>
                </c:pt>
                <c:pt idx="2">
                  <c:v>-2.0913539118795437</c:v>
                </c:pt>
                <c:pt idx="3">
                  <c:v>-1.9506819612496027</c:v>
                </c:pt>
                <c:pt idx="4">
                  <c:v>-1.8405097738970768</c:v>
                </c:pt>
                <c:pt idx="5">
                  <c:v>-1.7489944960886423</c:v>
                </c:pt>
                <c:pt idx="6">
                  <c:v>-1.6701458480348186</c:v>
                </c:pt>
                <c:pt idx="7">
                  <c:v>-1.6004939360412309</c:v>
                </c:pt>
                <c:pt idx="8">
                  <c:v>-1.537840610864756</c:v>
                </c:pt>
                <c:pt idx="9">
                  <c:v>-1.4807015101747427</c:v>
                </c:pt>
                <c:pt idx="10">
                  <c:v>-1.4280249699576559</c:v>
                </c:pt>
                <c:pt idx="11">
                  <c:v>-1.3790374366159088</c:v>
                </c:pt>
                <c:pt idx="12">
                  <c:v>-1.3331525358280887</c:v>
                </c:pt>
                <c:pt idx="13">
                  <c:v>-1.2899146547910327</c:v>
                </c:pt>
                <c:pt idx="14">
                  <c:v>-1.2489623848000839</c:v>
                </c:pt>
                <c:pt idx="15">
                  <c:v>-1.2100039628572927</c:v>
                </c:pt>
                <c:pt idx="16">
                  <c:v>-1.1728002636200223</c:v>
                </c:pt>
                <c:pt idx="17">
                  <c:v>-1.1371527090780242</c:v>
                </c:pt>
                <c:pt idx="18">
                  <c:v>-1.1028944776204754</c:v>
                </c:pt>
                <c:pt idx="19">
                  <c:v>-1.0698839844739778</c:v>
                </c:pt>
                <c:pt idx="20">
                  <c:v>-1.037999961538197</c:v>
                </c:pt>
                <c:pt idx="21">
                  <c:v>-1.0071376861882799</c:v>
                </c:pt>
                <c:pt idx="22">
                  <c:v>-0.97720605030376595</c:v>
                </c:pt>
                <c:pt idx="23">
                  <c:v>-0.9481252536440512</c:v>
                </c:pt>
                <c:pt idx="24">
                  <c:v>-0.9198249678932835</c:v>
                </c:pt>
                <c:pt idx="25">
                  <c:v>-0.8922428601924105</c:v>
                </c:pt>
                <c:pt idx="26">
                  <c:v>-0.86532339452865425</c:v>
                </c:pt>
                <c:pt idx="27">
                  <c:v>-0.83901685024068029</c:v>
                </c:pt>
                <c:pt idx="28">
                  <c:v>-0.81327851188156097</c:v>
                </c:pt>
                <c:pt idx="29">
                  <c:v>-0.78806799557729368</c:v>
                </c:pt>
                <c:pt idx="30">
                  <c:v>-0.76334868504124276</c:v>
                </c:pt>
                <c:pt idx="31">
                  <c:v>-0.73908725638057371</c:v>
                </c:pt>
                <c:pt idx="32">
                  <c:v>-0.71525327532990435</c:v>
                </c:pt>
                <c:pt idx="33">
                  <c:v>-0.69181885396849097</c:v>
                </c:pt>
                <c:pt idx="34">
                  <c:v>-0.66875835660309491</c:v>
                </c:pt>
                <c:pt idx="35">
                  <c:v>-0.64604814653141884</c:v>
                </c:pt>
                <c:pt idx="36">
                  <c:v>-0.62366636698757649</c:v>
                </c:pt>
                <c:pt idx="37">
                  <c:v>-0.60159275081877228</c:v>
                </c:pt>
                <c:pt idx="38">
                  <c:v>-0.579808454430637</c:v>
                </c:pt>
                <c:pt idx="39">
                  <c:v>-0.55829591232674869</c:v>
                </c:pt>
                <c:pt idx="40">
                  <c:v>-0.53703870920027352</c:v>
                </c:pt>
                <c:pt idx="41">
                  <c:v>-0.51602146704622143</c:v>
                </c:pt>
                <c:pt idx="42">
                  <c:v>-0.49522974517731161</c:v>
                </c:pt>
                <c:pt idx="43">
                  <c:v>-0.47464995136478644</c:v>
                </c:pt>
                <c:pt idx="44">
                  <c:v>-0.45426926260306744</c:v>
                </c:pt>
                <c:pt idx="45">
                  <c:v>-0.43407555422595223</c:v>
                </c:pt>
                <c:pt idx="46">
                  <c:v>-0.41405733629151137</c:v>
                </c:pt>
                <c:pt idx="47">
                  <c:v>-0.39420369631040153</c:v>
                </c:pt>
                <c:pt idx="48">
                  <c:v>-0.37450424752387929</c:v>
                </c:pt>
                <c:pt idx="49">
                  <c:v>-0.35494908204806463</c:v>
                </c:pt>
                <c:pt idx="50">
                  <c:v>-0.33552872829378111</c:v>
                </c:pt>
                <c:pt idx="51">
                  <c:v>-0.31623411214957631</c:v>
                </c:pt>
                <c:pt idx="52">
                  <c:v>-0.29705652148182426</c:v>
                </c:pt>
                <c:pt idx="53">
                  <c:v>-0.27798757356208736</c:v>
                </c:pt>
                <c:pt idx="54">
                  <c:v>-0.25901918507982119</c:v>
                </c:pt>
                <c:pt idx="55">
                  <c:v>-0.24014354443937477</c:v>
                </c:pt>
                <c:pt idx="56">
                  <c:v>-0.22135308607517393</c:v>
                </c:pt>
                <c:pt idx="57">
                  <c:v>-0.20264046654887435</c:v>
                </c:pt>
                <c:pt idx="58">
                  <c:v>-0.18399854221788967</c:v>
                </c:pt>
                <c:pt idx="59">
                  <c:v>-0.16542034828665858</c:v>
                </c:pt>
                <c:pt idx="60">
                  <c:v>-0.14689907907082775</c:v>
                </c:pt>
                <c:pt idx="61">
                  <c:v>-0.12842806932061654</c:v>
                </c:pt>
                <c:pt idx="62">
                  <c:v>-0.11000077646337013</c:v>
                </c:pt>
                <c:pt idx="63">
                  <c:v>-9.1610763636967629E-2</c:v>
                </c:pt>
                <c:pt idx="64">
                  <c:v>-7.3251683395603423E-2</c:v>
                </c:pt>
                <c:pt idx="65">
                  <c:v>-5.4917261977687724E-2</c:v>
                </c:pt>
                <c:pt idx="66">
                  <c:v>-3.6601284032390755E-2</c:v>
                </c:pt>
                <c:pt idx="67">
                  <c:v>-1.8297577706810939E-2</c:v>
                </c:pt>
                <c:pt idx="68">
                  <c:v>0</c:v>
                </c:pt>
                <c:pt idx="69">
                  <c:v>1.8297577706810939E-2</c:v>
                </c:pt>
                <c:pt idx="70">
                  <c:v>3.6601284032390755E-2</c:v>
                </c:pt>
                <c:pt idx="71">
                  <c:v>5.4917261977687724E-2</c:v>
                </c:pt>
                <c:pt idx="72">
                  <c:v>7.3251683395603284E-2</c:v>
                </c:pt>
                <c:pt idx="73">
                  <c:v>9.161076363696749E-2</c:v>
                </c:pt>
                <c:pt idx="74">
                  <c:v>0.11000077646336999</c:v>
                </c:pt>
                <c:pt idx="75">
                  <c:v>0.12842806932061668</c:v>
                </c:pt>
                <c:pt idx="76">
                  <c:v>0.14689907907082789</c:v>
                </c:pt>
                <c:pt idx="77">
                  <c:v>0.16542034828665872</c:v>
                </c:pt>
                <c:pt idx="78">
                  <c:v>0.18399854221788967</c:v>
                </c:pt>
                <c:pt idx="79">
                  <c:v>0.20264046654887435</c:v>
                </c:pt>
                <c:pt idx="80">
                  <c:v>0.22135308607517393</c:v>
                </c:pt>
                <c:pt idx="81">
                  <c:v>0.24014354443937477</c:v>
                </c:pt>
                <c:pt idx="82">
                  <c:v>0.25901918507982119</c:v>
                </c:pt>
                <c:pt idx="83">
                  <c:v>0.27798757356208736</c:v>
                </c:pt>
                <c:pt idx="84">
                  <c:v>0.2970565214818241</c:v>
                </c:pt>
                <c:pt idx="85">
                  <c:v>0.3162341121495762</c:v>
                </c:pt>
                <c:pt idx="86">
                  <c:v>0.33552872829378094</c:v>
                </c:pt>
                <c:pt idx="87">
                  <c:v>0.35494908204806469</c:v>
                </c:pt>
                <c:pt idx="88">
                  <c:v>0.3745042475238794</c:v>
                </c:pt>
                <c:pt idx="89">
                  <c:v>0.39420369631040175</c:v>
                </c:pt>
                <c:pt idx="90">
                  <c:v>0.41405733629151137</c:v>
                </c:pt>
                <c:pt idx="91">
                  <c:v>0.43407555422595223</c:v>
                </c:pt>
                <c:pt idx="92">
                  <c:v>0.45426926260306744</c:v>
                </c:pt>
                <c:pt idx="93">
                  <c:v>0.47464995136478644</c:v>
                </c:pt>
                <c:pt idx="94">
                  <c:v>0.49522974517731161</c:v>
                </c:pt>
                <c:pt idx="95">
                  <c:v>0.51602146704622143</c:v>
                </c:pt>
                <c:pt idx="96">
                  <c:v>0.53703870920027352</c:v>
                </c:pt>
                <c:pt idx="97">
                  <c:v>0.55829591232674869</c:v>
                </c:pt>
                <c:pt idx="98">
                  <c:v>0.579808454430637</c:v>
                </c:pt>
                <c:pt idx="99">
                  <c:v>0.60159275081877217</c:v>
                </c:pt>
                <c:pt idx="100">
                  <c:v>0.62366636698757638</c:v>
                </c:pt>
                <c:pt idx="101">
                  <c:v>0.64604814653141884</c:v>
                </c:pt>
                <c:pt idx="102">
                  <c:v>0.66875835660309513</c:v>
                </c:pt>
                <c:pt idx="103">
                  <c:v>0.69181885396849097</c:v>
                </c:pt>
                <c:pt idx="104">
                  <c:v>0.71525327532990435</c:v>
                </c:pt>
                <c:pt idx="105">
                  <c:v>0.73908725638057371</c:v>
                </c:pt>
                <c:pt idx="106">
                  <c:v>0.76334868504124276</c:v>
                </c:pt>
                <c:pt idx="107">
                  <c:v>0.78806799557729368</c:v>
                </c:pt>
                <c:pt idx="108">
                  <c:v>0.81327851188156097</c:v>
                </c:pt>
                <c:pt idx="109">
                  <c:v>0.83901685024068029</c:v>
                </c:pt>
                <c:pt idx="110">
                  <c:v>0.86532339452865425</c:v>
                </c:pt>
                <c:pt idx="111">
                  <c:v>0.89224286019240973</c:v>
                </c:pt>
                <c:pt idx="112">
                  <c:v>0.91982496789328505</c:v>
                </c:pt>
                <c:pt idx="113">
                  <c:v>0.94812525364405054</c:v>
                </c:pt>
                <c:pt idx="114">
                  <c:v>0.97720605030376595</c:v>
                </c:pt>
                <c:pt idx="115">
                  <c:v>1.0071376861882799</c:v>
                </c:pt>
                <c:pt idx="116">
                  <c:v>1.037999961538197</c:v>
                </c:pt>
                <c:pt idx="117">
                  <c:v>1.0698839844739778</c:v>
                </c:pt>
                <c:pt idx="118">
                  <c:v>1.1028944776204754</c:v>
                </c:pt>
                <c:pt idx="119">
                  <c:v>1.1371527090780242</c:v>
                </c:pt>
                <c:pt idx="120">
                  <c:v>1.1728002636200223</c:v>
                </c:pt>
                <c:pt idx="121">
                  <c:v>1.2100039628572927</c:v>
                </c:pt>
                <c:pt idx="122">
                  <c:v>1.2489623848000828</c:v>
                </c:pt>
                <c:pt idx="123">
                  <c:v>1.2899146547910303</c:v>
                </c:pt>
                <c:pt idx="124">
                  <c:v>1.333152535828088</c:v>
                </c:pt>
                <c:pt idx="125">
                  <c:v>1.3790374366159073</c:v>
                </c:pt>
                <c:pt idx="126">
                  <c:v>1.4280249699576566</c:v>
                </c:pt>
                <c:pt idx="127">
                  <c:v>1.4807015101747432</c:v>
                </c:pt>
                <c:pt idx="128">
                  <c:v>1.537840610864756</c:v>
                </c:pt>
                <c:pt idx="129">
                  <c:v>1.6004939360412309</c:v>
                </c:pt>
                <c:pt idx="130">
                  <c:v>1.6701458480348186</c:v>
                </c:pt>
                <c:pt idx="131">
                  <c:v>1.7489944960886423</c:v>
                </c:pt>
                <c:pt idx="132">
                  <c:v>1.8405097738970768</c:v>
                </c:pt>
                <c:pt idx="133">
                  <c:v>1.9506819612496025</c:v>
                </c:pt>
                <c:pt idx="134">
                  <c:v>2.0913539118795432</c:v>
                </c:pt>
                <c:pt idx="135">
                  <c:v>2.2921357641631146</c:v>
                </c:pt>
                <c:pt idx="136">
                  <c:v>2.6828730125874012</c:v>
                </c:pt>
              </c:numCache>
            </c:numRef>
          </c:xVal>
          <c:yVal>
            <c:numRef>
              <c:f>'F2 - EF2 Analysis'!$I$12:$I$210</c:f>
              <c:numCache>
                <c:formatCode>General</c:formatCode>
                <c:ptCount val="199"/>
                <c:pt idx="0">
                  <c:v>-7.4730690880321973</c:v>
                </c:pt>
                <c:pt idx="1">
                  <c:v>-7.4730690880321973</c:v>
                </c:pt>
                <c:pt idx="2">
                  <c:v>-7.4730690880321973</c:v>
                </c:pt>
                <c:pt idx="3">
                  <c:v>-7.4730690880321973</c:v>
                </c:pt>
                <c:pt idx="4">
                  <c:v>-7.4730690880321973</c:v>
                </c:pt>
                <c:pt idx="5">
                  <c:v>-7.4730690880321973</c:v>
                </c:pt>
                <c:pt idx="6">
                  <c:v>-7.4730690880321973</c:v>
                </c:pt>
                <c:pt idx="7">
                  <c:v>-7.4730690880321973</c:v>
                </c:pt>
                <c:pt idx="8">
                  <c:v>-7.4730690880321973</c:v>
                </c:pt>
                <c:pt idx="9">
                  <c:v>-7.4730690880321973</c:v>
                </c:pt>
                <c:pt idx="10">
                  <c:v>-7.4730690880321973</c:v>
                </c:pt>
                <c:pt idx="11">
                  <c:v>-7.4730690880321973</c:v>
                </c:pt>
                <c:pt idx="12">
                  <c:v>-7.4730690880321973</c:v>
                </c:pt>
                <c:pt idx="13">
                  <c:v>-7.4730690880321973</c:v>
                </c:pt>
                <c:pt idx="14">
                  <c:v>-7.4730690880321973</c:v>
                </c:pt>
                <c:pt idx="15">
                  <c:v>-7.4730690880321973</c:v>
                </c:pt>
                <c:pt idx="16">
                  <c:v>-7.4730690880321973</c:v>
                </c:pt>
                <c:pt idx="17">
                  <c:v>-7.4730690880321973</c:v>
                </c:pt>
                <c:pt idx="18">
                  <c:v>-7.4730690880321973</c:v>
                </c:pt>
                <c:pt idx="19">
                  <c:v>-7.4730690880321973</c:v>
                </c:pt>
                <c:pt idx="20">
                  <c:v>-7.4730690880321973</c:v>
                </c:pt>
                <c:pt idx="21">
                  <c:v>-7.4730690880321973</c:v>
                </c:pt>
                <c:pt idx="22">
                  <c:v>-7.4730690880321973</c:v>
                </c:pt>
                <c:pt idx="23">
                  <c:v>-7.4730690880321973</c:v>
                </c:pt>
                <c:pt idx="24">
                  <c:v>-7.4730690880321973</c:v>
                </c:pt>
                <c:pt idx="25">
                  <c:v>-7.4730690880321973</c:v>
                </c:pt>
                <c:pt idx="26">
                  <c:v>-6.942440836970027</c:v>
                </c:pt>
                <c:pt idx="27">
                  <c:v>-6.2791466195597634</c:v>
                </c:pt>
                <c:pt idx="28">
                  <c:v>-6.2492936564100816</c:v>
                </c:pt>
                <c:pt idx="29">
                  <c:v>-5.8636311755980968</c:v>
                </c:pt>
                <c:pt idx="30">
                  <c:v>-5.1805343308916534</c:v>
                </c:pt>
                <c:pt idx="31">
                  <c:v>-5.030722052662993</c:v>
                </c:pt>
                <c:pt idx="32">
                  <c:v>-4.7650188869299877</c:v>
                </c:pt>
                <c:pt idx="33">
                  <c:v>-4.6697087071256629</c:v>
                </c:pt>
                <c:pt idx="34">
                  <c:v>-4.6697087071256629</c:v>
                </c:pt>
                <c:pt idx="35">
                  <c:v>-4.4773368144782069</c:v>
                </c:pt>
                <c:pt idx="36">
                  <c:v>-4.4773368144782069</c:v>
                </c:pt>
                <c:pt idx="37">
                  <c:v>-4.1997050778799272</c:v>
                </c:pt>
                <c:pt idx="38">
                  <c:v>-4.1772322220278681</c:v>
                </c:pt>
                <c:pt idx="39">
                  <c:v>-4.0718717063700423</c:v>
                </c:pt>
                <c:pt idx="40">
                  <c:v>-3.771767113919704</c:v>
                </c:pt>
                <c:pt idx="41">
                  <c:v>-3.7141972620982262</c:v>
                </c:pt>
                <c:pt idx="42">
                  <c:v>-3.5610460826040513</c:v>
                </c:pt>
                <c:pt idx="43">
                  <c:v>-3.5610460826040513</c:v>
                </c:pt>
                <c:pt idx="44">
                  <c:v>-3.5610460826040513</c:v>
                </c:pt>
                <c:pt idx="45">
                  <c:v>-3.2834143460057721</c:v>
                </c:pt>
                <c:pt idx="46">
                  <c:v>-3.0786199333597586</c:v>
                </c:pt>
                <c:pt idx="47">
                  <c:v>-3.0542284802355995</c:v>
                </c:pt>
                <c:pt idx="48">
                  <c:v>-2.9319042320200186</c:v>
                </c:pt>
                <c:pt idx="49">
                  <c:v>-2.9191921964316569</c:v>
                </c:pt>
                <c:pt idx="50">
                  <c:v>-2.8678989020441059</c:v>
                </c:pt>
                <c:pt idx="51">
                  <c:v>-2.8678989020441059</c:v>
                </c:pt>
                <c:pt idx="52">
                  <c:v>-2.8678989020441059</c:v>
                </c:pt>
                <c:pt idx="53">
                  <c:v>-2.6764524374731509</c:v>
                </c:pt>
                <c:pt idx="54">
                  <c:v>-2.4354673457061273</c:v>
                </c:pt>
                <c:pt idx="55">
                  <c:v>-2.4289990178497045</c:v>
                </c:pt>
                <c:pt idx="56">
                  <c:v>-2.2969193554583685</c:v>
                </c:pt>
                <c:pt idx="57">
                  <c:v>-2.174751721484161</c:v>
                </c:pt>
                <c:pt idx="58">
                  <c:v>-2.174751721484161</c:v>
                </c:pt>
                <c:pt idx="59">
                  <c:v>-2.1697641799731215</c:v>
                </c:pt>
                <c:pt idx="60">
                  <c:v>-2.0794415416798357</c:v>
                </c:pt>
                <c:pt idx="61">
                  <c:v>-1.9934723742686498</c:v>
                </c:pt>
                <c:pt idx="62">
                  <c:v>-1.8746471290338227</c:v>
                </c:pt>
                <c:pt idx="63">
                  <c:v>-1.8205799077635469</c:v>
                </c:pt>
                <c:pt idx="64">
                  <c:v>-1.7928964790151303</c:v>
                </c:pt>
                <c:pt idx="65">
                  <c:v>-1.7692866133759966</c:v>
                </c:pt>
                <c:pt idx="66">
                  <c:v>-1.7692866133759966</c:v>
                </c:pt>
                <c:pt idx="67">
                  <c:v>-1.7047480922384253</c:v>
                </c:pt>
                <c:pt idx="68">
                  <c:v>-1.4816045409242156</c:v>
                </c:pt>
                <c:pt idx="69">
                  <c:v>-1.4816045409242156</c:v>
                </c:pt>
                <c:pt idx="70">
                  <c:v>-1.4569119283338441</c:v>
                </c:pt>
                <c:pt idx="71">
                  <c:v>-1.363821505267832</c:v>
                </c:pt>
                <c:pt idx="72">
                  <c:v>-1.2584609896100059</c:v>
                </c:pt>
                <c:pt idx="73">
                  <c:v>-1.0761394328160512</c:v>
                </c:pt>
                <c:pt idx="74">
                  <c:v>-1.0761394328160512</c:v>
                </c:pt>
                <c:pt idx="75">
                  <c:v>-1.0761394328160512</c:v>
                </c:pt>
                <c:pt idx="76">
                  <c:v>-1.0761394328160512</c:v>
                </c:pt>
                <c:pt idx="77">
                  <c:v>-0.95835639715966769</c:v>
                </c:pt>
                <c:pt idx="78">
                  <c:v>-0.89104394913937124</c:v>
                </c:pt>
                <c:pt idx="79">
                  <c:v>-0.81377516834856001</c:v>
                </c:pt>
                <c:pt idx="80">
                  <c:v>-0.78845736036427017</c:v>
                </c:pt>
                <c:pt idx="81">
                  <c:v>-0.78845736036427017</c:v>
                </c:pt>
                <c:pt idx="82">
                  <c:v>-0.78222681061363408</c:v>
                </c:pt>
                <c:pt idx="83">
                  <c:v>-0.75164338724155388</c:v>
                </c:pt>
                <c:pt idx="84">
                  <c:v>-0.71613669878464414</c:v>
                </c:pt>
                <c:pt idx="85">
                  <c:v>-0.67067432470788668</c:v>
                </c:pt>
                <c:pt idx="86">
                  <c:v>-0.67067432470788668</c:v>
                </c:pt>
                <c:pt idx="87">
                  <c:v>-0.67067432470788668</c:v>
                </c:pt>
                <c:pt idx="88">
                  <c:v>-0.67067432470788668</c:v>
                </c:pt>
                <c:pt idx="89">
                  <c:v>-0.66402978198921814</c:v>
                </c:pt>
                <c:pt idx="90">
                  <c:v>-0.48835276791393206</c:v>
                </c:pt>
                <c:pt idx="91">
                  <c:v>-0.38299225225610584</c:v>
                </c:pt>
                <c:pt idx="92">
                  <c:v>-0.38299225225610584</c:v>
                </c:pt>
                <c:pt idx="93">
                  <c:v>-0.36646295030489529</c:v>
                </c:pt>
                <c:pt idx="94">
                  <c:v>-0.2876820724517809</c:v>
                </c:pt>
                <c:pt idx="95">
                  <c:v>-0.2652092165997223</c:v>
                </c:pt>
                <c:pt idx="96">
                  <c:v>-0.22884157242884753</c:v>
                </c:pt>
                <c:pt idx="97">
                  <c:v>-0.16185070361256909</c:v>
                </c:pt>
                <c:pt idx="98">
                  <c:v>-0.15984870094189613</c:v>
                </c:pt>
                <c:pt idx="99">
                  <c:v>-0.10551835639684862</c:v>
                </c:pt>
                <c:pt idx="100">
                  <c:v>-9.5310179804324893E-2</c:v>
                </c:pt>
                <c:pt idx="101">
                  <c:v>-8.2887659805767747E-2</c:v>
                </c:pt>
                <c:pt idx="102">
                  <c:v>-5.3688505113505487E-2</c:v>
                </c:pt>
                <c:pt idx="103">
                  <c:v>0.21913552991667101</c:v>
                </c:pt>
                <c:pt idx="104">
                  <c:v>0.31015492830383945</c:v>
                </c:pt>
                <c:pt idx="105">
                  <c:v>0.31015492830383945</c:v>
                </c:pt>
                <c:pt idx="106">
                  <c:v>0.31015492830383945</c:v>
                </c:pt>
                <c:pt idx="107">
                  <c:v>0.31015492830383945</c:v>
                </c:pt>
                <c:pt idx="108">
                  <c:v>0.31182020762290064</c:v>
                </c:pt>
                <c:pt idx="109">
                  <c:v>0.38711596943996779</c:v>
                </c:pt>
                <c:pt idx="110">
                  <c:v>0.40546510810816438</c:v>
                </c:pt>
                <c:pt idx="111">
                  <c:v>0.48200518523049862</c:v>
                </c:pt>
                <c:pt idx="112">
                  <c:v>0.53329847961804921</c:v>
                </c:pt>
                <c:pt idx="113">
                  <c:v>0.55961578793542266</c:v>
                </c:pt>
                <c:pt idx="114">
                  <c:v>0.62860865942237409</c:v>
                </c:pt>
                <c:pt idx="115">
                  <c:v>0.87262378522166861</c:v>
                </c:pt>
                <c:pt idx="116">
                  <c:v>0.87546873735389985</c:v>
                </c:pt>
                <c:pt idx="117">
                  <c:v>0.88747029333866301</c:v>
                </c:pt>
                <c:pt idx="118">
                  <c:v>0.91629073187415511</c:v>
                </c:pt>
                <c:pt idx="119">
                  <c:v>0.91629073187415511</c:v>
                </c:pt>
                <c:pt idx="120">
                  <c:v>1.04412410338404</c:v>
                </c:pt>
                <c:pt idx="121">
                  <c:v>1.0837293579763994</c:v>
                </c:pt>
                <c:pt idx="122">
                  <c:v>1.1297879061365594</c:v>
                </c:pt>
                <c:pt idx="123">
                  <c:v>1.2685468361966299</c:v>
                </c:pt>
                <c:pt idx="124">
                  <c:v>1.2823532921162906</c:v>
                </c:pt>
                <c:pt idx="125">
                  <c:v>1.5220959022789522</c:v>
                </c:pt>
                <c:pt idx="126">
                  <c:v>1.5627655042356696</c:v>
                </c:pt>
                <c:pt idx="127">
                  <c:v>1.5629178967992075</c:v>
                </c:pt>
                <c:pt idx="128">
                  <c:v>1.6653455443723963</c:v>
                </c:pt>
                <c:pt idx="129">
                  <c:v>1.69644928942373</c:v>
                </c:pt>
                <c:pt idx="130">
                  <c:v>1.791759469228055</c:v>
                </c:pt>
                <c:pt idx="131">
                  <c:v>1.9195928407379399</c:v>
                </c:pt>
                <c:pt idx="132">
                  <c:v>2.2192034840549946</c:v>
                </c:pt>
                <c:pt idx="133">
                  <c:v>3.3499040872746049</c:v>
                </c:pt>
                <c:pt idx="134">
                  <c:v>2.6914125599491867</c:v>
                </c:pt>
                <c:pt idx="135">
                  <c:v>2.2795955747693468</c:v>
                </c:pt>
                <c:pt idx="136">
                  <c:v>2.1987385821674343</c:v>
                </c:pt>
              </c:numCache>
            </c:numRef>
          </c:yVal>
          <c:smooth val="0"/>
          <c:extLst xmlns:c16r2="http://schemas.microsoft.com/office/drawing/2015/06/chart">
            <c:ext xmlns:c16="http://schemas.microsoft.com/office/drawing/2014/chart" uri="{C3380CC4-5D6E-409C-BE32-E72D297353CC}">
              <c16:uniqueId val="{00000000-823C-4454-B42F-6474E9577052}"/>
            </c:ext>
          </c:extLst>
        </c:ser>
        <c:dLbls>
          <c:showLegendKey val="0"/>
          <c:showVal val="0"/>
          <c:showCatName val="0"/>
          <c:showSerName val="0"/>
          <c:showPercent val="0"/>
          <c:showBubbleSize val="0"/>
        </c:dLbls>
        <c:axId val="165895168"/>
        <c:axId val="165901824"/>
      </c:scatterChart>
      <c:valAx>
        <c:axId val="165895168"/>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901824"/>
        <c:crossesAt val="-10"/>
        <c:crossBetween val="midCat"/>
      </c:valAx>
      <c:valAx>
        <c:axId val="16590182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895168"/>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F3 Width Analysis</a:t>
            </a:r>
          </a:p>
        </c:rich>
      </c:tx>
      <c:layout>
        <c:manualLayout>
          <c:xMode val="edge"/>
          <c:yMode val="edge"/>
          <c:x val="0.42064372918978932"/>
          <c:y val="1.9575856443719449E-2"/>
        </c:manualLayout>
      </c:layout>
      <c:overlay val="0"/>
      <c:spPr>
        <a:noFill/>
        <a:ln w="25400">
          <a:noFill/>
        </a:ln>
      </c:spPr>
    </c:title>
    <c:autoTitleDeleted val="0"/>
    <c:plotArea>
      <c:layout>
        <c:manualLayout>
          <c:layoutTarget val="inner"/>
          <c:xMode val="edge"/>
          <c:yMode val="edge"/>
          <c:x val="5.8823529411764705E-2"/>
          <c:y val="0.12234910277324648"/>
          <c:w val="0.91564927857935818"/>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'F3 - EF3 Analysis'!$F$12:$F$110</c:f>
              <c:numCache>
                <c:formatCode>General</c:formatCode>
                <c:ptCount val="99"/>
                <c:pt idx="0">
                  <c:v>-2.2692057962849637</c:v>
                </c:pt>
                <c:pt idx="1">
                  <c:v>-1.8134175686740344</c:v>
                </c:pt>
                <c:pt idx="2">
                  <c:v>-1.5705850285674188</c:v>
                </c:pt>
                <c:pt idx="3">
                  <c:v>-1.39574699294967</c:v>
                </c:pt>
                <c:pt idx="4">
                  <c:v>-1.2554861698244286</c:v>
                </c:pt>
                <c:pt idx="5">
                  <c:v>-1.1363408192553905</c:v>
                </c:pt>
                <c:pt idx="6">
                  <c:v>-1.0314590939212436</c:v>
                </c:pt>
                <c:pt idx="7">
                  <c:v>-0.93684710835836804</c:v>
                </c:pt>
                <c:pt idx="8">
                  <c:v>-0.8499572808920578</c:v>
                </c:pt>
                <c:pt idx="9">
                  <c:v>-0.76905532945127975</c:v>
                </c:pt>
                <c:pt idx="10">
                  <c:v>-0.69290034522758903</c:v>
                </c:pt>
                <c:pt idx="11">
                  <c:v>-0.62056827180753826</c:v>
                </c:pt>
                <c:pt idx="12">
                  <c:v>-0.55134769512053772</c:v>
                </c:pt>
                <c:pt idx="13">
                  <c:v>-0.48467489602278113</c:v>
                </c:pt>
                <c:pt idx="14">
                  <c:v>-0.4200915099394113</c:v>
                </c:pt>
                <c:pt idx="15">
                  <c:v>-0.35721583463458467</c:v>
                </c:pt>
                <c:pt idx="16">
                  <c:v>-0.29572269945216134</c:v>
                </c:pt>
                <c:pt idx="17">
                  <c:v>-0.23532887106951692</c:v>
                </c:pt>
                <c:pt idx="18">
                  <c:v>-0.17578212101566829</c:v>
                </c:pt>
                <c:pt idx="19">
                  <c:v>-0.116852746716332</c:v>
                </c:pt>
                <c:pt idx="20">
                  <c:v>-5.8326735272993049E-2</c:v>
                </c:pt>
                <c:pt idx="21">
                  <c:v>0</c:v>
                </c:pt>
                <c:pt idx="22">
                  <c:v>5.8326735272993181E-2</c:v>
                </c:pt>
                <c:pt idx="23">
                  <c:v>0.11685274671633186</c:v>
                </c:pt>
                <c:pt idx="24">
                  <c:v>0.17578212101566829</c:v>
                </c:pt>
                <c:pt idx="25">
                  <c:v>0.23532887106951708</c:v>
                </c:pt>
                <c:pt idx="26">
                  <c:v>0.29572269945216134</c:v>
                </c:pt>
                <c:pt idx="27">
                  <c:v>0.35721583463458467</c:v>
                </c:pt>
                <c:pt idx="28">
                  <c:v>0.42009150993941113</c:v>
                </c:pt>
                <c:pt idx="29">
                  <c:v>0.48467489602278113</c:v>
                </c:pt>
                <c:pt idx="30">
                  <c:v>0.55134769512053794</c:v>
                </c:pt>
                <c:pt idx="31">
                  <c:v>0.62056827180753793</c:v>
                </c:pt>
                <c:pt idx="32">
                  <c:v>0.69290034522758903</c:v>
                </c:pt>
                <c:pt idx="33">
                  <c:v>0.76905532945128019</c:v>
                </c:pt>
                <c:pt idx="34">
                  <c:v>0.8499572808920578</c:v>
                </c:pt>
                <c:pt idx="35">
                  <c:v>0.93684710835836804</c:v>
                </c:pt>
                <c:pt idx="36">
                  <c:v>1.0314590939212447</c:v>
                </c:pt>
                <c:pt idx="37">
                  <c:v>1.1363408192553905</c:v>
                </c:pt>
                <c:pt idx="38">
                  <c:v>1.2554861698244288</c:v>
                </c:pt>
                <c:pt idx="39">
                  <c:v>1.39574699294967</c:v>
                </c:pt>
                <c:pt idx="40">
                  <c:v>1.5705850285674188</c:v>
                </c:pt>
                <c:pt idx="41">
                  <c:v>1.813417568674035</c:v>
                </c:pt>
                <c:pt idx="42">
                  <c:v>2.2692057962849623</c:v>
                </c:pt>
              </c:numCache>
            </c:numRef>
          </c:xVal>
          <c:yVal>
            <c:numRef>
              <c:f>'F3 - EF3 Analysis'!$G$12:$G$110</c:f>
              <c:numCache>
                <c:formatCode>General</c:formatCode>
                <c:ptCount val="99"/>
                <c:pt idx="0">
                  <c:v>2.3025850929940459</c:v>
                </c:pt>
                <c:pt idx="1">
                  <c:v>3.4965075614664802</c:v>
                </c:pt>
                <c:pt idx="2">
                  <c:v>3.4965075614664802</c:v>
                </c:pt>
                <c:pt idx="3">
                  <c:v>3.6888794541139363</c:v>
                </c:pt>
                <c:pt idx="4">
                  <c:v>3.6888794541139363</c:v>
                </c:pt>
                <c:pt idx="5">
                  <c:v>3.912023005428146</c:v>
                </c:pt>
                <c:pt idx="6">
                  <c:v>3.912023005428146</c:v>
                </c:pt>
                <c:pt idx="7">
                  <c:v>4.2046926193909657</c:v>
                </c:pt>
                <c:pt idx="8">
                  <c:v>4.6051701859880918</c:v>
                </c:pt>
                <c:pt idx="9">
                  <c:v>4.6051701859880918</c:v>
                </c:pt>
                <c:pt idx="10">
                  <c:v>4.6051701859880918</c:v>
                </c:pt>
                <c:pt idx="11">
                  <c:v>4.6051701859880918</c:v>
                </c:pt>
                <c:pt idx="12">
                  <c:v>4.6051701859880918</c:v>
                </c:pt>
                <c:pt idx="13">
                  <c:v>4.6051701859880918</c:v>
                </c:pt>
                <c:pt idx="14">
                  <c:v>4.8903491282217537</c:v>
                </c:pt>
                <c:pt idx="15">
                  <c:v>5.2983173665480363</c:v>
                </c:pt>
                <c:pt idx="16">
                  <c:v>5.393627546352362</c:v>
                </c:pt>
                <c:pt idx="17">
                  <c:v>5.7037824746562009</c:v>
                </c:pt>
                <c:pt idx="18">
                  <c:v>5.7037824746562009</c:v>
                </c:pt>
                <c:pt idx="19">
                  <c:v>6.0867747269123065</c:v>
                </c:pt>
                <c:pt idx="20">
                  <c:v>6.0867747269123065</c:v>
                </c:pt>
                <c:pt idx="21">
                  <c:v>6.1092475827643655</c:v>
                </c:pt>
                <c:pt idx="22">
                  <c:v>6.1092475827643655</c:v>
                </c:pt>
                <c:pt idx="23">
                  <c:v>6.2146080984221914</c:v>
                </c:pt>
                <c:pt idx="24">
                  <c:v>6.2146080984221914</c:v>
                </c:pt>
                <c:pt idx="25">
                  <c:v>6.2146080984221914</c:v>
                </c:pt>
                <c:pt idx="26">
                  <c:v>6.2146080984221914</c:v>
                </c:pt>
                <c:pt idx="27">
                  <c:v>6.2146080984221914</c:v>
                </c:pt>
                <c:pt idx="28">
                  <c:v>6.2728770065461674</c:v>
                </c:pt>
                <c:pt idx="29">
                  <c:v>6.3750248198280968</c:v>
                </c:pt>
                <c:pt idx="30">
                  <c:v>6.3969296552161463</c:v>
                </c:pt>
                <c:pt idx="31">
                  <c:v>6.3969296552161463</c:v>
                </c:pt>
                <c:pt idx="32">
                  <c:v>6.3969296552161463</c:v>
                </c:pt>
                <c:pt idx="33">
                  <c:v>6.5510803350434044</c:v>
                </c:pt>
                <c:pt idx="34">
                  <c:v>6.620073206530356</c:v>
                </c:pt>
                <c:pt idx="35">
                  <c:v>6.620073206530356</c:v>
                </c:pt>
                <c:pt idx="36">
                  <c:v>6.7799219074722519</c:v>
                </c:pt>
                <c:pt idx="37">
                  <c:v>6.7799219074722519</c:v>
                </c:pt>
                <c:pt idx="38">
                  <c:v>7.0900768357760917</c:v>
                </c:pt>
                <c:pt idx="39">
                  <c:v>7.1853870155804165</c:v>
                </c:pt>
                <c:pt idx="40">
                  <c:v>7.2492150571143892</c:v>
                </c:pt>
                <c:pt idx="41">
                  <c:v>7.2499255367179876</c:v>
                </c:pt>
                <c:pt idx="42">
                  <c:v>7.4730690880321973</c:v>
                </c:pt>
              </c:numCache>
            </c:numRef>
          </c:yVal>
          <c:smooth val="0"/>
          <c:extLst xmlns:c16r2="http://schemas.microsoft.com/office/drawing/2015/06/chart">
            <c:ext xmlns:c16="http://schemas.microsoft.com/office/drawing/2014/chart" uri="{C3380CC4-5D6E-409C-BE32-E72D297353CC}">
              <c16:uniqueId val="{00000000-8B17-4056-9948-94C26D877410}"/>
            </c:ext>
          </c:extLst>
        </c:ser>
        <c:dLbls>
          <c:showLegendKey val="0"/>
          <c:showVal val="0"/>
          <c:showCatName val="0"/>
          <c:showSerName val="0"/>
          <c:showPercent val="0"/>
          <c:showBubbleSize val="0"/>
        </c:dLbls>
        <c:axId val="166180736"/>
        <c:axId val="167989632"/>
      </c:scatterChart>
      <c:valAx>
        <c:axId val="166180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8723640399556106"/>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989632"/>
        <c:crosses val="autoZero"/>
        <c:crossBetween val="midCat"/>
      </c:valAx>
      <c:valAx>
        <c:axId val="167989632"/>
        <c:scaling>
          <c:orientation val="minMax"/>
          <c:min val="2"/>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5513866231647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6180736"/>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F3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6.3263041065482792E-2"/>
          <c:y val="0.12234910277324648"/>
          <c:w val="0.91120976692563749"/>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'F3 - EF3 Analysis'!$F$12:$F$110</c:f>
              <c:numCache>
                <c:formatCode>General</c:formatCode>
                <c:ptCount val="99"/>
                <c:pt idx="0">
                  <c:v>-2.2692057962849637</c:v>
                </c:pt>
                <c:pt idx="1">
                  <c:v>-1.8134175686740344</c:v>
                </c:pt>
                <c:pt idx="2">
                  <c:v>-1.5705850285674188</c:v>
                </c:pt>
                <c:pt idx="3">
                  <c:v>-1.39574699294967</c:v>
                </c:pt>
                <c:pt idx="4">
                  <c:v>-1.2554861698244286</c:v>
                </c:pt>
                <c:pt idx="5">
                  <c:v>-1.1363408192553905</c:v>
                </c:pt>
                <c:pt idx="6">
                  <c:v>-1.0314590939212436</c:v>
                </c:pt>
                <c:pt idx="7">
                  <c:v>-0.93684710835836804</c:v>
                </c:pt>
                <c:pt idx="8">
                  <c:v>-0.8499572808920578</c:v>
                </c:pt>
                <c:pt idx="9">
                  <c:v>-0.76905532945127975</c:v>
                </c:pt>
                <c:pt idx="10">
                  <c:v>-0.69290034522758903</c:v>
                </c:pt>
                <c:pt idx="11">
                  <c:v>-0.62056827180753826</c:v>
                </c:pt>
                <c:pt idx="12">
                  <c:v>-0.55134769512053772</c:v>
                </c:pt>
                <c:pt idx="13">
                  <c:v>-0.48467489602278113</c:v>
                </c:pt>
                <c:pt idx="14">
                  <c:v>-0.4200915099394113</c:v>
                </c:pt>
                <c:pt idx="15">
                  <c:v>-0.35721583463458467</c:v>
                </c:pt>
                <c:pt idx="16">
                  <c:v>-0.29572269945216134</c:v>
                </c:pt>
                <c:pt idx="17">
                  <c:v>-0.23532887106951692</c:v>
                </c:pt>
                <c:pt idx="18">
                  <c:v>-0.17578212101566829</c:v>
                </c:pt>
                <c:pt idx="19">
                  <c:v>-0.116852746716332</c:v>
                </c:pt>
                <c:pt idx="20">
                  <c:v>-5.8326735272993049E-2</c:v>
                </c:pt>
                <c:pt idx="21">
                  <c:v>0</c:v>
                </c:pt>
                <c:pt idx="22">
                  <c:v>5.8326735272993181E-2</c:v>
                </c:pt>
                <c:pt idx="23">
                  <c:v>0.11685274671633186</c:v>
                </c:pt>
                <c:pt idx="24">
                  <c:v>0.17578212101566829</c:v>
                </c:pt>
                <c:pt idx="25">
                  <c:v>0.23532887106951708</c:v>
                </c:pt>
                <c:pt idx="26">
                  <c:v>0.29572269945216134</c:v>
                </c:pt>
                <c:pt idx="27">
                  <c:v>0.35721583463458467</c:v>
                </c:pt>
                <c:pt idx="28">
                  <c:v>0.42009150993941113</c:v>
                </c:pt>
                <c:pt idx="29">
                  <c:v>0.48467489602278113</c:v>
                </c:pt>
                <c:pt idx="30">
                  <c:v>0.55134769512053794</c:v>
                </c:pt>
                <c:pt idx="31">
                  <c:v>0.62056827180753793</c:v>
                </c:pt>
                <c:pt idx="32">
                  <c:v>0.69290034522758903</c:v>
                </c:pt>
                <c:pt idx="33">
                  <c:v>0.76905532945128019</c:v>
                </c:pt>
                <c:pt idx="34">
                  <c:v>0.8499572808920578</c:v>
                </c:pt>
                <c:pt idx="35">
                  <c:v>0.93684710835836804</c:v>
                </c:pt>
                <c:pt idx="36">
                  <c:v>1.0314590939212447</c:v>
                </c:pt>
                <c:pt idx="37">
                  <c:v>1.1363408192553905</c:v>
                </c:pt>
                <c:pt idx="38">
                  <c:v>1.2554861698244288</c:v>
                </c:pt>
                <c:pt idx="39">
                  <c:v>1.39574699294967</c:v>
                </c:pt>
                <c:pt idx="40">
                  <c:v>1.5705850285674188</c:v>
                </c:pt>
                <c:pt idx="41">
                  <c:v>1.813417568674035</c:v>
                </c:pt>
                <c:pt idx="42">
                  <c:v>2.2692057962849623</c:v>
                </c:pt>
              </c:numCache>
            </c:numRef>
          </c:xVal>
          <c:yVal>
            <c:numRef>
              <c:f>'F3 - EF3 Analysis'!$H$12:$H$110</c:f>
              <c:numCache>
                <c:formatCode>General</c:formatCode>
                <c:ptCount val="99"/>
                <c:pt idx="0">
                  <c:v>-2.3025850929940455</c:v>
                </c:pt>
                <c:pt idx="1">
                  <c:v>-0.69314718055994529</c:v>
                </c:pt>
                <c:pt idx="2">
                  <c:v>0</c:v>
                </c:pt>
                <c:pt idx="3">
                  <c:v>0.40546510810816438</c:v>
                </c:pt>
                <c:pt idx="4">
                  <c:v>0.69314718055994529</c:v>
                </c:pt>
                <c:pt idx="5">
                  <c:v>0.69314718055994529</c:v>
                </c:pt>
                <c:pt idx="6">
                  <c:v>0.83290912293510388</c:v>
                </c:pt>
                <c:pt idx="7">
                  <c:v>0.83290912293510388</c:v>
                </c:pt>
                <c:pt idx="8">
                  <c:v>1.0986122886681098</c:v>
                </c:pt>
                <c:pt idx="9">
                  <c:v>1.0986122886681098</c:v>
                </c:pt>
                <c:pt idx="10">
                  <c:v>1.0986122886681098</c:v>
                </c:pt>
                <c:pt idx="11">
                  <c:v>1.0986122886681098</c:v>
                </c:pt>
                <c:pt idx="12">
                  <c:v>1.2089603458369751</c:v>
                </c:pt>
                <c:pt idx="13">
                  <c:v>1.3862943611198906</c:v>
                </c:pt>
                <c:pt idx="14">
                  <c:v>1.3862943611198906</c:v>
                </c:pt>
                <c:pt idx="15">
                  <c:v>1.3862943611198906</c:v>
                </c:pt>
                <c:pt idx="16">
                  <c:v>1.5040773967762742</c:v>
                </c:pt>
                <c:pt idx="17">
                  <c:v>1.547562508716013</c:v>
                </c:pt>
                <c:pt idx="18">
                  <c:v>1.6094379124341003</c:v>
                </c:pt>
                <c:pt idx="19">
                  <c:v>1.791759469228055</c:v>
                </c:pt>
                <c:pt idx="20">
                  <c:v>1.8082887711792655</c:v>
                </c:pt>
                <c:pt idx="21">
                  <c:v>1.9169226121820611</c:v>
                </c:pt>
                <c:pt idx="22">
                  <c:v>1.9459101490553132</c:v>
                </c:pt>
                <c:pt idx="23">
                  <c:v>2.050270164379556</c:v>
                </c:pt>
                <c:pt idx="24">
                  <c:v>2.0781907597781832</c:v>
                </c:pt>
                <c:pt idx="25">
                  <c:v>2.1633230256605378</c:v>
                </c:pt>
                <c:pt idx="26">
                  <c:v>2.174751721484161</c:v>
                </c:pt>
                <c:pt idx="27">
                  <c:v>2.1860512767380942</c:v>
                </c:pt>
                <c:pt idx="28">
                  <c:v>2.1972245773362196</c:v>
                </c:pt>
                <c:pt idx="29">
                  <c:v>2.3025850929940459</c:v>
                </c:pt>
                <c:pt idx="30">
                  <c:v>2.3223877202902252</c:v>
                </c:pt>
                <c:pt idx="31">
                  <c:v>2.341805806147327</c:v>
                </c:pt>
                <c:pt idx="32">
                  <c:v>2.3905959703167592</c:v>
                </c:pt>
                <c:pt idx="33">
                  <c:v>2.3978952727983707</c:v>
                </c:pt>
                <c:pt idx="34">
                  <c:v>2.4849066497880004</c:v>
                </c:pt>
                <c:pt idx="35">
                  <c:v>2.4849066497880004</c:v>
                </c:pt>
                <c:pt idx="36">
                  <c:v>2.6390573296152584</c:v>
                </c:pt>
                <c:pt idx="37">
                  <c:v>2.6672282065819548</c:v>
                </c:pt>
                <c:pt idx="38">
                  <c:v>2.7850112422383382</c:v>
                </c:pt>
                <c:pt idx="39">
                  <c:v>2.8154087194227095</c:v>
                </c:pt>
                <c:pt idx="40">
                  <c:v>3.1424266527047946</c:v>
                </c:pt>
                <c:pt idx="41">
                  <c:v>3.3672958299864741</c:v>
                </c:pt>
                <c:pt idx="42">
                  <c:v>3.4011973816621555</c:v>
                </c:pt>
              </c:numCache>
            </c:numRef>
          </c:yVal>
          <c:smooth val="0"/>
          <c:extLst xmlns:c16r2="http://schemas.microsoft.com/office/drawing/2015/06/chart">
            <c:ext xmlns:c16="http://schemas.microsoft.com/office/drawing/2014/chart" uri="{C3380CC4-5D6E-409C-BE32-E72D297353CC}">
              <c16:uniqueId val="{00000000-0BDF-4CB8-B661-9DB5E746B265}"/>
            </c:ext>
          </c:extLst>
        </c:ser>
        <c:dLbls>
          <c:showLegendKey val="0"/>
          <c:showVal val="0"/>
          <c:showCatName val="0"/>
          <c:showSerName val="0"/>
          <c:showPercent val="0"/>
          <c:showBubbleSize val="0"/>
        </c:dLbls>
        <c:axId val="168022400"/>
        <c:axId val="168024704"/>
      </c:scatterChart>
      <c:valAx>
        <c:axId val="168022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8945615982242013"/>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024704"/>
        <c:crossesAt val="-4"/>
        <c:crossBetween val="midCat"/>
      </c:valAx>
      <c:valAx>
        <c:axId val="1680247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022400"/>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F3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6.3263041065482792E-2"/>
          <c:y val="0.12234910277324648"/>
          <c:w val="0.91120976692563749"/>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'F3 - EF3 Analysis'!$F$12:$F$110</c:f>
              <c:numCache>
                <c:formatCode>General</c:formatCode>
                <c:ptCount val="99"/>
                <c:pt idx="0">
                  <c:v>-2.2692057962849637</c:v>
                </c:pt>
                <c:pt idx="1">
                  <c:v>-1.8134175686740344</c:v>
                </c:pt>
                <c:pt idx="2">
                  <c:v>-1.5705850285674188</c:v>
                </c:pt>
                <c:pt idx="3">
                  <c:v>-1.39574699294967</c:v>
                </c:pt>
                <c:pt idx="4">
                  <c:v>-1.2554861698244286</c:v>
                </c:pt>
                <c:pt idx="5">
                  <c:v>-1.1363408192553905</c:v>
                </c:pt>
                <c:pt idx="6">
                  <c:v>-1.0314590939212436</c:v>
                </c:pt>
                <c:pt idx="7">
                  <c:v>-0.93684710835836804</c:v>
                </c:pt>
                <c:pt idx="8">
                  <c:v>-0.8499572808920578</c:v>
                </c:pt>
                <c:pt idx="9">
                  <c:v>-0.76905532945127975</c:v>
                </c:pt>
                <c:pt idx="10">
                  <c:v>-0.69290034522758903</c:v>
                </c:pt>
                <c:pt idx="11">
                  <c:v>-0.62056827180753826</c:v>
                </c:pt>
                <c:pt idx="12">
                  <c:v>-0.55134769512053772</c:v>
                </c:pt>
                <c:pt idx="13">
                  <c:v>-0.48467489602278113</c:v>
                </c:pt>
                <c:pt idx="14">
                  <c:v>-0.4200915099394113</c:v>
                </c:pt>
                <c:pt idx="15">
                  <c:v>-0.35721583463458467</c:v>
                </c:pt>
                <c:pt idx="16">
                  <c:v>-0.29572269945216134</c:v>
                </c:pt>
                <c:pt idx="17">
                  <c:v>-0.23532887106951692</c:v>
                </c:pt>
                <c:pt idx="18">
                  <c:v>-0.17578212101566829</c:v>
                </c:pt>
                <c:pt idx="19">
                  <c:v>-0.116852746716332</c:v>
                </c:pt>
                <c:pt idx="20">
                  <c:v>-5.8326735272993049E-2</c:v>
                </c:pt>
                <c:pt idx="21">
                  <c:v>0</c:v>
                </c:pt>
                <c:pt idx="22">
                  <c:v>5.8326735272993181E-2</c:v>
                </c:pt>
                <c:pt idx="23">
                  <c:v>0.11685274671633186</c:v>
                </c:pt>
                <c:pt idx="24">
                  <c:v>0.17578212101566829</c:v>
                </c:pt>
                <c:pt idx="25">
                  <c:v>0.23532887106951708</c:v>
                </c:pt>
                <c:pt idx="26">
                  <c:v>0.29572269945216134</c:v>
                </c:pt>
                <c:pt idx="27">
                  <c:v>0.35721583463458467</c:v>
                </c:pt>
                <c:pt idx="28">
                  <c:v>0.42009150993941113</c:v>
                </c:pt>
                <c:pt idx="29">
                  <c:v>0.48467489602278113</c:v>
                </c:pt>
                <c:pt idx="30">
                  <c:v>0.55134769512053794</c:v>
                </c:pt>
                <c:pt idx="31">
                  <c:v>0.62056827180753793</c:v>
                </c:pt>
                <c:pt idx="32">
                  <c:v>0.69290034522758903</c:v>
                </c:pt>
                <c:pt idx="33">
                  <c:v>0.76905532945128019</c:v>
                </c:pt>
                <c:pt idx="34">
                  <c:v>0.8499572808920578</c:v>
                </c:pt>
                <c:pt idx="35">
                  <c:v>0.93684710835836804</c:v>
                </c:pt>
                <c:pt idx="36">
                  <c:v>1.0314590939212447</c:v>
                </c:pt>
                <c:pt idx="37">
                  <c:v>1.1363408192553905</c:v>
                </c:pt>
                <c:pt idx="38">
                  <c:v>1.2554861698244288</c:v>
                </c:pt>
                <c:pt idx="39">
                  <c:v>1.39574699294967</c:v>
                </c:pt>
                <c:pt idx="40">
                  <c:v>1.5705850285674188</c:v>
                </c:pt>
                <c:pt idx="41">
                  <c:v>1.813417568674035</c:v>
                </c:pt>
                <c:pt idx="42">
                  <c:v>2.2692057962849623</c:v>
                </c:pt>
              </c:numCache>
            </c:numRef>
          </c:xVal>
          <c:yVal>
            <c:numRef>
              <c:f>'F3 - EF3 Analysis'!$I$12:$I$110</c:f>
              <c:numCache>
                <c:formatCode>General</c:formatCode>
                <c:ptCount val="99"/>
                <c:pt idx="0">
                  <c:v>-7.4730690880321973</c:v>
                </c:pt>
                <c:pt idx="1">
                  <c:v>-3.5610460826040513</c:v>
                </c:pt>
                <c:pt idx="2">
                  <c:v>-3.1436524036306133</c:v>
                </c:pt>
                <c:pt idx="3">
                  <c:v>-3.0910424533583156</c:v>
                </c:pt>
                <c:pt idx="4">
                  <c:v>-2.174751721484161</c:v>
                </c:pt>
                <c:pt idx="5">
                  <c:v>-2.0794415416798357</c:v>
                </c:pt>
                <c:pt idx="6">
                  <c:v>-2.0349897791090021</c:v>
                </c:pt>
                <c:pt idx="7">
                  <c:v>-1.9924301646902063</c:v>
                </c:pt>
                <c:pt idx="8">
                  <c:v>-1.8018098050815563</c:v>
                </c:pt>
                <c:pt idx="9">
                  <c:v>-1.6441234704219905</c:v>
                </c:pt>
                <c:pt idx="10">
                  <c:v>-1.2386583623138261</c:v>
                </c:pt>
                <c:pt idx="11">
                  <c:v>-0.77443118863117832</c:v>
                </c:pt>
                <c:pt idx="12">
                  <c:v>-0.69257916009593667</c:v>
                </c:pt>
                <c:pt idx="13">
                  <c:v>-0.68184762530601184</c:v>
                </c:pt>
                <c:pt idx="14">
                  <c:v>-0.67067432470788668</c:v>
                </c:pt>
                <c:pt idx="15">
                  <c:v>-0.52609309589677911</c:v>
                </c:pt>
                <c:pt idx="16">
                  <c:v>-0.48336522640289303</c:v>
                </c:pt>
                <c:pt idx="17">
                  <c:v>-0.20067069546215124</c:v>
                </c:pt>
                <c:pt idx="18">
                  <c:v>-0.15984870094189613</c:v>
                </c:pt>
                <c:pt idx="19">
                  <c:v>-0.15984870094189602</c:v>
                </c:pt>
                <c:pt idx="20">
                  <c:v>-0.10157979281792022</c:v>
                </c:pt>
                <c:pt idx="21">
                  <c:v>2.2472855852058576E-2</c:v>
                </c:pt>
                <c:pt idx="22">
                  <c:v>2.2472855852058576E-2</c:v>
                </c:pt>
                <c:pt idx="23">
                  <c:v>0.127833371509885</c:v>
                </c:pt>
                <c:pt idx="24">
                  <c:v>0.132820913020924</c:v>
                </c:pt>
                <c:pt idx="25">
                  <c:v>0.17662353567931685</c:v>
                </c:pt>
                <c:pt idx="26">
                  <c:v>0.17662353567931685</c:v>
                </c:pt>
                <c:pt idx="27">
                  <c:v>0.69314718055994529</c:v>
                </c:pt>
                <c:pt idx="28">
                  <c:v>0.91629073187415511</c:v>
                </c:pt>
                <c:pt idx="29">
                  <c:v>1.1210851445201682</c:v>
                </c:pt>
                <c:pt idx="30">
                  <c:v>1.1210851445201684</c:v>
                </c:pt>
                <c:pt idx="31">
                  <c:v>1.1321349807067533</c:v>
                </c:pt>
                <c:pt idx="32">
                  <c:v>1.2264456601779945</c:v>
                </c:pt>
                <c:pt idx="33">
                  <c:v>1.259880436264232</c:v>
                </c:pt>
                <c:pt idx="34">
                  <c:v>1.3103271441586966</c:v>
                </c:pt>
                <c:pt idx="35">
                  <c:v>1.5569477298127037</c:v>
                </c:pt>
                <c:pt idx="36">
                  <c:v>1.8271266130653463</c:v>
                </c:pt>
                <c:pt idx="37">
                  <c:v>2.0149030205422647</c:v>
                </c:pt>
                <c:pt idx="38">
                  <c:v>2.0149030205422647</c:v>
                </c:pt>
                <c:pt idx="39">
                  <c:v>2.0781907597781832</c:v>
                </c:pt>
                <c:pt idx="40">
                  <c:v>2.2894307712029534</c:v>
                </c:pt>
                <c:pt idx="41">
                  <c:v>2.4152032986974503</c:v>
                </c:pt>
                <c:pt idx="42">
                  <c:v>2.6741486494265287</c:v>
                </c:pt>
              </c:numCache>
            </c:numRef>
          </c:yVal>
          <c:smooth val="0"/>
          <c:extLst xmlns:c16r2="http://schemas.microsoft.com/office/drawing/2015/06/chart">
            <c:ext xmlns:c16="http://schemas.microsoft.com/office/drawing/2014/chart" uri="{C3380CC4-5D6E-409C-BE32-E72D297353CC}">
              <c16:uniqueId val="{00000000-92FB-43AD-8D6F-D6B66993A133}"/>
            </c:ext>
          </c:extLst>
        </c:ser>
        <c:dLbls>
          <c:showLegendKey val="0"/>
          <c:showVal val="0"/>
          <c:showCatName val="0"/>
          <c:showSerName val="0"/>
          <c:showPercent val="0"/>
          <c:showBubbleSize val="0"/>
        </c:dLbls>
        <c:axId val="168774272"/>
        <c:axId val="168789120"/>
      </c:scatterChart>
      <c:valAx>
        <c:axId val="1687742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8945615982242013"/>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789120"/>
        <c:crossesAt val="-10"/>
        <c:crossBetween val="midCat"/>
      </c:valAx>
      <c:valAx>
        <c:axId val="16878912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774272"/>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F4 Width Analysis</a:t>
            </a:r>
          </a:p>
        </c:rich>
      </c:tx>
      <c:layout>
        <c:manualLayout>
          <c:xMode val="edge"/>
          <c:yMode val="edge"/>
          <c:x val="0.42064372918978932"/>
          <c:y val="1.9575856443719449E-2"/>
        </c:manualLayout>
      </c:layout>
      <c:overlay val="0"/>
      <c:spPr>
        <a:noFill/>
        <a:ln w="25400">
          <a:noFill/>
        </a:ln>
      </c:spPr>
    </c:title>
    <c:autoTitleDeleted val="0"/>
    <c:plotArea>
      <c:layout>
        <c:manualLayout>
          <c:layoutTarget val="inner"/>
          <c:xMode val="edge"/>
          <c:yMode val="edge"/>
          <c:x val="7.1032186459489471E-2"/>
          <c:y val="0.12887438825448613"/>
          <c:w val="0.90344062153163152"/>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'F4 - EF4 Analysis'!$F$12:$F$110</c:f>
              <c:numCache>
                <c:formatCode>General</c:formatCode>
                <c:ptCount val="99"/>
                <c:pt idx="0">
                  <c:v>-2.0190862005831423</c:v>
                </c:pt>
                <c:pt idx="1">
                  <c:v>-1.5123895860676801</c:v>
                </c:pt>
                <c:pt idx="2">
                  <c:v>-1.2334945619686917</c:v>
                </c:pt>
                <c:pt idx="3">
                  <c:v>-1.0271542729149992</c:v>
                </c:pt>
                <c:pt idx="4">
                  <c:v>-0.85725432022117776</c:v>
                </c:pt>
                <c:pt idx="5">
                  <c:v>-0.70910250340902359</c:v>
                </c:pt>
                <c:pt idx="6">
                  <c:v>-0.5751092812784383</c:v>
                </c:pt>
                <c:pt idx="7">
                  <c:v>-0.4507442126153593</c:v>
                </c:pt>
                <c:pt idx="8">
                  <c:v>-0.33300509819729662</c:v>
                </c:pt>
                <c:pt idx="9">
                  <c:v>-0.21972291581857983</c:v>
                </c:pt>
                <c:pt idx="10">
                  <c:v>-0.10920048169143172</c:v>
                </c:pt>
                <c:pt idx="11">
                  <c:v>0</c:v>
                </c:pt>
                <c:pt idx="12">
                  <c:v>0.10920048169143155</c:v>
                </c:pt>
                <c:pt idx="13">
                  <c:v>0.21972291581858003</c:v>
                </c:pt>
                <c:pt idx="14">
                  <c:v>0.33300509819729662</c:v>
                </c:pt>
                <c:pt idx="15">
                  <c:v>0.4507442126153593</c:v>
                </c:pt>
                <c:pt idx="16">
                  <c:v>0.57510928127843797</c:v>
                </c:pt>
                <c:pt idx="17">
                  <c:v>0.70910250340902437</c:v>
                </c:pt>
                <c:pt idx="18">
                  <c:v>0.85725432022117776</c:v>
                </c:pt>
                <c:pt idx="19">
                  <c:v>1.0271542729149992</c:v>
                </c:pt>
                <c:pt idx="20">
                  <c:v>1.233494561968691</c:v>
                </c:pt>
                <c:pt idx="21">
                  <c:v>1.5123895860676808</c:v>
                </c:pt>
                <c:pt idx="22">
                  <c:v>2.0190862005831423</c:v>
                </c:pt>
              </c:numCache>
            </c:numRef>
          </c:xVal>
          <c:yVal>
            <c:numRef>
              <c:f>'F4 - EF4 Analysis'!$G$12:$G$110</c:f>
              <c:numCache>
                <c:formatCode>General</c:formatCode>
                <c:ptCount val="99"/>
                <c:pt idx="0">
                  <c:v>4.3174881135363101</c:v>
                </c:pt>
                <c:pt idx="1">
                  <c:v>5.2983173665480363</c:v>
                </c:pt>
                <c:pt idx="2">
                  <c:v>6.0867747269123065</c:v>
                </c:pt>
                <c:pt idx="3">
                  <c:v>6.3969296552161463</c:v>
                </c:pt>
                <c:pt idx="4">
                  <c:v>6.6846117276679271</c:v>
                </c:pt>
                <c:pt idx="5">
                  <c:v>6.7799219074722519</c:v>
                </c:pt>
                <c:pt idx="6">
                  <c:v>6.7799219074722519</c:v>
                </c:pt>
                <c:pt idx="7">
                  <c:v>6.7799219074722519</c:v>
                </c:pt>
                <c:pt idx="8">
                  <c:v>6.7799219074722519</c:v>
                </c:pt>
                <c:pt idx="9">
                  <c:v>6.7799219074722519</c:v>
                </c:pt>
                <c:pt idx="10">
                  <c:v>6.7799219074722519</c:v>
                </c:pt>
                <c:pt idx="11">
                  <c:v>6.7799219074722519</c:v>
                </c:pt>
                <c:pt idx="12">
                  <c:v>6.7799219074722519</c:v>
                </c:pt>
                <c:pt idx="13">
                  <c:v>6.7799219074722519</c:v>
                </c:pt>
                <c:pt idx="14">
                  <c:v>7.0030654587864616</c:v>
                </c:pt>
                <c:pt idx="15">
                  <c:v>7.0030654587864616</c:v>
                </c:pt>
                <c:pt idx="16">
                  <c:v>7.1853870155804165</c:v>
                </c:pt>
                <c:pt idx="17">
                  <c:v>7.3670770598810122</c:v>
                </c:pt>
                <c:pt idx="18">
                  <c:v>7.3670770598810122</c:v>
                </c:pt>
                <c:pt idx="19">
                  <c:v>7.3670770598810122</c:v>
                </c:pt>
                <c:pt idx="20">
                  <c:v>7.4673710669175595</c:v>
                </c:pt>
                <c:pt idx="21">
                  <c:v>7.4730690880321973</c:v>
                </c:pt>
                <c:pt idx="22">
                  <c:v>7.696212639346407</c:v>
                </c:pt>
              </c:numCache>
            </c:numRef>
          </c:yVal>
          <c:smooth val="0"/>
          <c:extLst xmlns:c16r2="http://schemas.microsoft.com/office/drawing/2015/06/chart">
            <c:ext xmlns:c16="http://schemas.microsoft.com/office/drawing/2014/chart" uri="{C3380CC4-5D6E-409C-BE32-E72D297353CC}">
              <c16:uniqueId val="{00000000-70A0-4852-A64D-6DB26329B09C}"/>
            </c:ext>
          </c:extLst>
        </c:ser>
        <c:dLbls>
          <c:showLegendKey val="0"/>
          <c:showVal val="0"/>
          <c:showCatName val="0"/>
          <c:showSerName val="0"/>
          <c:showPercent val="0"/>
          <c:showBubbleSize val="0"/>
        </c:dLbls>
        <c:axId val="168855424"/>
        <c:axId val="164434304"/>
      </c:scatterChart>
      <c:valAx>
        <c:axId val="1688554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389567147613761"/>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4434304"/>
        <c:crosses val="autoZero"/>
        <c:crossBetween val="midCat"/>
      </c:valAx>
      <c:valAx>
        <c:axId val="164434304"/>
        <c:scaling>
          <c:orientation val="minMax"/>
          <c:max val="8"/>
          <c:min val="4"/>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5513866231647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855424"/>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F4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7.1032186459489471E-2"/>
          <c:y val="0.12234910277324648"/>
          <c:w val="0.90344062153163152"/>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'F4 - EF4 Analysis'!$F$12:$F$110</c:f>
              <c:numCache>
                <c:formatCode>General</c:formatCode>
                <c:ptCount val="99"/>
                <c:pt idx="0">
                  <c:v>-2.0190862005831423</c:v>
                </c:pt>
                <c:pt idx="1">
                  <c:v>-1.5123895860676801</c:v>
                </c:pt>
                <c:pt idx="2">
                  <c:v>-1.2334945619686917</c:v>
                </c:pt>
                <c:pt idx="3">
                  <c:v>-1.0271542729149992</c:v>
                </c:pt>
                <c:pt idx="4">
                  <c:v>-0.85725432022117776</c:v>
                </c:pt>
                <c:pt idx="5">
                  <c:v>-0.70910250340902359</c:v>
                </c:pt>
                <c:pt idx="6">
                  <c:v>-0.5751092812784383</c:v>
                </c:pt>
                <c:pt idx="7">
                  <c:v>-0.4507442126153593</c:v>
                </c:pt>
                <c:pt idx="8">
                  <c:v>-0.33300509819729662</c:v>
                </c:pt>
                <c:pt idx="9">
                  <c:v>-0.21972291581857983</c:v>
                </c:pt>
                <c:pt idx="10">
                  <c:v>-0.10920048169143172</c:v>
                </c:pt>
                <c:pt idx="11">
                  <c:v>0</c:v>
                </c:pt>
                <c:pt idx="12">
                  <c:v>0.10920048169143155</c:v>
                </c:pt>
                <c:pt idx="13">
                  <c:v>0.21972291581858003</c:v>
                </c:pt>
                <c:pt idx="14">
                  <c:v>0.33300509819729662</c:v>
                </c:pt>
                <c:pt idx="15">
                  <c:v>0.4507442126153593</c:v>
                </c:pt>
                <c:pt idx="16">
                  <c:v>0.57510928127843797</c:v>
                </c:pt>
                <c:pt idx="17">
                  <c:v>0.70910250340902437</c:v>
                </c:pt>
                <c:pt idx="18">
                  <c:v>0.85725432022117776</c:v>
                </c:pt>
                <c:pt idx="19">
                  <c:v>1.0271542729149992</c:v>
                </c:pt>
                <c:pt idx="20">
                  <c:v>1.233494561968691</c:v>
                </c:pt>
                <c:pt idx="21">
                  <c:v>1.5123895860676808</c:v>
                </c:pt>
                <c:pt idx="22">
                  <c:v>2.0190862005831423</c:v>
                </c:pt>
              </c:numCache>
            </c:numRef>
          </c:xVal>
          <c:yVal>
            <c:numRef>
              <c:f>'F4 - EF4 Analysis'!$H$12:$H$110</c:f>
              <c:numCache>
                <c:formatCode>General</c:formatCode>
                <c:ptCount val="99"/>
                <c:pt idx="0">
                  <c:v>1.0986122886681098</c:v>
                </c:pt>
                <c:pt idx="1">
                  <c:v>1.0986122886681098</c:v>
                </c:pt>
                <c:pt idx="2">
                  <c:v>1.6094379124341003</c:v>
                </c:pt>
                <c:pt idx="3">
                  <c:v>1.6094379124341003</c:v>
                </c:pt>
                <c:pt idx="4">
                  <c:v>1.6094379124341003</c:v>
                </c:pt>
                <c:pt idx="5">
                  <c:v>1.6094379124341003</c:v>
                </c:pt>
                <c:pt idx="6">
                  <c:v>1.6094379124341003</c:v>
                </c:pt>
                <c:pt idx="7">
                  <c:v>1.6094379124341003</c:v>
                </c:pt>
                <c:pt idx="8">
                  <c:v>1.7749523509116738</c:v>
                </c:pt>
                <c:pt idx="9">
                  <c:v>1.7749523509116738</c:v>
                </c:pt>
                <c:pt idx="10">
                  <c:v>1.791759469228055</c:v>
                </c:pt>
                <c:pt idx="11">
                  <c:v>2.3025850929940459</c:v>
                </c:pt>
                <c:pt idx="12">
                  <c:v>2.3025850929940459</c:v>
                </c:pt>
                <c:pt idx="13">
                  <c:v>2.4849066497880004</c:v>
                </c:pt>
                <c:pt idx="14">
                  <c:v>2.7663191092261861</c:v>
                </c:pt>
                <c:pt idx="15">
                  <c:v>2.8332133440562162</c:v>
                </c:pt>
                <c:pt idx="16">
                  <c:v>2.8332133440562162</c:v>
                </c:pt>
                <c:pt idx="17">
                  <c:v>2.8622008809294686</c:v>
                </c:pt>
                <c:pt idx="18">
                  <c:v>2.9957322735539909</c:v>
                </c:pt>
                <c:pt idx="19">
                  <c:v>2.9957322735539909</c:v>
                </c:pt>
                <c:pt idx="20">
                  <c:v>3.1780538303479458</c:v>
                </c:pt>
                <c:pt idx="21">
                  <c:v>3.3775875160230218</c:v>
                </c:pt>
                <c:pt idx="22">
                  <c:v>3.8712010109078911</c:v>
                </c:pt>
              </c:numCache>
            </c:numRef>
          </c:yVal>
          <c:smooth val="0"/>
          <c:extLst xmlns:c16r2="http://schemas.microsoft.com/office/drawing/2015/06/chart">
            <c:ext xmlns:c16="http://schemas.microsoft.com/office/drawing/2014/chart" uri="{C3380CC4-5D6E-409C-BE32-E72D297353CC}">
              <c16:uniqueId val="{00000000-4212-4496-8FBD-A96ADF85219A}"/>
            </c:ext>
          </c:extLst>
        </c:ser>
        <c:dLbls>
          <c:showLegendKey val="0"/>
          <c:showVal val="0"/>
          <c:showCatName val="0"/>
          <c:showSerName val="0"/>
          <c:showPercent val="0"/>
          <c:showBubbleSize val="0"/>
        </c:dLbls>
        <c:axId val="164475264"/>
        <c:axId val="164477568"/>
      </c:scatterChart>
      <c:valAx>
        <c:axId val="1644752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389567147613761"/>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4477568"/>
        <c:crossesAt val="-4"/>
        <c:crossBetween val="midCat"/>
      </c:valAx>
      <c:valAx>
        <c:axId val="164477568"/>
        <c:scaling>
          <c:orientation val="minMax"/>
          <c:max val="4"/>
          <c:min val="1"/>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4475264"/>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F4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7.5471698113207544E-2"/>
          <c:y val="0.12234910277324648"/>
          <c:w val="0.89900110987791171"/>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'F4 - EF4 Analysis'!$F$12:$F$110</c:f>
              <c:numCache>
                <c:formatCode>General</c:formatCode>
                <c:ptCount val="99"/>
                <c:pt idx="0">
                  <c:v>-2.0190862005831423</c:v>
                </c:pt>
                <c:pt idx="1">
                  <c:v>-1.5123895860676801</c:v>
                </c:pt>
                <c:pt idx="2">
                  <c:v>-1.2334945619686917</c:v>
                </c:pt>
                <c:pt idx="3">
                  <c:v>-1.0271542729149992</c:v>
                </c:pt>
                <c:pt idx="4">
                  <c:v>-0.85725432022117776</c:v>
                </c:pt>
                <c:pt idx="5">
                  <c:v>-0.70910250340902359</c:v>
                </c:pt>
                <c:pt idx="6">
                  <c:v>-0.5751092812784383</c:v>
                </c:pt>
                <c:pt idx="7">
                  <c:v>-0.4507442126153593</c:v>
                </c:pt>
                <c:pt idx="8">
                  <c:v>-0.33300509819729662</c:v>
                </c:pt>
                <c:pt idx="9">
                  <c:v>-0.21972291581857983</c:v>
                </c:pt>
                <c:pt idx="10">
                  <c:v>-0.10920048169143172</c:v>
                </c:pt>
                <c:pt idx="11">
                  <c:v>0</c:v>
                </c:pt>
                <c:pt idx="12">
                  <c:v>0.10920048169143155</c:v>
                </c:pt>
                <c:pt idx="13">
                  <c:v>0.21972291581858003</c:v>
                </c:pt>
                <c:pt idx="14">
                  <c:v>0.33300509819729662</c:v>
                </c:pt>
                <c:pt idx="15">
                  <c:v>0.4507442126153593</c:v>
                </c:pt>
                <c:pt idx="16">
                  <c:v>0.57510928127843797</c:v>
                </c:pt>
                <c:pt idx="17">
                  <c:v>0.70910250340902437</c:v>
                </c:pt>
                <c:pt idx="18">
                  <c:v>0.85725432022117776</c:v>
                </c:pt>
                <c:pt idx="19">
                  <c:v>1.0271542729149992</c:v>
                </c:pt>
                <c:pt idx="20">
                  <c:v>1.233494561968691</c:v>
                </c:pt>
                <c:pt idx="21">
                  <c:v>1.5123895860676808</c:v>
                </c:pt>
                <c:pt idx="22">
                  <c:v>2.0190862005831423</c:v>
                </c:pt>
              </c:numCache>
            </c:numRef>
          </c:xVal>
          <c:yVal>
            <c:numRef>
              <c:f>'F4 - EF4 Analysis'!$I$12:$I$110</c:f>
              <c:numCache>
                <c:formatCode>General</c:formatCode>
                <c:ptCount val="99"/>
                <c:pt idx="0">
                  <c:v>-1.0761394328160512</c:v>
                </c:pt>
                <c:pt idx="1">
                  <c:v>-0.15984870094189613</c:v>
                </c:pt>
                <c:pt idx="2">
                  <c:v>0.53329847961804921</c:v>
                </c:pt>
                <c:pt idx="3">
                  <c:v>0.91629073187415511</c:v>
                </c:pt>
                <c:pt idx="4">
                  <c:v>0.91629073187415511</c:v>
                </c:pt>
                <c:pt idx="5">
                  <c:v>0.91629073187415511</c:v>
                </c:pt>
                <c:pt idx="6">
                  <c:v>0.99262026051692431</c:v>
                </c:pt>
                <c:pt idx="7">
                  <c:v>1.0818051703517284</c:v>
                </c:pt>
                <c:pt idx="8">
                  <c:v>1.0986122886681098</c:v>
                </c:pt>
                <c:pt idx="9">
                  <c:v>1.4872702784598928</c:v>
                </c:pt>
                <c:pt idx="10">
                  <c:v>1.503445884282915</c:v>
                </c:pt>
                <c:pt idx="11">
                  <c:v>1.6037398913194627</c:v>
                </c:pt>
                <c:pt idx="12">
                  <c:v>1.791759469228055</c:v>
                </c:pt>
                <c:pt idx="13">
                  <c:v>1.991293154903131</c:v>
                </c:pt>
                <c:pt idx="14">
                  <c:v>2.1400661634962708</c:v>
                </c:pt>
                <c:pt idx="15">
                  <c:v>2.1965930648428604</c:v>
                </c:pt>
                <c:pt idx="16">
                  <c:v>2.3025850929940459</c:v>
                </c:pt>
                <c:pt idx="17">
                  <c:v>2.3632097148104805</c:v>
                </c:pt>
                <c:pt idx="18">
                  <c:v>2.3895964699836756</c:v>
                </c:pt>
                <c:pt idx="19">
                  <c:v>2.3921972516837329</c:v>
                </c:pt>
                <c:pt idx="20">
                  <c:v>2.5257286443082556</c:v>
                </c:pt>
                <c:pt idx="21">
                  <c:v>2.7663191092261861</c:v>
                </c:pt>
                <c:pt idx="22">
                  <c:v>3.1780538303479458</c:v>
                </c:pt>
              </c:numCache>
            </c:numRef>
          </c:yVal>
          <c:smooth val="0"/>
          <c:extLst xmlns:c16r2="http://schemas.microsoft.com/office/drawing/2015/06/chart">
            <c:ext xmlns:c16="http://schemas.microsoft.com/office/drawing/2014/chart" uri="{C3380CC4-5D6E-409C-BE32-E72D297353CC}">
              <c16:uniqueId val="{00000000-168E-4DD2-8A74-FC344D91F5B8}"/>
            </c:ext>
          </c:extLst>
        </c:ser>
        <c:dLbls>
          <c:showLegendKey val="0"/>
          <c:showVal val="0"/>
          <c:showCatName val="0"/>
          <c:showSerName val="0"/>
          <c:showPercent val="0"/>
          <c:showBubbleSize val="0"/>
        </c:dLbls>
        <c:axId val="168831616"/>
        <c:axId val="168834176"/>
      </c:scatterChart>
      <c:valAx>
        <c:axId val="1688316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61154273029973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834176"/>
        <c:crossesAt val="-10"/>
        <c:crossBetween val="midCat"/>
      </c:valAx>
      <c:valAx>
        <c:axId val="16883417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831616"/>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TORNADOES BY MONTH
Amarillo NWS CWA</a:t>
            </a:r>
          </a:p>
        </c:rich>
      </c:tx>
      <c:layout>
        <c:manualLayout>
          <c:xMode val="edge"/>
          <c:yMode val="edge"/>
          <c:x val="0.31453389304255025"/>
          <c:y val="5.1655634679131333E-2"/>
        </c:manualLayout>
      </c:layout>
      <c:overlay val="0"/>
      <c:spPr>
        <a:noFill/>
        <a:ln w="38100">
          <a:solidFill>
            <a:srgbClr val="00FF00"/>
          </a:solidFill>
          <a:prstDash val="solid"/>
        </a:ln>
      </c:spPr>
    </c:title>
    <c:autoTitleDeleted val="0"/>
    <c:plotArea>
      <c:layout>
        <c:manualLayout>
          <c:layoutTarget val="inner"/>
          <c:xMode val="edge"/>
          <c:yMode val="edge"/>
          <c:x val="0.13417431192660537"/>
          <c:y val="0.27682119205298078"/>
          <c:w val="0.80045871559633031"/>
          <c:h val="0.46225165562913845"/>
        </c:manualLayout>
      </c:layout>
      <c:barChart>
        <c:barDir val="col"/>
        <c:grouping val="clustered"/>
        <c:varyColors val="0"/>
        <c:ser>
          <c:idx val="0"/>
          <c:order val="0"/>
          <c:spPr>
            <a:gradFill flip="none" rotWithShape="1">
              <a:gsLst>
                <a:gs pos="0">
                  <a:prstClr val="black"/>
                </a:gs>
                <a:gs pos="50000">
                  <a:srgbClr val="FFFF00"/>
                </a:gs>
                <a:gs pos="100000">
                  <a:prstClr val="black"/>
                </a:gs>
              </a:gsLst>
              <a:lin ang="0" scaled="1"/>
              <a:tileRect/>
            </a:gradFill>
            <a:ln w="25400">
              <a:noFill/>
            </a:ln>
          </c:spPr>
          <c:invertIfNegative val="0"/>
          <c:dLbls>
            <c:spPr>
              <a:noFill/>
              <a:ln w="25400">
                <a:noFill/>
              </a:ln>
            </c:spPr>
            <c:txPr>
              <a:bodyPr/>
              <a:lstStyle/>
              <a:p>
                <a:pPr>
                  <a:defRPr sz="1200" b="0" i="0" u="none" strike="noStrike" baseline="0">
                    <a:solidFill>
                      <a:srgbClr val="FF66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Graphs!$A$335:$A$346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Graphs!$C$335:$C$346</c:f>
              <c:numCache>
                <c:formatCode>0.0%</c:formatCode>
                <c:ptCount val="12"/>
                <c:pt idx="0">
                  <c:v>0</c:v>
                </c:pt>
                <c:pt idx="1">
                  <c:v>3.2706459525756338E-3</c:v>
                </c:pt>
                <c:pt idx="2">
                  <c:v>4.4153720359771054E-2</c:v>
                </c:pt>
                <c:pt idx="3">
                  <c:v>9.8937040065412915E-2</c:v>
                </c:pt>
                <c:pt idx="4">
                  <c:v>0.41618969746524936</c:v>
                </c:pt>
                <c:pt idx="5">
                  <c:v>0.30253475061324614</c:v>
                </c:pt>
                <c:pt idx="6">
                  <c:v>5.3147996729354045E-2</c:v>
                </c:pt>
                <c:pt idx="7">
                  <c:v>3.188879803761243E-2</c:v>
                </c:pt>
                <c:pt idx="8">
                  <c:v>1.5535568274734259E-2</c:v>
                </c:pt>
                <c:pt idx="9">
                  <c:v>1.2264922322158627E-2</c:v>
                </c:pt>
                <c:pt idx="10">
                  <c:v>1.6353229762878167E-2</c:v>
                </c:pt>
                <c:pt idx="11">
                  <c:v>5.7236304170073587E-3</c:v>
                </c:pt>
              </c:numCache>
            </c:numRef>
          </c:val>
          <c:extLst xmlns:c16r2="http://schemas.microsoft.com/office/drawing/2015/06/chart">
            <c:ext xmlns:c16="http://schemas.microsoft.com/office/drawing/2014/chart" uri="{C3380CC4-5D6E-409C-BE32-E72D297353CC}">
              <c16:uniqueId val="{00000000-4554-411E-9801-72E2FA795B4A}"/>
            </c:ext>
          </c:extLst>
        </c:ser>
        <c:dLbls>
          <c:showLegendKey val="0"/>
          <c:showVal val="1"/>
          <c:showCatName val="0"/>
          <c:showSerName val="0"/>
          <c:showPercent val="0"/>
          <c:showBubbleSize val="0"/>
        </c:dLbls>
        <c:gapWidth val="150"/>
        <c:axId val="157198592"/>
        <c:axId val="157201920"/>
      </c:barChart>
      <c:catAx>
        <c:axId val="157198592"/>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a:solidFill>
                      <a:schemeClr val="bg1"/>
                    </a:solidFill>
                  </a:rPr>
                  <a:t>Month</a:t>
                </a:r>
              </a:p>
            </c:rich>
          </c:tx>
          <c:layout>
            <c:manualLayout>
              <c:xMode val="edge"/>
              <c:yMode val="edge"/>
              <c:x val="0.48279821489190822"/>
              <c:y val="0.91655634679131115"/>
            </c:manualLayout>
          </c:layout>
          <c:overlay val="0"/>
          <c:spPr>
            <a:noFill/>
            <a:ln w="25400">
              <a:noFill/>
            </a:ln>
          </c:spPr>
        </c:title>
        <c:numFmt formatCode="General" sourceLinked="1"/>
        <c:majorTickMark val="out"/>
        <c:minorTickMark val="none"/>
        <c:tickLblPos val="nextTo"/>
        <c:spPr>
          <a:ln w="25400">
            <a:solidFill>
              <a:srgbClr val="00CCFF"/>
            </a:solidFill>
            <a:prstDash val="solid"/>
          </a:ln>
        </c:spPr>
        <c:txPr>
          <a:bodyPr rot="-2700000" vert="horz"/>
          <a:lstStyle/>
          <a:p>
            <a:pPr>
              <a:defRPr sz="1100" b="1" i="0" u="none" strike="noStrike" baseline="0">
                <a:solidFill>
                  <a:srgbClr val="FF0000"/>
                </a:solidFill>
                <a:latin typeface="Arial"/>
                <a:ea typeface="Arial"/>
                <a:cs typeface="Arial"/>
              </a:defRPr>
            </a:pPr>
            <a:endParaRPr lang="en-US"/>
          </a:p>
        </c:txPr>
        <c:crossAx val="157201920"/>
        <c:crosses val="autoZero"/>
        <c:auto val="1"/>
        <c:lblAlgn val="ctr"/>
        <c:lblOffset val="0"/>
        <c:tickLblSkip val="1"/>
        <c:tickMarkSkip val="1"/>
        <c:noMultiLvlLbl val="0"/>
      </c:catAx>
      <c:valAx>
        <c:axId val="157201920"/>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solidFill>
                      <a:schemeClr val="bg1"/>
                    </a:solidFill>
                  </a:rPr>
                  <a:t>Percent of All Tornadoes</a:t>
                </a:r>
              </a:p>
            </c:rich>
          </c:tx>
          <c:layout>
            <c:manualLayout>
              <c:xMode val="edge"/>
              <c:yMode val="edge"/>
              <c:x val="6.7690040322246911E-3"/>
              <c:y val="0.28319038805408286"/>
            </c:manualLayout>
          </c:layout>
          <c:overlay val="0"/>
          <c:spPr>
            <a:noFill/>
            <a:ln w="25400">
              <a:noFill/>
            </a:ln>
          </c:spPr>
        </c:title>
        <c:numFmt formatCode="0.0%" sourceLinked="1"/>
        <c:majorTickMark val="out"/>
        <c:minorTickMark val="none"/>
        <c:tickLblPos val="nextTo"/>
        <c:spPr>
          <a:ln w="25400">
            <a:solidFill>
              <a:srgbClr val="00CCFF"/>
            </a:solidFill>
            <a:prstDash val="solid"/>
          </a:ln>
        </c:spPr>
        <c:txPr>
          <a:bodyPr rot="0" vert="horz"/>
          <a:lstStyle/>
          <a:p>
            <a:pPr>
              <a:defRPr sz="1000" b="1" i="0" u="none" strike="noStrike" baseline="0">
                <a:solidFill>
                  <a:srgbClr val="FF0000"/>
                </a:solidFill>
                <a:latin typeface="Arial"/>
                <a:ea typeface="Arial"/>
                <a:cs typeface="Arial"/>
              </a:defRPr>
            </a:pPr>
            <a:endParaRPr lang="en-US"/>
          </a:p>
        </c:txPr>
        <c:crossAx val="157198592"/>
        <c:crosses val="autoZero"/>
        <c:crossBetween val="between"/>
      </c:valAx>
      <c:spPr>
        <a:noFill/>
        <a:ln w="25400">
          <a:noFill/>
        </a:ln>
      </c:spPr>
    </c:plotArea>
    <c:plotVisOnly val="0"/>
    <c:dispBlanksAs val="gap"/>
    <c:showDLblsOverMax val="0"/>
  </c:chart>
  <c:spPr>
    <a:solidFill>
      <a:srgbClr val="002060"/>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TORNADOES BY HOUR
Amarillo NWS CWA</a:t>
            </a:r>
          </a:p>
        </c:rich>
      </c:tx>
      <c:layout>
        <c:manualLayout>
          <c:xMode val="edge"/>
          <c:yMode val="edge"/>
          <c:x val="0.33428251389836217"/>
          <c:y val="3.1796597944340928E-2"/>
        </c:manualLayout>
      </c:layout>
      <c:overlay val="0"/>
      <c:spPr>
        <a:noFill/>
        <a:ln w="38100">
          <a:solidFill>
            <a:srgbClr val="FFFF00"/>
          </a:solidFill>
          <a:prstDash val="solid"/>
        </a:ln>
      </c:spPr>
    </c:title>
    <c:autoTitleDeleted val="0"/>
    <c:plotArea>
      <c:layout>
        <c:manualLayout>
          <c:layoutTarget val="inner"/>
          <c:xMode val="edge"/>
          <c:yMode val="edge"/>
          <c:x val="0.14089362839797706"/>
          <c:y val="0.22098569157392717"/>
          <c:w val="0.83276152719779961"/>
          <c:h val="0.55325914149443567"/>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85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Graphs!$A$378:$A$401</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AM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Graphs!$C$378:$C$401</c:f>
              <c:numCache>
                <c:formatCode>0.0%</c:formatCode>
                <c:ptCount val="24"/>
                <c:pt idx="0">
                  <c:v>1.3900245298446443E-2</c:v>
                </c:pt>
                <c:pt idx="1">
                  <c:v>8.1766148814390836E-3</c:v>
                </c:pt>
                <c:pt idx="2">
                  <c:v>4.9059689288634507E-3</c:v>
                </c:pt>
                <c:pt idx="3">
                  <c:v>3.2706459525756338E-3</c:v>
                </c:pt>
                <c:pt idx="4">
                  <c:v>8.1766148814390845E-4</c:v>
                </c:pt>
                <c:pt idx="5">
                  <c:v>0</c:v>
                </c:pt>
                <c:pt idx="6">
                  <c:v>8.1766148814390845E-4</c:v>
                </c:pt>
                <c:pt idx="7">
                  <c:v>1.6353229762878169E-3</c:v>
                </c:pt>
                <c:pt idx="8">
                  <c:v>1.6353229762878169E-3</c:v>
                </c:pt>
                <c:pt idx="9">
                  <c:v>1.6353229762878169E-3</c:v>
                </c:pt>
                <c:pt idx="10">
                  <c:v>0</c:v>
                </c:pt>
                <c:pt idx="11">
                  <c:v>1.6353229762878169E-3</c:v>
                </c:pt>
                <c:pt idx="12">
                  <c:v>8.9942763695829934E-3</c:v>
                </c:pt>
                <c:pt idx="13">
                  <c:v>2.2076860179885527E-2</c:v>
                </c:pt>
                <c:pt idx="14">
                  <c:v>4.0883074407195422E-2</c:v>
                </c:pt>
                <c:pt idx="15">
                  <c:v>7.6042518397383477E-2</c:v>
                </c:pt>
                <c:pt idx="16">
                  <c:v>0.1463614063777596</c:v>
                </c:pt>
                <c:pt idx="17">
                  <c:v>0.16843826655764513</c:v>
                </c:pt>
                <c:pt idx="18">
                  <c:v>0.16925592804578904</c:v>
                </c:pt>
                <c:pt idx="19">
                  <c:v>0.15126737530662307</c:v>
                </c:pt>
                <c:pt idx="20">
                  <c:v>8.4219133278822564E-2</c:v>
                </c:pt>
                <c:pt idx="21">
                  <c:v>4.4153720359771054E-2</c:v>
                </c:pt>
                <c:pt idx="22">
                  <c:v>2.4529844644317254E-2</c:v>
                </c:pt>
                <c:pt idx="23">
                  <c:v>2.5347506132461162E-2</c:v>
                </c:pt>
              </c:numCache>
            </c:numRef>
          </c:val>
          <c:extLst xmlns:c16r2="http://schemas.microsoft.com/office/drawing/2015/06/chart">
            <c:ext xmlns:c16="http://schemas.microsoft.com/office/drawing/2014/chart" uri="{C3380CC4-5D6E-409C-BE32-E72D297353CC}">
              <c16:uniqueId val="{00000000-E501-4FF4-B7B4-D56EDE4472CD}"/>
            </c:ext>
          </c:extLst>
        </c:ser>
        <c:dLbls>
          <c:showLegendKey val="0"/>
          <c:showVal val="1"/>
          <c:showCatName val="0"/>
          <c:showSerName val="0"/>
          <c:showPercent val="0"/>
          <c:showBubbleSize val="0"/>
        </c:dLbls>
        <c:gapWidth val="150"/>
        <c:axId val="157232128"/>
        <c:axId val="157251840"/>
      </c:barChart>
      <c:catAx>
        <c:axId val="157232128"/>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b="1">
                    <a:solidFill>
                      <a:schemeClr val="bg2"/>
                    </a:solidFill>
                  </a:rPr>
                  <a:t>Hour (CST)</a:t>
                </a:r>
              </a:p>
            </c:rich>
          </c:tx>
          <c:layout>
            <c:manualLayout>
              <c:xMode val="edge"/>
              <c:yMode val="edge"/>
              <c:x val="0.48630499927666659"/>
              <c:y val="0.91956222075293759"/>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5400000" vert="horz"/>
          <a:lstStyle/>
          <a:p>
            <a:pPr>
              <a:defRPr sz="1000" b="1" i="0" u="none" strike="noStrike" baseline="0">
                <a:solidFill>
                  <a:srgbClr val="00FFFF"/>
                </a:solidFill>
                <a:latin typeface="Arial"/>
                <a:ea typeface="Arial"/>
                <a:cs typeface="Arial"/>
              </a:defRPr>
            </a:pPr>
            <a:endParaRPr lang="en-US"/>
          </a:p>
        </c:txPr>
        <c:crossAx val="157251840"/>
        <c:crosses val="autoZero"/>
        <c:auto val="1"/>
        <c:lblAlgn val="ctr"/>
        <c:lblOffset val="100"/>
        <c:tickLblSkip val="1"/>
        <c:tickMarkSkip val="1"/>
        <c:noMultiLvlLbl val="0"/>
      </c:catAx>
      <c:valAx>
        <c:axId val="157251840"/>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Percent of all Tornadoes </a:t>
                </a:r>
              </a:p>
            </c:rich>
          </c:tx>
          <c:layout>
            <c:manualLayout>
              <c:xMode val="edge"/>
              <c:yMode val="edge"/>
              <c:x val="1.3530907061814123E-2"/>
              <c:y val="0.29410150067119473"/>
            </c:manualLayout>
          </c:layout>
          <c:overlay val="0"/>
          <c:spPr>
            <a:noFill/>
            <a:ln w="25400">
              <a:noFill/>
            </a:ln>
          </c:spPr>
        </c:title>
        <c:numFmt formatCode="0.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57232128"/>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0000"/>
                </a:solidFill>
                <a:latin typeface="Arial"/>
                <a:ea typeface="Arial"/>
                <a:cs typeface="Arial"/>
              </a:defRPr>
            </a:pPr>
            <a:r>
              <a:rPr lang="en-US" sz="1400"/>
              <a:t>TORNADOES BY DAY OF THE MONTH</a:t>
            </a:r>
          </a:p>
          <a:p>
            <a:pPr>
              <a:defRPr sz="1400" b="0" i="0" u="none" strike="noStrike" baseline="0">
                <a:solidFill>
                  <a:srgbClr val="FF0000"/>
                </a:solidFill>
                <a:latin typeface="Arial"/>
                <a:ea typeface="Arial"/>
                <a:cs typeface="Arial"/>
              </a:defRPr>
            </a:pPr>
            <a:r>
              <a:rPr lang="en-US" sz="1400"/>
              <a:t>Amarillo NWS CWA</a:t>
            </a:r>
          </a:p>
        </c:rich>
      </c:tx>
      <c:layout>
        <c:manualLayout>
          <c:xMode val="edge"/>
          <c:yMode val="edge"/>
          <c:x val="0.22788720130362847"/>
          <c:y val="2.7692371786860064E-2"/>
        </c:manualLayout>
      </c:layout>
      <c:overlay val="0"/>
      <c:spPr>
        <a:noFill/>
        <a:ln w="38100">
          <a:solidFill>
            <a:srgbClr val="00FFFF"/>
          </a:solidFill>
          <a:prstDash val="solid"/>
        </a:ln>
      </c:spPr>
    </c:title>
    <c:autoTitleDeleted val="0"/>
    <c:plotArea>
      <c:layout>
        <c:manualLayout>
          <c:layoutTarget val="inner"/>
          <c:xMode val="edge"/>
          <c:yMode val="edge"/>
          <c:x val="0.1216992645504813"/>
          <c:y val="0.25384615384615383"/>
          <c:w val="0.86222780827746504"/>
          <c:h val="0.61076923076923073"/>
        </c:manualLayout>
      </c:layout>
      <c:barChart>
        <c:barDir val="col"/>
        <c:grouping val="clustered"/>
        <c:varyColors val="0"/>
        <c:ser>
          <c:idx val="0"/>
          <c:order val="0"/>
          <c:spPr>
            <a:gradFill rotWithShape="0">
              <a:gsLst>
                <a:gs pos="0">
                  <a:srgbClr val="0000FF"/>
                </a:gs>
                <a:gs pos="100000">
                  <a:srgbClr val="FFFF00"/>
                </a:gs>
              </a:gsLst>
              <a:lin ang="2700000" scaled="1"/>
            </a:gradFill>
            <a:ln w="12700">
              <a:solidFill>
                <a:srgbClr val="FF0000"/>
              </a:solidFill>
              <a:prstDash val="solid"/>
            </a:ln>
          </c:spPr>
          <c:invertIfNegative val="0"/>
          <c:val>
            <c:numRef>
              <c:f>Graphs!$C$498:$C$528</c:f>
              <c:numCache>
                <c:formatCode>0.0%</c:formatCode>
                <c:ptCount val="31"/>
                <c:pt idx="0">
                  <c:v>1.1447260834014717E-2</c:v>
                </c:pt>
                <c:pt idx="1">
                  <c:v>2.1259198691741619E-2</c:v>
                </c:pt>
                <c:pt idx="2">
                  <c:v>2.1259198691741619E-2</c:v>
                </c:pt>
                <c:pt idx="3">
                  <c:v>2.0441537203597711E-2</c:v>
                </c:pt>
                <c:pt idx="4">
                  <c:v>4.2518397383483238E-2</c:v>
                </c:pt>
                <c:pt idx="5">
                  <c:v>1.8806214227309895E-2</c:v>
                </c:pt>
                <c:pt idx="6">
                  <c:v>3.4341782502044151E-2</c:v>
                </c:pt>
                <c:pt idx="7">
                  <c:v>4.006541291905151E-2</c:v>
                </c:pt>
                <c:pt idx="8">
                  <c:v>3.8430089942763694E-2</c:v>
                </c:pt>
                <c:pt idx="9">
                  <c:v>3.025347506132461E-2</c:v>
                </c:pt>
                <c:pt idx="10">
                  <c:v>3.761242845461979E-2</c:v>
                </c:pt>
                <c:pt idx="11">
                  <c:v>2.0441537203597711E-2</c:v>
                </c:pt>
                <c:pt idx="12">
                  <c:v>2.6982829108748978E-2</c:v>
                </c:pt>
                <c:pt idx="13">
                  <c:v>3.5977105478331974E-2</c:v>
                </c:pt>
                <c:pt idx="14">
                  <c:v>6.0506950122649221E-2</c:v>
                </c:pt>
                <c:pt idx="15">
                  <c:v>6.7048242027800492E-2</c:v>
                </c:pt>
                <c:pt idx="16">
                  <c:v>3.5159443990188062E-2</c:v>
                </c:pt>
                <c:pt idx="17">
                  <c:v>3.188879803761243E-2</c:v>
                </c:pt>
                <c:pt idx="18">
                  <c:v>3.5159443990188062E-2</c:v>
                </c:pt>
                <c:pt idx="19">
                  <c:v>1.2264922322158627E-2</c:v>
                </c:pt>
                <c:pt idx="20">
                  <c:v>3.3524121013900246E-2</c:v>
                </c:pt>
                <c:pt idx="21">
                  <c:v>4.006541291905151E-2</c:v>
                </c:pt>
                <c:pt idx="22">
                  <c:v>3.8430089942763694E-2</c:v>
                </c:pt>
                <c:pt idx="23">
                  <c:v>3.3524121013900246E-2</c:v>
                </c:pt>
                <c:pt idx="24">
                  <c:v>3.5977105478331974E-2</c:v>
                </c:pt>
                <c:pt idx="25">
                  <c:v>2.3712183156173343E-2</c:v>
                </c:pt>
                <c:pt idx="26">
                  <c:v>2.616516762060507E-2</c:v>
                </c:pt>
                <c:pt idx="27">
                  <c:v>3.6794766966475878E-2</c:v>
                </c:pt>
                <c:pt idx="28">
                  <c:v>3.2706459525756335E-2</c:v>
                </c:pt>
                <c:pt idx="29">
                  <c:v>2.9435813573180702E-2</c:v>
                </c:pt>
                <c:pt idx="30">
                  <c:v>2.7800490596892886E-2</c:v>
                </c:pt>
              </c:numCache>
            </c:numRef>
          </c:val>
          <c:extLst xmlns:c16r2="http://schemas.microsoft.com/office/drawing/2015/06/chart">
            <c:ext xmlns:c16="http://schemas.microsoft.com/office/drawing/2014/chart" uri="{C3380CC4-5D6E-409C-BE32-E72D297353CC}">
              <c16:uniqueId val="{00000000-D576-4516-9EDC-9BE439732470}"/>
            </c:ext>
          </c:extLst>
        </c:ser>
        <c:dLbls>
          <c:showLegendKey val="0"/>
          <c:showVal val="0"/>
          <c:showCatName val="0"/>
          <c:showSerName val="0"/>
          <c:showPercent val="0"/>
          <c:showBubbleSize val="0"/>
        </c:dLbls>
        <c:gapWidth val="150"/>
        <c:axId val="157272704"/>
        <c:axId val="157098752"/>
      </c:barChart>
      <c:catAx>
        <c:axId val="157272704"/>
        <c:scaling>
          <c:orientation val="minMax"/>
        </c:scaling>
        <c:delete val="0"/>
        <c:axPos val="b"/>
        <c:title>
          <c:tx>
            <c:rich>
              <a:bodyPr/>
              <a:lstStyle/>
              <a:p>
                <a:pPr>
                  <a:defRPr sz="1400" b="1" i="0" u="none" strike="noStrike" baseline="0">
                    <a:solidFill>
                      <a:srgbClr val="FFFF00"/>
                    </a:solidFill>
                    <a:latin typeface="Arial"/>
                    <a:ea typeface="Arial"/>
                    <a:cs typeface="Arial"/>
                  </a:defRPr>
                </a:pPr>
                <a:r>
                  <a:rPr lang="en-US" sz="1400"/>
                  <a:t>Day of the Month</a:t>
                </a:r>
              </a:p>
            </c:rich>
          </c:tx>
          <c:layout>
            <c:manualLayout>
              <c:xMode val="edge"/>
              <c:yMode val="edge"/>
              <c:x val="0.4407564694223649"/>
              <c:y val="0.93058201058201051"/>
            </c:manualLayout>
          </c:layout>
          <c:overlay val="0"/>
          <c:spPr>
            <a:noFill/>
            <a:ln w="25400">
              <a:noFill/>
            </a:ln>
          </c:spPr>
        </c:title>
        <c:numFmt formatCode="General" sourceLinked="1"/>
        <c:majorTickMark val="out"/>
        <c:minorTickMark val="none"/>
        <c:tickLblPos val="nextTo"/>
        <c:spPr>
          <a:ln w="254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098752"/>
        <c:crosses val="autoZero"/>
        <c:auto val="1"/>
        <c:lblAlgn val="ctr"/>
        <c:lblOffset val="100"/>
        <c:tickLblSkip val="1"/>
        <c:tickMarkSkip val="1"/>
        <c:noMultiLvlLbl val="0"/>
      </c:catAx>
      <c:valAx>
        <c:axId val="157098752"/>
        <c:scaling>
          <c:orientation val="minMax"/>
          <c:max val="0.1"/>
        </c:scaling>
        <c:delete val="0"/>
        <c:axPos val="l"/>
        <c:title>
          <c:tx>
            <c:rich>
              <a:bodyPr/>
              <a:lstStyle/>
              <a:p>
                <a:pPr>
                  <a:defRPr sz="1400" b="1" i="0" u="none" strike="noStrike" baseline="0">
                    <a:solidFill>
                      <a:srgbClr val="FFFF00"/>
                    </a:solidFill>
                    <a:latin typeface="Arial"/>
                    <a:ea typeface="Arial"/>
                    <a:cs typeface="Arial"/>
                  </a:defRPr>
                </a:pPr>
                <a:r>
                  <a:rPr lang="en-US" sz="1400"/>
                  <a:t>Percentage of All Tornadoes</a:t>
                </a:r>
              </a:p>
            </c:rich>
          </c:tx>
          <c:layout>
            <c:manualLayout>
              <c:xMode val="edge"/>
              <c:yMode val="edge"/>
              <c:x val="1.650599362283509E-3"/>
              <c:y val="0.30039078448527323"/>
            </c:manualLayout>
          </c:layout>
          <c:overlay val="0"/>
          <c:spPr>
            <a:noFill/>
            <a:ln w="25400">
              <a:noFill/>
            </a:ln>
          </c:spPr>
        </c:title>
        <c:numFmt formatCode="0.0%" sourceLinked="1"/>
        <c:majorTickMark val="out"/>
        <c:minorTickMark val="none"/>
        <c:tickLblPos val="nextTo"/>
        <c:spPr>
          <a:ln w="254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272704"/>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00FF"/>
                </a:solidFill>
                <a:latin typeface="Arial"/>
                <a:ea typeface="Arial"/>
                <a:cs typeface="Arial"/>
              </a:defRPr>
            </a:pPr>
            <a:r>
              <a:rPr lang="en-US" sz="1400"/>
              <a:t>TORNADO SEGMENTS BY COUNTY
Amarillo NWS CWA</a:t>
            </a:r>
          </a:p>
        </c:rich>
      </c:tx>
      <c:layout>
        <c:manualLayout>
          <c:xMode val="edge"/>
          <c:yMode val="edge"/>
          <c:x val="0.32540521902485969"/>
          <c:y val="2.7456567929008881E-2"/>
        </c:manualLayout>
      </c:layout>
      <c:overlay val="0"/>
      <c:spPr>
        <a:noFill/>
        <a:ln w="38100">
          <a:solidFill>
            <a:srgbClr val="FF6600"/>
          </a:solidFill>
          <a:prstDash val="solid"/>
        </a:ln>
      </c:spPr>
    </c:title>
    <c:autoTitleDeleted val="0"/>
    <c:plotArea>
      <c:layout>
        <c:manualLayout>
          <c:layoutTarget val="inner"/>
          <c:xMode val="edge"/>
          <c:yMode val="edge"/>
          <c:x val="8.6526545450221898E-2"/>
          <c:y val="0.20664736907886513"/>
          <c:w val="0.89839650386839198"/>
          <c:h val="0.54768786127167635"/>
        </c:manualLayout>
      </c:layout>
      <c:barChart>
        <c:barDir val="col"/>
        <c:grouping val="clustered"/>
        <c:varyColors val="0"/>
        <c:ser>
          <c:idx val="0"/>
          <c:order val="0"/>
          <c:spPr>
            <a:gradFill rotWithShape="0">
              <a:gsLst>
                <a:gs pos="0">
                  <a:srgbClr val="9999FF"/>
                </a:gs>
                <a:gs pos="100000">
                  <a:srgbClr val="CCFFCC"/>
                </a:gs>
              </a:gsLst>
              <a:lin ang="5400000" scaled="1"/>
            </a:gradFill>
            <a:ln w="25400">
              <a:noFill/>
            </a:ln>
          </c:spPr>
          <c:invertIfNegative val="0"/>
          <c:dLbls>
            <c:spPr>
              <a:noFill/>
              <a:ln w="25400">
                <a:noFill/>
              </a:ln>
            </c:spPr>
            <c:txPr>
              <a:bodyPr/>
              <a:lstStyle/>
              <a:p>
                <a:pPr>
                  <a:defRPr sz="120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Graphs!$A$182:$A$204</c:f>
              <c:strCache>
                <c:ptCount val="23"/>
                <c:pt idx="0">
                  <c:v>Carson</c:v>
                </c:pt>
                <c:pt idx="1">
                  <c:v>Gray</c:v>
                </c:pt>
                <c:pt idx="2">
                  <c:v>Randall</c:v>
                </c:pt>
                <c:pt idx="3">
                  <c:v>Texas</c:v>
                </c:pt>
                <c:pt idx="4">
                  <c:v>Hutchinson</c:v>
                </c:pt>
                <c:pt idx="5">
                  <c:v>Beaver</c:v>
                </c:pt>
                <c:pt idx="6">
                  <c:v>Ochiltree</c:v>
                </c:pt>
                <c:pt idx="7">
                  <c:v>Hansford</c:v>
                </c:pt>
                <c:pt idx="8">
                  <c:v>Donley</c:v>
                </c:pt>
                <c:pt idx="9">
                  <c:v>Moore</c:v>
                </c:pt>
                <c:pt idx="10">
                  <c:v>Wheeler</c:v>
                </c:pt>
                <c:pt idx="11">
                  <c:v>Hemphill</c:v>
                </c:pt>
                <c:pt idx="12">
                  <c:v>Cimarron</c:v>
                </c:pt>
                <c:pt idx="13">
                  <c:v>Armstrong</c:v>
                </c:pt>
                <c:pt idx="14">
                  <c:v>Collingsworth</c:v>
                </c:pt>
                <c:pt idx="15">
                  <c:v>Roberts</c:v>
                </c:pt>
                <c:pt idx="16">
                  <c:v>Lipscomb</c:v>
                </c:pt>
                <c:pt idx="17">
                  <c:v>Sherman</c:v>
                </c:pt>
                <c:pt idx="18">
                  <c:v>Potter</c:v>
                </c:pt>
                <c:pt idx="19">
                  <c:v>Deaf Smith</c:v>
                </c:pt>
                <c:pt idx="20">
                  <c:v>Hartley</c:v>
                </c:pt>
                <c:pt idx="21">
                  <c:v>Dallam</c:v>
                </c:pt>
                <c:pt idx="22">
                  <c:v>Oldham</c:v>
                </c:pt>
              </c:strCache>
            </c:strRef>
          </c:cat>
          <c:val>
            <c:numRef>
              <c:f>Graphs!$H$182:$H$204</c:f>
              <c:numCache>
                <c:formatCode>General</c:formatCode>
                <c:ptCount val="23"/>
                <c:pt idx="0">
                  <c:v>91</c:v>
                </c:pt>
                <c:pt idx="1">
                  <c:v>87</c:v>
                </c:pt>
                <c:pt idx="2">
                  <c:v>84</c:v>
                </c:pt>
                <c:pt idx="3">
                  <c:v>75</c:v>
                </c:pt>
                <c:pt idx="4">
                  <c:v>74</c:v>
                </c:pt>
                <c:pt idx="5">
                  <c:v>74</c:v>
                </c:pt>
                <c:pt idx="6">
                  <c:v>65</c:v>
                </c:pt>
                <c:pt idx="7">
                  <c:v>63</c:v>
                </c:pt>
                <c:pt idx="8">
                  <c:v>62</c:v>
                </c:pt>
                <c:pt idx="9">
                  <c:v>58</c:v>
                </c:pt>
                <c:pt idx="10">
                  <c:v>54</c:v>
                </c:pt>
                <c:pt idx="11">
                  <c:v>50</c:v>
                </c:pt>
                <c:pt idx="12">
                  <c:v>49</c:v>
                </c:pt>
                <c:pt idx="13">
                  <c:v>46</c:v>
                </c:pt>
                <c:pt idx="14">
                  <c:v>44</c:v>
                </c:pt>
                <c:pt idx="15">
                  <c:v>41</c:v>
                </c:pt>
                <c:pt idx="16">
                  <c:v>41</c:v>
                </c:pt>
                <c:pt idx="17">
                  <c:v>41</c:v>
                </c:pt>
                <c:pt idx="18">
                  <c:v>39</c:v>
                </c:pt>
                <c:pt idx="19">
                  <c:v>38</c:v>
                </c:pt>
                <c:pt idx="20">
                  <c:v>36</c:v>
                </c:pt>
                <c:pt idx="21">
                  <c:v>35</c:v>
                </c:pt>
                <c:pt idx="22">
                  <c:v>25</c:v>
                </c:pt>
              </c:numCache>
            </c:numRef>
          </c:val>
          <c:extLst xmlns:c16r2="http://schemas.microsoft.com/office/drawing/2015/06/chart">
            <c:ext xmlns:c16="http://schemas.microsoft.com/office/drawing/2014/chart" uri="{C3380CC4-5D6E-409C-BE32-E72D297353CC}">
              <c16:uniqueId val="{00000000-0AAF-4EE3-BD85-118940F02C20}"/>
            </c:ext>
          </c:extLst>
        </c:ser>
        <c:dLbls>
          <c:showLegendKey val="0"/>
          <c:showVal val="1"/>
          <c:showCatName val="0"/>
          <c:showSerName val="0"/>
          <c:showPercent val="0"/>
          <c:showBubbleSize val="0"/>
        </c:dLbls>
        <c:gapWidth val="150"/>
        <c:axId val="157125632"/>
        <c:axId val="157554944"/>
      </c:barChart>
      <c:catAx>
        <c:axId val="157125632"/>
        <c:scaling>
          <c:orientation val="minMax"/>
        </c:scaling>
        <c:delete val="0"/>
        <c:axPos val="b"/>
        <c:title>
          <c:tx>
            <c:rich>
              <a:bodyPr/>
              <a:lstStyle/>
              <a:p>
                <a:pPr>
                  <a:defRPr sz="1400" b="1" i="0" u="none" strike="noStrike" baseline="0">
                    <a:solidFill>
                      <a:srgbClr val="FFFFFF"/>
                    </a:solidFill>
                    <a:latin typeface="Arial"/>
                    <a:ea typeface="Arial"/>
                    <a:cs typeface="Arial"/>
                  </a:defRPr>
                </a:pPr>
                <a:r>
                  <a:rPr lang="en-US" sz="1400"/>
                  <a:t>County</a:t>
                </a:r>
              </a:p>
            </c:rich>
          </c:tx>
          <c:layout>
            <c:manualLayout>
              <c:xMode val="edge"/>
              <c:yMode val="edge"/>
              <c:x val="0.49643538045852975"/>
              <c:y val="0.93930638670166045"/>
            </c:manualLayout>
          </c:layout>
          <c:overlay val="0"/>
          <c:spPr>
            <a:noFill/>
            <a:ln w="25400">
              <a:noFill/>
            </a:ln>
          </c:spPr>
        </c:title>
        <c:numFmt formatCode="General" sourceLinked="1"/>
        <c:majorTickMark val="out"/>
        <c:minorTickMark val="none"/>
        <c:tickLblPos val="nextTo"/>
        <c:spPr>
          <a:ln w="25400">
            <a:solidFill>
              <a:srgbClr val="FFFFFF"/>
            </a:solidFill>
            <a:prstDash val="solid"/>
          </a:ln>
        </c:spPr>
        <c:txPr>
          <a:bodyPr rot="-2700000" vert="horz"/>
          <a:lstStyle/>
          <a:p>
            <a:pPr>
              <a:defRPr sz="1000" b="1" i="0" u="none" strike="noStrike" baseline="0">
                <a:solidFill>
                  <a:srgbClr val="FFFFFF"/>
                </a:solidFill>
                <a:latin typeface="Arial"/>
                <a:ea typeface="Arial"/>
                <a:cs typeface="Arial"/>
              </a:defRPr>
            </a:pPr>
            <a:endParaRPr lang="en-US"/>
          </a:p>
        </c:txPr>
        <c:crossAx val="157554944"/>
        <c:crosses val="autoZero"/>
        <c:auto val="1"/>
        <c:lblAlgn val="ctr"/>
        <c:lblOffset val="100"/>
        <c:tickLblSkip val="1"/>
        <c:tickMarkSkip val="1"/>
        <c:noMultiLvlLbl val="0"/>
      </c:catAx>
      <c:valAx>
        <c:axId val="157554944"/>
        <c:scaling>
          <c:orientation val="minMax"/>
        </c:scaling>
        <c:delete val="0"/>
        <c:axPos val="l"/>
        <c:title>
          <c:tx>
            <c:rich>
              <a:bodyPr/>
              <a:lstStyle/>
              <a:p>
                <a:pPr>
                  <a:defRPr sz="1400" b="1" i="0" u="none" strike="noStrike" baseline="0">
                    <a:solidFill>
                      <a:srgbClr val="FFFFFF"/>
                    </a:solidFill>
                    <a:latin typeface="Arial"/>
                    <a:ea typeface="Arial"/>
                    <a:cs typeface="Arial"/>
                  </a:defRPr>
                </a:pPr>
                <a:r>
                  <a:rPr lang="en-US" sz="1400"/>
                  <a:t>Total Number of Tornadoes </a:t>
                </a:r>
              </a:p>
            </c:rich>
          </c:tx>
          <c:layout>
            <c:manualLayout>
              <c:xMode val="edge"/>
              <c:yMode val="edge"/>
              <c:x val="5.3475535263641334E-3"/>
              <c:y val="0.27601149856267981"/>
            </c:manualLayout>
          </c:layout>
          <c:overlay val="0"/>
          <c:spPr>
            <a:noFill/>
            <a:ln w="25400">
              <a:noFill/>
            </a:ln>
          </c:spPr>
        </c:title>
        <c:numFmt formatCode="General" sourceLinked="1"/>
        <c:majorTickMark val="out"/>
        <c:minorTickMark val="none"/>
        <c:tickLblPos val="nextTo"/>
        <c:spPr>
          <a:ln w="25400">
            <a:solidFill>
              <a:srgbClr val="FFFFFF"/>
            </a:solidFill>
            <a:prstDash val="solid"/>
          </a:ln>
        </c:spPr>
        <c:txPr>
          <a:bodyPr rot="0" vert="horz"/>
          <a:lstStyle/>
          <a:p>
            <a:pPr>
              <a:defRPr sz="1100" b="1" i="0" u="none" strike="noStrike" baseline="0">
                <a:solidFill>
                  <a:srgbClr val="FFFFFF"/>
                </a:solidFill>
                <a:latin typeface="Arial"/>
                <a:ea typeface="Arial"/>
                <a:cs typeface="Arial"/>
              </a:defRPr>
            </a:pPr>
            <a:endParaRPr lang="en-US"/>
          </a:p>
        </c:txPr>
        <c:crossAx val="157125632"/>
        <c:crosses val="autoZero"/>
        <c:crossBetween val="between"/>
      </c:valAx>
      <c:spPr>
        <a:noFill/>
        <a:ln w="25400">
          <a:noFill/>
        </a:ln>
      </c:spPr>
    </c:plotArea>
    <c:plotVisOnly val="0"/>
    <c:dispBlanksAs val="gap"/>
    <c:showDLblsOverMax val="0"/>
  </c:chart>
  <c:spPr>
    <a:blipFill dpi="0" rotWithShape="0">
      <a:blip xmlns:r="http://schemas.openxmlformats.org/officeDocument/2006/relationships" r:embed="rId1"/>
      <a:srcRect/>
      <a:stretch>
        <a:fillRect/>
      </a:stretch>
    </a:blipFill>
    <a:ln w="9525">
      <a:noFill/>
    </a:ln>
  </c:spPr>
  <c:txPr>
    <a:bodyPr/>
    <a:lstStyle/>
    <a:p>
      <a:pPr>
        <a:defRPr sz="18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0" i="0" u="none" strike="noStrike" baseline="0">
                <a:solidFill>
                  <a:srgbClr val="FFFF00"/>
                </a:solidFill>
                <a:latin typeface="Arial"/>
                <a:ea typeface="Arial"/>
                <a:cs typeface="Arial"/>
              </a:defRPr>
            </a:pPr>
            <a:r>
              <a:rPr lang="en-US" sz="1400"/>
              <a:t>F0 / EF0  TORNADOES BY YEAR
Amarillo NWS CWA</a:t>
            </a:r>
          </a:p>
          <a:p>
            <a:pPr>
              <a:defRPr sz="1700" b="0" i="0" u="none" strike="noStrike" baseline="0">
                <a:solidFill>
                  <a:srgbClr val="FFFF00"/>
                </a:solidFill>
                <a:latin typeface="Arial"/>
                <a:ea typeface="Arial"/>
                <a:cs typeface="Arial"/>
              </a:defRPr>
            </a:pPr>
            <a:r>
              <a:rPr lang="en-US" sz="1400"/>
              <a:t>(includes EFU tornadoes)</a:t>
            </a:r>
          </a:p>
        </c:rich>
      </c:tx>
      <c:layout>
        <c:manualLayout>
          <c:xMode val="edge"/>
          <c:yMode val="edge"/>
          <c:x val="0.33653258918256096"/>
          <c:y val="1.6339029765567926E-2"/>
        </c:manualLayout>
      </c:layout>
      <c:overlay val="0"/>
      <c:spPr>
        <a:noFill/>
        <a:ln w="38100">
          <a:solidFill>
            <a:srgbClr val="CCFFFF"/>
          </a:solidFill>
          <a:prstDash val="solid"/>
        </a:ln>
      </c:spPr>
    </c:title>
    <c:autoTitleDeleted val="0"/>
    <c:plotArea>
      <c:layout>
        <c:manualLayout>
          <c:layoutTarget val="inner"/>
          <c:xMode val="edge"/>
          <c:yMode val="edge"/>
          <c:x val="6.9357814471836796E-2"/>
          <c:y val="0.12837837837837837"/>
          <c:w val="0.90487845339874406"/>
          <c:h val="0.7972972972972977"/>
        </c:manualLayout>
      </c:layout>
      <c:lineChart>
        <c:grouping val="standard"/>
        <c:varyColors val="0"/>
        <c:ser>
          <c:idx val="0"/>
          <c:order val="0"/>
          <c:tx>
            <c:v>Annual Total</c:v>
          </c:tx>
          <c:spPr>
            <a:ln w="25400">
              <a:solidFill>
                <a:srgbClr val="FFFFFF"/>
              </a:solidFill>
              <a:prstDash val="solid"/>
            </a:ln>
          </c:spPr>
          <c:marker>
            <c:symbol val="diamond"/>
            <c:size val="9"/>
            <c:spPr>
              <a:solidFill>
                <a:srgbClr val="FF6600"/>
              </a:solidFill>
              <a:ln>
                <a:solidFill>
                  <a:srgbClr val="FFFFFF"/>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Tornadoes'!$C$12:$C$98</c:f>
              <c:numCache>
                <c:formatCode>0</c:formatCode>
                <c:ptCount val="87"/>
                <c:pt idx="0">
                  <c:v>1</c:v>
                </c:pt>
                <c:pt idx="1">
                  <c:v>1</c:v>
                </c:pt>
                <c:pt idx="2">
                  <c:v>0</c:v>
                </c:pt>
                <c:pt idx="3">
                  <c:v>1</c:v>
                </c:pt>
                <c:pt idx="4">
                  <c:v>1</c:v>
                </c:pt>
                <c:pt idx="5">
                  <c:v>12</c:v>
                </c:pt>
                <c:pt idx="6">
                  <c:v>1</c:v>
                </c:pt>
                <c:pt idx="7">
                  <c:v>3</c:v>
                </c:pt>
                <c:pt idx="8">
                  <c:v>4</c:v>
                </c:pt>
                <c:pt idx="9">
                  <c:v>2</c:v>
                </c:pt>
                <c:pt idx="10">
                  <c:v>6</c:v>
                </c:pt>
                <c:pt idx="11">
                  <c:v>5</c:v>
                </c:pt>
                <c:pt idx="12">
                  <c:v>9</c:v>
                </c:pt>
                <c:pt idx="13">
                  <c:v>2</c:v>
                </c:pt>
                <c:pt idx="14">
                  <c:v>3</c:v>
                </c:pt>
                <c:pt idx="15">
                  <c:v>6</c:v>
                </c:pt>
                <c:pt idx="16">
                  <c:v>8</c:v>
                </c:pt>
                <c:pt idx="17">
                  <c:v>14</c:v>
                </c:pt>
                <c:pt idx="18">
                  <c:v>17</c:v>
                </c:pt>
                <c:pt idx="19">
                  <c:v>14</c:v>
                </c:pt>
                <c:pt idx="20">
                  <c:v>1</c:v>
                </c:pt>
                <c:pt idx="21">
                  <c:v>4</c:v>
                </c:pt>
                <c:pt idx="22">
                  <c:v>1</c:v>
                </c:pt>
                <c:pt idx="23">
                  <c:v>1</c:v>
                </c:pt>
                <c:pt idx="24">
                  <c:v>6</c:v>
                </c:pt>
                <c:pt idx="25">
                  <c:v>10</c:v>
                </c:pt>
                <c:pt idx="26">
                  <c:v>9</c:v>
                </c:pt>
                <c:pt idx="27">
                  <c:v>7</c:v>
                </c:pt>
                <c:pt idx="28">
                  <c:v>14</c:v>
                </c:pt>
                <c:pt idx="29">
                  <c:v>10</c:v>
                </c:pt>
                <c:pt idx="30">
                  <c:v>6</c:v>
                </c:pt>
                <c:pt idx="31">
                  <c:v>10</c:v>
                </c:pt>
                <c:pt idx="32">
                  <c:v>19</c:v>
                </c:pt>
                <c:pt idx="33">
                  <c:v>8</c:v>
                </c:pt>
                <c:pt idx="34">
                  <c:v>6</c:v>
                </c:pt>
                <c:pt idx="35">
                  <c:v>3</c:v>
                </c:pt>
                <c:pt idx="36">
                  <c:v>14</c:v>
                </c:pt>
                <c:pt idx="37">
                  <c:v>13</c:v>
                </c:pt>
                <c:pt idx="38">
                  <c:v>2</c:v>
                </c:pt>
                <c:pt idx="39">
                  <c:v>23</c:v>
                </c:pt>
                <c:pt idx="40">
                  <c:v>24</c:v>
                </c:pt>
                <c:pt idx="41">
                  <c:v>19</c:v>
                </c:pt>
                <c:pt idx="42">
                  <c:v>13</c:v>
                </c:pt>
                <c:pt idx="43">
                  <c:v>12</c:v>
                </c:pt>
                <c:pt idx="44">
                  <c:v>3</c:v>
                </c:pt>
                <c:pt idx="45">
                  <c:v>25</c:v>
                </c:pt>
                <c:pt idx="46">
                  <c:v>32</c:v>
                </c:pt>
                <c:pt idx="47">
                  <c:v>22</c:v>
                </c:pt>
                <c:pt idx="48">
                  <c:v>1</c:v>
                </c:pt>
                <c:pt idx="49">
                  <c:v>25</c:v>
                </c:pt>
                <c:pt idx="50">
                  <c:v>7</c:v>
                </c:pt>
                <c:pt idx="51">
                  <c:v>13</c:v>
                </c:pt>
                <c:pt idx="52">
                  <c:v>19</c:v>
                </c:pt>
                <c:pt idx="53">
                  <c:v>27</c:v>
                </c:pt>
                <c:pt idx="54">
                  <c:v>13</c:v>
                </c:pt>
                <c:pt idx="55">
                  <c:v>15</c:v>
                </c:pt>
                <c:pt idx="56">
                  <c:v>12</c:v>
                </c:pt>
                <c:pt idx="57">
                  <c:v>30</c:v>
                </c:pt>
                <c:pt idx="58">
                  <c:v>10</c:v>
                </c:pt>
                <c:pt idx="59">
                  <c:v>10</c:v>
                </c:pt>
                <c:pt idx="60">
                  <c:v>34</c:v>
                </c:pt>
                <c:pt idx="61">
                  <c:v>4</c:v>
                </c:pt>
                <c:pt idx="62">
                  <c:v>5</c:v>
                </c:pt>
                <c:pt idx="63">
                  <c:v>7</c:v>
                </c:pt>
                <c:pt idx="64">
                  <c:v>9</c:v>
                </c:pt>
                <c:pt idx="65">
                  <c:v>22</c:v>
                </c:pt>
                <c:pt idx="66">
                  <c:v>21</c:v>
                </c:pt>
                <c:pt idx="67">
                  <c:v>9</c:v>
                </c:pt>
                <c:pt idx="68">
                  <c:v>8</c:v>
                </c:pt>
                <c:pt idx="69">
                  <c:v>33</c:v>
                </c:pt>
                <c:pt idx="70">
                  <c:v>7</c:v>
                </c:pt>
                <c:pt idx="71">
                  <c:v>23</c:v>
                </c:pt>
                <c:pt idx="72">
                  <c:v>6</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0-9580-4C72-A67D-6220460BB24C}"/>
            </c:ext>
          </c:extLst>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Tornadoes'!$N$12:$N$98</c:f>
              <c:numCache>
                <c:formatCode>0.0</c:formatCode>
                <c:ptCount val="87"/>
                <c:pt idx="0">
                  <c:v>1</c:v>
                </c:pt>
                <c:pt idx="1">
                  <c:v>1</c:v>
                </c:pt>
                <c:pt idx="2">
                  <c:v>0.66666666666666663</c:v>
                </c:pt>
                <c:pt idx="3">
                  <c:v>0.75</c:v>
                </c:pt>
                <c:pt idx="4">
                  <c:v>0.8</c:v>
                </c:pt>
                <c:pt idx="5">
                  <c:v>2.6666666666666665</c:v>
                </c:pt>
                <c:pt idx="6">
                  <c:v>2.4285714285714284</c:v>
                </c:pt>
                <c:pt idx="7">
                  <c:v>2.5</c:v>
                </c:pt>
                <c:pt idx="8">
                  <c:v>2.6666666666666665</c:v>
                </c:pt>
                <c:pt idx="9">
                  <c:v>2.6</c:v>
                </c:pt>
                <c:pt idx="10">
                  <c:v>2.9090909090909092</c:v>
                </c:pt>
                <c:pt idx="11">
                  <c:v>3.0833333333333335</c:v>
                </c:pt>
                <c:pt idx="12">
                  <c:v>3.5384615384615383</c:v>
                </c:pt>
                <c:pt idx="13">
                  <c:v>3.4285714285714284</c:v>
                </c:pt>
                <c:pt idx="14">
                  <c:v>3.4</c:v>
                </c:pt>
                <c:pt idx="15">
                  <c:v>3.5625</c:v>
                </c:pt>
                <c:pt idx="16">
                  <c:v>3.8235294117647061</c:v>
                </c:pt>
                <c:pt idx="17">
                  <c:v>4.3888888888888893</c:v>
                </c:pt>
                <c:pt idx="18">
                  <c:v>5.0526315789473681</c:v>
                </c:pt>
                <c:pt idx="19">
                  <c:v>5.5</c:v>
                </c:pt>
                <c:pt idx="20">
                  <c:v>5.2857142857142856</c:v>
                </c:pt>
                <c:pt idx="21">
                  <c:v>5.2272727272727275</c:v>
                </c:pt>
                <c:pt idx="22">
                  <c:v>5.0434782608695654</c:v>
                </c:pt>
                <c:pt idx="23">
                  <c:v>4.875</c:v>
                </c:pt>
                <c:pt idx="24">
                  <c:v>4.92</c:v>
                </c:pt>
                <c:pt idx="25">
                  <c:v>5.115384615384615</c:v>
                </c:pt>
                <c:pt idx="26">
                  <c:v>5.2592592592592595</c:v>
                </c:pt>
                <c:pt idx="27">
                  <c:v>5.3214285714285712</c:v>
                </c:pt>
                <c:pt idx="28">
                  <c:v>5.6206896551724137</c:v>
                </c:pt>
                <c:pt idx="29">
                  <c:v>5.7666666666666666</c:v>
                </c:pt>
                <c:pt idx="30">
                  <c:v>5.774193548387097</c:v>
                </c:pt>
                <c:pt idx="31">
                  <c:v>5.90625</c:v>
                </c:pt>
                <c:pt idx="32">
                  <c:v>6.3030303030303028</c:v>
                </c:pt>
                <c:pt idx="33">
                  <c:v>6.3529411764705879</c:v>
                </c:pt>
                <c:pt idx="34">
                  <c:v>6.3428571428571425</c:v>
                </c:pt>
                <c:pt idx="35">
                  <c:v>6.25</c:v>
                </c:pt>
                <c:pt idx="36">
                  <c:v>6.4594594594594597</c:v>
                </c:pt>
                <c:pt idx="37">
                  <c:v>6.6315789473684212</c:v>
                </c:pt>
                <c:pt idx="38">
                  <c:v>6.5128205128205128</c:v>
                </c:pt>
                <c:pt idx="39">
                  <c:v>6.9249999999999998</c:v>
                </c:pt>
                <c:pt idx="40">
                  <c:v>7.3414634146341466</c:v>
                </c:pt>
                <c:pt idx="41">
                  <c:v>7.6190476190476186</c:v>
                </c:pt>
                <c:pt idx="42">
                  <c:v>7.7441860465116283</c:v>
                </c:pt>
                <c:pt idx="43">
                  <c:v>7.8409090909090908</c:v>
                </c:pt>
                <c:pt idx="44">
                  <c:v>7.7333333333333334</c:v>
                </c:pt>
                <c:pt idx="45">
                  <c:v>8.1086956521739122</c:v>
                </c:pt>
                <c:pt idx="46">
                  <c:v>8.6170212765957448</c:v>
                </c:pt>
                <c:pt idx="47">
                  <c:v>8.8958333333333339</c:v>
                </c:pt>
                <c:pt idx="48">
                  <c:v>8.7346938775510203</c:v>
                </c:pt>
                <c:pt idx="49">
                  <c:v>9.06</c:v>
                </c:pt>
                <c:pt idx="50">
                  <c:v>9.0196078431372548</c:v>
                </c:pt>
                <c:pt idx="51">
                  <c:v>9.0961538461538467</c:v>
                </c:pt>
                <c:pt idx="52">
                  <c:v>9.2830188679245289</c:v>
                </c:pt>
                <c:pt idx="53">
                  <c:v>9.6111111111111107</c:v>
                </c:pt>
                <c:pt idx="54">
                  <c:v>9.672727272727272</c:v>
                </c:pt>
                <c:pt idx="55">
                  <c:v>9.7678571428571423</c:v>
                </c:pt>
                <c:pt idx="56">
                  <c:v>9.807017543859649</c:v>
                </c:pt>
                <c:pt idx="57">
                  <c:v>10.155172413793103</c:v>
                </c:pt>
                <c:pt idx="58">
                  <c:v>10.152542372881356</c:v>
                </c:pt>
                <c:pt idx="59">
                  <c:v>10.15</c:v>
                </c:pt>
                <c:pt idx="60">
                  <c:v>10.540983606557377</c:v>
                </c:pt>
                <c:pt idx="61">
                  <c:v>10.435483870967742</c:v>
                </c:pt>
                <c:pt idx="62">
                  <c:v>10.34920634920635</c:v>
                </c:pt>
                <c:pt idx="63">
                  <c:v>10.296875</c:v>
                </c:pt>
                <c:pt idx="64">
                  <c:v>10.276923076923078</c:v>
                </c:pt>
                <c:pt idx="65">
                  <c:v>10.454545454545455</c:v>
                </c:pt>
                <c:pt idx="66">
                  <c:v>10.611940298507463</c:v>
                </c:pt>
                <c:pt idx="67">
                  <c:v>10.588235294117647</c:v>
                </c:pt>
                <c:pt idx="68">
                  <c:v>10.55072463768116</c:v>
                </c:pt>
                <c:pt idx="69">
                  <c:v>10.871428571428572</c:v>
                </c:pt>
                <c:pt idx="70">
                  <c:v>10.816901408450704</c:v>
                </c:pt>
                <c:pt idx="71">
                  <c:v>10.986111111111111</c:v>
                </c:pt>
                <c:pt idx="72">
                  <c:v>10.917808219178083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1-9580-4C72-A67D-6220460BB24C}"/>
            </c:ext>
          </c:extLst>
        </c:ser>
        <c:dLbls>
          <c:showLegendKey val="0"/>
          <c:showVal val="0"/>
          <c:showCatName val="0"/>
          <c:showSerName val="0"/>
          <c:showPercent val="0"/>
          <c:showBubbleSize val="0"/>
        </c:dLbls>
        <c:marker val="1"/>
        <c:smooth val="0"/>
        <c:axId val="157576576"/>
        <c:axId val="157600000"/>
      </c:lineChart>
      <c:catAx>
        <c:axId val="157576576"/>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600000"/>
        <c:crosses val="autoZero"/>
        <c:auto val="1"/>
        <c:lblAlgn val="ctr"/>
        <c:lblOffset val="100"/>
        <c:tickLblSkip val="5"/>
        <c:tickMarkSkip val="1"/>
        <c:noMultiLvlLbl val="0"/>
      </c:catAx>
      <c:valAx>
        <c:axId val="157600000"/>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563729759513841E-3"/>
              <c:y val="0.38783793308401665"/>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576576"/>
        <c:crosses val="autoZero"/>
        <c:crossBetween val="midCat"/>
      </c:valAx>
      <c:spPr>
        <a:noFill/>
        <a:ln w="3175">
          <a:solidFill>
            <a:srgbClr val="000000"/>
          </a:solidFill>
          <a:prstDash val="solid"/>
        </a:ln>
      </c:spPr>
    </c:plotArea>
    <c:legend>
      <c:legendPos val="t"/>
      <c:legendEntry>
        <c:idx val="0"/>
        <c:txPr>
          <a:bodyPr/>
          <a:lstStyle/>
          <a:p>
            <a:pPr>
              <a:defRPr sz="1200" b="0" i="0" u="none" strike="noStrike" baseline="0">
                <a:solidFill>
                  <a:srgbClr val="000000"/>
                </a:solidFill>
                <a:latin typeface="Arial"/>
                <a:ea typeface="Arial"/>
                <a:cs typeface="Arial"/>
              </a:defRPr>
            </a:pPr>
            <a:endParaRPr lang="en-US"/>
          </a:p>
        </c:txPr>
      </c:legendEntry>
      <c:legendEntry>
        <c:idx val="1"/>
        <c:txPr>
          <a:bodyPr/>
          <a:lstStyle/>
          <a:p>
            <a:pPr>
              <a:defRPr sz="1200" b="0" i="0" u="none" strike="noStrike" baseline="0">
                <a:solidFill>
                  <a:srgbClr val="000000"/>
                </a:solidFill>
                <a:latin typeface="Arial"/>
                <a:ea typeface="Arial"/>
                <a:cs typeface="Arial"/>
              </a:defRPr>
            </a:pPr>
            <a:endParaRPr lang="en-US"/>
          </a:p>
        </c:txPr>
      </c:legendEntry>
      <c:layout>
        <c:manualLayout>
          <c:xMode val="edge"/>
          <c:yMode val="edge"/>
          <c:x val="0.73775297275199514"/>
          <c:y val="1.1197197544695697E-2"/>
          <c:w val="0.22460164827026419"/>
          <c:h val="0.104053987239571"/>
        </c:manualLayout>
      </c:layout>
      <c:overlay val="0"/>
      <c:spPr>
        <a:noFill/>
        <a:ln w="3175">
          <a:solidFill>
            <a:srgbClr val="000000"/>
          </a:solidFill>
          <a:prstDash val="solid"/>
        </a:ln>
      </c:spPr>
      <c:txPr>
        <a:bodyPr/>
        <a:lstStyle/>
        <a:p>
          <a:pPr>
            <a:defRPr sz="1560" b="0" i="0" u="none" strike="noStrike" baseline="0">
              <a:solidFill>
                <a:srgbClr val="000000"/>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F1 / EF1 TORNADOES BY YEAR
Amarillo NWS CWA</a:t>
            </a:r>
          </a:p>
        </c:rich>
      </c:tx>
      <c:layout>
        <c:manualLayout>
          <c:xMode val="edge"/>
          <c:yMode val="edge"/>
          <c:x val="0.33051302560092005"/>
          <c:y val="2.6385158768981551E-2"/>
        </c:manualLayout>
      </c:layout>
      <c:overlay val="0"/>
      <c:spPr>
        <a:noFill/>
        <a:ln w="38100">
          <a:solidFill>
            <a:srgbClr val="FFFF00"/>
          </a:solidFill>
          <a:prstDash val="solid"/>
        </a:ln>
      </c:spPr>
    </c:title>
    <c:autoTitleDeleted val="0"/>
    <c:plotArea>
      <c:layout>
        <c:manualLayout>
          <c:layoutTarget val="inner"/>
          <c:xMode val="edge"/>
          <c:yMode val="edge"/>
          <c:x val="7.1476274269328094E-2"/>
          <c:y val="0.13588390501319261"/>
          <c:w val="0.90142040371364418"/>
          <c:h val="0.79419525065963215"/>
        </c:manualLayout>
      </c:layout>
      <c:lineChart>
        <c:grouping val="standard"/>
        <c:varyColors val="0"/>
        <c:ser>
          <c:idx val="0"/>
          <c:order val="0"/>
          <c:tx>
            <c:v>Annual Total</c:v>
          </c:tx>
          <c:spPr>
            <a:ln w="25400">
              <a:solidFill>
                <a:srgbClr val="FFFFFF"/>
              </a:solidFill>
              <a:prstDash val="solid"/>
            </a:ln>
          </c:spPr>
          <c:marker>
            <c:symbol val="circle"/>
            <c:size val="9"/>
            <c:spPr>
              <a:solidFill>
                <a:srgbClr val="FFFFCC"/>
              </a:solidFill>
              <a:ln>
                <a:solidFill>
                  <a:srgbClr val="FFCC99"/>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Tornadoes'!$D$12:$D$98</c:f>
              <c:numCache>
                <c:formatCode>0</c:formatCode>
                <c:ptCount val="87"/>
                <c:pt idx="0">
                  <c:v>2</c:v>
                </c:pt>
                <c:pt idx="1">
                  <c:v>5</c:v>
                </c:pt>
                <c:pt idx="2">
                  <c:v>1</c:v>
                </c:pt>
                <c:pt idx="3">
                  <c:v>1</c:v>
                </c:pt>
                <c:pt idx="4">
                  <c:v>1</c:v>
                </c:pt>
                <c:pt idx="5">
                  <c:v>2</c:v>
                </c:pt>
                <c:pt idx="6">
                  <c:v>1</c:v>
                </c:pt>
                <c:pt idx="7">
                  <c:v>3</c:v>
                </c:pt>
                <c:pt idx="8">
                  <c:v>7</c:v>
                </c:pt>
                <c:pt idx="9">
                  <c:v>4</c:v>
                </c:pt>
                <c:pt idx="10">
                  <c:v>6</c:v>
                </c:pt>
                <c:pt idx="11">
                  <c:v>5</c:v>
                </c:pt>
                <c:pt idx="12">
                  <c:v>12</c:v>
                </c:pt>
                <c:pt idx="13">
                  <c:v>1</c:v>
                </c:pt>
                <c:pt idx="14">
                  <c:v>0</c:v>
                </c:pt>
                <c:pt idx="15">
                  <c:v>0</c:v>
                </c:pt>
                <c:pt idx="16">
                  <c:v>3</c:v>
                </c:pt>
                <c:pt idx="17">
                  <c:v>6</c:v>
                </c:pt>
                <c:pt idx="18">
                  <c:v>2</c:v>
                </c:pt>
                <c:pt idx="19">
                  <c:v>0</c:v>
                </c:pt>
                <c:pt idx="20">
                  <c:v>1</c:v>
                </c:pt>
                <c:pt idx="21">
                  <c:v>13</c:v>
                </c:pt>
                <c:pt idx="22">
                  <c:v>15</c:v>
                </c:pt>
                <c:pt idx="23">
                  <c:v>3</c:v>
                </c:pt>
                <c:pt idx="24">
                  <c:v>6</c:v>
                </c:pt>
                <c:pt idx="25">
                  <c:v>4</c:v>
                </c:pt>
                <c:pt idx="26">
                  <c:v>1</c:v>
                </c:pt>
                <c:pt idx="27">
                  <c:v>9</c:v>
                </c:pt>
                <c:pt idx="28">
                  <c:v>0</c:v>
                </c:pt>
                <c:pt idx="29">
                  <c:v>1</c:v>
                </c:pt>
                <c:pt idx="30">
                  <c:v>4</c:v>
                </c:pt>
                <c:pt idx="31">
                  <c:v>3</c:v>
                </c:pt>
                <c:pt idx="32">
                  <c:v>7</c:v>
                </c:pt>
                <c:pt idx="33">
                  <c:v>4</c:v>
                </c:pt>
                <c:pt idx="34">
                  <c:v>2</c:v>
                </c:pt>
                <c:pt idx="35">
                  <c:v>0</c:v>
                </c:pt>
                <c:pt idx="36">
                  <c:v>0</c:v>
                </c:pt>
                <c:pt idx="37">
                  <c:v>8</c:v>
                </c:pt>
                <c:pt idx="38">
                  <c:v>1</c:v>
                </c:pt>
                <c:pt idx="39">
                  <c:v>7</c:v>
                </c:pt>
                <c:pt idx="40">
                  <c:v>9</c:v>
                </c:pt>
                <c:pt idx="41">
                  <c:v>1</c:v>
                </c:pt>
                <c:pt idx="42">
                  <c:v>3</c:v>
                </c:pt>
                <c:pt idx="43">
                  <c:v>4</c:v>
                </c:pt>
                <c:pt idx="44">
                  <c:v>2</c:v>
                </c:pt>
                <c:pt idx="45">
                  <c:v>8</c:v>
                </c:pt>
                <c:pt idx="46">
                  <c:v>2</c:v>
                </c:pt>
                <c:pt idx="47">
                  <c:v>6</c:v>
                </c:pt>
                <c:pt idx="48">
                  <c:v>1</c:v>
                </c:pt>
                <c:pt idx="49">
                  <c:v>0</c:v>
                </c:pt>
                <c:pt idx="50">
                  <c:v>1</c:v>
                </c:pt>
                <c:pt idx="51">
                  <c:v>3</c:v>
                </c:pt>
                <c:pt idx="52">
                  <c:v>2</c:v>
                </c:pt>
                <c:pt idx="53">
                  <c:v>5</c:v>
                </c:pt>
                <c:pt idx="54">
                  <c:v>1</c:v>
                </c:pt>
                <c:pt idx="55">
                  <c:v>0</c:v>
                </c:pt>
                <c:pt idx="56">
                  <c:v>1</c:v>
                </c:pt>
                <c:pt idx="57">
                  <c:v>15</c:v>
                </c:pt>
                <c:pt idx="58">
                  <c:v>0</c:v>
                </c:pt>
                <c:pt idx="59">
                  <c:v>2</c:v>
                </c:pt>
                <c:pt idx="60">
                  <c:v>3</c:v>
                </c:pt>
                <c:pt idx="61">
                  <c:v>0</c:v>
                </c:pt>
                <c:pt idx="62">
                  <c:v>1</c:v>
                </c:pt>
                <c:pt idx="63">
                  <c:v>0</c:v>
                </c:pt>
                <c:pt idx="64">
                  <c:v>3</c:v>
                </c:pt>
                <c:pt idx="65">
                  <c:v>9</c:v>
                </c:pt>
                <c:pt idx="66">
                  <c:v>7</c:v>
                </c:pt>
                <c:pt idx="67">
                  <c:v>3</c:v>
                </c:pt>
                <c:pt idx="68">
                  <c:v>2</c:v>
                </c:pt>
                <c:pt idx="69">
                  <c:v>1</c:v>
                </c:pt>
                <c:pt idx="70">
                  <c:v>1</c:v>
                </c:pt>
                <c:pt idx="71">
                  <c:v>4</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0-74F1-4939-A8B8-CBDE03068DE3}"/>
            </c:ext>
          </c:extLst>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Segments'!$B$12:$B$98</c:f>
              <c:numCache>
                <c:formatCode>General</c:formatCode>
                <c:ptCount val="8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numCache>
            </c:numRef>
          </c:cat>
          <c:val>
            <c:numRef>
              <c:f>'Summary - Whole Tornadoes'!$P$12:$P$98</c:f>
              <c:numCache>
                <c:formatCode>0.0</c:formatCode>
                <c:ptCount val="87"/>
                <c:pt idx="0">
                  <c:v>2</c:v>
                </c:pt>
                <c:pt idx="1">
                  <c:v>3.5</c:v>
                </c:pt>
                <c:pt idx="2">
                  <c:v>2.6666666666666665</c:v>
                </c:pt>
                <c:pt idx="3">
                  <c:v>2.25</c:v>
                </c:pt>
                <c:pt idx="4">
                  <c:v>2</c:v>
                </c:pt>
                <c:pt idx="5">
                  <c:v>2</c:v>
                </c:pt>
                <c:pt idx="6">
                  <c:v>1.8571428571428572</c:v>
                </c:pt>
                <c:pt idx="7">
                  <c:v>2</c:v>
                </c:pt>
                <c:pt idx="8">
                  <c:v>2.5555555555555554</c:v>
                </c:pt>
                <c:pt idx="9">
                  <c:v>2.7</c:v>
                </c:pt>
                <c:pt idx="10">
                  <c:v>3</c:v>
                </c:pt>
                <c:pt idx="11">
                  <c:v>3.1666666666666665</c:v>
                </c:pt>
                <c:pt idx="12">
                  <c:v>3.8461538461538463</c:v>
                </c:pt>
                <c:pt idx="13">
                  <c:v>3.6428571428571428</c:v>
                </c:pt>
                <c:pt idx="14">
                  <c:v>3.4</c:v>
                </c:pt>
                <c:pt idx="15">
                  <c:v>3.1875</c:v>
                </c:pt>
                <c:pt idx="16">
                  <c:v>3.1764705882352939</c:v>
                </c:pt>
                <c:pt idx="17">
                  <c:v>3.3333333333333335</c:v>
                </c:pt>
                <c:pt idx="18">
                  <c:v>3.263157894736842</c:v>
                </c:pt>
                <c:pt idx="19">
                  <c:v>3.1</c:v>
                </c:pt>
                <c:pt idx="20">
                  <c:v>3</c:v>
                </c:pt>
                <c:pt idx="21">
                  <c:v>3.4545454545454546</c:v>
                </c:pt>
                <c:pt idx="22">
                  <c:v>3.9565217391304346</c:v>
                </c:pt>
                <c:pt idx="23">
                  <c:v>3.9166666666666665</c:v>
                </c:pt>
                <c:pt idx="24">
                  <c:v>4</c:v>
                </c:pt>
                <c:pt idx="25">
                  <c:v>4</c:v>
                </c:pt>
                <c:pt idx="26">
                  <c:v>3.8888888888888888</c:v>
                </c:pt>
                <c:pt idx="27">
                  <c:v>4.0714285714285712</c:v>
                </c:pt>
                <c:pt idx="28">
                  <c:v>3.9310344827586206</c:v>
                </c:pt>
                <c:pt idx="29">
                  <c:v>3.8333333333333335</c:v>
                </c:pt>
                <c:pt idx="30">
                  <c:v>3.838709677419355</c:v>
                </c:pt>
                <c:pt idx="31">
                  <c:v>3.8125</c:v>
                </c:pt>
                <c:pt idx="32">
                  <c:v>3.9090909090909092</c:v>
                </c:pt>
                <c:pt idx="33">
                  <c:v>3.9117647058823528</c:v>
                </c:pt>
                <c:pt idx="34">
                  <c:v>3.8571428571428572</c:v>
                </c:pt>
                <c:pt idx="35">
                  <c:v>3.75</c:v>
                </c:pt>
                <c:pt idx="36">
                  <c:v>3.6486486486486487</c:v>
                </c:pt>
                <c:pt idx="37">
                  <c:v>3.763157894736842</c:v>
                </c:pt>
                <c:pt idx="38">
                  <c:v>3.6923076923076925</c:v>
                </c:pt>
                <c:pt idx="39">
                  <c:v>3.7749999999999999</c:v>
                </c:pt>
                <c:pt idx="40">
                  <c:v>3.9024390243902438</c:v>
                </c:pt>
                <c:pt idx="41">
                  <c:v>3.8333333333333335</c:v>
                </c:pt>
                <c:pt idx="42">
                  <c:v>3.8139534883720931</c:v>
                </c:pt>
                <c:pt idx="43">
                  <c:v>3.8181818181818183</c:v>
                </c:pt>
                <c:pt idx="44">
                  <c:v>3.7777777777777777</c:v>
                </c:pt>
                <c:pt idx="45">
                  <c:v>3.8695652173913042</c:v>
                </c:pt>
                <c:pt idx="46">
                  <c:v>3.8297872340425534</c:v>
                </c:pt>
                <c:pt idx="47">
                  <c:v>3.875</c:v>
                </c:pt>
                <c:pt idx="48">
                  <c:v>3.8163265306122449</c:v>
                </c:pt>
                <c:pt idx="49">
                  <c:v>3.74</c:v>
                </c:pt>
                <c:pt idx="50">
                  <c:v>3.6862745098039214</c:v>
                </c:pt>
                <c:pt idx="51">
                  <c:v>3.6730769230769229</c:v>
                </c:pt>
                <c:pt idx="52">
                  <c:v>3.641509433962264</c:v>
                </c:pt>
                <c:pt idx="53">
                  <c:v>3.6666666666666665</c:v>
                </c:pt>
                <c:pt idx="54">
                  <c:v>3.6181818181818182</c:v>
                </c:pt>
                <c:pt idx="55">
                  <c:v>3.5535714285714284</c:v>
                </c:pt>
                <c:pt idx="56">
                  <c:v>3.5087719298245612</c:v>
                </c:pt>
                <c:pt idx="57">
                  <c:v>3.7068965517241379</c:v>
                </c:pt>
                <c:pt idx="58">
                  <c:v>3.6440677966101696</c:v>
                </c:pt>
                <c:pt idx="59">
                  <c:v>3.6166666666666667</c:v>
                </c:pt>
                <c:pt idx="60">
                  <c:v>3.6065573770491803</c:v>
                </c:pt>
                <c:pt idx="61">
                  <c:v>3.5483870967741935</c:v>
                </c:pt>
                <c:pt idx="62">
                  <c:v>3.5079365079365079</c:v>
                </c:pt>
                <c:pt idx="63">
                  <c:v>3.453125</c:v>
                </c:pt>
                <c:pt idx="64">
                  <c:v>3.4461538461538463</c:v>
                </c:pt>
                <c:pt idx="65">
                  <c:v>3.5303030303030303</c:v>
                </c:pt>
                <c:pt idx="66">
                  <c:v>3.5820895522388061</c:v>
                </c:pt>
                <c:pt idx="67">
                  <c:v>3.5735294117647061</c:v>
                </c:pt>
                <c:pt idx="68">
                  <c:v>3.5507246376811592</c:v>
                </c:pt>
                <c:pt idx="69">
                  <c:v>3.5142857142857142</c:v>
                </c:pt>
                <c:pt idx="70">
                  <c:v>3.4788732394366195</c:v>
                </c:pt>
                <c:pt idx="71">
                  <c:v>3.4861111111111112</c:v>
                </c:pt>
                <c:pt idx="72">
                  <c:v>3.4383561643835616</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xmlns:c16r2="http://schemas.microsoft.com/office/drawing/2015/06/chart">
            <c:ext xmlns:c16="http://schemas.microsoft.com/office/drawing/2014/chart" uri="{C3380CC4-5D6E-409C-BE32-E72D297353CC}">
              <c16:uniqueId val="{00000001-74F1-4939-A8B8-CBDE03068DE3}"/>
            </c:ext>
          </c:extLst>
        </c:ser>
        <c:dLbls>
          <c:showLegendKey val="0"/>
          <c:showVal val="0"/>
          <c:showCatName val="0"/>
          <c:showSerName val="0"/>
          <c:showPercent val="0"/>
          <c:showBubbleSize val="0"/>
        </c:dLbls>
        <c:marker val="1"/>
        <c:smooth val="0"/>
        <c:axId val="157648768"/>
        <c:axId val="157659904"/>
      </c:lineChart>
      <c:catAx>
        <c:axId val="157648768"/>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659904"/>
        <c:crosses val="autoZero"/>
        <c:auto val="1"/>
        <c:lblAlgn val="ctr"/>
        <c:lblOffset val="100"/>
        <c:tickLblSkip val="5"/>
        <c:tickMarkSkip val="1"/>
        <c:noMultiLvlLbl val="0"/>
      </c:catAx>
      <c:valAx>
        <c:axId val="157659904"/>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563729759513841E-3"/>
              <c:y val="0.39709760728806764"/>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57648768"/>
        <c:crosses val="autoZero"/>
        <c:crossBetween val="midCat"/>
      </c:valAx>
      <c:spPr>
        <a:noFill/>
        <a:ln w="3175">
          <a:solidFill>
            <a:srgbClr val="000000"/>
          </a:solidFill>
          <a:prstDash val="solid"/>
        </a:ln>
      </c:spPr>
    </c:plotArea>
    <c:legend>
      <c:legendPos val="t"/>
      <c:layout>
        <c:manualLayout>
          <c:xMode val="edge"/>
          <c:yMode val="edge"/>
          <c:x val="0.72727336283867461"/>
          <c:y val="9.2348476480520105E-3"/>
          <c:w val="0.22549024487063313"/>
          <c:h val="8.5751976393732693E-2"/>
        </c:manualLayout>
      </c:layout>
      <c:overlay val="0"/>
      <c:spPr>
        <a:noFill/>
        <a:ln w="3175">
          <a:solidFill>
            <a:srgbClr val="0066CC"/>
          </a:solidFill>
          <a:prstDash val="solid"/>
        </a:ln>
      </c:spPr>
      <c:txPr>
        <a:bodyPr/>
        <a:lstStyle/>
        <a:p>
          <a:pPr>
            <a:defRPr sz="1200" b="0" i="0" u="none" strike="noStrike" baseline="0">
              <a:solidFill>
                <a:srgbClr val="FFFFFF"/>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xls"/></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0</xdr:col>
      <xdr:colOff>228600</xdr:colOff>
      <xdr:row>148</xdr:row>
      <xdr:rowOff>0</xdr:rowOff>
    </xdr:from>
    <xdr:to>
      <xdr:col>10</xdr:col>
      <xdr:colOff>1190625</xdr:colOff>
      <xdr:row>172</xdr:row>
      <xdr:rowOff>180975</xdr:rowOff>
    </xdr:to>
    <xdr:graphicFrame macro="">
      <xdr:nvGraphicFramePr>
        <xdr:cNvPr id="15210853" name="Chart 1">
          <a:extLst>
            <a:ext uri="{FF2B5EF4-FFF2-40B4-BE49-F238E27FC236}">
              <a16:creationId xmlns:a16="http://schemas.microsoft.com/office/drawing/2014/main" xmlns="" id="{00000000-0008-0000-0B00-000065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268</xdr:row>
      <xdr:rowOff>9525</xdr:rowOff>
    </xdr:from>
    <xdr:to>
      <xdr:col>10</xdr:col>
      <xdr:colOff>714375</xdr:colOff>
      <xdr:row>293</xdr:row>
      <xdr:rowOff>9525</xdr:rowOff>
    </xdr:to>
    <xdr:graphicFrame macro="">
      <xdr:nvGraphicFramePr>
        <xdr:cNvPr id="15210854" name="Chart 2">
          <a:extLst>
            <a:ext uri="{FF2B5EF4-FFF2-40B4-BE49-F238E27FC236}">
              <a16:creationId xmlns:a16="http://schemas.microsoft.com/office/drawing/2014/main" xmlns="" id="{00000000-0008-0000-0B00-000066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209550</xdr:colOff>
      <xdr:row>304</xdr:row>
      <xdr:rowOff>0</xdr:rowOff>
    </xdr:from>
    <xdr:to>
      <xdr:col>11</xdr:col>
      <xdr:colOff>0</xdr:colOff>
      <xdr:row>328</xdr:row>
      <xdr:rowOff>180975</xdr:rowOff>
    </xdr:to>
    <xdr:graphicFrame macro="">
      <xdr:nvGraphicFramePr>
        <xdr:cNvPr id="15210855" name="Chart 3">
          <a:extLst>
            <a:ext uri="{FF2B5EF4-FFF2-40B4-BE49-F238E27FC236}">
              <a16:creationId xmlns:a16="http://schemas.microsoft.com/office/drawing/2014/main" xmlns="" id="{00000000-0008-0000-0B00-000067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xdr:colOff>
      <xdr:row>334</xdr:row>
      <xdr:rowOff>0</xdr:rowOff>
    </xdr:from>
    <xdr:to>
      <xdr:col>11</xdr:col>
      <xdr:colOff>0</xdr:colOff>
      <xdr:row>357</xdr:row>
      <xdr:rowOff>190500</xdr:rowOff>
    </xdr:to>
    <xdr:graphicFrame macro="">
      <xdr:nvGraphicFramePr>
        <xdr:cNvPr id="15210856" name="Chart 2">
          <a:extLst>
            <a:ext uri="{FF2B5EF4-FFF2-40B4-BE49-F238E27FC236}">
              <a16:creationId xmlns:a16="http://schemas.microsoft.com/office/drawing/2014/main" xmlns="" id="{00000000-0008-0000-0B00-000068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377</xdr:row>
      <xdr:rowOff>0</xdr:rowOff>
    </xdr:from>
    <xdr:to>
      <xdr:col>11</xdr:col>
      <xdr:colOff>0</xdr:colOff>
      <xdr:row>402</xdr:row>
      <xdr:rowOff>0</xdr:rowOff>
    </xdr:to>
    <xdr:graphicFrame macro="">
      <xdr:nvGraphicFramePr>
        <xdr:cNvPr id="15210857" name="Chart 3">
          <a:extLst>
            <a:ext uri="{FF2B5EF4-FFF2-40B4-BE49-F238E27FC236}">
              <a16:creationId xmlns:a16="http://schemas.microsoft.com/office/drawing/2014/main" xmlns="" id="{00000000-0008-0000-0B00-000069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19050</xdr:colOff>
      <xdr:row>497</xdr:row>
      <xdr:rowOff>0</xdr:rowOff>
    </xdr:from>
    <xdr:to>
      <xdr:col>11</xdr:col>
      <xdr:colOff>0</xdr:colOff>
      <xdr:row>521</xdr:row>
      <xdr:rowOff>0</xdr:rowOff>
    </xdr:to>
    <xdr:graphicFrame macro="">
      <xdr:nvGraphicFramePr>
        <xdr:cNvPr id="15210858" name="Chart 4">
          <a:extLst>
            <a:ext uri="{FF2B5EF4-FFF2-40B4-BE49-F238E27FC236}">
              <a16:creationId xmlns:a16="http://schemas.microsoft.com/office/drawing/2014/main" xmlns="" id="{00000000-0008-0000-0B00-00006A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200024</xdr:colOff>
      <xdr:row>212</xdr:row>
      <xdr:rowOff>0</xdr:rowOff>
    </xdr:from>
    <xdr:to>
      <xdr:col>11</xdr:col>
      <xdr:colOff>333375</xdr:colOff>
      <xdr:row>237</xdr:row>
      <xdr:rowOff>0</xdr:rowOff>
    </xdr:to>
    <xdr:graphicFrame macro="">
      <xdr:nvGraphicFramePr>
        <xdr:cNvPr id="15210859" name="Chart 5">
          <a:extLst>
            <a:ext uri="{FF2B5EF4-FFF2-40B4-BE49-F238E27FC236}">
              <a16:creationId xmlns:a16="http://schemas.microsoft.com/office/drawing/2014/main" xmlns="" id="{00000000-0008-0000-0B00-00006B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171450</xdr:colOff>
      <xdr:row>8</xdr:row>
      <xdr:rowOff>0</xdr:rowOff>
    </xdr:from>
    <xdr:to>
      <xdr:col>10</xdr:col>
      <xdr:colOff>1190625</xdr:colOff>
      <xdr:row>32</xdr:row>
      <xdr:rowOff>180975</xdr:rowOff>
    </xdr:to>
    <xdr:graphicFrame macro="">
      <xdr:nvGraphicFramePr>
        <xdr:cNvPr id="15210860" name="Chart 6">
          <a:extLst>
            <a:ext uri="{FF2B5EF4-FFF2-40B4-BE49-F238E27FC236}">
              <a16:creationId xmlns:a16="http://schemas.microsoft.com/office/drawing/2014/main" xmlns="" id="{00000000-0008-0000-0B00-00006C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171450</xdr:colOff>
      <xdr:row>36</xdr:row>
      <xdr:rowOff>0</xdr:rowOff>
    </xdr:from>
    <xdr:to>
      <xdr:col>11</xdr:col>
      <xdr:colOff>0</xdr:colOff>
      <xdr:row>60</xdr:row>
      <xdr:rowOff>180975</xdr:rowOff>
    </xdr:to>
    <xdr:graphicFrame macro="">
      <xdr:nvGraphicFramePr>
        <xdr:cNvPr id="15210861" name="Chart 7">
          <a:extLst>
            <a:ext uri="{FF2B5EF4-FFF2-40B4-BE49-F238E27FC236}">
              <a16:creationId xmlns:a16="http://schemas.microsoft.com/office/drawing/2014/main" xmlns="" id="{00000000-0008-0000-0B00-00006D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190500</xdr:colOff>
      <xdr:row>64</xdr:row>
      <xdr:rowOff>0</xdr:rowOff>
    </xdr:from>
    <xdr:to>
      <xdr:col>11</xdr:col>
      <xdr:colOff>0</xdr:colOff>
      <xdr:row>89</xdr:row>
      <xdr:rowOff>0</xdr:rowOff>
    </xdr:to>
    <xdr:graphicFrame macro="">
      <xdr:nvGraphicFramePr>
        <xdr:cNvPr id="15210862" name="Chart 8">
          <a:extLst>
            <a:ext uri="{FF2B5EF4-FFF2-40B4-BE49-F238E27FC236}">
              <a16:creationId xmlns:a16="http://schemas.microsoft.com/office/drawing/2014/main" xmlns="" id="{00000000-0008-0000-0B00-00006E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228601</xdr:colOff>
      <xdr:row>92</xdr:row>
      <xdr:rowOff>0</xdr:rowOff>
    </xdr:from>
    <xdr:to>
      <xdr:col>11</xdr:col>
      <xdr:colOff>1</xdr:colOff>
      <xdr:row>117</xdr:row>
      <xdr:rowOff>0</xdr:rowOff>
    </xdr:to>
    <xdr:graphicFrame macro="">
      <xdr:nvGraphicFramePr>
        <xdr:cNvPr id="15210863" name="Chart 9">
          <a:extLst>
            <a:ext uri="{FF2B5EF4-FFF2-40B4-BE49-F238E27FC236}">
              <a16:creationId xmlns:a16="http://schemas.microsoft.com/office/drawing/2014/main" xmlns="" id="{00000000-0008-0000-0B00-00006F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219075</xdr:colOff>
      <xdr:row>120</xdr:row>
      <xdr:rowOff>0</xdr:rowOff>
    </xdr:from>
    <xdr:to>
      <xdr:col>10</xdr:col>
      <xdr:colOff>1181100</xdr:colOff>
      <xdr:row>144</xdr:row>
      <xdr:rowOff>180975</xdr:rowOff>
    </xdr:to>
    <xdr:graphicFrame macro="">
      <xdr:nvGraphicFramePr>
        <xdr:cNvPr id="15210864" name="Chart 10">
          <a:extLst>
            <a:ext uri="{FF2B5EF4-FFF2-40B4-BE49-F238E27FC236}">
              <a16:creationId xmlns:a16="http://schemas.microsoft.com/office/drawing/2014/main" xmlns="" id="{00000000-0008-0000-0B00-000070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9525</xdr:colOff>
      <xdr:row>407</xdr:row>
      <xdr:rowOff>0</xdr:rowOff>
    </xdr:from>
    <xdr:to>
      <xdr:col>10</xdr:col>
      <xdr:colOff>742950</xdr:colOff>
      <xdr:row>431</xdr:row>
      <xdr:rowOff>180975</xdr:rowOff>
    </xdr:to>
    <xdr:graphicFrame macro="">
      <xdr:nvGraphicFramePr>
        <xdr:cNvPr id="15210865" name="Chart 3">
          <a:extLst>
            <a:ext uri="{FF2B5EF4-FFF2-40B4-BE49-F238E27FC236}">
              <a16:creationId xmlns:a16="http://schemas.microsoft.com/office/drawing/2014/main" xmlns="" id="{00000000-0008-0000-0B00-000071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9525</xdr:colOff>
      <xdr:row>437</xdr:row>
      <xdr:rowOff>0</xdr:rowOff>
    </xdr:from>
    <xdr:to>
      <xdr:col>10</xdr:col>
      <xdr:colOff>742950</xdr:colOff>
      <xdr:row>461</xdr:row>
      <xdr:rowOff>180975</xdr:rowOff>
    </xdr:to>
    <xdr:graphicFrame macro="">
      <xdr:nvGraphicFramePr>
        <xdr:cNvPr id="15210866" name="Chart 3">
          <a:extLst>
            <a:ext uri="{FF2B5EF4-FFF2-40B4-BE49-F238E27FC236}">
              <a16:creationId xmlns:a16="http://schemas.microsoft.com/office/drawing/2014/main" xmlns="" id="{00000000-0008-0000-0B00-000072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9525</xdr:colOff>
      <xdr:row>467</xdr:row>
      <xdr:rowOff>0</xdr:rowOff>
    </xdr:from>
    <xdr:to>
      <xdr:col>10</xdr:col>
      <xdr:colOff>742950</xdr:colOff>
      <xdr:row>491</xdr:row>
      <xdr:rowOff>180975</xdr:rowOff>
    </xdr:to>
    <xdr:graphicFrame macro="">
      <xdr:nvGraphicFramePr>
        <xdr:cNvPr id="15210867" name="Chart 3">
          <a:extLst>
            <a:ext uri="{FF2B5EF4-FFF2-40B4-BE49-F238E27FC236}">
              <a16:creationId xmlns:a16="http://schemas.microsoft.com/office/drawing/2014/main" xmlns="" id="{00000000-0008-0000-0B00-00007319E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61913</xdr:colOff>
      <xdr:row>600</xdr:row>
      <xdr:rowOff>76201</xdr:rowOff>
    </xdr:from>
    <xdr:to>
      <xdr:col>14</xdr:col>
      <xdr:colOff>80962</xdr:colOff>
      <xdr:row>624</xdr:row>
      <xdr:rowOff>42862</xdr:rowOff>
    </xdr:to>
    <xdr:graphicFrame macro="">
      <xdr:nvGraphicFramePr>
        <xdr:cNvPr id="2" name="Chart 1">
          <a:extLst>
            <a:ext uri="{FF2B5EF4-FFF2-40B4-BE49-F238E27FC236}">
              <a16:creationId xmlns:a16="http://schemas.microsoft.com/office/drawing/2014/main" xmlns=""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47626</xdr:colOff>
      <xdr:row>629</xdr:row>
      <xdr:rowOff>28576</xdr:rowOff>
    </xdr:from>
    <xdr:to>
      <xdr:col>13</xdr:col>
      <xdr:colOff>314326</xdr:colOff>
      <xdr:row>649</xdr:row>
      <xdr:rowOff>0</xdr:rowOff>
    </xdr:to>
    <xdr:graphicFrame macro="">
      <xdr:nvGraphicFramePr>
        <xdr:cNvPr id="3" name="Chart 2">
          <a:extLst>
            <a:ext uri="{FF2B5EF4-FFF2-40B4-BE49-F238E27FC236}">
              <a16:creationId xmlns:a16="http://schemas.microsoft.com/office/drawing/2014/main" xmlns=""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666</xdr:row>
      <xdr:rowOff>0</xdr:rowOff>
    </xdr:from>
    <xdr:to>
      <xdr:col>11</xdr:col>
      <xdr:colOff>9524</xdr:colOff>
      <xdr:row>683</xdr:row>
      <xdr:rowOff>171451</xdr:rowOff>
    </xdr:to>
    <xdr:graphicFrame macro="">
      <xdr:nvGraphicFramePr>
        <xdr:cNvPr id="22" name="Chart 21">
          <a:extLst>
            <a:ext uri="{FF2B5EF4-FFF2-40B4-BE49-F238E27FC236}">
              <a16:creationId xmlns:a16="http://schemas.microsoft.com/office/drawing/2014/main" xmlns=""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685</xdr:row>
      <xdr:rowOff>0</xdr:rowOff>
    </xdr:from>
    <xdr:to>
      <xdr:col>10</xdr:col>
      <xdr:colOff>695325</xdr:colOff>
      <xdr:row>705</xdr:row>
      <xdr:rowOff>180975</xdr:rowOff>
    </xdr:to>
    <xdr:graphicFrame macro="">
      <xdr:nvGraphicFramePr>
        <xdr:cNvPr id="23" name="Chart 22">
          <a:extLst>
            <a:ext uri="{FF2B5EF4-FFF2-40B4-BE49-F238E27FC236}">
              <a16:creationId xmlns:a16="http://schemas.microsoft.com/office/drawing/2014/main" xmlns=""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28575</xdr:colOff>
      <xdr:row>707</xdr:row>
      <xdr:rowOff>47625</xdr:rowOff>
    </xdr:from>
    <xdr:to>
      <xdr:col>11</xdr:col>
      <xdr:colOff>19049</xdr:colOff>
      <xdr:row>725</xdr:row>
      <xdr:rowOff>152400</xdr:rowOff>
    </xdr:to>
    <xdr:graphicFrame macro="">
      <xdr:nvGraphicFramePr>
        <xdr:cNvPr id="24" name="Chart 23">
          <a:extLst>
            <a:ext uri="{FF2B5EF4-FFF2-40B4-BE49-F238E27FC236}">
              <a16:creationId xmlns:a16="http://schemas.microsoft.com/office/drawing/2014/main" xmlns=""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120650</xdr:colOff>
      <xdr:row>181</xdr:row>
      <xdr:rowOff>19050</xdr:rowOff>
    </xdr:from>
    <xdr:to>
      <xdr:col>10</xdr:col>
      <xdr:colOff>605282</xdr:colOff>
      <xdr:row>186</xdr:row>
      <xdr:rowOff>13208</xdr:rowOff>
    </xdr:to>
    <xdr:sp macro="" textlink="">
      <xdr:nvSpPr>
        <xdr:cNvPr id="4" name="Up Arrow 3">
          <a:extLst>
            <a:ext uri="{FF2B5EF4-FFF2-40B4-BE49-F238E27FC236}">
              <a16:creationId xmlns:a16="http://schemas.microsoft.com/office/drawing/2014/main" xmlns="" id="{00000000-0008-0000-0B00-000004000000}"/>
            </a:ext>
          </a:extLst>
        </xdr:cNvPr>
        <xdr:cNvSpPr/>
      </xdr:nvSpPr>
      <xdr:spPr bwMode="auto">
        <a:xfrm>
          <a:off x="7689850" y="35915600"/>
          <a:ext cx="484632" cy="978408"/>
        </a:xfrm>
        <a:prstGeom prst="up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10</xdr:col>
      <xdr:colOff>114300</xdr:colOff>
      <xdr:row>198</xdr:row>
      <xdr:rowOff>184150</xdr:rowOff>
    </xdr:from>
    <xdr:to>
      <xdr:col>10</xdr:col>
      <xdr:colOff>598932</xdr:colOff>
      <xdr:row>203</xdr:row>
      <xdr:rowOff>178308</xdr:rowOff>
    </xdr:to>
    <xdr:sp macro="" textlink="">
      <xdr:nvSpPr>
        <xdr:cNvPr id="5" name="Down Arrow 4">
          <a:extLst>
            <a:ext uri="{FF2B5EF4-FFF2-40B4-BE49-F238E27FC236}">
              <a16:creationId xmlns:a16="http://schemas.microsoft.com/office/drawing/2014/main" xmlns="" id="{00000000-0008-0000-0B00-000005000000}"/>
            </a:ext>
          </a:extLst>
        </xdr:cNvPr>
        <xdr:cNvSpPr/>
      </xdr:nvSpPr>
      <xdr:spPr bwMode="auto">
        <a:xfrm>
          <a:off x="7683500" y="39427150"/>
          <a:ext cx="484632" cy="978408"/>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9</xdr:col>
      <xdr:colOff>66675</xdr:colOff>
      <xdr:row>11</xdr:row>
      <xdr:rowOff>66675</xdr:rowOff>
    </xdr:from>
    <xdr:to>
      <xdr:col>20</xdr:col>
      <xdr:colOff>352425</xdr:colOff>
      <xdr:row>39</xdr:row>
      <xdr:rowOff>133350</xdr:rowOff>
    </xdr:to>
    <xdr:graphicFrame macro="">
      <xdr:nvGraphicFramePr>
        <xdr:cNvPr id="15102037" name="Chart 1">
          <a:extLst>
            <a:ext uri="{FF2B5EF4-FFF2-40B4-BE49-F238E27FC236}">
              <a16:creationId xmlns:a16="http://schemas.microsoft.com/office/drawing/2014/main" xmlns="" id="{00000000-0008-0000-1B00-0000557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57150</xdr:colOff>
      <xdr:row>41</xdr:row>
      <xdr:rowOff>19050</xdr:rowOff>
    </xdr:from>
    <xdr:to>
      <xdr:col>20</xdr:col>
      <xdr:colOff>342900</xdr:colOff>
      <xdr:row>71</xdr:row>
      <xdr:rowOff>142875</xdr:rowOff>
    </xdr:to>
    <xdr:graphicFrame macro="">
      <xdr:nvGraphicFramePr>
        <xdr:cNvPr id="15102038" name="Chart 2">
          <a:extLst>
            <a:ext uri="{FF2B5EF4-FFF2-40B4-BE49-F238E27FC236}">
              <a16:creationId xmlns:a16="http://schemas.microsoft.com/office/drawing/2014/main" xmlns="" id="{00000000-0008-0000-1B00-0000567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66675</xdr:colOff>
      <xdr:row>73</xdr:row>
      <xdr:rowOff>19050</xdr:rowOff>
    </xdr:from>
    <xdr:to>
      <xdr:col>20</xdr:col>
      <xdr:colOff>352425</xdr:colOff>
      <xdr:row>103</xdr:row>
      <xdr:rowOff>142875</xdr:rowOff>
    </xdr:to>
    <xdr:graphicFrame macro="">
      <xdr:nvGraphicFramePr>
        <xdr:cNvPr id="15102039" name="Chart 3">
          <a:extLst>
            <a:ext uri="{FF2B5EF4-FFF2-40B4-BE49-F238E27FC236}">
              <a16:creationId xmlns:a16="http://schemas.microsoft.com/office/drawing/2014/main" xmlns="" id="{00000000-0008-0000-1B00-0000577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9</xdr:col>
      <xdr:colOff>66675</xdr:colOff>
      <xdr:row>11</xdr:row>
      <xdr:rowOff>76200</xdr:rowOff>
    </xdr:from>
    <xdr:to>
      <xdr:col>20</xdr:col>
      <xdr:colOff>361950</xdr:colOff>
      <xdr:row>39</xdr:row>
      <xdr:rowOff>114300</xdr:rowOff>
    </xdr:to>
    <xdr:graphicFrame macro="">
      <xdr:nvGraphicFramePr>
        <xdr:cNvPr id="15071317" name="Chart 1">
          <a:extLst>
            <a:ext uri="{FF2B5EF4-FFF2-40B4-BE49-F238E27FC236}">
              <a16:creationId xmlns:a16="http://schemas.microsoft.com/office/drawing/2014/main" xmlns="" id="{00000000-0008-0000-1D00-000055F8E5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66675</xdr:colOff>
      <xdr:row>41</xdr:row>
      <xdr:rowOff>9525</xdr:rowOff>
    </xdr:from>
    <xdr:to>
      <xdr:col>20</xdr:col>
      <xdr:colOff>352425</xdr:colOff>
      <xdr:row>71</xdr:row>
      <xdr:rowOff>133350</xdr:rowOff>
    </xdr:to>
    <xdr:graphicFrame macro="">
      <xdr:nvGraphicFramePr>
        <xdr:cNvPr id="15071318" name="Chart 2">
          <a:extLst>
            <a:ext uri="{FF2B5EF4-FFF2-40B4-BE49-F238E27FC236}">
              <a16:creationId xmlns:a16="http://schemas.microsoft.com/office/drawing/2014/main" xmlns="" id="{00000000-0008-0000-1D00-000056F8E5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76200</xdr:colOff>
      <xdr:row>74</xdr:row>
      <xdr:rowOff>9525</xdr:rowOff>
    </xdr:from>
    <xdr:to>
      <xdr:col>20</xdr:col>
      <xdr:colOff>361950</xdr:colOff>
      <xdr:row>104</xdr:row>
      <xdr:rowOff>133350</xdr:rowOff>
    </xdr:to>
    <xdr:graphicFrame macro="">
      <xdr:nvGraphicFramePr>
        <xdr:cNvPr id="15071319" name="Chart 3">
          <a:extLst>
            <a:ext uri="{FF2B5EF4-FFF2-40B4-BE49-F238E27FC236}">
              <a16:creationId xmlns:a16="http://schemas.microsoft.com/office/drawing/2014/main" xmlns="" id="{00000000-0008-0000-1D00-000057F8E5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0.00307</cdr:x>
      <cdr:y>0.23705</cdr:y>
    </cdr:from>
    <cdr:to>
      <cdr:x>0.03791</cdr:x>
      <cdr:y>0.80207</cdr:y>
    </cdr:to>
    <cdr:sp macro="" textlink="">
      <cdr:nvSpPr>
        <cdr:cNvPr id="2" name="TextBox 1"/>
        <cdr:cNvSpPr txBox="1"/>
      </cdr:nvSpPr>
      <cdr:spPr>
        <a:xfrm xmlns:a="http://schemas.openxmlformats.org/drawingml/2006/main" flipH="1">
          <a:off x="28569" y="1962150"/>
          <a:ext cx="323851" cy="4676775"/>
        </a:xfrm>
        <a:prstGeom xmlns:a="http://schemas.openxmlformats.org/drawingml/2006/main" prst="rect">
          <a:avLst/>
        </a:prstGeom>
      </cdr:spPr>
      <cdr:txBody>
        <a:bodyPr xmlns:a="http://schemas.openxmlformats.org/drawingml/2006/main" vertOverflow="clip" vert="vert270" wrap="square" rtlCol="0" anchor="b"/>
        <a:lstStyle xmlns:a="http://schemas.openxmlformats.org/drawingml/2006/main"/>
        <a:p xmlns:a="http://schemas.openxmlformats.org/drawingml/2006/main">
          <a:pPr algn="ctr"/>
          <a:r>
            <a:rPr lang="en-US" sz="1100"/>
            <a:t>Number</a:t>
          </a:r>
          <a:r>
            <a:rPr lang="en-US" sz="1100" baseline="0"/>
            <a:t> of Tornadoes on a Given Day</a:t>
          </a:r>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57149</xdr:colOff>
      <xdr:row>1</xdr:row>
      <xdr:rowOff>76200</xdr:rowOff>
    </xdr:from>
    <xdr:to>
      <xdr:col>22</xdr:col>
      <xdr:colOff>752475</xdr:colOff>
      <xdr:row>21</xdr:row>
      <xdr:rowOff>180975</xdr:rowOff>
    </xdr:to>
    <xdr:graphicFrame macro="">
      <xdr:nvGraphicFramePr>
        <xdr:cNvPr id="2" name="Chart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9524</xdr:colOff>
      <xdr:row>86</xdr:row>
      <xdr:rowOff>28575</xdr:rowOff>
    </xdr:from>
    <xdr:to>
      <xdr:col>15</xdr:col>
      <xdr:colOff>761999</xdr:colOff>
      <xdr:row>111</xdr:row>
      <xdr:rowOff>19050</xdr:rowOff>
    </xdr:to>
    <xdr:graphicFrame macro="">
      <xdr:nvGraphicFramePr>
        <xdr:cNvPr id="2" name="Chart 1">
          <a:extLst>
            <a:ext uri="{FF2B5EF4-FFF2-40B4-BE49-F238E27FC236}">
              <a16:creationId xmlns:a16="http://schemas.microsoft.com/office/drawing/2014/main" xmlns=""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115</xdr:row>
      <xdr:rowOff>0</xdr:rowOff>
    </xdr:from>
    <xdr:to>
      <xdr:col>15</xdr:col>
      <xdr:colOff>752475</xdr:colOff>
      <xdr:row>140</xdr:row>
      <xdr:rowOff>0</xdr:rowOff>
    </xdr:to>
    <xdr:graphicFrame macro="">
      <xdr:nvGraphicFramePr>
        <xdr:cNvPr id="3" name="Chart 2">
          <a:extLst>
            <a:ext uri="{FF2B5EF4-FFF2-40B4-BE49-F238E27FC236}">
              <a16:creationId xmlns:a16="http://schemas.microsoft.com/office/drawing/2014/main" xmlns=""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28575</xdr:colOff>
      <xdr:row>210</xdr:row>
      <xdr:rowOff>85725</xdr:rowOff>
    </xdr:from>
    <xdr:to>
      <xdr:col>9</xdr:col>
      <xdr:colOff>695325</xdr:colOff>
      <xdr:row>240</xdr:row>
      <xdr:rowOff>104775</xdr:rowOff>
    </xdr:to>
    <xdr:graphicFrame macro="">
      <xdr:nvGraphicFramePr>
        <xdr:cNvPr id="16294" name="Chart 3">
          <a:extLst>
            <a:ext uri="{FF2B5EF4-FFF2-40B4-BE49-F238E27FC236}">
              <a16:creationId xmlns:a16="http://schemas.microsoft.com/office/drawing/2014/main" xmlns="" id="{00000000-0008-0000-1100-0000A63F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22156</xdr:colOff>
      <xdr:row>119</xdr:row>
      <xdr:rowOff>1</xdr:rowOff>
    </xdr:from>
    <xdr:to>
      <xdr:col>11</xdr:col>
      <xdr:colOff>10786</xdr:colOff>
      <xdr:row>153</xdr:row>
      <xdr:rowOff>1</xdr:rowOff>
    </xdr:to>
    <xdr:pic>
      <xdr:nvPicPr>
        <xdr:cNvPr id="11" name="Picture 10">
          <a:extLst>
            <a:ext uri="{FF2B5EF4-FFF2-40B4-BE49-F238E27FC236}">
              <a16:creationId xmlns:a16="http://schemas.microsoft.com/office/drawing/2014/main" xmlns="" id="{00000000-0008-0000-1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731" y="24688801"/>
          <a:ext cx="7218105" cy="6477000"/>
        </a:xfrm>
        <a:prstGeom prst="rect">
          <a:avLst/>
        </a:prstGeom>
      </xdr:spPr>
    </xdr:pic>
    <xdr:clientData/>
  </xdr:twoCellAnchor>
  <xdr:twoCellAnchor editAs="oneCell">
    <xdr:from>
      <xdr:col>1</xdr:col>
      <xdr:colOff>9524</xdr:colOff>
      <xdr:row>172</xdr:row>
      <xdr:rowOff>9525</xdr:rowOff>
    </xdr:from>
    <xdr:to>
      <xdr:col>11</xdr:col>
      <xdr:colOff>0</xdr:colOff>
      <xdr:row>205</xdr:row>
      <xdr:rowOff>20739</xdr:rowOff>
    </xdr:to>
    <xdr:pic>
      <xdr:nvPicPr>
        <xdr:cNvPr id="14" name="Picture 13">
          <a:extLst>
            <a:ext uri="{FF2B5EF4-FFF2-40B4-BE49-F238E27FC236}">
              <a16:creationId xmlns:a16="http://schemas.microsoft.com/office/drawing/2014/main" xmlns="" id="{00000000-0008-0000-1300-00000E000000}"/>
            </a:ext>
          </a:extLst>
        </xdr:cNvPr>
        <xdr:cNvPicPr>
          <a:picLocks noChangeAspect="1"/>
        </xdr:cNvPicPr>
      </xdr:nvPicPr>
      <xdr:blipFill>
        <a:blip xmlns:r="http://schemas.openxmlformats.org/officeDocument/2006/relationships" r:embed="rId2"/>
        <a:stretch>
          <a:fillRect/>
        </a:stretch>
      </xdr:blipFill>
      <xdr:spPr>
        <a:xfrm>
          <a:off x="419099" y="34832925"/>
          <a:ext cx="7219951" cy="6297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9</xdr:col>
      <xdr:colOff>76199</xdr:colOff>
      <xdr:row>11</xdr:row>
      <xdr:rowOff>85725</xdr:rowOff>
    </xdr:from>
    <xdr:to>
      <xdr:col>20</xdr:col>
      <xdr:colOff>342899</xdr:colOff>
      <xdr:row>39</xdr:row>
      <xdr:rowOff>142874</xdr:rowOff>
    </xdr:to>
    <xdr:graphicFrame macro="">
      <xdr:nvGraphicFramePr>
        <xdr:cNvPr id="15089749" name="Chart 1">
          <a:extLst>
            <a:ext uri="{FF2B5EF4-FFF2-40B4-BE49-F238E27FC236}">
              <a16:creationId xmlns:a16="http://schemas.microsoft.com/office/drawing/2014/main" xmlns="" id="{00000000-0008-0000-1500-0000554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66675</xdr:colOff>
      <xdr:row>40</xdr:row>
      <xdr:rowOff>114300</xdr:rowOff>
    </xdr:from>
    <xdr:to>
      <xdr:col>20</xdr:col>
      <xdr:colOff>352425</xdr:colOff>
      <xdr:row>71</xdr:row>
      <xdr:rowOff>47625</xdr:rowOff>
    </xdr:to>
    <xdr:graphicFrame macro="">
      <xdr:nvGraphicFramePr>
        <xdr:cNvPr id="15089750" name="Chart 2">
          <a:extLst>
            <a:ext uri="{FF2B5EF4-FFF2-40B4-BE49-F238E27FC236}">
              <a16:creationId xmlns:a16="http://schemas.microsoft.com/office/drawing/2014/main" xmlns="" id="{00000000-0008-0000-1500-0000564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66675</xdr:colOff>
      <xdr:row>72</xdr:row>
      <xdr:rowOff>28575</xdr:rowOff>
    </xdr:from>
    <xdr:to>
      <xdr:col>20</xdr:col>
      <xdr:colOff>352425</xdr:colOff>
      <xdr:row>102</xdr:row>
      <xdr:rowOff>152400</xdr:rowOff>
    </xdr:to>
    <xdr:graphicFrame macro="">
      <xdr:nvGraphicFramePr>
        <xdr:cNvPr id="15089751" name="Chart 3">
          <a:extLst>
            <a:ext uri="{FF2B5EF4-FFF2-40B4-BE49-F238E27FC236}">
              <a16:creationId xmlns:a16="http://schemas.microsoft.com/office/drawing/2014/main" xmlns="" id="{00000000-0008-0000-1500-0000574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9</xdr:col>
      <xdr:colOff>57150</xdr:colOff>
      <xdr:row>11</xdr:row>
      <xdr:rowOff>76200</xdr:rowOff>
    </xdr:from>
    <xdr:to>
      <xdr:col>20</xdr:col>
      <xdr:colOff>371475</xdr:colOff>
      <xdr:row>39</xdr:row>
      <xdr:rowOff>133350</xdr:rowOff>
    </xdr:to>
    <xdr:graphicFrame macro="">
      <xdr:nvGraphicFramePr>
        <xdr:cNvPr id="15093845" name="Chart 1">
          <a:extLst>
            <a:ext uri="{FF2B5EF4-FFF2-40B4-BE49-F238E27FC236}">
              <a16:creationId xmlns:a16="http://schemas.microsoft.com/office/drawing/2014/main" xmlns="" id="{00000000-0008-0000-1700-0000555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47625</xdr:colOff>
      <xdr:row>40</xdr:row>
      <xdr:rowOff>133350</xdr:rowOff>
    </xdr:from>
    <xdr:to>
      <xdr:col>20</xdr:col>
      <xdr:colOff>333375</xdr:colOff>
      <xdr:row>71</xdr:row>
      <xdr:rowOff>66675</xdr:rowOff>
    </xdr:to>
    <xdr:graphicFrame macro="">
      <xdr:nvGraphicFramePr>
        <xdr:cNvPr id="15093846" name="Chart 2">
          <a:extLst>
            <a:ext uri="{FF2B5EF4-FFF2-40B4-BE49-F238E27FC236}">
              <a16:creationId xmlns:a16="http://schemas.microsoft.com/office/drawing/2014/main" xmlns="" id="{00000000-0008-0000-1700-0000565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66675</xdr:colOff>
      <xdr:row>73</xdr:row>
      <xdr:rowOff>9525</xdr:rowOff>
    </xdr:from>
    <xdr:to>
      <xdr:col>20</xdr:col>
      <xdr:colOff>352425</xdr:colOff>
      <xdr:row>103</xdr:row>
      <xdr:rowOff>133350</xdr:rowOff>
    </xdr:to>
    <xdr:graphicFrame macro="">
      <xdr:nvGraphicFramePr>
        <xdr:cNvPr id="15093847" name="Chart 3">
          <a:extLst>
            <a:ext uri="{FF2B5EF4-FFF2-40B4-BE49-F238E27FC236}">
              <a16:creationId xmlns:a16="http://schemas.microsoft.com/office/drawing/2014/main" xmlns="" id="{00000000-0008-0000-1700-0000575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9</xdr:col>
      <xdr:colOff>76199</xdr:colOff>
      <xdr:row>11</xdr:row>
      <xdr:rowOff>57151</xdr:rowOff>
    </xdr:from>
    <xdr:to>
      <xdr:col>20</xdr:col>
      <xdr:colOff>342899</xdr:colOff>
      <xdr:row>39</xdr:row>
      <xdr:rowOff>133350</xdr:rowOff>
    </xdr:to>
    <xdr:graphicFrame macro="">
      <xdr:nvGraphicFramePr>
        <xdr:cNvPr id="15097941" name="Chart 1">
          <a:extLst>
            <a:ext uri="{FF2B5EF4-FFF2-40B4-BE49-F238E27FC236}">
              <a16:creationId xmlns:a16="http://schemas.microsoft.com/office/drawing/2014/main" xmlns="" id="{00000000-0008-0000-1900-0000556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57150</xdr:colOff>
      <xdr:row>40</xdr:row>
      <xdr:rowOff>180975</xdr:rowOff>
    </xdr:from>
    <xdr:to>
      <xdr:col>20</xdr:col>
      <xdr:colOff>342900</xdr:colOff>
      <xdr:row>71</xdr:row>
      <xdr:rowOff>114300</xdr:rowOff>
    </xdr:to>
    <xdr:graphicFrame macro="">
      <xdr:nvGraphicFramePr>
        <xdr:cNvPr id="15097942" name="Chart 2">
          <a:extLst>
            <a:ext uri="{FF2B5EF4-FFF2-40B4-BE49-F238E27FC236}">
              <a16:creationId xmlns:a16="http://schemas.microsoft.com/office/drawing/2014/main" xmlns="" id="{00000000-0008-0000-1900-0000566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76200</xdr:colOff>
      <xdr:row>72</xdr:row>
      <xdr:rowOff>9525</xdr:rowOff>
    </xdr:from>
    <xdr:to>
      <xdr:col>20</xdr:col>
      <xdr:colOff>361950</xdr:colOff>
      <xdr:row>102</xdr:row>
      <xdr:rowOff>133350</xdr:rowOff>
    </xdr:to>
    <xdr:graphicFrame macro="">
      <xdr:nvGraphicFramePr>
        <xdr:cNvPr id="15097943" name="Chart 3">
          <a:extLst>
            <a:ext uri="{FF2B5EF4-FFF2-40B4-BE49-F238E27FC236}">
              <a16:creationId xmlns:a16="http://schemas.microsoft.com/office/drawing/2014/main" xmlns="" id="{00000000-0008-0000-1900-00005760E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9.bin"/><Relationship Id="rId1" Type="http://schemas.openxmlformats.org/officeDocument/2006/relationships/hyperlink" Target="https://origin.cpc.ncep.noaa.gov/products/analysis_monitoring/ensostuff/ONI_v5.ph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2"/>
  <sheetViews>
    <sheetView topLeftCell="A10" zoomScaleNormal="100" workbookViewId="0">
      <selection activeCell="C15" sqref="C15"/>
    </sheetView>
  </sheetViews>
  <sheetFormatPr defaultColWidth="0" defaultRowHeight="15" zeroHeight="1"/>
  <cols>
    <col min="1" max="1" width="8.77734375" customWidth="1"/>
    <col min="2" max="2" width="21.109375" customWidth="1"/>
    <col min="3" max="3" width="18" customWidth="1"/>
    <col min="4" max="4" width="44.44140625" customWidth="1"/>
    <col min="5" max="5" width="8.88671875" customWidth="1"/>
    <col min="6" max="6" width="8.77734375" customWidth="1"/>
  </cols>
  <sheetData>
    <row r="1" spans="1:6" s="267" customFormat="1" ht="15" customHeight="1" thickBot="1">
      <c r="A1" s="261"/>
      <c r="B1" s="271"/>
      <c r="C1" s="271"/>
      <c r="D1" s="271"/>
      <c r="E1" s="272"/>
    </row>
    <row r="2" spans="1:6" s="267" customFormat="1" ht="21" thickTop="1">
      <c r="A2" s="262"/>
      <c r="B2" s="990" t="s">
        <v>635</v>
      </c>
      <c r="C2" s="991"/>
      <c r="D2" s="991"/>
      <c r="E2" s="992"/>
      <c r="F2" s="266"/>
    </row>
    <row r="3" spans="1:6" s="267" customFormat="1">
      <c r="A3" s="262"/>
      <c r="B3" s="993" t="s">
        <v>609</v>
      </c>
      <c r="C3" s="994"/>
      <c r="D3" s="994"/>
      <c r="E3" s="995"/>
      <c r="F3" s="266"/>
    </row>
    <row r="4" spans="1:6" s="267" customFormat="1">
      <c r="A4" s="262"/>
      <c r="B4" s="508"/>
      <c r="C4" s="506"/>
      <c r="D4" s="507"/>
      <c r="E4" s="509"/>
      <c r="F4" s="266"/>
    </row>
    <row r="5" spans="1:6" s="267" customFormat="1" ht="90" customHeight="1">
      <c r="A5" s="262"/>
      <c r="B5" s="986" t="s">
        <v>1298</v>
      </c>
      <c r="C5" s="987"/>
      <c r="D5" s="988"/>
      <c r="E5" s="989"/>
      <c r="F5" s="266"/>
    </row>
    <row r="6" spans="1:6" s="267" customFormat="1" ht="75" customHeight="1">
      <c r="A6" s="262"/>
      <c r="B6" s="983" t="s">
        <v>1306</v>
      </c>
      <c r="C6" s="984"/>
      <c r="D6" s="984"/>
      <c r="E6" s="985"/>
      <c r="F6" s="266"/>
    </row>
    <row r="7" spans="1:6" s="267" customFormat="1" ht="105" customHeight="1">
      <c r="A7" s="262"/>
      <c r="B7" s="983" t="s">
        <v>1307</v>
      </c>
      <c r="C7" s="984"/>
      <c r="D7" s="984"/>
      <c r="E7" s="985"/>
      <c r="F7" s="266"/>
    </row>
    <row r="8" spans="1:6" s="267" customFormat="1" ht="114.95" customHeight="1">
      <c r="A8" s="262"/>
      <c r="B8" s="983" t="s">
        <v>1299</v>
      </c>
      <c r="C8" s="984"/>
      <c r="D8" s="984"/>
      <c r="E8" s="985"/>
      <c r="F8" s="266"/>
    </row>
    <row r="9" spans="1:6" s="267" customFormat="1" ht="20.100000000000001" customHeight="1" thickBot="1">
      <c r="A9" s="262"/>
      <c r="B9" s="798"/>
      <c r="C9" s="799"/>
      <c r="D9" s="586"/>
      <c r="E9" s="800"/>
      <c r="F9" s="266"/>
    </row>
    <row r="10" spans="1:6" s="267" customFormat="1" ht="15" customHeight="1" thickTop="1">
      <c r="A10" s="262"/>
      <c r="B10" s="591" t="s">
        <v>909</v>
      </c>
      <c r="C10" s="592"/>
      <c r="D10" s="586"/>
      <c r="E10" s="587"/>
      <c r="F10" s="266"/>
    </row>
    <row r="11" spans="1:6" s="276" customFormat="1" ht="15" customHeight="1" thickBot="1">
      <c r="A11" s="263"/>
      <c r="B11" s="590" t="s">
        <v>910</v>
      </c>
      <c r="C11" s="588"/>
      <c r="D11" s="589"/>
      <c r="E11" s="510"/>
      <c r="F11" s="275"/>
    </row>
    <row r="12" spans="1:6" s="267" customFormat="1" ht="16.5" thickTop="1" thickBot="1">
      <c r="A12" s="262"/>
      <c r="B12" s="286"/>
      <c r="C12" s="265"/>
      <c r="D12" s="273"/>
      <c r="E12" s="274"/>
    </row>
    <row r="13" spans="1:6" s="267" customFormat="1" ht="16.5" thickTop="1">
      <c r="A13" s="262"/>
      <c r="B13" s="279" t="s">
        <v>610</v>
      </c>
      <c r="C13" s="280">
        <v>18</v>
      </c>
      <c r="D13" s="278"/>
      <c r="E13" s="269"/>
    </row>
    <row r="14" spans="1:6" s="267" customFormat="1" ht="16.5" thickBot="1">
      <c r="A14" s="264"/>
      <c r="B14" s="281" t="s">
        <v>611</v>
      </c>
      <c r="C14" s="304">
        <v>44940</v>
      </c>
      <c r="D14" s="278"/>
      <c r="E14" s="269"/>
    </row>
    <row r="15" spans="1:6" s="267" customFormat="1" ht="15" customHeight="1" thickTop="1">
      <c r="A15" s="266"/>
      <c r="B15" s="273"/>
      <c r="C15" s="273"/>
      <c r="D15" s="268"/>
      <c r="E15" s="269"/>
    </row>
    <row r="16" spans="1:6" s="267" customFormat="1" ht="6.95" hidden="1" customHeight="1">
      <c r="A16" s="266"/>
      <c r="D16" s="268"/>
      <c r="E16" s="269"/>
    </row>
    <row r="17" spans="1:5" s="267" customFormat="1" hidden="1">
      <c r="A17" s="266"/>
      <c r="D17" s="268"/>
      <c r="E17" s="269"/>
    </row>
    <row r="18" spans="1:5" s="267" customFormat="1" hidden="1">
      <c r="A18" s="266"/>
      <c r="D18" s="268"/>
      <c r="E18" s="269"/>
    </row>
    <row r="19" spans="1:5" s="267" customFormat="1" hidden="1">
      <c r="A19" s="266"/>
      <c r="D19" s="268"/>
      <c r="E19" s="269"/>
    </row>
    <row r="20" spans="1:5" s="267" customFormat="1" hidden="1">
      <c r="A20" s="266"/>
      <c r="D20" s="268"/>
      <c r="E20" s="269"/>
    </row>
    <row r="21" spans="1:5" s="267" customFormat="1" hidden="1">
      <c r="A21" s="266"/>
      <c r="D21" s="268"/>
      <c r="E21" s="269"/>
    </row>
    <row r="22" spans="1:5" s="267" customFormat="1" hidden="1">
      <c r="A22" s="266"/>
      <c r="D22" s="268"/>
      <c r="E22" s="269"/>
    </row>
    <row r="23" spans="1:5" s="267" customFormat="1" hidden="1">
      <c r="A23" s="266"/>
      <c r="E23" s="269"/>
    </row>
    <row r="24" spans="1:5" s="267" customFormat="1" hidden="1">
      <c r="A24" s="266"/>
    </row>
    <row r="25" spans="1:5" s="267" customFormat="1" hidden="1">
      <c r="A25" s="266"/>
    </row>
    <row r="26" spans="1:5" s="267" customFormat="1" hidden="1">
      <c r="A26" s="266"/>
    </row>
    <row r="27" spans="1:5" s="267" customFormat="1" hidden="1">
      <c r="A27" s="266"/>
    </row>
    <row r="28" spans="1:5" s="267" customFormat="1" hidden="1">
      <c r="A28" s="266"/>
    </row>
    <row r="29" spans="1:5" s="267" customFormat="1" hidden="1">
      <c r="A29" s="266"/>
    </row>
    <row r="30" spans="1:5" s="267" customFormat="1" hidden="1">
      <c r="A30" s="266"/>
    </row>
    <row r="31" spans="1:5" s="267" customFormat="1" hidden="1">
      <c r="A31" s="266"/>
    </row>
    <row r="32" spans="1:5" s="267" customFormat="1" hidden="1">
      <c r="A32" s="266"/>
    </row>
    <row r="33" spans="1:1" s="267" customFormat="1" hidden="1">
      <c r="A33" s="266"/>
    </row>
    <row r="34" spans="1:1" s="267" customFormat="1" hidden="1">
      <c r="A34" s="266"/>
    </row>
    <row r="35" spans="1:1" s="267" customFormat="1" hidden="1">
      <c r="A35" s="266"/>
    </row>
    <row r="36" spans="1:1" s="267" customFormat="1" hidden="1">
      <c r="A36" s="266"/>
    </row>
    <row r="37" spans="1:1" s="267" customFormat="1" hidden="1">
      <c r="A37" s="266"/>
    </row>
    <row r="38" spans="1:1" s="267" customFormat="1" hidden="1">
      <c r="A38" s="266"/>
    </row>
    <row r="39" spans="1:1" s="267" customFormat="1" hidden="1">
      <c r="A39" s="266"/>
    </row>
    <row r="40" spans="1:1" s="267" customFormat="1" hidden="1">
      <c r="A40" s="266"/>
    </row>
    <row r="41" spans="1:1" s="267" customFormat="1" hidden="1">
      <c r="A41" s="266"/>
    </row>
    <row r="42" spans="1:1" s="267" customFormat="1" hidden="1">
      <c r="A42" s="266"/>
    </row>
    <row r="43" spans="1:1" s="267" customFormat="1" hidden="1">
      <c r="A43" s="266"/>
    </row>
    <row r="44" spans="1:1" s="267" customFormat="1" hidden="1">
      <c r="A44" s="266"/>
    </row>
    <row r="45" spans="1:1" s="267" customFormat="1" hidden="1">
      <c r="A45" s="266"/>
    </row>
    <row r="46" spans="1:1" s="267" customFormat="1" hidden="1">
      <c r="A46" s="266"/>
    </row>
    <row r="47" spans="1:1" s="267" customFormat="1" hidden="1">
      <c r="A47" s="266"/>
    </row>
    <row r="48" spans="1:1" s="267" customFormat="1" hidden="1">
      <c r="A48" s="266"/>
    </row>
    <row r="49" spans="1:1" s="267" customFormat="1" hidden="1">
      <c r="A49" s="266"/>
    </row>
    <row r="50" spans="1:1" s="267" customFormat="1" hidden="1">
      <c r="A50" s="266"/>
    </row>
    <row r="51" spans="1:1" s="267" customFormat="1" hidden="1">
      <c r="A51" s="266"/>
    </row>
    <row r="52" spans="1:1" s="267" customFormat="1" hidden="1">
      <c r="A52" s="266"/>
    </row>
    <row r="53" spans="1:1" s="267" customFormat="1" hidden="1">
      <c r="A53" s="266"/>
    </row>
    <row r="54" spans="1:1" s="267" customFormat="1" hidden="1">
      <c r="A54" s="266"/>
    </row>
    <row r="55" spans="1:1" s="267" customFormat="1" hidden="1">
      <c r="A55" s="266"/>
    </row>
    <row r="56" spans="1:1" s="267" customFormat="1" hidden="1">
      <c r="A56" s="266"/>
    </row>
    <row r="57" spans="1:1" s="267" customFormat="1" hidden="1">
      <c r="A57" s="266"/>
    </row>
    <row r="58" spans="1:1" s="267" customFormat="1" hidden="1">
      <c r="A58" s="266"/>
    </row>
    <row r="59" spans="1:1" s="267" customFormat="1" hidden="1">
      <c r="A59" s="266"/>
    </row>
    <row r="60" spans="1:1" s="267" customFormat="1" hidden="1">
      <c r="A60" s="266"/>
    </row>
    <row r="61" spans="1:1" s="267" customFormat="1" hidden="1">
      <c r="A61" s="266"/>
    </row>
    <row r="62" spans="1:1" s="267" customFormat="1" hidden="1">
      <c r="A62" s="266"/>
    </row>
    <row r="63" spans="1:1" s="267" customFormat="1" hidden="1">
      <c r="A63" s="266"/>
    </row>
    <row r="64" spans="1:1" s="267" customFormat="1" hidden="1">
      <c r="A64" s="266"/>
    </row>
    <row r="65" spans="1:1" s="267" customFormat="1" hidden="1">
      <c r="A65" s="266"/>
    </row>
    <row r="66" spans="1:1" s="267" customFormat="1" hidden="1">
      <c r="A66" s="266"/>
    </row>
    <row r="67" spans="1:1" s="267" customFormat="1" hidden="1">
      <c r="A67" s="266"/>
    </row>
    <row r="68" spans="1:1" s="267" customFormat="1" hidden="1">
      <c r="A68" s="266"/>
    </row>
    <row r="69" spans="1:1" s="267" customFormat="1" hidden="1">
      <c r="A69" s="266"/>
    </row>
    <row r="70" spans="1:1" s="267" customFormat="1" hidden="1">
      <c r="A70" s="266"/>
    </row>
    <row r="71" spans="1:1" s="267" customFormat="1" hidden="1">
      <c r="A71" s="266"/>
    </row>
    <row r="72" spans="1:1" s="267" customFormat="1" hidden="1">
      <c r="A72" s="266"/>
    </row>
    <row r="73" spans="1:1" s="267" customFormat="1" hidden="1">
      <c r="A73" s="266"/>
    </row>
    <row r="74" spans="1:1" s="267" customFormat="1" hidden="1">
      <c r="A74" s="266"/>
    </row>
    <row r="75" spans="1:1" s="267" customFormat="1" hidden="1">
      <c r="A75" s="266"/>
    </row>
    <row r="76" spans="1:1" s="267" customFormat="1" hidden="1">
      <c r="A76" s="266"/>
    </row>
    <row r="77" spans="1:1" s="267" customFormat="1" hidden="1">
      <c r="A77" s="266"/>
    </row>
    <row r="78" spans="1:1" s="267" customFormat="1" hidden="1">
      <c r="A78" s="266"/>
    </row>
    <row r="79" spans="1:1" s="267" customFormat="1" hidden="1">
      <c r="A79" s="266"/>
    </row>
    <row r="80" spans="1:1" s="267" customFormat="1" hidden="1">
      <c r="A80" s="266"/>
    </row>
    <row r="81" spans="1:1" s="267" customFormat="1" hidden="1">
      <c r="A81" s="266"/>
    </row>
    <row r="82" spans="1:1" s="267" customFormat="1" hidden="1">
      <c r="A82" s="266"/>
    </row>
    <row r="83" spans="1:1" s="267" customFormat="1" hidden="1">
      <c r="A83" s="266"/>
    </row>
    <row r="84" spans="1:1" s="267" customFormat="1" hidden="1">
      <c r="A84" s="266"/>
    </row>
    <row r="85" spans="1:1" s="267" customFormat="1" hidden="1">
      <c r="A85" s="266"/>
    </row>
    <row r="86" spans="1:1" s="267" customFormat="1" hidden="1">
      <c r="A86" s="266"/>
    </row>
    <row r="87" spans="1:1" s="267" customFormat="1" hidden="1">
      <c r="A87" s="266"/>
    </row>
    <row r="88" spans="1:1" s="267" customFormat="1" hidden="1">
      <c r="A88" s="266"/>
    </row>
    <row r="89" spans="1:1" s="267" customFormat="1" hidden="1">
      <c r="A89" s="266"/>
    </row>
    <row r="90" spans="1:1" s="267" customFormat="1" hidden="1">
      <c r="A90" s="266"/>
    </row>
    <row r="91" spans="1:1" s="267" customFormat="1" hidden="1">
      <c r="A91" s="266"/>
    </row>
    <row r="92" spans="1:1" s="267" customFormat="1" hidden="1">
      <c r="A92" s="266"/>
    </row>
    <row r="93" spans="1:1" s="267" customFormat="1" hidden="1">
      <c r="A93" s="266"/>
    </row>
    <row r="94" spans="1:1" s="267" customFormat="1" hidden="1">
      <c r="A94" s="266"/>
    </row>
    <row r="95" spans="1:1" s="267" customFormat="1" hidden="1">
      <c r="A95" s="266"/>
    </row>
    <row r="96" spans="1:1" s="267" customFormat="1" hidden="1">
      <c r="A96" s="266"/>
    </row>
    <row r="97" spans="1:1" s="267" customFormat="1" hidden="1">
      <c r="A97" s="266"/>
    </row>
    <row r="98" spans="1:1" s="267" customFormat="1" hidden="1">
      <c r="A98" s="266"/>
    </row>
    <row r="99" spans="1:1" s="267" customFormat="1" hidden="1">
      <c r="A99" s="266"/>
    </row>
    <row r="100" spans="1:1" s="267" customFormat="1" hidden="1">
      <c r="A100" s="266"/>
    </row>
    <row r="101" spans="1:1" s="267" customFormat="1" hidden="1">
      <c r="A101" s="266"/>
    </row>
    <row r="102" spans="1:1" s="267" customFormat="1" hidden="1">
      <c r="A102" s="266"/>
    </row>
    <row r="103" spans="1:1" s="267" customFormat="1" hidden="1">
      <c r="A103" s="266"/>
    </row>
    <row r="104" spans="1:1" s="267" customFormat="1" hidden="1">
      <c r="A104" s="266"/>
    </row>
    <row r="105" spans="1:1" s="267" customFormat="1" hidden="1">
      <c r="A105" s="266"/>
    </row>
    <row r="106" spans="1:1" s="267" customFormat="1" hidden="1">
      <c r="A106" s="266"/>
    </row>
    <row r="107" spans="1:1" s="267" customFormat="1" hidden="1">
      <c r="A107" s="266"/>
    </row>
    <row r="108" spans="1:1" s="267" customFormat="1" hidden="1">
      <c r="A108" s="266"/>
    </row>
    <row r="109" spans="1:1" s="267" customFormat="1" hidden="1">
      <c r="A109" s="266"/>
    </row>
    <row r="110" spans="1:1" s="267" customFormat="1" hidden="1">
      <c r="A110" s="266"/>
    </row>
    <row r="111" spans="1:1" s="267" customFormat="1" hidden="1">
      <c r="A111" s="266"/>
    </row>
    <row r="112" spans="1:1" s="267" customFormat="1" hidden="1">
      <c r="A112" s="266"/>
    </row>
    <row r="113" spans="1:1" s="267" customFormat="1" hidden="1">
      <c r="A113" s="266"/>
    </row>
    <row r="114" spans="1:1" s="267" customFormat="1" hidden="1">
      <c r="A114" s="266"/>
    </row>
    <row r="115" spans="1:1" s="267" customFormat="1" hidden="1">
      <c r="A115" s="266"/>
    </row>
    <row r="116" spans="1:1" s="267" customFormat="1" hidden="1">
      <c r="A116" s="266"/>
    </row>
    <row r="117" spans="1:1" s="267" customFormat="1" hidden="1">
      <c r="A117" s="266"/>
    </row>
    <row r="118" spans="1:1" s="267" customFormat="1" hidden="1">
      <c r="A118" s="266"/>
    </row>
    <row r="119" spans="1:1" s="267" customFormat="1" hidden="1">
      <c r="A119" s="266"/>
    </row>
    <row r="120" spans="1:1" s="267" customFormat="1" hidden="1">
      <c r="A120" s="266"/>
    </row>
    <row r="121" spans="1:1" s="267" customFormat="1" hidden="1">
      <c r="A121" s="266"/>
    </row>
    <row r="122" spans="1:1" s="267" customFormat="1" hidden="1">
      <c r="A122" s="266"/>
    </row>
    <row r="123" spans="1:1" s="267" customFormat="1" hidden="1">
      <c r="A123" s="266"/>
    </row>
    <row r="124" spans="1:1" s="267" customFormat="1" hidden="1">
      <c r="A124" s="266"/>
    </row>
    <row r="125" spans="1:1" s="267" customFormat="1" hidden="1">
      <c r="A125" s="266"/>
    </row>
    <row r="126" spans="1:1" s="267" customFormat="1" hidden="1">
      <c r="A126" s="266"/>
    </row>
    <row r="127" spans="1:1" s="267" customFormat="1" hidden="1">
      <c r="A127" s="266"/>
    </row>
    <row r="128" spans="1:1" s="267" customFormat="1" hidden="1">
      <c r="A128" s="266"/>
    </row>
    <row r="129" spans="1:1" s="267" customFormat="1" hidden="1">
      <c r="A129" s="266"/>
    </row>
    <row r="130" spans="1:1" s="267" customFormat="1" hidden="1">
      <c r="A130" s="266"/>
    </row>
    <row r="131" spans="1:1" s="267" customFormat="1" hidden="1">
      <c r="A131" s="266"/>
    </row>
    <row r="132" spans="1:1" s="267" customFormat="1" hidden="1">
      <c r="A132" s="266"/>
    </row>
    <row r="133" spans="1:1" s="267" customFormat="1" hidden="1">
      <c r="A133" s="266"/>
    </row>
    <row r="134" spans="1:1" s="267" customFormat="1" hidden="1">
      <c r="A134" s="266"/>
    </row>
    <row r="135" spans="1:1" s="267" customFormat="1" hidden="1">
      <c r="A135" s="266"/>
    </row>
    <row r="136" spans="1:1" s="267" customFormat="1" hidden="1">
      <c r="A136" s="266"/>
    </row>
    <row r="137" spans="1:1" s="267" customFormat="1" hidden="1">
      <c r="A137" s="266"/>
    </row>
    <row r="138" spans="1:1" s="267" customFormat="1" hidden="1">
      <c r="A138" s="266"/>
    </row>
    <row r="139" spans="1:1" s="267" customFormat="1" hidden="1">
      <c r="A139" s="266"/>
    </row>
    <row r="140" spans="1:1" s="267" customFormat="1" hidden="1">
      <c r="A140" s="266"/>
    </row>
    <row r="141" spans="1:1" s="267" customFormat="1" hidden="1">
      <c r="A141" s="266"/>
    </row>
    <row r="142" spans="1:1" s="267" customFormat="1" hidden="1">
      <c r="A142" s="266"/>
    </row>
    <row r="143" spans="1:1" s="267" customFormat="1" hidden="1">
      <c r="A143" s="266"/>
    </row>
    <row r="144" spans="1:1" s="267" customFormat="1" hidden="1">
      <c r="A144" s="266"/>
    </row>
    <row r="145" spans="1:1" s="267" customFormat="1" hidden="1">
      <c r="A145" s="266"/>
    </row>
    <row r="146" spans="1:1" s="267" customFormat="1" hidden="1">
      <c r="A146" s="266"/>
    </row>
    <row r="147" spans="1:1" s="267" customFormat="1" hidden="1">
      <c r="A147" s="266"/>
    </row>
    <row r="148" spans="1:1" s="267" customFormat="1" hidden="1">
      <c r="A148" s="266"/>
    </row>
    <row r="149" spans="1:1" s="267" customFormat="1" hidden="1">
      <c r="A149" s="266"/>
    </row>
    <row r="150" spans="1:1" s="267" customFormat="1" hidden="1">
      <c r="A150" s="266"/>
    </row>
    <row r="151" spans="1:1" s="267" customFormat="1" hidden="1">
      <c r="A151" s="266"/>
    </row>
    <row r="152" spans="1:1" s="267" customFormat="1" hidden="1">
      <c r="A152" s="266"/>
    </row>
    <row r="153" spans="1:1" s="267" customFormat="1" hidden="1">
      <c r="A153" s="266"/>
    </row>
    <row r="154" spans="1:1" s="267" customFormat="1" hidden="1">
      <c r="A154" s="266"/>
    </row>
    <row r="155" spans="1:1" s="267" customFormat="1" hidden="1">
      <c r="A155" s="266"/>
    </row>
    <row r="156" spans="1:1" s="267" customFormat="1" hidden="1">
      <c r="A156" s="266"/>
    </row>
    <row r="157" spans="1:1" s="267" customFormat="1" hidden="1">
      <c r="A157" s="266"/>
    </row>
    <row r="158" spans="1:1" s="267" customFormat="1" hidden="1">
      <c r="A158" s="266"/>
    </row>
    <row r="159" spans="1:1" s="267" customFormat="1" hidden="1">
      <c r="A159" s="266"/>
    </row>
    <row r="160" spans="1:1" s="267" customFormat="1" hidden="1">
      <c r="A160" s="266"/>
    </row>
    <row r="161" spans="1:6" s="267" customFormat="1" hidden="1">
      <c r="A161" s="266"/>
    </row>
    <row r="162" spans="1:6" s="267" customFormat="1" hidden="1">
      <c r="A162" s="266"/>
    </row>
    <row r="163" spans="1:6" s="267" customFormat="1" hidden="1">
      <c r="A163" s="266"/>
    </row>
    <row r="164" spans="1:6" s="267" customFormat="1" hidden="1">
      <c r="A164" s="266"/>
    </row>
    <row r="165" spans="1:6" s="267" customFormat="1" hidden="1">
      <c r="A165" s="266"/>
    </row>
    <row r="166" spans="1:6" s="266" customFormat="1" hidden="1">
      <c r="B166" s="267"/>
      <c r="C166" s="267"/>
      <c r="D166" s="267"/>
      <c r="E166" s="267"/>
      <c r="F166" s="267"/>
    </row>
    <row r="167" spans="1:6" s="266" customFormat="1" hidden="1">
      <c r="B167" s="267"/>
      <c r="C167" s="267"/>
      <c r="D167" s="267"/>
      <c r="E167" s="267"/>
      <c r="F167" s="267"/>
    </row>
    <row r="168" spans="1:6" s="266" customFormat="1" hidden="1">
      <c r="B168" s="267"/>
      <c r="C168" s="267"/>
      <c r="D168" s="267"/>
      <c r="E168" s="267"/>
      <c r="F168" s="267"/>
    </row>
    <row r="169" spans="1:6" s="266" customFormat="1" hidden="1">
      <c r="B169" s="267"/>
      <c r="C169" s="267"/>
      <c r="D169" s="267"/>
      <c r="E169" s="267"/>
      <c r="F169" s="267"/>
    </row>
    <row r="170" spans="1:6" s="266" customFormat="1" hidden="1">
      <c r="B170" s="267"/>
      <c r="C170" s="267"/>
      <c r="D170" s="267"/>
      <c r="E170" s="267"/>
      <c r="F170" s="267"/>
    </row>
    <row r="171" spans="1:6" s="266" customFormat="1" hidden="1">
      <c r="B171" s="267"/>
      <c r="C171" s="267"/>
      <c r="D171" s="267"/>
      <c r="E171" s="267"/>
      <c r="F171" s="267"/>
    </row>
    <row r="172" spans="1:6" s="266" customFormat="1" hidden="1">
      <c r="B172" s="267"/>
      <c r="C172" s="267"/>
      <c r="D172" s="267"/>
      <c r="E172" s="267"/>
      <c r="F172" s="267"/>
    </row>
    <row r="173" spans="1:6" s="266" customFormat="1" hidden="1">
      <c r="B173" s="267"/>
      <c r="C173" s="267"/>
      <c r="D173" s="267"/>
      <c r="E173" s="267"/>
      <c r="F173" s="267"/>
    </row>
    <row r="174" spans="1:6" s="266" customFormat="1" hidden="1">
      <c r="B174" s="267"/>
      <c r="C174" s="267"/>
      <c r="D174" s="267"/>
      <c r="E174" s="267"/>
      <c r="F174" s="267"/>
    </row>
    <row r="175" spans="1:6" s="266" customFormat="1" hidden="1">
      <c r="B175" s="267"/>
      <c r="C175" s="267"/>
      <c r="D175" s="267"/>
      <c r="E175" s="267"/>
      <c r="F175" s="267"/>
    </row>
    <row r="176" spans="1:6" s="266" customFormat="1" hidden="1">
      <c r="B176" s="267"/>
      <c r="C176" s="267"/>
      <c r="D176" s="267"/>
      <c r="E176" s="267"/>
      <c r="F176" s="267"/>
    </row>
    <row r="177" spans="2:6" s="266" customFormat="1" hidden="1">
      <c r="B177" s="267"/>
      <c r="C177" s="267"/>
      <c r="D177" s="267"/>
      <c r="E177" s="267"/>
      <c r="F177" s="267"/>
    </row>
    <row r="178" spans="2:6" s="266" customFormat="1" hidden="1">
      <c r="B178" s="267"/>
      <c r="C178" s="267"/>
      <c r="D178" s="267"/>
      <c r="E178" s="267"/>
      <c r="F178" s="267"/>
    </row>
    <row r="179" spans="2:6" s="266" customFormat="1" hidden="1">
      <c r="B179" s="267"/>
      <c r="C179" s="267"/>
      <c r="D179" s="267"/>
      <c r="E179" s="267"/>
      <c r="F179" s="267"/>
    </row>
    <row r="180" spans="2:6" s="266" customFormat="1" hidden="1">
      <c r="B180" s="267"/>
      <c r="C180" s="267"/>
      <c r="D180" s="267"/>
      <c r="E180" s="267"/>
      <c r="F180" s="267"/>
    </row>
    <row r="181" spans="2:6" s="266" customFormat="1" hidden="1">
      <c r="B181" s="267"/>
      <c r="C181" s="267"/>
      <c r="D181" s="267"/>
      <c r="E181" s="267"/>
      <c r="F181" s="267"/>
    </row>
    <row r="182" spans="2:6" s="266" customFormat="1" hidden="1">
      <c r="B182" s="267"/>
      <c r="C182" s="267"/>
      <c r="D182" s="267"/>
      <c r="E182" s="267"/>
      <c r="F182" s="267"/>
    </row>
    <row r="183" spans="2:6" s="266" customFormat="1" hidden="1">
      <c r="B183" s="267"/>
      <c r="C183" s="267"/>
      <c r="D183" s="267"/>
      <c r="E183" s="267"/>
      <c r="F183" s="267"/>
    </row>
    <row r="184" spans="2:6" s="266" customFormat="1" hidden="1">
      <c r="B184" s="267"/>
      <c r="C184" s="267"/>
      <c r="D184" s="267"/>
      <c r="E184" s="267"/>
      <c r="F184" s="267"/>
    </row>
    <row r="185" spans="2:6" s="266" customFormat="1" hidden="1">
      <c r="B185" s="267"/>
      <c r="C185" s="267"/>
      <c r="D185" s="267"/>
      <c r="E185" s="267"/>
      <c r="F185" s="267"/>
    </row>
    <row r="186" spans="2:6" s="266" customFormat="1" hidden="1">
      <c r="B186" s="267"/>
      <c r="C186" s="267"/>
      <c r="D186" s="267"/>
      <c r="E186" s="267"/>
      <c r="F186" s="267"/>
    </row>
    <row r="187" spans="2:6" s="266" customFormat="1" hidden="1">
      <c r="B187" s="267"/>
      <c r="C187" s="267"/>
      <c r="D187" s="267"/>
      <c r="E187" s="267"/>
      <c r="F187" s="267"/>
    </row>
    <row r="188" spans="2:6" s="266" customFormat="1" hidden="1">
      <c r="B188" s="267"/>
      <c r="C188" s="267"/>
      <c r="D188" s="267"/>
      <c r="E188" s="267"/>
      <c r="F188" s="267"/>
    </row>
    <row r="189" spans="2:6" s="266" customFormat="1" hidden="1">
      <c r="B189" s="267"/>
      <c r="C189" s="267"/>
      <c r="D189" s="267"/>
      <c r="E189" s="267"/>
      <c r="F189" s="267"/>
    </row>
    <row r="190" spans="2:6" s="266" customFormat="1" hidden="1">
      <c r="B190" s="267"/>
      <c r="C190" s="267"/>
      <c r="D190" s="267"/>
      <c r="E190" s="267"/>
      <c r="F190" s="267"/>
    </row>
    <row r="191" spans="2:6" s="266" customFormat="1" hidden="1">
      <c r="B191" s="267"/>
      <c r="C191" s="267"/>
      <c r="D191" s="267"/>
      <c r="E191" s="267"/>
      <c r="F191" s="267"/>
    </row>
    <row r="192" spans="2:6" s="266" customFormat="1" hidden="1">
      <c r="B192" s="267"/>
      <c r="C192" s="267"/>
      <c r="D192" s="267"/>
      <c r="E192" s="267"/>
      <c r="F192" s="267"/>
    </row>
    <row r="193" spans="2:6" s="266" customFormat="1" hidden="1">
      <c r="B193" s="267"/>
      <c r="C193" s="267"/>
      <c r="D193" s="267"/>
      <c r="E193" s="267"/>
      <c r="F193" s="267"/>
    </row>
    <row r="194" spans="2:6" s="266" customFormat="1" hidden="1">
      <c r="B194" s="267"/>
      <c r="C194" s="267"/>
      <c r="D194" s="267"/>
      <c r="E194" s="267"/>
      <c r="F194" s="267"/>
    </row>
    <row r="195" spans="2:6" s="266" customFormat="1" hidden="1">
      <c r="B195" s="267"/>
      <c r="C195" s="267"/>
      <c r="D195" s="267"/>
      <c r="E195" s="267"/>
      <c r="F195" s="267"/>
    </row>
    <row r="196" spans="2:6" s="266" customFormat="1" hidden="1">
      <c r="B196" s="267"/>
      <c r="C196" s="267"/>
      <c r="D196" s="267"/>
      <c r="E196" s="267"/>
      <c r="F196" s="267"/>
    </row>
    <row r="197" spans="2:6" s="266" customFormat="1" hidden="1">
      <c r="B197" s="267"/>
      <c r="C197" s="267"/>
      <c r="D197" s="267"/>
      <c r="E197" s="267"/>
      <c r="F197" s="267"/>
    </row>
    <row r="198" spans="2:6" s="266" customFormat="1" hidden="1">
      <c r="B198" s="267"/>
      <c r="C198" s="267"/>
      <c r="D198" s="267"/>
      <c r="E198" s="267"/>
      <c r="F198" s="267"/>
    </row>
    <row r="199" spans="2:6" s="266" customFormat="1" hidden="1">
      <c r="B199" s="267"/>
      <c r="C199" s="267"/>
      <c r="D199" s="267"/>
      <c r="E199" s="267"/>
      <c r="F199" s="267"/>
    </row>
    <row r="200" spans="2:6" s="266" customFormat="1" hidden="1">
      <c r="B200" s="267"/>
      <c r="C200" s="267"/>
      <c r="D200" s="267"/>
      <c r="E200" s="267"/>
      <c r="F200" s="267"/>
    </row>
    <row r="201" spans="2:6" s="266" customFormat="1" hidden="1">
      <c r="B201" s="267"/>
      <c r="C201" s="267"/>
      <c r="D201" s="267"/>
      <c r="E201" s="267"/>
      <c r="F201" s="267"/>
    </row>
    <row r="202" spans="2:6" s="266" customFormat="1" hidden="1">
      <c r="B202" s="267"/>
      <c r="C202" s="267"/>
      <c r="D202" s="267"/>
      <c r="E202" s="267"/>
      <c r="F202" s="267"/>
    </row>
    <row r="203" spans="2:6" s="266" customFormat="1" hidden="1">
      <c r="B203" s="267"/>
      <c r="C203" s="267"/>
      <c r="D203" s="267"/>
      <c r="E203" s="267"/>
      <c r="F203" s="267"/>
    </row>
    <row r="204" spans="2:6" s="266" customFormat="1" hidden="1">
      <c r="B204" s="267"/>
      <c r="C204" s="267"/>
      <c r="D204" s="267"/>
      <c r="E204" s="267"/>
      <c r="F204" s="267"/>
    </row>
    <row r="205" spans="2:6" s="266" customFormat="1" hidden="1">
      <c r="B205" s="267"/>
      <c r="C205" s="267"/>
      <c r="D205" s="267"/>
      <c r="E205" s="267"/>
      <c r="F205" s="267"/>
    </row>
    <row r="206" spans="2:6" s="266" customFormat="1" hidden="1">
      <c r="B206" s="267"/>
      <c r="C206" s="267"/>
      <c r="D206" s="267"/>
      <c r="E206" s="267"/>
      <c r="F206" s="267"/>
    </row>
    <row r="207" spans="2:6" s="266" customFormat="1" hidden="1">
      <c r="B207" s="267"/>
      <c r="C207" s="267"/>
      <c r="D207" s="267"/>
      <c r="E207" s="267"/>
      <c r="F207" s="267"/>
    </row>
    <row r="208" spans="2:6" s="266" customFormat="1" hidden="1">
      <c r="B208" s="267"/>
      <c r="C208" s="267"/>
      <c r="D208" s="267"/>
      <c r="E208" s="267"/>
      <c r="F208" s="267"/>
    </row>
    <row r="209" spans="2:6" s="266" customFormat="1" hidden="1">
      <c r="B209" s="267"/>
      <c r="C209" s="267"/>
      <c r="D209" s="267"/>
      <c r="E209" s="267"/>
      <c r="F209" s="267"/>
    </row>
    <row r="210" spans="2:6" s="266" customFormat="1" hidden="1">
      <c r="B210" s="267"/>
      <c r="C210" s="267"/>
      <c r="D210" s="267"/>
      <c r="E210" s="267"/>
      <c r="F210" s="267"/>
    </row>
    <row r="211" spans="2:6" s="266" customFormat="1" hidden="1">
      <c r="B211" s="267"/>
      <c r="C211" s="267"/>
      <c r="D211" s="267"/>
      <c r="E211" s="267"/>
      <c r="F211" s="267"/>
    </row>
    <row r="212" spans="2:6" s="266" customFormat="1" hidden="1">
      <c r="B212" s="267"/>
      <c r="C212" s="267"/>
      <c r="D212" s="267"/>
      <c r="E212" s="267"/>
      <c r="F212" s="267"/>
    </row>
    <row r="213" spans="2:6" s="266" customFormat="1" hidden="1">
      <c r="B213" s="267"/>
      <c r="C213" s="267"/>
      <c r="D213" s="267"/>
      <c r="E213" s="267"/>
      <c r="F213" s="267"/>
    </row>
    <row r="214" spans="2:6" s="266" customFormat="1" hidden="1">
      <c r="B214" s="267"/>
      <c r="C214" s="267"/>
      <c r="D214" s="267"/>
      <c r="E214" s="267"/>
      <c r="F214" s="267"/>
    </row>
    <row r="215" spans="2:6" s="266" customFormat="1" hidden="1">
      <c r="B215" s="267"/>
      <c r="C215" s="267"/>
      <c r="D215" s="267"/>
      <c r="E215" s="267"/>
      <c r="F215" s="267"/>
    </row>
    <row r="216" spans="2:6" s="266" customFormat="1" hidden="1">
      <c r="B216" s="267"/>
      <c r="C216" s="267"/>
      <c r="D216" s="267"/>
      <c r="E216" s="267"/>
      <c r="F216" s="267"/>
    </row>
    <row r="217" spans="2:6" s="266" customFormat="1" hidden="1">
      <c r="B217" s="267"/>
      <c r="C217" s="267"/>
      <c r="D217" s="267"/>
      <c r="E217" s="267"/>
      <c r="F217" s="267"/>
    </row>
    <row r="218" spans="2:6" s="266" customFormat="1" hidden="1">
      <c r="B218" s="267"/>
      <c r="C218" s="267"/>
      <c r="D218" s="267"/>
      <c r="E218" s="267"/>
      <c r="F218" s="267"/>
    </row>
    <row r="219" spans="2:6" s="266" customFormat="1" hidden="1">
      <c r="B219" s="267"/>
      <c r="C219" s="267"/>
      <c r="D219" s="267"/>
      <c r="E219" s="267"/>
      <c r="F219" s="267"/>
    </row>
    <row r="220" spans="2:6" s="266" customFormat="1" hidden="1">
      <c r="B220" s="267"/>
      <c r="C220" s="267"/>
      <c r="D220" s="267"/>
      <c r="E220" s="267"/>
      <c r="F220" s="267"/>
    </row>
    <row r="221" spans="2:6" s="266" customFormat="1" hidden="1">
      <c r="B221" s="267"/>
      <c r="C221" s="267"/>
      <c r="D221" s="267"/>
      <c r="E221" s="267"/>
      <c r="F221" s="267"/>
    </row>
    <row r="222" spans="2:6" s="266" customFormat="1" hidden="1">
      <c r="B222" s="267"/>
      <c r="C222" s="267"/>
      <c r="D222" s="267"/>
      <c r="E222" s="267"/>
      <c r="F222" s="267"/>
    </row>
    <row r="223" spans="2:6" s="266" customFormat="1" hidden="1">
      <c r="B223" s="267"/>
      <c r="C223" s="267"/>
      <c r="D223" s="267"/>
      <c r="E223" s="267"/>
      <c r="F223" s="267"/>
    </row>
    <row r="224" spans="2:6" s="266" customFormat="1" hidden="1">
      <c r="B224" s="267"/>
      <c r="C224" s="267"/>
      <c r="D224" s="267"/>
      <c r="E224" s="267"/>
      <c r="F224" s="267"/>
    </row>
    <row r="225" spans="2:6" s="266" customFormat="1" hidden="1">
      <c r="B225" s="267"/>
      <c r="C225" s="267"/>
      <c r="D225" s="267"/>
      <c r="E225" s="267"/>
      <c r="F225" s="267"/>
    </row>
    <row r="226" spans="2:6" s="266" customFormat="1" hidden="1">
      <c r="B226" s="267"/>
      <c r="C226" s="267"/>
      <c r="D226" s="267"/>
      <c r="E226" s="267"/>
      <c r="F226" s="267"/>
    </row>
    <row r="227" spans="2:6" s="266" customFormat="1" hidden="1">
      <c r="B227" s="267"/>
      <c r="C227" s="267"/>
      <c r="D227" s="267"/>
      <c r="E227" s="267"/>
      <c r="F227" s="267"/>
    </row>
    <row r="228" spans="2:6" s="266" customFormat="1" hidden="1">
      <c r="B228" s="267"/>
      <c r="C228" s="267"/>
      <c r="D228" s="267"/>
      <c r="E228" s="267"/>
      <c r="F228" s="267"/>
    </row>
    <row r="229" spans="2:6" s="266" customFormat="1" hidden="1">
      <c r="B229" s="267"/>
      <c r="C229" s="267"/>
      <c r="D229" s="267"/>
      <c r="E229" s="267"/>
      <c r="F229" s="267"/>
    </row>
    <row r="230" spans="2:6" s="266" customFormat="1" hidden="1">
      <c r="B230" s="267"/>
      <c r="C230" s="267"/>
      <c r="D230" s="267"/>
      <c r="E230" s="267"/>
      <c r="F230" s="267"/>
    </row>
    <row r="231" spans="2:6" s="266" customFormat="1" hidden="1">
      <c r="B231" s="267"/>
      <c r="C231" s="267"/>
      <c r="D231" s="267"/>
      <c r="E231" s="267"/>
      <c r="F231" s="267"/>
    </row>
    <row r="232" spans="2:6" s="266" customFormat="1" hidden="1">
      <c r="B232" s="267"/>
      <c r="C232" s="267"/>
      <c r="D232" s="267"/>
      <c r="E232" s="267"/>
      <c r="F232" s="267"/>
    </row>
    <row r="233" spans="2:6" s="266" customFormat="1" hidden="1">
      <c r="B233" s="267"/>
      <c r="C233" s="267"/>
      <c r="D233" s="267"/>
      <c r="E233" s="267"/>
      <c r="F233" s="267"/>
    </row>
    <row r="234" spans="2:6" s="266" customFormat="1" hidden="1">
      <c r="B234" s="267"/>
      <c r="C234" s="267"/>
      <c r="D234" s="267"/>
      <c r="E234" s="267"/>
      <c r="F234" s="267"/>
    </row>
    <row r="235" spans="2:6" s="266" customFormat="1" hidden="1">
      <c r="B235" s="267"/>
      <c r="C235" s="267"/>
      <c r="D235" s="267"/>
      <c r="E235" s="267"/>
      <c r="F235" s="267"/>
    </row>
    <row r="236" spans="2:6" s="266" customFormat="1" hidden="1">
      <c r="B236" s="267"/>
      <c r="C236" s="267"/>
      <c r="D236" s="267"/>
      <c r="E236" s="267"/>
      <c r="F236" s="267"/>
    </row>
    <row r="237" spans="2:6" s="266" customFormat="1" hidden="1">
      <c r="B237" s="267"/>
      <c r="C237" s="267"/>
      <c r="D237" s="267"/>
      <c r="E237" s="267"/>
      <c r="F237" s="267"/>
    </row>
    <row r="238" spans="2:6" s="266" customFormat="1" hidden="1">
      <c r="B238" s="267"/>
      <c r="C238" s="267"/>
      <c r="D238" s="267"/>
      <c r="E238" s="267"/>
      <c r="F238" s="267"/>
    </row>
    <row r="239" spans="2:6" s="266" customFormat="1" hidden="1">
      <c r="B239" s="267"/>
      <c r="C239" s="267"/>
      <c r="D239" s="267"/>
      <c r="E239" s="267"/>
      <c r="F239" s="267"/>
    </row>
    <row r="240" spans="2:6" s="266" customFormat="1" hidden="1">
      <c r="B240" s="267"/>
      <c r="C240" s="267"/>
      <c r="D240" s="267"/>
      <c r="E240" s="267"/>
      <c r="F240" s="267"/>
    </row>
    <row r="241" spans="2:6" s="266" customFormat="1" hidden="1">
      <c r="B241" s="267"/>
      <c r="C241" s="267"/>
      <c r="D241" s="267"/>
      <c r="E241" s="267"/>
      <c r="F241" s="267"/>
    </row>
    <row r="242" spans="2:6" s="266" customFormat="1" hidden="1">
      <c r="B242" s="267"/>
      <c r="C242" s="267"/>
      <c r="D242" s="267"/>
      <c r="E242" s="267"/>
      <c r="F242" s="267"/>
    </row>
    <row r="243" spans="2:6" s="266" customFormat="1" hidden="1">
      <c r="B243" s="267"/>
      <c r="C243" s="267"/>
      <c r="D243" s="267"/>
      <c r="E243" s="267"/>
      <c r="F243" s="267"/>
    </row>
    <row r="244" spans="2:6" s="266" customFormat="1" hidden="1">
      <c r="B244" s="267"/>
      <c r="C244" s="267"/>
      <c r="D244" s="267"/>
      <c r="E244" s="267"/>
      <c r="F244" s="267"/>
    </row>
    <row r="245" spans="2:6" s="266" customFormat="1" hidden="1">
      <c r="B245" s="267"/>
      <c r="C245" s="267"/>
      <c r="D245" s="267"/>
      <c r="E245" s="267"/>
      <c r="F245" s="267"/>
    </row>
    <row r="246" spans="2:6" s="266" customFormat="1" hidden="1">
      <c r="B246" s="267"/>
      <c r="C246" s="267"/>
      <c r="D246" s="267"/>
      <c r="E246" s="267"/>
      <c r="F246" s="267"/>
    </row>
    <row r="247" spans="2:6" s="266" customFormat="1" hidden="1">
      <c r="B247" s="267"/>
      <c r="C247" s="267"/>
      <c r="D247" s="267"/>
      <c r="E247" s="267"/>
      <c r="F247" s="267"/>
    </row>
    <row r="248" spans="2:6" s="266" customFormat="1" hidden="1">
      <c r="B248" s="267"/>
      <c r="C248" s="267"/>
      <c r="D248" s="267"/>
      <c r="E248" s="267"/>
      <c r="F248" s="267"/>
    </row>
    <row r="249" spans="2:6" s="266" customFormat="1" hidden="1">
      <c r="B249" s="267"/>
      <c r="C249" s="267"/>
      <c r="D249" s="267"/>
      <c r="E249" s="267"/>
      <c r="F249" s="267"/>
    </row>
    <row r="250" spans="2:6" s="266" customFormat="1" hidden="1">
      <c r="B250" s="267"/>
      <c r="C250" s="267"/>
      <c r="D250" s="267"/>
      <c r="E250" s="267"/>
      <c r="F250" s="267"/>
    </row>
    <row r="251" spans="2:6" s="266" customFormat="1" hidden="1">
      <c r="B251" s="267"/>
      <c r="C251" s="267"/>
      <c r="D251" s="267"/>
      <c r="E251" s="267"/>
      <c r="F251" s="267"/>
    </row>
    <row r="252" spans="2:6" s="266" customFormat="1" hidden="1">
      <c r="B252" s="267"/>
      <c r="C252" s="267"/>
      <c r="D252" s="267"/>
      <c r="E252" s="267"/>
      <c r="F252" s="267"/>
    </row>
    <row r="253" spans="2:6" s="266" customFormat="1" hidden="1">
      <c r="B253" s="267"/>
      <c r="C253" s="267"/>
      <c r="D253" s="267"/>
      <c r="E253" s="267"/>
      <c r="F253" s="267"/>
    </row>
    <row r="254" spans="2:6" s="266" customFormat="1" hidden="1">
      <c r="B254" s="267"/>
      <c r="C254" s="267"/>
      <c r="D254" s="267"/>
      <c r="E254" s="267"/>
      <c r="F254" s="267"/>
    </row>
    <row r="255" spans="2:6" s="266" customFormat="1" hidden="1">
      <c r="B255" s="267"/>
      <c r="C255" s="267"/>
      <c r="D255" s="267"/>
      <c r="E255" s="267"/>
      <c r="F255" s="267"/>
    </row>
    <row r="256" spans="2:6" s="266" customFormat="1" hidden="1">
      <c r="B256" s="267"/>
      <c r="C256" s="267"/>
      <c r="D256" s="267"/>
      <c r="E256" s="267"/>
      <c r="F256" s="267"/>
    </row>
    <row r="257" spans="2:6" s="266" customFormat="1" hidden="1">
      <c r="B257" s="267"/>
      <c r="C257" s="267"/>
      <c r="D257" s="267"/>
      <c r="E257" s="267"/>
      <c r="F257" s="267"/>
    </row>
    <row r="258" spans="2:6" s="266" customFormat="1" hidden="1">
      <c r="B258" s="267"/>
      <c r="C258" s="267"/>
      <c r="D258" s="267"/>
      <c r="E258" s="267"/>
      <c r="F258" s="267"/>
    </row>
    <row r="259" spans="2:6" s="266" customFormat="1" hidden="1">
      <c r="B259" s="267"/>
      <c r="C259" s="267"/>
      <c r="D259" s="267"/>
      <c r="E259" s="267"/>
      <c r="F259" s="267"/>
    </row>
    <row r="260" spans="2:6" s="266" customFormat="1" hidden="1">
      <c r="B260" s="267"/>
      <c r="C260" s="267"/>
      <c r="D260" s="267"/>
      <c r="E260" s="267"/>
      <c r="F260" s="267"/>
    </row>
    <row r="261" spans="2:6" s="266" customFormat="1" hidden="1">
      <c r="B261" s="267"/>
      <c r="C261" s="267"/>
      <c r="D261" s="267"/>
      <c r="E261" s="267"/>
      <c r="F261" s="267"/>
    </row>
    <row r="262" spans="2:6" s="266" customFormat="1" hidden="1">
      <c r="B262" s="267"/>
      <c r="C262" s="267"/>
      <c r="D262" s="267"/>
      <c r="E262" s="267"/>
      <c r="F262" s="267"/>
    </row>
    <row r="263" spans="2:6" s="266" customFormat="1" hidden="1">
      <c r="B263" s="267"/>
      <c r="C263" s="267"/>
      <c r="D263" s="267"/>
      <c r="E263" s="267"/>
      <c r="F263" s="267"/>
    </row>
    <row r="264" spans="2:6" s="266" customFormat="1" hidden="1">
      <c r="B264" s="267"/>
      <c r="C264" s="267"/>
      <c r="D264" s="267"/>
      <c r="E264" s="267"/>
      <c r="F264" s="267"/>
    </row>
    <row r="265" spans="2:6" s="266" customFormat="1" hidden="1">
      <c r="B265" s="267"/>
      <c r="C265" s="267"/>
      <c r="D265" s="267"/>
      <c r="E265" s="267"/>
      <c r="F265" s="267"/>
    </row>
    <row r="266" spans="2:6" s="266" customFormat="1" hidden="1">
      <c r="B266" s="267"/>
      <c r="C266" s="267"/>
      <c r="D266" s="267"/>
      <c r="E266" s="267"/>
      <c r="F266" s="267"/>
    </row>
    <row r="267" spans="2:6" s="266" customFormat="1" hidden="1">
      <c r="B267" s="267"/>
      <c r="C267" s="267"/>
      <c r="D267" s="267"/>
      <c r="E267" s="267"/>
      <c r="F267" s="267"/>
    </row>
    <row r="268" spans="2:6" s="266" customFormat="1" hidden="1">
      <c r="B268" s="267"/>
      <c r="C268" s="267"/>
      <c r="D268" s="267"/>
      <c r="E268" s="267"/>
      <c r="F268" s="267"/>
    </row>
    <row r="269" spans="2:6" s="266" customFormat="1" hidden="1">
      <c r="B269" s="267"/>
      <c r="C269" s="267"/>
      <c r="D269" s="267"/>
      <c r="E269" s="267"/>
      <c r="F269" s="267"/>
    </row>
    <row r="270" spans="2:6" s="266" customFormat="1" hidden="1">
      <c r="B270" s="267"/>
      <c r="C270" s="267"/>
      <c r="D270" s="267"/>
      <c r="E270" s="267"/>
      <c r="F270" s="267"/>
    </row>
    <row r="271" spans="2:6" s="266" customFormat="1" hidden="1">
      <c r="B271" s="267"/>
      <c r="C271" s="267"/>
      <c r="D271" s="267"/>
      <c r="E271" s="267"/>
      <c r="F271" s="267"/>
    </row>
    <row r="272" spans="2:6" s="266" customFormat="1" hidden="1">
      <c r="B272" s="267"/>
      <c r="C272" s="267"/>
      <c r="D272" s="267"/>
      <c r="E272" s="267"/>
      <c r="F272" s="267"/>
    </row>
    <row r="273" spans="2:6" s="266" customFormat="1" hidden="1">
      <c r="B273" s="267"/>
      <c r="C273" s="267"/>
      <c r="D273" s="267"/>
      <c r="E273" s="267"/>
      <c r="F273" s="267"/>
    </row>
    <row r="274" spans="2:6" s="266" customFormat="1" hidden="1">
      <c r="B274" s="267"/>
      <c r="C274" s="267"/>
      <c r="D274" s="267"/>
      <c r="E274" s="267"/>
      <c r="F274" s="267"/>
    </row>
    <row r="275" spans="2:6" s="266" customFormat="1" hidden="1">
      <c r="B275" s="267"/>
      <c r="C275" s="267"/>
      <c r="D275" s="267"/>
      <c r="E275" s="267"/>
      <c r="F275" s="267"/>
    </row>
    <row r="276" spans="2:6" s="266" customFormat="1" hidden="1">
      <c r="B276" s="267"/>
      <c r="C276" s="267"/>
      <c r="D276" s="267"/>
      <c r="E276" s="267"/>
      <c r="F276" s="267"/>
    </row>
    <row r="277" spans="2:6" s="266" customFormat="1" hidden="1">
      <c r="B277" s="267"/>
      <c r="C277" s="267"/>
      <c r="D277" s="267"/>
      <c r="E277" s="267"/>
      <c r="F277" s="267"/>
    </row>
    <row r="278" spans="2:6" s="266" customFormat="1" hidden="1">
      <c r="B278" s="267"/>
      <c r="C278" s="267"/>
      <c r="D278" s="267"/>
      <c r="E278" s="267"/>
      <c r="F278" s="267"/>
    </row>
    <row r="279" spans="2:6" s="266" customFormat="1" hidden="1">
      <c r="B279" s="267"/>
      <c r="C279" s="267"/>
      <c r="D279" s="267"/>
      <c r="E279" s="267"/>
      <c r="F279" s="267"/>
    </row>
    <row r="280" spans="2:6" s="266" customFormat="1" hidden="1">
      <c r="B280" s="267"/>
      <c r="C280" s="267"/>
      <c r="D280" s="267"/>
      <c r="E280" s="267"/>
      <c r="F280" s="267"/>
    </row>
    <row r="281" spans="2:6" s="266" customFormat="1" hidden="1">
      <c r="B281" s="267"/>
      <c r="C281" s="267"/>
      <c r="D281" s="267"/>
      <c r="E281" s="267"/>
      <c r="F281" s="267"/>
    </row>
    <row r="282" spans="2:6" s="266" customFormat="1" hidden="1">
      <c r="B282" s="267"/>
      <c r="C282" s="267"/>
      <c r="D282" s="267"/>
      <c r="E282" s="267"/>
      <c r="F282" s="267"/>
    </row>
    <row r="283" spans="2:6" s="266" customFormat="1" hidden="1">
      <c r="B283" s="267"/>
      <c r="C283" s="267"/>
      <c r="D283" s="267"/>
      <c r="E283" s="267"/>
      <c r="F283" s="267"/>
    </row>
    <row r="284" spans="2:6" s="266" customFormat="1" hidden="1">
      <c r="B284" s="267"/>
      <c r="C284" s="267"/>
      <c r="D284" s="267"/>
      <c r="E284" s="267"/>
      <c r="F284" s="267"/>
    </row>
    <row r="285" spans="2:6" s="266" customFormat="1" hidden="1">
      <c r="B285" s="267"/>
      <c r="C285" s="267"/>
      <c r="D285" s="267"/>
      <c r="E285" s="267"/>
      <c r="F285" s="267"/>
    </row>
    <row r="286" spans="2:6" s="266" customFormat="1" hidden="1">
      <c r="B286" s="267"/>
      <c r="C286" s="267"/>
      <c r="D286" s="267"/>
      <c r="E286" s="267"/>
      <c r="F286" s="267"/>
    </row>
    <row r="287" spans="2:6" s="266" customFormat="1" hidden="1">
      <c r="B287" s="267"/>
      <c r="C287" s="267"/>
      <c r="D287" s="267"/>
      <c r="E287" s="267"/>
      <c r="F287" s="267"/>
    </row>
    <row r="288" spans="2:6" s="266" customFormat="1" hidden="1">
      <c r="B288" s="267"/>
      <c r="C288" s="267"/>
      <c r="D288" s="267"/>
      <c r="E288" s="267"/>
      <c r="F288" s="267"/>
    </row>
    <row r="289" spans="2:6" s="266" customFormat="1" hidden="1">
      <c r="B289" s="267"/>
      <c r="C289" s="267"/>
      <c r="D289" s="267"/>
      <c r="E289" s="267"/>
      <c r="F289" s="267"/>
    </row>
    <row r="290" spans="2:6" s="266" customFormat="1" hidden="1">
      <c r="B290" s="267"/>
      <c r="C290" s="267"/>
      <c r="D290" s="267"/>
      <c r="E290" s="267"/>
      <c r="F290" s="267"/>
    </row>
    <row r="291" spans="2:6" s="266" customFormat="1" hidden="1">
      <c r="B291" s="267"/>
      <c r="C291" s="267"/>
      <c r="D291" s="267"/>
      <c r="E291" s="267"/>
      <c r="F291" s="267"/>
    </row>
    <row r="292" spans="2:6" s="266" customFormat="1" hidden="1">
      <c r="B292" s="267"/>
      <c r="C292" s="267"/>
      <c r="D292" s="267"/>
      <c r="E292" s="267"/>
      <c r="F292" s="267"/>
    </row>
    <row r="293" spans="2:6" s="266" customFormat="1" hidden="1">
      <c r="B293" s="267"/>
      <c r="C293" s="267"/>
      <c r="D293" s="267"/>
      <c r="E293" s="267"/>
      <c r="F293" s="267"/>
    </row>
    <row r="294" spans="2:6" s="266" customFormat="1" hidden="1">
      <c r="B294" s="267"/>
      <c r="C294" s="267"/>
      <c r="D294" s="267"/>
      <c r="E294" s="267"/>
      <c r="F294" s="267"/>
    </row>
    <row r="295" spans="2:6" s="266" customFormat="1" hidden="1">
      <c r="B295" s="267"/>
      <c r="C295" s="267"/>
      <c r="D295" s="267"/>
      <c r="E295" s="267"/>
      <c r="F295" s="267"/>
    </row>
    <row r="296" spans="2:6" s="266" customFormat="1" hidden="1">
      <c r="B296" s="267"/>
      <c r="C296" s="267"/>
      <c r="D296" s="267"/>
      <c r="E296" s="267"/>
      <c r="F296" s="267"/>
    </row>
    <row r="297" spans="2:6" s="266" customFormat="1" hidden="1">
      <c r="B297" s="267"/>
      <c r="C297" s="267"/>
      <c r="D297" s="267"/>
      <c r="E297" s="267"/>
      <c r="F297" s="267"/>
    </row>
    <row r="298" spans="2:6" s="266" customFormat="1" hidden="1">
      <c r="B298" s="267"/>
      <c r="C298" s="267"/>
      <c r="D298" s="267"/>
      <c r="E298" s="267"/>
      <c r="F298" s="267"/>
    </row>
    <row r="299" spans="2:6" s="266" customFormat="1" hidden="1">
      <c r="B299" s="267"/>
      <c r="C299" s="267"/>
      <c r="D299" s="267"/>
      <c r="E299" s="267"/>
      <c r="F299" s="267"/>
    </row>
    <row r="300" spans="2:6" s="266" customFormat="1" hidden="1">
      <c r="B300" s="267"/>
      <c r="C300" s="267"/>
      <c r="D300" s="267"/>
      <c r="E300" s="267"/>
      <c r="F300" s="267"/>
    </row>
    <row r="301" spans="2:6" s="266" customFormat="1" hidden="1">
      <c r="B301" s="267"/>
      <c r="C301" s="267"/>
      <c r="D301" s="267"/>
      <c r="E301" s="267"/>
      <c r="F301" s="267"/>
    </row>
    <row r="302" spans="2:6" s="266" customFormat="1" hidden="1">
      <c r="B302" s="267"/>
      <c r="C302" s="267"/>
      <c r="D302" s="267"/>
      <c r="E302" s="267"/>
      <c r="F302" s="267"/>
    </row>
    <row r="303" spans="2:6" s="266" customFormat="1" hidden="1">
      <c r="B303" s="267"/>
      <c r="C303" s="267"/>
      <c r="D303" s="267"/>
      <c r="E303" s="267"/>
      <c r="F303" s="267"/>
    </row>
    <row r="304" spans="2:6" s="266" customFormat="1" hidden="1">
      <c r="B304" s="267"/>
      <c r="C304" s="267"/>
      <c r="D304" s="267"/>
      <c r="E304" s="267"/>
      <c r="F304" s="267"/>
    </row>
    <row r="305" spans="2:6" s="266" customFormat="1" hidden="1">
      <c r="B305" s="267"/>
      <c r="C305" s="267"/>
      <c r="D305" s="267"/>
      <c r="E305" s="267"/>
      <c r="F305" s="267"/>
    </row>
    <row r="306" spans="2:6" s="266" customFormat="1" hidden="1">
      <c r="B306" s="267"/>
      <c r="C306" s="267"/>
      <c r="D306" s="267"/>
      <c r="E306" s="267"/>
      <c r="F306" s="267"/>
    </row>
    <row r="307" spans="2:6" s="266" customFormat="1" hidden="1">
      <c r="B307" s="267"/>
      <c r="C307" s="267"/>
      <c r="D307" s="267"/>
      <c r="E307" s="267"/>
      <c r="F307" s="267"/>
    </row>
    <row r="308" spans="2:6" s="266" customFormat="1" hidden="1">
      <c r="B308" s="267"/>
      <c r="C308" s="267"/>
      <c r="D308" s="267"/>
      <c r="E308" s="267"/>
      <c r="F308" s="267"/>
    </row>
    <row r="309" spans="2:6" s="266" customFormat="1" hidden="1">
      <c r="B309" s="267"/>
      <c r="C309" s="267"/>
      <c r="D309" s="267"/>
      <c r="E309" s="267"/>
      <c r="F309" s="267"/>
    </row>
    <row r="310" spans="2:6" s="266" customFormat="1" hidden="1">
      <c r="B310" s="267"/>
      <c r="C310" s="267"/>
      <c r="D310" s="267"/>
      <c r="E310" s="267"/>
      <c r="F310" s="267"/>
    </row>
    <row r="311" spans="2:6" s="266" customFormat="1" hidden="1">
      <c r="B311" s="267"/>
      <c r="C311" s="267"/>
      <c r="D311" s="267"/>
      <c r="E311" s="267"/>
      <c r="F311" s="267"/>
    </row>
    <row r="312" spans="2:6" s="266" customFormat="1" hidden="1">
      <c r="B312" s="267"/>
      <c r="C312" s="267"/>
      <c r="D312" s="267"/>
      <c r="E312" s="267"/>
      <c r="F312" s="267"/>
    </row>
    <row r="313" spans="2:6" s="266" customFormat="1" hidden="1">
      <c r="B313" s="267"/>
      <c r="C313" s="267"/>
      <c r="D313" s="267"/>
      <c r="E313" s="267"/>
      <c r="F313" s="267"/>
    </row>
    <row r="314" spans="2:6" s="266" customFormat="1" hidden="1">
      <c r="B314" s="267"/>
      <c r="C314" s="267"/>
      <c r="D314" s="267"/>
      <c r="E314" s="267"/>
      <c r="F314" s="267"/>
    </row>
    <row r="315" spans="2:6" s="266" customFormat="1" hidden="1">
      <c r="B315" s="267"/>
      <c r="C315" s="267"/>
      <c r="D315" s="267"/>
      <c r="E315" s="267"/>
      <c r="F315" s="267"/>
    </row>
    <row r="316" spans="2:6" s="266" customFormat="1" hidden="1">
      <c r="B316" s="267"/>
      <c r="C316" s="267"/>
      <c r="D316" s="267"/>
      <c r="E316" s="267"/>
      <c r="F316" s="267"/>
    </row>
    <row r="317" spans="2:6" s="266" customFormat="1" hidden="1">
      <c r="B317" s="267"/>
      <c r="C317" s="267"/>
      <c r="D317" s="267"/>
      <c r="E317" s="267"/>
      <c r="F317" s="267"/>
    </row>
    <row r="318" spans="2:6" s="266" customFormat="1" hidden="1">
      <c r="B318" s="267"/>
      <c r="C318" s="267"/>
      <c r="D318" s="267"/>
      <c r="E318" s="267"/>
      <c r="F318" s="267"/>
    </row>
    <row r="319" spans="2:6" s="266" customFormat="1" hidden="1">
      <c r="B319" s="267"/>
      <c r="C319" s="267"/>
      <c r="D319" s="267"/>
      <c r="E319" s="267"/>
      <c r="F319" s="267"/>
    </row>
    <row r="320" spans="2:6" s="266" customFormat="1" hidden="1">
      <c r="B320" s="267"/>
      <c r="C320" s="267"/>
      <c r="D320" s="267"/>
      <c r="E320" s="267"/>
      <c r="F320" s="267"/>
    </row>
    <row r="321" spans="2:6" s="266" customFormat="1" hidden="1">
      <c r="B321" s="267"/>
      <c r="C321" s="267"/>
      <c r="D321" s="267"/>
      <c r="E321" s="267"/>
      <c r="F321" s="267"/>
    </row>
    <row r="322" spans="2:6" s="266" customFormat="1" hidden="1">
      <c r="B322" s="267"/>
      <c r="C322" s="267"/>
      <c r="D322" s="267"/>
      <c r="E322" s="267"/>
      <c r="F322" s="267"/>
    </row>
    <row r="323" spans="2:6" s="266" customFormat="1" hidden="1">
      <c r="B323" s="267"/>
      <c r="C323" s="267"/>
      <c r="D323" s="267"/>
      <c r="E323" s="267"/>
      <c r="F323" s="267"/>
    </row>
    <row r="324" spans="2:6" s="266" customFormat="1" hidden="1">
      <c r="B324" s="267"/>
      <c r="C324" s="267"/>
      <c r="D324" s="267"/>
      <c r="E324" s="267"/>
      <c r="F324" s="267"/>
    </row>
    <row r="325" spans="2:6" s="266" customFormat="1" hidden="1">
      <c r="B325" s="267"/>
      <c r="C325" s="267"/>
      <c r="D325" s="267"/>
      <c r="E325" s="267"/>
      <c r="F325" s="267"/>
    </row>
    <row r="326" spans="2:6" s="266" customFormat="1" hidden="1">
      <c r="B326" s="267"/>
      <c r="C326" s="267"/>
      <c r="D326" s="267"/>
      <c r="E326" s="267"/>
      <c r="F326" s="267"/>
    </row>
    <row r="327" spans="2:6" s="266" customFormat="1" hidden="1">
      <c r="B327" s="267"/>
      <c r="C327" s="267"/>
      <c r="D327" s="267"/>
      <c r="E327" s="267"/>
      <c r="F327" s="267"/>
    </row>
    <row r="328" spans="2:6" s="266" customFormat="1" hidden="1">
      <c r="B328" s="267"/>
      <c r="C328" s="267"/>
      <c r="D328" s="267"/>
      <c r="E328" s="267"/>
      <c r="F328" s="267"/>
    </row>
    <row r="329" spans="2:6" s="266" customFormat="1" hidden="1">
      <c r="B329" s="267"/>
      <c r="C329" s="267"/>
      <c r="D329" s="267"/>
      <c r="E329" s="267"/>
      <c r="F329" s="267"/>
    </row>
    <row r="330" spans="2:6" s="266" customFormat="1" hidden="1">
      <c r="B330" s="267"/>
      <c r="C330" s="267"/>
      <c r="D330" s="267"/>
      <c r="E330" s="267"/>
      <c r="F330" s="267"/>
    </row>
    <row r="331" spans="2:6" s="266" customFormat="1" hidden="1">
      <c r="B331" s="267"/>
      <c r="C331" s="267"/>
      <c r="D331" s="267"/>
      <c r="E331" s="267"/>
      <c r="F331" s="267"/>
    </row>
    <row r="332" spans="2:6" s="266" customFormat="1" hidden="1">
      <c r="B332" s="267"/>
      <c r="C332" s="267"/>
      <c r="D332" s="267"/>
      <c r="E332" s="267"/>
      <c r="F332" s="267"/>
    </row>
    <row r="333" spans="2:6" s="266" customFormat="1" hidden="1">
      <c r="B333" s="267"/>
      <c r="C333" s="267"/>
      <c r="D333" s="267"/>
      <c r="E333" s="267"/>
      <c r="F333" s="267"/>
    </row>
    <row r="334" spans="2:6" s="266" customFormat="1" hidden="1">
      <c r="B334" s="267"/>
      <c r="C334" s="267"/>
      <c r="D334" s="267"/>
      <c r="E334" s="267"/>
      <c r="F334" s="267"/>
    </row>
    <row r="335" spans="2:6" s="266" customFormat="1" hidden="1">
      <c r="B335" s="267"/>
      <c r="C335" s="267"/>
      <c r="D335" s="267"/>
      <c r="E335" s="267"/>
      <c r="F335" s="267"/>
    </row>
    <row r="336" spans="2:6" s="266" customFormat="1" hidden="1">
      <c r="B336" s="267"/>
      <c r="C336" s="267"/>
      <c r="D336" s="267"/>
      <c r="E336" s="267"/>
      <c r="F336" s="267"/>
    </row>
    <row r="337" spans="2:6" s="266" customFormat="1" hidden="1">
      <c r="B337" s="267"/>
      <c r="C337" s="267"/>
      <c r="D337" s="267"/>
      <c r="E337" s="267"/>
      <c r="F337" s="267"/>
    </row>
    <row r="338" spans="2:6" s="266" customFormat="1" hidden="1">
      <c r="B338" s="267"/>
      <c r="C338" s="267"/>
      <c r="D338" s="267"/>
      <c r="E338" s="267"/>
      <c r="F338" s="267"/>
    </row>
    <row r="339" spans="2:6" s="266" customFormat="1" hidden="1">
      <c r="B339" s="267"/>
      <c r="C339" s="267"/>
      <c r="D339" s="267"/>
      <c r="E339" s="267"/>
      <c r="F339" s="267"/>
    </row>
    <row r="340" spans="2:6" s="266" customFormat="1" hidden="1">
      <c r="B340" s="267"/>
      <c r="C340" s="267"/>
      <c r="D340" s="267"/>
      <c r="E340" s="267"/>
      <c r="F340" s="267"/>
    </row>
    <row r="341" spans="2:6" s="266" customFormat="1" hidden="1">
      <c r="B341" s="267"/>
      <c r="C341" s="267"/>
      <c r="D341" s="267"/>
      <c r="E341" s="267"/>
      <c r="F341" s="267"/>
    </row>
    <row r="342" spans="2:6" s="266" customFormat="1" hidden="1">
      <c r="B342" s="267"/>
      <c r="C342" s="267"/>
      <c r="D342" s="267"/>
      <c r="E342" s="267"/>
      <c r="F342" s="267"/>
    </row>
    <row r="343" spans="2:6" s="266" customFormat="1" hidden="1">
      <c r="B343" s="267"/>
      <c r="C343" s="267"/>
      <c r="D343" s="267"/>
      <c r="E343" s="267"/>
      <c r="F343" s="267"/>
    </row>
    <row r="344" spans="2:6" s="266" customFormat="1" hidden="1">
      <c r="B344" s="267"/>
      <c r="C344" s="267"/>
      <c r="D344" s="267"/>
      <c r="E344" s="267"/>
      <c r="F344" s="267"/>
    </row>
    <row r="345" spans="2:6" s="266" customFormat="1" hidden="1">
      <c r="B345" s="267"/>
      <c r="C345" s="267"/>
      <c r="D345" s="267"/>
      <c r="E345" s="267"/>
      <c r="F345" s="267"/>
    </row>
    <row r="346" spans="2:6" s="266" customFormat="1" hidden="1">
      <c r="B346" s="267"/>
      <c r="C346" s="267"/>
      <c r="D346" s="267"/>
      <c r="E346" s="267"/>
      <c r="F346" s="267"/>
    </row>
    <row r="347" spans="2:6" s="266" customFormat="1" hidden="1">
      <c r="B347" s="267"/>
      <c r="C347" s="267"/>
      <c r="D347" s="267"/>
      <c r="E347" s="267"/>
      <c r="F347" s="267"/>
    </row>
    <row r="348" spans="2:6" s="266" customFormat="1" hidden="1">
      <c r="B348" s="267"/>
      <c r="C348" s="267"/>
      <c r="D348" s="267"/>
      <c r="E348" s="267"/>
      <c r="F348" s="267"/>
    </row>
    <row r="349" spans="2:6" s="266" customFormat="1" hidden="1">
      <c r="B349" s="267"/>
      <c r="C349" s="267"/>
      <c r="D349" s="267"/>
      <c r="E349" s="267"/>
      <c r="F349" s="267"/>
    </row>
    <row r="350" spans="2:6" s="266" customFormat="1" hidden="1">
      <c r="B350" s="267"/>
      <c r="C350" s="267"/>
      <c r="D350" s="267"/>
      <c r="E350" s="267"/>
      <c r="F350" s="267"/>
    </row>
    <row r="351" spans="2:6" s="266" customFormat="1" hidden="1">
      <c r="B351" s="267"/>
      <c r="C351" s="267"/>
      <c r="D351" s="267"/>
      <c r="E351" s="267"/>
      <c r="F351" s="267"/>
    </row>
    <row r="352" spans="2:6" s="266" customFormat="1" hidden="1">
      <c r="B352" s="267"/>
      <c r="C352" s="267"/>
      <c r="D352" s="267"/>
      <c r="E352" s="267"/>
      <c r="F352" s="267"/>
    </row>
    <row r="353" spans="2:6" s="266" customFormat="1" hidden="1">
      <c r="B353" s="267"/>
      <c r="C353" s="267"/>
      <c r="D353" s="267"/>
      <c r="E353" s="267"/>
      <c r="F353" s="267"/>
    </row>
    <row r="354" spans="2:6" s="266" customFormat="1" hidden="1">
      <c r="B354" s="267"/>
      <c r="C354" s="267"/>
      <c r="D354" s="267"/>
      <c r="E354" s="267"/>
      <c r="F354" s="267"/>
    </row>
    <row r="355" spans="2:6" s="266" customFormat="1" hidden="1">
      <c r="B355" s="267"/>
      <c r="C355" s="267"/>
      <c r="D355" s="267"/>
      <c r="E355" s="267"/>
      <c r="F355" s="267"/>
    </row>
    <row r="356" spans="2:6" s="266" customFormat="1" hidden="1">
      <c r="B356" s="267"/>
      <c r="C356" s="267"/>
      <c r="D356" s="267"/>
      <c r="E356" s="267"/>
      <c r="F356" s="267"/>
    </row>
    <row r="357" spans="2:6" s="266" customFormat="1" hidden="1">
      <c r="B357" s="267"/>
      <c r="C357" s="267"/>
      <c r="D357" s="267"/>
      <c r="E357" s="267"/>
      <c r="F357" s="267"/>
    </row>
    <row r="358" spans="2:6" s="266" customFormat="1" hidden="1">
      <c r="B358" s="267"/>
      <c r="C358" s="267"/>
      <c r="D358" s="267"/>
      <c r="E358" s="267"/>
      <c r="F358" s="267"/>
    </row>
    <row r="359" spans="2:6" s="266" customFormat="1" hidden="1">
      <c r="B359" s="267"/>
      <c r="C359" s="267"/>
      <c r="D359" s="267"/>
      <c r="E359" s="267"/>
      <c r="F359" s="267"/>
    </row>
    <row r="360" spans="2:6" s="266" customFormat="1" hidden="1">
      <c r="B360" s="267"/>
      <c r="C360" s="267"/>
      <c r="D360" s="267"/>
      <c r="E360" s="267"/>
      <c r="F360" s="267"/>
    </row>
    <row r="361" spans="2:6" s="266" customFormat="1" hidden="1">
      <c r="B361" s="267"/>
      <c r="C361" s="267"/>
      <c r="D361" s="267"/>
      <c r="E361" s="267"/>
      <c r="F361" s="267"/>
    </row>
    <row r="362" spans="2:6" s="266" customFormat="1" hidden="1">
      <c r="B362" s="267"/>
      <c r="C362" s="267"/>
      <c r="D362" s="267"/>
      <c r="E362" s="267"/>
      <c r="F362" s="267"/>
    </row>
    <row r="363" spans="2:6" s="266" customFormat="1" hidden="1">
      <c r="B363" s="267"/>
      <c r="C363" s="267"/>
      <c r="D363" s="267"/>
      <c r="E363" s="267"/>
      <c r="F363" s="267"/>
    </row>
    <row r="364" spans="2:6" s="266" customFormat="1" hidden="1">
      <c r="B364" s="267"/>
      <c r="C364" s="267"/>
      <c r="D364" s="267"/>
      <c r="E364" s="267"/>
      <c r="F364" s="267"/>
    </row>
    <row r="365" spans="2:6" s="266" customFormat="1" hidden="1">
      <c r="B365" s="267"/>
      <c r="C365" s="267"/>
      <c r="D365" s="267"/>
      <c r="E365" s="267"/>
      <c r="F365" s="267"/>
    </row>
    <row r="366" spans="2:6" s="266" customFormat="1" hidden="1">
      <c r="B366" s="267"/>
      <c r="C366" s="267"/>
      <c r="D366" s="267"/>
      <c r="E366" s="267"/>
      <c r="F366" s="267"/>
    </row>
    <row r="367" spans="2:6" s="266" customFormat="1" hidden="1">
      <c r="B367" s="267"/>
      <c r="C367" s="267"/>
      <c r="D367" s="267"/>
      <c r="E367" s="267"/>
      <c r="F367" s="267"/>
    </row>
    <row r="368" spans="2:6" s="266" customFormat="1" hidden="1">
      <c r="B368" s="267"/>
      <c r="C368" s="267"/>
      <c r="D368" s="267"/>
      <c r="E368" s="267"/>
      <c r="F368" s="267"/>
    </row>
    <row r="369" spans="2:6" s="266" customFormat="1" hidden="1">
      <c r="B369" s="267"/>
      <c r="C369" s="267"/>
      <c r="D369" s="267"/>
      <c r="E369" s="267"/>
      <c r="F369" s="267"/>
    </row>
    <row r="370" spans="2:6" s="266" customFormat="1" hidden="1">
      <c r="B370" s="267"/>
      <c r="C370" s="267"/>
      <c r="D370" s="267"/>
      <c r="E370" s="267"/>
      <c r="F370" s="267"/>
    </row>
    <row r="371" spans="2:6" s="266" customFormat="1" hidden="1">
      <c r="B371" s="267"/>
      <c r="C371" s="267"/>
      <c r="D371" s="267"/>
      <c r="E371" s="267"/>
      <c r="F371" s="267"/>
    </row>
    <row r="372" spans="2:6" s="266" customFormat="1" hidden="1">
      <c r="B372" s="267"/>
      <c r="C372" s="267"/>
      <c r="D372" s="267"/>
      <c r="E372" s="267"/>
      <c r="F372" s="267"/>
    </row>
    <row r="373" spans="2:6" s="266" customFormat="1" hidden="1">
      <c r="B373" s="267"/>
      <c r="C373" s="267"/>
      <c r="D373" s="267"/>
      <c r="E373" s="267"/>
      <c r="F373" s="267"/>
    </row>
    <row r="374" spans="2:6" s="266" customFormat="1" hidden="1">
      <c r="B374" s="267"/>
      <c r="C374" s="267"/>
      <c r="D374" s="267"/>
      <c r="E374" s="267"/>
      <c r="F374" s="267"/>
    </row>
    <row r="375" spans="2:6" s="266" customFormat="1" hidden="1">
      <c r="B375" s="267"/>
      <c r="C375" s="267"/>
      <c r="D375" s="267"/>
      <c r="E375" s="267"/>
      <c r="F375" s="267"/>
    </row>
    <row r="376" spans="2:6" s="266" customFormat="1" hidden="1">
      <c r="B376" s="267"/>
      <c r="C376" s="267"/>
      <c r="D376" s="267"/>
      <c r="E376" s="267"/>
      <c r="F376" s="267"/>
    </row>
    <row r="377" spans="2:6" s="266" customFormat="1" hidden="1">
      <c r="B377" s="267"/>
      <c r="C377" s="267"/>
      <c r="D377" s="267"/>
      <c r="E377" s="267"/>
      <c r="F377" s="267"/>
    </row>
    <row r="378" spans="2:6" s="266" customFormat="1" hidden="1">
      <c r="B378" s="267"/>
      <c r="C378" s="267"/>
      <c r="D378" s="267"/>
      <c r="E378" s="267"/>
      <c r="F378" s="267"/>
    </row>
    <row r="379" spans="2:6" s="266" customFormat="1" hidden="1">
      <c r="B379" s="267"/>
      <c r="C379" s="267"/>
      <c r="D379" s="267"/>
      <c r="E379" s="267"/>
      <c r="F379" s="267"/>
    </row>
    <row r="380" spans="2:6" s="266" customFormat="1" hidden="1">
      <c r="B380" s="267"/>
      <c r="C380" s="267"/>
      <c r="D380" s="267"/>
      <c r="E380" s="267"/>
      <c r="F380" s="267"/>
    </row>
    <row r="381" spans="2:6" s="266" customFormat="1" hidden="1">
      <c r="B381" s="267"/>
      <c r="C381" s="267"/>
      <c r="D381" s="267"/>
      <c r="E381" s="267"/>
      <c r="F381" s="267"/>
    </row>
    <row r="382" spans="2:6" s="266" customFormat="1" hidden="1">
      <c r="B382" s="267"/>
      <c r="C382" s="267"/>
      <c r="D382" s="267"/>
      <c r="E382" s="267"/>
      <c r="F382" s="267"/>
    </row>
    <row r="383" spans="2:6" s="266" customFormat="1" hidden="1">
      <c r="B383" s="267"/>
      <c r="C383" s="267"/>
      <c r="D383" s="267"/>
      <c r="E383" s="267"/>
      <c r="F383" s="267"/>
    </row>
    <row r="384" spans="2:6" s="266" customFormat="1" hidden="1">
      <c r="B384" s="267"/>
      <c r="C384" s="267"/>
      <c r="D384" s="267"/>
      <c r="E384" s="267"/>
      <c r="F384" s="267"/>
    </row>
    <row r="385" spans="2:6" s="266" customFormat="1" hidden="1">
      <c r="B385" s="267"/>
      <c r="C385" s="267"/>
      <c r="D385" s="267"/>
      <c r="E385" s="267"/>
      <c r="F385" s="267"/>
    </row>
    <row r="386" spans="2:6" s="266" customFormat="1" hidden="1">
      <c r="B386" s="267"/>
      <c r="C386" s="267"/>
      <c r="D386" s="267"/>
      <c r="E386" s="267"/>
      <c r="F386" s="267"/>
    </row>
    <row r="387" spans="2:6" s="266" customFormat="1" hidden="1">
      <c r="B387" s="267"/>
      <c r="C387" s="267"/>
      <c r="D387" s="267"/>
      <c r="E387" s="267"/>
      <c r="F387" s="267"/>
    </row>
    <row r="388" spans="2:6" s="266" customFormat="1" hidden="1">
      <c r="B388" s="267"/>
      <c r="C388" s="267"/>
      <c r="D388" s="267"/>
      <c r="E388" s="267"/>
      <c r="F388" s="267"/>
    </row>
    <row r="389" spans="2:6" s="266" customFormat="1" hidden="1">
      <c r="B389" s="267"/>
      <c r="C389" s="267"/>
      <c r="D389" s="267"/>
      <c r="E389" s="267"/>
      <c r="F389" s="267"/>
    </row>
    <row r="390" spans="2:6" s="266" customFormat="1" hidden="1">
      <c r="B390" s="267"/>
      <c r="C390" s="267"/>
      <c r="D390" s="267"/>
      <c r="E390" s="267"/>
      <c r="F390" s="267"/>
    </row>
    <row r="391" spans="2:6" s="266" customFormat="1" hidden="1">
      <c r="B391" s="267"/>
      <c r="C391" s="267"/>
      <c r="D391" s="267"/>
      <c r="E391" s="267"/>
      <c r="F391" s="267"/>
    </row>
    <row r="392" spans="2:6" s="266" customFormat="1" hidden="1">
      <c r="B392" s="267"/>
      <c r="C392" s="267"/>
      <c r="D392" s="267"/>
      <c r="E392" s="267"/>
      <c r="F392" s="267"/>
    </row>
    <row r="393" spans="2:6" s="266" customFormat="1" hidden="1">
      <c r="B393" s="267"/>
      <c r="C393" s="267"/>
      <c r="D393" s="267"/>
      <c r="E393" s="267"/>
      <c r="F393" s="267"/>
    </row>
    <row r="394" spans="2:6" s="266" customFormat="1" hidden="1">
      <c r="B394" s="267"/>
      <c r="C394" s="267"/>
      <c r="D394" s="267"/>
      <c r="E394" s="267"/>
      <c r="F394" s="267"/>
    </row>
    <row r="395" spans="2:6" s="266" customFormat="1" hidden="1">
      <c r="B395" s="267"/>
      <c r="C395" s="267"/>
      <c r="D395" s="267"/>
      <c r="E395" s="267"/>
      <c r="F395" s="267"/>
    </row>
    <row r="396" spans="2:6" s="266" customFormat="1" hidden="1">
      <c r="B396" s="267"/>
      <c r="C396" s="267"/>
      <c r="D396" s="267"/>
      <c r="E396" s="267"/>
      <c r="F396" s="267"/>
    </row>
    <row r="397" spans="2:6" s="266" customFormat="1" hidden="1">
      <c r="B397" s="267"/>
      <c r="C397" s="267"/>
      <c r="D397" s="267"/>
      <c r="E397" s="267"/>
      <c r="F397" s="267"/>
    </row>
    <row r="398" spans="2:6" s="266" customFormat="1" hidden="1">
      <c r="B398" s="267"/>
      <c r="C398" s="267"/>
      <c r="D398" s="267"/>
      <c r="E398" s="267"/>
      <c r="F398" s="267"/>
    </row>
    <row r="399" spans="2:6" s="266" customFormat="1" hidden="1">
      <c r="B399" s="267"/>
      <c r="C399" s="267"/>
      <c r="D399" s="267"/>
      <c r="E399" s="267"/>
      <c r="F399" s="267"/>
    </row>
    <row r="400" spans="2:6" s="266" customFormat="1" hidden="1">
      <c r="B400" s="267"/>
      <c r="C400" s="267"/>
      <c r="D400" s="267"/>
      <c r="E400" s="267"/>
      <c r="F400" s="267"/>
    </row>
    <row r="401" spans="2:6" s="266" customFormat="1" hidden="1">
      <c r="B401" s="267"/>
      <c r="C401" s="267"/>
      <c r="D401" s="267"/>
      <c r="E401" s="267"/>
      <c r="F401" s="267"/>
    </row>
    <row r="402" spans="2:6" s="266" customFormat="1" hidden="1">
      <c r="B402" s="267"/>
      <c r="C402" s="267"/>
      <c r="D402" s="267"/>
      <c r="E402" s="267"/>
      <c r="F402" s="267"/>
    </row>
    <row r="403" spans="2:6" s="266" customFormat="1" hidden="1">
      <c r="B403" s="267"/>
      <c r="C403" s="267"/>
      <c r="D403" s="267"/>
      <c r="E403" s="267"/>
      <c r="F403" s="267"/>
    </row>
    <row r="404" spans="2:6" s="266" customFormat="1" hidden="1">
      <c r="B404" s="267"/>
      <c r="C404" s="267"/>
      <c r="D404" s="267"/>
      <c r="E404" s="267"/>
      <c r="F404" s="267"/>
    </row>
    <row r="405" spans="2:6" s="266" customFormat="1" hidden="1">
      <c r="B405" s="267"/>
      <c r="C405" s="267"/>
      <c r="D405" s="267"/>
      <c r="E405" s="267"/>
      <c r="F405" s="267"/>
    </row>
    <row r="406" spans="2:6" s="266" customFormat="1" hidden="1">
      <c r="B406" s="267"/>
      <c r="C406" s="267"/>
      <c r="D406" s="267"/>
      <c r="E406" s="267"/>
      <c r="F406" s="267"/>
    </row>
    <row r="407" spans="2:6" s="266" customFormat="1" hidden="1">
      <c r="B407" s="267"/>
      <c r="C407" s="267"/>
      <c r="D407" s="267"/>
      <c r="E407" s="267"/>
      <c r="F407" s="267"/>
    </row>
    <row r="408" spans="2:6" s="266" customFormat="1" hidden="1">
      <c r="B408" s="267"/>
      <c r="C408" s="267"/>
      <c r="D408" s="267"/>
      <c r="E408" s="267"/>
      <c r="F408" s="267"/>
    </row>
    <row r="409" spans="2:6" s="266" customFormat="1" hidden="1">
      <c r="B409" s="267"/>
      <c r="C409" s="267"/>
      <c r="D409" s="267"/>
      <c r="E409" s="267"/>
      <c r="F409" s="267"/>
    </row>
    <row r="410" spans="2:6" s="266" customFormat="1" hidden="1">
      <c r="B410" s="267"/>
      <c r="C410" s="267"/>
      <c r="D410" s="267"/>
      <c r="E410" s="267"/>
      <c r="F410" s="267"/>
    </row>
    <row r="411" spans="2:6" s="266" customFormat="1" hidden="1">
      <c r="B411" s="267"/>
      <c r="C411" s="267"/>
      <c r="D411" s="267"/>
      <c r="E411" s="267"/>
      <c r="F411" s="267"/>
    </row>
    <row r="412" spans="2:6" s="266" customFormat="1" hidden="1">
      <c r="B412" s="267"/>
      <c r="C412" s="267"/>
      <c r="D412" s="267"/>
      <c r="E412" s="267"/>
      <c r="F412" s="267"/>
    </row>
    <row r="413" spans="2:6" s="266" customFormat="1" hidden="1">
      <c r="B413" s="267"/>
      <c r="C413" s="267"/>
      <c r="D413" s="267"/>
      <c r="E413" s="267"/>
      <c r="F413" s="267"/>
    </row>
    <row r="414" spans="2:6" s="266" customFormat="1" hidden="1">
      <c r="B414" s="267"/>
      <c r="C414" s="267"/>
      <c r="D414" s="267"/>
      <c r="E414" s="267"/>
      <c r="F414" s="267"/>
    </row>
    <row r="415" spans="2:6" s="266" customFormat="1" hidden="1">
      <c r="B415" s="267"/>
      <c r="C415" s="267"/>
      <c r="D415" s="267"/>
      <c r="E415" s="267"/>
      <c r="F415" s="267"/>
    </row>
    <row r="416" spans="2:6" s="266" customFormat="1" hidden="1">
      <c r="B416" s="267"/>
      <c r="C416" s="267"/>
      <c r="D416" s="267"/>
      <c r="E416" s="267"/>
      <c r="F416" s="267"/>
    </row>
    <row r="417" spans="2:6" s="266" customFormat="1" hidden="1">
      <c r="B417" s="267"/>
      <c r="C417" s="267"/>
      <c r="D417" s="267"/>
      <c r="E417" s="267"/>
      <c r="F417" s="267"/>
    </row>
    <row r="418" spans="2:6" s="266" customFormat="1" hidden="1">
      <c r="B418" s="267"/>
      <c r="C418" s="267"/>
      <c r="D418" s="267"/>
      <c r="E418" s="267"/>
      <c r="F418" s="267"/>
    </row>
    <row r="419" spans="2:6" s="266" customFormat="1" hidden="1">
      <c r="B419" s="267"/>
      <c r="C419" s="267"/>
      <c r="D419" s="267"/>
      <c r="E419" s="267"/>
      <c r="F419" s="267"/>
    </row>
    <row r="420" spans="2:6" s="266" customFormat="1" hidden="1">
      <c r="B420" s="267"/>
      <c r="C420" s="267"/>
      <c r="D420" s="267"/>
      <c r="E420" s="267"/>
      <c r="F420" s="267"/>
    </row>
    <row r="421" spans="2:6" s="266" customFormat="1" hidden="1">
      <c r="B421" s="267"/>
      <c r="C421" s="267"/>
      <c r="D421" s="267"/>
      <c r="E421" s="267"/>
      <c r="F421" s="267"/>
    </row>
    <row r="422" spans="2:6" s="266" customFormat="1" hidden="1">
      <c r="B422" s="267"/>
      <c r="C422" s="267"/>
      <c r="D422" s="267"/>
      <c r="E422" s="267"/>
      <c r="F422" s="267"/>
    </row>
    <row r="423" spans="2:6" s="266" customFormat="1" hidden="1">
      <c r="B423" s="267"/>
      <c r="C423" s="267"/>
      <c r="D423" s="267"/>
      <c r="E423" s="267"/>
      <c r="F423" s="267"/>
    </row>
    <row r="424" spans="2:6" s="266" customFormat="1" hidden="1">
      <c r="B424" s="267"/>
      <c r="C424" s="267"/>
      <c r="D424" s="267"/>
      <c r="E424" s="267"/>
      <c r="F424" s="267"/>
    </row>
    <row r="425" spans="2:6" s="266" customFormat="1" hidden="1">
      <c r="B425" s="267"/>
      <c r="C425" s="267"/>
      <c r="D425" s="267"/>
      <c r="E425" s="267"/>
      <c r="F425" s="267"/>
    </row>
    <row r="426" spans="2:6" s="266" customFormat="1" hidden="1">
      <c r="B426" s="267"/>
      <c r="C426" s="267"/>
      <c r="D426" s="267"/>
      <c r="E426" s="267"/>
      <c r="F426" s="267"/>
    </row>
    <row r="427" spans="2:6" s="266" customFormat="1" hidden="1">
      <c r="B427" s="267"/>
      <c r="C427" s="267"/>
      <c r="D427" s="267"/>
      <c r="E427" s="267"/>
      <c r="F427" s="267"/>
    </row>
    <row r="428" spans="2:6" s="266" customFormat="1" hidden="1">
      <c r="B428" s="267"/>
      <c r="C428" s="267"/>
      <c r="D428" s="267"/>
      <c r="E428" s="267"/>
      <c r="F428" s="267"/>
    </row>
    <row r="429" spans="2:6" s="266" customFormat="1" hidden="1">
      <c r="B429" s="267"/>
      <c r="C429" s="267"/>
      <c r="D429" s="267"/>
      <c r="E429" s="267"/>
      <c r="F429" s="267"/>
    </row>
    <row r="430" spans="2:6" s="266" customFormat="1" hidden="1">
      <c r="B430" s="267"/>
      <c r="C430" s="267"/>
      <c r="D430" s="267"/>
      <c r="E430" s="267"/>
      <c r="F430" s="267"/>
    </row>
    <row r="431" spans="2:6" s="266" customFormat="1" hidden="1">
      <c r="B431" s="267"/>
      <c r="C431" s="267"/>
      <c r="D431" s="267"/>
      <c r="E431" s="267"/>
      <c r="F431" s="267"/>
    </row>
    <row r="432" spans="2:6" s="266" customFormat="1" hidden="1">
      <c r="B432" s="267"/>
      <c r="C432" s="267"/>
      <c r="D432" s="267"/>
      <c r="E432" s="267"/>
      <c r="F432" s="267"/>
    </row>
    <row r="433" spans="2:6" s="266" customFormat="1" hidden="1">
      <c r="B433" s="267"/>
      <c r="C433" s="267"/>
      <c r="D433" s="267"/>
      <c r="E433" s="267"/>
      <c r="F433" s="267"/>
    </row>
    <row r="434" spans="2:6" s="266" customFormat="1" hidden="1">
      <c r="B434" s="267"/>
      <c r="C434" s="267"/>
      <c r="D434" s="267"/>
      <c r="E434" s="267"/>
      <c r="F434" s="267"/>
    </row>
    <row r="435" spans="2:6" s="266" customFormat="1" hidden="1">
      <c r="B435" s="267"/>
      <c r="C435" s="267"/>
      <c r="D435" s="267"/>
      <c r="E435" s="267"/>
      <c r="F435" s="267"/>
    </row>
    <row r="436" spans="2:6" s="266" customFormat="1" hidden="1">
      <c r="B436" s="267"/>
      <c r="C436" s="267"/>
      <c r="D436" s="267"/>
      <c r="E436" s="267"/>
      <c r="F436" s="267"/>
    </row>
    <row r="437" spans="2:6" s="266" customFormat="1" hidden="1">
      <c r="B437" s="267"/>
      <c r="C437" s="267"/>
      <c r="D437" s="267"/>
      <c r="E437" s="267"/>
      <c r="F437" s="267"/>
    </row>
    <row r="438" spans="2:6" s="266" customFormat="1" hidden="1">
      <c r="B438" s="267"/>
      <c r="C438" s="267"/>
      <c r="D438" s="267"/>
      <c r="E438" s="267"/>
      <c r="F438" s="267"/>
    </row>
    <row r="439" spans="2:6" s="266" customFormat="1" hidden="1">
      <c r="B439" s="267"/>
      <c r="C439" s="267"/>
      <c r="D439" s="267"/>
      <c r="E439" s="267"/>
      <c r="F439" s="267"/>
    </row>
    <row r="440" spans="2:6" s="266" customFormat="1" hidden="1">
      <c r="B440" s="267"/>
      <c r="C440" s="267"/>
      <c r="D440" s="267"/>
      <c r="E440" s="267"/>
      <c r="F440" s="267"/>
    </row>
    <row r="441" spans="2:6" s="266" customFormat="1" hidden="1">
      <c r="B441" s="267"/>
      <c r="C441" s="267"/>
      <c r="D441" s="267"/>
      <c r="E441" s="267"/>
      <c r="F441" s="267"/>
    </row>
    <row r="442" spans="2:6" s="266" customFormat="1" hidden="1">
      <c r="B442" s="267"/>
      <c r="C442" s="267"/>
      <c r="D442" s="267"/>
      <c r="E442" s="267"/>
      <c r="F442" s="267"/>
    </row>
    <row r="443" spans="2:6" s="266" customFormat="1" hidden="1">
      <c r="B443" s="267"/>
      <c r="C443" s="267"/>
      <c r="D443" s="267"/>
      <c r="E443" s="267"/>
      <c r="F443" s="267"/>
    </row>
    <row r="444" spans="2:6" s="266" customFormat="1" hidden="1">
      <c r="B444" s="267"/>
      <c r="C444" s="267"/>
      <c r="D444" s="267"/>
      <c r="E444" s="267"/>
      <c r="F444" s="267"/>
    </row>
    <row r="445" spans="2:6" s="266" customFormat="1" hidden="1">
      <c r="B445" s="267"/>
      <c r="C445" s="267"/>
      <c r="D445" s="267"/>
      <c r="E445" s="267"/>
      <c r="F445" s="267"/>
    </row>
    <row r="446" spans="2:6" s="266" customFormat="1" hidden="1">
      <c r="B446" s="267"/>
      <c r="C446" s="267"/>
      <c r="D446" s="267"/>
      <c r="E446" s="267"/>
      <c r="F446" s="267"/>
    </row>
    <row r="447" spans="2:6" s="266" customFormat="1" hidden="1">
      <c r="B447" s="267"/>
      <c r="C447" s="267"/>
      <c r="D447" s="267"/>
      <c r="E447" s="267"/>
      <c r="F447" s="267"/>
    </row>
    <row r="448" spans="2:6" s="266" customFormat="1" hidden="1">
      <c r="B448" s="267"/>
      <c r="C448" s="267"/>
      <c r="D448" s="267"/>
      <c r="E448" s="267"/>
      <c r="F448" s="267"/>
    </row>
    <row r="449" spans="2:6" s="266" customFormat="1" hidden="1">
      <c r="B449" s="267"/>
      <c r="C449" s="267"/>
      <c r="D449" s="267"/>
      <c r="E449" s="267"/>
      <c r="F449" s="267"/>
    </row>
    <row r="450" spans="2:6" s="266" customFormat="1" hidden="1">
      <c r="B450" s="267"/>
      <c r="C450" s="267"/>
      <c r="D450" s="267"/>
      <c r="E450" s="267"/>
      <c r="F450" s="267"/>
    </row>
    <row r="451" spans="2:6" s="266" customFormat="1" hidden="1">
      <c r="B451" s="267"/>
      <c r="C451" s="267"/>
      <c r="D451" s="267"/>
      <c r="E451" s="267"/>
      <c r="F451" s="267"/>
    </row>
    <row r="452" spans="2:6" s="266" customFormat="1" hidden="1">
      <c r="B452" s="267"/>
      <c r="C452" s="267"/>
      <c r="D452" s="267"/>
      <c r="E452" s="267"/>
      <c r="F452" s="267"/>
    </row>
    <row r="453" spans="2:6" s="266" customFormat="1" hidden="1">
      <c r="B453" s="267"/>
      <c r="C453" s="267"/>
      <c r="D453" s="267"/>
      <c r="E453" s="267"/>
      <c r="F453" s="267"/>
    </row>
    <row r="454" spans="2:6" s="266" customFormat="1" hidden="1">
      <c r="B454" s="267"/>
      <c r="C454" s="267"/>
      <c r="D454" s="267"/>
      <c r="E454" s="267"/>
      <c r="F454" s="267"/>
    </row>
    <row r="455" spans="2:6" s="266" customFormat="1" hidden="1">
      <c r="B455" s="267"/>
      <c r="C455" s="267"/>
      <c r="D455" s="267"/>
      <c r="E455" s="267"/>
      <c r="F455" s="267"/>
    </row>
    <row r="456" spans="2:6" s="266" customFormat="1" hidden="1">
      <c r="B456" s="267"/>
      <c r="C456" s="267"/>
      <c r="D456" s="267"/>
      <c r="E456" s="267"/>
      <c r="F456" s="267"/>
    </row>
    <row r="457" spans="2:6" s="266" customFormat="1" hidden="1">
      <c r="B457" s="267"/>
      <c r="C457" s="267"/>
      <c r="D457" s="267"/>
      <c r="E457" s="267"/>
      <c r="F457" s="267"/>
    </row>
    <row r="458" spans="2:6" s="266" customFormat="1" hidden="1">
      <c r="B458" s="267"/>
      <c r="C458" s="267"/>
      <c r="D458" s="267"/>
      <c r="E458" s="267"/>
      <c r="F458" s="267"/>
    </row>
    <row r="459" spans="2:6" s="266" customFormat="1" hidden="1">
      <c r="B459" s="267"/>
      <c r="C459" s="267"/>
      <c r="D459" s="267"/>
      <c r="E459" s="267"/>
      <c r="F459" s="267"/>
    </row>
    <row r="460" spans="2:6" s="266" customFormat="1" hidden="1">
      <c r="B460" s="267"/>
      <c r="C460" s="267"/>
      <c r="D460" s="267"/>
      <c r="E460" s="267"/>
      <c r="F460" s="267"/>
    </row>
    <row r="461" spans="2:6" s="266" customFormat="1" hidden="1">
      <c r="B461" s="267"/>
      <c r="C461" s="267"/>
      <c r="D461" s="267"/>
      <c r="E461" s="267"/>
      <c r="F461" s="267"/>
    </row>
    <row r="462" spans="2:6" s="266" customFormat="1" hidden="1">
      <c r="B462" s="267"/>
      <c r="C462" s="267"/>
      <c r="D462" s="267"/>
      <c r="E462" s="267"/>
      <c r="F462" s="267"/>
    </row>
    <row r="463" spans="2:6" s="266" customFormat="1" hidden="1">
      <c r="B463" s="267"/>
      <c r="C463" s="267"/>
      <c r="D463" s="267"/>
      <c r="E463" s="267"/>
      <c r="F463" s="267"/>
    </row>
    <row r="464" spans="2:6" s="266" customFormat="1" hidden="1">
      <c r="B464" s="267"/>
      <c r="C464" s="267"/>
      <c r="D464" s="267"/>
      <c r="E464" s="267"/>
      <c r="F464" s="267"/>
    </row>
    <row r="465" spans="2:6" s="266" customFormat="1" hidden="1">
      <c r="B465" s="267"/>
      <c r="C465" s="267"/>
      <c r="D465" s="267"/>
      <c r="E465" s="267"/>
      <c r="F465" s="267"/>
    </row>
    <row r="466" spans="2:6" s="266" customFormat="1" hidden="1">
      <c r="B466" s="267"/>
      <c r="C466" s="267"/>
      <c r="D466" s="267"/>
      <c r="E466" s="267"/>
      <c r="F466" s="267"/>
    </row>
    <row r="467" spans="2:6" s="266" customFormat="1" hidden="1">
      <c r="B467" s="267"/>
      <c r="C467" s="267"/>
      <c r="D467" s="267"/>
      <c r="E467" s="267"/>
      <c r="F467" s="267"/>
    </row>
    <row r="468" spans="2:6" s="266" customFormat="1" hidden="1">
      <c r="B468" s="267"/>
      <c r="C468" s="267"/>
      <c r="D468" s="267"/>
      <c r="E468" s="267"/>
      <c r="F468" s="267"/>
    </row>
    <row r="469" spans="2:6" s="266" customFormat="1" hidden="1">
      <c r="B469" s="267"/>
      <c r="C469" s="267"/>
      <c r="D469" s="267"/>
      <c r="E469" s="267"/>
      <c r="F469" s="267"/>
    </row>
    <row r="470" spans="2:6" s="266" customFormat="1" hidden="1">
      <c r="B470" s="267"/>
      <c r="C470" s="267"/>
      <c r="D470" s="267"/>
      <c r="E470" s="267"/>
      <c r="F470" s="267"/>
    </row>
    <row r="471" spans="2:6" s="266" customFormat="1" hidden="1">
      <c r="B471" s="267"/>
      <c r="C471" s="267"/>
      <c r="D471" s="267"/>
      <c r="E471" s="267"/>
      <c r="F471" s="267"/>
    </row>
    <row r="472" spans="2:6" s="266" customFormat="1" hidden="1">
      <c r="B472" s="267"/>
      <c r="C472" s="267"/>
      <c r="D472" s="267"/>
      <c r="E472" s="267"/>
      <c r="F472" s="267"/>
    </row>
    <row r="473" spans="2:6" s="266" customFormat="1" hidden="1">
      <c r="B473" s="267"/>
      <c r="C473" s="267"/>
      <c r="D473" s="267"/>
      <c r="E473" s="267"/>
      <c r="F473" s="267"/>
    </row>
    <row r="474" spans="2:6" s="266" customFormat="1" hidden="1">
      <c r="B474" s="267"/>
      <c r="C474" s="267"/>
      <c r="D474" s="267"/>
      <c r="E474" s="267"/>
      <c r="F474" s="267"/>
    </row>
    <row r="475" spans="2:6" s="266" customFormat="1" hidden="1">
      <c r="B475" s="267"/>
      <c r="C475" s="267"/>
      <c r="D475" s="267"/>
      <c r="E475" s="267"/>
      <c r="F475" s="267"/>
    </row>
    <row r="476" spans="2:6" s="266" customFormat="1" hidden="1">
      <c r="B476" s="267"/>
      <c r="C476" s="267"/>
      <c r="D476" s="267"/>
      <c r="E476" s="267"/>
      <c r="F476" s="267"/>
    </row>
    <row r="477" spans="2:6" s="266" customFormat="1" hidden="1">
      <c r="B477" s="267"/>
      <c r="C477" s="267"/>
      <c r="D477" s="267"/>
      <c r="E477" s="267"/>
      <c r="F477" s="267"/>
    </row>
    <row r="478" spans="2:6" s="266" customFormat="1" hidden="1">
      <c r="B478" s="267"/>
      <c r="C478" s="267"/>
      <c r="D478" s="267"/>
      <c r="E478" s="267"/>
      <c r="F478" s="267"/>
    </row>
    <row r="479" spans="2:6" s="266" customFormat="1" hidden="1">
      <c r="B479" s="267"/>
      <c r="C479" s="267"/>
      <c r="D479" s="267"/>
      <c r="E479" s="267"/>
      <c r="F479" s="267"/>
    </row>
    <row r="480" spans="2:6" s="266" customFormat="1" hidden="1">
      <c r="B480" s="267"/>
      <c r="C480" s="267"/>
      <c r="D480" s="267"/>
      <c r="E480" s="267"/>
      <c r="F480" s="267"/>
    </row>
    <row r="481" spans="2:6" s="266" customFormat="1" hidden="1">
      <c r="B481" s="267"/>
      <c r="C481" s="267"/>
      <c r="D481" s="267"/>
      <c r="E481" s="267"/>
      <c r="F481" s="267"/>
    </row>
    <row r="482" spans="2:6" s="266" customFormat="1" hidden="1">
      <c r="B482" s="267"/>
      <c r="C482" s="267"/>
      <c r="D482" s="267"/>
      <c r="E482" s="267"/>
      <c r="F482" s="267"/>
    </row>
    <row r="483" spans="2:6" s="266" customFormat="1" hidden="1">
      <c r="B483" s="267"/>
      <c r="C483" s="267"/>
      <c r="D483" s="267"/>
      <c r="E483" s="267"/>
      <c r="F483" s="267"/>
    </row>
    <row r="484" spans="2:6" s="266" customFormat="1" hidden="1">
      <c r="B484" s="267"/>
      <c r="C484" s="267"/>
      <c r="D484" s="267"/>
      <c r="E484" s="267"/>
      <c r="F484" s="267"/>
    </row>
    <row r="485" spans="2:6" s="266" customFormat="1" hidden="1">
      <c r="B485" s="267"/>
      <c r="C485" s="267"/>
      <c r="D485" s="267"/>
      <c r="E485" s="267"/>
      <c r="F485" s="267"/>
    </row>
    <row r="486" spans="2:6" s="266" customFormat="1" hidden="1">
      <c r="B486" s="267"/>
      <c r="C486" s="267"/>
      <c r="D486" s="267"/>
      <c r="E486" s="267"/>
      <c r="F486" s="267"/>
    </row>
    <row r="487" spans="2:6" s="266" customFormat="1" hidden="1">
      <c r="B487" s="267"/>
      <c r="C487" s="267"/>
      <c r="D487" s="267"/>
      <c r="E487" s="267"/>
      <c r="F487" s="267"/>
    </row>
    <row r="488" spans="2:6" s="266" customFormat="1" hidden="1">
      <c r="B488" s="267"/>
      <c r="C488" s="267"/>
      <c r="D488" s="267"/>
      <c r="E488" s="267"/>
      <c r="F488" s="267"/>
    </row>
    <row r="489" spans="2:6" s="266" customFormat="1" hidden="1">
      <c r="B489" s="267"/>
      <c r="C489" s="267"/>
      <c r="D489" s="267"/>
      <c r="E489" s="267"/>
      <c r="F489" s="267"/>
    </row>
    <row r="490" spans="2:6" s="266" customFormat="1" hidden="1">
      <c r="B490" s="267"/>
      <c r="C490" s="267"/>
      <c r="D490" s="267"/>
      <c r="E490" s="267"/>
      <c r="F490" s="267"/>
    </row>
    <row r="491" spans="2:6" s="266" customFormat="1" hidden="1">
      <c r="B491" s="267"/>
      <c r="C491" s="267"/>
      <c r="D491" s="267"/>
      <c r="E491" s="267"/>
      <c r="F491" s="267"/>
    </row>
    <row r="492" spans="2:6" s="266" customFormat="1" hidden="1">
      <c r="B492" s="267"/>
      <c r="C492" s="267"/>
      <c r="D492" s="267"/>
      <c r="E492" s="267"/>
      <c r="F492" s="267"/>
    </row>
    <row r="493" spans="2:6" s="266" customFormat="1" hidden="1">
      <c r="B493" s="267"/>
      <c r="C493" s="267"/>
      <c r="D493" s="267"/>
      <c r="E493" s="267"/>
      <c r="F493" s="267"/>
    </row>
    <row r="494" spans="2:6" s="266" customFormat="1" hidden="1">
      <c r="B494" s="267"/>
      <c r="C494" s="267"/>
      <c r="D494" s="267"/>
      <c r="E494" s="267"/>
      <c r="F494" s="267"/>
    </row>
    <row r="495" spans="2:6" s="266" customFormat="1" hidden="1">
      <c r="B495" s="267"/>
      <c r="C495" s="267"/>
      <c r="D495" s="267"/>
      <c r="E495" s="267"/>
      <c r="F495" s="267"/>
    </row>
    <row r="496" spans="2:6" s="266" customFormat="1" hidden="1">
      <c r="B496" s="267"/>
      <c r="C496" s="267"/>
      <c r="D496" s="267"/>
      <c r="E496" s="267"/>
      <c r="F496" s="267"/>
    </row>
    <row r="497" spans="2:6" s="266" customFormat="1" hidden="1">
      <c r="B497" s="267"/>
      <c r="C497" s="267"/>
      <c r="D497" s="267"/>
      <c r="E497" s="267"/>
      <c r="F497" s="267"/>
    </row>
    <row r="498" spans="2:6" s="266" customFormat="1" hidden="1">
      <c r="B498" s="267"/>
      <c r="C498" s="267"/>
      <c r="D498" s="267"/>
      <c r="E498" s="267"/>
      <c r="F498" s="267"/>
    </row>
    <row r="499" spans="2:6" s="266" customFormat="1" hidden="1">
      <c r="B499" s="267"/>
      <c r="C499" s="267"/>
      <c r="D499" s="267"/>
      <c r="E499" s="267"/>
      <c r="F499" s="267"/>
    </row>
    <row r="500" spans="2:6" s="266" customFormat="1" hidden="1">
      <c r="B500" s="267"/>
      <c r="C500" s="267"/>
      <c r="D500" s="267"/>
      <c r="E500" s="267"/>
      <c r="F500" s="267"/>
    </row>
    <row r="501" spans="2:6" s="266" customFormat="1" hidden="1">
      <c r="B501" s="267"/>
      <c r="C501" s="267"/>
      <c r="D501" s="267"/>
      <c r="E501" s="267"/>
      <c r="F501" s="267"/>
    </row>
    <row r="502" spans="2:6" s="266" customFormat="1" hidden="1">
      <c r="B502" s="267"/>
      <c r="C502" s="267"/>
      <c r="D502" s="267"/>
      <c r="E502" s="267"/>
      <c r="F502" s="267"/>
    </row>
    <row r="503" spans="2:6" s="266" customFormat="1" hidden="1">
      <c r="B503" s="267"/>
      <c r="C503" s="267"/>
      <c r="D503" s="267"/>
      <c r="E503" s="267"/>
      <c r="F503" s="267"/>
    </row>
    <row r="504" spans="2:6" s="266" customFormat="1" hidden="1">
      <c r="B504" s="267"/>
      <c r="C504" s="267"/>
      <c r="D504" s="267"/>
      <c r="E504" s="267"/>
      <c r="F504" s="267"/>
    </row>
    <row r="505" spans="2:6" s="266" customFormat="1" hidden="1">
      <c r="B505" s="267"/>
      <c r="C505" s="267"/>
      <c r="D505" s="267"/>
      <c r="E505" s="267"/>
      <c r="F505" s="267"/>
    </row>
    <row r="506" spans="2:6" s="266" customFormat="1" hidden="1">
      <c r="B506" s="267"/>
      <c r="C506" s="267"/>
      <c r="D506" s="267"/>
      <c r="E506" s="267"/>
      <c r="F506" s="267"/>
    </row>
    <row r="507" spans="2:6" s="266" customFormat="1" hidden="1">
      <c r="B507" s="267"/>
      <c r="C507" s="267"/>
      <c r="D507" s="267"/>
      <c r="E507" s="267"/>
      <c r="F507" s="267"/>
    </row>
    <row r="508" spans="2:6" s="266" customFormat="1" hidden="1">
      <c r="B508" s="267"/>
      <c r="C508" s="267"/>
      <c r="D508" s="267"/>
      <c r="E508" s="267"/>
      <c r="F508" s="267"/>
    </row>
    <row r="509" spans="2:6" s="266" customFormat="1" hidden="1">
      <c r="B509" s="267"/>
      <c r="C509" s="267"/>
      <c r="D509" s="267"/>
      <c r="E509" s="267"/>
      <c r="F509" s="267"/>
    </row>
    <row r="510" spans="2:6" s="266" customFormat="1" hidden="1">
      <c r="B510" s="267"/>
      <c r="C510" s="267"/>
      <c r="D510" s="267"/>
      <c r="E510" s="267"/>
      <c r="F510" s="267"/>
    </row>
    <row r="511" spans="2:6" s="266" customFormat="1" hidden="1">
      <c r="B511" s="267"/>
      <c r="C511" s="267"/>
      <c r="D511" s="267"/>
      <c r="E511" s="267"/>
      <c r="F511" s="267"/>
    </row>
    <row r="512" spans="2:6" s="266" customFormat="1" hidden="1">
      <c r="B512" s="267"/>
      <c r="C512" s="267"/>
      <c r="D512" s="267"/>
      <c r="E512" s="267"/>
      <c r="F512" s="267"/>
    </row>
    <row r="513" spans="2:6" s="266" customFormat="1" hidden="1">
      <c r="B513" s="267"/>
      <c r="C513" s="267"/>
      <c r="D513" s="267"/>
      <c r="E513" s="267"/>
      <c r="F513" s="267"/>
    </row>
    <row r="514" spans="2:6" s="266" customFormat="1" hidden="1">
      <c r="B514" s="267"/>
      <c r="C514" s="267"/>
      <c r="D514" s="267"/>
      <c r="E514" s="267"/>
      <c r="F514" s="267"/>
    </row>
    <row r="515" spans="2:6" s="266" customFormat="1" hidden="1">
      <c r="B515" s="267"/>
      <c r="C515" s="267"/>
      <c r="D515" s="267"/>
      <c r="E515" s="267"/>
      <c r="F515" s="267"/>
    </row>
    <row r="516" spans="2:6" s="266" customFormat="1" hidden="1">
      <c r="B516" s="267"/>
      <c r="C516" s="267"/>
      <c r="D516" s="267"/>
      <c r="E516" s="267"/>
      <c r="F516" s="267"/>
    </row>
    <row r="517" spans="2:6" s="266" customFormat="1" hidden="1">
      <c r="B517" s="267"/>
      <c r="C517" s="267"/>
      <c r="D517" s="267"/>
      <c r="E517" s="267"/>
      <c r="F517" s="267"/>
    </row>
    <row r="518" spans="2:6" s="266" customFormat="1" hidden="1">
      <c r="B518" s="267"/>
      <c r="C518" s="267"/>
      <c r="D518" s="267"/>
      <c r="E518" s="267"/>
      <c r="F518" s="267"/>
    </row>
    <row r="519" spans="2:6" s="266" customFormat="1" hidden="1">
      <c r="B519" s="267"/>
      <c r="C519" s="267"/>
      <c r="D519" s="267"/>
      <c r="E519" s="267"/>
      <c r="F519" s="267"/>
    </row>
    <row r="520" spans="2:6" s="266" customFormat="1" hidden="1">
      <c r="B520" s="267"/>
      <c r="C520" s="267"/>
      <c r="D520" s="267"/>
      <c r="E520" s="267"/>
      <c r="F520" s="267"/>
    </row>
    <row r="521" spans="2:6" s="266" customFormat="1" hidden="1">
      <c r="B521" s="267"/>
      <c r="C521" s="267"/>
      <c r="D521" s="267"/>
      <c r="E521" s="267"/>
      <c r="F521" s="267"/>
    </row>
    <row r="522" spans="2:6" s="266" customFormat="1" hidden="1">
      <c r="B522" s="267"/>
      <c r="C522" s="267"/>
      <c r="D522" s="267"/>
      <c r="E522" s="267"/>
      <c r="F522" s="267"/>
    </row>
    <row r="523" spans="2:6" s="266" customFormat="1" hidden="1">
      <c r="B523" s="267"/>
      <c r="C523" s="267"/>
      <c r="D523" s="267"/>
      <c r="E523" s="267"/>
      <c r="F523" s="267"/>
    </row>
    <row r="524" spans="2:6" s="266" customFormat="1" hidden="1">
      <c r="B524" s="267"/>
      <c r="C524" s="267"/>
      <c r="D524" s="267"/>
      <c r="E524" s="267"/>
      <c r="F524" s="267"/>
    </row>
    <row r="525" spans="2:6" s="266" customFormat="1" hidden="1">
      <c r="B525" s="267"/>
      <c r="C525" s="267"/>
      <c r="D525" s="267"/>
      <c r="E525" s="267"/>
      <c r="F525" s="267"/>
    </row>
    <row r="526" spans="2:6" s="266" customFormat="1" hidden="1">
      <c r="B526" s="267"/>
      <c r="C526" s="267"/>
      <c r="D526" s="267"/>
      <c r="E526" s="267"/>
      <c r="F526" s="267"/>
    </row>
    <row r="527" spans="2:6" s="266" customFormat="1" hidden="1">
      <c r="B527" s="267"/>
      <c r="C527" s="267"/>
      <c r="D527" s="267"/>
      <c r="E527" s="267"/>
      <c r="F527" s="267"/>
    </row>
    <row r="528" spans="2:6" s="266" customFormat="1" hidden="1">
      <c r="B528" s="267"/>
      <c r="C528" s="267"/>
      <c r="D528" s="267"/>
      <c r="E528" s="267"/>
      <c r="F528" s="267"/>
    </row>
    <row r="529" spans="2:6" s="266" customFormat="1" hidden="1">
      <c r="B529" s="267"/>
      <c r="C529" s="267"/>
      <c r="D529" s="267"/>
      <c r="E529" s="267"/>
      <c r="F529" s="267"/>
    </row>
    <row r="530" spans="2:6" s="266" customFormat="1" hidden="1">
      <c r="B530" s="267"/>
      <c r="C530" s="267"/>
      <c r="D530" s="267"/>
      <c r="E530" s="267"/>
      <c r="F530" s="267"/>
    </row>
    <row r="531" spans="2:6" s="266" customFormat="1" hidden="1">
      <c r="B531" s="267"/>
      <c r="C531" s="267"/>
      <c r="D531" s="267"/>
      <c r="E531" s="267"/>
      <c r="F531" s="267"/>
    </row>
    <row r="532" spans="2:6" s="266" customFormat="1" hidden="1">
      <c r="B532" s="267"/>
      <c r="C532" s="267"/>
      <c r="D532" s="267"/>
      <c r="E532" s="267"/>
      <c r="F532" s="267"/>
    </row>
    <row r="533" spans="2:6" s="266" customFormat="1" hidden="1">
      <c r="B533" s="267"/>
      <c r="C533" s="267"/>
      <c r="D533" s="267"/>
      <c r="E533" s="267"/>
      <c r="F533" s="267"/>
    </row>
    <row r="534" spans="2:6" s="266" customFormat="1" hidden="1">
      <c r="B534" s="267"/>
      <c r="C534" s="267"/>
      <c r="D534" s="267"/>
      <c r="E534" s="267"/>
      <c r="F534" s="267"/>
    </row>
    <row r="535" spans="2:6" s="266" customFormat="1" hidden="1">
      <c r="B535" s="267"/>
      <c r="C535" s="267"/>
      <c r="D535" s="267"/>
      <c r="E535" s="267"/>
      <c r="F535" s="267"/>
    </row>
    <row r="536" spans="2:6" s="266" customFormat="1" hidden="1">
      <c r="B536" s="267"/>
      <c r="C536" s="267"/>
      <c r="D536" s="267"/>
      <c r="E536" s="267"/>
      <c r="F536" s="267"/>
    </row>
    <row r="537" spans="2:6" s="266" customFormat="1" hidden="1">
      <c r="B537" s="267"/>
      <c r="C537" s="267"/>
      <c r="D537" s="267"/>
      <c r="E537" s="267"/>
      <c r="F537" s="267"/>
    </row>
    <row r="538" spans="2:6" s="266" customFormat="1" hidden="1">
      <c r="B538" s="267"/>
      <c r="C538" s="267"/>
      <c r="D538" s="267"/>
      <c r="E538" s="267"/>
      <c r="F538" s="267"/>
    </row>
    <row r="539" spans="2:6" s="266" customFormat="1" hidden="1">
      <c r="B539" s="267"/>
      <c r="C539" s="267"/>
      <c r="D539" s="267"/>
      <c r="E539" s="267"/>
      <c r="F539" s="267"/>
    </row>
    <row r="540" spans="2:6" s="266" customFormat="1" hidden="1">
      <c r="B540" s="267"/>
      <c r="C540" s="267"/>
      <c r="D540" s="267"/>
      <c r="E540" s="267"/>
      <c r="F540" s="267"/>
    </row>
    <row r="541" spans="2:6" s="266" customFormat="1" hidden="1">
      <c r="B541" s="267"/>
      <c r="C541" s="267"/>
      <c r="D541" s="267"/>
      <c r="E541" s="267"/>
      <c r="F541" s="267"/>
    </row>
    <row r="542" spans="2:6" s="266" customFormat="1" hidden="1">
      <c r="B542" s="267"/>
      <c r="C542" s="267"/>
      <c r="D542" s="267"/>
      <c r="E542" s="267"/>
      <c r="F542" s="267"/>
    </row>
    <row r="543" spans="2:6" s="266" customFormat="1" hidden="1">
      <c r="B543" s="267"/>
      <c r="C543" s="267"/>
      <c r="D543" s="267"/>
      <c r="E543" s="267"/>
      <c r="F543" s="267"/>
    </row>
    <row r="544" spans="2:6" s="266" customFormat="1" hidden="1">
      <c r="B544" s="267"/>
      <c r="C544" s="267"/>
      <c r="D544" s="267"/>
      <c r="E544" s="267"/>
      <c r="F544" s="267"/>
    </row>
    <row r="545" spans="2:6" s="266" customFormat="1" hidden="1">
      <c r="B545" s="267"/>
      <c r="C545" s="267"/>
      <c r="D545" s="267"/>
      <c r="E545" s="267"/>
      <c r="F545" s="267"/>
    </row>
    <row r="546" spans="2:6" s="266" customFormat="1" hidden="1">
      <c r="B546" s="267"/>
      <c r="C546" s="267"/>
      <c r="D546" s="267"/>
      <c r="E546" s="267"/>
      <c r="F546" s="267"/>
    </row>
    <row r="547" spans="2:6" s="266" customFormat="1" hidden="1">
      <c r="B547" s="267"/>
      <c r="C547" s="267"/>
      <c r="D547" s="267"/>
      <c r="E547" s="267"/>
      <c r="F547" s="267"/>
    </row>
    <row r="548" spans="2:6" s="266" customFormat="1" hidden="1">
      <c r="B548" s="267"/>
      <c r="C548" s="267"/>
      <c r="D548" s="267"/>
      <c r="E548" s="267"/>
      <c r="F548" s="267"/>
    </row>
    <row r="549" spans="2:6" s="266" customFormat="1" hidden="1">
      <c r="B549" s="267"/>
      <c r="C549" s="267"/>
      <c r="D549" s="267"/>
      <c r="E549" s="267"/>
      <c r="F549" s="267"/>
    </row>
    <row r="550" spans="2:6" s="266" customFormat="1" hidden="1">
      <c r="B550" s="267"/>
      <c r="C550" s="267"/>
      <c r="D550" s="267"/>
      <c r="E550" s="267"/>
      <c r="F550" s="267"/>
    </row>
    <row r="551" spans="2:6" s="266" customFormat="1" hidden="1">
      <c r="B551" s="267"/>
      <c r="C551" s="267"/>
      <c r="D551" s="267"/>
      <c r="E551" s="267"/>
      <c r="F551" s="267"/>
    </row>
    <row r="552" spans="2:6" s="266" customFormat="1" hidden="1">
      <c r="B552" s="267"/>
      <c r="C552" s="267"/>
      <c r="D552" s="267"/>
      <c r="E552" s="267"/>
      <c r="F552" s="267"/>
    </row>
    <row r="553" spans="2:6" s="266" customFormat="1" hidden="1">
      <c r="B553" s="267"/>
      <c r="C553" s="267"/>
      <c r="D553" s="267"/>
      <c r="E553" s="267"/>
      <c r="F553" s="267"/>
    </row>
    <row r="554" spans="2:6" s="266" customFormat="1" hidden="1">
      <c r="B554" s="267"/>
      <c r="C554" s="267"/>
      <c r="D554" s="267"/>
      <c r="E554" s="267"/>
      <c r="F554" s="267"/>
    </row>
    <row r="555" spans="2:6" s="266" customFormat="1" hidden="1">
      <c r="B555" s="267"/>
      <c r="C555" s="267"/>
      <c r="D555" s="267"/>
      <c r="E555" s="267"/>
      <c r="F555" s="267"/>
    </row>
    <row r="556" spans="2:6" s="266" customFormat="1" hidden="1">
      <c r="B556" s="267"/>
      <c r="C556" s="267"/>
      <c r="D556" s="267"/>
      <c r="E556" s="267"/>
      <c r="F556" s="267"/>
    </row>
    <row r="557" spans="2:6" s="266" customFormat="1" hidden="1">
      <c r="B557" s="267"/>
      <c r="C557" s="267"/>
      <c r="D557" s="267"/>
      <c r="E557" s="267"/>
      <c r="F557" s="267"/>
    </row>
    <row r="558" spans="2:6" s="266" customFormat="1" hidden="1">
      <c r="B558" s="267"/>
      <c r="C558" s="267"/>
      <c r="D558" s="267"/>
      <c r="E558" s="267"/>
      <c r="F558" s="267"/>
    </row>
    <row r="559" spans="2:6" s="266" customFormat="1" hidden="1">
      <c r="B559" s="267"/>
      <c r="C559" s="267"/>
      <c r="D559" s="267"/>
      <c r="E559" s="267"/>
      <c r="F559" s="267"/>
    </row>
    <row r="560" spans="2:6" s="266" customFormat="1" hidden="1">
      <c r="B560" s="267"/>
      <c r="C560" s="267"/>
      <c r="D560" s="267"/>
      <c r="E560" s="267"/>
      <c r="F560" s="267"/>
    </row>
    <row r="561" spans="2:6" s="266" customFormat="1" hidden="1">
      <c r="B561" s="267"/>
      <c r="C561" s="267"/>
      <c r="D561" s="267"/>
      <c r="E561" s="267"/>
      <c r="F561" s="267"/>
    </row>
    <row r="562" spans="2:6" s="266" customFormat="1" hidden="1">
      <c r="B562" s="267"/>
      <c r="C562" s="267"/>
      <c r="D562" s="267"/>
      <c r="E562" s="267"/>
      <c r="F562" s="267"/>
    </row>
    <row r="563" spans="2:6" s="266" customFormat="1" hidden="1">
      <c r="B563" s="267"/>
      <c r="C563" s="267"/>
      <c r="D563" s="267"/>
      <c r="E563" s="267"/>
      <c r="F563" s="267"/>
    </row>
    <row r="564" spans="2:6" s="266" customFormat="1" hidden="1">
      <c r="B564" s="267"/>
      <c r="C564" s="267"/>
      <c r="D564" s="267"/>
      <c r="E564" s="267"/>
      <c r="F564" s="267"/>
    </row>
    <row r="565" spans="2:6" s="266" customFormat="1" hidden="1">
      <c r="B565" s="267"/>
      <c r="C565" s="267"/>
      <c r="D565" s="267"/>
      <c r="E565" s="267"/>
      <c r="F565" s="267"/>
    </row>
    <row r="566" spans="2:6" s="266" customFormat="1" hidden="1">
      <c r="B566" s="267"/>
      <c r="C566" s="267"/>
      <c r="D566" s="267"/>
      <c r="E566" s="267"/>
      <c r="F566" s="267"/>
    </row>
    <row r="567" spans="2:6" s="266" customFormat="1" hidden="1">
      <c r="B567" s="267"/>
      <c r="C567" s="267"/>
      <c r="D567" s="267"/>
      <c r="E567" s="267"/>
      <c r="F567" s="267"/>
    </row>
    <row r="568" spans="2:6" s="266" customFormat="1" hidden="1">
      <c r="B568" s="267"/>
      <c r="C568" s="267"/>
      <c r="D568" s="267"/>
      <c r="E568" s="267"/>
      <c r="F568" s="267"/>
    </row>
    <row r="569" spans="2:6" s="266" customFormat="1" hidden="1">
      <c r="B569" s="267"/>
      <c r="C569" s="267"/>
      <c r="D569" s="267"/>
      <c r="E569" s="267"/>
      <c r="F569" s="267"/>
    </row>
    <row r="570" spans="2:6" s="266" customFormat="1" hidden="1">
      <c r="B570" s="267"/>
      <c r="C570" s="267"/>
      <c r="D570" s="267"/>
      <c r="E570" s="267"/>
      <c r="F570" s="267"/>
    </row>
    <row r="571" spans="2:6" s="266" customFormat="1" hidden="1">
      <c r="B571" s="267"/>
      <c r="C571" s="267"/>
      <c r="D571" s="267"/>
      <c r="E571" s="267"/>
      <c r="F571" s="267"/>
    </row>
    <row r="572" spans="2:6" s="266" customFormat="1" hidden="1">
      <c r="B572" s="267"/>
      <c r="C572" s="267"/>
      <c r="D572" s="267"/>
      <c r="E572" s="267"/>
      <c r="F572" s="267"/>
    </row>
    <row r="573" spans="2:6" s="266" customFormat="1" hidden="1">
      <c r="B573" s="267"/>
      <c r="C573" s="267"/>
      <c r="D573" s="267"/>
      <c r="E573" s="267"/>
      <c r="F573" s="267"/>
    </row>
    <row r="574" spans="2:6" s="266" customFormat="1" hidden="1">
      <c r="B574" s="267"/>
      <c r="C574" s="267"/>
      <c r="D574" s="267"/>
      <c r="E574" s="267"/>
      <c r="F574" s="267"/>
    </row>
    <row r="575" spans="2:6" s="266" customFormat="1" hidden="1">
      <c r="B575" s="267"/>
      <c r="C575" s="267"/>
      <c r="D575" s="267"/>
      <c r="E575" s="267"/>
      <c r="F575" s="267"/>
    </row>
    <row r="576" spans="2:6" s="266" customFormat="1" hidden="1">
      <c r="B576" s="267"/>
      <c r="C576" s="267"/>
      <c r="D576" s="267"/>
      <c r="E576" s="267"/>
      <c r="F576" s="267"/>
    </row>
    <row r="577" spans="2:6" s="266" customFormat="1" hidden="1">
      <c r="B577" s="267"/>
      <c r="C577" s="267"/>
      <c r="D577" s="267"/>
      <c r="E577" s="267"/>
      <c r="F577" s="267"/>
    </row>
    <row r="578" spans="2:6" s="266" customFormat="1" hidden="1">
      <c r="B578" s="267"/>
      <c r="C578" s="267"/>
      <c r="D578" s="267"/>
      <c r="E578" s="267"/>
      <c r="F578" s="267"/>
    </row>
    <row r="579" spans="2:6" s="266" customFormat="1" hidden="1">
      <c r="B579" s="267"/>
      <c r="C579" s="267"/>
      <c r="D579" s="267"/>
      <c r="E579" s="267"/>
      <c r="F579" s="267"/>
    </row>
    <row r="580" spans="2:6" s="266" customFormat="1" hidden="1">
      <c r="B580" s="267"/>
      <c r="C580" s="267"/>
      <c r="D580" s="267"/>
      <c r="E580" s="267"/>
      <c r="F580" s="267"/>
    </row>
    <row r="581" spans="2:6" s="266" customFormat="1" hidden="1">
      <c r="B581" s="267"/>
      <c r="C581" s="267"/>
      <c r="D581" s="267"/>
      <c r="E581" s="267"/>
      <c r="F581" s="267"/>
    </row>
    <row r="582" spans="2:6" s="266" customFormat="1" hidden="1">
      <c r="B582" s="267"/>
      <c r="C582" s="267"/>
      <c r="D582" s="267"/>
      <c r="E582" s="267"/>
      <c r="F582" s="267"/>
    </row>
    <row r="583" spans="2:6" s="266" customFormat="1" hidden="1">
      <c r="B583" s="267"/>
      <c r="C583" s="267"/>
      <c r="D583" s="267"/>
      <c r="E583" s="267"/>
      <c r="F583" s="267"/>
    </row>
    <row r="584" spans="2:6" s="266" customFormat="1" hidden="1">
      <c r="B584" s="267"/>
      <c r="C584" s="267"/>
      <c r="D584" s="267"/>
      <c r="E584" s="267"/>
      <c r="F584" s="267"/>
    </row>
    <row r="585" spans="2:6" s="266" customFormat="1" hidden="1">
      <c r="B585" s="267"/>
      <c r="C585" s="267"/>
      <c r="D585" s="267"/>
      <c r="E585" s="267"/>
      <c r="F585" s="267"/>
    </row>
    <row r="586" spans="2:6" s="266" customFormat="1" hidden="1">
      <c r="B586" s="267"/>
      <c r="C586" s="267"/>
      <c r="D586" s="267"/>
      <c r="E586" s="267"/>
      <c r="F586" s="267"/>
    </row>
    <row r="587" spans="2:6" s="266" customFormat="1" hidden="1">
      <c r="B587" s="267"/>
      <c r="C587" s="267"/>
      <c r="D587" s="267"/>
      <c r="E587" s="267"/>
      <c r="F587" s="267"/>
    </row>
    <row r="588" spans="2:6" s="266" customFormat="1" hidden="1">
      <c r="B588" s="267"/>
      <c r="C588" s="267"/>
      <c r="D588" s="267"/>
      <c r="E588" s="267"/>
      <c r="F588" s="267"/>
    </row>
    <row r="589" spans="2:6" s="266" customFormat="1" hidden="1">
      <c r="B589" s="267"/>
      <c r="C589" s="267"/>
      <c r="D589" s="267"/>
      <c r="E589" s="267"/>
      <c r="F589" s="267"/>
    </row>
    <row r="590" spans="2:6" s="266" customFormat="1" hidden="1">
      <c r="B590" s="267"/>
      <c r="C590" s="267"/>
      <c r="D590" s="267"/>
      <c r="E590" s="267"/>
      <c r="F590" s="267"/>
    </row>
    <row r="591" spans="2:6" s="266" customFormat="1" hidden="1">
      <c r="B591" s="267"/>
      <c r="C591" s="267"/>
      <c r="D591" s="267"/>
      <c r="E591" s="267"/>
      <c r="F591" s="267"/>
    </row>
    <row r="592" spans="2:6" s="266" customFormat="1" hidden="1">
      <c r="B592" s="267"/>
      <c r="C592" s="267"/>
      <c r="D592" s="267"/>
      <c r="E592" s="267"/>
      <c r="F592" s="267"/>
    </row>
    <row r="593" spans="2:6" s="266" customFormat="1" hidden="1">
      <c r="B593" s="267"/>
      <c r="C593" s="267"/>
      <c r="D593" s="267"/>
      <c r="E593" s="267"/>
      <c r="F593" s="267"/>
    </row>
    <row r="594" spans="2:6" s="266" customFormat="1" hidden="1">
      <c r="B594" s="267"/>
      <c r="C594" s="267"/>
      <c r="D594" s="267"/>
      <c r="E594" s="267"/>
      <c r="F594" s="267"/>
    </row>
    <row r="595" spans="2:6" s="266" customFormat="1" hidden="1">
      <c r="B595" s="267"/>
      <c r="C595" s="267"/>
      <c r="D595" s="267"/>
      <c r="E595" s="267"/>
      <c r="F595" s="267"/>
    </row>
    <row r="596" spans="2:6" s="266" customFormat="1" hidden="1">
      <c r="B596" s="267"/>
      <c r="C596" s="267"/>
      <c r="D596" s="267"/>
      <c r="E596" s="267"/>
      <c r="F596" s="267"/>
    </row>
    <row r="597" spans="2:6" s="266" customFormat="1" hidden="1">
      <c r="B597" s="267"/>
      <c r="C597" s="267"/>
      <c r="D597" s="267"/>
      <c r="E597" s="267"/>
      <c r="F597" s="267"/>
    </row>
    <row r="598" spans="2:6" s="266" customFormat="1" hidden="1">
      <c r="B598" s="267"/>
      <c r="C598" s="267"/>
      <c r="D598" s="267"/>
      <c r="E598" s="267"/>
      <c r="F598" s="267"/>
    </row>
    <row r="599" spans="2:6" s="266" customFormat="1" hidden="1">
      <c r="B599" s="267"/>
      <c r="C599" s="267"/>
      <c r="D599" s="267"/>
      <c r="E599" s="267"/>
      <c r="F599" s="267"/>
    </row>
    <row r="600" spans="2:6" s="266" customFormat="1" hidden="1">
      <c r="B600" s="267"/>
      <c r="C600" s="267"/>
      <c r="D600" s="267"/>
      <c r="E600" s="267"/>
      <c r="F600" s="267"/>
    </row>
    <row r="601" spans="2:6" s="266" customFormat="1" hidden="1">
      <c r="B601" s="267"/>
      <c r="C601" s="267"/>
      <c r="D601" s="267"/>
      <c r="E601" s="267"/>
      <c r="F601" s="267"/>
    </row>
    <row r="602" spans="2:6" s="266" customFormat="1" hidden="1">
      <c r="B602" s="267"/>
      <c r="C602" s="267"/>
      <c r="D602" s="267"/>
      <c r="E602" s="267"/>
      <c r="F602" s="267"/>
    </row>
    <row r="603" spans="2:6" s="266" customFormat="1" hidden="1">
      <c r="B603" s="267"/>
      <c r="C603" s="267"/>
      <c r="D603" s="267"/>
      <c r="E603" s="267"/>
      <c r="F603" s="267"/>
    </row>
    <row r="604" spans="2:6" s="266" customFormat="1" hidden="1">
      <c r="B604" s="267"/>
      <c r="C604" s="267"/>
      <c r="D604" s="267"/>
      <c r="E604" s="267"/>
      <c r="F604" s="267"/>
    </row>
    <row r="605" spans="2:6" s="266" customFormat="1" hidden="1">
      <c r="B605" s="267"/>
      <c r="C605" s="267"/>
      <c r="D605" s="267"/>
      <c r="E605" s="267"/>
      <c r="F605" s="267"/>
    </row>
    <row r="606" spans="2:6" s="266" customFormat="1" hidden="1">
      <c r="B606" s="267"/>
      <c r="C606" s="267"/>
      <c r="D606" s="267"/>
      <c r="E606" s="267"/>
      <c r="F606" s="267"/>
    </row>
    <row r="607" spans="2:6" s="266" customFormat="1" hidden="1">
      <c r="B607" s="267"/>
      <c r="C607" s="267"/>
      <c r="D607" s="267"/>
      <c r="E607" s="267"/>
      <c r="F607" s="267"/>
    </row>
    <row r="608" spans="2:6" s="266" customFormat="1" hidden="1">
      <c r="B608" s="267"/>
      <c r="C608" s="267"/>
      <c r="D608" s="267"/>
      <c r="E608" s="267"/>
      <c r="F608" s="267"/>
    </row>
    <row r="609" spans="2:6" s="266" customFormat="1" hidden="1">
      <c r="B609" s="267"/>
      <c r="C609" s="267"/>
      <c r="D609" s="267"/>
      <c r="E609" s="267"/>
      <c r="F609" s="267"/>
    </row>
    <row r="610" spans="2:6" s="266" customFormat="1" hidden="1">
      <c r="B610" s="267"/>
      <c r="C610" s="267"/>
      <c r="D610" s="267"/>
      <c r="E610" s="267"/>
      <c r="F610" s="267"/>
    </row>
    <row r="611" spans="2:6" s="266" customFormat="1" hidden="1">
      <c r="B611" s="267"/>
      <c r="C611" s="267"/>
      <c r="D611" s="267"/>
      <c r="E611" s="267"/>
      <c r="F611" s="267"/>
    </row>
    <row r="612" spans="2:6" s="266" customFormat="1" hidden="1">
      <c r="B612" s="267"/>
      <c r="C612" s="267"/>
      <c r="D612" s="267"/>
      <c r="E612" s="267"/>
      <c r="F612" s="267"/>
    </row>
    <row r="613" spans="2:6" s="266" customFormat="1" hidden="1">
      <c r="B613" s="267"/>
      <c r="C613" s="267"/>
      <c r="D613" s="267"/>
      <c r="E613" s="267"/>
      <c r="F613" s="267"/>
    </row>
    <row r="614" spans="2:6" s="266" customFormat="1" hidden="1">
      <c r="B614" s="267"/>
      <c r="C614" s="267"/>
      <c r="D614" s="267"/>
      <c r="E614" s="267"/>
      <c r="F614" s="267"/>
    </row>
    <row r="615" spans="2:6" s="266" customFormat="1" hidden="1">
      <c r="B615" s="267"/>
      <c r="C615" s="267"/>
      <c r="D615" s="267"/>
      <c r="E615" s="267"/>
      <c r="F615" s="267"/>
    </row>
    <row r="616" spans="2:6" s="266" customFormat="1" hidden="1">
      <c r="B616" s="267"/>
      <c r="C616" s="267"/>
      <c r="D616" s="267"/>
      <c r="E616" s="267"/>
      <c r="F616" s="267"/>
    </row>
    <row r="617" spans="2:6" s="266" customFormat="1" hidden="1">
      <c r="B617" s="267"/>
      <c r="C617" s="267"/>
      <c r="D617" s="267"/>
      <c r="E617" s="267"/>
      <c r="F617" s="267"/>
    </row>
    <row r="618" spans="2:6" s="266" customFormat="1" hidden="1">
      <c r="B618" s="267"/>
      <c r="C618" s="267"/>
      <c r="D618" s="267"/>
      <c r="E618" s="267"/>
      <c r="F618" s="267"/>
    </row>
    <row r="619" spans="2:6" s="266" customFormat="1" hidden="1">
      <c r="B619" s="267"/>
      <c r="C619" s="267"/>
      <c r="D619" s="267"/>
      <c r="E619" s="267"/>
      <c r="F619" s="267"/>
    </row>
    <row r="620" spans="2:6" s="266" customFormat="1" hidden="1">
      <c r="B620" s="267"/>
      <c r="C620" s="267"/>
      <c r="D620" s="267"/>
      <c r="E620" s="267"/>
      <c r="F620" s="267"/>
    </row>
    <row r="621" spans="2:6" s="270" customFormat="1" hidden="1">
      <c r="B621" s="271"/>
      <c r="C621" s="271"/>
      <c r="D621" s="271"/>
      <c r="E621" s="271"/>
      <c r="F621" s="271"/>
    </row>
    <row r="622" spans="2:6"/>
  </sheetData>
  <customSheetViews>
    <customSheetView guid="{CFA9FB8A-52FF-44B9-AE70-27339693E196}">
      <selection activeCell="D9" sqref="D9"/>
      <pageMargins left="0.7" right="0.7" top="0.75" bottom="0.75" header="0.3" footer="0.3"/>
      <pageSetup orientation="portrait" r:id="rId1"/>
    </customSheetView>
  </customSheetViews>
  <mergeCells count="6">
    <mergeCell ref="B8:E8"/>
    <mergeCell ref="B5:E5"/>
    <mergeCell ref="B2:E2"/>
    <mergeCell ref="B3:E3"/>
    <mergeCell ref="B6:E6"/>
    <mergeCell ref="B7:E7"/>
  </mergeCells>
  <printOptions horizontalCentered="1"/>
  <pageMargins left="0.7" right="0.7" top="1.25" bottom="0.5" header="0.3" footer="0"/>
  <pageSetup orientation="landscape" r:id="rId2"/>
  <headerFooter scaleWithDoc="0">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44"/>
  <sheetViews>
    <sheetView zoomScaleNormal="100" workbookViewId="0">
      <pane ySplit="4" topLeftCell="A1217" activePane="bottomLeft" state="frozen"/>
      <selection pane="bottomLeft" activeCell="I1226" sqref="I1226:I1227"/>
    </sheetView>
  </sheetViews>
  <sheetFormatPr defaultColWidth="0" defaultRowHeight="15" zeroHeight="1"/>
  <cols>
    <col min="1" max="1" width="5.109375" customWidth="1"/>
    <col min="2" max="2" width="4.109375" customWidth="1"/>
    <col min="3" max="3" width="17.5546875" customWidth="1"/>
    <col min="4" max="4" width="10" customWidth="1"/>
    <col min="5" max="5" width="4.33203125" customWidth="1"/>
    <col min="6" max="6" width="5.5546875" customWidth="1"/>
    <col min="7" max="7" width="11.21875" customWidth="1"/>
    <col min="8" max="8" width="6" customWidth="1"/>
    <col min="9" max="9" width="5.88671875" customWidth="1"/>
    <col min="10" max="10" width="6.77734375" customWidth="1"/>
    <col min="11" max="11" width="7.6640625" customWidth="1"/>
    <col min="12" max="12" width="8.6640625" customWidth="1"/>
    <col min="13" max="13" width="7.5546875" customWidth="1"/>
    <col min="14" max="14" width="8.44140625" customWidth="1"/>
    <col min="15" max="15" width="8.88671875" customWidth="1"/>
    <col min="16" max="19" width="12.77734375" customWidth="1"/>
  </cols>
  <sheetData>
    <row r="1" spans="1:18" ht="39.950000000000003" customHeight="1" thickTop="1" thickBot="1">
      <c r="A1" s="1024" t="s">
        <v>1467</v>
      </c>
      <c r="B1" s="1049"/>
      <c r="C1" s="1049"/>
      <c r="D1" s="1049"/>
      <c r="E1" s="1049"/>
      <c r="F1" s="1049"/>
      <c r="G1" s="1049"/>
      <c r="H1" s="1049"/>
      <c r="I1" s="1049"/>
      <c r="J1" s="1049"/>
      <c r="K1" s="1049"/>
      <c r="L1" s="1049"/>
      <c r="M1" s="1049"/>
      <c r="N1" s="1050"/>
    </row>
    <row r="2" spans="1:18" ht="15.75">
      <c r="A2" s="43"/>
      <c r="B2" s="44" t="s">
        <v>182</v>
      </c>
      <c r="C2" s="45"/>
      <c r="D2" s="45"/>
      <c r="E2" s="45"/>
      <c r="F2" s="46"/>
      <c r="G2" s="440" t="s">
        <v>139</v>
      </c>
      <c r="H2" s="46"/>
      <c r="I2" s="44"/>
      <c r="J2" s="435" t="s">
        <v>190</v>
      </c>
      <c r="K2" s="44" t="s">
        <v>204</v>
      </c>
      <c r="L2" s="44" t="s">
        <v>204</v>
      </c>
      <c r="M2" s="44" t="s">
        <v>204</v>
      </c>
      <c r="N2" s="436" t="s">
        <v>471</v>
      </c>
      <c r="P2" s="20" t="s">
        <v>194</v>
      </c>
      <c r="Q2" s="20" t="s">
        <v>194</v>
      </c>
      <c r="R2" s="20" t="s">
        <v>194</v>
      </c>
    </row>
    <row r="3" spans="1:18" ht="15.75">
      <c r="A3" s="856" t="s">
        <v>180</v>
      </c>
      <c r="B3" s="48" t="s">
        <v>174</v>
      </c>
      <c r="C3" s="300" t="s">
        <v>136</v>
      </c>
      <c r="D3" s="48" t="s">
        <v>156</v>
      </c>
      <c r="E3" s="48" t="s">
        <v>157</v>
      </c>
      <c r="F3" s="48" t="s">
        <v>143</v>
      </c>
      <c r="G3" s="300" t="s">
        <v>828</v>
      </c>
      <c r="H3" s="48" t="s">
        <v>140</v>
      </c>
      <c r="I3" s="48" t="s">
        <v>183</v>
      </c>
      <c r="J3" s="48" t="s">
        <v>184</v>
      </c>
      <c r="K3" s="48" t="s">
        <v>137</v>
      </c>
      <c r="L3" s="48" t="s">
        <v>137</v>
      </c>
      <c r="M3" s="48" t="s">
        <v>137</v>
      </c>
      <c r="N3" s="437" t="s">
        <v>137</v>
      </c>
      <c r="P3" s="20" t="s">
        <v>197</v>
      </c>
      <c r="Q3" s="4" t="s">
        <v>843</v>
      </c>
      <c r="R3" s="4" t="s">
        <v>984</v>
      </c>
    </row>
    <row r="4" spans="1:18" ht="16.5" thickBot="1">
      <c r="A4" s="857" t="s">
        <v>181</v>
      </c>
      <c r="B4" s="50" t="s">
        <v>143</v>
      </c>
      <c r="C4" s="50"/>
      <c r="D4" s="301"/>
      <c r="E4" s="301"/>
      <c r="F4" s="302"/>
      <c r="G4" s="50" t="s">
        <v>829</v>
      </c>
      <c r="H4" s="299"/>
      <c r="I4" s="51" t="s">
        <v>141</v>
      </c>
      <c r="J4" s="51" t="s">
        <v>142</v>
      </c>
      <c r="K4" s="51" t="s">
        <v>186</v>
      </c>
      <c r="L4" s="51" t="s">
        <v>138</v>
      </c>
      <c r="M4" s="51" t="s">
        <v>185</v>
      </c>
      <c r="N4" s="438" t="s">
        <v>138</v>
      </c>
      <c r="P4" s="20" t="s">
        <v>196</v>
      </c>
      <c r="Q4" s="4" t="s">
        <v>758</v>
      </c>
      <c r="R4" s="4" t="s">
        <v>196</v>
      </c>
    </row>
    <row r="5" spans="1:18" ht="15.75" thickTop="1">
      <c r="A5" s="475">
        <v>1</v>
      </c>
      <c r="B5" s="476">
        <v>1</v>
      </c>
      <c r="C5" s="471">
        <v>18387</v>
      </c>
      <c r="D5" s="763" t="str">
        <f t="shared" ref="D5:D68" si="0">+TEXT(C5,"mmmm")</f>
        <v>May</v>
      </c>
      <c r="E5" s="476">
        <v>4</v>
      </c>
      <c r="F5" s="478">
        <v>1950</v>
      </c>
      <c r="G5" s="476" t="s">
        <v>105</v>
      </c>
      <c r="H5" s="478" t="s">
        <v>124</v>
      </c>
      <c r="I5" s="479">
        <v>50</v>
      </c>
      <c r="J5" s="479">
        <v>1.9</v>
      </c>
      <c r="K5" s="478">
        <f>HOUR(M5)</f>
        <v>20</v>
      </c>
      <c r="L5" s="480">
        <v>0.85416666666666663</v>
      </c>
      <c r="M5" s="481">
        <f>+L5</f>
        <v>0.85416666666666663</v>
      </c>
      <c r="N5" s="518"/>
      <c r="P5" s="29" t="str">
        <f>CONCATENATE(F5,H5)</f>
        <v>1950F2</v>
      </c>
      <c r="Q5" s="29" t="str">
        <f>CONCATENATE(H5,K5)</f>
        <v>F220</v>
      </c>
      <c r="R5" s="29" t="str">
        <f>CONCATENATE(D5,H5)</f>
        <v>MayF2</v>
      </c>
    </row>
    <row r="6" spans="1:18">
      <c r="A6" s="483">
        <f>+A5+1</f>
        <v>2</v>
      </c>
      <c r="B6" s="484">
        <v>2</v>
      </c>
      <c r="C6" s="485">
        <v>18394</v>
      </c>
      <c r="D6" s="763" t="str">
        <f t="shared" si="0"/>
        <v>May</v>
      </c>
      <c r="E6" s="484">
        <v>11</v>
      </c>
      <c r="F6" s="472">
        <v>1950</v>
      </c>
      <c r="G6" s="484" t="s">
        <v>101</v>
      </c>
      <c r="H6" s="472" t="s">
        <v>123</v>
      </c>
      <c r="I6" s="486">
        <v>77</v>
      </c>
      <c r="J6" s="486">
        <v>0.5</v>
      </c>
      <c r="K6" s="472">
        <f t="shared" ref="K6:K68" si="1">HOUR(M6)</f>
        <v>18</v>
      </c>
      <c r="L6" s="473">
        <v>0.77083333333333337</v>
      </c>
      <c r="M6" s="474">
        <f t="shared" ref="M6:M68" si="2">+L6</f>
        <v>0.77083333333333337</v>
      </c>
      <c r="N6" s="519"/>
      <c r="P6" s="29" t="str">
        <f t="shared" ref="P6:P69" si="3">CONCATENATE(F6,H6)</f>
        <v>1950F1</v>
      </c>
      <c r="Q6" s="29" t="str">
        <f t="shared" ref="Q6:Q69" si="4">CONCATENATE(H6,K6)</f>
        <v>F118</v>
      </c>
      <c r="R6" s="29" t="str">
        <f t="shared" ref="R6:R69" si="5">CONCATENATE(D6,H6)</f>
        <v>MayF1</v>
      </c>
    </row>
    <row r="7" spans="1:18">
      <c r="A7" s="483">
        <f t="shared" ref="A7:A19" si="6">+A6+1</f>
        <v>3</v>
      </c>
      <c r="B7" s="484">
        <v>3</v>
      </c>
      <c r="C7" s="485">
        <v>18433</v>
      </c>
      <c r="D7" s="763" t="str">
        <f t="shared" si="0"/>
        <v>June</v>
      </c>
      <c r="E7" s="484">
        <v>19</v>
      </c>
      <c r="F7" s="472">
        <v>1950</v>
      </c>
      <c r="G7" s="484" t="s">
        <v>107</v>
      </c>
      <c r="H7" s="472" t="s">
        <v>122</v>
      </c>
      <c r="I7" s="486">
        <v>167</v>
      </c>
      <c r="J7" s="486">
        <v>15.8</v>
      </c>
      <c r="K7" s="472">
        <f t="shared" si="1"/>
        <v>20</v>
      </c>
      <c r="L7" s="473">
        <v>0.86111111111111116</v>
      </c>
      <c r="M7" s="474">
        <f t="shared" si="2"/>
        <v>0.86111111111111116</v>
      </c>
      <c r="N7" s="519"/>
      <c r="P7" s="29" t="str">
        <f t="shared" si="3"/>
        <v>1950F0</v>
      </c>
      <c r="Q7" s="29" t="str">
        <f t="shared" si="4"/>
        <v>F020</v>
      </c>
      <c r="R7" s="29" t="str">
        <f t="shared" si="5"/>
        <v>JuneF0</v>
      </c>
    </row>
    <row r="8" spans="1:18">
      <c r="A8" s="483">
        <f t="shared" si="6"/>
        <v>4</v>
      </c>
      <c r="B8" s="484">
        <v>4</v>
      </c>
      <c r="C8" s="485">
        <v>18537</v>
      </c>
      <c r="D8" s="763" t="str">
        <f t="shared" si="0"/>
        <v>October</v>
      </c>
      <c r="E8" s="484">
        <v>1</v>
      </c>
      <c r="F8" s="472">
        <v>1950</v>
      </c>
      <c r="G8" s="484" t="s">
        <v>99</v>
      </c>
      <c r="H8" s="472" t="s">
        <v>123</v>
      </c>
      <c r="I8" s="486">
        <v>33</v>
      </c>
      <c r="J8" s="486">
        <v>15.8</v>
      </c>
      <c r="K8" s="472">
        <f t="shared" si="1"/>
        <v>21</v>
      </c>
      <c r="L8" s="473">
        <v>0.875</v>
      </c>
      <c r="M8" s="474">
        <f t="shared" si="2"/>
        <v>0.875</v>
      </c>
      <c r="N8" s="519"/>
      <c r="P8" s="29" t="str">
        <f t="shared" si="3"/>
        <v>1950F1</v>
      </c>
      <c r="Q8" s="29" t="str">
        <f t="shared" si="4"/>
        <v>F121</v>
      </c>
      <c r="R8" s="29" t="str">
        <f t="shared" si="5"/>
        <v>OctoberF1</v>
      </c>
    </row>
    <row r="9" spans="1:18">
      <c r="A9" s="483">
        <f t="shared" si="6"/>
        <v>5</v>
      </c>
      <c r="B9" s="484">
        <v>1</v>
      </c>
      <c r="C9" s="485">
        <v>18744</v>
      </c>
      <c r="D9" s="763" t="str">
        <f t="shared" si="0"/>
        <v>April</v>
      </c>
      <c r="E9" s="484">
        <v>26</v>
      </c>
      <c r="F9" s="472">
        <v>1951</v>
      </c>
      <c r="G9" s="484" t="s">
        <v>101</v>
      </c>
      <c r="H9" s="472" t="s">
        <v>123</v>
      </c>
      <c r="I9" s="486">
        <v>10</v>
      </c>
      <c r="J9" s="486">
        <v>0.1</v>
      </c>
      <c r="K9" s="472">
        <f t="shared" si="1"/>
        <v>19</v>
      </c>
      <c r="L9" s="473">
        <v>0.80208333333333337</v>
      </c>
      <c r="M9" s="474">
        <f t="shared" si="2"/>
        <v>0.80208333333333337</v>
      </c>
      <c r="N9" s="519"/>
      <c r="P9" s="29" t="str">
        <f t="shared" si="3"/>
        <v>1951F1</v>
      </c>
      <c r="Q9" s="29" t="str">
        <f t="shared" si="4"/>
        <v>F119</v>
      </c>
      <c r="R9" s="29" t="str">
        <f t="shared" si="5"/>
        <v>AprilF1</v>
      </c>
    </row>
    <row r="10" spans="1:18">
      <c r="A10" s="483">
        <f t="shared" si="6"/>
        <v>6</v>
      </c>
      <c r="B10" s="484">
        <v>2</v>
      </c>
      <c r="C10" s="485">
        <v>18762</v>
      </c>
      <c r="D10" s="763" t="str">
        <f t="shared" si="0"/>
        <v>May</v>
      </c>
      <c r="E10" s="484">
        <v>14</v>
      </c>
      <c r="F10" s="472">
        <v>1951</v>
      </c>
      <c r="G10" s="484" t="s">
        <v>100</v>
      </c>
      <c r="H10" s="472" t="s">
        <v>124</v>
      </c>
      <c r="I10" s="486">
        <v>10</v>
      </c>
      <c r="J10" s="486">
        <v>0.1</v>
      </c>
      <c r="K10" s="472">
        <f t="shared" si="1"/>
        <v>18</v>
      </c>
      <c r="L10" s="473">
        <v>0.75</v>
      </c>
      <c r="M10" s="474">
        <f t="shared" si="2"/>
        <v>0.75</v>
      </c>
      <c r="N10" s="519"/>
      <c r="P10" s="29" t="str">
        <f t="shared" si="3"/>
        <v>1951F2</v>
      </c>
      <c r="Q10" s="29" t="str">
        <f t="shared" si="4"/>
        <v>F218</v>
      </c>
      <c r="R10" s="29" t="str">
        <f t="shared" si="5"/>
        <v>MayF2</v>
      </c>
    </row>
    <row r="11" spans="1:18">
      <c r="A11" s="483">
        <f t="shared" si="6"/>
        <v>7</v>
      </c>
      <c r="B11" s="484">
        <v>3</v>
      </c>
      <c r="C11" s="485">
        <v>18762</v>
      </c>
      <c r="D11" s="763" t="str">
        <f t="shared" si="0"/>
        <v>May</v>
      </c>
      <c r="E11" s="484">
        <v>14</v>
      </c>
      <c r="F11" s="472">
        <v>1951</v>
      </c>
      <c r="G11" s="484" t="s">
        <v>100</v>
      </c>
      <c r="H11" s="472" t="s">
        <v>124</v>
      </c>
      <c r="I11" s="486">
        <v>10</v>
      </c>
      <c r="J11" s="486">
        <v>0.1</v>
      </c>
      <c r="K11" s="472">
        <f t="shared" si="1"/>
        <v>18</v>
      </c>
      <c r="L11" s="473">
        <v>0.75</v>
      </c>
      <c r="M11" s="474">
        <f t="shared" si="2"/>
        <v>0.75</v>
      </c>
      <c r="N11" s="519"/>
      <c r="P11" s="29" t="str">
        <f t="shared" si="3"/>
        <v>1951F2</v>
      </c>
      <c r="Q11" s="29" t="str">
        <f t="shared" si="4"/>
        <v>F218</v>
      </c>
      <c r="R11" s="29" t="str">
        <f t="shared" si="5"/>
        <v>MayF2</v>
      </c>
    </row>
    <row r="12" spans="1:18">
      <c r="A12" s="483">
        <f t="shared" si="6"/>
        <v>8</v>
      </c>
      <c r="B12" s="484">
        <v>4</v>
      </c>
      <c r="C12" s="485">
        <v>18779</v>
      </c>
      <c r="D12" s="763" t="str">
        <f t="shared" si="0"/>
        <v>May</v>
      </c>
      <c r="E12" s="484">
        <v>31</v>
      </c>
      <c r="F12" s="472">
        <v>1951</v>
      </c>
      <c r="G12" s="484" t="s">
        <v>109</v>
      </c>
      <c r="H12" s="472" t="s">
        <v>123</v>
      </c>
      <c r="I12" s="486">
        <v>17</v>
      </c>
      <c r="J12" s="486">
        <v>0.5</v>
      </c>
      <c r="K12" s="472">
        <f t="shared" si="1"/>
        <v>16</v>
      </c>
      <c r="L12" s="473">
        <v>0.66666666666666663</v>
      </c>
      <c r="M12" s="474">
        <f t="shared" si="2"/>
        <v>0.66666666666666663</v>
      </c>
      <c r="N12" s="519"/>
      <c r="P12" s="29" t="str">
        <f t="shared" si="3"/>
        <v>1951F1</v>
      </c>
      <c r="Q12" s="29" t="str">
        <f t="shared" si="4"/>
        <v>F116</v>
      </c>
      <c r="R12" s="29" t="str">
        <f t="shared" si="5"/>
        <v>MayF1</v>
      </c>
    </row>
    <row r="13" spans="1:18">
      <c r="A13" s="483">
        <f t="shared" si="6"/>
        <v>9</v>
      </c>
      <c r="B13" s="484">
        <v>5</v>
      </c>
      <c r="C13" s="485">
        <v>18784</v>
      </c>
      <c r="D13" s="763" t="str">
        <f t="shared" si="0"/>
        <v>June</v>
      </c>
      <c r="E13" s="484">
        <v>5</v>
      </c>
      <c r="F13" s="472">
        <v>1951</v>
      </c>
      <c r="G13" s="484" t="s">
        <v>100</v>
      </c>
      <c r="H13" s="472" t="s">
        <v>124</v>
      </c>
      <c r="I13" s="486">
        <v>10</v>
      </c>
      <c r="J13" s="486">
        <v>0.1</v>
      </c>
      <c r="K13" s="472">
        <f t="shared" si="1"/>
        <v>18</v>
      </c>
      <c r="L13" s="473">
        <v>0.75</v>
      </c>
      <c r="M13" s="474">
        <f t="shared" si="2"/>
        <v>0.75</v>
      </c>
      <c r="N13" s="519"/>
      <c r="P13" s="29" t="str">
        <f t="shared" si="3"/>
        <v>1951F2</v>
      </c>
      <c r="Q13" s="29" t="str">
        <f t="shared" si="4"/>
        <v>F218</v>
      </c>
      <c r="R13" s="29" t="str">
        <f t="shared" si="5"/>
        <v>JuneF2</v>
      </c>
    </row>
    <row r="14" spans="1:18">
      <c r="A14" s="483">
        <f t="shared" si="6"/>
        <v>10</v>
      </c>
      <c r="B14" s="484">
        <v>6</v>
      </c>
      <c r="C14" s="485">
        <v>18785</v>
      </c>
      <c r="D14" s="763" t="str">
        <f t="shared" si="0"/>
        <v>June</v>
      </c>
      <c r="E14" s="484">
        <v>6</v>
      </c>
      <c r="F14" s="472">
        <v>1951</v>
      </c>
      <c r="G14" s="484" t="s">
        <v>113</v>
      </c>
      <c r="H14" s="472" t="s">
        <v>123</v>
      </c>
      <c r="I14" s="486">
        <v>10</v>
      </c>
      <c r="J14" s="486">
        <v>0.1</v>
      </c>
      <c r="K14" s="472">
        <f t="shared" si="1"/>
        <v>18</v>
      </c>
      <c r="L14" s="473">
        <v>0.76388888888888884</v>
      </c>
      <c r="M14" s="474">
        <f t="shared" si="2"/>
        <v>0.76388888888888884</v>
      </c>
      <c r="N14" s="519"/>
      <c r="P14" s="29" t="str">
        <f t="shared" si="3"/>
        <v>1951F1</v>
      </c>
      <c r="Q14" s="29" t="str">
        <f t="shared" si="4"/>
        <v>F118</v>
      </c>
      <c r="R14" s="29" t="str">
        <f t="shared" si="5"/>
        <v>JuneF1</v>
      </c>
    </row>
    <row r="15" spans="1:18">
      <c r="A15" s="483">
        <f t="shared" si="6"/>
        <v>11</v>
      </c>
      <c r="B15" s="484">
        <v>7</v>
      </c>
      <c r="C15" s="485">
        <v>18785</v>
      </c>
      <c r="D15" s="763" t="str">
        <f t="shared" si="0"/>
        <v>June</v>
      </c>
      <c r="E15" s="484">
        <v>6</v>
      </c>
      <c r="F15" s="472">
        <v>1951</v>
      </c>
      <c r="G15" s="484" t="s">
        <v>114</v>
      </c>
      <c r="H15" s="472" t="s">
        <v>123</v>
      </c>
      <c r="I15" s="486">
        <v>10</v>
      </c>
      <c r="J15" s="486">
        <v>0.1</v>
      </c>
      <c r="K15" s="472">
        <f t="shared" si="1"/>
        <v>18</v>
      </c>
      <c r="L15" s="473">
        <v>0.78472222222222221</v>
      </c>
      <c r="M15" s="474">
        <f t="shared" si="2"/>
        <v>0.78472222222222221</v>
      </c>
      <c r="N15" s="519"/>
      <c r="P15" s="29" t="str">
        <f t="shared" si="3"/>
        <v>1951F1</v>
      </c>
      <c r="Q15" s="29" t="str">
        <f t="shared" si="4"/>
        <v>F118</v>
      </c>
      <c r="R15" s="29" t="str">
        <f t="shared" si="5"/>
        <v>JuneF1</v>
      </c>
    </row>
    <row r="16" spans="1:18">
      <c r="A16" s="483">
        <f t="shared" si="6"/>
        <v>12</v>
      </c>
      <c r="B16" s="484">
        <v>8</v>
      </c>
      <c r="C16" s="485">
        <v>18785</v>
      </c>
      <c r="D16" s="763" t="str">
        <f t="shared" si="0"/>
        <v>June</v>
      </c>
      <c r="E16" s="484">
        <v>6</v>
      </c>
      <c r="F16" s="472">
        <v>1951</v>
      </c>
      <c r="G16" s="484" t="s">
        <v>114</v>
      </c>
      <c r="H16" s="472" t="s">
        <v>125</v>
      </c>
      <c r="I16" s="486">
        <v>100</v>
      </c>
      <c r="J16" s="486">
        <v>10.4</v>
      </c>
      <c r="K16" s="472">
        <f t="shared" si="1"/>
        <v>20</v>
      </c>
      <c r="L16" s="473">
        <v>0.83750000000000002</v>
      </c>
      <c r="M16" s="474">
        <f t="shared" si="2"/>
        <v>0.83750000000000002</v>
      </c>
      <c r="N16" s="519"/>
      <c r="P16" s="29" t="str">
        <f t="shared" si="3"/>
        <v>1951F3</v>
      </c>
      <c r="Q16" s="29" t="str">
        <f t="shared" si="4"/>
        <v>F320</v>
      </c>
      <c r="R16" s="29" t="str">
        <f t="shared" si="5"/>
        <v>JuneF3</v>
      </c>
    </row>
    <row r="17" spans="1:18">
      <c r="A17" s="483">
        <f t="shared" si="6"/>
        <v>13</v>
      </c>
      <c r="B17" s="484">
        <v>9</v>
      </c>
      <c r="C17" s="485">
        <v>18785</v>
      </c>
      <c r="D17" s="763" t="str">
        <f t="shared" si="0"/>
        <v>June</v>
      </c>
      <c r="E17" s="484">
        <v>6</v>
      </c>
      <c r="F17" s="472">
        <v>1951</v>
      </c>
      <c r="G17" s="484" t="s">
        <v>115</v>
      </c>
      <c r="H17" s="472" t="s">
        <v>122</v>
      </c>
      <c r="I17" s="486">
        <v>10</v>
      </c>
      <c r="J17" s="486">
        <v>0.1</v>
      </c>
      <c r="K17" s="472">
        <f t="shared" si="1"/>
        <v>20</v>
      </c>
      <c r="L17" s="473">
        <v>0.86111111111111116</v>
      </c>
      <c r="M17" s="474">
        <f t="shared" si="2"/>
        <v>0.86111111111111116</v>
      </c>
      <c r="N17" s="519"/>
      <c r="P17" s="29" t="str">
        <f t="shared" si="3"/>
        <v>1951F0</v>
      </c>
      <c r="Q17" s="29" t="str">
        <f t="shared" si="4"/>
        <v>F020</v>
      </c>
      <c r="R17" s="29" t="str">
        <f t="shared" si="5"/>
        <v>JuneF0</v>
      </c>
    </row>
    <row r="18" spans="1:18">
      <c r="A18" s="483">
        <f t="shared" si="6"/>
        <v>14</v>
      </c>
      <c r="B18" s="484">
        <v>10</v>
      </c>
      <c r="C18" s="485">
        <v>18800</v>
      </c>
      <c r="D18" s="763" t="str">
        <f t="shared" si="0"/>
        <v>June</v>
      </c>
      <c r="E18" s="484">
        <v>21</v>
      </c>
      <c r="F18" s="472">
        <v>1951</v>
      </c>
      <c r="G18" s="484" t="s">
        <v>99</v>
      </c>
      <c r="H18" s="472" t="s">
        <v>123</v>
      </c>
      <c r="I18" s="486">
        <v>33</v>
      </c>
      <c r="J18" s="486">
        <v>4.3</v>
      </c>
      <c r="K18" s="472">
        <f t="shared" si="1"/>
        <v>17</v>
      </c>
      <c r="L18" s="473">
        <v>0.70833333333333337</v>
      </c>
      <c r="M18" s="474">
        <f t="shared" si="2"/>
        <v>0.70833333333333337</v>
      </c>
      <c r="N18" s="519"/>
      <c r="P18" s="29" t="str">
        <f t="shared" si="3"/>
        <v>1951F1</v>
      </c>
      <c r="Q18" s="29" t="str">
        <f t="shared" si="4"/>
        <v>F117</v>
      </c>
      <c r="R18" s="29" t="str">
        <f t="shared" si="5"/>
        <v>JuneF1</v>
      </c>
    </row>
    <row r="19" spans="1:18">
      <c r="A19" s="483">
        <f t="shared" si="6"/>
        <v>15</v>
      </c>
      <c r="B19" s="484">
        <v>1</v>
      </c>
      <c r="C19" s="485">
        <v>19191</v>
      </c>
      <c r="D19" s="763" t="str">
        <f t="shared" si="0"/>
        <v>July</v>
      </c>
      <c r="E19" s="484">
        <v>16</v>
      </c>
      <c r="F19" s="472">
        <v>1952</v>
      </c>
      <c r="G19" s="484" t="s">
        <v>101</v>
      </c>
      <c r="H19" s="472" t="s">
        <v>123</v>
      </c>
      <c r="I19" s="486">
        <v>30</v>
      </c>
      <c r="J19" s="486">
        <v>0.1</v>
      </c>
      <c r="K19" s="472">
        <f t="shared" si="1"/>
        <v>17</v>
      </c>
      <c r="L19" s="473">
        <v>0.72916666666666663</v>
      </c>
      <c r="M19" s="474">
        <f t="shared" si="2"/>
        <v>0.72916666666666663</v>
      </c>
      <c r="N19" s="519"/>
      <c r="P19" s="29" t="str">
        <f t="shared" si="3"/>
        <v>1952F1</v>
      </c>
      <c r="Q19" s="29" t="str">
        <f t="shared" si="4"/>
        <v>F117</v>
      </c>
      <c r="R19" s="29" t="str">
        <f t="shared" si="5"/>
        <v>JulyF1</v>
      </c>
    </row>
    <row r="20" spans="1:18">
      <c r="A20" s="483">
        <f t="shared" ref="A20:A70" si="7">+A19+1</f>
        <v>16</v>
      </c>
      <c r="B20" s="484">
        <v>1</v>
      </c>
      <c r="C20" s="485">
        <v>19515</v>
      </c>
      <c r="D20" s="763" t="str">
        <f t="shared" si="0"/>
        <v>June</v>
      </c>
      <c r="E20" s="484">
        <v>5</v>
      </c>
      <c r="F20" s="472">
        <v>1953</v>
      </c>
      <c r="G20" s="484" t="s">
        <v>121</v>
      </c>
      <c r="H20" s="472" t="s">
        <v>122</v>
      </c>
      <c r="I20" s="486">
        <v>10</v>
      </c>
      <c r="J20" s="486">
        <v>0.1</v>
      </c>
      <c r="K20" s="472">
        <f t="shared" si="1"/>
        <v>13</v>
      </c>
      <c r="L20" s="473">
        <v>0.5625</v>
      </c>
      <c r="M20" s="474">
        <f t="shared" si="2"/>
        <v>0.5625</v>
      </c>
      <c r="N20" s="519"/>
      <c r="P20" s="29" t="str">
        <f t="shared" si="3"/>
        <v>1953F0</v>
      </c>
      <c r="Q20" s="29" t="str">
        <f t="shared" si="4"/>
        <v>F013</v>
      </c>
      <c r="R20" s="29" t="str">
        <f t="shared" si="5"/>
        <v>JuneF0</v>
      </c>
    </row>
    <row r="21" spans="1:18">
      <c r="A21" s="483">
        <f t="shared" si="7"/>
        <v>17</v>
      </c>
      <c r="B21" s="484">
        <v>2</v>
      </c>
      <c r="C21" s="485">
        <v>19532</v>
      </c>
      <c r="D21" s="763" t="str">
        <f t="shared" si="0"/>
        <v>June</v>
      </c>
      <c r="E21" s="484">
        <v>22</v>
      </c>
      <c r="F21" s="472">
        <v>1953</v>
      </c>
      <c r="G21" s="484" t="s">
        <v>101</v>
      </c>
      <c r="H21" s="472" t="s">
        <v>123</v>
      </c>
      <c r="I21" s="486">
        <v>300</v>
      </c>
      <c r="J21" s="486">
        <v>1</v>
      </c>
      <c r="K21" s="472">
        <f t="shared" si="1"/>
        <v>22</v>
      </c>
      <c r="L21" s="473">
        <v>0.91666666666666663</v>
      </c>
      <c r="M21" s="474">
        <f t="shared" si="2"/>
        <v>0.91666666666666663</v>
      </c>
      <c r="N21" s="519"/>
      <c r="P21" s="29" t="str">
        <f t="shared" si="3"/>
        <v>1953F1</v>
      </c>
      <c r="Q21" s="29" t="str">
        <f t="shared" si="4"/>
        <v>F122</v>
      </c>
      <c r="R21" s="29" t="str">
        <f t="shared" si="5"/>
        <v>JuneF1</v>
      </c>
    </row>
    <row r="22" spans="1:18">
      <c r="A22" s="483">
        <f t="shared" si="7"/>
        <v>18</v>
      </c>
      <c r="B22" s="484">
        <v>1</v>
      </c>
      <c r="C22" s="485">
        <v>19866</v>
      </c>
      <c r="D22" s="763" t="str">
        <f t="shared" si="0"/>
        <v>May</v>
      </c>
      <c r="E22" s="484">
        <v>22</v>
      </c>
      <c r="F22" s="472">
        <v>1954</v>
      </c>
      <c r="G22" s="484" t="s">
        <v>111</v>
      </c>
      <c r="H22" s="472" t="s">
        <v>123</v>
      </c>
      <c r="I22" s="486">
        <v>10</v>
      </c>
      <c r="J22" s="486">
        <v>0.1</v>
      </c>
      <c r="K22" s="472">
        <f t="shared" si="1"/>
        <v>21</v>
      </c>
      <c r="L22" s="473">
        <v>0.875</v>
      </c>
      <c r="M22" s="474">
        <f t="shared" si="2"/>
        <v>0.875</v>
      </c>
      <c r="N22" s="519"/>
      <c r="P22" s="29" t="str">
        <f t="shared" si="3"/>
        <v>1954F1</v>
      </c>
      <c r="Q22" s="29" t="str">
        <f t="shared" si="4"/>
        <v>F121</v>
      </c>
      <c r="R22" s="29" t="str">
        <f t="shared" si="5"/>
        <v>MayF1</v>
      </c>
    </row>
    <row r="23" spans="1:18">
      <c r="A23" s="483">
        <f t="shared" si="7"/>
        <v>19</v>
      </c>
      <c r="B23" s="484">
        <v>2</v>
      </c>
      <c r="C23" s="485">
        <v>19888</v>
      </c>
      <c r="D23" s="763" t="str">
        <f t="shared" si="0"/>
        <v>June</v>
      </c>
      <c r="E23" s="484">
        <v>13</v>
      </c>
      <c r="F23" s="472">
        <v>1954</v>
      </c>
      <c r="G23" s="484" t="s">
        <v>109</v>
      </c>
      <c r="H23" s="472" t="s">
        <v>122</v>
      </c>
      <c r="I23" s="486">
        <v>10</v>
      </c>
      <c r="J23" s="486">
        <v>0.1</v>
      </c>
      <c r="K23" s="472">
        <f t="shared" si="1"/>
        <v>17</v>
      </c>
      <c r="L23" s="473">
        <v>0.71875</v>
      </c>
      <c r="M23" s="474">
        <f t="shared" si="2"/>
        <v>0.71875</v>
      </c>
      <c r="N23" s="519"/>
      <c r="P23" s="29" t="str">
        <f t="shared" si="3"/>
        <v>1954F0</v>
      </c>
      <c r="Q23" s="29" t="str">
        <f t="shared" si="4"/>
        <v>F017</v>
      </c>
      <c r="R23" s="29" t="str">
        <f t="shared" si="5"/>
        <v>JuneF0</v>
      </c>
    </row>
    <row r="24" spans="1:18">
      <c r="A24" s="483">
        <f t="shared" si="7"/>
        <v>20</v>
      </c>
      <c r="B24" s="484">
        <v>1</v>
      </c>
      <c r="C24" s="485">
        <v>20197</v>
      </c>
      <c r="D24" s="763" t="str">
        <f t="shared" si="0"/>
        <v>April</v>
      </c>
      <c r="E24" s="484">
        <v>18</v>
      </c>
      <c r="F24" s="472">
        <v>1955</v>
      </c>
      <c r="G24" s="484" t="s">
        <v>116</v>
      </c>
      <c r="H24" s="472" t="s">
        <v>125</v>
      </c>
      <c r="I24" s="486">
        <v>100</v>
      </c>
      <c r="J24" s="486">
        <v>8.9</v>
      </c>
      <c r="K24" s="472">
        <f t="shared" si="1"/>
        <v>18</v>
      </c>
      <c r="L24" s="473">
        <v>0.78125</v>
      </c>
      <c r="M24" s="474">
        <f t="shared" si="2"/>
        <v>0.78125</v>
      </c>
      <c r="N24" s="519"/>
      <c r="P24" s="29" t="str">
        <f t="shared" si="3"/>
        <v>1955F3</v>
      </c>
      <c r="Q24" s="29" t="str">
        <f t="shared" si="4"/>
        <v>F318</v>
      </c>
      <c r="R24" s="29" t="str">
        <f t="shared" si="5"/>
        <v>AprilF3</v>
      </c>
    </row>
    <row r="25" spans="1:18">
      <c r="A25" s="483">
        <f t="shared" si="7"/>
        <v>21</v>
      </c>
      <c r="B25" s="484">
        <v>2</v>
      </c>
      <c r="C25" s="485">
        <v>20231</v>
      </c>
      <c r="D25" s="763" t="str">
        <f t="shared" si="0"/>
        <v>May</v>
      </c>
      <c r="E25" s="484">
        <v>22</v>
      </c>
      <c r="F25" s="472">
        <v>1955</v>
      </c>
      <c r="G25" s="484" t="s">
        <v>109</v>
      </c>
      <c r="H25" s="472" t="s">
        <v>122</v>
      </c>
      <c r="I25" s="486">
        <v>33</v>
      </c>
      <c r="J25" s="486">
        <v>1.5</v>
      </c>
      <c r="K25" s="472">
        <f t="shared" si="1"/>
        <v>20</v>
      </c>
      <c r="L25" s="473">
        <v>0.84722222222222221</v>
      </c>
      <c r="M25" s="474">
        <f t="shared" si="2"/>
        <v>0.84722222222222221</v>
      </c>
      <c r="N25" s="519"/>
      <c r="P25" s="29" t="str">
        <f t="shared" si="3"/>
        <v>1955F0</v>
      </c>
      <c r="Q25" s="29" t="str">
        <f t="shared" si="4"/>
        <v>F020</v>
      </c>
      <c r="R25" s="29" t="str">
        <f t="shared" si="5"/>
        <v>MayF0</v>
      </c>
    </row>
    <row r="26" spans="1:18">
      <c r="A26" s="483">
        <f t="shared" si="7"/>
        <v>22</v>
      </c>
      <c r="B26" s="484">
        <v>3</v>
      </c>
      <c r="C26" s="485">
        <v>20231</v>
      </c>
      <c r="D26" s="763" t="str">
        <f t="shared" si="0"/>
        <v>May</v>
      </c>
      <c r="E26" s="484">
        <v>22</v>
      </c>
      <c r="F26" s="472">
        <v>1955</v>
      </c>
      <c r="G26" s="484" t="s">
        <v>101</v>
      </c>
      <c r="H26" s="472" t="s">
        <v>122</v>
      </c>
      <c r="I26" s="486">
        <v>10</v>
      </c>
      <c r="J26" s="486">
        <v>0.1</v>
      </c>
      <c r="K26" s="472">
        <f t="shared" si="1"/>
        <v>21</v>
      </c>
      <c r="L26" s="473">
        <v>0.875</v>
      </c>
      <c r="M26" s="474">
        <f t="shared" si="2"/>
        <v>0.875</v>
      </c>
      <c r="N26" s="519"/>
      <c r="P26" s="29" t="str">
        <f t="shared" si="3"/>
        <v>1955F0</v>
      </c>
      <c r="Q26" s="29" t="str">
        <f t="shared" si="4"/>
        <v>F021</v>
      </c>
      <c r="R26" s="29" t="str">
        <f t="shared" si="5"/>
        <v>MayF0</v>
      </c>
    </row>
    <row r="27" spans="1:18">
      <c r="A27" s="483">
        <f t="shared" si="7"/>
        <v>23</v>
      </c>
      <c r="B27" s="484">
        <v>4</v>
      </c>
      <c r="C27" s="485">
        <v>20234</v>
      </c>
      <c r="D27" s="763" t="str">
        <f t="shared" si="0"/>
        <v>May</v>
      </c>
      <c r="E27" s="484">
        <v>25</v>
      </c>
      <c r="F27" s="472">
        <v>1955</v>
      </c>
      <c r="G27" s="484" t="s">
        <v>121</v>
      </c>
      <c r="H27" s="472" t="s">
        <v>126</v>
      </c>
      <c r="I27" s="486">
        <v>1100</v>
      </c>
      <c r="J27" s="486">
        <v>34.5</v>
      </c>
      <c r="K27" s="472">
        <f t="shared" si="1"/>
        <v>15</v>
      </c>
      <c r="L27" s="473">
        <v>0.63680555555555551</v>
      </c>
      <c r="M27" s="474">
        <f t="shared" si="2"/>
        <v>0.63680555555555551</v>
      </c>
      <c r="N27" s="519">
        <v>0.64930555555555558</v>
      </c>
      <c r="P27" s="29" t="str">
        <f t="shared" si="3"/>
        <v>1955F4</v>
      </c>
      <c r="Q27" s="29" t="str">
        <f t="shared" si="4"/>
        <v>F415</v>
      </c>
      <c r="R27" s="29" t="str">
        <f t="shared" si="5"/>
        <v>MayF4</v>
      </c>
    </row>
    <row r="28" spans="1:18">
      <c r="A28" s="483">
        <f t="shared" si="7"/>
        <v>24</v>
      </c>
      <c r="B28" s="488">
        <v>5</v>
      </c>
      <c r="C28" s="489">
        <v>20243</v>
      </c>
      <c r="D28" s="763" t="str">
        <f t="shared" si="0"/>
        <v>June</v>
      </c>
      <c r="E28" s="488">
        <v>3</v>
      </c>
      <c r="F28" s="490">
        <v>1955</v>
      </c>
      <c r="G28" s="488" t="s">
        <v>111</v>
      </c>
      <c r="H28" s="490" t="s">
        <v>122</v>
      </c>
      <c r="I28" s="491">
        <v>33</v>
      </c>
      <c r="J28" s="491">
        <v>5.7</v>
      </c>
      <c r="K28" s="472">
        <f t="shared" si="1"/>
        <v>17</v>
      </c>
      <c r="L28" s="492">
        <v>0.72222222222222221</v>
      </c>
      <c r="M28" s="474">
        <f t="shared" si="2"/>
        <v>0.72222222222222221</v>
      </c>
      <c r="N28" s="519"/>
      <c r="P28" s="29" t="str">
        <f t="shared" si="3"/>
        <v>1955F0</v>
      </c>
      <c r="Q28" s="29" t="str">
        <f t="shared" si="4"/>
        <v>F017</v>
      </c>
      <c r="R28" s="29" t="str">
        <f t="shared" si="5"/>
        <v>JuneF0</v>
      </c>
    </row>
    <row r="29" spans="1:18">
      <c r="A29" s="483">
        <f t="shared" si="7"/>
        <v>25</v>
      </c>
      <c r="B29" s="484">
        <v>6</v>
      </c>
      <c r="C29" s="485">
        <v>20256</v>
      </c>
      <c r="D29" s="763" t="str">
        <f t="shared" si="0"/>
        <v>June</v>
      </c>
      <c r="E29" s="484">
        <v>16</v>
      </c>
      <c r="F29" s="472">
        <v>1955</v>
      </c>
      <c r="G29" s="484" t="s">
        <v>119</v>
      </c>
      <c r="H29" s="472" t="s">
        <v>122</v>
      </c>
      <c r="I29" s="486">
        <v>17</v>
      </c>
      <c r="J29" s="486">
        <v>2</v>
      </c>
      <c r="K29" s="472">
        <f t="shared" si="1"/>
        <v>15</v>
      </c>
      <c r="L29" s="473">
        <v>0.64583333333333337</v>
      </c>
      <c r="M29" s="474">
        <f t="shared" si="2"/>
        <v>0.64583333333333337</v>
      </c>
      <c r="N29" s="519"/>
      <c r="P29" s="29" t="str">
        <f t="shared" si="3"/>
        <v>1955F0</v>
      </c>
      <c r="Q29" s="29" t="str">
        <f t="shared" si="4"/>
        <v>F015</v>
      </c>
      <c r="R29" s="29" t="str">
        <f t="shared" si="5"/>
        <v>JuneF0</v>
      </c>
    </row>
    <row r="30" spans="1:18">
      <c r="A30" s="483">
        <f t="shared" si="7"/>
        <v>26</v>
      </c>
      <c r="B30" s="484">
        <v>7</v>
      </c>
      <c r="C30" s="485">
        <v>20256</v>
      </c>
      <c r="D30" s="763" t="str">
        <f t="shared" si="0"/>
        <v>June</v>
      </c>
      <c r="E30" s="484">
        <v>16</v>
      </c>
      <c r="F30" s="472">
        <v>1955</v>
      </c>
      <c r="G30" s="484" t="s">
        <v>119</v>
      </c>
      <c r="H30" s="472" t="s">
        <v>122</v>
      </c>
      <c r="I30" s="486">
        <v>17</v>
      </c>
      <c r="J30" s="486">
        <v>2</v>
      </c>
      <c r="K30" s="472">
        <f t="shared" si="1"/>
        <v>15</v>
      </c>
      <c r="L30" s="473">
        <v>0.64583333333333337</v>
      </c>
      <c r="M30" s="474">
        <f t="shared" si="2"/>
        <v>0.64583333333333337</v>
      </c>
      <c r="N30" s="519"/>
      <c r="P30" s="29" t="str">
        <f t="shared" si="3"/>
        <v>1955F0</v>
      </c>
      <c r="Q30" s="29" t="str">
        <f t="shared" si="4"/>
        <v>F015</v>
      </c>
      <c r="R30" s="29" t="str">
        <f t="shared" si="5"/>
        <v>JuneF0</v>
      </c>
    </row>
    <row r="31" spans="1:18">
      <c r="A31" s="483">
        <f t="shared" si="7"/>
        <v>27</v>
      </c>
      <c r="B31" s="484">
        <v>8</v>
      </c>
      <c r="C31" s="485">
        <v>20256</v>
      </c>
      <c r="D31" s="763" t="str">
        <f t="shared" si="0"/>
        <v>June</v>
      </c>
      <c r="E31" s="484">
        <v>16</v>
      </c>
      <c r="F31" s="472">
        <v>1955</v>
      </c>
      <c r="G31" s="484" t="s">
        <v>114</v>
      </c>
      <c r="H31" s="472" t="s">
        <v>123</v>
      </c>
      <c r="I31" s="486">
        <v>17</v>
      </c>
      <c r="J31" s="486">
        <v>1</v>
      </c>
      <c r="K31" s="472">
        <f t="shared" si="1"/>
        <v>15</v>
      </c>
      <c r="L31" s="473">
        <v>0.64583333333333337</v>
      </c>
      <c r="M31" s="474">
        <f t="shared" si="2"/>
        <v>0.64583333333333337</v>
      </c>
      <c r="N31" s="519"/>
      <c r="P31" s="29" t="str">
        <f t="shared" si="3"/>
        <v>1955F1</v>
      </c>
      <c r="Q31" s="29" t="str">
        <f t="shared" si="4"/>
        <v>F115</v>
      </c>
      <c r="R31" s="29" t="str">
        <f t="shared" si="5"/>
        <v>JuneF1</v>
      </c>
    </row>
    <row r="32" spans="1:18">
      <c r="A32" s="483">
        <f t="shared" si="7"/>
        <v>28</v>
      </c>
      <c r="B32" s="484">
        <v>9</v>
      </c>
      <c r="C32" s="485">
        <v>20256</v>
      </c>
      <c r="D32" s="763" t="str">
        <f t="shared" si="0"/>
        <v>June</v>
      </c>
      <c r="E32" s="484">
        <v>16</v>
      </c>
      <c r="F32" s="472">
        <v>1955</v>
      </c>
      <c r="G32" s="484" t="s">
        <v>113</v>
      </c>
      <c r="H32" s="472" t="s">
        <v>122</v>
      </c>
      <c r="I32" s="486">
        <v>67</v>
      </c>
      <c r="J32" s="486">
        <v>0.3</v>
      </c>
      <c r="K32" s="472">
        <f t="shared" si="1"/>
        <v>15</v>
      </c>
      <c r="L32" s="473">
        <v>0.64583333333333337</v>
      </c>
      <c r="M32" s="474">
        <f t="shared" si="2"/>
        <v>0.64583333333333337</v>
      </c>
      <c r="N32" s="519"/>
      <c r="P32" s="29" t="str">
        <f t="shared" si="3"/>
        <v>1955F0</v>
      </c>
      <c r="Q32" s="29" t="str">
        <f t="shared" si="4"/>
        <v>F015</v>
      </c>
      <c r="R32" s="29" t="str">
        <f t="shared" si="5"/>
        <v>JuneF0</v>
      </c>
    </row>
    <row r="33" spans="1:18">
      <c r="A33" s="483">
        <f t="shared" si="7"/>
        <v>29</v>
      </c>
      <c r="B33" s="484">
        <v>10</v>
      </c>
      <c r="C33" s="485">
        <v>20256</v>
      </c>
      <c r="D33" s="763" t="str">
        <f t="shared" si="0"/>
        <v>June</v>
      </c>
      <c r="E33" s="484">
        <v>16</v>
      </c>
      <c r="F33" s="472">
        <v>1955</v>
      </c>
      <c r="G33" s="484" t="s">
        <v>114</v>
      </c>
      <c r="H33" s="472" t="s">
        <v>122</v>
      </c>
      <c r="I33" s="486">
        <v>33</v>
      </c>
      <c r="J33" s="486">
        <v>0.3</v>
      </c>
      <c r="K33" s="472">
        <f t="shared" si="1"/>
        <v>16</v>
      </c>
      <c r="L33" s="473">
        <v>0.67152777777777783</v>
      </c>
      <c r="M33" s="474">
        <f t="shared" si="2"/>
        <v>0.67152777777777783</v>
      </c>
      <c r="N33" s="519"/>
      <c r="P33" s="29" t="str">
        <f t="shared" si="3"/>
        <v>1955F0</v>
      </c>
      <c r="Q33" s="29" t="str">
        <f t="shared" si="4"/>
        <v>F016</v>
      </c>
      <c r="R33" s="29" t="str">
        <f t="shared" si="5"/>
        <v>JuneF0</v>
      </c>
    </row>
    <row r="34" spans="1:18">
      <c r="A34" s="483">
        <f t="shared" si="7"/>
        <v>30</v>
      </c>
      <c r="B34" s="484">
        <v>11</v>
      </c>
      <c r="C34" s="485">
        <v>20256</v>
      </c>
      <c r="D34" s="763" t="str">
        <f t="shared" si="0"/>
        <v>June</v>
      </c>
      <c r="E34" s="484">
        <v>16</v>
      </c>
      <c r="F34" s="472">
        <v>1955</v>
      </c>
      <c r="G34" s="484" t="s">
        <v>111</v>
      </c>
      <c r="H34" s="472" t="s">
        <v>123</v>
      </c>
      <c r="I34" s="486">
        <v>1320</v>
      </c>
      <c r="J34" s="486">
        <v>3.8</v>
      </c>
      <c r="K34" s="472">
        <f t="shared" si="1"/>
        <v>17</v>
      </c>
      <c r="L34" s="473">
        <v>0.70833333333333337</v>
      </c>
      <c r="M34" s="474">
        <f t="shared" si="2"/>
        <v>0.70833333333333337</v>
      </c>
      <c r="N34" s="519"/>
      <c r="P34" s="29" t="str">
        <f t="shared" si="3"/>
        <v>1955F1</v>
      </c>
      <c r="Q34" s="29" t="str">
        <f t="shared" si="4"/>
        <v>F117</v>
      </c>
      <c r="R34" s="29" t="str">
        <f t="shared" si="5"/>
        <v>JuneF1</v>
      </c>
    </row>
    <row r="35" spans="1:18">
      <c r="A35" s="483">
        <f t="shared" si="7"/>
        <v>31</v>
      </c>
      <c r="B35" s="484">
        <v>12</v>
      </c>
      <c r="C35" s="485">
        <v>20256</v>
      </c>
      <c r="D35" s="763" t="str">
        <f t="shared" si="0"/>
        <v>June</v>
      </c>
      <c r="E35" s="484">
        <v>16</v>
      </c>
      <c r="F35" s="472">
        <v>1955</v>
      </c>
      <c r="G35" s="484" t="s">
        <v>120</v>
      </c>
      <c r="H35" s="472" t="s">
        <v>122</v>
      </c>
      <c r="I35" s="486">
        <v>3</v>
      </c>
      <c r="J35" s="486">
        <v>0.1</v>
      </c>
      <c r="K35" s="472">
        <f t="shared" si="1"/>
        <v>18</v>
      </c>
      <c r="L35" s="473">
        <v>0.77083333333333337</v>
      </c>
      <c r="M35" s="474">
        <f t="shared" si="2"/>
        <v>0.77083333333333337</v>
      </c>
      <c r="N35" s="519"/>
      <c r="P35" s="29" t="str">
        <f t="shared" si="3"/>
        <v>1955F0</v>
      </c>
      <c r="Q35" s="29" t="str">
        <f t="shared" si="4"/>
        <v>F018</v>
      </c>
      <c r="R35" s="29" t="str">
        <f t="shared" si="5"/>
        <v>JuneF0</v>
      </c>
    </row>
    <row r="36" spans="1:18">
      <c r="A36" s="483">
        <f t="shared" si="7"/>
        <v>32</v>
      </c>
      <c r="B36" s="484">
        <v>13</v>
      </c>
      <c r="C36" s="485">
        <v>20256</v>
      </c>
      <c r="D36" s="763" t="str">
        <f t="shared" si="0"/>
        <v>June</v>
      </c>
      <c r="E36" s="484">
        <v>16</v>
      </c>
      <c r="F36" s="472">
        <v>1955</v>
      </c>
      <c r="G36" s="484" t="s">
        <v>120</v>
      </c>
      <c r="H36" s="472" t="s">
        <v>124</v>
      </c>
      <c r="I36" s="486">
        <v>20</v>
      </c>
      <c r="J36" s="486">
        <v>1</v>
      </c>
      <c r="K36" s="472">
        <f t="shared" si="1"/>
        <v>18</v>
      </c>
      <c r="L36" s="473">
        <v>0.77083333333333337</v>
      </c>
      <c r="M36" s="474">
        <f t="shared" si="2"/>
        <v>0.77083333333333337</v>
      </c>
      <c r="N36" s="519"/>
      <c r="P36" s="29" t="str">
        <f t="shared" si="3"/>
        <v>1955F2</v>
      </c>
      <c r="Q36" s="29" t="str">
        <f t="shared" si="4"/>
        <v>F218</v>
      </c>
      <c r="R36" s="29" t="str">
        <f t="shared" si="5"/>
        <v>JuneF2</v>
      </c>
    </row>
    <row r="37" spans="1:18">
      <c r="A37" s="483">
        <f t="shared" si="7"/>
        <v>33</v>
      </c>
      <c r="B37" s="484">
        <v>14</v>
      </c>
      <c r="C37" s="485">
        <v>20257</v>
      </c>
      <c r="D37" s="763" t="str">
        <f t="shared" si="0"/>
        <v>June</v>
      </c>
      <c r="E37" s="484">
        <v>17</v>
      </c>
      <c r="F37" s="472">
        <v>1955</v>
      </c>
      <c r="G37" s="484" t="s">
        <v>121</v>
      </c>
      <c r="H37" s="472" t="s">
        <v>125</v>
      </c>
      <c r="I37" s="486">
        <v>67</v>
      </c>
      <c r="J37" s="486">
        <v>16.2</v>
      </c>
      <c r="K37" s="472">
        <f t="shared" si="1"/>
        <v>19</v>
      </c>
      <c r="L37" s="473">
        <v>0.79861111111111116</v>
      </c>
      <c r="M37" s="474">
        <f t="shared" si="2"/>
        <v>0.79861111111111116</v>
      </c>
      <c r="N37" s="519"/>
      <c r="P37" s="29" t="str">
        <f t="shared" si="3"/>
        <v>1955F3</v>
      </c>
      <c r="Q37" s="29" t="str">
        <f t="shared" si="4"/>
        <v>F319</v>
      </c>
      <c r="R37" s="29" t="str">
        <f t="shared" si="5"/>
        <v>JuneF3</v>
      </c>
    </row>
    <row r="38" spans="1:18">
      <c r="A38" s="483">
        <f t="shared" si="7"/>
        <v>34</v>
      </c>
      <c r="B38" s="484">
        <v>15</v>
      </c>
      <c r="C38" s="485">
        <v>20258</v>
      </c>
      <c r="D38" s="763" t="str">
        <f t="shared" si="0"/>
        <v>June</v>
      </c>
      <c r="E38" s="484">
        <v>18</v>
      </c>
      <c r="F38" s="472">
        <v>1955</v>
      </c>
      <c r="G38" s="484" t="s">
        <v>103</v>
      </c>
      <c r="H38" s="472" t="s">
        <v>122</v>
      </c>
      <c r="I38" s="486">
        <v>10</v>
      </c>
      <c r="J38" s="486">
        <v>0.1</v>
      </c>
      <c r="K38" s="472">
        <f t="shared" si="1"/>
        <v>20</v>
      </c>
      <c r="L38" s="473">
        <v>0.83333333333333337</v>
      </c>
      <c r="M38" s="474">
        <f t="shared" si="2"/>
        <v>0.83333333333333337</v>
      </c>
      <c r="N38" s="519"/>
      <c r="P38" s="29" t="str">
        <f t="shared" si="3"/>
        <v>1955F0</v>
      </c>
      <c r="Q38" s="29" t="str">
        <f t="shared" si="4"/>
        <v>F020</v>
      </c>
      <c r="R38" s="29" t="str">
        <f t="shared" si="5"/>
        <v>JuneF0</v>
      </c>
    </row>
    <row r="39" spans="1:18">
      <c r="A39" s="483">
        <f t="shared" si="7"/>
        <v>35</v>
      </c>
      <c r="B39" s="484">
        <v>16</v>
      </c>
      <c r="C39" s="485">
        <v>20258</v>
      </c>
      <c r="D39" s="763" t="str">
        <f t="shared" si="0"/>
        <v>June</v>
      </c>
      <c r="E39" s="484">
        <v>18</v>
      </c>
      <c r="F39" s="472">
        <v>1955</v>
      </c>
      <c r="G39" s="484" t="s">
        <v>103</v>
      </c>
      <c r="H39" s="472" t="s">
        <v>122</v>
      </c>
      <c r="I39" s="486">
        <v>10</v>
      </c>
      <c r="J39" s="486">
        <v>0.1</v>
      </c>
      <c r="K39" s="472">
        <f t="shared" si="1"/>
        <v>20</v>
      </c>
      <c r="L39" s="473">
        <v>0.83333333333333337</v>
      </c>
      <c r="M39" s="474">
        <f t="shared" si="2"/>
        <v>0.83333333333333337</v>
      </c>
      <c r="N39" s="519"/>
      <c r="P39" s="29" t="str">
        <f t="shared" si="3"/>
        <v>1955F0</v>
      </c>
      <c r="Q39" s="29" t="str">
        <f t="shared" si="4"/>
        <v>F020</v>
      </c>
      <c r="R39" s="29" t="str">
        <f t="shared" si="5"/>
        <v>JuneF0</v>
      </c>
    </row>
    <row r="40" spans="1:18">
      <c r="A40" s="483">
        <f t="shared" si="7"/>
        <v>36</v>
      </c>
      <c r="B40" s="484">
        <v>17</v>
      </c>
      <c r="C40" s="485">
        <v>20258</v>
      </c>
      <c r="D40" s="763" t="str">
        <f t="shared" si="0"/>
        <v>June</v>
      </c>
      <c r="E40" s="484">
        <v>18</v>
      </c>
      <c r="F40" s="472">
        <v>1955</v>
      </c>
      <c r="G40" s="484" t="s">
        <v>103</v>
      </c>
      <c r="H40" s="472" t="s">
        <v>122</v>
      </c>
      <c r="I40" s="486">
        <v>10</v>
      </c>
      <c r="J40" s="486">
        <v>0.1</v>
      </c>
      <c r="K40" s="472">
        <f t="shared" si="1"/>
        <v>20</v>
      </c>
      <c r="L40" s="473">
        <v>0.83333333333333337</v>
      </c>
      <c r="M40" s="474">
        <f t="shared" si="2"/>
        <v>0.83333333333333337</v>
      </c>
      <c r="N40" s="519"/>
      <c r="P40" s="29" t="str">
        <f t="shared" si="3"/>
        <v>1955F0</v>
      </c>
      <c r="Q40" s="29" t="str">
        <f t="shared" si="4"/>
        <v>F020</v>
      </c>
      <c r="R40" s="29" t="str">
        <f t="shared" si="5"/>
        <v>JuneF0</v>
      </c>
    </row>
    <row r="41" spans="1:18">
      <c r="A41" s="483">
        <f t="shared" si="7"/>
        <v>37</v>
      </c>
      <c r="B41" s="484">
        <v>18</v>
      </c>
      <c r="C41" s="485">
        <v>20259</v>
      </c>
      <c r="D41" s="763" t="str">
        <f t="shared" si="0"/>
        <v>June</v>
      </c>
      <c r="E41" s="484">
        <v>19</v>
      </c>
      <c r="F41" s="472">
        <v>1955</v>
      </c>
      <c r="G41" s="484" t="s">
        <v>103</v>
      </c>
      <c r="H41" s="472" t="s">
        <v>122</v>
      </c>
      <c r="I41" s="486">
        <v>10</v>
      </c>
      <c r="J41" s="486">
        <v>0.1</v>
      </c>
      <c r="K41" s="472">
        <f t="shared" si="1"/>
        <v>17</v>
      </c>
      <c r="L41" s="473">
        <v>0.73263888888888884</v>
      </c>
      <c r="M41" s="474">
        <f t="shared" si="2"/>
        <v>0.73263888888888884</v>
      </c>
      <c r="N41" s="519"/>
      <c r="P41" s="29" t="str">
        <f t="shared" si="3"/>
        <v>1955F0</v>
      </c>
      <c r="Q41" s="29" t="str">
        <f t="shared" si="4"/>
        <v>F017</v>
      </c>
      <c r="R41" s="29" t="str">
        <f t="shared" si="5"/>
        <v>JuneF0</v>
      </c>
    </row>
    <row r="42" spans="1:18">
      <c r="A42" s="483">
        <f t="shared" si="7"/>
        <v>38</v>
      </c>
      <c r="B42" s="484">
        <v>1</v>
      </c>
      <c r="C42" s="485">
        <v>20629</v>
      </c>
      <c r="D42" s="763" t="str">
        <f t="shared" si="0"/>
        <v>June</v>
      </c>
      <c r="E42" s="484">
        <v>23</v>
      </c>
      <c r="F42" s="472">
        <v>1956</v>
      </c>
      <c r="G42" s="484" t="s">
        <v>100</v>
      </c>
      <c r="H42" s="472" t="s">
        <v>123</v>
      </c>
      <c r="I42" s="486">
        <v>50</v>
      </c>
      <c r="J42" s="486">
        <v>2</v>
      </c>
      <c r="K42" s="472">
        <f t="shared" si="1"/>
        <v>20</v>
      </c>
      <c r="L42" s="473">
        <v>0.83333333333333337</v>
      </c>
      <c r="M42" s="474">
        <f t="shared" si="2"/>
        <v>0.83333333333333337</v>
      </c>
      <c r="N42" s="519"/>
      <c r="P42" s="29" t="str">
        <f t="shared" si="3"/>
        <v>1956F1</v>
      </c>
      <c r="Q42" s="29" t="str">
        <f t="shared" si="4"/>
        <v>F120</v>
      </c>
      <c r="R42" s="29" t="str">
        <f t="shared" si="5"/>
        <v>JuneF1</v>
      </c>
    </row>
    <row r="43" spans="1:18">
      <c r="A43" s="483">
        <f t="shared" si="7"/>
        <v>39</v>
      </c>
      <c r="B43" s="484">
        <v>2</v>
      </c>
      <c r="C43" s="485">
        <v>20640</v>
      </c>
      <c r="D43" s="763" t="str">
        <f t="shared" si="0"/>
        <v>July</v>
      </c>
      <c r="E43" s="484">
        <v>4</v>
      </c>
      <c r="F43" s="472">
        <v>1956</v>
      </c>
      <c r="G43" s="484" t="s">
        <v>118</v>
      </c>
      <c r="H43" s="472" t="s">
        <v>122</v>
      </c>
      <c r="I43" s="486">
        <v>33</v>
      </c>
      <c r="J43" s="486">
        <v>0.4</v>
      </c>
      <c r="K43" s="472">
        <f t="shared" si="1"/>
        <v>17</v>
      </c>
      <c r="L43" s="473">
        <v>0.70833333333333337</v>
      </c>
      <c r="M43" s="474">
        <f t="shared" si="2"/>
        <v>0.70833333333333337</v>
      </c>
      <c r="N43" s="519"/>
      <c r="P43" s="29" t="str">
        <f t="shared" si="3"/>
        <v>1956F0</v>
      </c>
      <c r="Q43" s="29" t="str">
        <f t="shared" si="4"/>
        <v>F017</v>
      </c>
      <c r="R43" s="29" t="str">
        <f t="shared" si="5"/>
        <v>JulyF0</v>
      </c>
    </row>
    <row r="44" spans="1:18">
      <c r="A44" s="483">
        <f t="shared" si="7"/>
        <v>40</v>
      </c>
      <c r="B44" s="484">
        <v>1</v>
      </c>
      <c r="C44" s="485">
        <v>20912</v>
      </c>
      <c r="D44" s="763" t="str">
        <f t="shared" si="0"/>
        <v>April</v>
      </c>
      <c r="E44" s="484">
        <v>2</v>
      </c>
      <c r="F44" s="472">
        <v>1957</v>
      </c>
      <c r="G44" s="484" t="s">
        <v>116</v>
      </c>
      <c r="H44" s="472" t="s">
        <v>124</v>
      </c>
      <c r="I44" s="486">
        <v>33</v>
      </c>
      <c r="J44" s="486">
        <v>0.3</v>
      </c>
      <c r="K44" s="472">
        <f t="shared" si="1"/>
        <v>18</v>
      </c>
      <c r="L44" s="473">
        <v>0.75347222222222221</v>
      </c>
      <c r="M44" s="474">
        <f t="shared" si="2"/>
        <v>0.75347222222222221</v>
      </c>
      <c r="N44" s="519"/>
      <c r="P44" s="29" t="str">
        <f t="shared" si="3"/>
        <v>1957F2</v>
      </c>
      <c r="Q44" s="29" t="str">
        <f t="shared" si="4"/>
        <v>F218</v>
      </c>
      <c r="R44" s="29" t="str">
        <f t="shared" si="5"/>
        <v>AprilF2</v>
      </c>
    </row>
    <row r="45" spans="1:18">
      <c r="A45" s="483">
        <f t="shared" si="7"/>
        <v>41</v>
      </c>
      <c r="B45" s="484">
        <v>2</v>
      </c>
      <c r="C45" s="485">
        <v>20951</v>
      </c>
      <c r="D45" s="763" t="str">
        <f t="shared" si="0"/>
        <v>May</v>
      </c>
      <c r="E45" s="484">
        <v>11</v>
      </c>
      <c r="F45" s="472">
        <v>1957</v>
      </c>
      <c r="G45" s="484" t="s">
        <v>107</v>
      </c>
      <c r="H45" s="472" t="s">
        <v>123</v>
      </c>
      <c r="I45" s="486">
        <v>33</v>
      </c>
      <c r="J45" s="486">
        <v>7.4</v>
      </c>
      <c r="K45" s="472">
        <f t="shared" si="1"/>
        <v>17</v>
      </c>
      <c r="L45" s="473">
        <v>0.71875</v>
      </c>
      <c r="M45" s="474">
        <f t="shared" si="2"/>
        <v>0.71875</v>
      </c>
      <c r="N45" s="519"/>
      <c r="P45" s="29" t="str">
        <f t="shared" si="3"/>
        <v>1957F1</v>
      </c>
      <c r="Q45" s="29" t="str">
        <f t="shared" si="4"/>
        <v>F117</v>
      </c>
      <c r="R45" s="29" t="str">
        <f t="shared" si="5"/>
        <v>MayF1</v>
      </c>
    </row>
    <row r="46" spans="1:18">
      <c r="A46" s="483">
        <f t="shared" si="7"/>
        <v>42</v>
      </c>
      <c r="B46" s="484">
        <v>3</v>
      </c>
      <c r="C46" s="485">
        <v>20955</v>
      </c>
      <c r="D46" s="763" t="str">
        <f t="shared" si="0"/>
        <v>May</v>
      </c>
      <c r="E46" s="484">
        <v>15</v>
      </c>
      <c r="F46" s="472">
        <v>1957</v>
      </c>
      <c r="G46" s="484" t="s">
        <v>115</v>
      </c>
      <c r="H46" s="472" t="s">
        <v>123</v>
      </c>
      <c r="I46" s="486">
        <v>33</v>
      </c>
      <c r="J46" s="486">
        <v>8</v>
      </c>
      <c r="K46" s="472">
        <f t="shared" si="1"/>
        <v>15</v>
      </c>
      <c r="L46" s="473">
        <v>0.64583333333333337</v>
      </c>
      <c r="M46" s="474">
        <f t="shared" si="2"/>
        <v>0.64583333333333337</v>
      </c>
      <c r="N46" s="519"/>
      <c r="P46" s="29" t="str">
        <f t="shared" si="3"/>
        <v>1957F1</v>
      </c>
      <c r="Q46" s="29" t="str">
        <f t="shared" si="4"/>
        <v>F115</v>
      </c>
      <c r="R46" s="29" t="str">
        <f t="shared" si="5"/>
        <v>MayF1</v>
      </c>
    </row>
    <row r="47" spans="1:18">
      <c r="A47" s="483">
        <f t="shared" si="7"/>
        <v>43</v>
      </c>
      <c r="B47" s="484">
        <v>4</v>
      </c>
      <c r="C47" s="485">
        <v>20955</v>
      </c>
      <c r="D47" s="763" t="str">
        <f t="shared" si="0"/>
        <v>May</v>
      </c>
      <c r="E47" s="484">
        <v>15</v>
      </c>
      <c r="F47" s="472">
        <v>1957</v>
      </c>
      <c r="G47" s="484" t="s">
        <v>115</v>
      </c>
      <c r="H47" s="472" t="s">
        <v>123</v>
      </c>
      <c r="I47" s="486">
        <v>10</v>
      </c>
      <c r="J47" s="486">
        <v>0.1</v>
      </c>
      <c r="K47" s="472">
        <f t="shared" si="1"/>
        <v>17</v>
      </c>
      <c r="L47" s="473">
        <v>0.72222222222222221</v>
      </c>
      <c r="M47" s="474">
        <f t="shared" si="2"/>
        <v>0.72222222222222221</v>
      </c>
      <c r="N47" s="519"/>
      <c r="P47" s="29" t="str">
        <f t="shared" si="3"/>
        <v>1957F1</v>
      </c>
      <c r="Q47" s="29" t="str">
        <f t="shared" si="4"/>
        <v>F117</v>
      </c>
      <c r="R47" s="29" t="str">
        <f t="shared" si="5"/>
        <v>MayF1</v>
      </c>
    </row>
    <row r="48" spans="1:18">
      <c r="A48" s="483">
        <f t="shared" si="7"/>
        <v>44</v>
      </c>
      <c r="B48" s="484">
        <v>5</v>
      </c>
      <c r="C48" s="485">
        <v>20955</v>
      </c>
      <c r="D48" s="763" t="str">
        <f t="shared" si="0"/>
        <v>May</v>
      </c>
      <c r="E48" s="484">
        <v>15</v>
      </c>
      <c r="F48" s="472">
        <v>1957</v>
      </c>
      <c r="G48" s="484" t="s">
        <v>120</v>
      </c>
      <c r="H48" s="472" t="s">
        <v>125</v>
      </c>
      <c r="I48" s="486">
        <v>50</v>
      </c>
      <c r="J48" s="486">
        <v>10.199999999999999</v>
      </c>
      <c r="K48" s="472">
        <f t="shared" si="1"/>
        <v>18</v>
      </c>
      <c r="L48" s="473">
        <v>0.75</v>
      </c>
      <c r="M48" s="474">
        <f t="shared" si="2"/>
        <v>0.75</v>
      </c>
      <c r="N48" s="519"/>
      <c r="P48" s="29" t="str">
        <f t="shared" si="3"/>
        <v>1957F3</v>
      </c>
      <c r="Q48" s="29" t="str">
        <f t="shared" si="4"/>
        <v>F318</v>
      </c>
      <c r="R48" s="29" t="str">
        <f t="shared" si="5"/>
        <v>MayF3</v>
      </c>
    </row>
    <row r="49" spans="1:18">
      <c r="A49" s="483">
        <f t="shared" si="7"/>
        <v>45</v>
      </c>
      <c r="B49" s="484">
        <v>6</v>
      </c>
      <c r="C49" s="485">
        <v>20956</v>
      </c>
      <c r="D49" s="763" t="str">
        <f t="shared" si="0"/>
        <v>May</v>
      </c>
      <c r="E49" s="484">
        <v>16</v>
      </c>
      <c r="F49" s="472">
        <v>1957</v>
      </c>
      <c r="G49" s="484" t="s">
        <v>110</v>
      </c>
      <c r="H49" s="472" t="s">
        <v>124</v>
      </c>
      <c r="I49" s="486">
        <v>10</v>
      </c>
      <c r="J49" s="486">
        <v>0.1</v>
      </c>
      <c r="K49" s="472">
        <f t="shared" si="1"/>
        <v>17</v>
      </c>
      <c r="L49" s="473">
        <v>0.70833333333333337</v>
      </c>
      <c r="M49" s="474">
        <f t="shared" si="2"/>
        <v>0.70833333333333337</v>
      </c>
      <c r="N49" s="519"/>
      <c r="P49" s="29" t="str">
        <f t="shared" si="3"/>
        <v>1957F2</v>
      </c>
      <c r="Q49" s="29" t="str">
        <f t="shared" si="4"/>
        <v>F217</v>
      </c>
      <c r="R49" s="29" t="str">
        <f t="shared" si="5"/>
        <v>MayF2</v>
      </c>
    </row>
    <row r="50" spans="1:18">
      <c r="A50" s="483">
        <f t="shared" si="7"/>
        <v>46</v>
      </c>
      <c r="B50" s="484">
        <v>7</v>
      </c>
      <c r="C50" s="485">
        <v>20964</v>
      </c>
      <c r="D50" s="763" t="str">
        <f t="shared" si="0"/>
        <v>May</v>
      </c>
      <c r="E50" s="484">
        <v>24</v>
      </c>
      <c r="F50" s="472">
        <v>1957</v>
      </c>
      <c r="G50" s="484" t="s">
        <v>117</v>
      </c>
      <c r="H50" s="472" t="s">
        <v>122</v>
      </c>
      <c r="I50" s="486">
        <v>10</v>
      </c>
      <c r="J50" s="486">
        <v>1</v>
      </c>
      <c r="K50" s="472">
        <f t="shared" si="1"/>
        <v>11</v>
      </c>
      <c r="L50" s="473">
        <v>0.47916666666666669</v>
      </c>
      <c r="M50" s="474">
        <f t="shared" si="2"/>
        <v>0.47916666666666669</v>
      </c>
      <c r="N50" s="519"/>
      <c r="P50" s="29" t="str">
        <f t="shared" si="3"/>
        <v>1957F0</v>
      </c>
      <c r="Q50" s="29" t="str">
        <f t="shared" si="4"/>
        <v>F011</v>
      </c>
      <c r="R50" s="29" t="str">
        <f t="shared" si="5"/>
        <v>MayF0</v>
      </c>
    </row>
    <row r="51" spans="1:18">
      <c r="A51" s="483">
        <f t="shared" si="7"/>
        <v>47</v>
      </c>
      <c r="B51" s="484">
        <v>8</v>
      </c>
      <c r="C51" s="485">
        <v>20964</v>
      </c>
      <c r="D51" s="763" t="str">
        <f t="shared" si="0"/>
        <v>May</v>
      </c>
      <c r="E51" s="484">
        <v>24</v>
      </c>
      <c r="F51" s="472">
        <v>1957</v>
      </c>
      <c r="G51" s="484" t="s">
        <v>113</v>
      </c>
      <c r="H51" s="472" t="s">
        <v>122</v>
      </c>
      <c r="I51" s="486">
        <v>50</v>
      </c>
      <c r="J51" s="486">
        <v>0.3</v>
      </c>
      <c r="K51" s="472">
        <f t="shared" si="1"/>
        <v>13</v>
      </c>
      <c r="L51" s="473">
        <v>0.57638888888888895</v>
      </c>
      <c r="M51" s="474">
        <f t="shared" si="2"/>
        <v>0.57638888888888895</v>
      </c>
      <c r="N51" s="519"/>
      <c r="P51" s="29" t="str">
        <f t="shared" si="3"/>
        <v>1957F0</v>
      </c>
      <c r="Q51" s="29" t="str">
        <f t="shared" si="4"/>
        <v>F013</v>
      </c>
      <c r="R51" s="29" t="str">
        <f t="shared" si="5"/>
        <v>MayF0</v>
      </c>
    </row>
    <row r="52" spans="1:18">
      <c r="A52" s="483">
        <f t="shared" si="7"/>
        <v>48</v>
      </c>
      <c r="B52" s="484">
        <v>9</v>
      </c>
      <c r="C52" s="485">
        <v>20981</v>
      </c>
      <c r="D52" s="763" t="str">
        <f t="shared" si="0"/>
        <v>June</v>
      </c>
      <c r="E52" s="484">
        <v>10</v>
      </c>
      <c r="F52" s="472">
        <v>1957</v>
      </c>
      <c r="G52" s="484" t="s">
        <v>105</v>
      </c>
      <c r="H52" s="472" t="s">
        <v>124</v>
      </c>
      <c r="I52" s="486">
        <v>10</v>
      </c>
      <c r="J52" s="486">
        <v>0.1</v>
      </c>
      <c r="K52" s="472">
        <f t="shared" si="1"/>
        <v>17</v>
      </c>
      <c r="L52" s="473">
        <v>0.73958333333333337</v>
      </c>
      <c r="M52" s="474">
        <f t="shared" si="2"/>
        <v>0.73958333333333337</v>
      </c>
      <c r="N52" s="519"/>
      <c r="P52" s="29" t="str">
        <f t="shared" si="3"/>
        <v>1957F2</v>
      </c>
      <c r="Q52" s="29" t="str">
        <f t="shared" si="4"/>
        <v>F217</v>
      </c>
      <c r="R52" s="29" t="str">
        <f t="shared" si="5"/>
        <v>JuneF2</v>
      </c>
    </row>
    <row r="53" spans="1:18">
      <c r="A53" s="483">
        <f t="shared" si="7"/>
        <v>49</v>
      </c>
      <c r="B53" s="484">
        <v>10</v>
      </c>
      <c r="C53" s="485">
        <v>21106</v>
      </c>
      <c r="D53" s="763" t="str">
        <f t="shared" si="0"/>
        <v>October</v>
      </c>
      <c r="E53" s="484">
        <v>13</v>
      </c>
      <c r="F53" s="472">
        <v>1957</v>
      </c>
      <c r="G53" s="484" t="s">
        <v>101</v>
      </c>
      <c r="H53" s="472" t="s">
        <v>122</v>
      </c>
      <c r="I53" s="486">
        <v>10</v>
      </c>
      <c r="J53" s="486">
        <v>0.1</v>
      </c>
      <c r="K53" s="472">
        <f t="shared" si="1"/>
        <v>17</v>
      </c>
      <c r="L53" s="473">
        <v>0.72222222222222221</v>
      </c>
      <c r="M53" s="474">
        <f t="shared" si="2"/>
        <v>0.72222222222222221</v>
      </c>
      <c r="N53" s="519"/>
      <c r="P53" s="29" t="str">
        <f t="shared" si="3"/>
        <v>1957F0</v>
      </c>
      <c r="Q53" s="29" t="str">
        <f t="shared" si="4"/>
        <v>F017</v>
      </c>
      <c r="R53" s="29" t="str">
        <f t="shared" si="5"/>
        <v>OctoberF0</v>
      </c>
    </row>
    <row r="54" spans="1:18">
      <c r="A54" s="483">
        <f t="shared" si="7"/>
        <v>50</v>
      </c>
      <c r="B54" s="484">
        <v>1</v>
      </c>
      <c r="C54" s="485">
        <v>21322</v>
      </c>
      <c r="D54" s="763" t="str">
        <f t="shared" si="0"/>
        <v>May</v>
      </c>
      <c r="E54" s="484">
        <v>17</v>
      </c>
      <c r="F54" s="472">
        <v>1958</v>
      </c>
      <c r="G54" s="484" t="s">
        <v>118</v>
      </c>
      <c r="H54" s="472" t="s">
        <v>122</v>
      </c>
      <c r="I54" s="486">
        <v>17</v>
      </c>
      <c r="J54" s="486">
        <v>0.3</v>
      </c>
      <c r="K54" s="472">
        <f t="shared" si="1"/>
        <v>1</v>
      </c>
      <c r="L54" s="473">
        <v>4.8611111111111112E-2</v>
      </c>
      <c r="M54" s="474">
        <f t="shared" si="2"/>
        <v>4.8611111111111112E-2</v>
      </c>
      <c r="N54" s="519"/>
      <c r="P54" s="29" t="str">
        <f t="shared" si="3"/>
        <v>1958F0</v>
      </c>
      <c r="Q54" s="29" t="str">
        <f t="shared" si="4"/>
        <v>F01</v>
      </c>
      <c r="R54" s="29" t="str">
        <f t="shared" si="5"/>
        <v>MayF0</v>
      </c>
    </row>
    <row r="55" spans="1:18">
      <c r="A55" s="483">
        <f t="shared" si="7"/>
        <v>51</v>
      </c>
      <c r="B55" s="484">
        <v>2</v>
      </c>
      <c r="C55" s="485">
        <v>21352</v>
      </c>
      <c r="D55" s="763" t="str">
        <f t="shared" si="0"/>
        <v>June</v>
      </c>
      <c r="E55" s="484">
        <v>16</v>
      </c>
      <c r="F55" s="472">
        <v>1958</v>
      </c>
      <c r="G55" s="484" t="s">
        <v>117</v>
      </c>
      <c r="H55" s="472" t="s">
        <v>123</v>
      </c>
      <c r="I55" s="486">
        <v>50</v>
      </c>
      <c r="J55" s="486">
        <v>3.3</v>
      </c>
      <c r="K55" s="472">
        <f t="shared" si="1"/>
        <v>17</v>
      </c>
      <c r="L55" s="473">
        <v>0.73958333333333337</v>
      </c>
      <c r="M55" s="474">
        <f t="shared" si="2"/>
        <v>0.73958333333333337</v>
      </c>
      <c r="N55" s="519"/>
      <c r="P55" s="29" t="str">
        <f t="shared" si="3"/>
        <v>1958F1</v>
      </c>
      <c r="Q55" s="29" t="str">
        <f t="shared" si="4"/>
        <v>F117</v>
      </c>
      <c r="R55" s="29" t="str">
        <f t="shared" si="5"/>
        <v>JuneF1</v>
      </c>
    </row>
    <row r="56" spans="1:18">
      <c r="A56" s="483">
        <f t="shared" si="7"/>
        <v>52</v>
      </c>
      <c r="B56" s="484">
        <v>3</v>
      </c>
      <c r="C56" s="485">
        <v>21356</v>
      </c>
      <c r="D56" s="763" t="str">
        <f t="shared" si="0"/>
        <v>June</v>
      </c>
      <c r="E56" s="484">
        <v>20</v>
      </c>
      <c r="F56" s="472">
        <v>1958</v>
      </c>
      <c r="G56" s="484" t="s">
        <v>109</v>
      </c>
      <c r="H56" s="472" t="s">
        <v>123</v>
      </c>
      <c r="I56" s="486">
        <v>150</v>
      </c>
      <c r="J56" s="486">
        <v>0.3</v>
      </c>
      <c r="K56" s="472">
        <f t="shared" si="1"/>
        <v>1</v>
      </c>
      <c r="L56" s="473">
        <v>5.2083333333333336E-2</v>
      </c>
      <c r="M56" s="474">
        <f t="shared" si="2"/>
        <v>5.2083333333333336E-2</v>
      </c>
      <c r="N56" s="519"/>
      <c r="P56" s="29" t="str">
        <f t="shared" si="3"/>
        <v>1958F1</v>
      </c>
      <c r="Q56" s="29" t="str">
        <f t="shared" si="4"/>
        <v>F11</v>
      </c>
      <c r="R56" s="29" t="str">
        <f t="shared" si="5"/>
        <v>JuneF1</v>
      </c>
    </row>
    <row r="57" spans="1:18">
      <c r="A57" s="483">
        <f t="shared" si="7"/>
        <v>53</v>
      </c>
      <c r="B57" s="484">
        <v>4</v>
      </c>
      <c r="C57" s="485">
        <v>21356</v>
      </c>
      <c r="D57" s="763" t="str">
        <f t="shared" si="0"/>
        <v>June</v>
      </c>
      <c r="E57" s="484">
        <v>20</v>
      </c>
      <c r="F57" s="472">
        <v>1958</v>
      </c>
      <c r="G57" s="484" t="s">
        <v>115</v>
      </c>
      <c r="H57" s="472" t="s">
        <v>122</v>
      </c>
      <c r="I57" s="486">
        <v>33</v>
      </c>
      <c r="J57" s="486">
        <v>2</v>
      </c>
      <c r="K57" s="472">
        <f t="shared" si="1"/>
        <v>2</v>
      </c>
      <c r="L57" s="473">
        <v>0.11388888888888889</v>
      </c>
      <c r="M57" s="474">
        <f t="shared" si="2"/>
        <v>0.11388888888888889</v>
      </c>
      <c r="N57" s="519"/>
      <c r="P57" s="29" t="str">
        <f t="shared" si="3"/>
        <v>1958F0</v>
      </c>
      <c r="Q57" s="29" t="str">
        <f t="shared" si="4"/>
        <v>F02</v>
      </c>
      <c r="R57" s="29" t="str">
        <f t="shared" si="5"/>
        <v>JuneF0</v>
      </c>
    </row>
    <row r="58" spans="1:18">
      <c r="A58" s="483">
        <f t="shared" si="7"/>
        <v>54</v>
      </c>
      <c r="B58" s="484">
        <v>5</v>
      </c>
      <c r="C58" s="485">
        <v>21359</v>
      </c>
      <c r="D58" s="763" t="str">
        <f t="shared" si="0"/>
        <v>June</v>
      </c>
      <c r="E58" s="484">
        <v>23</v>
      </c>
      <c r="F58" s="472">
        <v>1958</v>
      </c>
      <c r="G58" s="484" t="s">
        <v>115</v>
      </c>
      <c r="H58" s="472" t="s">
        <v>123</v>
      </c>
      <c r="I58" s="486">
        <v>17</v>
      </c>
      <c r="J58" s="486">
        <v>1</v>
      </c>
      <c r="K58" s="472">
        <f t="shared" si="1"/>
        <v>7</v>
      </c>
      <c r="L58" s="473">
        <v>0.29166666666666669</v>
      </c>
      <c r="M58" s="474">
        <f t="shared" si="2"/>
        <v>0.29166666666666669</v>
      </c>
      <c r="N58" s="519"/>
      <c r="P58" s="29" t="str">
        <f t="shared" si="3"/>
        <v>1958F1</v>
      </c>
      <c r="Q58" s="29" t="str">
        <f t="shared" si="4"/>
        <v>F17</v>
      </c>
      <c r="R58" s="29" t="str">
        <f t="shared" si="5"/>
        <v>JuneF1</v>
      </c>
    </row>
    <row r="59" spans="1:18">
      <c r="A59" s="483">
        <f t="shared" si="7"/>
        <v>55</v>
      </c>
      <c r="B59" s="484">
        <v>6</v>
      </c>
      <c r="C59" s="485">
        <v>21367</v>
      </c>
      <c r="D59" s="763" t="str">
        <f t="shared" si="0"/>
        <v>July</v>
      </c>
      <c r="E59" s="484">
        <v>1</v>
      </c>
      <c r="F59" s="472">
        <v>1958</v>
      </c>
      <c r="G59" s="484" t="s">
        <v>100</v>
      </c>
      <c r="H59" s="472" t="s">
        <v>123</v>
      </c>
      <c r="I59" s="486">
        <v>440</v>
      </c>
      <c r="J59" s="486">
        <v>4.9000000000000004</v>
      </c>
      <c r="K59" s="472">
        <f t="shared" si="1"/>
        <v>17</v>
      </c>
      <c r="L59" s="473">
        <v>0.70833333333333337</v>
      </c>
      <c r="M59" s="474">
        <f t="shared" si="2"/>
        <v>0.70833333333333337</v>
      </c>
      <c r="N59" s="519"/>
      <c r="P59" s="29" t="str">
        <f t="shared" si="3"/>
        <v>1958F1</v>
      </c>
      <c r="Q59" s="29" t="str">
        <f t="shared" si="4"/>
        <v>F117</v>
      </c>
      <c r="R59" s="29" t="str">
        <f t="shared" si="5"/>
        <v>JulyF1</v>
      </c>
    </row>
    <row r="60" spans="1:18">
      <c r="A60" s="483">
        <f t="shared" si="7"/>
        <v>56</v>
      </c>
      <c r="B60" s="484">
        <v>7</v>
      </c>
      <c r="C60" s="485">
        <v>21381</v>
      </c>
      <c r="D60" s="763" t="str">
        <f t="shared" si="0"/>
        <v>July</v>
      </c>
      <c r="E60" s="484">
        <v>15</v>
      </c>
      <c r="F60" s="472">
        <v>1958</v>
      </c>
      <c r="G60" s="484" t="s">
        <v>112</v>
      </c>
      <c r="H60" s="472" t="s">
        <v>122</v>
      </c>
      <c r="I60" s="486">
        <v>50</v>
      </c>
      <c r="J60" s="486">
        <v>4.3</v>
      </c>
      <c r="K60" s="472">
        <f t="shared" si="1"/>
        <v>23</v>
      </c>
      <c r="L60" s="473">
        <v>0.97222222222222221</v>
      </c>
      <c r="M60" s="474">
        <f t="shared" si="2"/>
        <v>0.97222222222222221</v>
      </c>
      <c r="N60" s="519"/>
      <c r="P60" s="29" t="str">
        <f t="shared" si="3"/>
        <v>1958F0</v>
      </c>
      <c r="Q60" s="29" t="str">
        <f t="shared" si="4"/>
        <v>F023</v>
      </c>
      <c r="R60" s="29" t="str">
        <f t="shared" si="5"/>
        <v>JulyF0</v>
      </c>
    </row>
    <row r="61" spans="1:18">
      <c r="A61" s="483">
        <f t="shared" si="7"/>
        <v>57</v>
      </c>
      <c r="B61" s="484">
        <v>8</v>
      </c>
      <c r="C61" s="485">
        <v>21388</v>
      </c>
      <c r="D61" s="763" t="str">
        <f t="shared" si="0"/>
        <v>July</v>
      </c>
      <c r="E61" s="484">
        <v>22</v>
      </c>
      <c r="F61" s="472">
        <v>1958</v>
      </c>
      <c r="G61" s="484" t="s">
        <v>100</v>
      </c>
      <c r="H61" s="472" t="s">
        <v>123</v>
      </c>
      <c r="I61" s="486">
        <v>10</v>
      </c>
      <c r="J61" s="486">
        <v>0.1</v>
      </c>
      <c r="K61" s="472">
        <f t="shared" si="1"/>
        <v>18</v>
      </c>
      <c r="L61" s="473">
        <v>0.77083333333333337</v>
      </c>
      <c r="M61" s="474">
        <f t="shared" si="2"/>
        <v>0.77083333333333337</v>
      </c>
      <c r="N61" s="519"/>
      <c r="P61" s="29" t="str">
        <f t="shared" si="3"/>
        <v>1958F1</v>
      </c>
      <c r="Q61" s="29" t="str">
        <f t="shared" si="4"/>
        <v>F118</v>
      </c>
      <c r="R61" s="29" t="str">
        <f t="shared" si="5"/>
        <v>JulyF1</v>
      </c>
    </row>
    <row r="62" spans="1:18">
      <c r="A62" s="483">
        <f t="shared" si="7"/>
        <v>58</v>
      </c>
      <c r="B62" s="484">
        <v>9</v>
      </c>
      <c r="C62" s="485">
        <v>21391</v>
      </c>
      <c r="D62" s="763" t="str">
        <f t="shared" si="0"/>
        <v>July</v>
      </c>
      <c r="E62" s="484">
        <v>25</v>
      </c>
      <c r="F62" s="472">
        <v>1958</v>
      </c>
      <c r="G62" s="484" t="s">
        <v>107</v>
      </c>
      <c r="H62" s="472" t="s">
        <v>123</v>
      </c>
      <c r="I62" s="486">
        <v>10</v>
      </c>
      <c r="J62" s="486">
        <v>0.1</v>
      </c>
      <c r="K62" s="472">
        <f t="shared" si="1"/>
        <v>1</v>
      </c>
      <c r="L62" s="473">
        <v>6.9444444444444434E-2</v>
      </c>
      <c r="M62" s="474">
        <f t="shared" si="2"/>
        <v>6.9444444444444434E-2</v>
      </c>
      <c r="N62" s="519"/>
      <c r="P62" s="29" t="str">
        <f t="shared" si="3"/>
        <v>1958F1</v>
      </c>
      <c r="Q62" s="29" t="str">
        <f t="shared" si="4"/>
        <v>F11</v>
      </c>
      <c r="R62" s="29" t="str">
        <f t="shared" si="5"/>
        <v>JulyF1</v>
      </c>
    </row>
    <row r="63" spans="1:18">
      <c r="A63" s="483">
        <f t="shared" si="7"/>
        <v>59</v>
      </c>
      <c r="B63" s="484">
        <v>10</v>
      </c>
      <c r="C63" s="485">
        <v>21393</v>
      </c>
      <c r="D63" s="763" t="str">
        <f t="shared" si="0"/>
        <v>July</v>
      </c>
      <c r="E63" s="484">
        <v>27</v>
      </c>
      <c r="F63" s="472">
        <v>1958</v>
      </c>
      <c r="G63" s="484" t="s">
        <v>109</v>
      </c>
      <c r="H63" s="472" t="s">
        <v>122</v>
      </c>
      <c r="I63" s="486">
        <v>33</v>
      </c>
      <c r="J63" s="486">
        <v>2</v>
      </c>
      <c r="K63" s="472">
        <f t="shared" si="1"/>
        <v>16</v>
      </c>
      <c r="L63" s="473">
        <v>0.69444444444444453</v>
      </c>
      <c r="M63" s="474">
        <f t="shared" si="2"/>
        <v>0.69444444444444453</v>
      </c>
      <c r="N63" s="519"/>
      <c r="P63" s="29" t="str">
        <f t="shared" si="3"/>
        <v>1958F0</v>
      </c>
      <c r="Q63" s="29" t="str">
        <f t="shared" si="4"/>
        <v>F016</v>
      </c>
      <c r="R63" s="29" t="str">
        <f t="shared" si="5"/>
        <v>JulyF0</v>
      </c>
    </row>
    <row r="64" spans="1:18">
      <c r="A64" s="483">
        <f t="shared" si="7"/>
        <v>60</v>
      </c>
      <c r="B64" s="484">
        <v>11</v>
      </c>
      <c r="C64" s="485">
        <v>21435</v>
      </c>
      <c r="D64" s="763" t="str">
        <f t="shared" si="0"/>
        <v>September</v>
      </c>
      <c r="E64" s="484">
        <v>7</v>
      </c>
      <c r="F64" s="472">
        <v>1958</v>
      </c>
      <c r="G64" s="484" t="s">
        <v>100</v>
      </c>
      <c r="H64" s="472" t="s">
        <v>123</v>
      </c>
      <c r="I64" s="486">
        <v>100</v>
      </c>
      <c r="J64" s="486">
        <v>3.6</v>
      </c>
      <c r="K64" s="472">
        <f t="shared" si="1"/>
        <v>16</v>
      </c>
      <c r="L64" s="473">
        <v>0.66666666666666663</v>
      </c>
      <c r="M64" s="474">
        <f t="shared" si="2"/>
        <v>0.66666666666666663</v>
      </c>
      <c r="N64" s="519"/>
      <c r="P64" s="29" t="str">
        <f t="shared" si="3"/>
        <v>1958F1</v>
      </c>
      <c r="Q64" s="29" t="str">
        <f t="shared" si="4"/>
        <v>F116</v>
      </c>
      <c r="R64" s="29" t="str">
        <f t="shared" si="5"/>
        <v>SeptemberF1</v>
      </c>
    </row>
    <row r="65" spans="1:18">
      <c r="A65" s="483">
        <f t="shared" si="7"/>
        <v>61</v>
      </c>
      <c r="B65" s="484">
        <v>1</v>
      </c>
      <c r="C65" s="485">
        <v>21678</v>
      </c>
      <c r="D65" s="763" t="str">
        <f t="shared" si="0"/>
        <v>May</v>
      </c>
      <c r="E65" s="484">
        <v>8</v>
      </c>
      <c r="F65" s="472">
        <v>1959</v>
      </c>
      <c r="G65" s="484" t="s">
        <v>109</v>
      </c>
      <c r="H65" s="472" t="s">
        <v>123</v>
      </c>
      <c r="I65" s="486">
        <v>13</v>
      </c>
      <c r="J65" s="486">
        <v>0.2</v>
      </c>
      <c r="K65" s="472">
        <f t="shared" si="1"/>
        <v>16</v>
      </c>
      <c r="L65" s="473">
        <v>0.66666666666666663</v>
      </c>
      <c r="M65" s="474">
        <f t="shared" si="2"/>
        <v>0.66666666666666663</v>
      </c>
      <c r="N65" s="519"/>
      <c r="P65" s="29" t="str">
        <f t="shared" si="3"/>
        <v>1959F1</v>
      </c>
      <c r="Q65" s="29" t="str">
        <f t="shared" si="4"/>
        <v>F116</v>
      </c>
      <c r="R65" s="29" t="str">
        <f t="shared" si="5"/>
        <v>MayF1</v>
      </c>
    </row>
    <row r="66" spans="1:18">
      <c r="A66" s="483">
        <f t="shared" si="7"/>
        <v>62</v>
      </c>
      <c r="B66" s="484">
        <v>2</v>
      </c>
      <c r="C66" s="485">
        <v>21687</v>
      </c>
      <c r="D66" s="763" t="str">
        <f t="shared" si="0"/>
        <v>May</v>
      </c>
      <c r="E66" s="484">
        <v>17</v>
      </c>
      <c r="F66" s="472">
        <v>1959</v>
      </c>
      <c r="G66" s="484" t="s">
        <v>109</v>
      </c>
      <c r="H66" s="472" t="s">
        <v>123</v>
      </c>
      <c r="I66" s="486">
        <v>100</v>
      </c>
      <c r="J66" s="486">
        <v>0.1</v>
      </c>
      <c r="K66" s="472">
        <f t="shared" si="1"/>
        <v>16</v>
      </c>
      <c r="L66" s="473">
        <v>0.67291666666666661</v>
      </c>
      <c r="M66" s="474">
        <f t="shared" si="2"/>
        <v>0.67291666666666661</v>
      </c>
      <c r="N66" s="519"/>
      <c r="P66" s="29" t="str">
        <f t="shared" si="3"/>
        <v>1959F1</v>
      </c>
      <c r="Q66" s="29" t="str">
        <f t="shared" si="4"/>
        <v>F116</v>
      </c>
      <c r="R66" s="29" t="str">
        <f t="shared" si="5"/>
        <v>MayF1</v>
      </c>
    </row>
    <row r="67" spans="1:18">
      <c r="A67" s="483">
        <f t="shared" si="7"/>
        <v>63</v>
      </c>
      <c r="B67" s="484">
        <v>3</v>
      </c>
      <c r="C67" s="485">
        <v>21695</v>
      </c>
      <c r="D67" s="763" t="str">
        <f t="shared" si="0"/>
        <v>May</v>
      </c>
      <c r="E67" s="484">
        <v>25</v>
      </c>
      <c r="F67" s="472">
        <v>1959</v>
      </c>
      <c r="G67" s="484" t="s">
        <v>119</v>
      </c>
      <c r="H67" s="472" t="s">
        <v>122</v>
      </c>
      <c r="I67" s="486">
        <v>17</v>
      </c>
      <c r="J67" s="486">
        <v>0.4</v>
      </c>
      <c r="K67" s="472">
        <f t="shared" si="1"/>
        <v>22</v>
      </c>
      <c r="L67" s="473">
        <v>0.9375</v>
      </c>
      <c r="M67" s="474">
        <f t="shared" si="2"/>
        <v>0.9375</v>
      </c>
      <c r="N67" s="519"/>
      <c r="P67" s="29" t="str">
        <f t="shared" si="3"/>
        <v>1959F0</v>
      </c>
      <c r="Q67" s="29" t="str">
        <f t="shared" si="4"/>
        <v>F022</v>
      </c>
      <c r="R67" s="29" t="str">
        <f t="shared" si="5"/>
        <v>MayF0</v>
      </c>
    </row>
    <row r="68" spans="1:18">
      <c r="A68" s="483">
        <f t="shared" si="7"/>
        <v>64</v>
      </c>
      <c r="B68" s="484">
        <v>4</v>
      </c>
      <c r="C68" s="485">
        <v>21741</v>
      </c>
      <c r="D68" s="763" t="str">
        <f t="shared" si="0"/>
        <v>July</v>
      </c>
      <c r="E68" s="484">
        <v>10</v>
      </c>
      <c r="F68" s="472">
        <v>1959</v>
      </c>
      <c r="G68" s="484" t="s">
        <v>109</v>
      </c>
      <c r="H68" s="472" t="s">
        <v>123</v>
      </c>
      <c r="I68" s="486">
        <v>33</v>
      </c>
      <c r="J68" s="486">
        <v>0.5</v>
      </c>
      <c r="K68" s="472">
        <f t="shared" si="1"/>
        <v>17</v>
      </c>
      <c r="L68" s="473">
        <v>0.72916666666666663</v>
      </c>
      <c r="M68" s="474">
        <f t="shared" si="2"/>
        <v>0.72916666666666663</v>
      </c>
      <c r="N68" s="519"/>
      <c r="P68" s="29" t="str">
        <f t="shared" si="3"/>
        <v>1959F1</v>
      </c>
      <c r="Q68" s="29" t="str">
        <f t="shared" si="4"/>
        <v>F117</v>
      </c>
      <c r="R68" s="29" t="str">
        <f t="shared" si="5"/>
        <v>JulyF1</v>
      </c>
    </row>
    <row r="69" spans="1:18">
      <c r="A69" s="483">
        <f t="shared" si="7"/>
        <v>65</v>
      </c>
      <c r="B69" s="484">
        <v>5</v>
      </c>
      <c r="C69" s="485">
        <v>21745</v>
      </c>
      <c r="D69" s="763" t="str">
        <f t="shared" ref="D69:D132" si="8">+TEXT(C69,"mmmm")</f>
        <v>July</v>
      </c>
      <c r="E69" s="484">
        <v>14</v>
      </c>
      <c r="F69" s="472">
        <v>1959</v>
      </c>
      <c r="G69" s="484" t="s">
        <v>108</v>
      </c>
      <c r="H69" s="472" t="s">
        <v>123</v>
      </c>
      <c r="I69" s="486">
        <v>500</v>
      </c>
      <c r="J69" s="486">
        <v>10.9</v>
      </c>
      <c r="K69" s="472">
        <f t="shared" ref="K69:K132" si="9">HOUR(M69)</f>
        <v>19</v>
      </c>
      <c r="L69" s="473">
        <v>0.80208333333333337</v>
      </c>
      <c r="M69" s="474">
        <f t="shared" ref="M69:M132" si="10">+L69</f>
        <v>0.80208333333333337</v>
      </c>
      <c r="N69" s="519"/>
      <c r="P69" s="29" t="str">
        <f t="shared" si="3"/>
        <v>1959F1</v>
      </c>
      <c r="Q69" s="29" t="str">
        <f t="shared" si="4"/>
        <v>F119</v>
      </c>
      <c r="R69" s="29" t="str">
        <f t="shared" si="5"/>
        <v>JulyF1</v>
      </c>
    </row>
    <row r="70" spans="1:18">
      <c r="A70" s="483">
        <f t="shared" si="7"/>
        <v>66</v>
      </c>
      <c r="B70" s="484">
        <v>6</v>
      </c>
      <c r="C70" s="485">
        <v>21817</v>
      </c>
      <c r="D70" s="763" t="str">
        <f t="shared" si="8"/>
        <v>September</v>
      </c>
      <c r="E70" s="484">
        <v>24</v>
      </c>
      <c r="F70" s="472">
        <v>1959</v>
      </c>
      <c r="G70" s="484" t="s">
        <v>108</v>
      </c>
      <c r="H70" s="472" t="s">
        <v>122</v>
      </c>
      <c r="I70" s="486">
        <v>117</v>
      </c>
      <c r="J70" s="486">
        <v>0.1</v>
      </c>
      <c r="K70" s="472">
        <f t="shared" si="9"/>
        <v>14</v>
      </c>
      <c r="L70" s="473">
        <v>0.6020833333333333</v>
      </c>
      <c r="M70" s="474">
        <f t="shared" si="10"/>
        <v>0.6020833333333333</v>
      </c>
      <c r="N70" s="519"/>
      <c r="P70" s="29" t="str">
        <f t="shared" ref="P70:P133" si="11">CONCATENATE(F70,H70)</f>
        <v>1959F0</v>
      </c>
      <c r="Q70" s="29" t="str">
        <f t="shared" ref="Q70:Q133" si="12">CONCATENATE(H70,K70)</f>
        <v>F014</v>
      </c>
      <c r="R70" s="29" t="str">
        <f t="shared" ref="R70:R133" si="13">CONCATENATE(D70,H70)</f>
        <v>SeptemberF0</v>
      </c>
    </row>
    <row r="71" spans="1:18">
      <c r="A71" s="483">
        <f t="shared" ref="A71:A134" si="14">+A70+1</f>
        <v>67</v>
      </c>
      <c r="B71" s="484">
        <v>1</v>
      </c>
      <c r="C71" s="485">
        <v>22018</v>
      </c>
      <c r="D71" s="763" t="str">
        <f t="shared" si="8"/>
        <v>April</v>
      </c>
      <c r="E71" s="484">
        <v>12</v>
      </c>
      <c r="F71" s="472">
        <v>1960</v>
      </c>
      <c r="G71" s="484" t="s">
        <v>99</v>
      </c>
      <c r="H71" s="472" t="s">
        <v>123</v>
      </c>
      <c r="I71" s="486">
        <v>300</v>
      </c>
      <c r="J71" s="486">
        <v>0.2</v>
      </c>
      <c r="K71" s="472">
        <f t="shared" si="9"/>
        <v>18</v>
      </c>
      <c r="L71" s="473">
        <v>0.77083333333333337</v>
      </c>
      <c r="M71" s="474">
        <f t="shared" si="10"/>
        <v>0.77083333333333337</v>
      </c>
      <c r="N71" s="519"/>
      <c r="P71" s="29" t="str">
        <f t="shared" si="11"/>
        <v>1960F1</v>
      </c>
      <c r="Q71" s="29" t="str">
        <f t="shared" si="12"/>
        <v>F118</v>
      </c>
      <c r="R71" s="29" t="str">
        <f t="shared" si="13"/>
        <v>AprilF1</v>
      </c>
    </row>
    <row r="72" spans="1:18">
      <c r="A72" s="483">
        <f t="shared" si="14"/>
        <v>68</v>
      </c>
      <c r="B72" s="484">
        <v>2</v>
      </c>
      <c r="C72" s="485">
        <v>22064</v>
      </c>
      <c r="D72" s="763" t="str">
        <f t="shared" si="8"/>
        <v>May</v>
      </c>
      <c r="E72" s="484">
        <v>28</v>
      </c>
      <c r="F72" s="472">
        <v>1960</v>
      </c>
      <c r="G72" s="484" t="s">
        <v>118</v>
      </c>
      <c r="H72" s="472" t="s">
        <v>123</v>
      </c>
      <c r="I72" s="486">
        <v>33</v>
      </c>
      <c r="J72" s="486">
        <v>1.3</v>
      </c>
      <c r="K72" s="472">
        <f t="shared" si="9"/>
        <v>16</v>
      </c>
      <c r="L72" s="473">
        <v>0.67013888888888884</v>
      </c>
      <c r="M72" s="474">
        <f t="shared" si="10"/>
        <v>0.67013888888888884</v>
      </c>
      <c r="N72" s="519"/>
      <c r="P72" s="29" t="str">
        <f t="shared" si="11"/>
        <v>1960F1</v>
      </c>
      <c r="Q72" s="29" t="str">
        <f t="shared" si="12"/>
        <v>F116</v>
      </c>
      <c r="R72" s="29" t="str">
        <f t="shared" si="13"/>
        <v>MayF1</v>
      </c>
    </row>
    <row r="73" spans="1:18">
      <c r="A73" s="483">
        <f t="shared" si="14"/>
        <v>69</v>
      </c>
      <c r="B73" s="484">
        <v>3</v>
      </c>
      <c r="C73" s="485">
        <v>22064</v>
      </c>
      <c r="D73" s="763" t="str">
        <f t="shared" si="8"/>
        <v>May</v>
      </c>
      <c r="E73" s="484">
        <v>28</v>
      </c>
      <c r="F73" s="472">
        <v>1960</v>
      </c>
      <c r="G73" s="484" t="s">
        <v>118</v>
      </c>
      <c r="H73" s="472" t="s">
        <v>122</v>
      </c>
      <c r="I73" s="486">
        <v>7</v>
      </c>
      <c r="J73" s="486">
        <v>0.1</v>
      </c>
      <c r="K73" s="472">
        <f t="shared" si="9"/>
        <v>16</v>
      </c>
      <c r="L73" s="473">
        <v>0.67222222222222217</v>
      </c>
      <c r="M73" s="474">
        <f t="shared" si="10"/>
        <v>0.67222222222222217</v>
      </c>
      <c r="N73" s="519"/>
      <c r="P73" s="29" t="str">
        <f t="shared" si="11"/>
        <v>1960F0</v>
      </c>
      <c r="Q73" s="29" t="str">
        <f t="shared" si="12"/>
        <v>F016</v>
      </c>
      <c r="R73" s="29" t="str">
        <f t="shared" si="13"/>
        <v>MayF0</v>
      </c>
    </row>
    <row r="74" spans="1:18">
      <c r="A74" s="483">
        <f t="shared" si="14"/>
        <v>70</v>
      </c>
      <c r="B74" s="484">
        <v>4</v>
      </c>
      <c r="C74" s="485">
        <v>22064</v>
      </c>
      <c r="D74" s="763" t="str">
        <f t="shared" si="8"/>
        <v>May</v>
      </c>
      <c r="E74" s="484">
        <v>28</v>
      </c>
      <c r="F74" s="472">
        <v>1960</v>
      </c>
      <c r="G74" s="484" t="s">
        <v>118</v>
      </c>
      <c r="H74" s="472" t="s">
        <v>122</v>
      </c>
      <c r="I74" s="486">
        <v>3</v>
      </c>
      <c r="J74" s="486">
        <v>0.1</v>
      </c>
      <c r="K74" s="472">
        <f t="shared" si="9"/>
        <v>17</v>
      </c>
      <c r="L74" s="473">
        <v>0.70833333333333337</v>
      </c>
      <c r="M74" s="474">
        <f t="shared" si="10"/>
        <v>0.70833333333333337</v>
      </c>
      <c r="N74" s="519"/>
      <c r="P74" s="29" t="str">
        <f t="shared" si="11"/>
        <v>1960F0</v>
      </c>
      <c r="Q74" s="29" t="str">
        <f t="shared" si="12"/>
        <v>F017</v>
      </c>
      <c r="R74" s="29" t="str">
        <f t="shared" si="13"/>
        <v>MayF0</v>
      </c>
    </row>
    <row r="75" spans="1:18">
      <c r="A75" s="483">
        <f t="shared" si="14"/>
        <v>71</v>
      </c>
      <c r="B75" s="484">
        <v>5</v>
      </c>
      <c r="C75" s="485">
        <v>22075</v>
      </c>
      <c r="D75" s="763" t="str">
        <f t="shared" si="8"/>
        <v>June</v>
      </c>
      <c r="E75" s="484">
        <v>8</v>
      </c>
      <c r="F75" s="472">
        <v>1960</v>
      </c>
      <c r="G75" s="484" t="s">
        <v>114</v>
      </c>
      <c r="H75" s="472" t="s">
        <v>122</v>
      </c>
      <c r="I75" s="486">
        <v>33</v>
      </c>
      <c r="J75" s="486">
        <v>0.5</v>
      </c>
      <c r="K75" s="472">
        <f t="shared" si="9"/>
        <v>1</v>
      </c>
      <c r="L75" s="473">
        <v>4.1666666666666664E-2</v>
      </c>
      <c r="M75" s="474">
        <f t="shared" si="10"/>
        <v>4.1666666666666664E-2</v>
      </c>
      <c r="N75" s="519"/>
      <c r="P75" s="29" t="str">
        <f t="shared" si="11"/>
        <v>1960F0</v>
      </c>
      <c r="Q75" s="29" t="str">
        <f t="shared" si="12"/>
        <v>F01</v>
      </c>
      <c r="R75" s="29" t="str">
        <f t="shared" si="13"/>
        <v>JuneF0</v>
      </c>
    </row>
    <row r="76" spans="1:18">
      <c r="A76" s="483">
        <f t="shared" si="14"/>
        <v>72</v>
      </c>
      <c r="B76" s="484">
        <v>6</v>
      </c>
      <c r="C76" s="485">
        <v>22075</v>
      </c>
      <c r="D76" s="763" t="str">
        <f t="shared" si="8"/>
        <v>June</v>
      </c>
      <c r="E76" s="484">
        <v>8</v>
      </c>
      <c r="F76" s="472">
        <v>1960</v>
      </c>
      <c r="G76" s="484" t="s">
        <v>120</v>
      </c>
      <c r="H76" s="472" t="s">
        <v>124</v>
      </c>
      <c r="I76" s="486">
        <v>10</v>
      </c>
      <c r="J76" s="486">
        <v>0.1</v>
      </c>
      <c r="K76" s="472">
        <f t="shared" si="9"/>
        <v>16</v>
      </c>
      <c r="L76" s="473">
        <v>0.68402777777777779</v>
      </c>
      <c r="M76" s="474">
        <f t="shared" si="10"/>
        <v>0.68402777777777779</v>
      </c>
      <c r="N76" s="519"/>
      <c r="P76" s="29" t="str">
        <f t="shared" si="11"/>
        <v>1960F2</v>
      </c>
      <c r="Q76" s="29" t="str">
        <f t="shared" si="12"/>
        <v>F216</v>
      </c>
      <c r="R76" s="29" t="str">
        <f t="shared" si="13"/>
        <v>JuneF2</v>
      </c>
    </row>
    <row r="77" spans="1:18">
      <c r="A77" s="483">
        <f t="shared" si="14"/>
        <v>73</v>
      </c>
      <c r="B77" s="484">
        <v>7</v>
      </c>
      <c r="C77" s="485">
        <v>22076</v>
      </c>
      <c r="D77" s="763" t="str">
        <f t="shared" si="8"/>
        <v>June</v>
      </c>
      <c r="E77" s="484">
        <v>9</v>
      </c>
      <c r="F77" s="472">
        <v>1960</v>
      </c>
      <c r="G77" s="484" t="s">
        <v>108</v>
      </c>
      <c r="H77" s="472" t="s">
        <v>122</v>
      </c>
      <c r="I77" s="486">
        <v>23</v>
      </c>
      <c r="J77" s="486">
        <v>0.1</v>
      </c>
      <c r="K77" s="472">
        <f t="shared" si="9"/>
        <v>0</v>
      </c>
      <c r="L77" s="473">
        <v>1.0416666666666666E-2</v>
      </c>
      <c r="M77" s="474">
        <f t="shared" si="10"/>
        <v>1.0416666666666666E-2</v>
      </c>
      <c r="N77" s="519"/>
      <c r="P77" s="29" t="str">
        <f t="shared" si="11"/>
        <v>1960F0</v>
      </c>
      <c r="Q77" s="29" t="str">
        <f t="shared" si="12"/>
        <v>F00</v>
      </c>
      <c r="R77" s="29" t="str">
        <f t="shared" si="13"/>
        <v>JuneF0</v>
      </c>
    </row>
    <row r="78" spans="1:18">
      <c r="A78" s="483">
        <f t="shared" si="14"/>
        <v>74</v>
      </c>
      <c r="B78" s="484">
        <v>8</v>
      </c>
      <c r="C78" s="485">
        <v>22076</v>
      </c>
      <c r="D78" s="763" t="str">
        <f t="shared" si="8"/>
        <v>June</v>
      </c>
      <c r="E78" s="484">
        <v>9</v>
      </c>
      <c r="F78" s="472">
        <v>1960</v>
      </c>
      <c r="G78" s="484" t="s">
        <v>113</v>
      </c>
      <c r="H78" s="472" t="s">
        <v>123</v>
      </c>
      <c r="I78" s="486">
        <v>33</v>
      </c>
      <c r="J78" s="486">
        <v>1</v>
      </c>
      <c r="K78" s="472">
        <f t="shared" si="9"/>
        <v>19</v>
      </c>
      <c r="L78" s="473">
        <v>0.81597222222222221</v>
      </c>
      <c r="M78" s="474">
        <f t="shared" si="10"/>
        <v>0.81597222222222221</v>
      </c>
      <c r="N78" s="519"/>
      <c r="P78" s="29" t="str">
        <f t="shared" si="11"/>
        <v>1960F1</v>
      </c>
      <c r="Q78" s="29" t="str">
        <f t="shared" si="12"/>
        <v>F119</v>
      </c>
      <c r="R78" s="29" t="str">
        <f t="shared" si="13"/>
        <v>JuneF1</v>
      </c>
    </row>
    <row r="79" spans="1:18">
      <c r="A79" s="483">
        <f t="shared" si="14"/>
        <v>75</v>
      </c>
      <c r="B79" s="484">
        <v>9</v>
      </c>
      <c r="C79" s="485">
        <v>22077</v>
      </c>
      <c r="D79" s="763" t="str">
        <f t="shared" si="8"/>
        <v>June</v>
      </c>
      <c r="E79" s="484">
        <v>10</v>
      </c>
      <c r="F79" s="472">
        <v>1960</v>
      </c>
      <c r="G79" s="484" t="s">
        <v>117</v>
      </c>
      <c r="H79" s="472" t="s">
        <v>122</v>
      </c>
      <c r="I79" s="486">
        <v>10</v>
      </c>
      <c r="J79" s="486">
        <v>0.1</v>
      </c>
      <c r="K79" s="472">
        <f t="shared" si="9"/>
        <v>17</v>
      </c>
      <c r="L79" s="473">
        <v>0.72916666666666663</v>
      </c>
      <c r="M79" s="474">
        <f t="shared" si="10"/>
        <v>0.72916666666666663</v>
      </c>
      <c r="N79" s="519"/>
      <c r="P79" s="29" t="str">
        <f t="shared" si="11"/>
        <v>1960F0</v>
      </c>
      <c r="Q79" s="29" t="str">
        <f t="shared" si="12"/>
        <v>F017</v>
      </c>
      <c r="R79" s="29" t="str">
        <f t="shared" si="13"/>
        <v>JuneF0</v>
      </c>
    </row>
    <row r="80" spans="1:18">
      <c r="A80" s="483">
        <f t="shared" si="14"/>
        <v>76</v>
      </c>
      <c r="B80" s="484">
        <v>10</v>
      </c>
      <c r="C80" s="485">
        <v>22077</v>
      </c>
      <c r="D80" s="763" t="str">
        <f t="shared" si="8"/>
        <v>June</v>
      </c>
      <c r="E80" s="484">
        <v>10</v>
      </c>
      <c r="F80" s="472">
        <v>1960</v>
      </c>
      <c r="G80" s="484" t="s">
        <v>113</v>
      </c>
      <c r="H80" s="472" t="s">
        <v>122</v>
      </c>
      <c r="I80" s="486">
        <v>10</v>
      </c>
      <c r="J80" s="486">
        <v>0.1</v>
      </c>
      <c r="K80" s="472">
        <f t="shared" si="9"/>
        <v>19</v>
      </c>
      <c r="L80" s="473">
        <v>0.82361111111111107</v>
      </c>
      <c r="M80" s="474">
        <f t="shared" si="10"/>
        <v>0.82361111111111107</v>
      </c>
      <c r="N80" s="519"/>
      <c r="P80" s="29" t="str">
        <f t="shared" si="11"/>
        <v>1960F0</v>
      </c>
      <c r="Q80" s="29" t="str">
        <f t="shared" si="12"/>
        <v>F019</v>
      </c>
      <c r="R80" s="29" t="str">
        <f t="shared" si="13"/>
        <v>JuneF0</v>
      </c>
    </row>
    <row r="81" spans="1:18">
      <c r="A81" s="483">
        <f t="shared" si="14"/>
        <v>77</v>
      </c>
      <c r="B81" s="484">
        <v>11</v>
      </c>
      <c r="C81" s="485">
        <v>22082</v>
      </c>
      <c r="D81" s="763" t="str">
        <f t="shared" si="8"/>
        <v>June</v>
      </c>
      <c r="E81" s="484">
        <v>15</v>
      </c>
      <c r="F81" s="472">
        <v>1960</v>
      </c>
      <c r="G81" s="484" t="s">
        <v>101</v>
      </c>
      <c r="H81" s="472" t="s">
        <v>123</v>
      </c>
      <c r="I81" s="486">
        <v>10</v>
      </c>
      <c r="J81" s="486">
        <v>0.1</v>
      </c>
      <c r="K81" s="472">
        <f t="shared" si="9"/>
        <v>1</v>
      </c>
      <c r="L81" s="473">
        <v>4.1666666666666664E-2</v>
      </c>
      <c r="M81" s="474">
        <f t="shared" si="10"/>
        <v>4.1666666666666664E-2</v>
      </c>
      <c r="N81" s="519"/>
      <c r="P81" s="29" t="str">
        <f t="shared" si="11"/>
        <v>1960F1</v>
      </c>
      <c r="Q81" s="29" t="str">
        <f t="shared" si="12"/>
        <v>F11</v>
      </c>
      <c r="R81" s="29" t="str">
        <f t="shared" si="13"/>
        <v>JuneF1</v>
      </c>
    </row>
    <row r="82" spans="1:18">
      <c r="A82" s="483">
        <f t="shared" si="14"/>
        <v>78</v>
      </c>
      <c r="B82" s="484">
        <v>12</v>
      </c>
      <c r="C82" s="485">
        <v>22082</v>
      </c>
      <c r="D82" s="763" t="str">
        <f t="shared" si="8"/>
        <v>June</v>
      </c>
      <c r="E82" s="484">
        <v>15</v>
      </c>
      <c r="F82" s="472">
        <v>1960</v>
      </c>
      <c r="G82" s="484" t="s">
        <v>105</v>
      </c>
      <c r="H82" s="472" t="s">
        <v>123</v>
      </c>
      <c r="I82" s="486">
        <v>23</v>
      </c>
      <c r="J82" s="486">
        <v>0.4</v>
      </c>
      <c r="K82" s="472">
        <f t="shared" si="9"/>
        <v>17</v>
      </c>
      <c r="L82" s="473">
        <v>0.74305555555555547</v>
      </c>
      <c r="M82" s="474">
        <f t="shared" si="10"/>
        <v>0.74305555555555547</v>
      </c>
      <c r="N82" s="519"/>
      <c r="P82" s="29" t="str">
        <f t="shared" si="11"/>
        <v>1960F1</v>
      </c>
      <c r="Q82" s="29" t="str">
        <f t="shared" si="12"/>
        <v>F117</v>
      </c>
      <c r="R82" s="29" t="str">
        <f t="shared" si="13"/>
        <v>JuneF1</v>
      </c>
    </row>
    <row r="83" spans="1:18">
      <c r="A83" s="483">
        <f t="shared" si="14"/>
        <v>79</v>
      </c>
      <c r="B83" s="484">
        <v>13</v>
      </c>
      <c r="C83" s="485">
        <v>22082</v>
      </c>
      <c r="D83" s="763" t="str">
        <f t="shared" si="8"/>
        <v>June</v>
      </c>
      <c r="E83" s="484">
        <v>15</v>
      </c>
      <c r="F83" s="472">
        <v>1960</v>
      </c>
      <c r="G83" s="484" t="s">
        <v>105</v>
      </c>
      <c r="H83" s="472" t="s">
        <v>123</v>
      </c>
      <c r="I83" s="486">
        <v>27</v>
      </c>
      <c r="J83" s="486">
        <v>0.7</v>
      </c>
      <c r="K83" s="472">
        <f t="shared" si="9"/>
        <v>18</v>
      </c>
      <c r="L83" s="473">
        <v>0.75</v>
      </c>
      <c r="M83" s="474">
        <f t="shared" si="10"/>
        <v>0.75</v>
      </c>
      <c r="N83" s="519"/>
      <c r="P83" s="29" t="str">
        <f t="shared" si="11"/>
        <v>1960F1</v>
      </c>
      <c r="Q83" s="29" t="str">
        <f t="shared" si="12"/>
        <v>F118</v>
      </c>
      <c r="R83" s="29" t="str">
        <f t="shared" si="13"/>
        <v>JuneF1</v>
      </c>
    </row>
    <row r="84" spans="1:18">
      <c r="A84" s="483">
        <f t="shared" si="14"/>
        <v>80</v>
      </c>
      <c r="B84" s="484">
        <v>1</v>
      </c>
      <c r="C84" s="485">
        <v>22405</v>
      </c>
      <c r="D84" s="763" t="str">
        <f t="shared" si="8"/>
        <v>May</v>
      </c>
      <c r="E84" s="484">
        <v>4</v>
      </c>
      <c r="F84" s="472">
        <v>1961</v>
      </c>
      <c r="G84" s="484" t="s">
        <v>111</v>
      </c>
      <c r="H84" s="472" t="s">
        <v>122</v>
      </c>
      <c r="I84" s="486">
        <v>33</v>
      </c>
      <c r="J84" s="486">
        <v>8.4</v>
      </c>
      <c r="K84" s="472">
        <f t="shared" si="9"/>
        <v>14</v>
      </c>
      <c r="L84" s="473">
        <v>0.58333333333333337</v>
      </c>
      <c r="M84" s="474">
        <f t="shared" si="10"/>
        <v>0.58333333333333337</v>
      </c>
      <c r="N84" s="519"/>
      <c r="P84" s="29" t="str">
        <f t="shared" si="11"/>
        <v>1961F0</v>
      </c>
      <c r="Q84" s="29" t="str">
        <f t="shared" si="12"/>
        <v>F014</v>
      </c>
      <c r="R84" s="29" t="str">
        <f t="shared" si="13"/>
        <v>MayF0</v>
      </c>
    </row>
    <row r="85" spans="1:18">
      <c r="A85" s="483">
        <f t="shared" si="14"/>
        <v>81</v>
      </c>
      <c r="B85" s="484">
        <v>2</v>
      </c>
      <c r="C85" s="485">
        <v>22417</v>
      </c>
      <c r="D85" s="763" t="str">
        <f t="shared" si="8"/>
        <v>May</v>
      </c>
      <c r="E85" s="484">
        <v>16</v>
      </c>
      <c r="F85" s="472">
        <v>1961</v>
      </c>
      <c r="G85" s="484" t="s">
        <v>114</v>
      </c>
      <c r="H85" s="472" t="s">
        <v>124</v>
      </c>
      <c r="I85" s="486">
        <v>33</v>
      </c>
      <c r="J85" s="486">
        <v>0.5</v>
      </c>
      <c r="K85" s="472">
        <f t="shared" si="9"/>
        <v>16</v>
      </c>
      <c r="L85" s="473">
        <v>0.69791666666666663</v>
      </c>
      <c r="M85" s="474">
        <f t="shared" si="10"/>
        <v>0.69791666666666663</v>
      </c>
      <c r="N85" s="519"/>
      <c r="P85" s="29" t="str">
        <f t="shared" si="11"/>
        <v>1961F2</v>
      </c>
      <c r="Q85" s="29" t="str">
        <f t="shared" si="12"/>
        <v>F216</v>
      </c>
      <c r="R85" s="29" t="str">
        <f t="shared" si="13"/>
        <v>MayF2</v>
      </c>
    </row>
    <row r="86" spans="1:18">
      <c r="A86" s="483">
        <f t="shared" si="14"/>
        <v>82</v>
      </c>
      <c r="B86" s="484">
        <v>3</v>
      </c>
      <c r="C86" s="485">
        <v>22417</v>
      </c>
      <c r="D86" s="763" t="str">
        <f t="shared" si="8"/>
        <v>May</v>
      </c>
      <c r="E86" s="484">
        <v>16</v>
      </c>
      <c r="F86" s="472">
        <v>1961</v>
      </c>
      <c r="G86" s="484" t="s">
        <v>115</v>
      </c>
      <c r="H86" s="472" t="s">
        <v>122</v>
      </c>
      <c r="I86" s="486">
        <v>33</v>
      </c>
      <c r="J86" s="486">
        <v>0.2</v>
      </c>
      <c r="K86" s="472">
        <f t="shared" si="9"/>
        <v>17</v>
      </c>
      <c r="L86" s="473">
        <v>0.73611111111111116</v>
      </c>
      <c r="M86" s="474">
        <f t="shared" si="10"/>
        <v>0.73611111111111116</v>
      </c>
      <c r="N86" s="519"/>
      <c r="P86" s="29" t="str">
        <f t="shared" si="11"/>
        <v>1961F0</v>
      </c>
      <c r="Q86" s="29" t="str">
        <f t="shared" si="12"/>
        <v>F017</v>
      </c>
      <c r="R86" s="29" t="str">
        <f t="shared" si="13"/>
        <v>MayF0</v>
      </c>
    </row>
    <row r="87" spans="1:18">
      <c r="A87" s="483">
        <f t="shared" si="14"/>
        <v>83</v>
      </c>
      <c r="B87" s="484">
        <v>4</v>
      </c>
      <c r="C87" s="485">
        <v>22434</v>
      </c>
      <c r="D87" s="763" t="str">
        <f t="shared" si="8"/>
        <v>June</v>
      </c>
      <c r="E87" s="484">
        <v>2</v>
      </c>
      <c r="F87" s="472">
        <v>1961</v>
      </c>
      <c r="G87" s="484" t="s">
        <v>115</v>
      </c>
      <c r="H87" s="472" t="s">
        <v>124</v>
      </c>
      <c r="I87" s="486">
        <v>23</v>
      </c>
      <c r="J87" s="486">
        <v>0.5</v>
      </c>
      <c r="K87" s="472">
        <f t="shared" si="9"/>
        <v>14</v>
      </c>
      <c r="L87" s="473">
        <v>0.60416666666666663</v>
      </c>
      <c r="M87" s="474">
        <f t="shared" si="10"/>
        <v>0.60416666666666663</v>
      </c>
      <c r="N87" s="519"/>
      <c r="P87" s="29" t="str">
        <f t="shared" si="11"/>
        <v>1961F2</v>
      </c>
      <c r="Q87" s="29" t="str">
        <f t="shared" si="12"/>
        <v>F214</v>
      </c>
      <c r="R87" s="29" t="str">
        <f t="shared" si="13"/>
        <v>JuneF2</v>
      </c>
    </row>
    <row r="88" spans="1:18">
      <c r="A88" s="483">
        <f t="shared" si="14"/>
        <v>84</v>
      </c>
      <c r="B88" s="484">
        <v>5</v>
      </c>
      <c r="C88" s="485">
        <v>22435</v>
      </c>
      <c r="D88" s="763" t="str">
        <f t="shared" si="8"/>
        <v>June</v>
      </c>
      <c r="E88" s="484">
        <v>3</v>
      </c>
      <c r="F88" s="472">
        <v>1961</v>
      </c>
      <c r="G88" s="484" t="s">
        <v>100</v>
      </c>
      <c r="H88" s="472" t="s">
        <v>124</v>
      </c>
      <c r="I88" s="486">
        <v>10</v>
      </c>
      <c r="J88" s="486">
        <v>0.1</v>
      </c>
      <c r="K88" s="472">
        <f t="shared" si="9"/>
        <v>17</v>
      </c>
      <c r="L88" s="473">
        <v>0.73958333333333337</v>
      </c>
      <c r="M88" s="474">
        <f t="shared" si="10"/>
        <v>0.73958333333333337</v>
      </c>
      <c r="N88" s="519"/>
      <c r="P88" s="29" t="str">
        <f t="shared" si="11"/>
        <v>1961F2</v>
      </c>
      <c r="Q88" s="29" t="str">
        <f t="shared" si="12"/>
        <v>F217</v>
      </c>
      <c r="R88" s="29" t="str">
        <f t="shared" si="13"/>
        <v>JuneF2</v>
      </c>
    </row>
    <row r="89" spans="1:18">
      <c r="A89" s="483">
        <f t="shared" si="14"/>
        <v>85</v>
      </c>
      <c r="B89" s="484">
        <v>6</v>
      </c>
      <c r="C89" s="485">
        <v>22435</v>
      </c>
      <c r="D89" s="763" t="str">
        <f t="shared" si="8"/>
        <v>June</v>
      </c>
      <c r="E89" s="484">
        <v>3</v>
      </c>
      <c r="F89" s="472">
        <v>1961</v>
      </c>
      <c r="G89" s="484" t="s">
        <v>101</v>
      </c>
      <c r="H89" s="472" t="s">
        <v>124</v>
      </c>
      <c r="I89" s="486">
        <v>33</v>
      </c>
      <c r="J89" s="486">
        <v>1.3</v>
      </c>
      <c r="K89" s="472">
        <f t="shared" si="9"/>
        <v>18</v>
      </c>
      <c r="L89" s="473">
        <v>0.75</v>
      </c>
      <c r="M89" s="474">
        <f t="shared" si="10"/>
        <v>0.75</v>
      </c>
      <c r="N89" s="519"/>
      <c r="P89" s="29" t="str">
        <f t="shared" si="11"/>
        <v>1961F2</v>
      </c>
      <c r="Q89" s="29" t="str">
        <f t="shared" si="12"/>
        <v>F218</v>
      </c>
      <c r="R89" s="29" t="str">
        <f t="shared" si="13"/>
        <v>JuneF2</v>
      </c>
    </row>
    <row r="90" spans="1:18">
      <c r="A90" s="483">
        <f t="shared" si="14"/>
        <v>86</v>
      </c>
      <c r="B90" s="484">
        <v>7</v>
      </c>
      <c r="C90" s="485">
        <v>22435</v>
      </c>
      <c r="D90" s="763" t="str">
        <f t="shared" si="8"/>
        <v>June</v>
      </c>
      <c r="E90" s="484">
        <v>3</v>
      </c>
      <c r="F90" s="472">
        <v>1961</v>
      </c>
      <c r="G90" s="484" t="s">
        <v>112</v>
      </c>
      <c r="H90" s="472" t="s">
        <v>122</v>
      </c>
      <c r="I90" s="486">
        <v>50</v>
      </c>
      <c r="J90" s="486">
        <v>27.3</v>
      </c>
      <c r="K90" s="472">
        <f t="shared" si="9"/>
        <v>20</v>
      </c>
      <c r="L90" s="473">
        <v>0.83333333333333337</v>
      </c>
      <c r="M90" s="474">
        <f t="shared" si="10"/>
        <v>0.83333333333333337</v>
      </c>
      <c r="N90" s="519"/>
      <c r="P90" s="29" t="str">
        <f t="shared" si="11"/>
        <v>1961F0</v>
      </c>
      <c r="Q90" s="29" t="str">
        <f t="shared" si="12"/>
        <v>F020</v>
      </c>
      <c r="R90" s="29" t="str">
        <f t="shared" si="13"/>
        <v>JuneF0</v>
      </c>
    </row>
    <row r="91" spans="1:18">
      <c r="A91" s="483">
        <f t="shared" si="14"/>
        <v>87</v>
      </c>
      <c r="B91" s="484">
        <v>8</v>
      </c>
      <c r="C91" s="485">
        <v>22437</v>
      </c>
      <c r="D91" s="763" t="str">
        <f t="shared" si="8"/>
        <v>June</v>
      </c>
      <c r="E91" s="484">
        <v>5</v>
      </c>
      <c r="F91" s="472">
        <v>1961</v>
      </c>
      <c r="G91" s="484" t="s">
        <v>102</v>
      </c>
      <c r="H91" s="472" t="s">
        <v>123</v>
      </c>
      <c r="I91" s="486">
        <v>500</v>
      </c>
      <c r="J91" s="486">
        <v>23.9</v>
      </c>
      <c r="K91" s="472">
        <f t="shared" si="9"/>
        <v>15</v>
      </c>
      <c r="L91" s="473">
        <v>0.625</v>
      </c>
      <c r="M91" s="474">
        <f t="shared" si="10"/>
        <v>0.625</v>
      </c>
      <c r="N91" s="519"/>
      <c r="P91" s="29" t="str">
        <f t="shared" si="11"/>
        <v>1961F1</v>
      </c>
      <c r="Q91" s="29" t="str">
        <f t="shared" si="12"/>
        <v>F115</v>
      </c>
      <c r="R91" s="29" t="str">
        <f t="shared" si="13"/>
        <v>JuneF1</v>
      </c>
    </row>
    <row r="92" spans="1:18">
      <c r="A92" s="483">
        <f t="shared" si="14"/>
        <v>88</v>
      </c>
      <c r="B92" s="484">
        <v>9</v>
      </c>
      <c r="C92" s="485">
        <v>22437</v>
      </c>
      <c r="D92" s="763" t="str">
        <f t="shared" si="8"/>
        <v>June</v>
      </c>
      <c r="E92" s="484">
        <v>5</v>
      </c>
      <c r="F92" s="472">
        <v>1961</v>
      </c>
      <c r="G92" s="484" t="s">
        <v>102</v>
      </c>
      <c r="H92" s="472" t="s">
        <v>123</v>
      </c>
      <c r="I92" s="486">
        <v>150</v>
      </c>
      <c r="J92" s="486">
        <v>20</v>
      </c>
      <c r="K92" s="472">
        <f t="shared" si="9"/>
        <v>15</v>
      </c>
      <c r="L92" s="473">
        <v>0.625</v>
      </c>
      <c r="M92" s="474">
        <f t="shared" si="10"/>
        <v>0.625</v>
      </c>
      <c r="N92" s="519"/>
      <c r="P92" s="29" t="str">
        <f t="shared" si="11"/>
        <v>1961F1</v>
      </c>
      <c r="Q92" s="29" t="str">
        <f t="shared" si="12"/>
        <v>F115</v>
      </c>
      <c r="R92" s="29" t="str">
        <f t="shared" si="13"/>
        <v>JuneF1</v>
      </c>
    </row>
    <row r="93" spans="1:18">
      <c r="A93" s="483">
        <f t="shared" si="14"/>
        <v>89</v>
      </c>
      <c r="B93" s="484">
        <v>10</v>
      </c>
      <c r="C93" s="485">
        <v>22437</v>
      </c>
      <c r="D93" s="763" t="str">
        <f t="shared" si="8"/>
        <v>June</v>
      </c>
      <c r="E93" s="484">
        <v>5</v>
      </c>
      <c r="F93" s="472">
        <v>1961</v>
      </c>
      <c r="G93" s="484" t="s">
        <v>102</v>
      </c>
      <c r="H93" s="472" t="s">
        <v>123</v>
      </c>
      <c r="I93" s="486">
        <v>33</v>
      </c>
      <c r="J93" s="486">
        <v>12</v>
      </c>
      <c r="K93" s="472">
        <f t="shared" si="9"/>
        <v>15</v>
      </c>
      <c r="L93" s="473">
        <v>0.625</v>
      </c>
      <c r="M93" s="474">
        <f t="shared" si="10"/>
        <v>0.625</v>
      </c>
      <c r="N93" s="519"/>
      <c r="P93" s="29" t="str">
        <f t="shared" si="11"/>
        <v>1961F1</v>
      </c>
      <c r="Q93" s="29" t="str">
        <f t="shared" si="12"/>
        <v>F115</v>
      </c>
      <c r="R93" s="29" t="str">
        <f t="shared" si="13"/>
        <v>JuneF1</v>
      </c>
    </row>
    <row r="94" spans="1:18">
      <c r="A94" s="483">
        <f t="shared" si="14"/>
        <v>90</v>
      </c>
      <c r="B94" s="484">
        <v>11</v>
      </c>
      <c r="C94" s="485">
        <v>22437</v>
      </c>
      <c r="D94" s="763" t="str">
        <f t="shared" si="8"/>
        <v>June</v>
      </c>
      <c r="E94" s="484">
        <v>5</v>
      </c>
      <c r="F94" s="472">
        <v>1961</v>
      </c>
      <c r="G94" s="484" t="s">
        <v>102</v>
      </c>
      <c r="H94" s="472" t="s">
        <v>123</v>
      </c>
      <c r="I94" s="486">
        <v>333</v>
      </c>
      <c r="J94" s="486">
        <v>21.8</v>
      </c>
      <c r="K94" s="472">
        <f t="shared" si="9"/>
        <v>15</v>
      </c>
      <c r="L94" s="473">
        <v>0.625</v>
      </c>
      <c r="M94" s="474">
        <f t="shared" si="10"/>
        <v>0.625</v>
      </c>
      <c r="N94" s="519"/>
      <c r="P94" s="29" t="str">
        <f t="shared" si="11"/>
        <v>1961F1</v>
      </c>
      <c r="Q94" s="29" t="str">
        <f t="shared" si="12"/>
        <v>F115</v>
      </c>
      <c r="R94" s="29" t="str">
        <f t="shared" si="13"/>
        <v>JuneF1</v>
      </c>
    </row>
    <row r="95" spans="1:18">
      <c r="A95" s="483">
        <f t="shared" si="14"/>
        <v>91</v>
      </c>
      <c r="B95" s="484">
        <v>12</v>
      </c>
      <c r="C95" s="485">
        <v>22437</v>
      </c>
      <c r="D95" s="763" t="str">
        <f t="shared" si="8"/>
        <v>June</v>
      </c>
      <c r="E95" s="484">
        <v>5</v>
      </c>
      <c r="F95" s="472">
        <v>1961</v>
      </c>
      <c r="G95" s="484" t="s">
        <v>99</v>
      </c>
      <c r="H95" s="472" t="s">
        <v>124</v>
      </c>
      <c r="I95" s="486">
        <v>150</v>
      </c>
      <c r="J95" s="486">
        <v>28.5</v>
      </c>
      <c r="K95" s="472">
        <f t="shared" si="9"/>
        <v>17</v>
      </c>
      <c r="L95" s="473">
        <v>0.71875</v>
      </c>
      <c r="M95" s="474">
        <f t="shared" si="10"/>
        <v>0.71875</v>
      </c>
      <c r="N95" s="519"/>
      <c r="P95" s="29" t="str">
        <f t="shared" si="11"/>
        <v>1961F2</v>
      </c>
      <c r="Q95" s="29" t="str">
        <f t="shared" si="12"/>
        <v>F217</v>
      </c>
      <c r="R95" s="29" t="str">
        <f t="shared" si="13"/>
        <v>JuneF2</v>
      </c>
    </row>
    <row r="96" spans="1:18">
      <c r="A96" s="483">
        <f t="shared" si="14"/>
        <v>92</v>
      </c>
      <c r="B96" s="484">
        <v>13</v>
      </c>
      <c r="C96" s="485">
        <v>22439</v>
      </c>
      <c r="D96" s="763" t="str">
        <f t="shared" si="8"/>
        <v>June</v>
      </c>
      <c r="E96" s="484">
        <v>7</v>
      </c>
      <c r="F96" s="472">
        <v>1961</v>
      </c>
      <c r="G96" s="484" t="s">
        <v>110</v>
      </c>
      <c r="H96" s="472" t="s">
        <v>122</v>
      </c>
      <c r="I96" s="486">
        <v>33</v>
      </c>
      <c r="J96" s="486">
        <v>20</v>
      </c>
      <c r="K96" s="472">
        <f t="shared" si="9"/>
        <v>0</v>
      </c>
      <c r="L96" s="473">
        <v>2.0833333333333332E-2</v>
      </c>
      <c r="M96" s="474">
        <f t="shared" si="10"/>
        <v>2.0833333333333332E-2</v>
      </c>
      <c r="N96" s="519"/>
      <c r="P96" s="29" t="str">
        <f t="shared" si="11"/>
        <v>1961F0</v>
      </c>
      <c r="Q96" s="29" t="str">
        <f t="shared" si="12"/>
        <v>F00</v>
      </c>
      <c r="R96" s="29" t="str">
        <f t="shared" si="13"/>
        <v>JuneF0</v>
      </c>
    </row>
    <row r="97" spans="1:18">
      <c r="A97" s="483">
        <f t="shared" si="14"/>
        <v>93</v>
      </c>
      <c r="B97" s="484">
        <v>14</v>
      </c>
      <c r="C97" s="485">
        <v>22439</v>
      </c>
      <c r="D97" s="763" t="str">
        <f t="shared" si="8"/>
        <v>June</v>
      </c>
      <c r="E97" s="484">
        <v>7</v>
      </c>
      <c r="F97" s="472">
        <v>1961</v>
      </c>
      <c r="G97" s="484" t="s">
        <v>100</v>
      </c>
      <c r="H97" s="472" t="s">
        <v>122</v>
      </c>
      <c r="I97" s="486">
        <v>10</v>
      </c>
      <c r="J97" s="486">
        <v>0.1</v>
      </c>
      <c r="K97" s="472">
        <f t="shared" si="9"/>
        <v>20</v>
      </c>
      <c r="L97" s="473">
        <v>0.83333333333333337</v>
      </c>
      <c r="M97" s="474">
        <f t="shared" si="10"/>
        <v>0.83333333333333337</v>
      </c>
      <c r="N97" s="519"/>
      <c r="P97" s="29" t="str">
        <f t="shared" si="11"/>
        <v>1961F0</v>
      </c>
      <c r="Q97" s="29" t="str">
        <f t="shared" si="12"/>
        <v>F020</v>
      </c>
      <c r="R97" s="29" t="str">
        <f t="shared" si="13"/>
        <v>JuneF0</v>
      </c>
    </row>
    <row r="98" spans="1:18">
      <c r="A98" s="483">
        <f t="shared" si="14"/>
        <v>94</v>
      </c>
      <c r="B98" s="484">
        <v>15</v>
      </c>
      <c r="C98" s="485">
        <v>22476</v>
      </c>
      <c r="D98" s="763" t="str">
        <f t="shared" si="8"/>
        <v>July</v>
      </c>
      <c r="E98" s="484">
        <v>14</v>
      </c>
      <c r="F98" s="472">
        <v>1961</v>
      </c>
      <c r="G98" s="484" t="s">
        <v>120</v>
      </c>
      <c r="H98" s="472" t="s">
        <v>123</v>
      </c>
      <c r="I98" s="486">
        <v>33</v>
      </c>
      <c r="J98" s="486">
        <v>0.5</v>
      </c>
      <c r="K98" s="472">
        <f t="shared" si="9"/>
        <v>20</v>
      </c>
      <c r="L98" s="473">
        <v>0.83333333333333337</v>
      </c>
      <c r="M98" s="474">
        <f t="shared" si="10"/>
        <v>0.83333333333333337</v>
      </c>
      <c r="N98" s="519"/>
      <c r="P98" s="29" t="str">
        <f t="shared" si="11"/>
        <v>1961F1</v>
      </c>
      <c r="Q98" s="29" t="str">
        <f t="shared" si="12"/>
        <v>F120</v>
      </c>
      <c r="R98" s="29" t="str">
        <f t="shared" si="13"/>
        <v>JulyF1</v>
      </c>
    </row>
    <row r="99" spans="1:18">
      <c r="A99" s="483">
        <f t="shared" si="14"/>
        <v>95</v>
      </c>
      <c r="B99" s="484">
        <v>1</v>
      </c>
      <c r="C99" s="485">
        <v>22783</v>
      </c>
      <c r="D99" s="763" t="str">
        <f t="shared" si="8"/>
        <v>May</v>
      </c>
      <c r="E99" s="484">
        <v>17</v>
      </c>
      <c r="F99" s="472">
        <v>1962</v>
      </c>
      <c r="G99" s="484" t="s">
        <v>99</v>
      </c>
      <c r="H99" s="472" t="s">
        <v>122</v>
      </c>
      <c r="I99" s="486">
        <v>10</v>
      </c>
      <c r="J99" s="486">
        <v>0.1</v>
      </c>
      <c r="K99" s="472">
        <f t="shared" si="9"/>
        <v>14</v>
      </c>
      <c r="L99" s="473">
        <v>0.59861111111111109</v>
      </c>
      <c r="M99" s="474">
        <f t="shared" si="10"/>
        <v>0.59861111111111109</v>
      </c>
      <c r="N99" s="519"/>
      <c r="P99" s="29" t="str">
        <f t="shared" si="11"/>
        <v>1962F0</v>
      </c>
      <c r="Q99" s="29" t="str">
        <f t="shared" si="12"/>
        <v>F014</v>
      </c>
      <c r="R99" s="29" t="str">
        <f t="shared" si="13"/>
        <v>MayF0</v>
      </c>
    </row>
    <row r="100" spans="1:18">
      <c r="A100" s="483">
        <f t="shared" si="14"/>
        <v>96</v>
      </c>
      <c r="B100" s="484">
        <v>2</v>
      </c>
      <c r="C100" s="485">
        <v>22793</v>
      </c>
      <c r="D100" s="763" t="str">
        <f t="shared" si="8"/>
        <v>May</v>
      </c>
      <c r="E100" s="484">
        <v>27</v>
      </c>
      <c r="F100" s="472">
        <v>1962</v>
      </c>
      <c r="G100" s="484" t="s">
        <v>104</v>
      </c>
      <c r="H100" s="472" t="s">
        <v>123</v>
      </c>
      <c r="I100" s="486">
        <v>50</v>
      </c>
      <c r="J100" s="486">
        <v>4.5</v>
      </c>
      <c r="K100" s="472">
        <f t="shared" si="9"/>
        <v>16</v>
      </c>
      <c r="L100" s="473">
        <v>0.6875</v>
      </c>
      <c r="M100" s="474">
        <f t="shared" si="10"/>
        <v>0.6875</v>
      </c>
      <c r="N100" s="519"/>
      <c r="P100" s="29" t="str">
        <f t="shared" si="11"/>
        <v>1962F1</v>
      </c>
      <c r="Q100" s="29" t="str">
        <f t="shared" si="12"/>
        <v>F116</v>
      </c>
      <c r="R100" s="29" t="str">
        <f t="shared" si="13"/>
        <v>MayF1</v>
      </c>
    </row>
    <row r="101" spans="1:18">
      <c r="A101" s="483">
        <f t="shared" si="14"/>
        <v>97</v>
      </c>
      <c r="B101" s="484">
        <v>3</v>
      </c>
      <c r="C101" s="485">
        <v>22793</v>
      </c>
      <c r="D101" s="763" t="str">
        <f t="shared" si="8"/>
        <v>May</v>
      </c>
      <c r="E101" s="484">
        <v>27</v>
      </c>
      <c r="F101" s="472">
        <v>1962</v>
      </c>
      <c r="G101" s="484" t="s">
        <v>106</v>
      </c>
      <c r="H101" s="472" t="s">
        <v>123</v>
      </c>
      <c r="I101" s="486">
        <v>10</v>
      </c>
      <c r="J101" s="486">
        <v>0.1</v>
      </c>
      <c r="K101" s="472">
        <f t="shared" si="9"/>
        <v>16</v>
      </c>
      <c r="L101" s="473">
        <v>0.6875</v>
      </c>
      <c r="M101" s="474">
        <f t="shared" si="10"/>
        <v>0.6875</v>
      </c>
      <c r="N101" s="519"/>
      <c r="P101" s="29" t="str">
        <f t="shared" si="11"/>
        <v>1962F1</v>
      </c>
      <c r="Q101" s="29" t="str">
        <f t="shared" si="12"/>
        <v>F116</v>
      </c>
      <c r="R101" s="29" t="str">
        <f t="shared" si="13"/>
        <v>MayF1</v>
      </c>
    </row>
    <row r="102" spans="1:18">
      <c r="A102" s="483">
        <f t="shared" si="14"/>
        <v>98</v>
      </c>
      <c r="B102" s="484">
        <v>4</v>
      </c>
      <c r="C102" s="485">
        <v>22793</v>
      </c>
      <c r="D102" s="763" t="str">
        <f t="shared" si="8"/>
        <v>May</v>
      </c>
      <c r="E102" s="484">
        <v>27</v>
      </c>
      <c r="F102" s="472">
        <v>1962</v>
      </c>
      <c r="G102" s="484" t="s">
        <v>106</v>
      </c>
      <c r="H102" s="472" t="s">
        <v>124</v>
      </c>
      <c r="I102" s="486">
        <v>10</v>
      </c>
      <c r="J102" s="486">
        <v>0.1</v>
      </c>
      <c r="K102" s="472">
        <f t="shared" si="9"/>
        <v>16</v>
      </c>
      <c r="L102" s="473">
        <v>0.6875</v>
      </c>
      <c r="M102" s="474">
        <f t="shared" si="10"/>
        <v>0.6875</v>
      </c>
      <c r="N102" s="519"/>
      <c r="P102" s="29" t="str">
        <f t="shared" si="11"/>
        <v>1962F2</v>
      </c>
      <c r="Q102" s="29" t="str">
        <f t="shared" si="12"/>
        <v>F216</v>
      </c>
      <c r="R102" s="29" t="str">
        <f t="shared" si="13"/>
        <v>MayF2</v>
      </c>
    </row>
    <row r="103" spans="1:18">
      <c r="A103" s="483">
        <f t="shared" si="14"/>
        <v>99</v>
      </c>
      <c r="B103" s="484">
        <v>5</v>
      </c>
      <c r="C103" s="485">
        <v>22793</v>
      </c>
      <c r="D103" s="763" t="str">
        <f t="shared" si="8"/>
        <v>May</v>
      </c>
      <c r="E103" s="484">
        <v>27</v>
      </c>
      <c r="F103" s="472">
        <v>1962</v>
      </c>
      <c r="G103" s="484" t="s">
        <v>101</v>
      </c>
      <c r="H103" s="472" t="s">
        <v>122</v>
      </c>
      <c r="I103" s="486">
        <v>10</v>
      </c>
      <c r="J103" s="486">
        <v>0.1</v>
      </c>
      <c r="K103" s="472">
        <f t="shared" si="9"/>
        <v>17</v>
      </c>
      <c r="L103" s="473">
        <v>0.72916666666666663</v>
      </c>
      <c r="M103" s="474">
        <f t="shared" si="10"/>
        <v>0.72916666666666663</v>
      </c>
      <c r="N103" s="519"/>
      <c r="P103" s="29" t="str">
        <f t="shared" si="11"/>
        <v>1962F0</v>
      </c>
      <c r="Q103" s="29" t="str">
        <f t="shared" si="12"/>
        <v>F017</v>
      </c>
      <c r="R103" s="29" t="str">
        <f t="shared" si="13"/>
        <v>MayF0</v>
      </c>
    </row>
    <row r="104" spans="1:18">
      <c r="A104" s="483">
        <f t="shared" si="14"/>
        <v>100</v>
      </c>
      <c r="B104" s="484">
        <v>6</v>
      </c>
      <c r="C104" s="485">
        <v>22793</v>
      </c>
      <c r="D104" s="763" t="str">
        <f t="shared" si="8"/>
        <v>May</v>
      </c>
      <c r="E104" s="484">
        <v>27</v>
      </c>
      <c r="F104" s="472">
        <v>1962</v>
      </c>
      <c r="G104" s="484" t="s">
        <v>105</v>
      </c>
      <c r="H104" s="472" t="s">
        <v>123</v>
      </c>
      <c r="I104" s="486">
        <v>50</v>
      </c>
      <c r="J104" s="486">
        <v>1.5</v>
      </c>
      <c r="K104" s="472">
        <f t="shared" si="9"/>
        <v>17</v>
      </c>
      <c r="L104" s="473">
        <v>0.72916666666666663</v>
      </c>
      <c r="M104" s="474">
        <f t="shared" si="10"/>
        <v>0.72916666666666663</v>
      </c>
      <c r="N104" s="519"/>
      <c r="P104" s="29" t="str">
        <f t="shared" si="11"/>
        <v>1962F1</v>
      </c>
      <c r="Q104" s="29" t="str">
        <f t="shared" si="12"/>
        <v>F117</v>
      </c>
      <c r="R104" s="29" t="str">
        <f t="shared" si="13"/>
        <v>MayF1</v>
      </c>
    </row>
    <row r="105" spans="1:18">
      <c r="A105" s="483">
        <f t="shared" si="14"/>
        <v>101</v>
      </c>
      <c r="B105" s="484">
        <v>7</v>
      </c>
      <c r="C105" s="485">
        <v>22793</v>
      </c>
      <c r="D105" s="763" t="str">
        <f t="shared" si="8"/>
        <v>May</v>
      </c>
      <c r="E105" s="484">
        <v>27</v>
      </c>
      <c r="F105" s="472">
        <v>1962</v>
      </c>
      <c r="G105" s="484" t="s">
        <v>105</v>
      </c>
      <c r="H105" s="472" t="s">
        <v>124</v>
      </c>
      <c r="I105" s="486">
        <v>83</v>
      </c>
      <c r="J105" s="486">
        <v>1</v>
      </c>
      <c r="K105" s="472">
        <f t="shared" si="9"/>
        <v>17</v>
      </c>
      <c r="L105" s="473">
        <v>0.72916666666666663</v>
      </c>
      <c r="M105" s="474">
        <f t="shared" si="10"/>
        <v>0.72916666666666663</v>
      </c>
      <c r="N105" s="519"/>
      <c r="P105" s="29" t="str">
        <f t="shared" si="11"/>
        <v>1962F2</v>
      </c>
      <c r="Q105" s="29" t="str">
        <f t="shared" si="12"/>
        <v>F217</v>
      </c>
      <c r="R105" s="29" t="str">
        <f t="shared" si="13"/>
        <v>MayF2</v>
      </c>
    </row>
    <row r="106" spans="1:18">
      <c r="A106" s="483">
        <f t="shared" si="14"/>
        <v>102</v>
      </c>
      <c r="B106" s="484">
        <v>8</v>
      </c>
      <c r="C106" s="485">
        <v>22793</v>
      </c>
      <c r="D106" s="763" t="str">
        <f t="shared" si="8"/>
        <v>May</v>
      </c>
      <c r="E106" s="484">
        <v>27</v>
      </c>
      <c r="F106" s="472">
        <v>1962</v>
      </c>
      <c r="G106" s="484" t="s">
        <v>105</v>
      </c>
      <c r="H106" s="472" t="s">
        <v>125</v>
      </c>
      <c r="I106" s="486">
        <v>200</v>
      </c>
      <c r="J106" s="486">
        <v>4.5</v>
      </c>
      <c r="K106" s="472">
        <f t="shared" si="9"/>
        <v>17</v>
      </c>
      <c r="L106" s="473">
        <v>0.72916666666666663</v>
      </c>
      <c r="M106" s="474">
        <f t="shared" si="10"/>
        <v>0.72916666666666663</v>
      </c>
      <c r="N106" s="519"/>
      <c r="P106" s="29" t="str">
        <f t="shared" si="11"/>
        <v>1962F3</v>
      </c>
      <c r="Q106" s="29" t="str">
        <f t="shared" si="12"/>
        <v>F317</v>
      </c>
      <c r="R106" s="29" t="str">
        <f t="shared" si="13"/>
        <v>MayF3</v>
      </c>
    </row>
    <row r="107" spans="1:18">
      <c r="A107" s="483">
        <f t="shared" si="14"/>
        <v>103</v>
      </c>
      <c r="B107" s="484">
        <v>9</v>
      </c>
      <c r="C107" s="485">
        <v>22800</v>
      </c>
      <c r="D107" s="763" t="str">
        <f t="shared" si="8"/>
        <v>June</v>
      </c>
      <c r="E107" s="484">
        <v>3</v>
      </c>
      <c r="F107" s="472">
        <v>1962</v>
      </c>
      <c r="G107" s="484" t="s">
        <v>105</v>
      </c>
      <c r="H107" s="472" t="s">
        <v>123</v>
      </c>
      <c r="I107" s="486">
        <v>10</v>
      </c>
      <c r="J107" s="486">
        <v>0.1</v>
      </c>
      <c r="K107" s="472">
        <f t="shared" si="9"/>
        <v>16</v>
      </c>
      <c r="L107" s="473">
        <v>0.66666666666666663</v>
      </c>
      <c r="M107" s="474">
        <f t="shared" si="10"/>
        <v>0.66666666666666663</v>
      </c>
      <c r="N107" s="519"/>
      <c r="P107" s="29" t="str">
        <f t="shared" si="11"/>
        <v>1962F1</v>
      </c>
      <c r="Q107" s="29" t="str">
        <f t="shared" si="12"/>
        <v>F116</v>
      </c>
      <c r="R107" s="29" t="str">
        <f t="shared" si="13"/>
        <v>JuneF1</v>
      </c>
    </row>
    <row r="108" spans="1:18">
      <c r="A108" s="483">
        <f t="shared" si="14"/>
        <v>104</v>
      </c>
      <c r="B108" s="484">
        <v>10</v>
      </c>
      <c r="C108" s="485">
        <v>22803</v>
      </c>
      <c r="D108" s="763" t="str">
        <f t="shared" si="8"/>
        <v>June</v>
      </c>
      <c r="E108" s="484">
        <v>6</v>
      </c>
      <c r="F108" s="472">
        <v>1962</v>
      </c>
      <c r="G108" s="484" t="s">
        <v>104</v>
      </c>
      <c r="H108" s="472" t="s">
        <v>122</v>
      </c>
      <c r="I108" s="486">
        <v>27</v>
      </c>
      <c r="J108" s="486">
        <v>1</v>
      </c>
      <c r="K108" s="472">
        <f t="shared" si="9"/>
        <v>17</v>
      </c>
      <c r="L108" s="473">
        <v>0.70833333333333337</v>
      </c>
      <c r="M108" s="474">
        <f t="shared" si="10"/>
        <v>0.70833333333333337</v>
      </c>
      <c r="N108" s="519"/>
      <c r="P108" s="29" t="str">
        <f t="shared" si="11"/>
        <v>1962F0</v>
      </c>
      <c r="Q108" s="29" t="str">
        <f t="shared" si="12"/>
        <v>F017</v>
      </c>
      <c r="R108" s="29" t="str">
        <f t="shared" si="13"/>
        <v>JuneF0</v>
      </c>
    </row>
    <row r="109" spans="1:18">
      <c r="A109" s="483">
        <f t="shared" si="14"/>
        <v>105</v>
      </c>
      <c r="B109" s="484">
        <v>11</v>
      </c>
      <c r="C109" s="485">
        <v>22803</v>
      </c>
      <c r="D109" s="763" t="str">
        <f t="shared" si="8"/>
        <v>June</v>
      </c>
      <c r="E109" s="484">
        <v>6</v>
      </c>
      <c r="F109" s="472">
        <v>1962</v>
      </c>
      <c r="G109" s="484" t="s">
        <v>104</v>
      </c>
      <c r="H109" s="472" t="s">
        <v>123</v>
      </c>
      <c r="I109" s="486">
        <v>1320</v>
      </c>
      <c r="J109" s="486">
        <v>2.5</v>
      </c>
      <c r="K109" s="472">
        <f t="shared" si="9"/>
        <v>17</v>
      </c>
      <c r="L109" s="473">
        <v>0.70833333333333337</v>
      </c>
      <c r="M109" s="474">
        <f t="shared" si="10"/>
        <v>0.70833333333333337</v>
      </c>
      <c r="N109" s="519"/>
      <c r="P109" s="29" t="str">
        <f t="shared" si="11"/>
        <v>1962F1</v>
      </c>
      <c r="Q109" s="29" t="str">
        <f t="shared" si="12"/>
        <v>F117</v>
      </c>
      <c r="R109" s="29" t="str">
        <f t="shared" si="13"/>
        <v>JuneF1</v>
      </c>
    </row>
    <row r="110" spans="1:18">
      <c r="A110" s="483">
        <f t="shared" si="14"/>
        <v>106</v>
      </c>
      <c r="B110" s="484">
        <v>12</v>
      </c>
      <c r="C110" s="485">
        <v>22803</v>
      </c>
      <c r="D110" s="763" t="str">
        <f t="shared" si="8"/>
        <v>June</v>
      </c>
      <c r="E110" s="484">
        <v>6</v>
      </c>
      <c r="F110" s="472">
        <v>1962</v>
      </c>
      <c r="G110" s="484" t="s">
        <v>100</v>
      </c>
      <c r="H110" s="472" t="s">
        <v>122</v>
      </c>
      <c r="I110" s="486">
        <v>10</v>
      </c>
      <c r="J110" s="486">
        <v>0.1</v>
      </c>
      <c r="K110" s="472">
        <f t="shared" si="9"/>
        <v>18</v>
      </c>
      <c r="L110" s="473">
        <v>0.75</v>
      </c>
      <c r="M110" s="474">
        <f t="shared" si="10"/>
        <v>0.75</v>
      </c>
      <c r="N110" s="519"/>
      <c r="P110" s="29" t="str">
        <f t="shared" si="11"/>
        <v>1962F0</v>
      </c>
      <c r="Q110" s="29" t="str">
        <f t="shared" si="12"/>
        <v>F018</v>
      </c>
      <c r="R110" s="29" t="str">
        <f t="shared" si="13"/>
        <v>JuneF0</v>
      </c>
    </row>
    <row r="111" spans="1:18">
      <c r="A111" s="483">
        <f t="shared" si="14"/>
        <v>107</v>
      </c>
      <c r="B111" s="484">
        <v>13</v>
      </c>
      <c r="C111" s="485">
        <v>22803</v>
      </c>
      <c r="D111" s="763" t="str">
        <f t="shared" si="8"/>
        <v>June</v>
      </c>
      <c r="E111" s="484">
        <v>6</v>
      </c>
      <c r="F111" s="472">
        <v>1962</v>
      </c>
      <c r="G111" s="484" t="s">
        <v>111</v>
      </c>
      <c r="H111" s="472" t="s">
        <v>122</v>
      </c>
      <c r="I111" s="486">
        <v>100</v>
      </c>
      <c r="J111" s="486">
        <v>2</v>
      </c>
      <c r="K111" s="472">
        <f t="shared" si="9"/>
        <v>23</v>
      </c>
      <c r="L111" s="473">
        <v>0.96527777777777779</v>
      </c>
      <c r="M111" s="474">
        <f t="shared" si="10"/>
        <v>0.96527777777777779</v>
      </c>
      <c r="N111" s="519"/>
      <c r="P111" s="29" t="str">
        <f t="shared" si="11"/>
        <v>1962F0</v>
      </c>
      <c r="Q111" s="29" t="str">
        <f t="shared" si="12"/>
        <v>F023</v>
      </c>
      <c r="R111" s="29" t="str">
        <f t="shared" si="13"/>
        <v>JuneF0</v>
      </c>
    </row>
    <row r="112" spans="1:18">
      <c r="A112" s="483">
        <f t="shared" si="14"/>
        <v>108</v>
      </c>
      <c r="B112" s="484">
        <v>14</v>
      </c>
      <c r="C112" s="485">
        <v>22805</v>
      </c>
      <c r="D112" s="763" t="str">
        <f t="shared" si="8"/>
        <v>June</v>
      </c>
      <c r="E112" s="484">
        <v>8</v>
      </c>
      <c r="F112" s="472">
        <v>1962</v>
      </c>
      <c r="G112" s="484" t="s">
        <v>100</v>
      </c>
      <c r="H112" s="472" t="s">
        <v>123</v>
      </c>
      <c r="I112" s="486">
        <v>10</v>
      </c>
      <c r="J112" s="486">
        <v>0.1</v>
      </c>
      <c r="K112" s="472">
        <f t="shared" si="9"/>
        <v>18</v>
      </c>
      <c r="L112" s="473">
        <v>0.77083333333333337</v>
      </c>
      <c r="M112" s="474">
        <f t="shared" si="10"/>
        <v>0.77083333333333337</v>
      </c>
      <c r="N112" s="519"/>
      <c r="P112" s="29" t="str">
        <f t="shared" si="11"/>
        <v>1962F1</v>
      </c>
      <c r="Q112" s="29" t="str">
        <f t="shared" si="12"/>
        <v>F118</v>
      </c>
      <c r="R112" s="29" t="str">
        <f t="shared" si="13"/>
        <v>JuneF1</v>
      </c>
    </row>
    <row r="113" spans="1:18">
      <c r="A113" s="483">
        <f t="shared" si="14"/>
        <v>109</v>
      </c>
      <c r="B113" s="484">
        <v>15</v>
      </c>
      <c r="C113" s="485">
        <v>22805</v>
      </c>
      <c r="D113" s="763" t="str">
        <f t="shared" si="8"/>
        <v>June</v>
      </c>
      <c r="E113" s="484">
        <v>8</v>
      </c>
      <c r="F113" s="472">
        <v>1962</v>
      </c>
      <c r="G113" s="484" t="s">
        <v>101</v>
      </c>
      <c r="H113" s="472" t="s">
        <v>123</v>
      </c>
      <c r="I113" s="486">
        <v>10</v>
      </c>
      <c r="J113" s="486">
        <v>0.1</v>
      </c>
      <c r="K113" s="472">
        <f t="shared" si="9"/>
        <v>20</v>
      </c>
      <c r="L113" s="473">
        <v>0.84027777777777779</v>
      </c>
      <c r="M113" s="474">
        <f t="shared" si="10"/>
        <v>0.84027777777777779</v>
      </c>
      <c r="N113" s="519"/>
      <c r="P113" s="29" t="str">
        <f t="shared" si="11"/>
        <v>1962F1</v>
      </c>
      <c r="Q113" s="29" t="str">
        <f t="shared" si="12"/>
        <v>F120</v>
      </c>
      <c r="R113" s="29" t="str">
        <f t="shared" si="13"/>
        <v>JuneF1</v>
      </c>
    </row>
    <row r="114" spans="1:18">
      <c r="A114" s="483">
        <f t="shared" si="14"/>
        <v>110</v>
      </c>
      <c r="B114" s="484">
        <v>16</v>
      </c>
      <c r="C114" s="485">
        <v>22805</v>
      </c>
      <c r="D114" s="763" t="str">
        <f t="shared" si="8"/>
        <v>June</v>
      </c>
      <c r="E114" s="484">
        <v>8</v>
      </c>
      <c r="F114" s="472">
        <v>1962</v>
      </c>
      <c r="G114" s="484" t="s">
        <v>101</v>
      </c>
      <c r="H114" s="472" t="s">
        <v>122</v>
      </c>
      <c r="I114" s="486">
        <v>10</v>
      </c>
      <c r="J114" s="486">
        <v>0.1</v>
      </c>
      <c r="K114" s="472">
        <f t="shared" si="9"/>
        <v>20</v>
      </c>
      <c r="L114" s="473">
        <v>0.84375</v>
      </c>
      <c r="M114" s="474">
        <f t="shared" si="10"/>
        <v>0.84375</v>
      </c>
      <c r="N114" s="519"/>
      <c r="P114" s="29" t="str">
        <f t="shared" si="11"/>
        <v>1962F0</v>
      </c>
      <c r="Q114" s="29" t="str">
        <f t="shared" si="12"/>
        <v>F020</v>
      </c>
      <c r="R114" s="29" t="str">
        <f t="shared" si="13"/>
        <v>JuneF0</v>
      </c>
    </row>
    <row r="115" spans="1:18">
      <c r="A115" s="483">
        <f t="shared" si="14"/>
        <v>111</v>
      </c>
      <c r="B115" s="484">
        <v>17</v>
      </c>
      <c r="C115" s="485">
        <v>22805</v>
      </c>
      <c r="D115" s="763" t="str">
        <f t="shared" si="8"/>
        <v>June</v>
      </c>
      <c r="E115" s="484">
        <v>8</v>
      </c>
      <c r="F115" s="472">
        <v>1962</v>
      </c>
      <c r="G115" s="484" t="s">
        <v>101</v>
      </c>
      <c r="H115" s="472" t="s">
        <v>122</v>
      </c>
      <c r="I115" s="486">
        <v>10</v>
      </c>
      <c r="J115" s="486">
        <v>0.1</v>
      </c>
      <c r="K115" s="472">
        <f t="shared" si="9"/>
        <v>20</v>
      </c>
      <c r="L115" s="473">
        <v>0.84375</v>
      </c>
      <c r="M115" s="474">
        <f t="shared" si="10"/>
        <v>0.84375</v>
      </c>
      <c r="N115" s="519"/>
      <c r="P115" s="29" t="str">
        <f t="shared" si="11"/>
        <v>1962F0</v>
      </c>
      <c r="Q115" s="29" t="str">
        <f t="shared" si="12"/>
        <v>F020</v>
      </c>
      <c r="R115" s="29" t="str">
        <f t="shared" si="13"/>
        <v>JuneF0</v>
      </c>
    </row>
    <row r="116" spans="1:18">
      <c r="A116" s="483">
        <f t="shared" si="14"/>
        <v>112</v>
      </c>
      <c r="B116" s="484">
        <v>18</v>
      </c>
      <c r="C116" s="485">
        <v>22805</v>
      </c>
      <c r="D116" s="763" t="str">
        <f t="shared" si="8"/>
        <v>June</v>
      </c>
      <c r="E116" s="484">
        <v>8</v>
      </c>
      <c r="F116" s="472">
        <v>1962</v>
      </c>
      <c r="G116" s="484" t="s">
        <v>101</v>
      </c>
      <c r="H116" s="472" t="s">
        <v>123</v>
      </c>
      <c r="I116" s="486">
        <v>10</v>
      </c>
      <c r="J116" s="486">
        <v>0.1</v>
      </c>
      <c r="K116" s="472">
        <f t="shared" si="9"/>
        <v>20</v>
      </c>
      <c r="L116" s="473">
        <v>0.84375</v>
      </c>
      <c r="M116" s="474">
        <f t="shared" si="10"/>
        <v>0.84375</v>
      </c>
      <c r="N116" s="519"/>
      <c r="P116" s="29" t="str">
        <f t="shared" si="11"/>
        <v>1962F1</v>
      </c>
      <c r="Q116" s="29" t="str">
        <f t="shared" si="12"/>
        <v>F120</v>
      </c>
      <c r="R116" s="29" t="str">
        <f t="shared" si="13"/>
        <v>JuneF1</v>
      </c>
    </row>
    <row r="117" spans="1:18">
      <c r="A117" s="483">
        <f t="shared" si="14"/>
        <v>113</v>
      </c>
      <c r="B117" s="484">
        <v>19</v>
      </c>
      <c r="C117" s="485">
        <v>22811</v>
      </c>
      <c r="D117" s="763" t="str">
        <f t="shared" si="8"/>
        <v>June</v>
      </c>
      <c r="E117" s="484">
        <v>14</v>
      </c>
      <c r="F117" s="472">
        <v>1962</v>
      </c>
      <c r="G117" s="484" t="s">
        <v>118</v>
      </c>
      <c r="H117" s="472" t="s">
        <v>124</v>
      </c>
      <c r="I117" s="486">
        <v>67</v>
      </c>
      <c r="J117" s="486">
        <v>1.4</v>
      </c>
      <c r="K117" s="472">
        <f t="shared" si="9"/>
        <v>15</v>
      </c>
      <c r="L117" s="473">
        <v>0.625</v>
      </c>
      <c r="M117" s="474">
        <f t="shared" si="10"/>
        <v>0.625</v>
      </c>
      <c r="N117" s="519"/>
      <c r="P117" s="29" t="str">
        <f t="shared" si="11"/>
        <v>1962F2</v>
      </c>
      <c r="Q117" s="29" t="str">
        <f t="shared" si="12"/>
        <v>F215</v>
      </c>
      <c r="R117" s="29" t="str">
        <f t="shared" si="13"/>
        <v>JuneF2</v>
      </c>
    </row>
    <row r="118" spans="1:18">
      <c r="A118" s="483">
        <f t="shared" si="14"/>
        <v>114</v>
      </c>
      <c r="B118" s="484">
        <v>20</v>
      </c>
      <c r="C118" s="485">
        <v>22811</v>
      </c>
      <c r="D118" s="763" t="str">
        <f t="shared" si="8"/>
        <v>June</v>
      </c>
      <c r="E118" s="484">
        <v>14</v>
      </c>
      <c r="F118" s="472">
        <v>1962</v>
      </c>
      <c r="G118" s="484" t="s">
        <v>118</v>
      </c>
      <c r="H118" s="472" t="s">
        <v>123</v>
      </c>
      <c r="I118" s="486">
        <v>13</v>
      </c>
      <c r="J118" s="486">
        <v>4.7</v>
      </c>
      <c r="K118" s="472">
        <f t="shared" si="9"/>
        <v>19</v>
      </c>
      <c r="L118" s="473">
        <v>0.81944444444444453</v>
      </c>
      <c r="M118" s="474">
        <f t="shared" si="10"/>
        <v>0.81944444444444453</v>
      </c>
      <c r="N118" s="519"/>
      <c r="P118" s="29" t="str">
        <f t="shared" si="11"/>
        <v>1962F1</v>
      </c>
      <c r="Q118" s="29" t="str">
        <f t="shared" si="12"/>
        <v>F119</v>
      </c>
      <c r="R118" s="29" t="str">
        <f t="shared" si="13"/>
        <v>JuneF1</v>
      </c>
    </row>
    <row r="119" spans="1:18">
      <c r="A119" s="483">
        <f t="shared" si="14"/>
        <v>115</v>
      </c>
      <c r="B119" s="484">
        <v>21</v>
      </c>
      <c r="C119" s="485">
        <v>22811</v>
      </c>
      <c r="D119" s="763" t="str">
        <f t="shared" si="8"/>
        <v>June</v>
      </c>
      <c r="E119" s="484">
        <v>14</v>
      </c>
      <c r="F119" s="472">
        <v>1962</v>
      </c>
      <c r="G119" s="484" t="s">
        <v>118</v>
      </c>
      <c r="H119" s="472" t="s">
        <v>123</v>
      </c>
      <c r="I119" s="486">
        <v>27</v>
      </c>
      <c r="J119" s="486">
        <v>2</v>
      </c>
      <c r="K119" s="472">
        <f t="shared" si="9"/>
        <v>19</v>
      </c>
      <c r="L119" s="473">
        <v>0.83125000000000004</v>
      </c>
      <c r="M119" s="474">
        <f t="shared" si="10"/>
        <v>0.83125000000000004</v>
      </c>
      <c r="N119" s="519"/>
      <c r="P119" s="29" t="str">
        <f t="shared" si="11"/>
        <v>1962F1</v>
      </c>
      <c r="Q119" s="29" t="str">
        <f t="shared" si="12"/>
        <v>F119</v>
      </c>
      <c r="R119" s="29" t="str">
        <f t="shared" si="13"/>
        <v>JuneF1</v>
      </c>
    </row>
    <row r="120" spans="1:18">
      <c r="A120" s="483">
        <f t="shared" si="14"/>
        <v>116</v>
      </c>
      <c r="B120" s="484">
        <v>22</v>
      </c>
      <c r="C120" s="485">
        <v>22811</v>
      </c>
      <c r="D120" s="763" t="str">
        <f t="shared" si="8"/>
        <v>June</v>
      </c>
      <c r="E120" s="484">
        <v>14</v>
      </c>
      <c r="F120" s="472">
        <v>1962</v>
      </c>
      <c r="G120" s="484" t="s">
        <v>118</v>
      </c>
      <c r="H120" s="472" t="s">
        <v>122</v>
      </c>
      <c r="I120" s="486">
        <v>33</v>
      </c>
      <c r="J120" s="486">
        <v>2</v>
      </c>
      <c r="K120" s="472">
        <f t="shared" si="9"/>
        <v>20</v>
      </c>
      <c r="L120" s="473">
        <v>0.84097222222222223</v>
      </c>
      <c r="M120" s="474">
        <f t="shared" si="10"/>
        <v>0.84097222222222223</v>
      </c>
      <c r="N120" s="519"/>
      <c r="P120" s="29" t="str">
        <f t="shared" si="11"/>
        <v>1962F0</v>
      </c>
      <c r="Q120" s="29" t="str">
        <f t="shared" si="12"/>
        <v>F020</v>
      </c>
      <c r="R120" s="29" t="str">
        <f t="shared" si="13"/>
        <v>JuneF0</v>
      </c>
    </row>
    <row r="121" spans="1:18">
      <c r="A121" s="483">
        <f t="shared" si="14"/>
        <v>117</v>
      </c>
      <c r="B121" s="484">
        <v>23</v>
      </c>
      <c r="C121" s="485">
        <v>22811</v>
      </c>
      <c r="D121" s="763" t="str">
        <f t="shared" si="8"/>
        <v>June</v>
      </c>
      <c r="E121" s="484">
        <v>14</v>
      </c>
      <c r="F121" s="472">
        <v>1962</v>
      </c>
      <c r="G121" s="484" t="s">
        <v>113</v>
      </c>
      <c r="H121" s="472" t="s">
        <v>123</v>
      </c>
      <c r="I121" s="486">
        <v>33</v>
      </c>
      <c r="J121" s="486">
        <v>0.5</v>
      </c>
      <c r="K121" s="472">
        <f t="shared" si="9"/>
        <v>21</v>
      </c>
      <c r="L121" s="473">
        <v>0.875</v>
      </c>
      <c r="M121" s="474">
        <f t="shared" si="10"/>
        <v>0.875</v>
      </c>
      <c r="N121" s="519"/>
      <c r="P121" s="29" t="str">
        <f t="shared" si="11"/>
        <v>1962F1</v>
      </c>
      <c r="Q121" s="29" t="str">
        <f t="shared" si="12"/>
        <v>F121</v>
      </c>
      <c r="R121" s="29" t="str">
        <f t="shared" si="13"/>
        <v>JuneF1</v>
      </c>
    </row>
    <row r="122" spans="1:18">
      <c r="A122" s="483">
        <f t="shared" si="14"/>
        <v>118</v>
      </c>
      <c r="B122" s="484">
        <v>24</v>
      </c>
      <c r="C122" s="485">
        <v>22819</v>
      </c>
      <c r="D122" s="763" t="str">
        <f t="shared" si="8"/>
        <v>June</v>
      </c>
      <c r="E122" s="484">
        <v>22</v>
      </c>
      <c r="F122" s="472">
        <v>1962</v>
      </c>
      <c r="G122" s="484" t="s">
        <v>101</v>
      </c>
      <c r="H122" s="472" t="s">
        <v>122</v>
      </c>
      <c r="I122" s="486">
        <v>10</v>
      </c>
      <c r="J122" s="486">
        <v>0.1</v>
      </c>
      <c r="K122" s="472">
        <f t="shared" si="9"/>
        <v>22</v>
      </c>
      <c r="L122" s="473">
        <v>0.95347222222222217</v>
      </c>
      <c r="M122" s="474">
        <f t="shared" si="10"/>
        <v>0.95347222222222217</v>
      </c>
      <c r="N122" s="519"/>
      <c r="P122" s="29" t="str">
        <f t="shared" si="11"/>
        <v>1962F0</v>
      </c>
      <c r="Q122" s="29" t="str">
        <f t="shared" si="12"/>
        <v>F022</v>
      </c>
      <c r="R122" s="29" t="str">
        <f t="shared" si="13"/>
        <v>JuneF0</v>
      </c>
    </row>
    <row r="123" spans="1:18">
      <c r="A123" s="483">
        <f t="shared" si="14"/>
        <v>119</v>
      </c>
      <c r="B123" s="484">
        <v>25</v>
      </c>
      <c r="C123" s="485">
        <v>22821</v>
      </c>
      <c r="D123" s="763" t="str">
        <f t="shared" si="8"/>
        <v>June</v>
      </c>
      <c r="E123" s="484">
        <v>24</v>
      </c>
      <c r="F123" s="472">
        <v>1962</v>
      </c>
      <c r="G123" s="484" t="s">
        <v>113</v>
      </c>
      <c r="H123" s="472" t="s">
        <v>124</v>
      </c>
      <c r="I123" s="486">
        <v>27</v>
      </c>
      <c r="J123" s="486">
        <v>1.5</v>
      </c>
      <c r="K123" s="472">
        <f t="shared" si="9"/>
        <v>0</v>
      </c>
      <c r="L123" s="473">
        <v>3.472222222222222E-3</v>
      </c>
      <c r="M123" s="474">
        <f t="shared" si="10"/>
        <v>3.472222222222222E-3</v>
      </c>
      <c r="N123" s="519"/>
      <c r="P123" s="29" t="str">
        <f t="shared" si="11"/>
        <v>1962F2</v>
      </c>
      <c r="Q123" s="29" t="str">
        <f t="shared" si="12"/>
        <v>F20</v>
      </c>
      <c r="R123" s="29" t="str">
        <f t="shared" si="13"/>
        <v>JuneF2</v>
      </c>
    </row>
    <row r="124" spans="1:18">
      <c r="A124" s="483">
        <f t="shared" si="14"/>
        <v>120</v>
      </c>
      <c r="B124" s="484">
        <v>26</v>
      </c>
      <c r="C124" s="485">
        <v>22888</v>
      </c>
      <c r="D124" s="763" t="str">
        <f t="shared" si="8"/>
        <v>August</v>
      </c>
      <c r="E124" s="484">
        <v>30</v>
      </c>
      <c r="F124" s="472">
        <v>1962</v>
      </c>
      <c r="G124" s="484" t="s">
        <v>99</v>
      </c>
      <c r="H124" s="472" t="s">
        <v>123</v>
      </c>
      <c r="I124" s="486">
        <v>10</v>
      </c>
      <c r="J124" s="486">
        <v>0.1</v>
      </c>
      <c r="K124" s="472">
        <f t="shared" si="9"/>
        <v>19</v>
      </c>
      <c r="L124" s="473">
        <v>0.79166666666666663</v>
      </c>
      <c r="M124" s="474">
        <f t="shared" si="10"/>
        <v>0.79166666666666663</v>
      </c>
      <c r="N124" s="519"/>
      <c r="P124" s="29" t="str">
        <f t="shared" si="11"/>
        <v>1962F1</v>
      </c>
      <c r="Q124" s="29" t="str">
        <f t="shared" si="12"/>
        <v>F119</v>
      </c>
      <c r="R124" s="29" t="str">
        <f t="shared" si="13"/>
        <v>AugustF1</v>
      </c>
    </row>
    <row r="125" spans="1:18">
      <c r="A125" s="483">
        <f t="shared" si="14"/>
        <v>121</v>
      </c>
      <c r="B125" s="484">
        <v>1</v>
      </c>
      <c r="C125" s="485">
        <v>23135</v>
      </c>
      <c r="D125" s="763" t="str">
        <f t="shared" si="8"/>
        <v>May</v>
      </c>
      <c r="E125" s="484">
        <v>4</v>
      </c>
      <c r="F125" s="472">
        <v>1963</v>
      </c>
      <c r="G125" s="484" t="s">
        <v>109</v>
      </c>
      <c r="H125" s="472" t="s">
        <v>122</v>
      </c>
      <c r="I125" s="486">
        <v>33</v>
      </c>
      <c r="J125" s="486">
        <v>1</v>
      </c>
      <c r="K125" s="472">
        <f t="shared" si="9"/>
        <v>15</v>
      </c>
      <c r="L125" s="473">
        <v>0.625</v>
      </c>
      <c r="M125" s="474">
        <f t="shared" si="10"/>
        <v>0.625</v>
      </c>
      <c r="N125" s="519"/>
      <c r="P125" s="29" t="str">
        <f t="shared" si="11"/>
        <v>1963F0</v>
      </c>
      <c r="Q125" s="29" t="str">
        <f t="shared" si="12"/>
        <v>F015</v>
      </c>
      <c r="R125" s="29" t="str">
        <f t="shared" si="13"/>
        <v>MayF0</v>
      </c>
    </row>
    <row r="126" spans="1:18">
      <c r="A126" s="483">
        <f t="shared" si="14"/>
        <v>122</v>
      </c>
      <c r="B126" s="484">
        <v>2</v>
      </c>
      <c r="C126" s="485">
        <v>23177</v>
      </c>
      <c r="D126" s="763" t="str">
        <f t="shared" si="8"/>
        <v>June</v>
      </c>
      <c r="E126" s="484">
        <v>15</v>
      </c>
      <c r="F126" s="472">
        <v>1963</v>
      </c>
      <c r="G126" s="484" t="s">
        <v>100</v>
      </c>
      <c r="H126" s="472" t="s">
        <v>123</v>
      </c>
      <c r="I126" s="486">
        <v>10</v>
      </c>
      <c r="J126" s="486">
        <v>0.1</v>
      </c>
      <c r="K126" s="472">
        <f t="shared" si="9"/>
        <v>23</v>
      </c>
      <c r="L126" s="473">
        <v>0.97916666666666663</v>
      </c>
      <c r="M126" s="474">
        <f t="shared" si="10"/>
        <v>0.97916666666666663</v>
      </c>
      <c r="N126" s="519"/>
      <c r="P126" s="29" t="str">
        <f t="shared" si="11"/>
        <v>1963F1</v>
      </c>
      <c r="Q126" s="29" t="str">
        <f t="shared" si="12"/>
        <v>F123</v>
      </c>
      <c r="R126" s="29" t="str">
        <f t="shared" si="13"/>
        <v>JuneF1</v>
      </c>
    </row>
    <row r="127" spans="1:18">
      <c r="A127" s="483">
        <f t="shared" si="14"/>
        <v>123</v>
      </c>
      <c r="B127" s="484">
        <v>3</v>
      </c>
      <c r="C127" s="485">
        <v>23203</v>
      </c>
      <c r="D127" s="763" t="str">
        <f t="shared" si="8"/>
        <v>July</v>
      </c>
      <c r="E127" s="484">
        <v>11</v>
      </c>
      <c r="F127" s="472">
        <v>1963</v>
      </c>
      <c r="G127" s="484" t="s">
        <v>107</v>
      </c>
      <c r="H127" s="472" t="s">
        <v>122</v>
      </c>
      <c r="I127" s="486">
        <v>33</v>
      </c>
      <c r="J127" s="486">
        <v>0.8</v>
      </c>
      <c r="K127" s="472">
        <f t="shared" si="9"/>
        <v>21</v>
      </c>
      <c r="L127" s="473">
        <v>0.875</v>
      </c>
      <c r="M127" s="474">
        <f t="shared" si="10"/>
        <v>0.875</v>
      </c>
      <c r="N127" s="519"/>
      <c r="P127" s="29" t="str">
        <f t="shared" si="11"/>
        <v>1963F0</v>
      </c>
      <c r="Q127" s="29" t="str">
        <f t="shared" si="12"/>
        <v>F021</v>
      </c>
      <c r="R127" s="29" t="str">
        <f t="shared" si="13"/>
        <v>JulyF0</v>
      </c>
    </row>
    <row r="128" spans="1:18">
      <c r="A128" s="483">
        <f t="shared" si="14"/>
        <v>124</v>
      </c>
      <c r="B128" s="484">
        <v>4</v>
      </c>
      <c r="C128" s="485">
        <v>23207</v>
      </c>
      <c r="D128" s="763" t="str">
        <f t="shared" si="8"/>
        <v>July</v>
      </c>
      <c r="E128" s="484">
        <v>15</v>
      </c>
      <c r="F128" s="472">
        <v>1963</v>
      </c>
      <c r="G128" s="484" t="s">
        <v>101</v>
      </c>
      <c r="H128" s="472" t="s">
        <v>125</v>
      </c>
      <c r="I128" s="486">
        <v>10</v>
      </c>
      <c r="J128" s="486">
        <v>0.1</v>
      </c>
      <c r="K128" s="472">
        <f t="shared" si="9"/>
        <v>20</v>
      </c>
      <c r="L128" s="473">
        <v>0.84375</v>
      </c>
      <c r="M128" s="474">
        <f t="shared" si="10"/>
        <v>0.84375</v>
      </c>
      <c r="N128" s="519"/>
      <c r="P128" s="29" t="str">
        <f t="shared" si="11"/>
        <v>1963F3</v>
      </c>
      <c r="Q128" s="29" t="str">
        <f t="shared" si="12"/>
        <v>F320</v>
      </c>
      <c r="R128" s="29" t="str">
        <f t="shared" si="13"/>
        <v>JulyF3</v>
      </c>
    </row>
    <row r="129" spans="1:18">
      <c r="A129" s="483">
        <f t="shared" si="14"/>
        <v>125</v>
      </c>
      <c r="B129" s="484">
        <v>5</v>
      </c>
      <c r="C129" s="485">
        <v>23207</v>
      </c>
      <c r="D129" s="763" t="str">
        <f t="shared" si="8"/>
        <v>July</v>
      </c>
      <c r="E129" s="484">
        <v>15</v>
      </c>
      <c r="F129" s="472">
        <v>1963</v>
      </c>
      <c r="G129" s="484" t="s">
        <v>101</v>
      </c>
      <c r="H129" s="472" t="s">
        <v>124</v>
      </c>
      <c r="I129" s="486">
        <v>10</v>
      </c>
      <c r="J129" s="486">
        <v>0.1</v>
      </c>
      <c r="K129" s="472">
        <f t="shared" si="9"/>
        <v>20</v>
      </c>
      <c r="L129" s="473">
        <v>0.84722222222222221</v>
      </c>
      <c r="M129" s="474">
        <f t="shared" si="10"/>
        <v>0.84722222222222221</v>
      </c>
      <c r="N129" s="519"/>
      <c r="P129" s="29" t="str">
        <f t="shared" si="11"/>
        <v>1963F2</v>
      </c>
      <c r="Q129" s="29" t="str">
        <f t="shared" si="12"/>
        <v>F220</v>
      </c>
      <c r="R129" s="29" t="str">
        <f t="shared" si="13"/>
        <v>JulyF2</v>
      </c>
    </row>
    <row r="130" spans="1:18">
      <c r="A130" s="483">
        <f t="shared" si="14"/>
        <v>126</v>
      </c>
      <c r="B130" s="484">
        <v>1</v>
      </c>
      <c r="C130" s="485">
        <v>23507</v>
      </c>
      <c r="D130" s="763" t="str">
        <f t="shared" si="8"/>
        <v>May</v>
      </c>
      <c r="E130" s="484">
        <v>10</v>
      </c>
      <c r="F130" s="472">
        <v>1964</v>
      </c>
      <c r="G130" s="484" t="s">
        <v>99</v>
      </c>
      <c r="H130" s="472" t="s">
        <v>122</v>
      </c>
      <c r="I130" s="486">
        <v>10</v>
      </c>
      <c r="J130" s="486">
        <v>0.1</v>
      </c>
      <c r="K130" s="472">
        <f t="shared" si="9"/>
        <v>15</v>
      </c>
      <c r="L130" s="473">
        <v>0.625</v>
      </c>
      <c r="M130" s="474">
        <f t="shared" si="10"/>
        <v>0.625</v>
      </c>
      <c r="N130" s="519"/>
      <c r="P130" s="29" t="str">
        <f t="shared" si="11"/>
        <v>1964F0</v>
      </c>
      <c r="Q130" s="29" t="str">
        <f t="shared" si="12"/>
        <v>F015</v>
      </c>
      <c r="R130" s="29" t="str">
        <f t="shared" si="13"/>
        <v>MayF0</v>
      </c>
    </row>
    <row r="131" spans="1:18">
      <c r="A131" s="483">
        <f t="shared" si="14"/>
        <v>127</v>
      </c>
      <c r="B131" s="484">
        <v>2</v>
      </c>
      <c r="C131" s="485">
        <v>23540</v>
      </c>
      <c r="D131" s="763" t="str">
        <f t="shared" si="8"/>
        <v>June</v>
      </c>
      <c r="E131" s="484">
        <v>12</v>
      </c>
      <c r="F131" s="472">
        <v>1964</v>
      </c>
      <c r="G131" s="484" t="s">
        <v>117</v>
      </c>
      <c r="H131" s="472" t="s">
        <v>122</v>
      </c>
      <c r="I131" s="486">
        <v>13</v>
      </c>
      <c r="J131" s="486">
        <v>0.5</v>
      </c>
      <c r="K131" s="472">
        <f t="shared" si="9"/>
        <v>15</v>
      </c>
      <c r="L131" s="473">
        <v>0.625</v>
      </c>
      <c r="M131" s="474">
        <f t="shared" si="10"/>
        <v>0.625</v>
      </c>
      <c r="N131" s="519"/>
      <c r="P131" s="29" t="str">
        <f t="shared" si="11"/>
        <v>1964F0</v>
      </c>
      <c r="Q131" s="29" t="str">
        <f t="shared" si="12"/>
        <v>F015</v>
      </c>
      <c r="R131" s="29" t="str">
        <f t="shared" si="13"/>
        <v>JuneF0</v>
      </c>
    </row>
    <row r="132" spans="1:18">
      <c r="A132" s="483">
        <f t="shared" si="14"/>
        <v>128</v>
      </c>
      <c r="B132" s="484">
        <v>3</v>
      </c>
      <c r="C132" s="485">
        <v>23550</v>
      </c>
      <c r="D132" s="763" t="str">
        <f t="shared" si="8"/>
        <v>June</v>
      </c>
      <c r="E132" s="484">
        <v>22</v>
      </c>
      <c r="F132" s="472">
        <v>1964</v>
      </c>
      <c r="G132" s="484" t="s">
        <v>111</v>
      </c>
      <c r="H132" s="472" t="s">
        <v>122</v>
      </c>
      <c r="I132" s="486">
        <v>17</v>
      </c>
      <c r="J132" s="486">
        <v>1</v>
      </c>
      <c r="K132" s="472">
        <f t="shared" si="9"/>
        <v>17</v>
      </c>
      <c r="L132" s="473">
        <v>0.72916666666666663</v>
      </c>
      <c r="M132" s="474">
        <f t="shared" si="10"/>
        <v>0.72916666666666663</v>
      </c>
      <c r="N132" s="519"/>
      <c r="P132" s="29" t="str">
        <f t="shared" si="11"/>
        <v>1964F0</v>
      </c>
      <c r="Q132" s="29" t="str">
        <f t="shared" si="12"/>
        <v>F017</v>
      </c>
      <c r="R132" s="29" t="str">
        <f t="shared" si="13"/>
        <v>JuneF0</v>
      </c>
    </row>
    <row r="133" spans="1:18">
      <c r="A133" s="483">
        <f t="shared" si="14"/>
        <v>129</v>
      </c>
      <c r="B133" s="484">
        <v>4</v>
      </c>
      <c r="C133" s="485">
        <v>23608</v>
      </c>
      <c r="D133" s="763" t="str">
        <f t="shared" ref="D133:D196" si="15">+TEXT(C133,"mmmm")</f>
        <v>August</v>
      </c>
      <c r="E133" s="484">
        <v>19</v>
      </c>
      <c r="F133" s="472">
        <v>1964</v>
      </c>
      <c r="G133" s="484" t="s">
        <v>108</v>
      </c>
      <c r="H133" s="472" t="s">
        <v>124</v>
      </c>
      <c r="I133" s="486">
        <v>33</v>
      </c>
      <c r="J133" s="486">
        <v>0.5</v>
      </c>
      <c r="K133" s="472">
        <f t="shared" ref="K133:K196" si="16">HOUR(M133)</f>
        <v>18</v>
      </c>
      <c r="L133" s="473">
        <v>0.77083333333333337</v>
      </c>
      <c r="M133" s="474">
        <f t="shared" ref="M133:M196" si="17">+L133</f>
        <v>0.77083333333333337</v>
      </c>
      <c r="N133" s="519"/>
      <c r="P133" s="29" t="str">
        <f t="shared" si="11"/>
        <v>1964F2</v>
      </c>
      <c r="Q133" s="29" t="str">
        <f t="shared" si="12"/>
        <v>F218</v>
      </c>
      <c r="R133" s="29" t="str">
        <f t="shared" si="13"/>
        <v>AugustF2</v>
      </c>
    </row>
    <row r="134" spans="1:18">
      <c r="A134" s="483">
        <f t="shared" si="14"/>
        <v>130</v>
      </c>
      <c r="B134" s="484">
        <v>1</v>
      </c>
      <c r="C134" s="485">
        <v>23866</v>
      </c>
      <c r="D134" s="763" t="str">
        <f t="shared" si="15"/>
        <v>May</v>
      </c>
      <c r="E134" s="484">
        <v>4</v>
      </c>
      <c r="F134" s="472">
        <v>1965</v>
      </c>
      <c r="G134" s="484" t="s">
        <v>113</v>
      </c>
      <c r="H134" s="472" t="s">
        <v>124</v>
      </c>
      <c r="I134" s="486">
        <v>20</v>
      </c>
      <c r="J134" s="486">
        <v>1</v>
      </c>
      <c r="K134" s="472">
        <f t="shared" si="16"/>
        <v>18</v>
      </c>
      <c r="L134" s="473">
        <v>0.77777777777777779</v>
      </c>
      <c r="M134" s="474">
        <f t="shared" si="17"/>
        <v>0.77777777777777779</v>
      </c>
      <c r="N134" s="519"/>
      <c r="P134" s="29" t="str">
        <f t="shared" ref="P134:P197" si="18">CONCATENATE(F134,H134)</f>
        <v>1965F2</v>
      </c>
      <c r="Q134" s="29" t="str">
        <f t="shared" ref="Q134:Q197" si="19">CONCATENATE(H134,K134)</f>
        <v>F218</v>
      </c>
      <c r="R134" s="29" t="str">
        <f t="shared" ref="R134:R197" si="20">CONCATENATE(D134,H134)</f>
        <v>MayF2</v>
      </c>
    </row>
    <row r="135" spans="1:18">
      <c r="A135" s="483">
        <f t="shared" ref="A135:A198" si="21">+A134+1</f>
        <v>131</v>
      </c>
      <c r="B135" s="484">
        <v>2</v>
      </c>
      <c r="C135" s="485">
        <v>23866</v>
      </c>
      <c r="D135" s="763" t="str">
        <f t="shared" si="15"/>
        <v>May</v>
      </c>
      <c r="E135" s="484">
        <v>4</v>
      </c>
      <c r="F135" s="472">
        <v>1965</v>
      </c>
      <c r="G135" s="484" t="s">
        <v>107</v>
      </c>
      <c r="H135" s="472" t="s">
        <v>122</v>
      </c>
      <c r="I135" s="486">
        <v>33</v>
      </c>
      <c r="J135" s="486">
        <v>4.5999999999999996</v>
      </c>
      <c r="K135" s="472">
        <f t="shared" si="16"/>
        <v>20</v>
      </c>
      <c r="L135" s="473">
        <v>0.83333333333333337</v>
      </c>
      <c r="M135" s="474">
        <f t="shared" si="17"/>
        <v>0.83333333333333337</v>
      </c>
      <c r="N135" s="519"/>
      <c r="P135" s="29" t="str">
        <f t="shared" si="18"/>
        <v>1965F0</v>
      </c>
      <c r="Q135" s="29" t="str">
        <f t="shared" si="19"/>
        <v>F020</v>
      </c>
      <c r="R135" s="29" t="str">
        <f t="shared" si="20"/>
        <v>MayF0</v>
      </c>
    </row>
    <row r="136" spans="1:18">
      <c r="A136" s="483">
        <f t="shared" si="21"/>
        <v>132</v>
      </c>
      <c r="B136" s="484">
        <v>3</v>
      </c>
      <c r="C136" s="485">
        <v>23866</v>
      </c>
      <c r="D136" s="763" t="str">
        <f t="shared" si="15"/>
        <v>May</v>
      </c>
      <c r="E136" s="484">
        <v>4</v>
      </c>
      <c r="F136" s="472">
        <v>1965</v>
      </c>
      <c r="G136" s="484" t="s">
        <v>109</v>
      </c>
      <c r="H136" s="472" t="s">
        <v>124</v>
      </c>
      <c r="I136" s="486">
        <v>100</v>
      </c>
      <c r="J136" s="486">
        <v>0.5</v>
      </c>
      <c r="K136" s="472">
        <f t="shared" si="16"/>
        <v>20</v>
      </c>
      <c r="L136" s="473">
        <v>0.83611111111111114</v>
      </c>
      <c r="M136" s="474">
        <f t="shared" si="17"/>
        <v>0.83611111111111114</v>
      </c>
      <c r="N136" s="519"/>
      <c r="P136" s="29" t="str">
        <f t="shared" si="18"/>
        <v>1965F2</v>
      </c>
      <c r="Q136" s="29" t="str">
        <f t="shared" si="19"/>
        <v>F220</v>
      </c>
      <c r="R136" s="29" t="str">
        <f t="shared" si="20"/>
        <v>MayF2</v>
      </c>
    </row>
    <row r="137" spans="1:18">
      <c r="A137" s="483">
        <f t="shared" si="21"/>
        <v>133</v>
      </c>
      <c r="B137" s="484">
        <v>4</v>
      </c>
      <c r="C137" s="485">
        <v>23869</v>
      </c>
      <c r="D137" s="763" t="str">
        <f t="shared" si="15"/>
        <v>May</v>
      </c>
      <c r="E137" s="484">
        <v>7</v>
      </c>
      <c r="F137" s="472">
        <v>1965</v>
      </c>
      <c r="G137" s="484" t="s">
        <v>116</v>
      </c>
      <c r="H137" s="472" t="s">
        <v>122</v>
      </c>
      <c r="I137" s="486">
        <v>17</v>
      </c>
      <c r="J137" s="486">
        <v>0.8</v>
      </c>
      <c r="K137" s="472">
        <f t="shared" si="16"/>
        <v>18</v>
      </c>
      <c r="L137" s="473">
        <v>0.78472222222222221</v>
      </c>
      <c r="M137" s="474">
        <f t="shared" si="17"/>
        <v>0.78472222222222221</v>
      </c>
      <c r="N137" s="519"/>
      <c r="P137" s="29" t="str">
        <f t="shared" si="18"/>
        <v>1965F0</v>
      </c>
      <c r="Q137" s="29" t="str">
        <f t="shared" si="19"/>
        <v>F018</v>
      </c>
      <c r="R137" s="29" t="str">
        <f t="shared" si="20"/>
        <v>MayF0</v>
      </c>
    </row>
    <row r="138" spans="1:18">
      <c r="A138" s="483">
        <f t="shared" si="21"/>
        <v>134</v>
      </c>
      <c r="B138" s="484">
        <v>5</v>
      </c>
      <c r="C138" s="485">
        <v>23887</v>
      </c>
      <c r="D138" s="763" t="str">
        <f t="shared" si="15"/>
        <v>May</v>
      </c>
      <c r="E138" s="484">
        <v>25</v>
      </c>
      <c r="F138" s="472">
        <v>1965</v>
      </c>
      <c r="G138" s="484" t="s">
        <v>111</v>
      </c>
      <c r="H138" s="472" t="s">
        <v>122</v>
      </c>
      <c r="I138" s="486">
        <v>10</v>
      </c>
      <c r="J138" s="486">
        <v>0.1</v>
      </c>
      <c r="K138" s="472">
        <f t="shared" si="16"/>
        <v>19</v>
      </c>
      <c r="L138" s="473">
        <v>0.81944444444444453</v>
      </c>
      <c r="M138" s="474">
        <f t="shared" si="17"/>
        <v>0.81944444444444453</v>
      </c>
      <c r="N138" s="519"/>
      <c r="P138" s="29" t="str">
        <f t="shared" si="18"/>
        <v>1965F0</v>
      </c>
      <c r="Q138" s="29" t="str">
        <f t="shared" si="19"/>
        <v>F019</v>
      </c>
      <c r="R138" s="29" t="str">
        <f t="shared" si="20"/>
        <v>MayF0</v>
      </c>
    </row>
    <row r="139" spans="1:18">
      <c r="A139" s="483">
        <f t="shared" si="21"/>
        <v>135</v>
      </c>
      <c r="B139" s="484">
        <v>6</v>
      </c>
      <c r="C139" s="485">
        <v>23896</v>
      </c>
      <c r="D139" s="763" t="str">
        <f t="shared" si="15"/>
        <v>June</v>
      </c>
      <c r="E139" s="484">
        <v>3</v>
      </c>
      <c r="F139" s="472">
        <v>1965</v>
      </c>
      <c r="G139" s="484" t="s">
        <v>109</v>
      </c>
      <c r="H139" s="472" t="s">
        <v>122</v>
      </c>
      <c r="I139" s="486">
        <v>17</v>
      </c>
      <c r="J139" s="486">
        <v>0.2</v>
      </c>
      <c r="K139" s="472">
        <f t="shared" si="16"/>
        <v>21</v>
      </c>
      <c r="L139" s="473">
        <v>0.875</v>
      </c>
      <c r="M139" s="474">
        <f t="shared" si="17"/>
        <v>0.875</v>
      </c>
      <c r="N139" s="519"/>
      <c r="P139" s="29" t="str">
        <f t="shared" si="18"/>
        <v>1965F0</v>
      </c>
      <c r="Q139" s="29" t="str">
        <f t="shared" si="19"/>
        <v>F021</v>
      </c>
      <c r="R139" s="29" t="str">
        <f t="shared" si="20"/>
        <v>JuneF0</v>
      </c>
    </row>
    <row r="140" spans="1:18">
      <c r="A140" s="483">
        <f t="shared" si="21"/>
        <v>136</v>
      </c>
      <c r="B140" s="484">
        <v>7</v>
      </c>
      <c r="C140" s="485">
        <v>23896</v>
      </c>
      <c r="D140" s="763" t="str">
        <f t="shared" si="15"/>
        <v>June</v>
      </c>
      <c r="E140" s="484">
        <v>3</v>
      </c>
      <c r="F140" s="472">
        <v>1965</v>
      </c>
      <c r="G140" s="484" t="s">
        <v>121</v>
      </c>
      <c r="H140" s="472" t="s">
        <v>125</v>
      </c>
      <c r="I140" s="486">
        <v>33</v>
      </c>
      <c r="J140" s="486">
        <v>8.8000000000000007</v>
      </c>
      <c r="K140" s="472">
        <f t="shared" si="16"/>
        <v>22</v>
      </c>
      <c r="L140" s="473">
        <v>0.91666666666666663</v>
      </c>
      <c r="M140" s="474">
        <f t="shared" si="17"/>
        <v>0.91666666666666663</v>
      </c>
      <c r="N140" s="519"/>
      <c r="P140" s="29" t="str">
        <f t="shared" si="18"/>
        <v>1965F3</v>
      </c>
      <c r="Q140" s="29" t="str">
        <f t="shared" si="19"/>
        <v>F322</v>
      </c>
      <c r="R140" s="29" t="str">
        <f t="shared" si="20"/>
        <v>JuneF3</v>
      </c>
    </row>
    <row r="141" spans="1:18">
      <c r="A141" s="483">
        <f t="shared" si="21"/>
        <v>137</v>
      </c>
      <c r="B141" s="484">
        <v>8</v>
      </c>
      <c r="C141" s="485">
        <v>23897</v>
      </c>
      <c r="D141" s="763" t="str">
        <f t="shared" si="15"/>
        <v>June</v>
      </c>
      <c r="E141" s="484">
        <v>4</v>
      </c>
      <c r="F141" s="472">
        <v>1965</v>
      </c>
      <c r="G141" s="484" t="s">
        <v>116</v>
      </c>
      <c r="H141" s="472" t="s">
        <v>125</v>
      </c>
      <c r="I141" s="486">
        <v>50</v>
      </c>
      <c r="J141" s="486">
        <v>6.8</v>
      </c>
      <c r="K141" s="472">
        <f t="shared" si="16"/>
        <v>21</v>
      </c>
      <c r="L141" s="473">
        <v>0.875</v>
      </c>
      <c r="M141" s="474">
        <f t="shared" si="17"/>
        <v>0.875</v>
      </c>
      <c r="N141" s="519"/>
      <c r="P141" s="29" t="str">
        <f t="shared" si="18"/>
        <v>1965F3</v>
      </c>
      <c r="Q141" s="29" t="str">
        <f t="shared" si="19"/>
        <v>F321</v>
      </c>
      <c r="R141" s="29" t="str">
        <f t="shared" si="20"/>
        <v>JuneF3</v>
      </c>
    </row>
    <row r="142" spans="1:18">
      <c r="A142" s="483">
        <f t="shared" si="21"/>
        <v>138</v>
      </c>
      <c r="B142" s="484">
        <v>9</v>
      </c>
      <c r="C142" s="485">
        <v>23902</v>
      </c>
      <c r="D142" s="763" t="str">
        <f t="shared" si="15"/>
        <v>June</v>
      </c>
      <c r="E142" s="484">
        <v>9</v>
      </c>
      <c r="F142" s="472">
        <v>1965</v>
      </c>
      <c r="G142" s="484" t="s">
        <v>105</v>
      </c>
      <c r="H142" s="472" t="s">
        <v>122</v>
      </c>
      <c r="I142" s="486">
        <v>17</v>
      </c>
      <c r="J142" s="486">
        <v>0.5</v>
      </c>
      <c r="K142" s="472">
        <f t="shared" si="16"/>
        <v>15</v>
      </c>
      <c r="L142" s="473">
        <v>0.625</v>
      </c>
      <c r="M142" s="474">
        <f t="shared" si="17"/>
        <v>0.625</v>
      </c>
      <c r="N142" s="519"/>
      <c r="P142" s="29" t="str">
        <f t="shared" si="18"/>
        <v>1965F0</v>
      </c>
      <c r="Q142" s="29" t="str">
        <f t="shared" si="19"/>
        <v>F015</v>
      </c>
      <c r="R142" s="29" t="str">
        <f t="shared" si="20"/>
        <v>JuneF0</v>
      </c>
    </row>
    <row r="143" spans="1:18">
      <c r="A143" s="483">
        <f t="shared" si="21"/>
        <v>139</v>
      </c>
      <c r="B143" s="484">
        <v>10</v>
      </c>
      <c r="C143" s="485">
        <v>23902</v>
      </c>
      <c r="D143" s="763" t="str">
        <f t="shared" si="15"/>
        <v>June</v>
      </c>
      <c r="E143" s="484">
        <v>9</v>
      </c>
      <c r="F143" s="472">
        <v>1965</v>
      </c>
      <c r="G143" s="484" t="s">
        <v>108</v>
      </c>
      <c r="H143" s="472" t="s">
        <v>124</v>
      </c>
      <c r="I143" s="486">
        <v>17</v>
      </c>
      <c r="J143" s="486">
        <v>0.2</v>
      </c>
      <c r="K143" s="472">
        <f t="shared" si="16"/>
        <v>20</v>
      </c>
      <c r="L143" s="473">
        <v>0.83333333333333337</v>
      </c>
      <c r="M143" s="474">
        <f t="shared" si="17"/>
        <v>0.83333333333333337</v>
      </c>
      <c r="N143" s="519"/>
      <c r="P143" s="29" t="str">
        <f t="shared" si="18"/>
        <v>1965F2</v>
      </c>
      <c r="Q143" s="29" t="str">
        <f t="shared" si="19"/>
        <v>F220</v>
      </c>
      <c r="R143" s="29" t="str">
        <f t="shared" si="20"/>
        <v>JuneF2</v>
      </c>
    </row>
    <row r="144" spans="1:18">
      <c r="A144" s="483">
        <f t="shared" si="21"/>
        <v>140</v>
      </c>
      <c r="B144" s="484">
        <v>11</v>
      </c>
      <c r="C144" s="485">
        <v>23907</v>
      </c>
      <c r="D144" s="763" t="str">
        <f t="shared" si="15"/>
        <v>June</v>
      </c>
      <c r="E144" s="484">
        <v>14</v>
      </c>
      <c r="F144" s="472">
        <v>1965</v>
      </c>
      <c r="G144" s="484" t="s">
        <v>108</v>
      </c>
      <c r="H144" s="472" t="s">
        <v>124</v>
      </c>
      <c r="I144" s="486">
        <v>10</v>
      </c>
      <c r="J144" s="486">
        <v>0.1</v>
      </c>
      <c r="K144" s="472">
        <f t="shared" si="16"/>
        <v>17</v>
      </c>
      <c r="L144" s="473">
        <v>0.71875</v>
      </c>
      <c r="M144" s="474">
        <f t="shared" si="17"/>
        <v>0.71875</v>
      </c>
      <c r="N144" s="519"/>
      <c r="P144" s="29" t="str">
        <f t="shared" si="18"/>
        <v>1965F2</v>
      </c>
      <c r="Q144" s="29" t="str">
        <f t="shared" si="19"/>
        <v>F217</v>
      </c>
      <c r="R144" s="29" t="str">
        <f t="shared" si="20"/>
        <v>JuneF2</v>
      </c>
    </row>
    <row r="145" spans="1:18">
      <c r="A145" s="483">
        <f t="shared" si="21"/>
        <v>141</v>
      </c>
      <c r="B145" s="484">
        <v>12</v>
      </c>
      <c r="C145" s="485">
        <v>23918</v>
      </c>
      <c r="D145" s="763" t="str">
        <f t="shared" si="15"/>
        <v>June</v>
      </c>
      <c r="E145" s="484">
        <v>25</v>
      </c>
      <c r="F145" s="472">
        <v>1965</v>
      </c>
      <c r="G145" s="484" t="s">
        <v>109</v>
      </c>
      <c r="H145" s="472" t="s">
        <v>122</v>
      </c>
      <c r="I145" s="486">
        <v>17</v>
      </c>
      <c r="J145" s="486">
        <v>0.1</v>
      </c>
      <c r="K145" s="472">
        <f t="shared" si="16"/>
        <v>19</v>
      </c>
      <c r="L145" s="473">
        <v>0.79166666666666663</v>
      </c>
      <c r="M145" s="474">
        <f t="shared" si="17"/>
        <v>0.79166666666666663</v>
      </c>
      <c r="N145" s="519"/>
      <c r="P145" s="29" t="str">
        <f t="shared" si="18"/>
        <v>1965F0</v>
      </c>
      <c r="Q145" s="29" t="str">
        <f t="shared" si="19"/>
        <v>F019</v>
      </c>
      <c r="R145" s="29" t="str">
        <f t="shared" si="20"/>
        <v>JuneF0</v>
      </c>
    </row>
    <row r="146" spans="1:18">
      <c r="A146" s="483">
        <f t="shared" si="21"/>
        <v>142</v>
      </c>
      <c r="B146" s="484">
        <v>1</v>
      </c>
      <c r="C146" s="485">
        <v>24272</v>
      </c>
      <c r="D146" s="763" t="str">
        <f t="shared" si="15"/>
        <v>June</v>
      </c>
      <c r="E146" s="484">
        <v>14</v>
      </c>
      <c r="F146" s="472">
        <v>1966</v>
      </c>
      <c r="G146" s="484" t="s">
        <v>108</v>
      </c>
      <c r="H146" s="472" t="s">
        <v>123</v>
      </c>
      <c r="I146" s="486">
        <v>17</v>
      </c>
      <c r="J146" s="486">
        <v>1</v>
      </c>
      <c r="K146" s="472">
        <f t="shared" si="16"/>
        <v>16</v>
      </c>
      <c r="L146" s="473">
        <v>0.66666666666666663</v>
      </c>
      <c r="M146" s="474">
        <f t="shared" si="17"/>
        <v>0.66666666666666663</v>
      </c>
      <c r="N146" s="519"/>
      <c r="P146" s="29" t="str">
        <f t="shared" si="18"/>
        <v>1966F1</v>
      </c>
      <c r="Q146" s="29" t="str">
        <f t="shared" si="19"/>
        <v>F116</v>
      </c>
      <c r="R146" s="29" t="str">
        <f t="shared" si="20"/>
        <v>JuneF1</v>
      </c>
    </row>
    <row r="147" spans="1:18">
      <c r="A147" s="483">
        <f t="shared" si="21"/>
        <v>143</v>
      </c>
      <c r="B147" s="484">
        <v>2</v>
      </c>
      <c r="C147" s="485">
        <v>24272</v>
      </c>
      <c r="D147" s="763" t="str">
        <f t="shared" si="15"/>
        <v>June</v>
      </c>
      <c r="E147" s="484">
        <v>14</v>
      </c>
      <c r="F147" s="472">
        <v>1966</v>
      </c>
      <c r="G147" s="484" t="s">
        <v>115</v>
      </c>
      <c r="H147" s="472" t="s">
        <v>124</v>
      </c>
      <c r="I147" s="486">
        <v>27</v>
      </c>
      <c r="J147" s="486">
        <v>1</v>
      </c>
      <c r="K147" s="472">
        <f t="shared" si="16"/>
        <v>21</v>
      </c>
      <c r="L147" s="473">
        <v>0.90277777777777779</v>
      </c>
      <c r="M147" s="474">
        <f t="shared" si="17"/>
        <v>0.90277777777777779</v>
      </c>
      <c r="N147" s="519"/>
      <c r="P147" s="29" t="str">
        <f t="shared" si="18"/>
        <v>1966F2</v>
      </c>
      <c r="Q147" s="29" t="str">
        <f t="shared" si="19"/>
        <v>F221</v>
      </c>
      <c r="R147" s="29" t="str">
        <f t="shared" si="20"/>
        <v>JuneF2</v>
      </c>
    </row>
    <row r="148" spans="1:18">
      <c r="A148" s="483">
        <f t="shared" si="21"/>
        <v>144</v>
      </c>
      <c r="B148" s="484">
        <v>3</v>
      </c>
      <c r="C148" s="485">
        <v>24275</v>
      </c>
      <c r="D148" s="763" t="str">
        <f t="shared" si="15"/>
        <v>June</v>
      </c>
      <c r="E148" s="484">
        <v>17</v>
      </c>
      <c r="F148" s="472">
        <v>1966</v>
      </c>
      <c r="G148" s="484" t="s">
        <v>109</v>
      </c>
      <c r="H148" s="472" t="s">
        <v>122</v>
      </c>
      <c r="I148" s="486">
        <v>23</v>
      </c>
      <c r="J148" s="486">
        <v>1</v>
      </c>
      <c r="K148" s="472">
        <f t="shared" si="16"/>
        <v>16</v>
      </c>
      <c r="L148" s="473">
        <v>0.67361111111111116</v>
      </c>
      <c r="M148" s="474">
        <f t="shared" si="17"/>
        <v>0.67361111111111116</v>
      </c>
      <c r="N148" s="519"/>
      <c r="P148" s="29" t="str">
        <f t="shared" si="18"/>
        <v>1966F0</v>
      </c>
      <c r="Q148" s="29" t="str">
        <f t="shared" si="19"/>
        <v>F016</v>
      </c>
      <c r="R148" s="29" t="str">
        <f t="shared" si="20"/>
        <v>JuneF0</v>
      </c>
    </row>
    <row r="149" spans="1:18">
      <c r="A149" s="483">
        <f t="shared" si="21"/>
        <v>145</v>
      </c>
      <c r="B149" s="484">
        <v>4</v>
      </c>
      <c r="C149" s="485">
        <v>24278</v>
      </c>
      <c r="D149" s="763" t="str">
        <f t="shared" si="15"/>
        <v>June</v>
      </c>
      <c r="E149" s="484">
        <v>20</v>
      </c>
      <c r="F149" s="472">
        <v>1966</v>
      </c>
      <c r="G149" s="484" t="s">
        <v>102</v>
      </c>
      <c r="H149" s="472" t="s">
        <v>122</v>
      </c>
      <c r="I149" s="486">
        <v>20</v>
      </c>
      <c r="J149" s="486">
        <v>1</v>
      </c>
      <c r="K149" s="472">
        <f t="shared" si="16"/>
        <v>22</v>
      </c>
      <c r="L149" s="473">
        <v>0.93958333333333333</v>
      </c>
      <c r="M149" s="474">
        <f t="shared" si="17"/>
        <v>0.93958333333333333</v>
      </c>
      <c r="N149" s="519"/>
      <c r="P149" s="29" t="str">
        <f t="shared" si="18"/>
        <v>1966F0</v>
      </c>
      <c r="Q149" s="29" t="str">
        <f t="shared" si="19"/>
        <v>F022</v>
      </c>
      <c r="R149" s="29" t="str">
        <f t="shared" si="20"/>
        <v>JuneF0</v>
      </c>
    </row>
    <row r="150" spans="1:18">
      <c r="A150" s="483">
        <f t="shared" si="21"/>
        <v>146</v>
      </c>
      <c r="B150" s="484">
        <v>5</v>
      </c>
      <c r="C150" s="485">
        <v>24283</v>
      </c>
      <c r="D150" s="763" t="str">
        <f t="shared" si="15"/>
        <v>June</v>
      </c>
      <c r="E150" s="484">
        <v>25</v>
      </c>
      <c r="F150" s="472">
        <v>1966</v>
      </c>
      <c r="G150" s="484" t="s">
        <v>102</v>
      </c>
      <c r="H150" s="472" t="s">
        <v>122</v>
      </c>
      <c r="I150" s="486">
        <v>33</v>
      </c>
      <c r="J150" s="486">
        <v>2</v>
      </c>
      <c r="K150" s="472">
        <f t="shared" si="16"/>
        <v>17</v>
      </c>
      <c r="L150" s="473">
        <v>0.73055555555555562</v>
      </c>
      <c r="M150" s="474">
        <f t="shared" si="17"/>
        <v>0.73055555555555562</v>
      </c>
      <c r="N150" s="519"/>
      <c r="P150" s="29" t="str">
        <f t="shared" si="18"/>
        <v>1966F0</v>
      </c>
      <c r="Q150" s="29" t="str">
        <f t="shared" si="19"/>
        <v>F017</v>
      </c>
      <c r="R150" s="29" t="str">
        <f t="shared" si="20"/>
        <v>JuneF0</v>
      </c>
    </row>
    <row r="151" spans="1:18">
      <c r="A151" s="483">
        <f t="shared" si="21"/>
        <v>147</v>
      </c>
      <c r="B151" s="484">
        <v>6</v>
      </c>
      <c r="C151" s="485">
        <v>24307</v>
      </c>
      <c r="D151" s="763" t="str">
        <f t="shared" si="15"/>
        <v>July</v>
      </c>
      <c r="E151" s="484">
        <v>19</v>
      </c>
      <c r="F151" s="472">
        <v>1966</v>
      </c>
      <c r="G151" s="484" t="s">
        <v>106</v>
      </c>
      <c r="H151" s="472" t="s">
        <v>122</v>
      </c>
      <c r="I151" s="486">
        <v>10</v>
      </c>
      <c r="J151" s="486">
        <v>1</v>
      </c>
      <c r="K151" s="472">
        <f t="shared" si="16"/>
        <v>13</v>
      </c>
      <c r="L151" s="473">
        <v>0.5805555555555556</v>
      </c>
      <c r="M151" s="474">
        <f t="shared" si="17"/>
        <v>0.5805555555555556</v>
      </c>
      <c r="N151" s="519"/>
      <c r="P151" s="29" t="str">
        <f t="shared" si="18"/>
        <v>1966F0</v>
      </c>
      <c r="Q151" s="29" t="str">
        <f t="shared" si="19"/>
        <v>F013</v>
      </c>
      <c r="R151" s="29" t="str">
        <f t="shared" si="20"/>
        <v>JulyF0</v>
      </c>
    </row>
    <row r="152" spans="1:18">
      <c r="A152" s="483">
        <f t="shared" si="21"/>
        <v>148</v>
      </c>
      <c r="B152" s="484">
        <v>7</v>
      </c>
      <c r="C152" s="485">
        <v>24307</v>
      </c>
      <c r="D152" s="763" t="str">
        <f t="shared" si="15"/>
        <v>July</v>
      </c>
      <c r="E152" s="484">
        <v>19</v>
      </c>
      <c r="F152" s="472">
        <v>1966</v>
      </c>
      <c r="G152" s="484" t="s">
        <v>106</v>
      </c>
      <c r="H152" s="472" t="s">
        <v>122</v>
      </c>
      <c r="I152" s="486">
        <v>17</v>
      </c>
      <c r="J152" s="486">
        <v>1.5</v>
      </c>
      <c r="K152" s="472">
        <f t="shared" si="16"/>
        <v>13</v>
      </c>
      <c r="L152" s="473">
        <v>0.5805555555555556</v>
      </c>
      <c r="M152" s="474">
        <f t="shared" si="17"/>
        <v>0.5805555555555556</v>
      </c>
      <c r="N152" s="519"/>
      <c r="P152" s="29" t="str">
        <f t="shared" si="18"/>
        <v>1966F0</v>
      </c>
      <c r="Q152" s="29" t="str">
        <f t="shared" si="19"/>
        <v>F013</v>
      </c>
      <c r="R152" s="29" t="str">
        <f t="shared" si="20"/>
        <v>JulyF0</v>
      </c>
    </row>
    <row r="153" spans="1:18">
      <c r="A153" s="483">
        <f t="shared" si="21"/>
        <v>149</v>
      </c>
      <c r="B153" s="484">
        <v>8</v>
      </c>
      <c r="C153" s="485">
        <v>24328</v>
      </c>
      <c r="D153" s="763" t="str">
        <f t="shared" si="15"/>
        <v>August</v>
      </c>
      <c r="E153" s="484">
        <v>9</v>
      </c>
      <c r="F153" s="472">
        <v>1966</v>
      </c>
      <c r="G153" s="484" t="s">
        <v>109</v>
      </c>
      <c r="H153" s="472" t="s">
        <v>122</v>
      </c>
      <c r="I153" s="486">
        <v>27</v>
      </c>
      <c r="J153" s="486">
        <v>2.7</v>
      </c>
      <c r="K153" s="472">
        <f t="shared" si="16"/>
        <v>19</v>
      </c>
      <c r="L153" s="473">
        <v>0.82291666666666663</v>
      </c>
      <c r="M153" s="474">
        <f t="shared" si="17"/>
        <v>0.82291666666666663</v>
      </c>
      <c r="N153" s="519"/>
      <c r="P153" s="29" t="str">
        <f t="shared" si="18"/>
        <v>1966F0</v>
      </c>
      <c r="Q153" s="29" t="str">
        <f t="shared" si="19"/>
        <v>F019</v>
      </c>
      <c r="R153" s="29" t="str">
        <f t="shared" si="20"/>
        <v>AugustF0</v>
      </c>
    </row>
    <row r="154" spans="1:18">
      <c r="A154" s="483">
        <f t="shared" si="21"/>
        <v>150</v>
      </c>
      <c r="B154" s="484">
        <v>9</v>
      </c>
      <c r="C154" s="485">
        <v>24328</v>
      </c>
      <c r="D154" s="763" t="str">
        <f t="shared" si="15"/>
        <v>August</v>
      </c>
      <c r="E154" s="484">
        <v>9</v>
      </c>
      <c r="F154" s="472">
        <v>1966</v>
      </c>
      <c r="G154" s="484" t="s">
        <v>107</v>
      </c>
      <c r="H154" s="472" t="s">
        <v>122</v>
      </c>
      <c r="I154" s="486">
        <v>33</v>
      </c>
      <c r="J154" s="486">
        <v>1</v>
      </c>
      <c r="K154" s="472">
        <f t="shared" si="16"/>
        <v>21</v>
      </c>
      <c r="L154" s="473">
        <v>0.89583333333333337</v>
      </c>
      <c r="M154" s="474">
        <f t="shared" si="17"/>
        <v>0.89583333333333337</v>
      </c>
      <c r="N154" s="519"/>
      <c r="P154" s="29" t="str">
        <f t="shared" si="18"/>
        <v>1966F0</v>
      </c>
      <c r="Q154" s="29" t="str">
        <f t="shared" si="19"/>
        <v>F021</v>
      </c>
      <c r="R154" s="29" t="str">
        <f t="shared" si="20"/>
        <v>AugustF0</v>
      </c>
    </row>
    <row r="155" spans="1:18">
      <c r="A155" s="483">
        <f t="shared" si="21"/>
        <v>151</v>
      </c>
      <c r="B155" s="484">
        <v>10</v>
      </c>
      <c r="C155" s="485">
        <v>24337</v>
      </c>
      <c r="D155" s="763" t="str">
        <f t="shared" si="15"/>
        <v>August</v>
      </c>
      <c r="E155" s="484">
        <v>18</v>
      </c>
      <c r="F155" s="472">
        <v>1966</v>
      </c>
      <c r="G155" s="484" t="s">
        <v>121</v>
      </c>
      <c r="H155" s="472" t="s">
        <v>122</v>
      </c>
      <c r="I155" s="486">
        <v>23</v>
      </c>
      <c r="J155" s="486">
        <v>1</v>
      </c>
      <c r="K155" s="472">
        <f t="shared" si="16"/>
        <v>16</v>
      </c>
      <c r="L155" s="473">
        <v>0.66666666666666663</v>
      </c>
      <c r="M155" s="474">
        <f t="shared" si="17"/>
        <v>0.66666666666666663</v>
      </c>
      <c r="N155" s="519"/>
      <c r="P155" s="29" t="str">
        <f t="shared" si="18"/>
        <v>1966F0</v>
      </c>
      <c r="Q155" s="29" t="str">
        <f t="shared" si="19"/>
        <v>F016</v>
      </c>
      <c r="R155" s="29" t="str">
        <f t="shared" si="20"/>
        <v>AugustF0</v>
      </c>
    </row>
    <row r="156" spans="1:18">
      <c r="A156" s="483">
        <f t="shared" si="21"/>
        <v>152</v>
      </c>
      <c r="B156" s="484">
        <v>11</v>
      </c>
      <c r="C156" s="485">
        <v>24337</v>
      </c>
      <c r="D156" s="763" t="str">
        <f t="shared" si="15"/>
        <v>August</v>
      </c>
      <c r="E156" s="484">
        <v>18</v>
      </c>
      <c r="F156" s="472">
        <v>1966</v>
      </c>
      <c r="G156" s="484" t="s">
        <v>121</v>
      </c>
      <c r="H156" s="472" t="s">
        <v>123</v>
      </c>
      <c r="I156" s="486">
        <v>33</v>
      </c>
      <c r="J156" s="486">
        <v>2</v>
      </c>
      <c r="K156" s="472">
        <f t="shared" si="16"/>
        <v>16</v>
      </c>
      <c r="L156" s="473">
        <v>0.66666666666666663</v>
      </c>
      <c r="M156" s="474">
        <f t="shared" si="17"/>
        <v>0.66666666666666663</v>
      </c>
      <c r="N156" s="519"/>
      <c r="P156" s="29" t="str">
        <f t="shared" si="18"/>
        <v>1966F1</v>
      </c>
      <c r="Q156" s="29" t="str">
        <f t="shared" si="19"/>
        <v>F116</v>
      </c>
      <c r="R156" s="29" t="str">
        <f t="shared" si="20"/>
        <v>AugustF1</v>
      </c>
    </row>
    <row r="157" spans="1:18">
      <c r="A157" s="483">
        <f t="shared" si="21"/>
        <v>153</v>
      </c>
      <c r="B157" s="484">
        <v>12</v>
      </c>
      <c r="C157" s="485">
        <v>24367</v>
      </c>
      <c r="D157" s="763" t="str">
        <f t="shared" si="15"/>
        <v>September</v>
      </c>
      <c r="E157" s="484">
        <v>17</v>
      </c>
      <c r="F157" s="472">
        <v>1966</v>
      </c>
      <c r="G157" s="484" t="s">
        <v>113</v>
      </c>
      <c r="H157" s="472" t="s">
        <v>123</v>
      </c>
      <c r="I157" s="486">
        <v>13</v>
      </c>
      <c r="J157" s="486">
        <v>1</v>
      </c>
      <c r="K157" s="472">
        <f t="shared" si="16"/>
        <v>12</v>
      </c>
      <c r="L157" s="473">
        <v>0.53125</v>
      </c>
      <c r="M157" s="474">
        <f t="shared" si="17"/>
        <v>0.53125</v>
      </c>
      <c r="N157" s="519"/>
      <c r="P157" s="29" t="str">
        <f t="shared" si="18"/>
        <v>1966F1</v>
      </c>
      <c r="Q157" s="29" t="str">
        <f t="shared" si="19"/>
        <v>F112</v>
      </c>
      <c r="R157" s="29" t="str">
        <f t="shared" si="20"/>
        <v>SeptemberF1</v>
      </c>
    </row>
    <row r="158" spans="1:18">
      <c r="A158" s="483">
        <f t="shared" si="21"/>
        <v>154</v>
      </c>
      <c r="B158" s="484">
        <v>1</v>
      </c>
      <c r="C158" s="485">
        <v>24550</v>
      </c>
      <c r="D158" s="763" t="str">
        <f t="shared" si="15"/>
        <v>March</v>
      </c>
      <c r="E158" s="484">
        <v>19</v>
      </c>
      <c r="F158" s="472">
        <v>1967</v>
      </c>
      <c r="G158" s="484" t="s">
        <v>117</v>
      </c>
      <c r="H158" s="472" t="s">
        <v>122</v>
      </c>
      <c r="I158" s="486">
        <v>10</v>
      </c>
      <c r="J158" s="486">
        <v>0.5</v>
      </c>
      <c r="K158" s="472">
        <f t="shared" si="16"/>
        <v>18</v>
      </c>
      <c r="L158" s="473">
        <v>0.75</v>
      </c>
      <c r="M158" s="474">
        <f t="shared" si="17"/>
        <v>0.75</v>
      </c>
      <c r="N158" s="519"/>
      <c r="P158" s="29" t="str">
        <f t="shared" si="18"/>
        <v>1967F0</v>
      </c>
      <c r="Q158" s="29" t="str">
        <f t="shared" si="19"/>
        <v>F018</v>
      </c>
      <c r="R158" s="29" t="str">
        <f t="shared" si="20"/>
        <v>MarchF0</v>
      </c>
    </row>
    <row r="159" spans="1:18">
      <c r="A159" s="483">
        <f t="shared" si="21"/>
        <v>155</v>
      </c>
      <c r="B159" s="484">
        <v>2</v>
      </c>
      <c r="C159" s="485">
        <v>24550</v>
      </c>
      <c r="D159" s="763" t="str">
        <f t="shared" si="15"/>
        <v>March</v>
      </c>
      <c r="E159" s="484">
        <v>19</v>
      </c>
      <c r="F159" s="472">
        <v>1967</v>
      </c>
      <c r="G159" s="484" t="s">
        <v>117</v>
      </c>
      <c r="H159" s="472" t="s">
        <v>122</v>
      </c>
      <c r="I159" s="486">
        <v>10</v>
      </c>
      <c r="J159" s="486">
        <v>0.5</v>
      </c>
      <c r="K159" s="472">
        <f t="shared" si="16"/>
        <v>18</v>
      </c>
      <c r="L159" s="473">
        <v>0.75</v>
      </c>
      <c r="M159" s="474">
        <f t="shared" si="17"/>
        <v>0.75</v>
      </c>
      <c r="N159" s="519"/>
      <c r="P159" s="29" t="str">
        <f t="shared" si="18"/>
        <v>1967F0</v>
      </c>
      <c r="Q159" s="29" t="str">
        <f t="shared" si="19"/>
        <v>F018</v>
      </c>
      <c r="R159" s="29" t="str">
        <f t="shared" si="20"/>
        <v>MarchF0</v>
      </c>
    </row>
    <row r="160" spans="1:18">
      <c r="A160" s="483">
        <f t="shared" si="21"/>
        <v>156</v>
      </c>
      <c r="B160" s="484">
        <v>3</v>
      </c>
      <c r="C160" s="485">
        <v>24582</v>
      </c>
      <c r="D160" s="763" t="str">
        <f t="shared" si="15"/>
        <v>April</v>
      </c>
      <c r="E160" s="484">
        <v>20</v>
      </c>
      <c r="F160" s="472">
        <v>1967</v>
      </c>
      <c r="G160" s="484" t="s">
        <v>105</v>
      </c>
      <c r="H160" s="472" t="s">
        <v>123</v>
      </c>
      <c r="I160" s="486">
        <v>100</v>
      </c>
      <c r="J160" s="486">
        <v>0.3</v>
      </c>
      <c r="K160" s="472">
        <f t="shared" si="16"/>
        <v>18</v>
      </c>
      <c r="L160" s="473">
        <v>0.78125</v>
      </c>
      <c r="M160" s="474">
        <f t="shared" si="17"/>
        <v>0.78125</v>
      </c>
      <c r="N160" s="519"/>
      <c r="P160" s="29" t="str">
        <f t="shared" si="18"/>
        <v>1967F1</v>
      </c>
      <c r="Q160" s="29" t="str">
        <f t="shared" si="19"/>
        <v>F118</v>
      </c>
      <c r="R160" s="29" t="str">
        <f t="shared" si="20"/>
        <v>AprilF1</v>
      </c>
    </row>
    <row r="161" spans="1:18">
      <c r="A161" s="483">
        <f t="shared" si="21"/>
        <v>157</v>
      </c>
      <c r="B161" s="484">
        <v>4</v>
      </c>
      <c r="C161" s="485">
        <v>24597</v>
      </c>
      <c r="D161" s="763" t="str">
        <f t="shared" si="15"/>
        <v>May</v>
      </c>
      <c r="E161" s="484">
        <v>5</v>
      </c>
      <c r="F161" s="472">
        <v>1967</v>
      </c>
      <c r="G161" s="484" t="s">
        <v>118</v>
      </c>
      <c r="H161" s="472" t="s">
        <v>122</v>
      </c>
      <c r="I161" s="486">
        <v>33</v>
      </c>
      <c r="J161" s="486">
        <v>0.1</v>
      </c>
      <c r="K161" s="472">
        <f t="shared" si="16"/>
        <v>13</v>
      </c>
      <c r="L161" s="473">
        <v>0.57638888888888895</v>
      </c>
      <c r="M161" s="474">
        <f t="shared" si="17"/>
        <v>0.57638888888888895</v>
      </c>
      <c r="N161" s="519"/>
      <c r="P161" s="29" t="str">
        <f t="shared" si="18"/>
        <v>1967F0</v>
      </c>
      <c r="Q161" s="29" t="str">
        <f t="shared" si="19"/>
        <v>F013</v>
      </c>
      <c r="R161" s="29" t="str">
        <f t="shared" si="20"/>
        <v>MayF0</v>
      </c>
    </row>
    <row r="162" spans="1:18">
      <c r="A162" s="483">
        <f t="shared" si="21"/>
        <v>158</v>
      </c>
      <c r="B162" s="484">
        <v>5</v>
      </c>
      <c r="C162" s="485">
        <v>24597</v>
      </c>
      <c r="D162" s="763" t="str">
        <f t="shared" si="15"/>
        <v>May</v>
      </c>
      <c r="E162" s="484">
        <v>5</v>
      </c>
      <c r="F162" s="472">
        <v>1967</v>
      </c>
      <c r="G162" s="484" t="s">
        <v>114</v>
      </c>
      <c r="H162" s="472" t="s">
        <v>122</v>
      </c>
      <c r="I162" s="486">
        <v>17</v>
      </c>
      <c r="J162" s="486">
        <v>0.5</v>
      </c>
      <c r="K162" s="472">
        <f t="shared" si="16"/>
        <v>15</v>
      </c>
      <c r="L162" s="473">
        <v>0.65625</v>
      </c>
      <c r="M162" s="474">
        <f t="shared" si="17"/>
        <v>0.65625</v>
      </c>
      <c r="N162" s="519"/>
      <c r="P162" s="29" t="str">
        <f t="shared" si="18"/>
        <v>1967F0</v>
      </c>
      <c r="Q162" s="29" t="str">
        <f t="shared" si="19"/>
        <v>F015</v>
      </c>
      <c r="R162" s="29" t="str">
        <f t="shared" si="20"/>
        <v>MayF0</v>
      </c>
    </row>
    <row r="163" spans="1:18">
      <c r="A163" s="483">
        <f t="shared" si="21"/>
        <v>159</v>
      </c>
      <c r="B163" s="484">
        <v>6</v>
      </c>
      <c r="C163" s="485">
        <v>24597</v>
      </c>
      <c r="D163" s="763" t="str">
        <f t="shared" si="15"/>
        <v>May</v>
      </c>
      <c r="E163" s="484">
        <v>5</v>
      </c>
      <c r="F163" s="472">
        <v>1967</v>
      </c>
      <c r="G163" s="484" t="s">
        <v>114</v>
      </c>
      <c r="H163" s="472" t="s">
        <v>122</v>
      </c>
      <c r="I163" s="486">
        <v>3</v>
      </c>
      <c r="J163" s="486">
        <v>0.1</v>
      </c>
      <c r="K163" s="472">
        <f t="shared" si="16"/>
        <v>16</v>
      </c>
      <c r="L163" s="473">
        <v>0.69097222222222221</v>
      </c>
      <c r="M163" s="474">
        <f t="shared" si="17"/>
        <v>0.69097222222222221</v>
      </c>
      <c r="N163" s="519"/>
      <c r="P163" s="29" t="str">
        <f t="shared" si="18"/>
        <v>1967F0</v>
      </c>
      <c r="Q163" s="29" t="str">
        <f t="shared" si="19"/>
        <v>F016</v>
      </c>
      <c r="R163" s="29" t="str">
        <f t="shared" si="20"/>
        <v>MayF0</v>
      </c>
    </row>
    <row r="164" spans="1:18">
      <c r="A164" s="483">
        <f t="shared" si="21"/>
        <v>160</v>
      </c>
      <c r="B164" s="484">
        <v>7</v>
      </c>
      <c r="C164" s="485">
        <v>24597</v>
      </c>
      <c r="D164" s="763" t="str">
        <f t="shared" si="15"/>
        <v>May</v>
      </c>
      <c r="E164" s="484">
        <v>5</v>
      </c>
      <c r="F164" s="472">
        <v>1967</v>
      </c>
      <c r="G164" s="484" t="s">
        <v>114</v>
      </c>
      <c r="H164" s="472" t="s">
        <v>124</v>
      </c>
      <c r="I164" s="486">
        <v>100</v>
      </c>
      <c r="J164" s="486">
        <v>16.2</v>
      </c>
      <c r="K164" s="472">
        <f t="shared" si="16"/>
        <v>16</v>
      </c>
      <c r="L164" s="473">
        <v>0.69097222222222221</v>
      </c>
      <c r="M164" s="474">
        <f t="shared" si="17"/>
        <v>0.69097222222222221</v>
      </c>
      <c r="N164" s="519"/>
      <c r="P164" s="29" t="str">
        <f t="shared" si="18"/>
        <v>1967F2</v>
      </c>
      <c r="Q164" s="29" t="str">
        <f t="shared" si="19"/>
        <v>F216</v>
      </c>
      <c r="R164" s="29" t="str">
        <f t="shared" si="20"/>
        <v>MayF2</v>
      </c>
    </row>
    <row r="165" spans="1:18">
      <c r="A165" s="483">
        <f t="shared" si="21"/>
        <v>161</v>
      </c>
      <c r="B165" s="484">
        <v>8</v>
      </c>
      <c r="C165" s="485">
        <v>24597</v>
      </c>
      <c r="D165" s="763" t="str">
        <f t="shared" si="15"/>
        <v>May</v>
      </c>
      <c r="E165" s="484">
        <v>5</v>
      </c>
      <c r="F165" s="472">
        <v>1967</v>
      </c>
      <c r="G165" s="484" t="s">
        <v>115</v>
      </c>
      <c r="H165" s="472" t="s">
        <v>123</v>
      </c>
      <c r="I165" s="486">
        <v>33</v>
      </c>
      <c r="J165" s="486">
        <v>0.1</v>
      </c>
      <c r="K165" s="472">
        <f t="shared" si="16"/>
        <v>16</v>
      </c>
      <c r="L165" s="473">
        <v>0.69791666666666663</v>
      </c>
      <c r="M165" s="474">
        <f t="shared" si="17"/>
        <v>0.69791666666666663</v>
      </c>
      <c r="N165" s="519"/>
      <c r="P165" s="29" t="str">
        <f t="shared" si="18"/>
        <v>1967F1</v>
      </c>
      <c r="Q165" s="29" t="str">
        <f t="shared" si="19"/>
        <v>F116</v>
      </c>
      <c r="R165" s="29" t="str">
        <f t="shared" si="20"/>
        <v>MayF1</v>
      </c>
    </row>
    <row r="166" spans="1:18">
      <c r="A166" s="483">
        <f t="shared" si="21"/>
        <v>162</v>
      </c>
      <c r="B166" s="484">
        <v>9</v>
      </c>
      <c r="C166" s="485">
        <v>24597</v>
      </c>
      <c r="D166" s="763" t="str">
        <f t="shared" si="15"/>
        <v>May</v>
      </c>
      <c r="E166" s="484">
        <v>5</v>
      </c>
      <c r="F166" s="472">
        <v>1967</v>
      </c>
      <c r="G166" s="484" t="s">
        <v>108</v>
      </c>
      <c r="H166" s="472" t="s">
        <v>124</v>
      </c>
      <c r="I166" s="486">
        <v>67</v>
      </c>
      <c r="J166" s="486">
        <v>2.2999999999999998</v>
      </c>
      <c r="K166" s="472">
        <f t="shared" si="16"/>
        <v>16</v>
      </c>
      <c r="L166" s="473">
        <v>0.69791666666666663</v>
      </c>
      <c r="M166" s="474">
        <f t="shared" si="17"/>
        <v>0.69791666666666663</v>
      </c>
      <c r="N166" s="519"/>
      <c r="P166" s="29" t="str">
        <f t="shared" si="18"/>
        <v>1967F2</v>
      </c>
      <c r="Q166" s="29" t="str">
        <f t="shared" si="19"/>
        <v>F216</v>
      </c>
      <c r="R166" s="29" t="str">
        <f t="shared" si="20"/>
        <v>MayF2</v>
      </c>
    </row>
    <row r="167" spans="1:18">
      <c r="A167" s="483">
        <f t="shared" si="21"/>
        <v>163</v>
      </c>
      <c r="B167" s="484">
        <v>10</v>
      </c>
      <c r="C167" s="485">
        <v>24622</v>
      </c>
      <c r="D167" s="763" t="str">
        <f t="shared" si="15"/>
        <v>May</v>
      </c>
      <c r="E167" s="484">
        <v>30</v>
      </c>
      <c r="F167" s="472">
        <v>1967</v>
      </c>
      <c r="G167" s="484" t="s">
        <v>112</v>
      </c>
      <c r="H167" s="472" t="s">
        <v>122</v>
      </c>
      <c r="I167" s="486">
        <v>17</v>
      </c>
      <c r="J167" s="486">
        <v>1</v>
      </c>
      <c r="K167" s="472">
        <f t="shared" si="16"/>
        <v>19</v>
      </c>
      <c r="L167" s="473">
        <v>0.79166666666666663</v>
      </c>
      <c r="M167" s="474">
        <f t="shared" si="17"/>
        <v>0.79166666666666663</v>
      </c>
      <c r="N167" s="519"/>
      <c r="P167" s="29" t="str">
        <f t="shared" si="18"/>
        <v>1967F0</v>
      </c>
      <c r="Q167" s="29" t="str">
        <f t="shared" si="19"/>
        <v>F019</v>
      </c>
      <c r="R167" s="29" t="str">
        <f t="shared" si="20"/>
        <v>MayF0</v>
      </c>
    </row>
    <row r="168" spans="1:18">
      <c r="A168" s="483">
        <f t="shared" si="21"/>
        <v>164</v>
      </c>
      <c r="B168" s="484">
        <v>11</v>
      </c>
      <c r="C168" s="485">
        <v>24623</v>
      </c>
      <c r="D168" s="763" t="str">
        <f t="shared" si="15"/>
        <v>May</v>
      </c>
      <c r="E168" s="484">
        <v>31</v>
      </c>
      <c r="F168" s="472">
        <v>1967</v>
      </c>
      <c r="G168" s="484" t="s">
        <v>101</v>
      </c>
      <c r="H168" s="472" t="s">
        <v>123</v>
      </c>
      <c r="I168" s="486">
        <v>440</v>
      </c>
      <c r="J168" s="486">
        <v>0.8</v>
      </c>
      <c r="K168" s="472">
        <f t="shared" si="16"/>
        <v>21</v>
      </c>
      <c r="L168" s="473">
        <v>0.88194444444444453</v>
      </c>
      <c r="M168" s="474">
        <f t="shared" si="17"/>
        <v>0.88194444444444453</v>
      </c>
      <c r="N168" s="519"/>
      <c r="P168" s="29" t="str">
        <f t="shared" si="18"/>
        <v>1967F1</v>
      </c>
      <c r="Q168" s="29" t="str">
        <f t="shared" si="19"/>
        <v>F121</v>
      </c>
      <c r="R168" s="29" t="str">
        <f t="shared" si="20"/>
        <v>MayF1</v>
      </c>
    </row>
    <row r="169" spans="1:18">
      <c r="A169" s="483">
        <f t="shared" si="21"/>
        <v>165</v>
      </c>
      <c r="B169" s="484">
        <v>12</v>
      </c>
      <c r="C169" s="485">
        <v>24624</v>
      </c>
      <c r="D169" s="763" t="str">
        <f t="shared" si="15"/>
        <v>June</v>
      </c>
      <c r="E169" s="484">
        <v>1</v>
      </c>
      <c r="F169" s="472">
        <v>1967</v>
      </c>
      <c r="G169" s="484" t="s">
        <v>117</v>
      </c>
      <c r="H169" s="472" t="s">
        <v>124</v>
      </c>
      <c r="I169" s="486">
        <v>33</v>
      </c>
      <c r="J169" s="486">
        <v>4.7</v>
      </c>
      <c r="K169" s="472">
        <f t="shared" si="16"/>
        <v>15</v>
      </c>
      <c r="L169" s="473">
        <v>0.625</v>
      </c>
      <c r="M169" s="474">
        <f t="shared" si="17"/>
        <v>0.625</v>
      </c>
      <c r="N169" s="519"/>
      <c r="P169" s="29" t="str">
        <f t="shared" si="18"/>
        <v>1967F2</v>
      </c>
      <c r="Q169" s="29" t="str">
        <f t="shared" si="19"/>
        <v>F215</v>
      </c>
      <c r="R169" s="29" t="str">
        <f t="shared" si="20"/>
        <v>JuneF2</v>
      </c>
    </row>
    <row r="170" spans="1:18">
      <c r="A170" s="483">
        <f t="shared" si="21"/>
        <v>166</v>
      </c>
      <c r="B170" s="484">
        <v>13</v>
      </c>
      <c r="C170" s="485">
        <v>24632</v>
      </c>
      <c r="D170" s="763" t="str">
        <f t="shared" si="15"/>
        <v>June</v>
      </c>
      <c r="E170" s="484">
        <v>9</v>
      </c>
      <c r="F170" s="472">
        <v>1967</v>
      </c>
      <c r="G170" s="484" t="s">
        <v>106</v>
      </c>
      <c r="H170" s="472" t="s">
        <v>123</v>
      </c>
      <c r="I170" s="486">
        <v>37</v>
      </c>
      <c r="J170" s="486">
        <v>2</v>
      </c>
      <c r="K170" s="472">
        <f t="shared" si="16"/>
        <v>17</v>
      </c>
      <c r="L170" s="473">
        <v>0.70833333333333337</v>
      </c>
      <c r="M170" s="474">
        <f t="shared" si="17"/>
        <v>0.70833333333333337</v>
      </c>
      <c r="N170" s="519"/>
      <c r="P170" s="29" t="str">
        <f t="shared" si="18"/>
        <v>1967F1</v>
      </c>
      <c r="Q170" s="29" t="str">
        <f t="shared" si="19"/>
        <v>F117</v>
      </c>
      <c r="R170" s="29" t="str">
        <f t="shared" si="20"/>
        <v>JuneF1</v>
      </c>
    </row>
    <row r="171" spans="1:18">
      <c r="A171" s="483">
        <f t="shared" si="21"/>
        <v>167</v>
      </c>
      <c r="B171" s="484">
        <v>14</v>
      </c>
      <c r="C171" s="485">
        <v>24637</v>
      </c>
      <c r="D171" s="763" t="str">
        <f t="shared" si="15"/>
        <v>June</v>
      </c>
      <c r="E171" s="484">
        <v>14</v>
      </c>
      <c r="F171" s="472">
        <v>1967</v>
      </c>
      <c r="G171" s="484" t="s">
        <v>100</v>
      </c>
      <c r="H171" s="472" t="s">
        <v>122</v>
      </c>
      <c r="I171" s="486">
        <v>10</v>
      </c>
      <c r="J171" s="486">
        <v>0.1</v>
      </c>
      <c r="K171" s="472">
        <f t="shared" si="16"/>
        <v>21</v>
      </c>
      <c r="L171" s="473">
        <v>0.89166666666666661</v>
      </c>
      <c r="M171" s="474">
        <f t="shared" si="17"/>
        <v>0.89166666666666661</v>
      </c>
      <c r="N171" s="519"/>
      <c r="P171" s="29" t="str">
        <f t="shared" si="18"/>
        <v>1967F0</v>
      </c>
      <c r="Q171" s="29" t="str">
        <f t="shared" si="19"/>
        <v>F021</v>
      </c>
      <c r="R171" s="29" t="str">
        <f t="shared" si="20"/>
        <v>JuneF0</v>
      </c>
    </row>
    <row r="172" spans="1:18">
      <c r="A172" s="483">
        <f t="shared" si="21"/>
        <v>168</v>
      </c>
      <c r="B172" s="484">
        <v>15</v>
      </c>
      <c r="C172" s="485">
        <v>24637</v>
      </c>
      <c r="D172" s="763" t="str">
        <f t="shared" si="15"/>
        <v>June</v>
      </c>
      <c r="E172" s="484">
        <v>14</v>
      </c>
      <c r="F172" s="472">
        <v>1967</v>
      </c>
      <c r="G172" s="484" t="s">
        <v>100</v>
      </c>
      <c r="H172" s="472" t="s">
        <v>122</v>
      </c>
      <c r="I172" s="486">
        <v>150</v>
      </c>
      <c r="J172" s="486">
        <v>0.3</v>
      </c>
      <c r="K172" s="472">
        <f t="shared" si="16"/>
        <v>21</v>
      </c>
      <c r="L172" s="473">
        <v>0.90625</v>
      </c>
      <c r="M172" s="474">
        <f t="shared" si="17"/>
        <v>0.90625</v>
      </c>
      <c r="N172" s="519"/>
      <c r="P172" s="29" t="str">
        <f t="shared" si="18"/>
        <v>1967F0</v>
      </c>
      <c r="Q172" s="29" t="str">
        <f t="shared" si="19"/>
        <v>F021</v>
      </c>
      <c r="R172" s="29" t="str">
        <f t="shared" si="20"/>
        <v>JuneF0</v>
      </c>
    </row>
    <row r="173" spans="1:18">
      <c r="A173" s="483">
        <f t="shared" si="21"/>
        <v>169</v>
      </c>
      <c r="B173" s="484">
        <v>16</v>
      </c>
      <c r="C173" s="485">
        <v>24638</v>
      </c>
      <c r="D173" s="763" t="str">
        <f t="shared" si="15"/>
        <v>June</v>
      </c>
      <c r="E173" s="484">
        <v>15</v>
      </c>
      <c r="F173" s="472">
        <v>1967</v>
      </c>
      <c r="G173" s="484" t="s">
        <v>108</v>
      </c>
      <c r="H173" s="472" t="s">
        <v>123</v>
      </c>
      <c r="I173" s="486">
        <v>33</v>
      </c>
      <c r="J173" s="486">
        <v>43.2</v>
      </c>
      <c r="K173" s="472">
        <f t="shared" si="16"/>
        <v>8</v>
      </c>
      <c r="L173" s="473">
        <v>0.34375</v>
      </c>
      <c r="M173" s="474">
        <f t="shared" si="17"/>
        <v>0.34375</v>
      </c>
      <c r="N173" s="519"/>
      <c r="P173" s="29" t="str">
        <f t="shared" si="18"/>
        <v>1967F1</v>
      </c>
      <c r="Q173" s="29" t="str">
        <f t="shared" si="19"/>
        <v>F18</v>
      </c>
      <c r="R173" s="29" t="str">
        <f t="shared" si="20"/>
        <v>JuneF1</v>
      </c>
    </row>
    <row r="174" spans="1:18">
      <c r="A174" s="483">
        <f t="shared" si="21"/>
        <v>170</v>
      </c>
      <c r="B174" s="484">
        <v>17</v>
      </c>
      <c r="C174" s="485">
        <v>24638</v>
      </c>
      <c r="D174" s="763" t="str">
        <f t="shared" si="15"/>
        <v>June</v>
      </c>
      <c r="E174" s="484">
        <v>15</v>
      </c>
      <c r="F174" s="472">
        <v>1967</v>
      </c>
      <c r="G174" s="484" t="s">
        <v>118</v>
      </c>
      <c r="H174" s="472" t="s">
        <v>124</v>
      </c>
      <c r="I174" s="486">
        <v>33</v>
      </c>
      <c r="J174" s="486">
        <v>0.1</v>
      </c>
      <c r="K174" s="472">
        <f t="shared" si="16"/>
        <v>20</v>
      </c>
      <c r="L174" s="473">
        <v>0.83333333333333337</v>
      </c>
      <c r="M174" s="474">
        <f t="shared" si="17"/>
        <v>0.83333333333333337</v>
      </c>
      <c r="N174" s="519"/>
      <c r="P174" s="29" t="str">
        <f t="shared" si="18"/>
        <v>1967F2</v>
      </c>
      <c r="Q174" s="29" t="str">
        <f t="shared" si="19"/>
        <v>F220</v>
      </c>
      <c r="R174" s="29" t="str">
        <f t="shared" si="20"/>
        <v>JuneF2</v>
      </c>
    </row>
    <row r="175" spans="1:18">
      <c r="A175" s="483">
        <f t="shared" si="21"/>
        <v>171</v>
      </c>
      <c r="B175" s="484">
        <v>18</v>
      </c>
      <c r="C175" s="485">
        <v>24646</v>
      </c>
      <c r="D175" s="763" t="str">
        <f t="shared" si="15"/>
        <v>June</v>
      </c>
      <c r="E175" s="484">
        <v>23</v>
      </c>
      <c r="F175" s="472">
        <v>1967</v>
      </c>
      <c r="G175" s="484" t="s">
        <v>108</v>
      </c>
      <c r="H175" s="472" t="s">
        <v>122</v>
      </c>
      <c r="I175" s="486">
        <v>33</v>
      </c>
      <c r="J175" s="486">
        <v>0.1</v>
      </c>
      <c r="K175" s="472">
        <f t="shared" si="16"/>
        <v>17</v>
      </c>
      <c r="L175" s="473">
        <v>0.70833333333333337</v>
      </c>
      <c r="M175" s="474">
        <f t="shared" si="17"/>
        <v>0.70833333333333337</v>
      </c>
      <c r="N175" s="519"/>
      <c r="P175" s="29" t="str">
        <f t="shared" si="18"/>
        <v>1967F0</v>
      </c>
      <c r="Q175" s="29" t="str">
        <f t="shared" si="19"/>
        <v>F017</v>
      </c>
      <c r="R175" s="29" t="str">
        <f t="shared" si="20"/>
        <v>JuneF0</v>
      </c>
    </row>
    <row r="176" spans="1:18">
      <c r="A176" s="483">
        <f t="shared" si="21"/>
        <v>172</v>
      </c>
      <c r="B176" s="484">
        <v>19</v>
      </c>
      <c r="C176" s="485">
        <v>24651</v>
      </c>
      <c r="D176" s="763" t="str">
        <f t="shared" si="15"/>
        <v>June</v>
      </c>
      <c r="E176" s="484">
        <v>28</v>
      </c>
      <c r="F176" s="472">
        <v>1967</v>
      </c>
      <c r="G176" s="484" t="s">
        <v>104</v>
      </c>
      <c r="H176" s="472" t="s">
        <v>123</v>
      </c>
      <c r="I176" s="486">
        <v>100</v>
      </c>
      <c r="J176" s="486">
        <v>1</v>
      </c>
      <c r="K176" s="472">
        <f t="shared" si="16"/>
        <v>16</v>
      </c>
      <c r="L176" s="473">
        <v>0.66666666666666663</v>
      </c>
      <c r="M176" s="474">
        <f t="shared" si="17"/>
        <v>0.66666666666666663</v>
      </c>
      <c r="N176" s="519"/>
      <c r="P176" s="29" t="str">
        <f t="shared" si="18"/>
        <v>1967F1</v>
      </c>
      <c r="Q176" s="29" t="str">
        <f t="shared" si="19"/>
        <v>F116</v>
      </c>
      <c r="R176" s="29" t="str">
        <f t="shared" si="20"/>
        <v>JuneF1</v>
      </c>
    </row>
    <row r="177" spans="1:18">
      <c r="A177" s="483">
        <f t="shared" si="21"/>
        <v>173</v>
      </c>
      <c r="B177" s="484">
        <v>20</v>
      </c>
      <c r="C177" s="485">
        <v>24651</v>
      </c>
      <c r="D177" s="763" t="str">
        <f t="shared" si="15"/>
        <v>June</v>
      </c>
      <c r="E177" s="484">
        <v>28</v>
      </c>
      <c r="F177" s="472">
        <v>1967</v>
      </c>
      <c r="G177" s="484" t="s">
        <v>112</v>
      </c>
      <c r="H177" s="472" t="s">
        <v>122</v>
      </c>
      <c r="I177" s="486">
        <v>10</v>
      </c>
      <c r="J177" s="486">
        <v>0.1</v>
      </c>
      <c r="K177" s="472">
        <f t="shared" si="16"/>
        <v>18</v>
      </c>
      <c r="L177" s="473">
        <v>0.78125</v>
      </c>
      <c r="M177" s="474">
        <f t="shared" si="17"/>
        <v>0.78125</v>
      </c>
      <c r="N177" s="519"/>
      <c r="P177" s="29" t="str">
        <f t="shared" si="18"/>
        <v>1967F0</v>
      </c>
      <c r="Q177" s="29" t="str">
        <f t="shared" si="19"/>
        <v>F018</v>
      </c>
      <c r="R177" s="29" t="str">
        <f t="shared" si="20"/>
        <v>JuneF0</v>
      </c>
    </row>
    <row r="178" spans="1:18">
      <c r="A178" s="483">
        <f t="shared" si="21"/>
        <v>174</v>
      </c>
      <c r="B178" s="484">
        <v>21</v>
      </c>
      <c r="C178" s="485">
        <v>24653</v>
      </c>
      <c r="D178" s="763" t="str">
        <f t="shared" si="15"/>
        <v>June</v>
      </c>
      <c r="E178" s="484">
        <v>30</v>
      </c>
      <c r="F178" s="472">
        <v>1967</v>
      </c>
      <c r="G178" s="484" t="s">
        <v>118</v>
      </c>
      <c r="H178" s="472" t="s">
        <v>122</v>
      </c>
      <c r="I178" s="486">
        <v>33</v>
      </c>
      <c r="J178" s="486">
        <v>0.1</v>
      </c>
      <c r="K178" s="472">
        <f t="shared" si="16"/>
        <v>17</v>
      </c>
      <c r="L178" s="473">
        <v>0.72916666666666663</v>
      </c>
      <c r="M178" s="474">
        <f t="shared" si="17"/>
        <v>0.72916666666666663</v>
      </c>
      <c r="N178" s="519"/>
      <c r="P178" s="29" t="str">
        <f t="shared" si="18"/>
        <v>1967F0</v>
      </c>
      <c r="Q178" s="29" t="str">
        <f t="shared" si="19"/>
        <v>F017</v>
      </c>
      <c r="R178" s="29" t="str">
        <f t="shared" si="20"/>
        <v>JuneF0</v>
      </c>
    </row>
    <row r="179" spans="1:18">
      <c r="A179" s="483">
        <f t="shared" si="21"/>
        <v>175</v>
      </c>
      <c r="B179" s="484">
        <v>22</v>
      </c>
      <c r="C179" s="485">
        <v>24656</v>
      </c>
      <c r="D179" s="763" t="str">
        <f t="shared" si="15"/>
        <v>July</v>
      </c>
      <c r="E179" s="484">
        <v>3</v>
      </c>
      <c r="F179" s="472">
        <v>1967</v>
      </c>
      <c r="G179" s="484" t="s">
        <v>99</v>
      </c>
      <c r="H179" s="472" t="s">
        <v>122</v>
      </c>
      <c r="I179" s="486">
        <v>33</v>
      </c>
      <c r="J179" s="486">
        <v>6.8</v>
      </c>
      <c r="K179" s="472">
        <f t="shared" si="16"/>
        <v>15</v>
      </c>
      <c r="L179" s="473">
        <v>0.625</v>
      </c>
      <c r="M179" s="474">
        <f t="shared" si="17"/>
        <v>0.625</v>
      </c>
      <c r="N179" s="519"/>
      <c r="P179" s="29" t="str">
        <f t="shared" si="18"/>
        <v>1967F0</v>
      </c>
      <c r="Q179" s="29" t="str">
        <f t="shared" si="19"/>
        <v>F015</v>
      </c>
      <c r="R179" s="29" t="str">
        <f t="shared" si="20"/>
        <v>JulyF0</v>
      </c>
    </row>
    <row r="180" spans="1:18">
      <c r="A180" s="483">
        <f t="shared" si="21"/>
        <v>176</v>
      </c>
      <c r="B180" s="484">
        <v>23</v>
      </c>
      <c r="C180" s="485">
        <v>24656</v>
      </c>
      <c r="D180" s="763" t="str">
        <f t="shared" si="15"/>
        <v>July</v>
      </c>
      <c r="E180" s="484">
        <v>3</v>
      </c>
      <c r="F180" s="472">
        <v>1967</v>
      </c>
      <c r="G180" s="484" t="s">
        <v>99</v>
      </c>
      <c r="H180" s="472" t="s">
        <v>122</v>
      </c>
      <c r="I180" s="486">
        <v>33</v>
      </c>
      <c r="J180" s="486">
        <v>0.1</v>
      </c>
      <c r="K180" s="472">
        <f t="shared" si="16"/>
        <v>15</v>
      </c>
      <c r="L180" s="473">
        <v>0.625</v>
      </c>
      <c r="M180" s="474">
        <f t="shared" si="17"/>
        <v>0.625</v>
      </c>
      <c r="N180" s="519"/>
      <c r="P180" s="29" t="str">
        <f t="shared" si="18"/>
        <v>1967F0</v>
      </c>
      <c r="Q180" s="29" t="str">
        <f t="shared" si="19"/>
        <v>F015</v>
      </c>
      <c r="R180" s="29" t="str">
        <f t="shared" si="20"/>
        <v>JulyF0</v>
      </c>
    </row>
    <row r="181" spans="1:18">
      <c r="A181" s="483">
        <f t="shared" si="21"/>
        <v>177</v>
      </c>
      <c r="B181" s="484">
        <v>24</v>
      </c>
      <c r="C181" s="485">
        <v>24656</v>
      </c>
      <c r="D181" s="763" t="str">
        <f t="shared" si="15"/>
        <v>July</v>
      </c>
      <c r="E181" s="484">
        <v>3</v>
      </c>
      <c r="F181" s="472">
        <v>1967</v>
      </c>
      <c r="G181" s="484" t="s">
        <v>99</v>
      </c>
      <c r="H181" s="472" t="s">
        <v>122</v>
      </c>
      <c r="I181" s="486">
        <v>33</v>
      </c>
      <c r="J181" s="486">
        <v>0.1</v>
      </c>
      <c r="K181" s="472">
        <f t="shared" si="16"/>
        <v>15</v>
      </c>
      <c r="L181" s="473">
        <v>0.625</v>
      </c>
      <c r="M181" s="474">
        <f t="shared" si="17"/>
        <v>0.625</v>
      </c>
      <c r="N181" s="519"/>
      <c r="P181" s="29" t="str">
        <f t="shared" si="18"/>
        <v>1967F0</v>
      </c>
      <c r="Q181" s="29" t="str">
        <f t="shared" si="19"/>
        <v>F015</v>
      </c>
      <c r="R181" s="29" t="str">
        <f t="shared" si="20"/>
        <v>JulyF0</v>
      </c>
    </row>
    <row r="182" spans="1:18">
      <c r="A182" s="483">
        <f t="shared" si="21"/>
        <v>178</v>
      </c>
      <c r="B182" s="484">
        <v>25</v>
      </c>
      <c r="C182" s="485">
        <v>24656</v>
      </c>
      <c r="D182" s="763" t="str">
        <f t="shared" si="15"/>
        <v>July</v>
      </c>
      <c r="E182" s="484">
        <v>3</v>
      </c>
      <c r="F182" s="472">
        <v>1967</v>
      </c>
      <c r="G182" s="484" t="s">
        <v>100</v>
      </c>
      <c r="H182" s="472" t="s">
        <v>124</v>
      </c>
      <c r="I182" s="486">
        <v>10</v>
      </c>
      <c r="J182" s="486">
        <v>0.1</v>
      </c>
      <c r="K182" s="472">
        <f t="shared" si="16"/>
        <v>18</v>
      </c>
      <c r="L182" s="473">
        <v>0.75</v>
      </c>
      <c r="M182" s="474">
        <f t="shared" si="17"/>
        <v>0.75</v>
      </c>
      <c r="N182" s="519"/>
      <c r="P182" s="29" t="str">
        <f t="shared" si="18"/>
        <v>1967F2</v>
      </c>
      <c r="Q182" s="29" t="str">
        <f t="shared" si="19"/>
        <v>F218</v>
      </c>
      <c r="R182" s="29" t="str">
        <f t="shared" si="20"/>
        <v>JulyF2</v>
      </c>
    </row>
    <row r="183" spans="1:18">
      <c r="A183" s="483">
        <f t="shared" si="21"/>
        <v>179</v>
      </c>
      <c r="B183" s="484">
        <v>26</v>
      </c>
      <c r="C183" s="485">
        <v>24656</v>
      </c>
      <c r="D183" s="763" t="str">
        <f t="shared" si="15"/>
        <v>July</v>
      </c>
      <c r="E183" s="484">
        <v>3</v>
      </c>
      <c r="F183" s="472">
        <v>1967</v>
      </c>
      <c r="G183" s="484" t="s">
        <v>105</v>
      </c>
      <c r="H183" s="472" t="s">
        <v>124</v>
      </c>
      <c r="I183" s="486">
        <v>50</v>
      </c>
      <c r="J183" s="486">
        <v>1</v>
      </c>
      <c r="K183" s="472">
        <f t="shared" si="16"/>
        <v>19</v>
      </c>
      <c r="L183" s="473">
        <v>0.8125</v>
      </c>
      <c r="M183" s="474">
        <f t="shared" si="17"/>
        <v>0.8125</v>
      </c>
      <c r="N183" s="519"/>
      <c r="P183" s="29" t="str">
        <f t="shared" si="18"/>
        <v>1967F2</v>
      </c>
      <c r="Q183" s="29" t="str">
        <f t="shared" si="19"/>
        <v>F219</v>
      </c>
      <c r="R183" s="29" t="str">
        <f t="shared" si="20"/>
        <v>JulyF2</v>
      </c>
    </row>
    <row r="184" spans="1:18">
      <c r="A184" s="483">
        <f t="shared" si="21"/>
        <v>180</v>
      </c>
      <c r="B184" s="484">
        <v>27</v>
      </c>
      <c r="C184" s="485">
        <v>24656</v>
      </c>
      <c r="D184" s="763" t="str">
        <f t="shared" si="15"/>
        <v>July</v>
      </c>
      <c r="E184" s="484">
        <v>3</v>
      </c>
      <c r="F184" s="472">
        <v>1967</v>
      </c>
      <c r="G184" s="484" t="s">
        <v>116</v>
      </c>
      <c r="H184" s="472" t="s">
        <v>125</v>
      </c>
      <c r="I184" s="486">
        <v>33</v>
      </c>
      <c r="J184" s="486">
        <v>2.2999999999999998</v>
      </c>
      <c r="K184" s="472">
        <f t="shared" si="16"/>
        <v>21</v>
      </c>
      <c r="L184" s="473">
        <v>0.89583333333333337</v>
      </c>
      <c r="M184" s="474">
        <f t="shared" si="17"/>
        <v>0.89583333333333337</v>
      </c>
      <c r="N184" s="519"/>
      <c r="P184" s="29" t="str">
        <f t="shared" si="18"/>
        <v>1967F3</v>
      </c>
      <c r="Q184" s="29" t="str">
        <f t="shared" si="19"/>
        <v>F321</v>
      </c>
      <c r="R184" s="29" t="str">
        <f t="shared" si="20"/>
        <v>JulyF3</v>
      </c>
    </row>
    <row r="185" spans="1:18">
      <c r="A185" s="483">
        <f t="shared" si="21"/>
        <v>181</v>
      </c>
      <c r="B185" s="484">
        <v>28</v>
      </c>
      <c r="C185" s="485">
        <v>24656</v>
      </c>
      <c r="D185" s="763" t="str">
        <f t="shared" si="15"/>
        <v>July</v>
      </c>
      <c r="E185" s="484">
        <v>3</v>
      </c>
      <c r="F185" s="472">
        <v>1967</v>
      </c>
      <c r="G185" s="484" t="s">
        <v>111</v>
      </c>
      <c r="H185" s="472" t="s">
        <v>124</v>
      </c>
      <c r="I185" s="486">
        <v>17</v>
      </c>
      <c r="J185" s="486">
        <v>0.1</v>
      </c>
      <c r="K185" s="472">
        <f t="shared" si="16"/>
        <v>22</v>
      </c>
      <c r="L185" s="473">
        <v>0.91666666666666663</v>
      </c>
      <c r="M185" s="474">
        <f t="shared" si="17"/>
        <v>0.91666666666666663</v>
      </c>
      <c r="N185" s="519"/>
      <c r="P185" s="29" t="str">
        <f t="shared" si="18"/>
        <v>1967F2</v>
      </c>
      <c r="Q185" s="29" t="str">
        <f t="shared" si="19"/>
        <v>F222</v>
      </c>
      <c r="R185" s="29" t="str">
        <f t="shared" si="20"/>
        <v>JulyF2</v>
      </c>
    </row>
    <row r="186" spans="1:18">
      <c r="A186" s="483">
        <f t="shared" si="21"/>
        <v>182</v>
      </c>
      <c r="B186" s="484">
        <v>1</v>
      </c>
      <c r="C186" s="485">
        <v>24930</v>
      </c>
      <c r="D186" s="763" t="str">
        <f t="shared" si="15"/>
        <v>April</v>
      </c>
      <c r="E186" s="484">
        <v>2</v>
      </c>
      <c r="F186" s="472">
        <v>1968</v>
      </c>
      <c r="G186" s="484" t="s">
        <v>114</v>
      </c>
      <c r="H186" s="472" t="s">
        <v>124</v>
      </c>
      <c r="I186" s="486">
        <v>33</v>
      </c>
      <c r="J186" s="486">
        <v>2</v>
      </c>
      <c r="K186" s="472">
        <f t="shared" si="16"/>
        <v>17</v>
      </c>
      <c r="L186" s="473">
        <v>0.72222222222222221</v>
      </c>
      <c r="M186" s="474">
        <f t="shared" si="17"/>
        <v>0.72222222222222221</v>
      </c>
      <c r="N186" s="519"/>
      <c r="P186" s="29" t="str">
        <f t="shared" si="18"/>
        <v>1968F2</v>
      </c>
      <c r="Q186" s="29" t="str">
        <f t="shared" si="19"/>
        <v>F217</v>
      </c>
      <c r="R186" s="29" t="str">
        <f t="shared" si="20"/>
        <v>AprilF2</v>
      </c>
    </row>
    <row r="187" spans="1:18">
      <c r="A187" s="483">
        <f t="shared" si="21"/>
        <v>183</v>
      </c>
      <c r="B187" s="484">
        <v>2</v>
      </c>
      <c r="C187" s="485">
        <v>24961</v>
      </c>
      <c r="D187" s="763" t="str">
        <f t="shared" si="15"/>
        <v>May</v>
      </c>
      <c r="E187" s="484">
        <v>3</v>
      </c>
      <c r="F187" s="472">
        <v>1968</v>
      </c>
      <c r="G187" s="484" t="s">
        <v>101</v>
      </c>
      <c r="H187" s="472" t="s">
        <v>122</v>
      </c>
      <c r="I187" s="486">
        <v>10</v>
      </c>
      <c r="J187" s="486">
        <v>0.1</v>
      </c>
      <c r="K187" s="472">
        <f t="shared" si="16"/>
        <v>3</v>
      </c>
      <c r="L187" s="473">
        <v>0.13194444444444445</v>
      </c>
      <c r="M187" s="474">
        <f t="shared" si="17"/>
        <v>0.13194444444444445</v>
      </c>
      <c r="N187" s="519"/>
      <c r="P187" s="29" t="str">
        <f t="shared" si="18"/>
        <v>1968F0</v>
      </c>
      <c r="Q187" s="29" t="str">
        <f t="shared" si="19"/>
        <v>F03</v>
      </c>
      <c r="R187" s="29" t="str">
        <f t="shared" si="20"/>
        <v>MayF0</v>
      </c>
    </row>
    <row r="188" spans="1:18">
      <c r="A188" s="483">
        <f t="shared" si="21"/>
        <v>184</v>
      </c>
      <c r="B188" s="484">
        <v>3</v>
      </c>
      <c r="C188" s="485">
        <v>24964</v>
      </c>
      <c r="D188" s="763" t="str">
        <f t="shared" si="15"/>
        <v>May</v>
      </c>
      <c r="E188" s="484">
        <v>6</v>
      </c>
      <c r="F188" s="472">
        <v>1968</v>
      </c>
      <c r="G188" s="484" t="s">
        <v>110</v>
      </c>
      <c r="H188" s="472" t="s">
        <v>122</v>
      </c>
      <c r="I188" s="486">
        <v>100</v>
      </c>
      <c r="J188" s="486">
        <v>12.3</v>
      </c>
      <c r="K188" s="472">
        <f t="shared" si="16"/>
        <v>13</v>
      </c>
      <c r="L188" s="473">
        <v>0.54861111111111105</v>
      </c>
      <c r="M188" s="474">
        <f t="shared" si="17"/>
        <v>0.54861111111111105</v>
      </c>
      <c r="N188" s="519"/>
      <c r="P188" s="29" t="str">
        <f t="shared" si="18"/>
        <v>1968F0</v>
      </c>
      <c r="Q188" s="29" t="str">
        <f t="shared" si="19"/>
        <v>F013</v>
      </c>
      <c r="R188" s="29" t="str">
        <f t="shared" si="20"/>
        <v>MayF0</v>
      </c>
    </row>
    <row r="189" spans="1:18">
      <c r="A189" s="483">
        <f t="shared" si="21"/>
        <v>185</v>
      </c>
      <c r="B189" s="484">
        <v>4</v>
      </c>
      <c r="C189" s="485">
        <v>24964</v>
      </c>
      <c r="D189" s="763" t="str">
        <f t="shared" si="15"/>
        <v>May</v>
      </c>
      <c r="E189" s="484">
        <v>6</v>
      </c>
      <c r="F189" s="472">
        <v>1968</v>
      </c>
      <c r="G189" s="484" t="s">
        <v>110</v>
      </c>
      <c r="H189" s="472" t="s">
        <v>122</v>
      </c>
      <c r="I189" s="486">
        <v>100</v>
      </c>
      <c r="J189" s="486">
        <v>12.3</v>
      </c>
      <c r="K189" s="472">
        <f t="shared" si="16"/>
        <v>13</v>
      </c>
      <c r="L189" s="473">
        <v>0.54861111111111105</v>
      </c>
      <c r="M189" s="474">
        <f t="shared" si="17"/>
        <v>0.54861111111111105</v>
      </c>
      <c r="N189" s="519"/>
      <c r="P189" s="29" t="str">
        <f t="shared" si="18"/>
        <v>1968F0</v>
      </c>
      <c r="Q189" s="29" t="str">
        <f t="shared" si="19"/>
        <v>F013</v>
      </c>
      <c r="R189" s="29" t="str">
        <f t="shared" si="20"/>
        <v>MayF0</v>
      </c>
    </row>
    <row r="190" spans="1:18">
      <c r="A190" s="483">
        <f t="shared" si="21"/>
        <v>186</v>
      </c>
      <c r="B190" s="484">
        <v>5</v>
      </c>
      <c r="C190" s="485">
        <v>24964</v>
      </c>
      <c r="D190" s="763" t="str">
        <f t="shared" si="15"/>
        <v>May</v>
      </c>
      <c r="E190" s="484">
        <v>6</v>
      </c>
      <c r="F190" s="472">
        <v>1968</v>
      </c>
      <c r="G190" s="484" t="s">
        <v>110</v>
      </c>
      <c r="H190" s="472" t="s">
        <v>125</v>
      </c>
      <c r="I190" s="486">
        <v>100</v>
      </c>
      <c r="J190" s="486">
        <v>0.5</v>
      </c>
      <c r="K190" s="472">
        <f t="shared" si="16"/>
        <v>16</v>
      </c>
      <c r="L190" s="473">
        <v>0.67013888888888884</v>
      </c>
      <c r="M190" s="474">
        <f t="shared" si="17"/>
        <v>0.67013888888888884</v>
      </c>
      <c r="N190" s="519"/>
      <c r="P190" s="29" t="str">
        <f t="shared" si="18"/>
        <v>1968F3</v>
      </c>
      <c r="Q190" s="29" t="str">
        <f t="shared" si="19"/>
        <v>F316</v>
      </c>
      <c r="R190" s="29" t="str">
        <f t="shared" si="20"/>
        <v>MayF3</v>
      </c>
    </row>
    <row r="191" spans="1:18">
      <c r="A191" s="483">
        <f t="shared" si="21"/>
        <v>187</v>
      </c>
      <c r="B191" s="484">
        <v>6</v>
      </c>
      <c r="C191" s="485">
        <v>24968</v>
      </c>
      <c r="D191" s="763" t="str">
        <f t="shared" si="15"/>
        <v>May</v>
      </c>
      <c r="E191" s="484">
        <v>10</v>
      </c>
      <c r="F191" s="472">
        <v>1968</v>
      </c>
      <c r="G191" s="484" t="s">
        <v>107</v>
      </c>
      <c r="H191" s="472" t="s">
        <v>122</v>
      </c>
      <c r="I191" s="486">
        <v>100</v>
      </c>
      <c r="J191" s="486">
        <v>0.5</v>
      </c>
      <c r="K191" s="472">
        <f t="shared" si="16"/>
        <v>18</v>
      </c>
      <c r="L191" s="473">
        <v>0.75</v>
      </c>
      <c r="M191" s="474">
        <f t="shared" si="17"/>
        <v>0.75</v>
      </c>
      <c r="N191" s="519"/>
      <c r="P191" s="29" t="str">
        <f t="shared" si="18"/>
        <v>1968F0</v>
      </c>
      <c r="Q191" s="29" t="str">
        <f t="shared" si="19"/>
        <v>F018</v>
      </c>
      <c r="R191" s="29" t="str">
        <f t="shared" si="20"/>
        <v>MayF0</v>
      </c>
    </row>
    <row r="192" spans="1:18">
      <c r="A192" s="483">
        <f t="shared" si="21"/>
        <v>188</v>
      </c>
      <c r="B192" s="484">
        <v>7</v>
      </c>
      <c r="C192" s="485">
        <v>24988</v>
      </c>
      <c r="D192" s="763" t="str">
        <f t="shared" si="15"/>
        <v>May</v>
      </c>
      <c r="E192" s="484">
        <v>30</v>
      </c>
      <c r="F192" s="472">
        <v>1968</v>
      </c>
      <c r="G192" s="484" t="s">
        <v>107</v>
      </c>
      <c r="H192" s="472" t="s">
        <v>122</v>
      </c>
      <c r="I192" s="486">
        <v>67</v>
      </c>
      <c r="J192" s="486">
        <v>1</v>
      </c>
      <c r="K192" s="472">
        <f t="shared" si="16"/>
        <v>17</v>
      </c>
      <c r="L192" s="473">
        <v>0.71527777777777779</v>
      </c>
      <c r="M192" s="474">
        <f t="shared" si="17"/>
        <v>0.71527777777777779</v>
      </c>
      <c r="N192" s="519"/>
      <c r="P192" s="29" t="str">
        <f t="shared" si="18"/>
        <v>1968F0</v>
      </c>
      <c r="Q192" s="29" t="str">
        <f t="shared" si="19"/>
        <v>F017</v>
      </c>
      <c r="R192" s="29" t="str">
        <f t="shared" si="20"/>
        <v>MayF0</v>
      </c>
    </row>
    <row r="193" spans="1:18">
      <c r="A193" s="483">
        <f t="shared" si="21"/>
        <v>189</v>
      </c>
      <c r="B193" s="484">
        <v>8</v>
      </c>
      <c r="C193" s="485">
        <v>24989</v>
      </c>
      <c r="D193" s="763" t="str">
        <f t="shared" si="15"/>
        <v>May</v>
      </c>
      <c r="E193" s="484">
        <v>31</v>
      </c>
      <c r="F193" s="472">
        <v>1968</v>
      </c>
      <c r="G193" s="484" t="s">
        <v>117</v>
      </c>
      <c r="H193" s="472" t="s">
        <v>122</v>
      </c>
      <c r="I193" s="486">
        <v>17</v>
      </c>
      <c r="J193" s="486">
        <v>0.2</v>
      </c>
      <c r="K193" s="472">
        <f t="shared" si="16"/>
        <v>16</v>
      </c>
      <c r="L193" s="473">
        <v>0.6875</v>
      </c>
      <c r="M193" s="474">
        <f t="shared" si="17"/>
        <v>0.6875</v>
      </c>
      <c r="N193" s="519"/>
      <c r="P193" s="29" t="str">
        <f t="shared" si="18"/>
        <v>1968F0</v>
      </c>
      <c r="Q193" s="29" t="str">
        <f t="shared" si="19"/>
        <v>F016</v>
      </c>
      <c r="R193" s="29" t="str">
        <f t="shared" si="20"/>
        <v>MayF0</v>
      </c>
    </row>
    <row r="194" spans="1:18">
      <c r="A194" s="483">
        <f t="shared" si="21"/>
        <v>190</v>
      </c>
      <c r="B194" s="484">
        <v>9</v>
      </c>
      <c r="C194" s="485">
        <v>24995</v>
      </c>
      <c r="D194" s="763" t="str">
        <f t="shared" si="15"/>
        <v>June</v>
      </c>
      <c r="E194" s="484">
        <v>6</v>
      </c>
      <c r="F194" s="472">
        <v>1968</v>
      </c>
      <c r="G194" s="484" t="s">
        <v>105</v>
      </c>
      <c r="H194" s="472" t="s">
        <v>122</v>
      </c>
      <c r="I194" s="486">
        <v>10</v>
      </c>
      <c r="J194" s="486">
        <v>0.1</v>
      </c>
      <c r="K194" s="472">
        <f t="shared" si="16"/>
        <v>16</v>
      </c>
      <c r="L194" s="473">
        <v>0.67708333333333337</v>
      </c>
      <c r="M194" s="474">
        <f t="shared" si="17"/>
        <v>0.67708333333333337</v>
      </c>
      <c r="N194" s="519"/>
      <c r="P194" s="29" t="str">
        <f t="shared" si="18"/>
        <v>1968F0</v>
      </c>
      <c r="Q194" s="29" t="str">
        <f t="shared" si="19"/>
        <v>F016</v>
      </c>
      <c r="R194" s="29" t="str">
        <f t="shared" si="20"/>
        <v>JuneF0</v>
      </c>
    </row>
    <row r="195" spans="1:18">
      <c r="A195" s="483">
        <f t="shared" si="21"/>
        <v>191</v>
      </c>
      <c r="B195" s="484">
        <v>10</v>
      </c>
      <c r="C195" s="485">
        <v>24996</v>
      </c>
      <c r="D195" s="763" t="str">
        <f t="shared" si="15"/>
        <v>June</v>
      </c>
      <c r="E195" s="484">
        <v>7</v>
      </c>
      <c r="F195" s="472">
        <v>1968</v>
      </c>
      <c r="G195" s="484" t="s">
        <v>103</v>
      </c>
      <c r="H195" s="472" t="s">
        <v>122</v>
      </c>
      <c r="I195" s="486">
        <v>33</v>
      </c>
      <c r="J195" s="486">
        <v>0.5</v>
      </c>
      <c r="K195" s="472">
        <f t="shared" si="16"/>
        <v>21</v>
      </c>
      <c r="L195" s="473">
        <v>0.89236111111111116</v>
      </c>
      <c r="M195" s="474">
        <f t="shared" si="17"/>
        <v>0.89236111111111116</v>
      </c>
      <c r="N195" s="519"/>
      <c r="P195" s="29" t="str">
        <f t="shared" si="18"/>
        <v>1968F0</v>
      </c>
      <c r="Q195" s="29" t="str">
        <f t="shared" si="19"/>
        <v>F021</v>
      </c>
      <c r="R195" s="29" t="str">
        <f t="shared" si="20"/>
        <v>JuneF0</v>
      </c>
    </row>
    <row r="196" spans="1:18">
      <c r="A196" s="483">
        <f t="shared" si="21"/>
        <v>192</v>
      </c>
      <c r="B196" s="484">
        <v>11</v>
      </c>
      <c r="C196" s="485">
        <v>24997</v>
      </c>
      <c r="D196" s="763" t="str">
        <f t="shared" si="15"/>
        <v>June</v>
      </c>
      <c r="E196" s="484">
        <v>8</v>
      </c>
      <c r="F196" s="472">
        <v>1968</v>
      </c>
      <c r="G196" s="484" t="s">
        <v>101</v>
      </c>
      <c r="H196" s="472" t="s">
        <v>124</v>
      </c>
      <c r="I196" s="486">
        <v>33</v>
      </c>
      <c r="J196" s="486">
        <v>0.8</v>
      </c>
      <c r="K196" s="472">
        <f t="shared" si="16"/>
        <v>17</v>
      </c>
      <c r="L196" s="473">
        <v>0.72916666666666663</v>
      </c>
      <c r="M196" s="474">
        <f t="shared" si="17"/>
        <v>0.72916666666666663</v>
      </c>
      <c r="N196" s="519"/>
      <c r="P196" s="29" t="str">
        <f t="shared" si="18"/>
        <v>1968F2</v>
      </c>
      <c r="Q196" s="29" t="str">
        <f t="shared" si="19"/>
        <v>F217</v>
      </c>
      <c r="R196" s="29" t="str">
        <f t="shared" si="20"/>
        <v>JuneF2</v>
      </c>
    </row>
    <row r="197" spans="1:18">
      <c r="A197" s="483">
        <f t="shared" si="21"/>
        <v>193</v>
      </c>
      <c r="B197" s="484">
        <v>12</v>
      </c>
      <c r="C197" s="485">
        <v>24998</v>
      </c>
      <c r="D197" s="763" t="str">
        <f t="shared" ref="D197:D260" si="22">+TEXT(C197,"mmmm")</f>
        <v>June</v>
      </c>
      <c r="E197" s="484">
        <v>9</v>
      </c>
      <c r="F197" s="472">
        <v>1968</v>
      </c>
      <c r="G197" s="484" t="s">
        <v>119</v>
      </c>
      <c r="H197" s="472" t="s">
        <v>122</v>
      </c>
      <c r="I197" s="486">
        <v>17</v>
      </c>
      <c r="J197" s="486">
        <v>1</v>
      </c>
      <c r="K197" s="472">
        <f t="shared" ref="K197:K216" si="23">HOUR(M197)</f>
        <v>8</v>
      </c>
      <c r="L197" s="473">
        <v>0.35416666666666669</v>
      </c>
      <c r="M197" s="474">
        <f t="shared" ref="M197:M256" si="24">+L197</f>
        <v>0.35416666666666669</v>
      </c>
      <c r="N197" s="519"/>
      <c r="P197" s="29" t="str">
        <f t="shared" si="18"/>
        <v>1968F0</v>
      </c>
      <c r="Q197" s="29" t="str">
        <f t="shared" si="19"/>
        <v>F08</v>
      </c>
      <c r="R197" s="29" t="str">
        <f t="shared" si="20"/>
        <v>JuneF0</v>
      </c>
    </row>
    <row r="198" spans="1:18">
      <c r="A198" s="483">
        <f t="shared" si="21"/>
        <v>194</v>
      </c>
      <c r="B198" s="484">
        <v>13</v>
      </c>
      <c r="C198" s="485">
        <v>24998</v>
      </c>
      <c r="D198" s="763" t="str">
        <f t="shared" si="22"/>
        <v>June</v>
      </c>
      <c r="E198" s="484">
        <v>9</v>
      </c>
      <c r="F198" s="472">
        <v>1968</v>
      </c>
      <c r="G198" s="484" t="s">
        <v>111</v>
      </c>
      <c r="H198" s="472" t="s">
        <v>123</v>
      </c>
      <c r="I198" s="486">
        <v>100</v>
      </c>
      <c r="J198" s="486">
        <v>0.1</v>
      </c>
      <c r="K198" s="472">
        <f t="shared" si="23"/>
        <v>13</v>
      </c>
      <c r="L198" s="473">
        <v>0.5625</v>
      </c>
      <c r="M198" s="474">
        <f t="shared" si="24"/>
        <v>0.5625</v>
      </c>
      <c r="N198" s="519"/>
      <c r="P198" s="29" t="str">
        <f t="shared" ref="P198:P261" si="25">CONCATENATE(F198,H198)</f>
        <v>1968F1</v>
      </c>
      <c r="Q198" s="29" t="str">
        <f t="shared" ref="Q198:Q261" si="26">CONCATENATE(H198,K198)</f>
        <v>F113</v>
      </c>
      <c r="R198" s="29" t="str">
        <f t="shared" ref="R198:R261" si="27">CONCATENATE(D198,H198)</f>
        <v>JuneF1</v>
      </c>
    </row>
    <row r="199" spans="1:18">
      <c r="A199" s="483">
        <f t="shared" ref="A199:A262" si="28">+A198+1</f>
        <v>195</v>
      </c>
      <c r="B199" s="484">
        <v>14</v>
      </c>
      <c r="C199" s="485">
        <v>25028</v>
      </c>
      <c r="D199" s="763" t="str">
        <f t="shared" si="22"/>
        <v>July</v>
      </c>
      <c r="E199" s="484">
        <v>9</v>
      </c>
      <c r="F199" s="472">
        <v>1968</v>
      </c>
      <c r="G199" s="484" t="s">
        <v>100</v>
      </c>
      <c r="H199" s="472" t="s">
        <v>122</v>
      </c>
      <c r="I199" s="486">
        <v>10</v>
      </c>
      <c r="J199" s="486">
        <v>0.1</v>
      </c>
      <c r="K199" s="472">
        <f t="shared" si="23"/>
        <v>18</v>
      </c>
      <c r="L199" s="473">
        <v>0.76041666666666663</v>
      </c>
      <c r="M199" s="474">
        <f t="shared" si="24"/>
        <v>0.76041666666666663</v>
      </c>
      <c r="N199" s="519"/>
      <c r="P199" s="29" t="str">
        <f t="shared" si="25"/>
        <v>1968F0</v>
      </c>
      <c r="Q199" s="29" t="str">
        <f t="shared" si="26"/>
        <v>F018</v>
      </c>
      <c r="R199" s="29" t="str">
        <f t="shared" si="27"/>
        <v>JulyF0</v>
      </c>
    </row>
    <row r="200" spans="1:18">
      <c r="A200" s="483">
        <f t="shared" si="28"/>
        <v>196</v>
      </c>
      <c r="B200" s="484">
        <v>15</v>
      </c>
      <c r="C200" s="485">
        <v>25036</v>
      </c>
      <c r="D200" s="763" t="str">
        <f t="shared" si="22"/>
        <v>July</v>
      </c>
      <c r="E200" s="484">
        <v>17</v>
      </c>
      <c r="F200" s="472">
        <v>1968</v>
      </c>
      <c r="G200" s="484" t="s">
        <v>114</v>
      </c>
      <c r="H200" s="472" t="s">
        <v>122</v>
      </c>
      <c r="I200" s="486">
        <v>100</v>
      </c>
      <c r="J200" s="486">
        <v>0.5</v>
      </c>
      <c r="K200" s="472">
        <f t="shared" si="23"/>
        <v>17</v>
      </c>
      <c r="L200" s="473">
        <v>0.72916666666666663</v>
      </c>
      <c r="M200" s="474">
        <f t="shared" si="24"/>
        <v>0.72916666666666663</v>
      </c>
      <c r="N200" s="519"/>
      <c r="P200" s="29" t="str">
        <f t="shared" si="25"/>
        <v>1968F0</v>
      </c>
      <c r="Q200" s="29" t="str">
        <f t="shared" si="26"/>
        <v>F017</v>
      </c>
      <c r="R200" s="29" t="str">
        <f t="shared" si="27"/>
        <v>JulyF0</v>
      </c>
    </row>
    <row r="201" spans="1:18">
      <c r="A201" s="483">
        <f t="shared" si="28"/>
        <v>197</v>
      </c>
      <c r="B201" s="484">
        <v>16</v>
      </c>
      <c r="C201" s="485">
        <v>25036</v>
      </c>
      <c r="D201" s="763" t="str">
        <f t="shared" si="22"/>
        <v>July</v>
      </c>
      <c r="E201" s="484">
        <v>17</v>
      </c>
      <c r="F201" s="472">
        <v>1968</v>
      </c>
      <c r="G201" s="484" t="s">
        <v>114</v>
      </c>
      <c r="H201" s="472" t="s">
        <v>122</v>
      </c>
      <c r="I201" s="486">
        <v>33</v>
      </c>
      <c r="J201" s="486">
        <v>4.5</v>
      </c>
      <c r="K201" s="472">
        <f t="shared" si="23"/>
        <v>20</v>
      </c>
      <c r="L201" s="473">
        <v>0.83472222222222225</v>
      </c>
      <c r="M201" s="474">
        <f t="shared" si="24"/>
        <v>0.83472222222222225</v>
      </c>
      <c r="N201" s="519"/>
      <c r="P201" s="29" t="str">
        <f t="shared" si="25"/>
        <v>1968F0</v>
      </c>
      <c r="Q201" s="29" t="str">
        <f t="shared" si="26"/>
        <v>F020</v>
      </c>
      <c r="R201" s="29" t="str">
        <f t="shared" si="27"/>
        <v>JulyF0</v>
      </c>
    </row>
    <row r="202" spans="1:18">
      <c r="A202" s="483">
        <f t="shared" si="28"/>
        <v>198</v>
      </c>
      <c r="B202" s="484">
        <v>17</v>
      </c>
      <c r="C202" s="485">
        <v>25036</v>
      </c>
      <c r="D202" s="763" t="str">
        <f t="shared" si="22"/>
        <v>July</v>
      </c>
      <c r="E202" s="484">
        <v>17</v>
      </c>
      <c r="F202" s="472">
        <v>1968</v>
      </c>
      <c r="G202" s="484" t="s">
        <v>114</v>
      </c>
      <c r="H202" s="472" t="s">
        <v>122</v>
      </c>
      <c r="I202" s="486">
        <v>33</v>
      </c>
      <c r="J202" s="486">
        <v>3.6</v>
      </c>
      <c r="K202" s="472">
        <f t="shared" si="23"/>
        <v>20</v>
      </c>
      <c r="L202" s="473">
        <v>0.83472222222222225</v>
      </c>
      <c r="M202" s="474">
        <f t="shared" si="24"/>
        <v>0.83472222222222225</v>
      </c>
      <c r="N202" s="519"/>
      <c r="P202" s="29" t="str">
        <f t="shared" si="25"/>
        <v>1968F0</v>
      </c>
      <c r="Q202" s="29" t="str">
        <f t="shared" si="26"/>
        <v>F020</v>
      </c>
      <c r="R202" s="29" t="str">
        <f t="shared" si="27"/>
        <v>JulyF0</v>
      </c>
    </row>
    <row r="203" spans="1:18">
      <c r="A203" s="483">
        <f t="shared" si="28"/>
        <v>199</v>
      </c>
      <c r="B203" s="484">
        <v>18</v>
      </c>
      <c r="C203" s="485">
        <v>25036</v>
      </c>
      <c r="D203" s="763" t="str">
        <f t="shared" si="22"/>
        <v>July</v>
      </c>
      <c r="E203" s="484">
        <v>17</v>
      </c>
      <c r="F203" s="472">
        <v>1968</v>
      </c>
      <c r="G203" s="484" t="s">
        <v>116</v>
      </c>
      <c r="H203" s="472" t="s">
        <v>122</v>
      </c>
      <c r="I203" s="486">
        <v>10</v>
      </c>
      <c r="J203" s="486">
        <v>0.1</v>
      </c>
      <c r="K203" s="472">
        <f t="shared" si="23"/>
        <v>20</v>
      </c>
      <c r="L203" s="473">
        <v>0.85763888888888884</v>
      </c>
      <c r="M203" s="474">
        <f t="shared" si="24"/>
        <v>0.85763888888888884</v>
      </c>
      <c r="N203" s="519"/>
      <c r="P203" s="29" t="str">
        <f t="shared" si="25"/>
        <v>1968F0</v>
      </c>
      <c r="Q203" s="29" t="str">
        <f t="shared" si="26"/>
        <v>F020</v>
      </c>
      <c r="R203" s="29" t="str">
        <f t="shared" si="27"/>
        <v>JulyF0</v>
      </c>
    </row>
    <row r="204" spans="1:18">
      <c r="A204" s="483">
        <f t="shared" si="28"/>
        <v>200</v>
      </c>
      <c r="B204" s="484">
        <v>19</v>
      </c>
      <c r="C204" s="485">
        <v>25064</v>
      </c>
      <c r="D204" s="763" t="str">
        <f t="shared" si="22"/>
        <v>August</v>
      </c>
      <c r="E204" s="484">
        <v>14</v>
      </c>
      <c r="F204" s="472">
        <v>1968</v>
      </c>
      <c r="G204" s="484" t="s">
        <v>107</v>
      </c>
      <c r="H204" s="472" t="s">
        <v>123</v>
      </c>
      <c r="I204" s="486">
        <v>17</v>
      </c>
      <c r="J204" s="486">
        <v>1</v>
      </c>
      <c r="K204" s="472">
        <f t="shared" si="23"/>
        <v>14</v>
      </c>
      <c r="L204" s="473">
        <v>0.58333333333333337</v>
      </c>
      <c r="M204" s="474">
        <f t="shared" si="24"/>
        <v>0.58333333333333337</v>
      </c>
      <c r="N204" s="519"/>
      <c r="P204" s="29" t="str">
        <f t="shared" si="25"/>
        <v>1968F1</v>
      </c>
      <c r="Q204" s="29" t="str">
        <f t="shared" si="26"/>
        <v>F114</v>
      </c>
      <c r="R204" s="29" t="str">
        <f t="shared" si="27"/>
        <v>AugustF1</v>
      </c>
    </row>
    <row r="205" spans="1:18">
      <c r="A205" s="483">
        <f t="shared" si="28"/>
        <v>201</v>
      </c>
      <c r="B205" s="484">
        <v>20</v>
      </c>
      <c r="C205" s="485">
        <v>25064</v>
      </c>
      <c r="D205" s="763" t="str">
        <f t="shared" si="22"/>
        <v>August</v>
      </c>
      <c r="E205" s="484">
        <v>14</v>
      </c>
      <c r="F205" s="472">
        <v>1968</v>
      </c>
      <c r="G205" s="484" t="s">
        <v>113</v>
      </c>
      <c r="H205" s="472" t="s">
        <v>122</v>
      </c>
      <c r="I205" s="486">
        <v>17</v>
      </c>
      <c r="J205" s="486">
        <v>0.2</v>
      </c>
      <c r="K205" s="472">
        <f t="shared" si="23"/>
        <v>16</v>
      </c>
      <c r="L205" s="473">
        <v>0.69444444444444453</v>
      </c>
      <c r="M205" s="474">
        <f t="shared" si="24"/>
        <v>0.69444444444444453</v>
      </c>
      <c r="N205" s="519"/>
      <c r="P205" s="29" t="str">
        <f t="shared" si="25"/>
        <v>1968F0</v>
      </c>
      <c r="Q205" s="29" t="str">
        <f t="shared" si="26"/>
        <v>F016</v>
      </c>
      <c r="R205" s="29" t="str">
        <f t="shared" si="27"/>
        <v>AugustF0</v>
      </c>
    </row>
    <row r="206" spans="1:18">
      <c r="A206" s="483">
        <f t="shared" si="28"/>
        <v>202</v>
      </c>
      <c r="B206" s="484">
        <v>21</v>
      </c>
      <c r="C206" s="485">
        <v>25119</v>
      </c>
      <c r="D206" s="763" t="str">
        <f t="shared" si="22"/>
        <v>October</v>
      </c>
      <c r="E206" s="484">
        <v>8</v>
      </c>
      <c r="F206" s="472">
        <v>1968</v>
      </c>
      <c r="G206" s="484" t="s">
        <v>110</v>
      </c>
      <c r="H206" s="472" t="s">
        <v>122</v>
      </c>
      <c r="I206" s="486">
        <v>13</v>
      </c>
      <c r="J206" s="486">
        <v>0.1</v>
      </c>
      <c r="K206" s="472">
        <f t="shared" si="23"/>
        <v>15</v>
      </c>
      <c r="L206" s="473">
        <v>0.63888888888888895</v>
      </c>
      <c r="M206" s="474">
        <f t="shared" si="24"/>
        <v>0.63888888888888895</v>
      </c>
      <c r="N206" s="519"/>
      <c r="P206" s="29" t="str">
        <f t="shared" si="25"/>
        <v>1968F0</v>
      </c>
      <c r="Q206" s="29" t="str">
        <f t="shared" si="26"/>
        <v>F015</v>
      </c>
      <c r="R206" s="29" t="str">
        <f t="shared" si="27"/>
        <v>OctoberF0</v>
      </c>
    </row>
    <row r="207" spans="1:18">
      <c r="A207" s="483">
        <f t="shared" si="28"/>
        <v>203</v>
      </c>
      <c r="B207" s="484">
        <v>22</v>
      </c>
      <c r="C207" s="485">
        <v>25120</v>
      </c>
      <c r="D207" s="763" t="str">
        <f t="shared" si="22"/>
        <v>October</v>
      </c>
      <c r="E207" s="484">
        <v>9</v>
      </c>
      <c r="F207" s="472">
        <v>1968</v>
      </c>
      <c r="G207" s="484" t="s">
        <v>105</v>
      </c>
      <c r="H207" s="472" t="s">
        <v>122</v>
      </c>
      <c r="I207" s="486">
        <v>17</v>
      </c>
      <c r="J207" s="486">
        <v>0.1</v>
      </c>
      <c r="K207" s="472">
        <f t="shared" si="23"/>
        <v>20</v>
      </c>
      <c r="L207" s="473">
        <v>0.83333333333333337</v>
      </c>
      <c r="M207" s="474">
        <f t="shared" si="24"/>
        <v>0.83333333333333337</v>
      </c>
      <c r="N207" s="519"/>
      <c r="P207" s="29" t="str">
        <f t="shared" si="25"/>
        <v>1968F0</v>
      </c>
      <c r="Q207" s="29" t="str">
        <f t="shared" si="26"/>
        <v>F020</v>
      </c>
      <c r="R207" s="29" t="str">
        <f t="shared" si="27"/>
        <v>OctoberF0</v>
      </c>
    </row>
    <row r="208" spans="1:18">
      <c r="A208" s="483">
        <f t="shared" si="28"/>
        <v>204</v>
      </c>
      <c r="B208" s="484">
        <v>1</v>
      </c>
      <c r="C208" s="485">
        <v>25325</v>
      </c>
      <c r="D208" s="763" t="str">
        <f t="shared" si="22"/>
        <v>May</v>
      </c>
      <c r="E208" s="484">
        <v>2</v>
      </c>
      <c r="F208" s="472">
        <v>1969</v>
      </c>
      <c r="G208" s="484" t="s">
        <v>113</v>
      </c>
      <c r="H208" s="472" t="s">
        <v>124</v>
      </c>
      <c r="I208" s="486">
        <v>50</v>
      </c>
      <c r="J208" s="486">
        <v>0.1</v>
      </c>
      <c r="K208" s="472">
        <f t="shared" si="23"/>
        <v>16</v>
      </c>
      <c r="L208" s="473">
        <v>0.66666666666666663</v>
      </c>
      <c r="M208" s="474">
        <f t="shared" si="24"/>
        <v>0.66666666666666663</v>
      </c>
      <c r="N208" s="519"/>
      <c r="P208" s="29" t="str">
        <f t="shared" si="25"/>
        <v>1969F2</v>
      </c>
      <c r="Q208" s="29" t="str">
        <f t="shared" si="26"/>
        <v>F216</v>
      </c>
      <c r="R208" s="29" t="str">
        <f t="shared" si="27"/>
        <v>MayF2</v>
      </c>
    </row>
    <row r="209" spans="1:18">
      <c r="A209" s="483">
        <f t="shared" si="28"/>
        <v>205</v>
      </c>
      <c r="B209" s="484">
        <v>2</v>
      </c>
      <c r="C209" s="485">
        <v>25325</v>
      </c>
      <c r="D209" s="763" t="str">
        <f t="shared" si="22"/>
        <v>May</v>
      </c>
      <c r="E209" s="484">
        <v>2</v>
      </c>
      <c r="F209" s="472">
        <v>1969</v>
      </c>
      <c r="G209" s="484" t="s">
        <v>118</v>
      </c>
      <c r="H209" s="472" t="s">
        <v>122</v>
      </c>
      <c r="I209" s="486">
        <v>33</v>
      </c>
      <c r="J209" s="486">
        <v>0.2</v>
      </c>
      <c r="K209" s="472">
        <f t="shared" si="23"/>
        <v>16</v>
      </c>
      <c r="L209" s="473">
        <v>0.6694444444444444</v>
      </c>
      <c r="M209" s="474">
        <f t="shared" si="24"/>
        <v>0.6694444444444444</v>
      </c>
      <c r="N209" s="519"/>
      <c r="P209" s="29" t="str">
        <f t="shared" si="25"/>
        <v>1969F0</v>
      </c>
      <c r="Q209" s="29" t="str">
        <f t="shared" si="26"/>
        <v>F016</v>
      </c>
      <c r="R209" s="29" t="str">
        <f t="shared" si="27"/>
        <v>MayF0</v>
      </c>
    </row>
    <row r="210" spans="1:18">
      <c r="A210" s="483">
        <f t="shared" si="28"/>
        <v>206</v>
      </c>
      <c r="B210" s="484">
        <v>3</v>
      </c>
      <c r="C210" s="485">
        <v>25325</v>
      </c>
      <c r="D210" s="763" t="str">
        <f t="shared" si="22"/>
        <v>May</v>
      </c>
      <c r="E210" s="484">
        <v>2</v>
      </c>
      <c r="F210" s="472">
        <v>1969</v>
      </c>
      <c r="G210" s="484" t="s">
        <v>118</v>
      </c>
      <c r="H210" s="472" t="s">
        <v>122</v>
      </c>
      <c r="I210" s="486">
        <v>33</v>
      </c>
      <c r="J210" s="486">
        <v>0.2</v>
      </c>
      <c r="K210" s="472">
        <f t="shared" si="23"/>
        <v>16</v>
      </c>
      <c r="L210" s="473">
        <v>0.6875</v>
      </c>
      <c r="M210" s="474">
        <f t="shared" si="24"/>
        <v>0.6875</v>
      </c>
      <c r="N210" s="519"/>
      <c r="P210" s="29" t="str">
        <f t="shared" si="25"/>
        <v>1969F0</v>
      </c>
      <c r="Q210" s="29" t="str">
        <f t="shared" si="26"/>
        <v>F016</v>
      </c>
      <c r="R210" s="29" t="str">
        <f t="shared" si="27"/>
        <v>MayF0</v>
      </c>
    </row>
    <row r="211" spans="1:18">
      <c r="A211" s="483">
        <f t="shared" si="28"/>
        <v>207</v>
      </c>
      <c r="B211" s="484">
        <v>4</v>
      </c>
      <c r="C211" s="485">
        <v>25335</v>
      </c>
      <c r="D211" s="763" t="str">
        <f t="shared" si="22"/>
        <v>May</v>
      </c>
      <c r="E211" s="484">
        <v>12</v>
      </c>
      <c r="F211" s="472">
        <v>1969</v>
      </c>
      <c r="G211" s="484" t="s">
        <v>110</v>
      </c>
      <c r="H211" s="472" t="s">
        <v>122</v>
      </c>
      <c r="I211" s="486">
        <v>33</v>
      </c>
      <c r="J211" s="486">
        <v>0.1</v>
      </c>
      <c r="K211" s="472">
        <f t="shared" si="23"/>
        <v>17</v>
      </c>
      <c r="L211" s="473">
        <v>0.72222222222222221</v>
      </c>
      <c r="M211" s="474">
        <f t="shared" si="24"/>
        <v>0.72222222222222221</v>
      </c>
      <c r="N211" s="519"/>
      <c r="P211" s="29" t="str">
        <f t="shared" si="25"/>
        <v>1969F0</v>
      </c>
      <c r="Q211" s="29" t="str">
        <f t="shared" si="26"/>
        <v>F017</v>
      </c>
      <c r="R211" s="29" t="str">
        <f t="shared" si="27"/>
        <v>MayF0</v>
      </c>
    </row>
    <row r="212" spans="1:18">
      <c r="A212" s="483">
        <f t="shared" si="28"/>
        <v>208</v>
      </c>
      <c r="B212" s="484">
        <v>5</v>
      </c>
      <c r="C212" s="485">
        <v>25335</v>
      </c>
      <c r="D212" s="763" t="str">
        <f t="shared" si="22"/>
        <v>May</v>
      </c>
      <c r="E212" s="484">
        <v>12</v>
      </c>
      <c r="F212" s="472">
        <v>1969</v>
      </c>
      <c r="G212" s="484" t="s">
        <v>116</v>
      </c>
      <c r="H212" s="472" t="s">
        <v>122</v>
      </c>
      <c r="I212" s="486">
        <v>33</v>
      </c>
      <c r="J212" s="486">
        <v>0.1</v>
      </c>
      <c r="K212" s="472">
        <f t="shared" si="23"/>
        <v>19</v>
      </c>
      <c r="L212" s="473">
        <v>0.79166666666666663</v>
      </c>
      <c r="M212" s="474">
        <f t="shared" si="24"/>
        <v>0.79166666666666663</v>
      </c>
      <c r="N212" s="519"/>
      <c r="P212" s="29" t="str">
        <f t="shared" si="25"/>
        <v>1969F0</v>
      </c>
      <c r="Q212" s="29" t="str">
        <f t="shared" si="26"/>
        <v>F019</v>
      </c>
      <c r="R212" s="29" t="str">
        <f t="shared" si="27"/>
        <v>MayF0</v>
      </c>
    </row>
    <row r="213" spans="1:18">
      <c r="A213" s="483">
        <f t="shared" si="28"/>
        <v>209</v>
      </c>
      <c r="B213" s="484">
        <v>6</v>
      </c>
      <c r="C213" s="485">
        <v>25335</v>
      </c>
      <c r="D213" s="763" t="str">
        <f t="shared" si="22"/>
        <v>May</v>
      </c>
      <c r="E213" s="484">
        <v>12</v>
      </c>
      <c r="F213" s="472">
        <v>1969</v>
      </c>
      <c r="G213" s="484" t="s">
        <v>116</v>
      </c>
      <c r="H213" s="472" t="s">
        <v>122</v>
      </c>
      <c r="I213" s="486">
        <v>10</v>
      </c>
      <c r="J213" s="486">
        <v>0.1</v>
      </c>
      <c r="K213" s="472">
        <f t="shared" si="23"/>
        <v>23</v>
      </c>
      <c r="L213" s="473">
        <v>0.97222222222222221</v>
      </c>
      <c r="M213" s="474">
        <f t="shared" si="24"/>
        <v>0.97222222222222221</v>
      </c>
      <c r="N213" s="519"/>
      <c r="P213" s="29" t="str">
        <f t="shared" si="25"/>
        <v>1969F0</v>
      </c>
      <c r="Q213" s="29" t="str">
        <f t="shared" si="26"/>
        <v>F023</v>
      </c>
      <c r="R213" s="29" t="str">
        <f t="shared" si="27"/>
        <v>MayF0</v>
      </c>
    </row>
    <row r="214" spans="1:18">
      <c r="A214" s="483">
        <f t="shared" si="28"/>
        <v>210</v>
      </c>
      <c r="B214" s="484">
        <v>7</v>
      </c>
      <c r="C214" s="485">
        <v>25336</v>
      </c>
      <c r="D214" s="763" t="str">
        <f t="shared" si="22"/>
        <v>May</v>
      </c>
      <c r="E214" s="484">
        <v>13</v>
      </c>
      <c r="F214" s="472">
        <v>1969</v>
      </c>
      <c r="G214" s="484" t="s">
        <v>116</v>
      </c>
      <c r="H214" s="472" t="s">
        <v>122</v>
      </c>
      <c r="I214" s="486">
        <v>10</v>
      </c>
      <c r="J214" s="486">
        <v>0.1</v>
      </c>
      <c r="K214" s="472">
        <f t="shared" si="23"/>
        <v>18</v>
      </c>
      <c r="L214" s="473">
        <v>0.78125</v>
      </c>
      <c r="M214" s="474">
        <f t="shared" si="24"/>
        <v>0.78125</v>
      </c>
      <c r="N214" s="519"/>
      <c r="P214" s="29" t="str">
        <f t="shared" si="25"/>
        <v>1969F0</v>
      </c>
      <c r="Q214" s="29" t="str">
        <f t="shared" si="26"/>
        <v>F018</v>
      </c>
      <c r="R214" s="29" t="str">
        <f t="shared" si="27"/>
        <v>MayF0</v>
      </c>
    </row>
    <row r="215" spans="1:18">
      <c r="A215" s="483">
        <f t="shared" si="28"/>
        <v>211</v>
      </c>
      <c r="B215" s="484">
        <v>8</v>
      </c>
      <c r="C215" s="485">
        <v>25337</v>
      </c>
      <c r="D215" s="763" t="str">
        <f t="shared" si="22"/>
        <v>May</v>
      </c>
      <c r="E215" s="484">
        <v>14</v>
      </c>
      <c r="F215" s="472">
        <v>1969</v>
      </c>
      <c r="G215" s="484" t="s">
        <v>103</v>
      </c>
      <c r="H215" s="472" t="s">
        <v>122</v>
      </c>
      <c r="I215" s="486">
        <v>17</v>
      </c>
      <c r="J215" s="486">
        <v>0.1</v>
      </c>
      <c r="K215" s="472">
        <f t="shared" si="23"/>
        <v>19</v>
      </c>
      <c r="L215" s="473">
        <v>0.79861111111111116</v>
      </c>
      <c r="M215" s="474">
        <f t="shared" si="24"/>
        <v>0.79861111111111116</v>
      </c>
      <c r="N215" s="519"/>
      <c r="P215" s="29" t="str">
        <f t="shared" si="25"/>
        <v>1969F0</v>
      </c>
      <c r="Q215" s="29" t="str">
        <f t="shared" si="26"/>
        <v>F019</v>
      </c>
      <c r="R215" s="29" t="str">
        <f t="shared" si="27"/>
        <v>MayF0</v>
      </c>
    </row>
    <row r="216" spans="1:18">
      <c r="A216" s="483">
        <f t="shared" si="28"/>
        <v>212</v>
      </c>
      <c r="B216" s="484">
        <v>9</v>
      </c>
      <c r="C216" s="485">
        <v>25338</v>
      </c>
      <c r="D216" s="763" t="str">
        <f t="shared" si="22"/>
        <v>May</v>
      </c>
      <c r="E216" s="484">
        <v>15</v>
      </c>
      <c r="F216" s="472">
        <v>1969</v>
      </c>
      <c r="G216" s="484" t="s">
        <v>118</v>
      </c>
      <c r="H216" s="472" t="s">
        <v>122</v>
      </c>
      <c r="I216" s="486">
        <v>33</v>
      </c>
      <c r="J216" s="486">
        <v>0.5</v>
      </c>
      <c r="K216" s="472">
        <f t="shared" si="23"/>
        <v>15</v>
      </c>
      <c r="L216" s="473">
        <v>0.625</v>
      </c>
      <c r="M216" s="474">
        <f t="shared" si="24"/>
        <v>0.625</v>
      </c>
      <c r="N216" s="519"/>
      <c r="P216" s="29" t="str">
        <f t="shared" si="25"/>
        <v>1969F0</v>
      </c>
      <c r="Q216" s="29" t="str">
        <f t="shared" si="26"/>
        <v>F015</v>
      </c>
      <c r="R216" s="29" t="str">
        <f t="shared" si="27"/>
        <v>MayF0</v>
      </c>
    </row>
    <row r="217" spans="1:18">
      <c r="A217" s="483">
        <f t="shared" si="28"/>
        <v>213</v>
      </c>
      <c r="B217" s="484">
        <v>10</v>
      </c>
      <c r="C217" s="485">
        <v>25339</v>
      </c>
      <c r="D217" s="763" t="str">
        <f t="shared" si="22"/>
        <v>May</v>
      </c>
      <c r="E217" s="484">
        <v>16</v>
      </c>
      <c r="F217" s="472">
        <v>1969</v>
      </c>
      <c r="G217" s="484" t="s">
        <v>107</v>
      </c>
      <c r="H217" s="472" t="s">
        <v>122</v>
      </c>
      <c r="I217" s="486">
        <v>33</v>
      </c>
      <c r="J217" s="486">
        <v>1</v>
      </c>
      <c r="K217" s="472">
        <v>4</v>
      </c>
      <c r="L217" s="473">
        <v>0.60416666666666663</v>
      </c>
      <c r="M217" s="474">
        <f t="shared" si="24"/>
        <v>0.60416666666666663</v>
      </c>
      <c r="N217" s="519"/>
      <c r="P217" s="29" t="str">
        <f t="shared" si="25"/>
        <v>1969F0</v>
      </c>
      <c r="Q217" s="29" t="str">
        <f t="shared" si="26"/>
        <v>F04</v>
      </c>
      <c r="R217" s="29" t="str">
        <f t="shared" si="27"/>
        <v>MayF0</v>
      </c>
    </row>
    <row r="218" spans="1:18">
      <c r="A218" s="483">
        <f t="shared" si="28"/>
        <v>214</v>
      </c>
      <c r="B218" s="484">
        <v>11</v>
      </c>
      <c r="C218" s="485">
        <v>25339</v>
      </c>
      <c r="D218" s="763" t="str">
        <f t="shared" si="22"/>
        <v>May</v>
      </c>
      <c r="E218" s="484">
        <v>16</v>
      </c>
      <c r="F218" s="472">
        <v>1969</v>
      </c>
      <c r="G218" s="484" t="s">
        <v>115</v>
      </c>
      <c r="H218" s="472" t="s">
        <v>122</v>
      </c>
      <c r="I218" s="486">
        <v>33</v>
      </c>
      <c r="J218" s="486">
        <v>0.1</v>
      </c>
      <c r="K218" s="472">
        <f t="shared" ref="K218:K277" si="29">HOUR(M218)</f>
        <v>14</v>
      </c>
      <c r="L218" s="473">
        <v>0.61111111111111105</v>
      </c>
      <c r="M218" s="474">
        <f t="shared" si="24"/>
        <v>0.61111111111111105</v>
      </c>
      <c r="N218" s="519"/>
      <c r="P218" s="29" t="str">
        <f t="shared" si="25"/>
        <v>1969F0</v>
      </c>
      <c r="Q218" s="29" t="str">
        <f t="shared" si="26"/>
        <v>F014</v>
      </c>
      <c r="R218" s="29" t="str">
        <f t="shared" si="27"/>
        <v>MayF0</v>
      </c>
    </row>
    <row r="219" spans="1:18">
      <c r="A219" s="483">
        <f t="shared" si="28"/>
        <v>215</v>
      </c>
      <c r="B219" s="484">
        <v>12</v>
      </c>
      <c r="C219" s="485">
        <v>25361</v>
      </c>
      <c r="D219" s="763" t="str">
        <f t="shared" si="22"/>
        <v>June</v>
      </c>
      <c r="E219" s="484">
        <v>7</v>
      </c>
      <c r="F219" s="472">
        <v>1969</v>
      </c>
      <c r="G219" s="484" t="s">
        <v>100</v>
      </c>
      <c r="H219" s="472" t="s">
        <v>124</v>
      </c>
      <c r="I219" s="486">
        <v>10</v>
      </c>
      <c r="J219" s="486">
        <v>0.1</v>
      </c>
      <c r="K219" s="472">
        <f t="shared" si="29"/>
        <v>22</v>
      </c>
      <c r="L219" s="473">
        <v>0.92361111111111116</v>
      </c>
      <c r="M219" s="474">
        <f t="shared" si="24"/>
        <v>0.92361111111111116</v>
      </c>
      <c r="N219" s="519"/>
      <c r="P219" s="29" t="str">
        <f t="shared" si="25"/>
        <v>1969F2</v>
      </c>
      <c r="Q219" s="29" t="str">
        <f t="shared" si="26"/>
        <v>F222</v>
      </c>
      <c r="R219" s="29" t="str">
        <f t="shared" si="27"/>
        <v>JuneF2</v>
      </c>
    </row>
    <row r="220" spans="1:18">
      <c r="A220" s="483">
        <f t="shared" si="28"/>
        <v>216</v>
      </c>
      <c r="B220" s="484">
        <v>13</v>
      </c>
      <c r="C220" s="485">
        <v>25364</v>
      </c>
      <c r="D220" s="763" t="str">
        <f t="shared" si="22"/>
        <v>June</v>
      </c>
      <c r="E220" s="484">
        <v>10</v>
      </c>
      <c r="F220" s="472">
        <v>1969</v>
      </c>
      <c r="G220" s="484" t="s">
        <v>105</v>
      </c>
      <c r="H220" s="472" t="s">
        <v>122</v>
      </c>
      <c r="I220" s="486">
        <v>33</v>
      </c>
      <c r="J220" s="486">
        <v>0.1</v>
      </c>
      <c r="K220" s="472">
        <f t="shared" si="29"/>
        <v>18</v>
      </c>
      <c r="L220" s="473">
        <v>0.76249999999999996</v>
      </c>
      <c r="M220" s="474">
        <f t="shared" si="24"/>
        <v>0.76249999999999996</v>
      </c>
      <c r="N220" s="519"/>
      <c r="P220" s="29" t="str">
        <f t="shared" si="25"/>
        <v>1969F0</v>
      </c>
      <c r="Q220" s="29" t="str">
        <f t="shared" si="26"/>
        <v>F018</v>
      </c>
      <c r="R220" s="29" t="str">
        <f t="shared" si="27"/>
        <v>JuneF0</v>
      </c>
    </row>
    <row r="221" spans="1:18">
      <c r="A221" s="483">
        <f t="shared" si="28"/>
        <v>217</v>
      </c>
      <c r="B221" s="484">
        <v>14</v>
      </c>
      <c r="C221" s="485">
        <v>25364</v>
      </c>
      <c r="D221" s="763" t="str">
        <f t="shared" si="22"/>
        <v>June</v>
      </c>
      <c r="E221" s="484">
        <v>10</v>
      </c>
      <c r="F221" s="472">
        <v>1969</v>
      </c>
      <c r="G221" s="484" t="s">
        <v>101</v>
      </c>
      <c r="H221" s="472" t="s">
        <v>122</v>
      </c>
      <c r="I221" s="486">
        <v>10</v>
      </c>
      <c r="J221" s="486">
        <v>0.1</v>
      </c>
      <c r="K221" s="472">
        <f t="shared" si="29"/>
        <v>19</v>
      </c>
      <c r="L221" s="473">
        <v>0.79166666666666663</v>
      </c>
      <c r="M221" s="474">
        <f t="shared" si="24"/>
        <v>0.79166666666666663</v>
      </c>
      <c r="N221" s="519"/>
      <c r="P221" s="29" t="str">
        <f t="shared" si="25"/>
        <v>1969F0</v>
      </c>
      <c r="Q221" s="29" t="str">
        <f t="shared" si="26"/>
        <v>F019</v>
      </c>
      <c r="R221" s="29" t="str">
        <f t="shared" si="27"/>
        <v>JuneF0</v>
      </c>
    </row>
    <row r="222" spans="1:18">
      <c r="A222" s="483">
        <f t="shared" si="28"/>
        <v>218</v>
      </c>
      <c r="B222" s="484">
        <v>15</v>
      </c>
      <c r="C222" s="485">
        <v>25364</v>
      </c>
      <c r="D222" s="763" t="str">
        <f t="shared" si="22"/>
        <v>June</v>
      </c>
      <c r="E222" s="484">
        <v>10</v>
      </c>
      <c r="F222" s="472">
        <v>1969</v>
      </c>
      <c r="G222" s="484" t="s">
        <v>103</v>
      </c>
      <c r="H222" s="472" t="s">
        <v>122</v>
      </c>
      <c r="I222" s="486">
        <v>17</v>
      </c>
      <c r="J222" s="486">
        <v>0.1</v>
      </c>
      <c r="K222" s="472">
        <f t="shared" si="29"/>
        <v>21</v>
      </c>
      <c r="L222" s="473">
        <v>0.91180555555555554</v>
      </c>
      <c r="M222" s="474">
        <f t="shared" si="24"/>
        <v>0.91180555555555554</v>
      </c>
      <c r="N222" s="519"/>
      <c r="P222" s="29" t="str">
        <f t="shared" si="25"/>
        <v>1969F0</v>
      </c>
      <c r="Q222" s="29" t="str">
        <f t="shared" si="26"/>
        <v>F021</v>
      </c>
      <c r="R222" s="29" t="str">
        <f t="shared" si="27"/>
        <v>JuneF0</v>
      </c>
    </row>
    <row r="223" spans="1:18">
      <c r="A223" s="483">
        <f t="shared" si="28"/>
        <v>219</v>
      </c>
      <c r="B223" s="484">
        <v>16</v>
      </c>
      <c r="C223" s="485">
        <v>25377</v>
      </c>
      <c r="D223" s="763" t="str">
        <f t="shared" si="22"/>
        <v>June</v>
      </c>
      <c r="E223" s="484">
        <v>23</v>
      </c>
      <c r="F223" s="472">
        <v>1969</v>
      </c>
      <c r="G223" s="484" t="s">
        <v>106</v>
      </c>
      <c r="H223" s="472" t="s">
        <v>122</v>
      </c>
      <c r="I223" s="486">
        <v>300</v>
      </c>
      <c r="J223" s="486">
        <v>1</v>
      </c>
      <c r="K223" s="472">
        <f t="shared" si="29"/>
        <v>16</v>
      </c>
      <c r="L223" s="473">
        <v>0.70486111111111116</v>
      </c>
      <c r="M223" s="474">
        <f t="shared" si="24"/>
        <v>0.70486111111111116</v>
      </c>
      <c r="N223" s="519"/>
      <c r="P223" s="29" t="str">
        <f t="shared" si="25"/>
        <v>1969F0</v>
      </c>
      <c r="Q223" s="29" t="str">
        <f t="shared" si="26"/>
        <v>F016</v>
      </c>
      <c r="R223" s="29" t="str">
        <f t="shared" si="27"/>
        <v>JuneF0</v>
      </c>
    </row>
    <row r="224" spans="1:18">
      <c r="A224" s="483">
        <f t="shared" si="28"/>
        <v>220</v>
      </c>
      <c r="B224" s="484">
        <v>1</v>
      </c>
      <c r="C224" s="485">
        <v>25675</v>
      </c>
      <c r="D224" s="763" t="str">
        <f t="shared" si="22"/>
        <v>April</v>
      </c>
      <c r="E224" s="484">
        <v>17</v>
      </c>
      <c r="F224" s="472">
        <v>1970</v>
      </c>
      <c r="G224" s="484" t="s">
        <v>118</v>
      </c>
      <c r="H224" s="472" t="s">
        <v>126</v>
      </c>
      <c r="I224" s="486">
        <v>75</v>
      </c>
      <c r="J224" s="486">
        <v>95</v>
      </c>
      <c r="K224" s="472">
        <f t="shared" si="29"/>
        <v>22</v>
      </c>
      <c r="L224" s="473">
        <v>0.94444444444444453</v>
      </c>
      <c r="M224" s="474">
        <f t="shared" si="24"/>
        <v>0.94444444444444453</v>
      </c>
      <c r="N224" s="519">
        <v>5.2083333333333336E-2</v>
      </c>
      <c r="P224" s="29" t="str">
        <f t="shared" si="25"/>
        <v>1970F4</v>
      </c>
      <c r="Q224" s="29" t="str">
        <f t="shared" si="26"/>
        <v>F422</v>
      </c>
      <c r="R224" s="29" t="str">
        <f t="shared" si="27"/>
        <v>AprilF4</v>
      </c>
    </row>
    <row r="225" spans="1:18">
      <c r="A225" s="483">
        <f t="shared" si="28"/>
        <v>221</v>
      </c>
      <c r="B225" s="484">
        <v>2</v>
      </c>
      <c r="C225" s="485">
        <v>25675</v>
      </c>
      <c r="D225" s="763" t="str">
        <f t="shared" si="22"/>
        <v>April</v>
      </c>
      <c r="E225" s="484">
        <v>17</v>
      </c>
      <c r="F225" s="472">
        <v>1970</v>
      </c>
      <c r="G225" s="484" t="s">
        <v>120</v>
      </c>
      <c r="H225" s="472" t="s">
        <v>126</v>
      </c>
      <c r="I225" s="486">
        <v>880</v>
      </c>
      <c r="J225" s="486">
        <v>12</v>
      </c>
      <c r="K225" s="472">
        <f t="shared" si="29"/>
        <v>23</v>
      </c>
      <c r="L225" s="473">
        <v>0.99097222222222225</v>
      </c>
      <c r="M225" s="474">
        <f t="shared" si="24"/>
        <v>0.99097222222222225</v>
      </c>
      <c r="N225" s="519">
        <v>2.7777777777777776E-2</v>
      </c>
      <c r="P225" s="29" t="str">
        <f t="shared" si="25"/>
        <v>1970F4</v>
      </c>
      <c r="Q225" s="29" t="str">
        <f t="shared" si="26"/>
        <v>F423</v>
      </c>
      <c r="R225" s="29" t="str">
        <f t="shared" si="27"/>
        <v>AprilF4</v>
      </c>
    </row>
    <row r="226" spans="1:18">
      <c r="A226" s="483">
        <f t="shared" si="28"/>
        <v>222</v>
      </c>
      <c r="B226" s="484">
        <v>3</v>
      </c>
      <c r="C226" s="485">
        <v>25676</v>
      </c>
      <c r="D226" s="763" t="str">
        <f t="shared" si="22"/>
        <v>April</v>
      </c>
      <c r="E226" s="484">
        <v>18</v>
      </c>
      <c r="F226" s="472">
        <v>1970</v>
      </c>
      <c r="G226" s="484" t="s">
        <v>120</v>
      </c>
      <c r="H226" s="472" t="s">
        <v>126</v>
      </c>
      <c r="I226" s="486">
        <v>880</v>
      </c>
      <c r="J226" s="486">
        <v>65</v>
      </c>
      <c r="K226" s="472">
        <f t="shared" si="29"/>
        <v>1</v>
      </c>
      <c r="L226" s="473">
        <v>7.5694444444444439E-2</v>
      </c>
      <c r="M226" s="474">
        <f t="shared" si="24"/>
        <v>7.5694444444444439E-2</v>
      </c>
      <c r="N226" s="519">
        <v>0.13541666666666666</v>
      </c>
      <c r="P226" s="29" t="str">
        <f t="shared" si="25"/>
        <v>1970F4</v>
      </c>
      <c r="Q226" s="29" t="str">
        <f t="shared" si="26"/>
        <v>F41</v>
      </c>
      <c r="R226" s="29" t="str">
        <f t="shared" si="27"/>
        <v>AprilF4</v>
      </c>
    </row>
    <row r="227" spans="1:18">
      <c r="A227" s="483">
        <f t="shared" si="28"/>
        <v>223</v>
      </c>
      <c r="B227" s="484">
        <v>4</v>
      </c>
      <c r="C227" s="485">
        <v>25719</v>
      </c>
      <c r="D227" s="763" t="str">
        <f t="shared" si="22"/>
        <v>May</v>
      </c>
      <c r="E227" s="484">
        <v>31</v>
      </c>
      <c r="F227" s="472">
        <v>1970</v>
      </c>
      <c r="G227" s="484" t="s">
        <v>114</v>
      </c>
      <c r="H227" s="472" t="s">
        <v>122</v>
      </c>
      <c r="I227" s="486">
        <v>33</v>
      </c>
      <c r="J227" s="486">
        <v>5.0999999999999996</v>
      </c>
      <c r="K227" s="472">
        <f t="shared" si="29"/>
        <v>14</v>
      </c>
      <c r="L227" s="473">
        <v>0.58819444444444446</v>
      </c>
      <c r="M227" s="474">
        <f t="shared" si="24"/>
        <v>0.58819444444444446</v>
      </c>
      <c r="N227" s="519"/>
      <c r="P227" s="29" t="str">
        <f t="shared" si="25"/>
        <v>1970F0</v>
      </c>
      <c r="Q227" s="29" t="str">
        <f t="shared" si="26"/>
        <v>F014</v>
      </c>
      <c r="R227" s="29" t="str">
        <f t="shared" si="27"/>
        <v>MayF0</v>
      </c>
    </row>
    <row r="228" spans="1:18">
      <c r="A228" s="483">
        <f t="shared" si="28"/>
        <v>224</v>
      </c>
      <c r="B228" s="484">
        <v>5</v>
      </c>
      <c r="C228" s="485">
        <v>25719</v>
      </c>
      <c r="D228" s="763" t="str">
        <f t="shared" si="22"/>
        <v>May</v>
      </c>
      <c r="E228" s="484">
        <v>31</v>
      </c>
      <c r="F228" s="472">
        <v>1970</v>
      </c>
      <c r="G228" s="484" t="s">
        <v>118</v>
      </c>
      <c r="H228" s="472" t="s">
        <v>123</v>
      </c>
      <c r="I228" s="486">
        <v>67</v>
      </c>
      <c r="J228" s="486">
        <v>17.2</v>
      </c>
      <c r="K228" s="472">
        <f t="shared" si="29"/>
        <v>15</v>
      </c>
      <c r="L228" s="473">
        <v>0.64236111111111105</v>
      </c>
      <c r="M228" s="474">
        <f t="shared" si="24"/>
        <v>0.64236111111111105</v>
      </c>
      <c r="N228" s="519"/>
      <c r="P228" s="29" t="str">
        <f t="shared" si="25"/>
        <v>1970F1</v>
      </c>
      <c r="Q228" s="29" t="str">
        <f t="shared" si="26"/>
        <v>F115</v>
      </c>
      <c r="R228" s="29" t="str">
        <f t="shared" si="27"/>
        <v>MayF1</v>
      </c>
    </row>
    <row r="229" spans="1:18">
      <c r="A229" s="483">
        <f t="shared" si="28"/>
        <v>225</v>
      </c>
      <c r="B229" s="484">
        <v>6</v>
      </c>
      <c r="C229" s="485">
        <v>25817</v>
      </c>
      <c r="D229" s="763" t="str">
        <f t="shared" si="22"/>
        <v>September</v>
      </c>
      <c r="E229" s="484">
        <v>6</v>
      </c>
      <c r="F229" s="472">
        <v>1970</v>
      </c>
      <c r="G229" s="484" t="s">
        <v>101</v>
      </c>
      <c r="H229" s="472" t="s">
        <v>124</v>
      </c>
      <c r="I229" s="486">
        <v>10</v>
      </c>
      <c r="J229" s="486">
        <v>0.1</v>
      </c>
      <c r="K229" s="472">
        <f t="shared" si="29"/>
        <v>19</v>
      </c>
      <c r="L229" s="473">
        <v>0.80902777777777779</v>
      </c>
      <c r="M229" s="474">
        <f t="shared" si="24"/>
        <v>0.80902777777777779</v>
      </c>
      <c r="N229" s="519"/>
      <c r="P229" s="29" t="str">
        <f t="shared" si="25"/>
        <v>1970F2</v>
      </c>
      <c r="Q229" s="29" t="str">
        <f t="shared" si="26"/>
        <v>F219</v>
      </c>
      <c r="R229" s="29" t="str">
        <f t="shared" si="27"/>
        <v>SeptemberF2</v>
      </c>
    </row>
    <row r="230" spans="1:18">
      <c r="A230" s="483">
        <f t="shared" si="28"/>
        <v>226</v>
      </c>
      <c r="B230" s="484">
        <v>1</v>
      </c>
      <c r="C230" s="485">
        <v>26038</v>
      </c>
      <c r="D230" s="763" t="str">
        <f t="shared" si="22"/>
        <v>April</v>
      </c>
      <c r="E230" s="484">
        <v>15</v>
      </c>
      <c r="F230" s="472">
        <v>1971</v>
      </c>
      <c r="G230" s="484" t="s">
        <v>103</v>
      </c>
      <c r="H230" s="472" t="s">
        <v>123</v>
      </c>
      <c r="I230" s="486">
        <v>100</v>
      </c>
      <c r="J230" s="486">
        <v>0.3</v>
      </c>
      <c r="K230" s="472">
        <f t="shared" si="29"/>
        <v>18</v>
      </c>
      <c r="L230" s="473">
        <v>0.75</v>
      </c>
      <c r="M230" s="474">
        <f t="shared" si="24"/>
        <v>0.75</v>
      </c>
      <c r="N230" s="519"/>
      <c r="P230" s="29" t="str">
        <f t="shared" si="25"/>
        <v>1971F1</v>
      </c>
      <c r="Q230" s="29" t="str">
        <f t="shared" si="26"/>
        <v>F118</v>
      </c>
      <c r="R230" s="29" t="str">
        <f t="shared" si="27"/>
        <v>AprilF1</v>
      </c>
    </row>
    <row r="231" spans="1:18">
      <c r="A231" s="483">
        <f t="shared" si="28"/>
        <v>227</v>
      </c>
      <c r="B231" s="484">
        <v>2</v>
      </c>
      <c r="C231" s="485">
        <v>26042</v>
      </c>
      <c r="D231" s="763" t="str">
        <f t="shared" si="22"/>
        <v>April</v>
      </c>
      <c r="E231" s="484">
        <v>19</v>
      </c>
      <c r="F231" s="472">
        <v>1971</v>
      </c>
      <c r="G231" s="484" t="s">
        <v>102</v>
      </c>
      <c r="H231" s="472" t="s">
        <v>124</v>
      </c>
      <c r="I231" s="486">
        <v>150</v>
      </c>
      <c r="J231" s="486">
        <v>7.2</v>
      </c>
      <c r="K231" s="472">
        <f t="shared" si="29"/>
        <v>0</v>
      </c>
      <c r="L231" s="473">
        <v>1.0416666666666666E-2</v>
      </c>
      <c r="M231" s="474">
        <f t="shared" si="24"/>
        <v>1.0416666666666666E-2</v>
      </c>
      <c r="N231" s="519"/>
      <c r="P231" s="29" t="str">
        <f t="shared" si="25"/>
        <v>1971F2</v>
      </c>
      <c r="Q231" s="29" t="str">
        <f t="shared" si="26"/>
        <v>F20</v>
      </c>
      <c r="R231" s="29" t="str">
        <f t="shared" si="27"/>
        <v>AprilF2</v>
      </c>
    </row>
    <row r="232" spans="1:18">
      <c r="A232" s="483">
        <f t="shared" si="28"/>
        <v>228</v>
      </c>
      <c r="B232" s="484">
        <v>3</v>
      </c>
      <c r="C232" s="485">
        <v>26042</v>
      </c>
      <c r="D232" s="763" t="str">
        <f t="shared" si="22"/>
        <v>April</v>
      </c>
      <c r="E232" s="484">
        <v>19</v>
      </c>
      <c r="F232" s="472">
        <v>1971</v>
      </c>
      <c r="G232" s="484" t="s">
        <v>102</v>
      </c>
      <c r="H232" s="472" t="s">
        <v>124</v>
      </c>
      <c r="I232" s="486">
        <v>10</v>
      </c>
      <c r="J232" s="486">
        <v>0.1</v>
      </c>
      <c r="K232" s="472">
        <f t="shared" si="29"/>
        <v>0</v>
      </c>
      <c r="L232" s="473">
        <v>1.0416666666666666E-2</v>
      </c>
      <c r="M232" s="474">
        <f t="shared" si="24"/>
        <v>1.0416666666666666E-2</v>
      </c>
      <c r="N232" s="519"/>
      <c r="P232" s="29" t="str">
        <f t="shared" si="25"/>
        <v>1971F2</v>
      </c>
      <c r="Q232" s="29" t="str">
        <f t="shared" si="26"/>
        <v>F20</v>
      </c>
      <c r="R232" s="29" t="str">
        <f t="shared" si="27"/>
        <v>AprilF2</v>
      </c>
    </row>
    <row r="233" spans="1:18">
      <c r="A233" s="483">
        <f t="shared" si="28"/>
        <v>229</v>
      </c>
      <c r="B233" s="484">
        <v>4</v>
      </c>
      <c r="C233" s="485">
        <v>26042</v>
      </c>
      <c r="D233" s="763" t="str">
        <f t="shared" si="22"/>
        <v>April</v>
      </c>
      <c r="E233" s="484">
        <v>19</v>
      </c>
      <c r="F233" s="472">
        <v>1971</v>
      </c>
      <c r="G233" s="484" t="s">
        <v>117</v>
      </c>
      <c r="H233" s="472" t="s">
        <v>125</v>
      </c>
      <c r="I233" s="486">
        <v>133</v>
      </c>
      <c r="J233" s="486">
        <v>6.1</v>
      </c>
      <c r="K233" s="472">
        <f t="shared" si="29"/>
        <v>0</v>
      </c>
      <c r="L233" s="473">
        <v>2.0833333333333332E-2</v>
      </c>
      <c r="M233" s="474">
        <f t="shared" si="24"/>
        <v>2.0833333333333332E-2</v>
      </c>
      <c r="N233" s="519"/>
      <c r="P233" s="29" t="str">
        <f t="shared" si="25"/>
        <v>1971F3</v>
      </c>
      <c r="Q233" s="29" t="str">
        <f t="shared" si="26"/>
        <v>F30</v>
      </c>
      <c r="R233" s="29" t="str">
        <f t="shared" si="27"/>
        <v>AprilF3</v>
      </c>
    </row>
    <row r="234" spans="1:18">
      <c r="A234" s="483">
        <f t="shared" si="28"/>
        <v>230</v>
      </c>
      <c r="B234" s="484">
        <v>5</v>
      </c>
      <c r="C234" s="485">
        <v>26042</v>
      </c>
      <c r="D234" s="763" t="str">
        <f t="shared" si="22"/>
        <v>April</v>
      </c>
      <c r="E234" s="484">
        <v>19</v>
      </c>
      <c r="F234" s="472">
        <v>1971</v>
      </c>
      <c r="G234" s="484" t="s">
        <v>99</v>
      </c>
      <c r="H234" s="472" t="s">
        <v>123</v>
      </c>
      <c r="I234" s="486">
        <v>10</v>
      </c>
      <c r="J234" s="486">
        <v>0.1</v>
      </c>
      <c r="K234" s="472">
        <f t="shared" si="29"/>
        <v>1</v>
      </c>
      <c r="L234" s="473">
        <v>4.1666666666666664E-2</v>
      </c>
      <c r="M234" s="474">
        <f t="shared" si="24"/>
        <v>4.1666666666666664E-2</v>
      </c>
      <c r="N234" s="519"/>
      <c r="P234" s="29" t="str">
        <f t="shared" si="25"/>
        <v>1971F1</v>
      </c>
      <c r="Q234" s="29" t="str">
        <f t="shared" si="26"/>
        <v>F11</v>
      </c>
      <c r="R234" s="29" t="str">
        <f t="shared" si="27"/>
        <v>AprilF1</v>
      </c>
    </row>
    <row r="235" spans="1:18">
      <c r="A235" s="483">
        <f t="shared" si="28"/>
        <v>231</v>
      </c>
      <c r="B235" s="484">
        <v>6</v>
      </c>
      <c r="C235" s="485">
        <v>26042</v>
      </c>
      <c r="D235" s="763" t="str">
        <f t="shared" si="22"/>
        <v>April</v>
      </c>
      <c r="E235" s="484">
        <v>19</v>
      </c>
      <c r="F235" s="472">
        <v>1971</v>
      </c>
      <c r="G235" s="484" t="s">
        <v>118</v>
      </c>
      <c r="H235" s="472" t="s">
        <v>123</v>
      </c>
      <c r="I235" s="486">
        <v>20</v>
      </c>
      <c r="J235" s="486">
        <v>0.3</v>
      </c>
      <c r="K235" s="472">
        <f t="shared" si="29"/>
        <v>1</v>
      </c>
      <c r="L235" s="473">
        <v>4.7916666666666663E-2</v>
      </c>
      <c r="M235" s="474">
        <f t="shared" si="24"/>
        <v>4.7916666666666663E-2</v>
      </c>
      <c r="N235" s="519"/>
      <c r="P235" s="29" t="str">
        <f t="shared" si="25"/>
        <v>1971F1</v>
      </c>
      <c r="Q235" s="29" t="str">
        <f t="shared" si="26"/>
        <v>F11</v>
      </c>
      <c r="R235" s="29" t="str">
        <f t="shared" si="27"/>
        <v>AprilF1</v>
      </c>
    </row>
    <row r="236" spans="1:18">
      <c r="A236" s="483">
        <f t="shared" si="28"/>
        <v>232</v>
      </c>
      <c r="B236" s="484">
        <v>7</v>
      </c>
      <c r="C236" s="485">
        <v>26042</v>
      </c>
      <c r="D236" s="763" t="str">
        <f t="shared" si="22"/>
        <v>April</v>
      </c>
      <c r="E236" s="484">
        <v>19</v>
      </c>
      <c r="F236" s="472">
        <v>1971</v>
      </c>
      <c r="G236" s="484" t="s">
        <v>99</v>
      </c>
      <c r="H236" s="472" t="s">
        <v>124</v>
      </c>
      <c r="I236" s="486">
        <v>10</v>
      </c>
      <c r="J236" s="486">
        <v>0.1</v>
      </c>
      <c r="K236" s="472">
        <f t="shared" si="29"/>
        <v>1</v>
      </c>
      <c r="L236" s="473">
        <v>6.25E-2</v>
      </c>
      <c r="M236" s="474">
        <f t="shared" si="24"/>
        <v>6.25E-2</v>
      </c>
      <c r="N236" s="519"/>
      <c r="P236" s="29" t="str">
        <f t="shared" si="25"/>
        <v>1971F2</v>
      </c>
      <c r="Q236" s="29" t="str">
        <f t="shared" si="26"/>
        <v>F21</v>
      </c>
      <c r="R236" s="29" t="str">
        <f t="shared" si="27"/>
        <v>AprilF2</v>
      </c>
    </row>
    <row r="237" spans="1:18">
      <c r="A237" s="483">
        <f t="shared" si="28"/>
        <v>233</v>
      </c>
      <c r="B237" s="484">
        <v>8</v>
      </c>
      <c r="C237" s="485">
        <v>26042</v>
      </c>
      <c r="D237" s="763" t="str">
        <f t="shared" si="22"/>
        <v>April</v>
      </c>
      <c r="E237" s="484">
        <v>19</v>
      </c>
      <c r="F237" s="472">
        <v>1971</v>
      </c>
      <c r="G237" s="484" t="s">
        <v>117</v>
      </c>
      <c r="H237" s="472" t="s">
        <v>123</v>
      </c>
      <c r="I237" s="486">
        <v>20</v>
      </c>
      <c r="J237" s="486">
        <v>0.3</v>
      </c>
      <c r="K237" s="472">
        <f t="shared" si="29"/>
        <v>6</v>
      </c>
      <c r="L237" s="473">
        <v>0.25</v>
      </c>
      <c r="M237" s="474">
        <f t="shared" si="24"/>
        <v>0.25</v>
      </c>
      <c r="N237" s="519"/>
      <c r="P237" s="29" t="str">
        <f t="shared" si="25"/>
        <v>1971F1</v>
      </c>
      <c r="Q237" s="29" t="str">
        <f t="shared" si="26"/>
        <v>F16</v>
      </c>
      <c r="R237" s="29" t="str">
        <f t="shared" si="27"/>
        <v>AprilF1</v>
      </c>
    </row>
    <row r="238" spans="1:18">
      <c r="A238" s="483">
        <f t="shared" si="28"/>
        <v>234</v>
      </c>
      <c r="B238" s="484">
        <v>9</v>
      </c>
      <c r="C238" s="485">
        <v>26045</v>
      </c>
      <c r="D238" s="763" t="str">
        <f t="shared" si="22"/>
        <v>April</v>
      </c>
      <c r="E238" s="484">
        <v>22</v>
      </c>
      <c r="F238" s="472">
        <v>1971</v>
      </c>
      <c r="G238" s="484" t="s">
        <v>99</v>
      </c>
      <c r="H238" s="472" t="s">
        <v>122</v>
      </c>
      <c r="I238" s="486">
        <v>10</v>
      </c>
      <c r="J238" s="486">
        <v>0.1</v>
      </c>
      <c r="K238" s="472">
        <f t="shared" si="29"/>
        <v>12</v>
      </c>
      <c r="L238" s="473">
        <v>0.52083333333333337</v>
      </c>
      <c r="M238" s="474">
        <f t="shared" si="24"/>
        <v>0.52083333333333337</v>
      </c>
      <c r="N238" s="519"/>
      <c r="P238" s="29" t="str">
        <f t="shared" si="25"/>
        <v>1971F0</v>
      </c>
      <c r="Q238" s="29" t="str">
        <f t="shared" si="26"/>
        <v>F012</v>
      </c>
      <c r="R238" s="29" t="str">
        <f t="shared" si="27"/>
        <v>AprilF0</v>
      </c>
    </row>
    <row r="239" spans="1:18">
      <c r="A239" s="483">
        <f t="shared" si="28"/>
        <v>235</v>
      </c>
      <c r="B239" s="484">
        <v>10</v>
      </c>
      <c r="C239" s="485">
        <v>26081</v>
      </c>
      <c r="D239" s="763" t="str">
        <f t="shared" si="22"/>
        <v>May</v>
      </c>
      <c r="E239" s="484">
        <v>28</v>
      </c>
      <c r="F239" s="472">
        <v>1971</v>
      </c>
      <c r="G239" s="484" t="s">
        <v>99</v>
      </c>
      <c r="H239" s="472" t="s">
        <v>122</v>
      </c>
      <c r="I239" s="486">
        <v>10</v>
      </c>
      <c r="J239" s="486">
        <v>0.1</v>
      </c>
      <c r="K239" s="472">
        <f t="shared" si="29"/>
        <v>18</v>
      </c>
      <c r="L239" s="473">
        <v>0.76597222222222217</v>
      </c>
      <c r="M239" s="474">
        <f t="shared" si="24"/>
        <v>0.76597222222222217</v>
      </c>
      <c r="N239" s="519"/>
      <c r="P239" s="29" t="str">
        <f t="shared" si="25"/>
        <v>1971F0</v>
      </c>
      <c r="Q239" s="29" t="str">
        <f t="shared" si="26"/>
        <v>F018</v>
      </c>
      <c r="R239" s="29" t="str">
        <f t="shared" si="27"/>
        <v>MayF0</v>
      </c>
    </row>
    <row r="240" spans="1:18">
      <c r="A240" s="483">
        <f t="shared" si="28"/>
        <v>236</v>
      </c>
      <c r="B240" s="484">
        <v>11</v>
      </c>
      <c r="C240" s="485">
        <v>26089</v>
      </c>
      <c r="D240" s="763" t="str">
        <f t="shared" si="22"/>
        <v>June</v>
      </c>
      <c r="E240" s="484">
        <v>5</v>
      </c>
      <c r="F240" s="472">
        <v>1971</v>
      </c>
      <c r="G240" s="484" t="s">
        <v>118</v>
      </c>
      <c r="H240" s="472" t="s">
        <v>124</v>
      </c>
      <c r="I240" s="486">
        <v>50</v>
      </c>
      <c r="J240" s="486">
        <v>0.3</v>
      </c>
      <c r="K240" s="472">
        <f t="shared" si="29"/>
        <v>16</v>
      </c>
      <c r="L240" s="473">
        <v>0.67361111111111116</v>
      </c>
      <c r="M240" s="474">
        <f t="shared" si="24"/>
        <v>0.67361111111111116</v>
      </c>
      <c r="N240" s="519"/>
      <c r="P240" s="29" t="str">
        <f t="shared" si="25"/>
        <v>1971F2</v>
      </c>
      <c r="Q240" s="29" t="str">
        <f t="shared" si="26"/>
        <v>F216</v>
      </c>
      <c r="R240" s="29" t="str">
        <f t="shared" si="27"/>
        <v>JuneF2</v>
      </c>
    </row>
    <row r="241" spans="1:18">
      <c r="A241" s="483">
        <f t="shared" si="28"/>
        <v>237</v>
      </c>
      <c r="B241" s="484">
        <v>12</v>
      </c>
      <c r="C241" s="485">
        <v>26089</v>
      </c>
      <c r="D241" s="763" t="str">
        <f t="shared" si="22"/>
        <v>June</v>
      </c>
      <c r="E241" s="484">
        <v>5</v>
      </c>
      <c r="F241" s="472">
        <v>1971</v>
      </c>
      <c r="G241" s="484" t="s">
        <v>109</v>
      </c>
      <c r="H241" s="472" t="s">
        <v>125</v>
      </c>
      <c r="I241" s="486">
        <v>1320</v>
      </c>
      <c r="J241" s="486">
        <v>4.7</v>
      </c>
      <c r="K241" s="472">
        <f t="shared" si="29"/>
        <v>18</v>
      </c>
      <c r="L241" s="473">
        <v>0.75</v>
      </c>
      <c r="M241" s="474">
        <f t="shared" si="24"/>
        <v>0.75</v>
      </c>
      <c r="N241" s="519"/>
      <c r="P241" s="29" t="str">
        <f t="shared" si="25"/>
        <v>1971F3</v>
      </c>
      <c r="Q241" s="29" t="str">
        <f t="shared" si="26"/>
        <v>F318</v>
      </c>
      <c r="R241" s="29" t="str">
        <f t="shared" si="27"/>
        <v>JuneF3</v>
      </c>
    </row>
    <row r="242" spans="1:18">
      <c r="A242" s="483">
        <f t="shared" si="28"/>
        <v>238</v>
      </c>
      <c r="B242" s="484">
        <v>13</v>
      </c>
      <c r="C242" s="485">
        <v>26089</v>
      </c>
      <c r="D242" s="763" t="str">
        <f t="shared" si="22"/>
        <v>June</v>
      </c>
      <c r="E242" s="484">
        <v>5</v>
      </c>
      <c r="F242" s="472">
        <v>1971</v>
      </c>
      <c r="G242" s="484" t="s">
        <v>109</v>
      </c>
      <c r="H242" s="472" t="s">
        <v>124</v>
      </c>
      <c r="I242" s="486">
        <v>10</v>
      </c>
      <c r="J242" s="486">
        <v>0.1</v>
      </c>
      <c r="K242" s="472">
        <f t="shared" si="29"/>
        <v>18</v>
      </c>
      <c r="L242" s="473">
        <v>0.75347222222222221</v>
      </c>
      <c r="M242" s="474">
        <f t="shared" si="24"/>
        <v>0.75347222222222221</v>
      </c>
      <c r="N242" s="519"/>
      <c r="P242" s="29" t="str">
        <f t="shared" si="25"/>
        <v>1971F2</v>
      </c>
      <c r="Q242" s="29" t="str">
        <f t="shared" si="26"/>
        <v>F218</v>
      </c>
      <c r="R242" s="29" t="str">
        <f t="shared" si="27"/>
        <v>JuneF2</v>
      </c>
    </row>
    <row r="243" spans="1:18">
      <c r="A243" s="483">
        <f t="shared" si="28"/>
        <v>239</v>
      </c>
      <c r="B243" s="484">
        <v>14</v>
      </c>
      <c r="C243" s="485">
        <v>26089</v>
      </c>
      <c r="D243" s="763" t="str">
        <f t="shared" si="22"/>
        <v>June</v>
      </c>
      <c r="E243" s="484">
        <v>5</v>
      </c>
      <c r="F243" s="472">
        <v>1971</v>
      </c>
      <c r="G243" s="484" t="s">
        <v>109</v>
      </c>
      <c r="H243" s="472" t="s">
        <v>124</v>
      </c>
      <c r="I243" s="486">
        <v>10</v>
      </c>
      <c r="J243" s="486">
        <v>0.1</v>
      </c>
      <c r="K243" s="472">
        <f t="shared" si="29"/>
        <v>18</v>
      </c>
      <c r="L243" s="473">
        <v>0.75694444444444453</v>
      </c>
      <c r="M243" s="474">
        <f t="shared" si="24"/>
        <v>0.75694444444444453</v>
      </c>
      <c r="N243" s="519"/>
      <c r="P243" s="29" t="str">
        <f t="shared" si="25"/>
        <v>1971F2</v>
      </c>
      <c r="Q243" s="29" t="str">
        <f t="shared" si="26"/>
        <v>F218</v>
      </c>
      <c r="R243" s="29" t="str">
        <f t="shared" si="27"/>
        <v>JuneF2</v>
      </c>
    </row>
    <row r="244" spans="1:18">
      <c r="A244" s="483">
        <f t="shared" si="28"/>
        <v>240</v>
      </c>
      <c r="B244" s="484">
        <v>15</v>
      </c>
      <c r="C244" s="485">
        <v>26089</v>
      </c>
      <c r="D244" s="763" t="str">
        <f t="shared" si="22"/>
        <v>June</v>
      </c>
      <c r="E244" s="484">
        <v>5</v>
      </c>
      <c r="F244" s="472">
        <v>1971</v>
      </c>
      <c r="G244" s="484" t="s">
        <v>109</v>
      </c>
      <c r="H244" s="472" t="s">
        <v>124</v>
      </c>
      <c r="I244" s="486">
        <v>10</v>
      </c>
      <c r="J244" s="486">
        <v>0.1</v>
      </c>
      <c r="K244" s="472">
        <f t="shared" si="29"/>
        <v>18</v>
      </c>
      <c r="L244" s="473">
        <v>0.76041666666666663</v>
      </c>
      <c r="M244" s="474">
        <f t="shared" si="24"/>
        <v>0.76041666666666663</v>
      </c>
      <c r="N244" s="519"/>
      <c r="P244" s="29" t="str">
        <f t="shared" si="25"/>
        <v>1971F2</v>
      </c>
      <c r="Q244" s="29" t="str">
        <f t="shared" si="26"/>
        <v>F218</v>
      </c>
      <c r="R244" s="29" t="str">
        <f t="shared" si="27"/>
        <v>JuneF2</v>
      </c>
    </row>
    <row r="245" spans="1:18">
      <c r="A245" s="483">
        <f t="shared" si="28"/>
        <v>241</v>
      </c>
      <c r="B245" s="484">
        <v>16</v>
      </c>
      <c r="C245" s="485">
        <v>26089</v>
      </c>
      <c r="D245" s="763" t="str">
        <f t="shared" si="22"/>
        <v>June</v>
      </c>
      <c r="E245" s="484">
        <v>5</v>
      </c>
      <c r="F245" s="472">
        <v>1971</v>
      </c>
      <c r="G245" s="484" t="s">
        <v>109</v>
      </c>
      <c r="H245" s="472" t="s">
        <v>124</v>
      </c>
      <c r="I245" s="486">
        <v>10</v>
      </c>
      <c r="J245" s="486">
        <v>0.1</v>
      </c>
      <c r="K245" s="472">
        <f t="shared" si="29"/>
        <v>18</v>
      </c>
      <c r="L245" s="473">
        <v>0.76388888888888884</v>
      </c>
      <c r="M245" s="474">
        <f t="shared" si="24"/>
        <v>0.76388888888888884</v>
      </c>
      <c r="N245" s="519"/>
      <c r="P245" s="29" t="str">
        <f t="shared" si="25"/>
        <v>1971F2</v>
      </c>
      <c r="Q245" s="29" t="str">
        <f t="shared" si="26"/>
        <v>F218</v>
      </c>
      <c r="R245" s="29" t="str">
        <f t="shared" si="27"/>
        <v>JuneF2</v>
      </c>
    </row>
    <row r="246" spans="1:18">
      <c r="A246" s="483">
        <f t="shared" si="28"/>
        <v>242</v>
      </c>
      <c r="B246" s="484">
        <v>17</v>
      </c>
      <c r="C246" s="485">
        <v>26089</v>
      </c>
      <c r="D246" s="763" t="str">
        <f t="shared" si="22"/>
        <v>June</v>
      </c>
      <c r="E246" s="484">
        <v>5</v>
      </c>
      <c r="F246" s="472">
        <v>1971</v>
      </c>
      <c r="G246" s="484" t="s">
        <v>109</v>
      </c>
      <c r="H246" s="472" t="s">
        <v>124</v>
      </c>
      <c r="I246" s="486">
        <v>10</v>
      </c>
      <c r="J246" s="486">
        <v>0.1</v>
      </c>
      <c r="K246" s="472">
        <f t="shared" si="29"/>
        <v>18</v>
      </c>
      <c r="L246" s="473">
        <v>0.76736111111111116</v>
      </c>
      <c r="M246" s="474">
        <f t="shared" si="24"/>
        <v>0.76736111111111116</v>
      </c>
      <c r="N246" s="519"/>
      <c r="P246" s="29" t="str">
        <f t="shared" si="25"/>
        <v>1971F2</v>
      </c>
      <c r="Q246" s="29" t="str">
        <f t="shared" si="26"/>
        <v>F218</v>
      </c>
      <c r="R246" s="29" t="str">
        <f t="shared" si="27"/>
        <v>JuneF2</v>
      </c>
    </row>
    <row r="247" spans="1:18">
      <c r="A247" s="483">
        <f t="shared" si="28"/>
        <v>243</v>
      </c>
      <c r="B247" s="484">
        <v>18</v>
      </c>
      <c r="C247" s="485">
        <v>26089</v>
      </c>
      <c r="D247" s="763" t="str">
        <f t="shared" si="22"/>
        <v>June</v>
      </c>
      <c r="E247" s="484">
        <v>5</v>
      </c>
      <c r="F247" s="472">
        <v>1971</v>
      </c>
      <c r="G247" s="484" t="s">
        <v>109</v>
      </c>
      <c r="H247" s="472" t="s">
        <v>124</v>
      </c>
      <c r="I247" s="486">
        <v>10</v>
      </c>
      <c r="J247" s="486">
        <v>0.1</v>
      </c>
      <c r="K247" s="472">
        <f t="shared" si="29"/>
        <v>18</v>
      </c>
      <c r="L247" s="473">
        <v>0.77083333333333337</v>
      </c>
      <c r="M247" s="474">
        <f t="shared" si="24"/>
        <v>0.77083333333333337</v>
      </c>
      <c r="N247" s="519"/>
      <c r="P247" s="29" t="str">
        <f t="shared" si="25"/>
        <v>1971F2</v>
      </c>
      <c r="Q247" s="29" t="str">
        <f t="shared" si="26"/>
        <v>F218</v>
      </c>
      <c r="R247" s="29" t="str">
        <f t="shared" si="27"/>
        <v>JuneF2</v>
      </c>
    </row>
    <row r="248" spans="1:18">
      <c r="A248" s="483">
        <f t="shared" si="28"/>
        <v>244</v>
      </c>
      <c r="B248" s="484">
        <v>19</v>
      </c>
      <c r="C248" s="485">
        <v>26092</v>
      </c>
      <c r="D248" s="763" t="str">
        <f t="shared" si="22"/>
        <v>June</v>
      </c>
      <c r="E248" s="484">
        <v>8</v>
      </c>
      <c r="F248" s="472">
        <v>1971</v>
      </c>
      <c r="G248" s="484" t="s">
        <v>107</v>
      </c>
      <c r="H248" s="472" t="s">
        <v>124</v>
      </c>
      <c r="I248" s="486">
        <v>100</v>
      </c>
      <c r="J248" s="486">
        <v>2</v>
      </c>
      <c r="K248" s="472">
        <f t="shared" si="29"/>
        <v>16</v>
      </c>
      <c r="L248" s="473">
        <v>0.70138888888888884</v>
      </c>
      <c r="M248" s="474">
        <f t="shared" si="24"/>
        <v>0.70138888888888884</v>
      </c>
      <c r="N248" s="519"/>
      <c r="P248" s="29" t="str">
        <f t="shared" si="25"/>
        <v>1971F2</v>
      </c>
      <c r="Q248" s="29" t="str">
        <f t="shared" si="26"/>
        <v>F216</v>
      </c>
      <c r="R248" s="29" t="str">
        <f t="shared" si="27"/>
        <v>JuneF2</v>
      </c>
    </row>
    <row r="249" spans="1:18">
      <c r="A249" s="483">
        <f t="shared" si="28"/>
        <v>245</v>
      </c>
      <c r="B249" s="484">
        <v>20</v>
      </c>
      <c r="C249" s="485">
        <v>26092</v>
      </c>
      <c r="D249" s="763" t="str">
        <f t="shared" si="22"/>
        <v>June</v>
      </c>
      <c r="E249" s="484">
        <v>8</v>
      </c>
      <c r="F249" s="472">
        <v>1971</v>
      </c>
      <c r="G249" s="484" t="s">
        <v>107</v>
      </c>
      <c r="H249" s="472" t="s">
        <v>124</v>
      </c>
      <c r="I249" s="486">
        <v>100</v>
      </c>
      <c r="J249" s="486">
        <v>2</v>
      </c>
      <c r="K249" s="472">
        <f t="shared" si="29"/>
        <v>18</v>
      </c>
      <c r="L249" s="473">
        <v>0.77430555555555547</v>
      </c>
      <c r="M249" s="474">
        <f t="shared" si="24"/>
        <v>0.77430555555555547</v>
      </c>
      <c r="N249" s="519"/>
      <c r="P249" s="29" t="str">
        <f t="shared" si="25"/>
        <v>1971F2</v>
      </c>
      <c r="Q249" s="29" t="str">
        <f t="shared" si="26"/>
        <v>F218</v>
      </c>
      <c r="R249" s="29" t="str">
        <f t="shared" si="27"/>
        <v>JuneF2</v>
      </c>
    </row>
    <row r="250" spans="1:18">
      <c r="A250" s="483">
        <f t="shared" si="28"/>
        <v>246</v>
      </c>
      <c r="B250" s="484">
        <v>21</v>
      </c>
      <c r="C250" s="485">
        <v>26093</v>
      </c>
      <c r="D250" s="763" t="str">
        <f t="shared" si="22"/>
        <v>June</v>
      </c>
      <c r="E250" s="484">
        <v>9</v>
      </c>
      <c r="F250" s="472">
        <v>1971</v>
      </c>
      <c r="G250" s="484" t="s">
        <v>103</v>
      </c>
      <c r="H250" s="472" t="s">
        <v>124</v>
      </c>
      <c r="I250" s="486">
        <v>10</v>
      </c>
      <c r="J250" s="486">
        <v>0.1</v>
      </c>
      <c r="K250" s="472">
        <f t="shared" si="29"/>
        <v>17</v>
      </c>
      <c r="L250" s="473">
        <v>0.70833333333333337</v>
      </c>
      <c r="M250" s="474">
        <f t="shared" si="24"/>
        <v>0.70833333333333337</v>
      </c>
      <c r="N250" s="519"/>
      <c r="P250" s="29" t="str">
        <f t="shared" si="25"/>
        <v>1971F2</v>
      </c>
      <c r="Q250" s="29" t="str">
        <f t="shared" si="26"/>
        <v>F217</v>
      </c>
      <c r="R250" s="29" t="str">
        <f t="shared" si="27"/>
        <v>JuneF2</v>
      </c>
    </row>
    <row r="251" spans="1:18">
      <c r="A251" s="483">
        <f t="shared" si="28"/>
        <v>247</v>
      </c>
      <c r="B251" s="484">
        <v>22</v>
      </c>
      <c r="C251" s="485">
        <v>26093</v>
      </c>
      <c r="D251" s="763" t="str">
        <f t="shared" si="22"/>
        <v>June</v>
      </c>
      <c r="E251" s="484">
        <v>9</v>
      </c>
      <c r="F251" s="472">
        <v>1971</v>
      </c>
      <c r="G251" s="484" t="s">
        <v>103</v>
      </c>
      <c r="H251" s="472" t="s">
        <v>124</v>
      </c>
      <c r="I251" s="486">
        <v>10</v>
      </c>
      <c r="J251" s="486">
        <v>0.1</v>
      </c>
      <c r="K251" s="472">
        <f t="shared" si="29"/>
        <v>17</v>
      </c>
      <c r="L251" s="473">
        <v>0.70833333333333337</v>
      </c>
      <c r="M251" s="474">
        <f t="shared" si="24"/>
        <v>0.70833333333333337</v>
      </c>
      <c r="N251" s="519"/>
      <c r="P251" s="29" t="str">
        <f t="shared" si="25"/>
        <v>1971F2</v>
      </c>
      <c r="Q251" s="29" t="str">
        <f t="shared" si="26"/>
        <v>F217</v>
      </c>
      <c r="R251" s="29" t="str">
        <f t="shared" si="27"/>
        <v>JuneF2</v>
      </c>
    </row>
    <row r="252" spans="1:18">
      <c r="A252" s="483">
        <f t="shared" si="28"/>
        <v>248</v>
      </c>
      <c r="B252" s="484">
        <v>23</v>
      </c>
      <c r="C252" s="485">
        <v>26093</v>
      </c>
      <c r="D252" s="763" t="str">
        <f t="shared" si="22"/>
        <v>June</v>
      </c>
      <c r="E252" s="484">
        <v>9</v>
      </c>
      <c r="F252" s="472">
        <v>1971</v>
      </c>
      <c r="G252" s="484" t="s">
        <v>103</v>
      </c>
      <c r="H252" s="472" t="s">
        <v>124</v>
      </c>
      <c r="I252" s="486">
        <v>10</v>
      </c>
      <c r="J252" s="486">
        <v>0.1</v>
      </c>
      <c r="K252" s="472">
        <f t="shared" si="29"/>
        <v>17</v>
      </c>
      <c r="L252" s="473">
        <v>0.70833333333333337</v>
      </c>
      <c r="M252" s="474">
        <f t="shared" si="24"/>
        <v>0.70833333333333337</v>
      </c>
      <c r="N252" s="519"/>
      <c r="P252" s="29" t="str">
        <f t="shared" si="25"/>
        <v>1971F2</v>
      </c>
      <c r="Q252" s="29" t="str">
        <f t="shared" si="26"/>
        <v>F217</v>
      </c>
      <c r="R252" s="29" t="str">
        <f t="shared" si="27"/>
        <v>JuneF2</v>
      </c>
    </row>
    <row r="253" spans="1:18">
      <c r="A253" s="483">
        <f t="shared" si="28"/>
        <v>249</v>
      </c>
      <c r="B253" s="484">
        <v>24</v>
      </c>
      <c r="C253" s="485">
        <v>26093</v>
      </c>
      <c r="D253" s="763" t="str">
        <f t="shared" si="22"/>
        <v>June</v>
      </c>
      <c r="E253" s="484">
        <v>9</v>
      </c>
      <c r="F253" s="472">
        <v>1971</v>
      </c>
      <c r="G253" s="484" t="s">
        <v>103</v>
      </c>
      <c r="H253" s="472" t="s">
        <v>126</v>
      </c>
      <c r="I253" s="486">
        <v>1320</v>
      </c>
      <c r="J253" s="486">
        <v>5.9</v>
      </c>
      <c r="K253" s="472">
        <f t="shared" si="29"/>
        <v>17</v>
      </c>
      <c r="L253" s="473">
        <v>0.70833333333333337</v>
      </c>
      <c r="M253" s="474">
        <f t="shared" si="24"/>
        <v>0.70833333333333337</v>
      </c>
      <c r="N253" s="519"/>
      <c r="P253" s="29" t="str">
        <f t="shared" si="25"/>
        <v>1971F4</v>
      </c>
      <c r="Q253" s="29" t="str">
        <f t="shared" si="26"/>
        <v>F417</v>
      </c>
      <c r="R253" s="29" t="str">
        <f t="shared" si="27"/>
        <v>JuneF4</v>
      </c>
    </row>
    <row r="254" spans="1:18">
      <c r="A254" s="483">
        <f t="shared" si="28"/>
        <v>250</v>
      </c>
      <c r="B254" s="484">
        <v>25</v>
      </c>
      <c r="C254" s="485">
        <v>26093</v>
      </c>
      <c r="D254" s="763" t="str">
        <f t="shared" si="22"/>
        <v>June</v>
      </c>
      <c r="E254" s="484">
        <v>9</v>
      </c>
      <c r="F254" s="472">
        <v>1971</v>
      </c>
      <c r="G254" s="484" t="s">
        <v>101</v>
      </c>
      <c r="H254" s="472" t="s">
        <v>122</v>
      </c>
      <c r="I254" s="486">
        <v>10</v>
      </c>
      <c r="J254" s="486">
        <v>0.1</v>
      </c>
      <c r="K254" s="472">
        <f t="shared" si="29"/>
        <v>17</v>
      </c>
      <c r="L254" s="473">
        <v>0.71250000000000002</v>
      </c>
      <c r="M254" s="474">
        <f t="shared" si="24"/>
        <v>0.71250000000000002</v>
      </c>
      <c r="N254" s="519"/>
      <c r="P254" s="29" t="str">
        <f t="shared" si="25"/>
        <v>1971F0</v>
      </c>
      <c r="Q254" s="29" t="str">
        <f t="shared" si="26"/>
        <v>F017</v>
      </c>
      <c r="R254" s="29" t="str">
        <f t="shared" si="27"/>
        <v>JuneF0</v>
      </c>
    </row>
    <row r="255" spans="1:18">
      <c r="A255" s="483">
        <f t="shared" si="28"/>
        <v>251</v>
      </c>
      <c r="B255" s="484">
        <v>26</v>
      </c>
      <c r="C255" s="485">
        <v>26093</v>
      </c>
      <c r="D255" s="763" t="str">
        <f t="shared" si="22"/>
        <v>June</v>
      </c>
      <c r="E255" s="484">
        <v>9</v>
      </c>
      <c r="F255" s="472">
        <v>1971</v>
      </c>
      <c r="G255" s="484" t="s">
        <v>109</v>
      </c>
      <c r="H255" s="472" t="s">
        <v>124</v>
      </c>
      <c r="I255" s="486">
        <v>440</v>
      </c>
      <c r="J255" s="486">
        <v>3</v>
      </c>
      <c r="K255" s="472">
        <f t="shared" si="29"/>
        <v>19</v>
      </c>
      <c r="L255" s="473">
        <v>0.79166666666666663</v>
      </c>
      <c r="M255" s="474">
        <f t="shared" si="24"/>
        <v>0.79166666666666663</v>
      </c>
      <c r="N255" s="519"/>
      <c r="P255" s="29" t="str">
        <f t="shared" si="25"/>
        <v>1971F2</v>
      </c>
      <c r="Q255" s="29" t="str">
        <f t="shared" si="26"/>
        <v>F219</v>
      </c>
      <c r="R255" s="29" t="str">
        <f t="shared" si="27"/>
        <v>JuneF2</v>
      </c>
    </row>
    <row r="256" spans="1:18">
      <c r="A256" s="483">
        <f t="shared" si="28"/>
        <v>252</v>
      </c>
      <c r="B256" s="484">
        <v>27</v>
      </c>
      <c r="C256" s="485">
        <v>26093</v>
      </c>
      <c r="D256" s="763" t="str">
        <f t="shared" si="22"/>
        <v>June</v>
      </c>
      <c r="E256" s="484">
        <v>9</v>
      </c>
      <c r="F256" s="472">
        <v>1971</v>
      </c>
      <c r="G256" s="484" t="s">
        <v>101</v>
      </c>
      <c r="H256" s="472" t="s">
        <v>123</v>
      </c>
      <c r="I256" s="486">
        <v>10</v>
      </c>
      <c r="J256" s="486">
        <v>0.1</v>
      </c>
      <c r="K256" s="472">
        <f t="shared" si="29"/>
        <v>20</v>
      </c>
      <c r="L256" s="473">
        <v>0.86458333333333337</v>
      </c>
      <c r="M256" s="474">
        <f t="shared" si="24"/>
        <v>0.86458333333333337</v>
      </c>
      <c r="N256" s="519"/>
      <c r="P256" s="29" t="str">
        <f t="shared" si="25"/>
        <v>1971F1</v>
      </c>
      <c r="Q256" s="29" t="str">
        <f t="shared" si="26"/>
        <v>F120</v>
      </c>
      <c r="R256" s="29" t="str">
        <f t="shared" si="27"/>
        <v>JuneF1</v>
      </c>
    </row>
    <row r="257" spans="1:18">
      <c r="A257" s="483">
        <f t="shared" si="28"/>
        <v>253</v>
      </c>
      <c r="B257" s="484">
        <v>28</v>
      </c>
      <c r="C257" s="485">
        <v>26093</v>
      </c>
      <c r="D257" s="763" t="str">
        <f t="shared" si="22"/>
        <v>June</v>
      </c>
      <c r="E257" s="484">
        <v>9</v>
      </c>
      <c r="F257" s="472">
        <v>1971</v>
      </c>
      <c r="G257" s="484" t="s">
        <v>104</v>
      </c>
      <c r="H257" s="472" t="s">
        <v>124</v>
      </c>
      <c r="I257" s="486">
        <v>10</v>
      </c>
      <c r="J257" s="486">
        <v>0.1</v>
      </c>
      <c r="K257" s="472">
        <f t="shared" si="29"/>
        <v>20</v>
      </c>
      <c r="L257" s="473">
        <v>0.86805555555555547</v>
      </c>
      <c r="M257" s="474">
        <f t="shared" ref="M257:M319" si="30">+L257</f>
        <v>0.86805555555555547</v>
      </c>
      <c r="N257" s="519"/>
      <c r="P257" s="29" t="str">
        <f t="shared" si="25"/>
        <v>1971F2</v>
      </c>
      <c r="Q257" s="29" t="str">
        <f t="shared" si="26"/>
        <v>F220</v>
      </c>
      <c r="R257" s="29" t="str">
        <f t="shared" si="27"/>
        <v>JuneF2</v>
      </c>
    </row>
    <row r="258" spans="1:18">
      <c r="A258" s="483">
        <f t="shared" si="28"/>
        <v>254</v>
      </c>
      <c r="B258" s="484">
        <v>29</v>
      </c>
      <c r="C258" s="485">
        <v>26093</v>
      </c>
      <c r="D258" s="763" t="str">
        <f t="shared" si="22"/>
        <v>June</v>
      </c>
      <c r="E258" s="484">
        <v>9</v>
      </c>
      <c r="F258" s="472">
        <v>1971</v>
      </c>
      <c r="G258" s="484" t="s">
        <v>104</v>
      </c>
      <c r="H258" s="472" t="s">
        <v>126</v>
      </c>
      <c r="I258" s="486">
        <v>1760</v>
      </c>
      <c r="J258" s="486">
        <v>15.9</v>
      </c>
      <c r="K258" s="472">
        <f t="shared" si="29"/>
        <v>20</v>
      </c>
      <c r="L258" s="473">
        <v>0.86805555555555547</v>
      </c>
      <c r="M258" s="474">
        <f t="shared" si="30"/>
        <v>0.86805555555555547</v>
      </c>
      <c r="N258" s="519"/>
      <c r="P258" s="29" t="str">
        <f t="shared" si="25"/>
        <v>1971F4</v>
      </c>
      <c r="Q258" s="29" t="str">
        <f t="shared" si="26"/>
        <v>F420</v>
      </c>
      <c r="R258" s="29" t="str">
        <f t="shared" si="27"/>
        <v>JuneF4</v>
      </c>
    </row>
    <row r="259" spans="1:18">
      <c r="A259" s="483">
        <f t="shared" si="28"/>
        <v>255</v>
      </c>
      <c r="B259" s="484">
        <v>30</v>
      </c>
      <c r="C259" s="485">
        <v>26093</v>
      </c>
      <c r="D259" s="763" t="str">
        <f t="shared" si="22"/>
        <v>June</v>
      </c>
      <c r="E259" s="484">
        <v>9</v>
      </c>
      <c r="F259" s="472">
        <v>1971</v>
      </c>
      <c r="G259" s="484" t="s">
        <v>100</v>
      </c>
      <c r="H259" s="472" t="s">
        <v>122</v>
      </c>
      <c r="I259" s="486">
        <v>10</v>
      </c>
      <c r="J259" s="486">
        <v>0.1</v>
      </c>
      <c r="K259" s="472">
        <f t="shared" si="29"/>
        <v>21</v>
      </c>
      <c r="L259" s="473">
        <v>0.89930555555555547</v>
      </c>
      <c r="M259" s="474">
        <f t="shared" si="30"/>
        <v>0.89930555555555547</v>
      </c>
      <c r="N259" s="519"/>
      <c r="P259" s="29" t="str">
        <f t="shared" si="25"/>
        <v>1971F0</v>
      </c>
      <c r="Q259" s="29" t="str">
        <f t="shared" si="26"/>
        <v>F021</v>
      </c>
      <c r="R259" s="29" t="str">
        <f t="shared" si="27"/>
        <v>JuneF0</v>
      </c>
    </row>
    <row r="260" spans="1:18">
      <c r="A260" s="483">
        <f t="shared" si="28"/>
        <v>256</v>
      </c>
      <c r="B260" s="484">
        <v>31</v>
      </c>
      <c r="C260" s="485">
        <v>26095</v>
      </c>
      <c r="D260" s="763" t="str">
        <f t="shared" si="22"/>
        <v>June</v>
      </c>
      <c r="E260" s="484">
        <v>11</v>
      </c>
      <c r="F260" s="472">
        <v>1971</v>
      </c>
      <c r="G260" s="484" t="s">
        <v>112</v>
      </c>
      <c r="H260" s="472" t="s">
        <v>123</v>
      </c>
      <c r="I260" s="486">
        <v>20</v>
      </c>
      <c r="J260" s="486">
        <v>0.1</v>
      </c>
      <c r="K260" s="472">
        <f t="shared" si="29"/>
        <v>16</v>
      </c>
      <c r="L260" s="473">
        <v>0.66666666666666663</v>
      </c>
      <c r="M260" s="474">
        <f t="shared" si="30"/>
        <v>0.66666666666666663</v>
      </c>
      <c r="N260" s="519"/>
      <c r="P260" s="29" t="str">
        <f t="shared" si="25"/>
        <v>1971F1</v>
      </c>
      <c r="Q260" s="29" t="str">
        <f t="shared" si="26"/>
        <v>F116</v>
      </c>
      <c r="R260" s="29" t="str">
        <f t="shared" si="27"/>
        <v>JuneF1</v>
      </c>
    </row>
    <row r="261" spans="1:18">
      <c r="A261" s="483">
        <f t="shared" si="28"/>
        <v>257</v>
      </c>
      <c r="B261" s="484">
        <v>32</v>
      </c>
      <c r="C261" s="485">
        <v>26095</v>
      </c>
      <c r="D261" s="763" t="str">
        <f t="shared" ref="D261:D324" si="31">+TEXT(C261,"mmmm")</f>
        <v>June</v>
      </c>
      <c r="E261" s="484">
        <v>11</v>
      </c>
      <c r="F261" s="472">
        <v>1971</v>
      </c>
      <c r="G261" s="484" t="s">
        <v>109</v>
      </c>
      <c r="H261" s="472" t="s">
        <v>123</v>
      </c>
      <c r="I261" s="486">
        <v>6</v>
      </c>
      <c r="J261" s="486">
        <v>0.1</v>
      </c>
      <c r="K261" s="472">
        <f t="shared" si="29"/>
        <v>19</v>
      </c>
      <c r="L261" s="473">
        <v>0.79166666666666663</v>
      </c>
      <c r="M261" s="474">
        <f t="shared" si="30"/>
        <v>0.79166666666666663</v>
      </c>
      <c r="N261" s="519"/>
      <c r="P261" s="29" t="str">
        <f t="shared" si="25"/>
        <v>1971F1</v>
      </c>
      <c r="Q261" s="29" t="str">
        <f t="shared" si="26"/>
        <v>F119</v>
      </c>
      <c r="R261" s="29" t="str">
        <f t="shared" si="27"/>
        <v>JuneF1</v>
      </c>
    </row>
    <row r="262" spans="1:18">
      <c r="A262" s="483">
        <f t="shared" si="28"/>
        <v>258</v>
      </c>
      <c r="B262" s="484">
        <v>33</v>
      </c>
      <c r="C262" s="485">
        <v>26097</v>
      </c>
      <c r="D262" s="763" t="str">
        <f t="shared" si="31"/>
        <v>June</v>
      </c>
      <c r="E262" s="484">
        <v>13</v>
      </c>
      <c r="F262" s="472">
        <v>1971</v>
      </c>
      <c r="G262" s="484" t="s">
        <v>109</v>
      </c>
      <c r="H262" s="472" t="s">
        <v>123</v>
      </c>
      <c r="I262" s="486">
        <v>20</v>
      </c>
      <c r="J262" s="486">
        <v>1</v>
      </c>
      <c r="K262" s="472">
        <f t="shared" si="29"/>
        <v>16</v>
      </c>
      <c r="L262" s="473">
        <v>0.6875</v>
      </c>
      <c r="M262" s="474">
        <f t="shared" si="30"/>
        <v>0.6875</v>
      </c>
      <c r="N262" s="519"/>
      <c r="P262" s="29" t="str">
        <f t="shared" ref="P262:P325" si="32">CONCATENATE(F262,H262)</f>
        <v>1971F1</v>
      </c>
      <c r="Q262" s="29" t="str">
        <f t="shared" ref="Q262:Q325" si="33">CONCATENATE(H262,K262)</f>
        <v>F116</v>
      </c>
      <c r="R262" s="29" t="str">
        <f t="shared" ref="R262:R325" si="34">CONCATENATE(D262,H262)</f>
        <v>JuneF1</v>
      </c>
    </row>
    <row r="263" spans="1:18">
      <c r="A263" s="483">
        <f t="shared" ref="A263:A326" si="35">+A262+1</f>
        <v>259</v>
      </c>
      <c r="B263" s="484">
        <v>34</v>
      </c>
      <c r="C263" s="485">
        <v>26151</v>
      </c>
      <c r="D263" s="763" t="str">
        <f t="shared" si="31"/>
        <v>August</v>
      </c>
      <c r="E263" s="484">
        <v>6</v>
      </c>
      <c r="F263" s="472">
        <v>1971</v>
      </c>
      <c r="G263" s="484" t="s">
        <v>114</v>
      </c>
      <c r="H263" s="472" t="s">
        <v>123</v>
      </c>
      <c r="I263" s="486">
        <v>50</v>
      </c>
      <c r="J263" s="486">
        <v>2</v>
      </c>
      <c r="K263" s="472">
        <f t="shared" si="29"/>
        <v>16</v>
      </c>
      <c r="L263" s="473">
        <v>0.6875</v>
      </c>
      <c r="M263" s="474">
        <f t="shared" si="30"/>
        <v>0.6875</v>
      </c>
      <c r="N263" s="519"/>
      <c r="P263" s="29" t="str">
        <f t="shared" si="32"/>
        <v>1971F1</v>
      </c>
      <c r="Q263" s="29" t="str">
        <f t="shared" si="33"/>
        <v>F116</v>
      </c>
      <c r="R263" s="29" t="str">
        <f t="shared" si="34"/>
        <v>AugustF1</v>
      </c>
    </row>
    <row r="264" spans="1:18">
      <c r="A264" s="483">
        <f t="shared" si="35"/>
        <v>260</v>
      </c>
      <c r="B264" s="484">
        <v>35</v>
      </c>
      <c r="C264" s="485">
        <v>26223</v>
      </c>
      <c r="D264" s="763" t="str">
        <f t="shared" si="31"/>
        <v>October</v>
      </c>
      <c r="E264" s="484">
        <v>17</v>
      </c>
      <c r="F264" s="472">
        <v>1971</v>
      </c>
      <c r="G264" s="484" t="s">
        <v>114</v>
      </c>
      <c r="H264" s="472" t="s">
        <v>123</v>
      </c>
      <c r="I264" s="486">
        <v>50</v>
      </c>
      <c r="J264" s="486">
        <v>0.3</v>
      </c>
      <c r="K264" s="472">
        <f t="shared" si="29"/>
        <v>17</v>
      </c>
      <c r="L264" s="473">
        <v>0.70833333333333337</v>
      </c>
      <c r="M264" s="474">
        <f t="shared" si="30"/>
        <v>0.70833333333333337</v>
      </c>
      <c r="N264" s="519"/>
      <c r="P264" s="29" t="str">
        <f t="shared" si="32"/>
        <v>1971F1</v>
      </c>
      <c r="Q264" s="29" t="str">
        <f t="shared" si="33"/>
        <v>F117</v>
      </c>
      <c r="R264" s="29" t="str">
        <f t="shared" si="34"/>
        <v>OctoberF1</v>
      </c>
    </row>
    <row r="265" spans="1:18">
      <c r="A265" s="483">
        <f t="shared" si="35"/>
        <v>261</v>
      </c>
      <c r="B265" s="484">
        <v>36</v>
      </c>
      <c r="C265" s="485">
        <v>26223</v>
      </c>
      <c r="D265" s="763" t="str">
        <f t="shared" si="31"/>
        <v>October</v>
      </c>
      <c r="E265" s="484">
        <v>17</v>
      </c>
      <c r="F265" s="472">
        <v>1971</v>
      </c>
      <c r="G265" s="484" t="s">
        <v>104</v>
      </c>
      <c r="H265" s="472" t="s">
        <v>123</v>
      </c>
      <c r="I265" s="486">
        <v>17</v>
      </c>
      <c r="J265" s="486">
        <v>0.1</v>
      </c>
      <c r="K265" s="472">
        <f t="shared" si="29"/>
        <v>18</v>
      </c>
      <c r="L265" s="473">
        <v>0.77083333333333337</v>
      </c>
      <c r="M265" s="474">
        <f t="shared" si="30"/>
        <v>0.77083333333333337</v>
      </c>
      <c r="N265" s="519"/>
      <c r="P265" s="29" t="str">
        <f t="shared" si="32"/>
        <v>1971F1</v>
      </c>
      <c r="Q265" s="29" t="str">
        <f t="shared" si="33"/>
        <v>F118</v>
      </c>
      <c r="R265" s="29" t="str">
        <f t="shared" si="34"/>
        <v>OctoberF1</v>
      </c>
    </row>
    <row r="266" spans="1:18">
      <c r="A266" s="483">
        <f t="shared" si="35"/>
        <v>262</v>
      </c>
      <c r="B266" s="484">
        <v>37</v>
      </c>
      <c r="C266" s="485">
        <v>26223</v>
      </c>
      <c r="D266" s="763" t="str">
        <f t="shared" si="31"/>
        <v>October</v>
      </c>
      <c r="E266" s="484">
        <v>17</v>
      </c>
      <c r="F266" s="472">
        <v>1971</v>
      </c>
      <c r="G266" s="484" t="s">
        <v>110</v>
      </c>
      <c r="H266" s="472" t="s">
        <v>123</v>
      </c>
      <c r="I266" s="486">
        <v>20</v>
      </c>
      <c r="J266" s="486">
        <v>0.5</v>
      </c>
      <c r="K266" s="472">
        <f t="shared" si="29"/>
        <v>19</v>
      </c>
      <c r="L266" s="473">
        <v>0.79166666666666663</v>
      </c>
      <c r="M266" s="474">
        <f t="shared" si="30"/>
        <v>0.79166666666666663</v>
      </c>
      <c r="N266" s="519"/>
      <c r="P266" s="29" t="str">
        <f t="shared" si="32"/>
        <v>1971F1</v>
      </c>
      <c r="Q266" s="29" t="str">
        <f t="shared" si="33"/>
        <v>F119</v>
      </c>
      <c r="R266" s="29" t="str">
        <f t="shared" si="34"/>
        <v>OctoberF1</v>
      </c>
    </row>
    <row r="267" spans="1:18">
      <c r="A267" s="483">
        <f t="shared" si="35"/>
        <v>263</v>
      </c>
      <c r="B267" s="484">
        <v>38</v>
      </c>
      <c r="C267" s="485">
        <v>26223</v>
      </c>
      <c r="D267" s="763" t="str">
        <f t="shared" si="31"/>
        <v>October</v>
      </c>
      <c r="E267" s="484">
        <v>17</v>
      </c>
      <c r="F267" s="472">
        <v>1971</v>
      </c>
      <c r="G267" s="484" t="s">
        <v>110</v>
      </c>
      <c r="H267" s="472" t="s">
        <v>123</v>
      </c>
      <c r="I267" s="486">
        <v>20</v>
      </c>
      <c r="J267" s="486">
        <v>0.5</v>
      </c>
      <c r="K267" s="472">
        <f t="shared" si="29"/>
        <v>19</v>
      </c>
      <c r="L267" s="473">
        <v>0.79166666666666663</v>
      </c>
      <c r="M267" s="474">
        <f t="shared" si="30"/>
        <v>0.79166666666666663</v>
      </c>
      <c r="N267" s="519"/>
      <c r="P267" s="29" t="str">
        <f t="shared" si="32"/>
        <v>1971F1</v>
      </c>
      <c r="Q267" s="29" t="str">
        <f t="shared" si="33"/>
        <v>F119</v>
      </c>
      <c r="R267" s="29" t="str">
        <f t="shared" si="34"/>
        <v>OctoberF1</v>
      </c>
    </row>
    <row r="268" spans="1:18">
      <c r="A268" s="483">
        <f t="shared" si="35"/>
        <v>264</v>
      </c>
      <c r="B268" s="484">
        <v>39</v>
      </c>
      <c r="C268" s="485">
        <v>26223</v>
      </c>
      <c r="D268" s="763" t="str">
        <f t="shared" si="31"/>
        <v>October</v>
      </c>
      <c r="E268" s="484">
        <v>17</v>
      </c>
      <c r="F268" s="472">
        <v>1971</v>
      </c>
      <c r="G268" s="484" t="s">
        <v>114</v>
      </c>
      <c r="H268" s="472" t="s">
        <v>125</v>
      </c>
      <c r="I268" s="486">
        <v>100</v>
      </c>
      <c r="J268" s="486">
        <v>2.2999999999999998</v>
      </c>
      <c r="K268" s="472">
        <f t="shared" si="29"/>
        <v>21</v>
      </c>
      <c r="L268" s="473">
        <v>0.89583333333333337</v>
      </c>
      <c r="M268" s="474">
        <f t="shared" si="30"/>
        <v>0.89583333333333337</v>
      </c>
      <c r="N268" s="519"/>
      <c r="P268" s="29" t="str">
        <f t="shared" si="32"/>
        <v>1971F3</v>
      </c>
      <c r="Q268" s="29" t="str">
        <f t="shared" si="33"/>
        <v>F321</v>
      </c>
      <c r="R268" s="29" t="str">
        <f t="shared" si="34"/>
        <v>OctoberF3</v>
      </c>
    </row>
    <row r="269" spans="1:18">
      <c r="A269" s="483">
        <f t="shared" si="35"/>
        <v>265</v>
      </c>
      <c r="B269" s="484">
        <v>1</v>
      </c>
      <c r="C269" s="485">
        <v>26414</v>
      </c>
      <c r="D269" s="763" t="str">
        <f t="shared" si="31"/>
        <v>April</v>
      </c>
      <c r="E269" s="484">
        <v>25</v>
      </c>
      <c r="F269" s="472">
        <v>1972</v>
      </c>
      <c r="G269" s="484" t="s">
        <v>103</v>
      </c>
      <c r="H269" s="472" t="s">
        <v>123</v>
      </c>
      <c r="I269" s="486">
        <v>10</v>
      </c>
      <c r="J269" s="486">
        <v>0.5</v>
      </c>
      <c r="K269" s="472">
        <f t="shared" si="29"/>
        <v>21</v>
      </c>
      <c r="L269" s="473">
        <v>0.88541666666666663</v>
      </c>
      <c r="M269" s="474">
        <f t="shared" si="30"/>
        <v>0.88541666666666663</v>
      </c>
      <c r="N269" s="519"/>
      <c r="P269" s="29" t="str">
        <f t="shared" si="32"/>
        <v>1972F1</v>
      </c>
      <c r="Q269" s="29" t="str">
        <f t="shared" si="33"/>
        <v>F121</v>
      </c>
      <c r="R269" s="29" t="str">
        <f t="shared" si="34"/>
        <v>AprilF1</v>
      </c>
    </row>
    <row r="270" spans="1:18">
      <c r="A270" s="483">
        <f t="shared" si="35"/>
        <v>266</v>
      </c>
      <c r="B270" s="484">
        <v>2</v>
      </c>
      <c r="C270" s="485">
        <v>26414</v>
      </c>
      <c r="D270" s="763" t="str">
        <f t="shared" si="31"/>
        <v>April</v>
      </c>
      <c r="E270" s="484">
        <v>25</v>
      </c>
      <c r="F270" s="472">
        <v>1972</v>
      </c>
      <c r="G270" s="484" t="s">
        <v>101</v>
      </c>
      <c r="H270" s="472" t="s">
        <v>123</v>
      </c>
      <c r="I270" s="486">
        <v>17</v>
      </c>
      <c r="J270" s="486">
        <v>0.1</v>
      </c>
      <c r="K270" s="472">
        <f t="shared" si="29"/>
        <v>23</v>
      </c>
      <c r="L270" s="473">
        <v>0.98958333333333337</v>
      </c>
      <c r="M270" s="474">
        <f t="shared" si="30"/>
        <v>0.98958333333333337</v>
      </c>
      <c r="N270" s="519"/>
      <c r="P270" s="29" t="str">
        <f t="shared" si="32"/>
        <v>1972F1</v>
      </c>
      <c r="Q270" s="29" t="str">
        <f t="shared" si="33"/>
        <v>F123</v>
      </c>
      <c r="R270" s="29" t="str">
        <f t="shared" si="34"/>
        <v>AprilF1</v>
      </c>
    </row>
    <row r="271" spans="1:18">
      <c r="A271" s="483">
        <f t="shared" si="35"/>
        <v>267</v>
      </c>
      <c r="B271" s="484">
        <v>3</v>
      </c>
      <c r="C271" s="485">
        <v>26418</v>
      </c>
      <c r="D271" s="763" t="str">
        <f t="shared" si="31"/>
        <v>April</v>
      </c>
      <c r="E271" s="484">
        <v>29</v>
      </c>
      <c r="F271" s="472">
        <v>1972</v>
      </c>
      <c r="G271" s="484" t="s">
        <v>110</v>
      </c>
      <c r="H271" s="472" t="s">
        <v>123</v>
      </c>
      <c r="I271" s="486">
        <v>50</v>
      </c>
      <c r="J271" s="486">
        <v>0.1</v>
      </c>
      <c r="K271" s="472">
        <f t="shared" si="29"/>
        <v>16</v>
      </c>
      <c r="L271" s="473">
        <v>0.69097222222222221</v>
      </c>
      <c r="M271" s="474">
        <f t="shared" si="30"/>
        <v>0.69097222222222221</v>
      </c>
      <c r="N271" s="519"/>
      <c r="P271" s="29" t="str">
        <f t="shared" si="32"/>
        <v>1972F1</v>
      </c>
      <c r="Q271" s="29" t="str">
        <f t="shared" si="33"/>
        <v>F116</v>
      </c>
      <c r="R271" s="29" t="str">
        <f t="shared" si="34"/>
        <v>AprilF1</v>
      </c>
    </row>
    <row r="272" spans="1:18">
      <c r="A272" s="483">
        <f t="shared" si="35"/>
        <v>268</v>
      </c>
      <c r="B272" s="484">
        <v>4</v>
      </c>
      <c r="C272" s="485">
        <v>26418</v>
      </c>
      <c r="D272" s="763" t="str">
        <f t="shared" si="31"/>
        <v>April</v>
      </c>
      <c r="E272" s="484">
        <v>29</v>
      </c>
      <c r="F272" s="472">
        <v>1972</v>
      </c>
      <c r="G272" s="484" t="s">
        <v>121</v>
      </c>
      <c r="H272" s="472" t="s">
        <v>123</v>
      </c>
      <c r="I272" s="486">
        <v>880</v>
      </c>
      <c r="J272" s="486">
        <v>11.1</v>
      </c>
      <c r="K272" s="472">
        <f t="shared" si="29"/>
        <v>19</v>
      </c>
      <c r="L272" s="473">
        <v>0.8125</v>
      </c>
      <c r="M272" s="474">
        <f t="shared" si="30"/>
        <v>0.8125</v>
      </c>
      <c r="N272" s="519"/>
      <c r="P272" s="29" t="str">
        <f t="shared" si="32"/>
        <v>1972F1</v>
      </c>
      <c r="Q272" s="29" t="str">
        <f t="shared" si="33"/>
        <v>F119</v>
      </c>
      <c r="R272" s="29" t="str">
        <f t="shared" si="34"/>
        <v>AprilF1</v>
      </c>
    </row>
    <row r="273" spans="1:18">
      <c r="A273" s="483">
        <f t="shared" si="35"/>
        <v>269</v>
      </c>
      <c r="B273" s="484">
        <v>5</v>
      </c>
      <c r="C273" s="485">
        <v>26423</v>
      </c>
      <c r="D273" s="763" t="str">
        <f t="shared" si="31"/>
        <v>May</v>
      </c>
      <c r="E273" s="484">
        <v>4</v>
      </c>
      <c r="F273" s="472">
        <v>1972</v>
      </c>
      <c r="G273" s="484" t="s">
        <v>121</v>
      </c>
      <c r="H273" s="472" t="s">
        <v>123</v>
      </c>
      <c r="I273" s="486">
        <v>50</v>
      </c>
      <c r="J273" s="486">
        <v>0.5</v>
      </c>
      <c r="K273" s="472">
        <f t="shared" si="29"/>
        <v>16</v>
      </c>
      <c r="L273" s="473">
        <v>0.67708333333333337</v>
      </c>
      <c r="M273" s="474">
        <f t="shared" si="30"/>
        <v>0.67708333333333337</v>
      </c>
      <c r="N273" s="519"/>
      <c r="P273" s="29" t="str">
        <f t="shared" si="32"/>
        <v>1972F1</v>
      </c>
      <c r="Q273" s="29" t="str">
        <f t="shared" si="33"/>
        <v>F116</v>
      </c>
      <c r="R273" s="29" t="str">
        <f t="shared" si="34"/>
        <v>MayF1</v>
      </c>
    </row>
    <row r="274" spans="1:18">
      <c r="A274" s="483">
        <f t="shared" si="35"/>
        <v>270</v>
      </c>
      <c r="B274" s="484">
        <v>6</v>
      </c>
      <c r="C274" s="485">
        <v>26428</v>
      </c>
      <c r="D274" s="763" t="str">
        <f t="shared" si="31"/>
        <v>May</v>
      </c>
      <c r="E274" s="484">
        <v>9</v>
      </c>
      <c r="F274" s="472">
        <v>1972</v>
      </c>
      <c r="G274" s="484" t="s">
        <v>118</v>
      </c>
      <c r="H274" s="472" t="s">
        <v>123</v>
      </c>
      <c r="I274" s="486">
        <v>20</v>
      </c>
      <c r="J274" s="486">
        <v>0.5</v>
      </c>
      <c r="K274" s="472">
        <f t="shared" si="29"/>
        <v>20</v>
      </c>
      <c r="L274" s="473">
        <v>0.83611111111111114</v>
      </c>
      <c r="M274" s="474">
        <f t="shared" si="30"/>
        <v>0.83611111111111114</v>
      </c>
      <c r="N274" s="519"/>
      <c r="P274" s="29" t="str">
        <f t="shared" si="32"/>
        <v>1972F1</v>
      </c>
      <c r="Q274" s="29" t="str">
        <f t="shared" si="33"/>
        <v>F120</v>
      </c>
      <c r="R274" s="29" t="str">
        <f t="shared" si="34"/>
        <v>MayF1</v>
      </c>
    </row>
    <row r="275" spans="1:18">
      <c r="A275" s="483">
        <f t="shared" si="35"/>
        <v>271</v>
      </c>
      <c r="B275" s="484">
        <v>7</v>
      </c>
      <c r="C275" s="485">
        <v>26429</v>
      </c>
      <c r="D275" s="763" t="str">
        <f t="shared" si="31"/>
        <v>May</v>
      </c>
      <c r="E275" s="484">
        <v>10</v>
      </c>
      <c r="F275" s="472">
        <v>1972</v>
      </c>
      <c r="G275" s="484" t="s">
        <v>107</v>
      </c>
      <c r="H275" s="472" t="s">
        <v>123</v>
      </c>
      <c r="I275" s="486">
        <v>10</v>
      </c>
      <c r="J275" s="486">
        <v>0.1</v>
      </c>
      <c r="K275" s="472">
        <f t="shared" si="29"/>
        <v>16</v>
      </c>
      <c r="L275" s="473">
        <v>0.68402777777777779</v>
      </c>
      <c r="M275" s="474">
        <f t="shared" si="30"/>
        <v>0.68402777777777779</v>
      </c>
      <c r="N275" s="519"/>
      <c r="P275" s="29" t="str">
        <f t="shared" si="32"/>
        <v>1972F1</v>
      </c>
      <c r="Q275" s="29" t="str">
        <f t="shared" si="33"/>
        <v>F116</v>
      </c>
      <c r="R275" s="29" t="str">
        <f t="shared" si="34"/>
        <v>MayF1</v>
      </c>
    </row>
    <row r="276" spans="1:18">
      <c r="A276" s="483">
        <f t="shared" si="35"/>
        <v>272</v>
      </c>
      <c r="B276" s="484">
        <v>8</v>
      </c>
      <c r="C276" s="485">
        <v>26429</v>
      </c>
      <c r="D276" s="763" t="str">
        <f t="shared" si="31"/>
        <v>May</v>
      </c>
      <c r="E276" s="484">
        <v>10</v>
      </c>
      <c r="F276" s="472">
        <v>1972</v>
      </c>
      <c r="G276" s="484" t="s">
        <v>107</v>
      </c>
      <c r="H276" s="472" t="s">
        <v>123</v>
      </c>
      <c r="I276" s="486">
        <v>10</v>
      </c>
      <c r="J276" s="486">
        <v>0.1</v>
      </c>
      <c r="K276" s="472">
        <f t="shared" si="29"/>
        <v>16</v>
      </c>
      <c r="L276" s="473">
        <v>0.68402777777777779</v>
      </c>
      <c r="M276" s="474">
        <f t="shared" si="30"/>
        <v>0.68402777777777779</v>
      </c>
      <c r="N276" s="519"/>
      <c r="P276" s="29" t="str">
        <f t="shared" si="32"/>
        <v>1972F1</v>
      </c>
      <c r="Q276" s="29" t="str">
        <f t="shared" si="33"/>
        <v>F116</v>
      </c>
      <c r="R276" s="29" t="str">
        <f t="shared" si="34"/>
        <v>MayF1</v>
      </c>
    </row>
    <row r="277" spans="1:18">
      <c r="A277" s="483">
        <f t="shared" si="35"/>
        <v>273</v>
      </c>
      <c r="B277" s="484">
        <v>9</v>
      </c>
      <c r="C277" s="485">
        <v>26429</v>
      </c>
      <c r="D277" s="763" t="str">
        <f t="shared" si="31"/>
        <v>May</v>
      </c>
      <c r="E277" s="484">
        <v>10</v>
      </c>
      <c r="F277" s="472">
        <v>1972</v>
      </c>
      <c r="G277" s="484" t="s">
        <v>102</v>
      </c>
      <c r="H277" s="472" t="s">
        <v>124</v>
      </c>
      <c r="I277" s="486">
        <v>100</v>
      </c>
      <c r="J277" s="486">
        <v>1</v>
      </c>
      <c r="K277" s="472">
        <f t="shared" si="29"/>
        <v>19</v>
      </c>
      <c r="L277" s="473">
        <v>0.82291666666666663</v>
      </c>
      <c r="M277" s="474">
        <f t="shared" si="30"/>
        <v>0.82291666666666663</v>
      </c>
      <c r="N277" s="519"/>
      <c r="P277" s="29" t="str">
        <f t="shared" si="32"/>
        <v>1972F2</v>
      </c>
      <c r="Q277" s="29" t="str">
        <f t="shared" si="33"/>
        <v>F219</v>
      </c>
      <c r="R277" s="29" t="str">
        <f t="shared" si="34"/>
        <v>MayF2</v>
      </c>
    </row>
    <row r="278" spans="1:18">
      <c r="A278" s="483">
        <f t="shared" si="35"/>
        <v>274</v>
      </c>
      <c r="B278" s="484">
        <v>10</v>
      </c>
      <c r="C278" s="485">
        <v>26429</v>
      </c>
      <c r="D278" s="763" t="str">
        <f t="shared" si="31"/>
        <v>May</v>
      </c>
      <c r="E278" s="484">
        <v>10</v>
      </c>
      <c r="F278" s="472">
        <v>1972</v>
      </c>
      <c r="G278" s="484" t="s">
        <v>102</v>
      </c>
      <c r="H278" s="472" t="s">
        <v>124</v>
      </c>
      <c r="I278" s="486">
        <v>100</v>
      </c>
      <c r="J278" s="486">
        <v>1</v>
      </c>
      <c r="K278" s="472">
        <f t="shared" ref="K278:K340" si="36">HOUR(M278)</f>
        <v>19</v>
      </c>
      <c r="L278" s="473">
        <v>0.82291666666666663</v>
      </c>
      <c r="M278" s="474">
        <f t="shared" si="30"/>
        <v>0.82291666666666663</v>
      </c>
      <c r="N278" s="519"/>
      <c r="P278" s="29" t="str">
        <f t="shared" si="32"/>
        <v>1972F2</v>
      </c>
      <c r="Q278" s="29" t="str">
        <f t="shared" si="33"/>
        <v>F219</v>
      </c>
      <c r="R278" s="29" t="str">
        <f t="shared" si="34"/>
        <v>MayF2</v>
      </c>
    </row>
    <row r="279" spans="1:18">
      <c r="A279" s="483">
        <f t="shared" si="35"/>
        <v>275</v>
      </c>
      <c r="B279" s="484">
        <v>11</v>
      </c>
      <c r="C279" s="485">
        <v>26432</v>
      </c>
      <c r="D279" s="763" t="str">
        <f t="shared" si="31"/>
        <v>May</v>
      </c>
      <c r="E279" s="484">
        <v>13</v>
      </c>
      <c r="F279" s="472">
        <v>1972</v>
      </c>
      <c r="G279" s="484" t="s">
        <v>103</v>
      </c>
      <c r="H279" s="472" t="s">
        <v>123</v>
      </c>
      <c r="I279" s="486">
        <v>100</v>
      </c>
      <c r="J279" s="486">
        <v>0.5</v>
      </c>
      <c r="K279" s="472">
        <f t="shared" si="36"/>
        <v>12</v>
      </c>
      <c r="L279" s="473">
        <v>0.51041666666666663</v>
      </c>
      <c r="M279" s="474">
        <f t="shared" si="30"/>
        <v>0.51041666666666663</v>
      </c>
      <c r="N279" s="519"/>
      <c r="P279" s="29" t="str">
        <f t="shared" si="32"/>
        <v>1972F1</v>
      </c>
      <c r="Q279" s="29" t="str">
        <f t="shared" si="33"/>
        <v>F112</v>
      </c>
      <c r="R279" s="29" t="str">
        <f t="shared" si="34"/>
        <v>MayF1</v>
      </c>
    </row>
    <row r="280" spans="1:18">
      <c r="A280" s="483">
        <f t="shared" si="35"/>
        <v>276</v>
      </c>
      <c r="B280" s="484">
        <v>12</v>
      </c>
      <c r="C280" s="485">
        <v>26443</v>
      </c>
      <c r="D280" s="763" t="str">
        <f t="shared" si="31"/>
        <v>May</v>
      </c>
      <c r="E280" s="484">
        <v>24</v>
      </c>
      <c r="F280" s="472">
        <v>1972</v>
      </c>
      <c r="G280" s="484" t="s">
        <v>105</v>
      </c>
      <c r="H280" s="472" t="s">
        <v>123</v>
      </c>
      <c r="I280" s="486">
        <v>440</v>
      </c>
      <c r="J280" s="486">
        <v>4.3</v>
      </c>
      <c r="K280" s="472">
        <f t="shared" si="36"/>
        <v>16</v>
      </c>
      <c r="L280" s="473">
        <v>0.6875</v>
      </c>
      <c r="M280" s="474">
        <f t="shared" si="30"/>
        <v>0.6875</v>
      </c>
      <c r="N280" s="519"/>
      <c r="P280" s="29" t="str">
        <f t="shared" si="32"/>
        <v>1972F1</v>
      </c>
      <c r="Q280" s="29" t="str">
        <f t="shared" si="33"/>
        <v>F116</v>
      </c>
      <c r="R280" s="29" t="str">
        <f t="shared" si="34"/>
        <v>MayF1</v>
      </c>
    </row>
    <row r="281" spans="1:18">
      <c r="A281" s="483">
        <f t="shared" si="35"/>
        <v>277</v>
      </c>
      <c r="B281" s="484">
        <v>13</v>
      </c>
      <c r="C281" s="485">
        <v>26465</v>
      </c>
      <c r="D281" s="763" t="str">
        <f t="shared" si="31"/>
        <v>June</v>
      </c>
      <c r="E281" s="484">
        <v>15</v>
      </c>
      <c r="F281" s="472">
        <v>1972</v>
      </c>
      <c r="G281" s="484" t="s">
        <v>104</v>
      </c>
      <c r="H281" s="472" t="s">
        <v>123</v>
      </c>
      <c r="I281" s="486">
        <v>20</v>
      </c>
      <c r="J281" s="486">
        <v>3.6</v>
      </c>
      <c r="K281" s="472">
        <f t="shared" si="36"/>
        <v>16</v>
      </c>
      <c r="L281" s="473">
        <v>0.69097222222222221</v>
      </c>
      <c r="M281" s="474">
        <f t="shared" si="30"/>
        <v>0.69097222222222221</v>
      </c>
      <c r="N281" s="519"/>
      <c r="P281" s="29" t="str">
        <f t="shared" si="32"/>
        <v>1972F1</v>
      </c>
      <c r="Q281" s="29" t="str">
        <f t="shared" si="33"/>
        <v>F116</v>
      </c>
      <c r="R281" s="29" t="str">
        <f t="shared" si="34"/>
        <v>JuneF1</v>
      </c>
    </row>
    <row r="282" spans="1:18">
      <c r="A282" s="483">
        <f t="shared" si="35"/>
        <v>278</v>
      </c>
      <c r="B282" s="484">
        <v>14</v>
      </c>
      <c r="C282" s="485">
        <v>26471</v>
      </c>
      <c r="D282" s="763" t="str">
        <f t="shared" si="31"/>
        <v>June</v>
      </c>
      <c r="E282" s="484">
        <v>21</v>
      </c>
      <c r="F282" s="472">
        <v>1972</v>
      </c>
      <c r="G282" s="484" t="s">
        <v>117</v>
      </c>
      <c r="H282" s="472" t="s">
        <v>123</v>
      </c>
      <c r="I282" s="486">
        <v>20</v>
      </c>
      <c r="J282" s="486">
        <v>5.9</v>
      </c>
      <c r="K282" s="472">
        <f t="shared" si="36"/>
        <v>20</v>
      </c>
      <c r="L282" s="473">
        <v>0.86458333333333337</v>
      </c>
      <c r="M282" s="474">
        <f t="shared" si="30"/>
        <v>0.86458333333333337</v>
      </c>
      <c r="N282" s="519"/>
      <c r="P282" s="29" t="str">
        <f t="shared" si="32"/>
        <v>1972F1</v>
      </c>
      <c r="Q282" s="29" t="str">
        <f t="shared" si="33"/>
        <v>F120</v>
      </c>
      <c r="R282" s="29" t="str">
        <f t="shared" si="34"/>
        <v>JuneF1</v>
      </c>
    </row>
    <row r="283" spans="1:18">
      <c r="A283" s="483">
        <f t="shared" si="35"/>
        <v>279</v>
      </c>
      <c r="B283" s="484">
        <v>15</v>
      </c>
      <c r="C283" s="485">
        <v>26471</v>
      </c>
      <c r="D283" s="763" t="str">
        <f t="shared" si="31"/>
        <v>June</v>
      </c>
      <c r="E283" s="484">
        <v>21</v>
      </c>
      <c r="F283" s="472">
        <v>1972</v>
      </c>
      <c r="G283" s="484" t="s">
        <v>117</v>
      </c>
      <c r="H283" s="472" t="s">
        <v>123</v>
      </c>
      <c r="I283" s="486">
        <v>20</v>
      </c>
      <c r="J283" s="486">
        <v>1</v>
      </c>
      <c r="K283" s="472">
        <f t="shared" si="36"/>
        <v>20</v>
      </c>
      <c r="L283" s="473">
        <v>0.86458333333333337</v>
      </c>
      <c r="M283" s="474">
        <f t="shared" si="30"/>
        <v>0.86458333333333337</v>
      </c>
      <c r="N283" s="519"/>
      <c r="P283" s="29" t="str">
        <f t="shared" si="32"/>
        <v>1972F1</v>
      </c>
      <c r="Q283" s="29" t="str">
        <f t="shared" si="33"/>
        <v>F120</v>
      </c>
      <c r="R283" s="29" t="str">
        <f t="shared" si="34"/>
        <v>JuneF1</v>
      </c>
    </row>
    <row r="284" spans="1:18">
      <c r="A284" s="483">
        <f t="shared" si="35"/>
        <v>280</v>
      </c>
      <c r="B284" s="484">
        <v>16</v>
      </c>
      <c r="C284" s="485">
        <v>26471</v>
      </c>
      <c r="D284" s="763" t="str">
        <f t="shared" si="31"/>
        <v>June</v>
      </c>
      <c r="E284" s="484">
        <v>21</v>
      </c>
      <c r="F284" s="472">
        <v>1972</v>
      </c>
      <c r="G284" s="484" t="s">
        <v>113</v>
      </c>
      <c r="H284" s="472" t="s">
        <v>124</v>
      </c>
      <c r="I284" s="486">
        <v>100</v>
      </c>
      <c r="J284" s="486">
        <v>4.0999999999999996</v>
      </c>
      <c r="K284" s="472">
        <f t="shared" si="36"/>
        <v>21</v>
      </c>
      <c r="L284" s="473">
        <v>0.88541666666666663</v>
      </c>
      <c r="M284" s="474">
        <f t="shared" si="30"/>
        <v>0.88541666666666663</v>
      </c>
      <c r="N284" s="519"/>
      <c r="P284" s="29" t="str">
        <f t="shared" si="32"/>
        <v>1972F2</v>
      </c>
      <c r="Q284" s="29" t="str">
        <f t="shared" si="33"/>
        <v>F221</v>
      </c>
      <c r="R284" s="29" t="str">
        <f t="shared" si="34"/>
        <v>JuneF2</v>
      </c>
    </row>
    <row r="285" spans="1:18">
      <c r="A285" s="483">
        <f t="shared" si="35"/>
        <v>281</v>
      </c>
      <c r="B285" s="484">
        <v>17</v>
      </c>
      <c r="C285" s="485">
        <v>26482</v>
      </c>
      <c r="D285" s="763" t="str">
        <f t="shared" si="31"/>
        <v>July</v>
      </c>
      <c r="E285" s="484">
        <v>2</v>
      </c>
      <c r="F285" s="472">
        <v>1972</v>
      </c>
      <c r="G285" s="484" t="s">
        <v>117</v>
      </c>
      <c r="H285" s="472" t="s">
        <v>123</v>
      </c>
      <c r="I285" s="486">
        <v>50</v>
      </c>
      <c r="J285" s="486">
        <v>0.3</v>
      </c>
      <c r="K285" s="472">
        <f t="shared" si="36"/>
        <v>20</v>
      </c>
      <c r="L285" s="473">
        <v>0.85416666666666663</v>
      </c>
      <c r="M285" s="474">
        <f t="shared" si="30"/>
        <v>0.85416666666666663</v>
      </c>
      <c r="N285" s="519"/>
      <c r="P285" s="29" t="str">
        <f t="shared" si="32"/>
        <v>1972F1</v>
      </c>
      <c r="Q285" s="29" t="str">
        <f t="shared" si="33"/>
        <v>F120</v>
      </c>
      <c r="R285" s="29" t="str">
        <f t="shared" si="34"/>
        <v>JulyF1</v>
      </c>
    </row>
    <row r="286" spans="1:18">
      <c r="A286" s="483">
        <f t="shared" si="35"/>
        <v>282</v>
      </c>
      <c r="B286" s="484">
        <v>18</v>
      </c>
      <c r="C286" s="485">
        <v>26497</v>
      </c>
      <c r="D286" s="763" t="str">
        <f t="shared" si="31"/>
        <v>July</v>
      </c>
      <c r="E286" s="484">
        <v>17</v>
      </c>
      <c r="F286" s="472">
        <v>1972</v>
      </c>
      <c r="G286" s="484" t="s">
        <v>100</v>
      </c>
      <c r="H286" s="472" t="s">
        <v>123</v>
      </c>
      <c r="I286" s="486">
        <v>20</v>
      </c>
      <c r="J286" s="486">
        <v>0.1</v>
      </c>
      <c r="K286" s="472">
        <f t="shared" si="36"/>
        <v>14</v>
      </c>
      <c r="L286" s="473">
        <v>0.59375</v>
      </c>
      <c r="M286" s="474">
        <f t="shared" si="30"/>
        <v>0.59375</v>
      </c>
      <c r="N286" s="519"/>
      <c r="P286" s="29" t="str">
        <f t="shared" si="32"/>
        <v>1972F1</v>
      </c>
      <c r="Q286" s="29" t="str">
        <f t="shared" si="33"/>
        <v>F114</v>
      </c>
      <c r="R286" s="29" t="str">
        <f t="shared" si="34"/>
        <v>JulyF1</v>
      </c>
    </row>
    <row r="287" spans="1:18">
      <c r="A287" s="483">
        <f t="shared" si="35"/>
        <v>283</v>
      </c>
      <c r="B287" s="484">
        <v>19</v>
      </c>
      <c r="C287" s="485">
        <v>26519</v>
      </c>
      <c r="D287" s="763" t="str">
        <f t="shared" si="31"/>
        <v>August</v>
      </c>
      <c r="E287" s="484">
        <v>8</v>
      </c>
      <c r="F287" s="472">
        <v>1972</v>
      </c>
      <c r="G287" s="484" t="s">
        <v>113</v>
      </c>
      <c r="H287" s="472" t="s">
        <v>122</v>
      </c>
      <c r="I287" s="486">
        <v>50</v>
      </c>
      <c r="J287" s="486">
        <v>2</v>
      </c>
      <c r="K287" s="472">
        <f t="shared" si="36"/>
        <v>14</v>
      </c>
      <c r="L287" s="473">
        <v>0.59375</v>
      </c>
      <c r="M287" s="474">
        <f t="shared" si="30"/>
        <v>0.59375</v>
      </c>
      <c r="N287" s="519"/>
      <c r="P287" s="29" t="str">
        <f t="shared" si="32"/>
        <v>1972F0</v>
      </c>
      <c r="Q287" s="29" t="str">
        <f t="shared" si="33"/>
        <v>F014</v>
      </c>
      <c r="R287" s="29" t="str">
        <f t="shared" si="34"/>
        <v>AugustF0</v>
      </c>
    </row>
    <row r="288" spans="1:18">
      <c r="A288" s="483">
        <f t="shared" si="35"/>
        <v>284</v>
      </c>
      <c r="B288" s="484">
        <v>1</v>
      </c>
      <c r="C288" s="485">
        <v>26746</v>
      </c>
      <c r="D288" s="763" t="str">
        <f t="shared" si="31"/>
        <v>March</v>
      </c>
      <c r="E288" s="484">
        <v>23</v>
      </c>
      <c r="F288" s="472">
        <v>1973</v>
      </c>
      <c r="G288" s="484" t="s">
        <v>113</v>
      </c>
      <c r="H288" s="472" t="s">
        <v>124</v>
      </c>
      <c r="I288" s="486">
        <v>50</v>
      </c>
      <c r="J288" s="486">
        <v>2</v>
      </c>
      <c r="K288" s="472">
        <f t="shared" si="36"/>
        <v>16</v>
      </c>
      <c r="L288" s="473">
        <v>0.66666666666666663</v>
      </c>
      <c r="M288" s="474">
        <f t="shared" si="30"/>
        <v>0.66666666666666663</v>
      </c>
      <c r="N288" s="519"/>
      <c r="P288" s="29" t="str">
        <f t="shared" si="32"/>
        <v>1973F2</v>
      </c>
      <c r="Q288" s="29" t="str">
        <f t="shared" si="33"/>
        <v>F216</v>
      </c>
      <c r="R288" s="29" t="str">
        <f t="shared" si="34"/>
        <v>MarchF2</v>
      </c>
    </row>
    <row r="289" spans="1:18">
      <c r="A289" s="483">
        <f t="shared" si="35"/>
        <v>285</v>
      </c>
      <c r="B289" s="484">
        <v>2</v>
      </c>
      <c r="C289" s="485">
        <v>26767</v>
      </c>
      <c r="D289" s="763" t="str">
        <f t="shared" si="31"/>
        <v>April</v>
      </c>
      <c r="E289" s="484">
        <v>13</v>
      </c>
      <c r="F289" s="472">
        <v>1973</v>
      </c>
      <c r="G289" s="484" t="s">
        <v>113</v>
      </c>
      <c r="H289" s="472" t="s">
        <v>123</v>
      </c>
      <c r="I289" s="486">
        <v>17</v>
      </c>
      <c r="J289" s="486">
        <v>1</v>
      </c>
      <c r="K289" s="472">
        <f t="shared" si="36"/>
        <v>17</v>
      </c>
      <c r="L289" s="473">
        <v>0.74861111111111101</v>
      </c>
      <c r="M289" s="474">
        <f t="shared" si="30"/>
        <v>0.74861111111111101</v>
      </c>
      <c r="N289" s="519"/>
      <c r="P289" s="29" t="str">
        <f t="shared" si="32"/>
        <v>1973F1</v>
      </c>
      <c r="Q289" s="29" t="str">
        <f t="shared" si="33"/>
        <v>F117</v>
      </c>
      <c r="R289" s="29" t="str">
        <f t="shared" si="34"/>
        <v>AprilF1</v>
      </c>
    </row>
    <row r="290" spans="1:18">
      <c r="A290" s="483">
        <f t="shared" si="35"/>
        <v>286</v>
      </c>
      <c r="B290" s="484">
        <v>3</v>
      </c>
      <c r="C290" s="485">
        <v>26768</v>
      </c>
      <c r="D290" s="763" t="str">
        <f t="shared" si="31"/>
        <v>April</v>
      </c>
      <c r="E290" s="484">
        <v>14</v>
      </c>
      <c r="F290" s="472">
        <v>1973</v>
      </c>
      <c r="G290" s="484" t="s">
        <v>119</v>
      </c>
      <c r="H290" s="472" t="s">
        <v>124</v>
      </c>
      <c r="I290" s="486">
        <v>150</v>
      </c>
      <c r="J290" s="486">
        <v>70</v>
      </c>
      <c r="K290" s="472">
        <f t="shared" si="36"/>
        <v>17</v>
      </c>
      <c r="L290" s="473">
        <v>0.72916666666666663</v>
      </c>
      <c r="M290" s="474">
        <f>+L290</f>
        <v>0.72916666666666663</v>
      </c>
      <c r="N290" s="519">
        <v>0.82291666666666663</v>
      </c>
      <c r="P290" s="29" t="str">
        <f t="shared" si="32"/>
        <v>1973F2</v>
      </c>
      <c r="Q290" s="29" t="str">
        <f t="shared" si="33"/>
        <v>F217</v>
      </c>
      <c r="R290" s="29" t="str">
        <f t="shared" si="34"/>
        <v>AprilF2</v>
      </c>
    </row>
    <row r="291" spans="1:18">
      <c r="A291" s="483">
        <f t="shared" si="35"/>
        <v>287</v>
      </c>
      <c r="B291" s="484">
        <v>4</v>
      </c>
      <c r="C291" s="485">
        <v>26777</v>
      </c>
      <c r="D291" s="763" t="str">
        <f t="shared" si="31"/>
        <v>April</v>
      </c>
      <c r="E291" s="484">
        <v>23</v>
      </c>
      <c r="F291" s="472">
        <v>1973</v>
      </c>
      <c r="G291" s="484" t="s">
        <v>116</v>
      </c>
      <c r="H291" s="472" t="s">
        <v>124</v>
      </c>
      <c r="I291" s="486">
        <v>100</v>
      </c>
      <c r="J291" s="486">
        <v>0.3</v>
      </c>
      <c r="K291" s="472">
        <f t="shared" si="36"/>
        <v>21</v>
      </c>
      <c r="L291" s="473">
        <v>0.90625</v>
      </c>
      <c r="M291" s="474">
        <f t="shared" si="30"/>
        <v>0.90625</v>
      </c>
      <c r="N291" s="519"/>
      <c r="P291" s="29" t="str">
        <f t="shared" si="32"/>
        <v>1973F2</v>
      </c>
      <c r="Q291" s="29" t="str">
        <f t="shared" si="33"/>
        <v>F221</v>
      </c>
      <c r="R291" s="29" t="str">
        <f t="shared" si="34"/>
        <v>AprilF2</v>
      </c>
    </row>
    <row r="292" spans="1:18">
      <c r="A292" s="483">
        <f t="shared" si="35"/>
        <v>288</v>
      </c>
      <c r="B292" s="484">
        <v>5</v>
      </c>
      <c r="C292" s="485">
        <v>26784</v>
      </c>
      <c r="D292" s="763" t="str">
        <f t="shared" si="31"/>
        <v>April</v>
      </c>
      <c r="E292" s="484">
        <v>30</v>
      </c>
      <c r="F292" s="472">
        <v>1973</v>
      </c>
      <c r="G292" s="484" t="s">
        <v>114</v>
      </c>
      <c r="H292" s="472" t="s">
        <v>124</v>
      </c>
      <c r="I292" s="486">
        <v>100</v>
      </c>
      <c r="J292" s="486">
        <v>0.5</v>
      </c>
      <c r="K292" s="472">
        <f t="shared" si="36"/>
        <v>17</v>
      </c>
      <c r="L292" s="473">
        <v>0.73611111111111116</v>
      </c>
      <c r="M292" s="474">
        <f t="shared" si="30"/>
        <v>0.73611111111111116</v>
      </c>
      <c r="N292" s="519"/>
      <c r="P292" s="29" t="str">
        <f t="shared" si="32"/>
        <v>1973F2</v>
      </c>
      <c r="Q292" s="29" t="str">
        <f t="shared" si="33"/>
        <v>F217</v>
      </c>
      <c r="R292" s="29" t="str">
        <f t="shared" si="34"/>
        <v>AprilF2</v>
      </c>
    </row>
    <row r="293" spans="1:18">
      <c r="A293" s="483">
        <f t="shared" si="35"/>
        <v>289</v>
      </c>
      <c r="B293" s="484">
        <v>6</v>
      </c>
      <c r="C293" s="485">
        <v>26785</v>
      </c>
      <c r="D293" s="763" t="str">
        <f t="shared" si="31"/>
        <v>May</v>
      </c>
      <c r="E293" s="484">
        <v>1</v>
      </c>
      <c r="F293" s="472">
        <v>1973</v>
      </c>
      <c r="G293" s="484" t="s">
        <v>100</v>
      </c>
      <c r="H293" s="472" t="s">
        <v>122</v>
      </c>
      <c r="I293" s="486">
        <v>150</v>
      </c>
      <c r="J293" s="486">
        <v>1</v>
      </c>
      <c r="K293" s="472">
        <f t="shared" si="36"/>
        <v>9</v>
      </c>
      <c r="L293" s="473">
        <v>0.375</v>
      </c>
      <c r="M293" s="474">
        <f t="shared" si="30"/>
        <v>0.375</v>
      </c>
      <c r="N293" s="519"/>
      <c r="P293" s="29" t="str">
        <f t="shared" si="32"/>
        <v>1973F0</v>
      </c>
      <c r="Q293" s="29" t="str">
        <f t="shared" si="33"/>
        <v>F09</v>
      </c>
      <c r="R293" s="29" t="str">
        <f t="shared" si="34"/>
        <v>MayF0</v>
      </c>
    </row>
    <row r="294" spans="1:18">
      <c r="A294" s="483">
        <f t="shared" si="35"/>
        <v>290</v>
      </c>
      <c r="B294" s="484">
        <v>7</v>
      </c>
      <c r="C294" s="485">
        <v>26806</v>
      </c>
      <c r="D294" s="763" t="str">
        <f t="shared" si="31"/>
        <v>May</v>
      </c>
      <c r="E294" s="484">
        <v>22</v>
      </c>
      <c r="F294" s="472">
        <v>1973</v>
      </c>
      <c r="G294" s="484" t="s">
        <v>118</v>
      </c>
      <c r="H294" s="472" t="s">
        <v>123</v>
      </c>
      <c r="I294" s="486">
        <v>20</v>
      </c>
      <c r="J294" s="486">
        <v>0.3</v>
      </c>
      <c r="K294" s="472">
        <f t="shared" si="36"/>
        <v>17</v>
      </c>
      <c r="L294" s="473">
        <v>0.71527777777777779</v>
      </c>
      <c r="M294" s="474">
        <f t="shared" si="30"/>
        <v>0.71527777777777779</v>
      </c>
      <c r="N294" s="519"/>
      <c r="P294" s="29" t="str">
        <f t="shared" si="32"/>
        <v>1973F1</v>
      </c>
      <c r="Q294" s="29" t="str">
        <f t="shared" si="33"/>
        <v>F117</v>
      </c>
      <c r="R294" s="29" t="str">
        <f t="shared" si="34"/>
        <v>MayF1</v>
      </c>
    </row>
    <row r="295" spans="1:18">
      <c r="A295" s="483">
        <f t="shared" si="35"/>
        <v>291</v>
      </c>
      <c r="B295" s="484">
        <v>8</v>
      </c>
      <c r="C295" s="485">
        <v>26884</v>
      </c>
      <c r="D295" s="763" t="str">
        <f t="shared" si="31"/>
        <v>August</v>
      </c>
      <c r="E295" s="484">
        <v>8</v>
      </c>
      <c r="F295" s="472">
        <v>1973</v>
      </c>
      <c r="G295" s="484" t="s">
        <v>109</v>
      </c>
      <c r="H295" s="472" t="s">
        <v>123</v>
      </c>
      <c r="I295" s="486">
        <v>10</v>
      </c>
      <c r="J295" s="486">
        <v>0.1</v>
      </c>
      <c r="K295" s="472">
        <f t="shared" si="36"/>
        <v>16</v>
      </c>
      <c r="L295" s="473">
        <v>0.70625000000000004</v>
      </c>
      <c r="M295" s="474">
        <f t="shared" si="30"/>
        <v>0.70625000000000004</v>
      </c>
      <c r="N295" s="519"/>
      <c r="P295" s="29" t="str">
        <f t="shared" si="32"/>
        <v>1973F1</v>
      </c>
      <c r="Q295" s="29" t="str">
        <f t="shared" si="33"/>
        <v>F116</v>
      </c>
      <c r="R295" s="29" t="str">
        <f t="shared" si="34"/>
        <v>AugustF1</v>
      </c>
    </row>
    <row r="296" spans="1:18">
      <c r="A296" s="483">
        <f t="shared" si="35"/>
        <v>292</v>
      </c>
      <c r="B296" s="484">
        <v>1</v>
      </c>
      <c r="C296" s="485">
        <v>27097</v>
      </c>
      <c r="D296" s="763" t="str">
        <f t="shared" si="31"/>
        <v>March</v>
      </c>
      <c r="E296" s="484">
        <v>9</v>
      </c>
      <c r="F296" s="472">
        <v>1974</v>
      </c>
      <c r="G296" s="484" t="s">
        <v>118</v>
      </c>
      <c r="H296" s="472" t="s">
        <v>123</v>
      </c>
      <c r="I296" s="486">
        <v>20</v>
      </c>
      <c r="J296" s="486">
        <v>3</v>
      </c>
      <c r="K296" s="472">
        <f t="shared" si="36"/>
        <v>13</v>
      </c>
      <c r="L296" s="473">
        <v>0.55694444444444446</v>
      </c>
      <c r="M296" s="474">
        <f t="shared" si="30"/>
        <v>0.55694444444444446</v>
      </c>
      <c r="N296" s="519"/>
      <c r="P296" s="29" t="str">
        <f t="shared" si="32"/>
        <v>1974F1</v>
      </c>
      <c r="Q296" s="29" t="str">
        <f t="shared" si="33"/>
        <v>F113</v>
      </c>
      <c r="R296" s="29" t="str">
        <f t="shared" si="34"/>
        <v>MarchF1</v>
      </c>
    </row>
    <row r="297" spans="1:18">
      <c r="A297" s="483">
        <f t="shared" si="35"/>
        <v>293</v>
      </c>
      <c r="B297" s="484">
        <v>2</v>
      </c>
      <c r="C297" s="485">
        <v>27129</v>
      </c>
      <c r="D297" s="763" t="str">
        <f t="shared" si="31"/>
        <v>April</v>
      </c>
      <c r="E297" s="484">
        <v>10</v>
      </c>
      <c r="F297" s="472">
        <v>1974</v>
      </c>
      <c r="G297" s="484" t="s">
        <v>121</v>
      </c>
      <c r="H297" s="472" t="s">
        <v>123</v>
      </c>
      <c r="I297" s="486">
        <v>33</v>
      </c>
      <c r="J297" s="486">
        <v>2</v>
      </c>
      <c r="K297" s="472">
        <f t="shared" si="36"/>
        <v>21</v>
      </c>
      <c r="L297" s="473">
        <v>0.88194444444444453</v>
      </c>
      <c r="M297" s="474">
        <f t="shared" si="30"/>
        <v>0.88194444444444453</v>
      </c>
      <c r="N297" s="519"/>
      <c r="P297" s="29" t="str">
        <f t="shared" si="32"/>
        <v>1974F1</v>
      </c>
      <c r="Q297" s="29" t="str">
        <f t="shared" si="33"/>
        <v>F121</v>
      </c>
      <c r="R297" s="29" t="str">
        <f t="shared" si="34"/>
        <v>AprilF1</v>
      </c>
    </row>
    <row r="298" spans="1:18">
      <c r="A298" s="483">
        <f t="shared" si="35"/>
        <v>294</v>
      </c>
      <c r="B298" s="484">
        <v>3</v>
      </c>
      <c r="C298" s="485">
        <v>27138</v>
      </c>
      <c r="D298" s="763" t="str">
        <f t="shared" si="31"/>
        <v>April</v>
      </c>
      <c r="E298" s="484">
        <v>19</v>
      </c>
      <c r="F298" s="472">
        <v>1974</v>
      </c>
      <c r="G298" s="484" t="s">
        <v>114</v>
      </c>
      <c r="H298" s="472" t="s">
        <v>123</v>
      </c>
      <c r="I298" s="486">
        <v>20</v>
      </c>
      <c r="J298" s="486">
        <v>1.9</v>
      </c>
      <c r="K298" s="472">
        <f t="shared" si="36"/>
        <v>15</v>
      </c>
      <c r="L298" s="473">
        <v>0.64930555555555558</v>
      </c>
      <c r="M298" s="474">
        <f t="shared" si="30"/>
        <v>0.64930555555555558</v>
      </c>
      <c r="N298" s="519"/>
      <c r="P298" s="29" t="str">
        <f t="shared" si="32"/>
        <v>1974F1</v>
      </c>
      <c r="Q298" s="29" t="str">
        <f t="shared" si="33"/>
        <v>F115</v>
      </c>
      <c r="R298" s="29" t="str">
        <f t="shared" si="34"/>
        <v>AprilF1</v>
      </c>
    </row>
    <row r="299" spans="1:18">
      <c r="A299" s="483">
        <f t="shared" si="35"/>
        <v>295</v>
      </c>
      <c r="B299" s="484">
        <v>4</v>
      </c>
      <c r="C299" s="485">
        <v>27138</v>
      </c>
      <c r="D299" s="763" t="str">
        <f t="shared" si="31"/>
        <v>April</v>
      </c>
      <c r="E299" s="484">
        <v>19</v>
      </c>
      <c r="F299" s="472">
        <v>1974</v>
      </c>
      <c r="G299" s="484" t="s">
        <v>110</v>
      </c>
      <c r="H299" s="472" t="s">
        <v>124</v>
      </c>
      <c r="I299" s="486">
        <v>30</v>
      </c>
      <c r="J299" s="486">
        <v>5.9</v>
      </c>
      <c r="K299" s="472">
        <f t="shared" si="36"/>
        <v>19</v>
      </c>
      <c r="L299" s="473">
        <v>0.80555555555555547</v>
      </c>
      <c r="M299" s="474">
        <f t="shared" si="30"/>
        <v>0.80555555555555547</v>
      </c>
      <c r="N299" s="519"/>
      <c r="P299" s="29" t="str">
        <f t="shared" si="32"/>
        <v>1974F2</v>
      </c>
      <c r="Q299" s="29" t="str">
        <f t="shared" si="33"/>
        <v>F219</v>
      </c>
      <c r="R299" s="29" t="str">
        <f t="shared" si="34"/>
        <v>AprilF2</v>
      </c>
    </row>
    <row r="300" spans="1:18">
      <c r="A300" s="483">
        <f t="shared" si="35"/>
        <v>296</v>
      </c>
      <c r="B300" s="484">
        <v>5</v>
      </c>
      <c r="C300" s="485">
        <v>27147</v>
      </c>
      <c r="D300" s="763" t="str">
        <f t="shared" si="31"/>
        <v>April</v>
      </c>
      <c r="E300" s="484">
        <v>28</v>
      </c>
      <c r="F300" s="472">
        <v>1974</v>
      </c>
      <c r="G300" s="484" t="s">
        <v>121</v>
      </c>
      <c r="H300" s="472" t="s">
        <v>123</v>
      </c>
      <c r="I300" s="486">
        <v>20</v>
      </c>
      <c r="J300" s="486">
        <v>1</v>
      </c>
      <c r="K300" s="472">
        <f t="shared" si="36"/>
        <v>22</v>
      </c>
      <c r="L300" s="473">
        <v>0.93055555555555547</v>
      </c>
      <c r="M300" s="474">
        <f t="shared" si="30"/>
        <v>0.93055555555555547</v>
      </c>
      <c r="N300" s="519"/>
      <c r="P300" s="29" t="str">
        <f t="shared" si="32"/>
        <v>1974F1</v>
      </c>
      <c r="Q300" s="29" t="str">
        <f t="shared" si="33"/>
        <v>F122</v>
      </c>
      <c r="R300" s="29" t="str">
        <f t="shared" si="34"/>
        <v>AprilF1</v>
      </c>
    </row>
    <row r="301" spans="1:18">
      <c r="A301" s="483">
        <f t="shared" si="35"/>
        <v>297</v>
      </c>
      <c r="B301" s="484">
        <v>6</v>
      </c>
      <c r="C301" s="485">
        <v>27173</v>
      </c>
      <c r="D301" s="763" t="str">
        <f t="shared" si="31"/>
        <v>May</v>
      </c>
      <c r="E301" s="484">
        <v>24</v>
      </c>
      <c r="F301" s="472">
        <v>1974</v>
      </c>
      <c r="G301" s="484" t="s">
        <v>117</v>
      </c>
      <c r="H301" s="472" t="s">
        <v>123</v>
      </c>
      <c r="I301" s="486">
        <v>30</v>
      </c>
      <c r="J301" s="486">
        <v>3</v>
      </c>
      <c r="K301" s="472">
        <f t="shared" si="36"/>
        <v>20</v>
      </c>
      <c r="L301" s="473">
        <v>0.87152777777777779</v>
      </c>
      <c r="M301" s="474">
        <f t="shared" si="30"/>
        <v>0.87152777777777779</v>
      </c>
      <c r="N301" s="519"/>
      <c r="P301" s="29" t="str">
        <f t="shared" si="32"/>
        <v>1974F1</v>
      </c>
      <c r="Q301" s="29" t="str">
        <f t="shared" si="33"/>
        <v>F120</v>
      </c>
      <c r="R301" s="29" t="str">
        <f t="shared" si="34"/>
        <v>MayF1</v>
      </c>
    </row>
    <row r="302" spans="1:18">
      <c r="A302" s="483">
        <f t="shared" si="35"/>
        <v>298</v>
      </c>
      <c r="B302" s="484">
        <v>7</v>
      </c>
      <c r="C302" s="485">
        <v>27183</v>
      </c>
      <c r="D302" s="763" t="str">
        <f t="shared" si="31"/>
        <v>June</v>
      </c>
      <c r="E302" s="484">
        <v>3</v>
      </c>
      <c r="F302" s="472">
        <v>1974</v>
      </c>
      <c r="G302" s="484" t="s">
        <v>108</v>
      </c>
      <c r="H302" s="472" t="s">
        <v>122</v>
      </c>
      <c r="I302" s="486">
        <v>30</v>
      </c>
      <c r="J302" s="486">
        <v>0.5</v>
      </c>
      <c r="K302" s="472">
        <f t="shared" si="36"/>
        <v>18</v>
      </c>
      <c r="L302" s="473">
        <v>0.77083333333333337</v>
      </c>
      <c r="M302" s="474">
        <f t="shared" si="30"/>
        <v>0.77083333333333337</v>
      </c>
      <c r="N302" s="519"/>
      <c r="P302" s="29" t="str">
        <f t="shared" si="32"/>
        <v>1974F0</v>
      </c>
      <c r="Q302" s="29" t="str">
        <f t="shared" si="33"/>
        <v>F018</v>
      </c>
      <c r="R302" s="29" t="str">
        <f t="shared" si="34"/>
        <v>JuneF0</v>
      </c>
    </row>
    <row r="303" spans="1:18">
      <c r="A303" s="483">
        <f t="shared" si="35"/>
        <v>299</v>
      </c>
      <c r="B303" s="484">
        <v>8</v>
      </c>
      <c r="C303" s="485">
        <v>27187</v>
      </c>
      <c r="D303" s="763" t="str">
        <f t="shared" si="31"/>
        <v>June</v>
      </c>
      <c r="E303" s="484">
        <v>7</v>
      </c>
      <c r="F303" s="472">
        <v>1974</v>
      </c>
      <c r="G303" s="484" t="s">
        <v>113</v>
      </c>
      <c r="H303" s="472" t="s">
        <v>123</v>
      </c>
      <c r="I303" s="486">
        <v>200</v>
      </c>
      <c r="J303" s="486">
        <v>4.7</v>
      </c>
      <c r="K303" s="472">
        <f t="shared" si="36"/>
        <v>18</v>
      </c>
      <c r="L303" s="473">
        <v>0.78472222222222221</v>
      </c>
      <c r="M303" s="474">
        <f t="shared" si="30"/>
        <v>0.78472222222222221</v>
      </c>
      <c r="N303" s="519"/>
      <c r="P303" s="29" t="str">
        <f t="shared" si="32"/>
        <v>1974F1</v>
      </c>
      <c r="Q303" s="29" t="str">
        <f t="shared" si="33"/>
        <v>F118</v>
      </c>
      <c r="R303" s="29" t="str">
        <f t="shared" si="34"/>
        <v>JuneF1</v>
      </c>
    </row>
    <row r="304" spans="1:18">
      <c r="A304" s="483">
        <f t="shared" si="35"/>
        <v>300</v>
      </c>
      <c r="B304" s="484">
        <v>9</v>
      </c>
      <c r="C304" s="485">
        <v>27191</v>
      </c>
      <c r="D304" s="763" t="str">
        <f t="shared" si="31"/>
        <v>June</v>
      </c>
      <c r="E304" s="484">
        <v>11</v>
      </c>
      <c r="F304" s="472">
        <v>1974</v>
      </c>
      <c r="G304" s="484" t="s">
        <v>120</v>
      </c>
      <c r="H304" s="472" t="s">
        <v>122</v>
      </c>
      <c r="I304" s="486">
        <v>17</v>
      </c>
      <c r="J304" s="486">
        <v>0.5</v>
      </c>
      <c r="K304" s="472">
        <f t="shared" si="36"/>
        <v>14</v>
      </c>
      <c r="L304" s="473">
        <v>0.6069444444444444</v>
      </c>
      <c r="M304" s="474">
        <f t="shared" si="30"/>
        <v>0.6069444444444444</v>
      </c>
      <c r="N304" s="519"/>
      <c r="P304" s="29" t="str">
        <f t="shared" si="32"/>
        <v>1974F0</v>
      </c>
      <c r="Q304" s="29" t="str">
        <f t="shared" si="33"/>
        <v>F014</v>
      </c>
      <c r="R304" s="29" t="str">
        <f t="shared" si="34"/>
        <v>JuneF0</v>
      </c>
    </row>
    <row r="305" spans="1:18">
      <c r="A305" s="483">
        <f t="shared" si="35"/>
        <v>301</v>
      </c>
      <c r="B305" s="484">
        <v>10</v>
      </c>
      <c r="C305" s="485">
        <v>27193</v>
      </c>
      <c r="D305" s="763" t="str">
        <f t="shared" si="31"/>
        <v>June</v>
      </c>
      <c r="E305" s="484">
        <v>13</v>
      </c>
      <c r="F305" s="472">
        <v>1974</v>
      </c>
      <c r="G305" s="484" t="s">
        <v>112</v>
      </c>
      <c r="H305" s="472" t="s">
        <v>122</v>
      </c>
      <c r="I305" s="486">
        <v>10</v>
      </c>
      <c r="J305" s="486">
        <v>0.5</v>
      </c>
      <c r="K305" s="472">
        <f t="shared" si="36"/>
        <v>16</v>
      </c>
      <c r="L305" s="473">
        <v>0.66666666666666663</v>
      </c>
      <c r="M305" s="474">
        <f t="shared" si="30"/>
        <v>0.66666666666666663</v>
      </c>
      <c r="N305" s="519"/>
      <c r="P305" s="29" t="str">
        <f t="shared" si="32"/>
        <v>1974F0</v>
      </c>
      <c r="Q305" s="29" t="str">
        <f t="shared" si="33"/>
        <v>F016</v>
      </c>
      <c r="R305" s="29" t="str">
        <f t="shared" si="34"/>
        <v>JuneF0</v>
      </c>
    </row>
    <row r="306" spans="1:18">
      <c r="A306" s="483">
        <f t="shared" si="35"/>
        <v>302</v>
      </c>
      <c r="B306" s="484">
        <v>11</v>
      </c>
      <c r="C306" s="485">
        <v>27201</v>
      </c>
      <c r="D306" s="763" t="str">
        <f t="shared" si="31"/>
        <v>June</v>
      </c>
      <c r="E306" s="484">
        <v>21</v>
      </c>
      <c r="F306" s="472">
        <v>1974</v>
      </c>
      <c r="G306" s="484" t="s">
        <v>103</v>
      </c>
      <c r="H306" s="472" t="s">
        <v>122</v>
      </c>
      <c r="I306" s="486">
        <v>20</v>
      </c>
      <c r="J306" s="486">
        <v>0.5</v>
      </c>
      <c r="K306" s="472">
        <f t="shared" si="36"/>
        <v>17</v>
      </c>
      <c r="L306" s="473">
        <v>0.74097222222222225</v>
      </c>
      <c r="M306" s="474">
        <f t="shared" si="30"/>
        <v>0.74097222222222225</v>
      </c>
      <c r="N306" s="519"/>
      <c r="P306" s="29" t="str">
        <f t="shared" si="32"/>
        <v>1974F0</v>
      </c>
      <c r="Q306" s="29" t="str">
        <f t="shared" si="33"/>
        <v>F017</v>
      </c>
      <c r="R306" s="29" t="str">
        <f t="shared" si="34"/>
        <v>JuneF0</v>
      </c>
    </row>
    <row r="307" spans="1:18">
      <c r="A307" s="483">
        <f t="shared" si="35"/>
        <v>303</v>
      </c>
      <c r="B307" s="484">
        <v>12</v>
      </c>
      <c r="C307" s="485">
        <v>27248</v>
      </c>
      <c r="D307" s="763" t="str">
        <f t="shared" si="31"/>
        <v>August</v>
      </c>
      <c r="E307" s="484">
        <v>7</v>
      </c>
      <c r="F307" s="472">
        <v>1974</v>
      </c>
      <c r="G307" s="484" t="s">
        <v>119</v>
      </c>
      <c r="H307" s="472" t="s">
        <v>122</v>
      </c>
      <c r="I307" s="486">
        <v>20</v>
      </c>
      <c r="J307" s="486">
        <v>0.5</v>
      </c>
      <c r="K307" s="472">
        <f t="shared" si="36"/>
        <v>18</v>
      </c>
      <c r="L307" s="473">
        <v>0.78125</v>
      </c>
      <c r="M307" s="474">
        <f t="shared" si="30"/>
        <v>0.78125</v>
      </c>
      <c r="N307" s="519"/>
      <c r="P307" s="29" t="str">
        <f t="shared" si="32"/>
        <v>1974F0</v>
      </c>
      <c r="Q307" s="29" t="str">
        <f t="shared" si="33"/>
        <v>F018</v>
      </c>
      <c r="R307" s="29" t="str">
        <f t="shared" si="34"/>
        <v>AugustF0</v>
      </c>
    </row>
    <row r="308" spans="1:18">
      <c r="A308" s="483">
        <f t="shared" si="35"/>
        <v>304</v>
      </c>
      <c r="B308" s="484">
        <v>13</v>
      </c>
      <c r="C308" s="485">
        <v>27248</v>
      </c>
      <c r="D308" s="763" t="str">
        <f t="shared" si="31"/>
        <v>August</v>
      </c>
      <c r="E308" s="484">
        <v>7</v>
      </c>
      <c r="F308" s="472">
        <v>1974</v>
      </c>
      <c r="G308" s="484" t="s">
        <v>114</v>
      </c>
      <c r="H308" s="472" t="s">
        <v>122</v>
      </c>
      <c r="I308" s="486">
        <v>17</v>
      </c>
      <c r="J308" s="486">
        <v>0.3</v>
      </c>
      <c r="K308" s="472">
        <f t="shared" si="36"/>
        <v>21</v>
      </c>
      <c r="L308" s="473">
        <v>0.88888888888888884</v>
      </c>
      <c r="M308" s="474">
        <f t="shared" si="30"/>
        <v>0.88888888888888884</v>
      </c>
      <c r="N308" s="519"/>
      <c r="P308" s="29" t="str">
        <f t="shared" si="32"/>
        <v>1974F0</v>
      </c>
      <c r="Q308" s="29" t="str">
        <f t="shared" si="33"/>
        <v>F021</v>
      </c>
      <c r="R308" s="29" t="str">
        <f t="shared" si="34"/>
        <v>AugustF0</v>
      </c>
    </row>
    <row r="309" spans="1:18">
      <c r="A309" s="483">
        <f t="shared" si="35"/>
        <v>305</v>
      </c>
      <c r="B309" s="484">
        <v>1</v>
      </c>
      <c r="C309" s="485">
        <v>27479</v>
      </c>
      <c r="D309" s="763" t="str">
        <f t="shared" si="31"/>
        <v>March</v>
      </c>
      <c r="E309" s="484">
        <v>26</v>
      </c>
      <c r="F309" s="472">
        <v>1975</v>
      </c>
      <c r="G309" s="484" t="s">
        <v>115</v>
      </c>
      <c r="H309" s="472" t="s">
        <v>125</v>
      </c>
      <c r="I309" s="486">
        <v>220</v>
      </c>
      <c r="J309" s="486">
        <v>1</v>
      </c>
      <c r="K309" s="472">
        <f t="shared" si="36"/>
        <v>23</v>
      </c>
      <c r="L309" s="473">
        <v>0.99305555555555547</v>
      </c>
      <c r="M309" s="474">
        <f t="shared" si="30"/>
        <v>0.99305555555555547</v>
      </c>
      <c r="N309" s="519"/>
      <c r="P309" s="29" t="str">
        <f t="shared" si="32"/>
        <v>1975F3</v>
      </c>
      <c r="Q309" s="29" t="str">
        <f t="shared" si="33"/>
        <v>F323</v>
      </c>
      <c r="R309" s="29" t="str">
        <f t="shared" si="34"/>
        <v>MarchF3</v>
      </c>
    </row>
    <row r="310" spans="1:18">
      <c r="A310" s="483">
        <f t="shared" si="35"/>
        <v>306</v>
      </c>
      <c r="B310" s="484">
        <v>2</v>
      </c>
      <c r="C310" s="485">
        <v>27480</v>
      </c>
      <c r="D310" s="763" t="str">
        <f t="shared" si="31"/>
        <v>March</v>
      </c>
      <c r="E310" s="484">
        <v>27</v>
      </c>
      <c r="F310" s="472">
        <v>1975</v>
      </c>
      <c r="G310" s="484" t="s">
        <v>115</v>
      </c>
      <c r="H310" s="472" t="s">
        <v>123</v>
      </c>
      <c r="I310" s="486">
        <v>17</v>
      </c>
      <c r="J310" s="486">
        <v>0.3</v>
      </c>
      <c r="K310" s="472">
        <f t="shared" si="36"/>
        <v>0</v>
      </c>
      <c r="L310" s="473">
        <v>6.9444444444444447E-4</v>
      </c>
      <c r="M310" s="474">
        <f t="shared" si="30"/>
        <v>6.9444444444444447E-4</v>
      </c>
      <c r="N310" s="519"/>
      <c r="P310" s="29" t="str">
        <f t="shared" si="32"/>
        <v>1975F1</v>
      </c>
      <c r="Q310" s="29" t="str">
        <f t="shared" si="33"/>
        <v>F10</v>
      </c>
      <c r="R310" s="29" t="str">
        <f t="shared" si="34"/>
        <v>MarchF1</v>
      </c>
    </row>
    <row r="311" spans="1:18">
      <c r="A311" s="483">
        <f t="shared" si="35"/>
        <v>307</v>
      </c>
      <c r="B311" s="484">
        <v>3</v>
      </c>
      <c r="C311" s="485">
        <v>27480</v>
      </c>
      <c r="D311" s="763" t="str">
        <f t="shared" si="31"/>
        <v>March</v>
      </c>
      <c r="E311" s="484">
        <v>27</v>
      </c>
      <c r="F311" s="472">
        <v>1975</v>
      </c>
      <c r="G311" s="484" t="s">
        <v>106</v>
      </c>
      <c r="H311" s="472" t="s">
        <v>123</v>
      </c>
      <c r="I311" s="486">
        <v>20</v>
      </c>
      <c r="J311" s="486">
        <v>0.1</v>
      </c>
      <c r="K311" s="472">
        <f t="shared" si="36"/>
        <v>1</v>
      </c>
      <c r="L311" s="473">
        <v>4.1666666666666664E-2</v>
      </c>
      <c r="M311" s="474">
        <f t="shared" si="30"/>
        <v>4.1666666666666664E-2</v>
      </c>
      <c r="N311" s="519"/>
      <c r="P311" s="29" t="str">
        <f t="shared" si="32"/>
        <v>1975F1</v>
      </c>
      <c r="Q311" s="29" t="str">
        <f t="shared" si="33"/>
        <v>F11</v>
      </c>
      <c r="R311" s="29" t="str">
        <f t="shared" si="34"/>
        <v>MarchF1</v>
      </c>
    </row>
    <row r="312" spans="1:18">
      <c r="A312" s="483">
        <f t="shared" si="35"/>
        <v>308</v>
      </c>
      <c r="B312" s="484">
        <v>4</v>
      </c>
      <c r="C312" s="485">
        <v>27524</v>
      </c>
      <c r="D312" s="763" t="str">
        <f t="shared" si="31"/>
        <v>May</v>
      </c>
      <c r="E312" s="484">
        <v>10</v>
      </c>
      <c r="F312" s="472">
        <v>1975</v>
      </c>
      <c r="G312" s="484" t="s">
        <v>112</v>
      </c>
      <c r="H312" s="472" t="s">
        <v>122</v>
      </c>
      <c r="I312" s="486">
        <v>30</v>
      </c>
      <c r="J312" s="486">
        <v>1</v>
      </c>
      <c r="K312" s="472">
        <f t="shared" si="36"/>
        <v>19</v>
      </c>
      <c r="L312" s="473">
        <v>0.80555555555555547</v>
      </c>
      <c r="M312" s="474">
        <f t="shared" si="30"/>
        <v>0.80555555555555547</v>
      </c>
      <c r="N312" s="519"/>
      <c r="P312" s="29" t="str">
        <f t="shared" si="32"/>
        <v>1975F0</v>
      </c>
      <c r="Q312" s="29" t="str">
        <f t="shared" si="33"/>
        <v>F019</v>
      </c>
      <c r="R312" s="29" t="str">
        <f t="shared" si="34"/>
        <v>MayF0</v>
      </c>
    </row>
    <row r="313" spans="1:18">
      <c r="A313" s="483">
        <f t="shared" si="35"/>
        <v>309</v>
      </c>
      <c r="B313" s="484">
        <v>5</v>
      </c>
      <c r="C313" s="485">
        <v>27526</v>
      </c>
      <c r="D313" s="763" t="str">
        <f t="shared" si="31"/>
        <v>May</v>
      </c>
      <c r="E313" s="484">
        <v>12</v>
      </c>
      <c r="F313" s="472">
        <v>1975</v>
      </c>
      <c r="G313" s="484" t="s">
        <v>107</v>
      </c>
      <c r="H313" s="472" t="s">
        <v>122</v>
      </c>
      <c r="I313" s="486">
        <v>60</v>
      </c>
      <c r="J313" s="486">
        <v>3.6</v>
      </c>
      <c r="K313" s="472">
        <f t="shared" si="36"/>
        <v>17</v>
      </c>
      <c r="L313" s="473">
        <v>0.72222222222222221</v>
      </c>
      <c r="M313" s="474">
        <f t="shared" si="30"/>
        <v>0.72222222222222221</v>
      </c>
      <c r="N313" s="519"/>
      <c r="P313" s="29" t="str">
        <f t="shared" si="32"/>
        <v>1975F0</v>
      </c>
      <c r="Q313" s="29" t="str">
        <f t="shared" si="33"/>
        <v>F017</v>
      </c>
      <c r="R313" s="29" t="str">
        <f t="shared" si="34"/>
        <v>MayF0</v>
      </c>
    </row>
    <row r="314" spans="1:18">
      <c r="A314" s="483">
        <f t="shared" si="35"/>
        <v>310</v>
      </c>
      <c r="B314" s="484">
        <v>6</v>
      </c>
      <c r="C314" s="485">
        <v>27526</v>
      </c>
      <c r="D314" s="763" t="str">
        <f t="shared" si="31"/>
        <v>May</v>
      </c>
      <c r="E314" s="484">
        <v>12</v>
      </c>
      <c r="F314" s="472">
        <v>1975</v>
      </c>
      <c r="G314" s="484" t="s">
        <v>114</v>
      </c>
      <c r="H314" s="472" t="s">
        <v>122</v>
      </c>
      <c r="I314" s="486">
        <v>30</v>
      </c>
      <c r="J314" s="486">
        <v>1</v>
      </c>
      <c r="K314" s="472">
        <f t="shared" si="36"/>
        <v>23</v>
      </c>
      <c r="L314" s="473">
        <v>0.97916666666666663</v>
      </c>
      <c r="M314" s="474">
        <f t="shared" si="30"/>
        <v>0.97916666666666663</v>
      </c>
      <c r="N314" s="519"/>
      <c r="P314" s="29" t="str">
        <f t="shared" si="32"/>
        <v>1975F0</v>
      </c>
      <c r="Q314" s="29" t="str">
        <f t="shared" si="33"/>
        <v>F023</v>
      </c>
      <c r="R314" s="29" t="str">
        <f t="shared" si="34"/>
        <v>MayF0</v>
      </c>
    </row>
    <row r="315" spans="1:18">
      <c r="A315" s="483">
        <f t="shared" si="35"/>
        <v>311</v>
      </c>
      <c r="B315" s="484">
        <v>7</v>
      </c>
      <c r="C315" s="485">
        <v>27526</v>
      </c>
      <c r="D315" s="763" t="str">
        <f t="shared" si="31"/>
        <v>May</v>
      </c>
      <c r="E315" s="484">
        <v>12</v>
      </c>
      <c r="F315" s="472">
        <v>1975</v>
      </c>
      <c r="G315" s="484" t="s">
        <v>115</v>
      </c>
      <c r="H315" s="472" t="s">
        <v>122</v>
      </c>
      <c r="I315" s="486">
        <v>30</v>
      </c>
      <c r="J315" s="486">
        <v>0.5</v>
      </c>
      <c r="K315" s="472">
        <f t="shared" si="36"/>
        <v>23</v>
      </c>
      <c r="L315" s="473">
        <v>0.99791666666666667</v>
      </c>
      <c r="M315" s="474">
        <f t="shared" si="30"/>
        <v>0.99791666666666667</v>
      </c>
      <c r="N315" s="519"/>
      <c r="P315" s="29" t="str">
        <f t="shared" si="32"/>
        <v>1975F0</v>
      </c>
      <c r="Q315" s="29" t="str">
        <f t="shared" si="33"/>
        <v>F023</v>
      </c>
      <c r="R315" s="29" t="str">
        <f t="shared" si="34"/>
        <v>MayF0</v>
      </c>
    </row>
    <row r="316" spans="1:18">
      <c r="A316" s="483">
        <f t="shared" si="35"/>
        <v>312</v>
      </c>
      <c r="B316" s="484">
        <v>8</v>
      </c>
      <c r="C316" s="485">
        <v>27536</v>
      </c>
      <c r="D316" s="763" t="str">
        <f t="shared" si="31"/>
        <v>May</v>
      </c>
      <c r="E316" s="484">
        <v>22</v>
      </c>
      <c r="F316" s="472">
        <v>1975</v>
      </c>
      <c r="G316" s="484" t="s">
        <v>109</v>
      </c>
      <c r="H316" s="472" t="s">
        <v>122</v>
      </c>
      <c r="I316" s="486">
        <v>40</v>
      </c>
      <c r="J316" s="486">
        <v>2</v>
      </c>
      <c r="K316" s="472">
        <f t="shared" si="36"/>
        <v>19</v>
      </c>
      <c r="L316" s="473">
        <v>0.82291666666666663</v>
      </c>
      <c r="M316" s="474">
        <f t="shared" si="30"/>
        <v>0.82291666666666663</v>
      </c>
      <c r="N316" s="519"/>
      <c r="P316" s="29" t="str">
        <f t="shared" si="32"/>
        <v>1975F0</v>
      </c>
      <c r="Q316" s="29" t="str">
        <f t="shared" si="33"/>
        <v>F019</v>
      </c>
      <c r="R316" s="29" t="str">
        <f t="shared" si="34"/>
        <v>MayF0</v>
      </c>
    </row>
    <row r="317" spans="1:18">
      <c r="A317" s="483">
        <f t="shared" si="35"/>
        <v>313</v>
      </c>
      <c r="B317" s="484">
        <v>9</v>
      </c>
      <c r="C317" s="485">
        <v>27542</v>
      </c>
      <c r="D317" s="763" t="str">
        <f t="shared" si="31"/>
        <v>May</v>
      </c>
      <c r="E317" s="484">
        <v>28</v>
      </c>
      <c r="F317" s="472">
        <v>1975</v>
      </c>
      <c r="G317" s="484" t="s">
        <v>119</v>
      </c>
      <c r="H317" s="472" t="s">
        <v>122</v>
      </c>
      <c r="I317" s="486">
        <v>50</v>
      </c>
      <c r="J317" s="486">
        <v>3</v>
      </c>
      <c r="K317" s="472">
        <f t="shared" si="36"/>
        <v>17</v>
      </c>
      <c r="L317" s="473">
        <v>0.73472222222222217</v>
      </c>
      <c r="M317" s="474">
        <f t="shared" si="30"/>
        <v>0.73472222222222217</v>
      </c>
      <c r="N317" s="519"/>
      <c r="P317" s="29" t="str">
        <f t="shared" si="32"/>
        <v>1975F0</v>
      </c>
      <c r="Q317" s="29" t="str">
        <f t="shared" si="33"/>
        <v>F017</v>
      </c>
      <c r="R317" s="29" t="str">
        <f t="shared" si="34"/>
        <v>MayF0</v>
      </c>
    </row>
    <row r="318" spans="1:18">
      <c r="A318" s="483">
        <f t="shared" si="35"/>
        <v>314</v>
      </c>
      <c r="B318" s="484">
        <v>10</v>
      </c>
      <c r="C318" s="485">
        <v>27542</v>
      </c>
      <c r="D318" s="763" t="str">
        <f t="shared" si="31"/>
        <v>May</v>
      </c>
      <c r="E318" s="484">
        <v>28</v>
      </c>
      <c r="F318" s="472">
        <v>1975</v>
      </c>
      <c r="G318" s="484" t="s">
        <v>104</v>
      </c>
      <c r="H318" s="472" t="s">
        <v>122</v>
      </c>
      <c r="I318" s="486">
        <v>30</v>
      </c>
      <c r="J318" s="486">
        <v>0.5</v>
      </c>
      <c r="K318" s="472">
        <f t="shared" si="36"/>
        <v>18</v>
      </c>
      <c r="L318" s="473">
        <v>0.79027777777777775</v>
      </c>
      <c r="M318" s="474">
        <f t="shared" si="30"/>
        <v>0.79027777777777775</v>
      </c>
      <c r="N318" s="519"/>
      <c r="P318" s="29" t="str">
        <f t="shared" si="32"/>
        <v>1975F0</v>
      </c>
      <c r="Q318" s="29" t="str">
        <f t="shared" si="33"/>
        <v>F018</v>
      </c>
      <c r="R318" s="29" t="str">
        <f t="shared" si="34"/>
        <v>MayF0</v>
      </c>
    </row>
    <row r="319" spans="1:18">
      <c r="A319" s="483">
        <f t="shared" si="35"/>
        <v>315</v>
      </c>
      <c r="B319" s="484">
        <v>11</v>
      </c>
      <c r="C319" s="485">
        <v>27542</v>
      </c>
      <c r="D319" s="763" t="str">
        <f t="shared" si="31"/>
        <v>May</v>
      </c>
      <c r="E319" s="484">
        <v>28</v>
      </c>
      <c r="F319" s="472">
        <v>1975</v>
      </c>
      <c r="G319" s="484" t="s">
        <v>109</v>
      </c>
      <c r="H319" s="472" t="s">
        <v>122</v>
      </c>
      <c r="I319" s="486">
        <v>40</v>
      </c>
      <c r="J319" s="486">
        <v>1</v>
      </c>
      <c r="K319" s="472">
        <f t="shared" si="36"/>
        <v>19</v>
      </c>
      <c r="L319" s="473">
        <v>0.80902777777777779</v>
      </c>
      <c r="M319" s="474">
        <f t="shared" si="30"/>
        <v>0.80902777777777779</v>
      </c>
      <c r="N319" s="519"/>
      <c r="P319" s="29" t="str">
        <f t="shared" si="32"/>
        <v>1975F0</v>
      </c>
      <c r="Q319" s="29" t="str">
        <f t="shared" si="33"/>
        <v>F019</v>
      </c>
      <c r="R319" s="29" t="str">
        <f t="shared" si="34"/>
        <v>MayF0</v>
      </c>
    </row>
    <row r="320" spans="1:18">
      <c r="A320" s="483">
        <f t="shared" si="35"/>
        <v>316</v>
      </c>
      <c r="B320" s="484">
        <v>12</v>
      </c>
      <c r="C320" s="485">
        <v>27571</v>
      </c>
      <c r="D320" s="763" t="str">
        <f t="shared" si="31"/>
        <v>June</v>
      </c>
      <c r="E320" s="484">
        <v>26</v>
      </c>
      <c r="F320" s="472">
        <v>1975</v>
      </c>
      <c r="G320" s="484" t="s">
        <v>104</v>
      </c>
      <c r="H320" s="472" t="s">
        <v>122</v>
      </c>
      <c r="I320" s="486">
        <v>60</v>
      </c>
      <c r="J320" s="486">
        <v>1.9</v>
      </c>
      <c r="K320" s="472">
        <f t="shared" si="36"/>
        <v>16</v>
      </c>
      <c r="L320" s="473">
        <v>0.69791666666666663</v>
      </c>
      <c r="M320" s="474">
        <f t="shared" ref="M320:M382" si="37">+L320</f>
        <v>0.69791666666666663</v>
      </c>
      <c r="N320" s="519"/>
      <c r="P320" s="29" t="str">
        <f t="shared" si="32"/>
        <v>1975F0</v>
      </c>
      <c r="Q320" s="29" t="str">
        <f t="shared" si="33"/>
        <v>F016</v>
      </c>
      <c r="R320" s="29" t="str">
        <f t="shared" si="34"/>
        <v>JuneF0</v>
      </c>
    </row>
    <row r="321" spans="1:18">
      <c r="A321" s="483">
        <f t="shared" si="35"/>
        <v>317</v>
      </c>
      <c r="B321" s="484">
        <v>13</v>
      </c>
      <c r="C321" s="485">
        <v>27571</v>
      </c>
      <c r="D321" s="763" t="str">
        <f t="shared" si="31"/>
        <v>June</v>
      </c>
      <c r="E321" s="484">
        <v>26</v>
      </c>
      <c r="F321" s="472">
        <v>1975</v>
      </c>
      <c r="G321" s="484" t="s">
        <v>104</v>
      </c>
      <c r="H321" s="472" t="s">
        <v>123</v>
      </c>
      <c r="I321" s="486">
        <v>40</v>
      </c>
      <c r="J321" s="486">
        <v>1</v>
      </c>
      <c r="K321" s="472">
        <f t="shared" si="36"/>
        <v>17</v>
      </c>
      <c r="L321" s="473">
        <v>0.72916666666666663</v>
      </c>
      <c r="M321" s="474">
        <f t="shared" si="37"/>
        <v>0.72916666666666663</v>
      </c>
      <c r="N321" s="519"/>
      <c r="P321" s="29" t="str">
        <f t="shared" si="32"/>
        <v>1975F1</v>
      </c>
      <c r="Q321" s="29" t="str">
        <f t="shared" si="33"/>
        <v>F117</v>
      </c>
      <c r="R321" s="29" t="str">
        <f t="shared" si="34"/>
        <v>JuneF1</v>
      </c>
    </row>
    <row r="322" spans="1:18">
      <c r="A322" s="483">
        <f t="shared" si="35"/>
        <v>318</v>
      </c>
      <c r="B322" s="484">
        <v>14</v>
      </c>
      <c r="C322" s="485">
        <v>27584</v>
      </c>
      <c r="D322" s="763" t="str">
        <f t="shared" si="31"/>
        <v>July</v>
      </c>
      <c r="E322" s="484">
        <v>9</v>
      </c>
      <c r="F322" s="472">
        <v>1975</v>
      </c>
      <c r="G322" s="484" t="s">
        <v>109</v>
      </c>
      <c r="H322" s="472" t="s">
        <v>122</v>
      </c>
      <c r="I322" s="486">
        <v>10</v>
      </c>
      <c r="J322" s="486">
        <v>0.1</v>
      </c>
      <c r="K322" s="472">
        <f t="shared" si="36"/>
        <v>20</v>
      </c>
      <c r="L322" s="473">
        <v>0.85069444444444453</v>
      </c>
      <c r="M322" s="474">
        <f t="shared" si="37"/>
        <v>0.85069444444444453</v>
      </c>
      <c r="N322" s="519"/>
      <c r="P322" s="29" t="str">
        <f t="shared" si="32"/>
        <v>1975F0</v>
      </c>
      <c r="Q322" s="29" t="str">
        <f t="shared" si="33"/>
        <v>F020</v>
      </c>
      <c r="R322" s="29" t="str">
        <f t="shared" si="34"/>
        <v>JulyF0</v>
      </c>
    </row>
    <row r="323" spans="1:18">
      <c r="A323" s="483">
        <f t="shared" si="35"/>
        <v>319</v>
      </c>
      <c r="B323" s="484">
        <v>15</v>
      </c>
      <c r="C323" s="485">
        <v>27585</v>
      </c>
      <c r="D323" s="763" t="str">
        <f t="shared" si="31"/>
        <v>July</v>
      </c>
      <c r="E323" s="484">
        <v>10</v>
      </c>
      <c r="F323" s="472">
        <v>1975</v>
      </c>
      <c r="G323" s="484" t="s">
        <v>100</v>
      </c>
      <c r="H323" s="472" t="s">
        <v>123</v>
      </c>
      <c r="I323" s="486">
        <v>60</v>
      </c>
      <c r="J323" s="486">
        <v>2</v>
      </c>
      <c r="K323" s="472">
        <f t="shared" si="36"/>
        <v>16</v>
      </c>
      <c r="L323" s="473">
        <v>0.67708333333333337</v>
      </c>
      <c r="M323" s="474">
        <f t="shared" si="37"/>
        <v>0.67708333333333337</v>
      </c>
      <c r="N323" s="519"/>
      <c r="P323" s="29" t="str">
        <f t="shared" si="32"/>
        <v>1975F1</v>
      </c>
      <c r="Q323" s="29" t="str">
        <f t="shared" si="33"/>
        <v>F116</v>
      </c>
      <c r="R323" s="29" t="str">
        <f t="shared" si="34"/>
        <v>JulyF1</v>
      </c>
    </row>
    <row r="324" spans="1:18">
      <c r="A324" s="483">
        <f t="shared" si="35"/>
        <v>320</v>
      </c>
      <c r="B324" s="484">
        <v>16</v>
      </c>
      <c r="C324" s="485">
        <v>27717</v>
      </c>
      <c r="D324" s="763" t="str">
        <f t="shared" si="31"/>
        <v>November</v>
      </c>
      <c r="E324" s="484">
        <v>19</v>
      </c>
      <c r="F324" s="472">
        <v>1975</v>
      </c>
      <c r="G324" s="484" t="s">
        <v>100</v>
      </c>
      <c r="H324" s="472" t="s">
        <v>124</v>
      </c>
      <c r="I324" s="486">
        <v>270</v>
      </c>
      <c r="J324" s="486">
        <v>0.3</v>
      </c>
      <c r="K324" s="472">
        <f t="shared" si="36"/>
        <v>3</v>
      </c>
      <c r="L324" s="473">
        <v>0.125</v>
      </c>
      <c r="M324" s="474">
        <f t="shared" si="37"/>
        <v>0.125</v>
      </c>
      <c r="N324" s="519"/>
      <c r="P324" s="29" t="str">
        <f t="shared" si="32"/>
        <v>1975F2</v>
      </c>
      <c r="Q324" s="29" t="str">
        <f t="shared" si="33"/>
        <v>F23</v>
      </c>
      <c r="R324" s="29" t="str">
        <f t="shared" si="34"/>
        <v>NovemberF2</v>
      </c>
    </row>
    <row r="325" spans="1:18">
      <c r="A325" s="483">
        <f t="shared" si="35"/>
        <v>321</v>
      </c>
      <c r="B325" s="484">
        <v>1</v>
      </c>
      <c r="C325" s="485">
        <v>27857</v>
      </c>
      <c r="D325" s="763" t="str">
        <f t="shared" ref="D325:D388" si="38">+TEXT(C325,"mmmm")</f>
        <v>April</v>
      </c>
      <c r="E325" s="484">
        <v>7</v>
      </c>
      <c r="F325" s="472">
        <v>1976</v>
      </c>
      <c r="G325" s="484" t="s">
        <v>120</v>
      </c>
      <c r="H325" s="472" t="s">
        <v>122</v>
      </c>
      <c r="I325" s="486">
        <v>10</v>
      </c>
      <c r="J325" s="486">
        <v>0.1</v>
      </c>
      <c r="K325" s="472">
        <f t="shared" si="36"/>
        <v>16</v>
      </c>
      <c r="L325" s="473">
        <v>0.6875</v>
      </c>
      <c r="M325" s="474">
        <f t="shared" si="37"/>
        <v>0.6875</v>
      </c>
      <c r="N325" s="519"/>
      <c r="P325" s="29" t="str">
        <f t="shared" si="32"/>
        <v>1976F0</v>
      </c>
      <c r="Q325" s="29" t="str">
        <f t="shared" si="33"/>
        <v>F016</v>
      </c>
      <c r="R325" s="29" t="str">
        <f t="shared" si="34"/>
        <v>AprilF0</v>
      </c>
    </row>
    <row r="326" spans="1:18">
      <c r="A326" s="483">
        <f t="shared" si="35"/>
        <v>322</v>
      </c>
      <c r="B326" s="484">
        <v>2</v>
      </c>
      <c r="C326" s="485">
        <v>27857</v>
      </c>
      <c r="D326" s="763" t="str">
        <f t="shared" si="38"/>
        <v>April</v>
      </c>
      <c r="E326" s="484">
        <v>7</v>
      </c>
      <c r="F326" s="472">
        <v>1976</v>
      </c>
      <c r="G326" s="484" t="s">
        <v>120</v>
      </c>
      <c r="H326" s="472" t="s">
        <v>122</v>
      </c>
      <c r="I326" s="486">
        <v>10</v>
      </c>
      <c r="J326" s="486">
        <v>0.1</v>
      </c>
      <c r="K326" s="472">
        <f t="shared" si="36"/>
        <v>16</v>
      </c>
      <c r="L326" s="473">
        <v>0.69097222222222221</v>
      </c>
      <c r="M326" s="474">
        <f t="shared" si="37"/>
        <v>0.69097222222222221</v>
      </c>
      <c r="N326" s="519"/>
      <c r="P326" s="29" t="str">
        <f t="shared" ref="P326:P389" si="39">CONCATENATE(F326,H326)</f>
        <v>1976F0</v>
      </c>
      <c r="Q326" s="29" t="str">
        <f t="shared" ref="Q326:Q389" si="40">CONCATENATE(H326,K326)</f>
        <v>F016</v>
      </c>
      <c r="R326" s="29" t="str">
        <f t="shared" ref="R326:R389" si="41">CONCATENATE(D326,H326)</f>
        <v>AprilF0</v>
      </c>
    </row>
    <row r="327" spans="1:18">
      <c r="A327" s="483">
        <f t="shared" ref="A327:A390" si="42">+A326+1</f>
        <v>323</v>
      </c>
      <c r="B327" s="484">
        <v>3</v>
      </c>
      <c r="C327" s="485">
        <v>27857</v>
      </c>
      <c r="D327" s="763" t="str">
        <f t="shared" si="38"/>
        <v>April</v>
      </c>
      <c r="E327" s="484">
        <v>7</v>
      </c>
      <c r="F327" s="472">
        <v>1976</v>
      </c>
      <c r="G327" s="484" t="s">
        <v>121</v>
      </c>
      <c r="H327" s="472" t="s">
        <v>122</v>
      </c>
      <c r="I327" s="486">
        <v>10</v>
      </c>
      <c r="J327" s="486">
        <v>0.1</v>
      </c>
      <c r="K327" s="472">
        <f t="shared" si="36"/>
        <v>17</v>
      </c>
      <c r="L327" s="473">
        <v>0.74305555555555547</v>
      </c>
      <c r="M327" s="474">
        <f t="shared" si="37"/>
        <v>0.74305555555555547</v>
      </c>
      <c r="N327" s="519"/>
      <c r="P327" s="29" t="str">
        <f t="shared" si="39"/>
        <v>1976F0</v>
      </c>
      <c r="Q327" s="29" t="str">
        <f t="shared" si="40"/>
        <v>F017</v>
      </c>
      <c r="R327" s="29" t="str">
        <f t="shared" si="41"/>
        <v>AprilF0</v>
      </c>
    </row>
    <row r="328" spans="1:18">
      <c r="A328" s="483">
        <f t="shared" si="42"/>
        <v>324</v>
      </c>
      <c r="B328" s="484">
        <v>4</v>
      </c>
      <c r="C328" s="485">
        <v>27865</v>
      </c>
      <c r="D328" s="763" t="str">
        <f t="shared" si="38"/>
        <v>April</v>
      </c>
      <c r="E328" s="484">
        <v>15</v>
      </c>
      <c r="F328" s="472">
        <v>1976</v>
      </c>
      <c r="G328" s="484" t="s">
        <v>117</v>
      </c>
      <c r="H328" s="472" t="s">
        <v>123</v>
      </c>
      <c r="I328" s="486">
        <v>30</v>
      </c>
      <c r="J328" s="486">
        <v>0.5</v>
      </c>
      <c r="K328" s="472">
        <f t="shared" si="36"/>
        <v>12</v>
      </c>
      <c r="L328" s="473">
        <v>0.51736111111111105</v>
      </c>
      <c r="M328" s="474">
        <f t="shared" si="37"/>
        <v>0.51736111111111105</v>
      </c>
      <c r="N328" s="519"/>
      <c r="P328" s="29" t="str">
        <f t="shared" si="39"/>
        <v>1976F1</v>
      </c>
      <c r="Q328" s="29" t="str">
        <f t="shared" si="40"/>
        <v>F112</v>
      </c>
      <c r="R328" s="29" t="str">
        <f t="shared" si="41"/>
        <v>AprilF1</v>
      </c>
    </row>
    <row r="329" spans="1:18">
      <c r="A329" s="483">
        <f t="shared" si="42"/>
        <v>325</v>
      </c>
      <c r="B329" s="484">
        <v>5</v>
      </c>
      <c r="C329" s="485">
        <v>27865</v>
      </c>
      <c r="D329" s="763" t="str">
        <f t="shared" si="38"/>
        <v>April</v>
      </c>
      <c r="E329" s="484">
        <v>15</v>
      </c>
      <c r="F329" s="472">
        <v>1976</v>
      </c>
      <c r="G329" s="484" t="s">
        <v>104</v>
      </c>
      <c r="H329" s="472" t="s">
        <v>122</v>
      </c>
      <c r="I329" s="486">
        <v>10</v>
      </c>
      <c r="J329" s="486">
        <v>0.1</v>
      </c>
      <c r="K329" s="472">
        <f t="shared" si="36"/>
        <v>14</v>
      </c>
      <c r="L329" s="473">
        <v>0.60416666666666663</v>
      </c>
      <c r="M329" s="474">
        <f t="shared" si="37"/>
        <v>0.60416666666666663</v>
      </c>
      <c r="N329" s="519"/>
      <c r="P329" s="29" t="str">
        <f t="shared" si="39"/>
        <v>1976F0</v>
      </c>
      <c r="Q329" s="29" t="str">
        <f t="shared" si="40"/>
        <v>F014</v>
      </c>
      <c r="R329" s="29" t="str">
        <f t="shared" si="41"/>
        <v>AprilF0</v>
      </c>
    </row>
    <row r="330" spans="1:18">
      <c r="A330" s="483">
        <f t="shared" si="42"/>
        <v>326</v>
      </c>
      <c r="B330" s="484">
        <v>6</v>
      </c>
      <c r="C330" s="485">
        <v>27865</v>
      </c>
      <c r="D330" s="763" t="str">
        <f t="shared" si="38"/>
        <v>April</v>
      </c>
      <c r="E330" s="484">
        <v>15</v>
      </c>
      <c r="F330" s="472">
        <v>1976</v>
      </c>
      <c r="G330" s="484" t="s">
        <v>104</v>
      </c>
      <c r="H330" s="472" t="s">
        <v>122</v>
      </c>
      <c r="I330" s="486">
        <v>10</v>
      </c>
      <c r="J330" s="486">
        <v>0.1</v>
      </c>
      <c r="K330" s="472">
        <f t="shared" si="36"/>
        <v>14</v>
      </c>
      <c r="L330" s="473">
        <v>0.60416666666666663</v>
      </c>
      <c r="M330" s="474">
        <f t="shared" si="37"/>
        <v>0.60416666666666663</v>
      </c>
      <c r="N330" s="519"/>
      <c r="P330" s="29" t="str">
        <f t="shared" si="39"/>
        <v>1976F0</v>
      </c>
      <c r="Q330" s="29" t="str">
        <f t="shared" si="40"/>
        <v>F014</v>
      </c>
      <c r="R330" s="29" t="str">
        <f t="shared" si="41"/>
        <v>AprilF0</v>
      </c>
    </row>
    <row r="331" spans="1:18">
      <c r="A331" s="483">
        <f t="shared" si="42"/>
        <v>327</v>
      </c>
      <c r="B331" s="484">
        <v>7</v>
      </c>
      <c r="C331" s="485">
        <v>27865</v>
      </c>
      <c r="D331" s="763" t="str">
        <f t="shared" si="38"/>
        <v>April</v>
      </c>
      <c r="E331" s="484">
        <v>15</v>
      </c>
      <c r="F331" s="472">
        <v>1976</v>
      </c>
      <c r="G331" s="484" t="s">
        <v>104</v>
      </c>
      <c r="H331" s="472" t="s">
        <v>122</v>
      </c>
      <c r="I331" s="486">
        <v>10</v>
      </c>
      <c r="J331" s="486">
        <v>0.1</v>
      </c>
      <c r="K331" s="472">
        <f t="shared" si="36"/>
        <v>14</v>
      </c>
      <c r="L331" s="473">
        <v>0.61597222222222225</v>
      </c>
      <c r="M331" s="474">
        <f t="shared" si="37"/>
        <v>0.61597222222222225</v>
      </c>
      <c r="N331" s="519"/>
      <c r="P331" s="29" t="str">
        <f t="shared" si="39"/>
        <v>1976F0</v>
      </c>
      <c r="Q331" s="29" t="str">
        <f t="shared" si="40"/>
        <v>F014</v>
      </c>
      <c r="R331" s="29" t="str">
        <f t="shared" si="41"/>
        <v>AprilF0</v>
      </c>
    </row>
    <row r="332" spans="1:18">
      <c r="A332" s="483">
        <f t="shared" si="42"/>
        <v>328</v>
      </c>
      <c r="B332" s="484">
        <v>8</v>
      </c>
      <c r="C332" s="485">
        <v>27869</v>
      </c>
      <c r="D332" s="763" t="str">
        <f t="shared" si="38"/>
        <v>April</v>
      </c>
      <c r="E332" s="484">
        <v>19</v>
      </c>
      <c r="F332" s="472">
        <v>1976</v>
      </c>
      <c r="G332" s="484" t="s">
        <v>108</v>
      </c>
      <c r="H332" s="472" t="s">
        <v>122</v>
      </c>
      <c r="I332" s="486">
        <v>10</v>
      </c>
      <c r="J332" s="486">
        <v>0.1</v>
      </c>
      <c r="K332" s="472">
        <f t="shared" si="36"/>
        <v>14</v>
      </c>
      <c r="L332" s="473">
        <v>0.62152777777777779</v>
      </c>
      <c r="M332" s="474">
        <f t="shared" si="37"/>
        <v>0.62152777777777779</v>
      </c>
      <c r="N332" s="519"/>
      <c r="P332" s="29" t="str">
        <f t="shared" si="39"/>
        <v>1976F0</v>
      </c>
      <c r="Q332" s="29" t="str">
        <f t="shared" si="40"/>
        <v>F014</v>
      </c>
      <c r="R332" s="29" t="str">
        <f t="shared" si="41"/>
        <v>AprilF0</v>
      </c>
    </row>
    <row r="333" spans="1:18">
      <c r="A333" s="483">
        <f t="shared" si="42"/>
        <v>329</v>
      </c>
      <c r="B333" s="484">
        <v>9</v>
      </c>
      <c r="C333" s="485">
        <v>27877</v>
      </c>
      <c r="D333" s="763" t="str">
        <f t="shared" si="38"/>
        <v>April</v>
      </c>
      <c r="E333" s="484">
        <v>27</v>
      </c>
      <c r="F333" s="472">
        <v>1976</v>
      </c>
      <c r="G333" s="484" t="s">
        <v>108</v>
      </c>
      <c r="H333" s="472" t="s">
        <v>122</v>
      </c>
      <c r="I333" s="486">
        <v>10</v>
      </c>
      <c r="J333" s="486">
        <v>0.1</v>
      </c>
      <c r="K333" s="472">
        <f t="shared" si="36"/>
        <v>19</v>
      </c>
      <c r="L333" s="473">
        <v>0.79166666666666663</v>
      </c>
      <c r="M333" s="474">
        <f t="shared" si="37"/>
        <v>0.79166666666666663</v>
      </c>
      <c r="N333" s="519"/>
      <c r="P333" s="29" t="str">
        <f t="shared" si="39"/>
        <v>1976F0</v>
      </c>
      <c r="Q333" s="29" t="str">
        <f t="shared" si="40"/>
        <v>F019</v>
      </c>
      <c r="R333" s="29" t="str">
        <f t="shared" si="41"/>
        <v>AprilF0</v>
      </c>
    </row>
    <row r="334" spans="1:18">
      <c r="A334" s="483">
        <f t="shared" si="42"/>
        <v>330</v>
      </c>
      <c r="B334" s="484">
        <v>10</v>
      </c>
      <c r="C334" s="485">
        <v>27932</v>
      </c>
      <c r="D334" s="763" t="str">
        <f t="shared" si="38"/>
        <v>June</v>
      </c>
      <c r="E334" s="484">
        <v>21</v>
      </c>
      <c r="F334" s="472">
        <v>1976</v>
      </c>
      <c r="G334" s="484" t="s">
        <v>118</v>
      </c>
      <c r="H334" s="472" t="s">
        <v>122</v>
      </c>
      <c r="I334" s="486">
        <v>10</v>
      </c>
      <c r="J334" s="486">
        <v>0.3</v>
      </c>
      <c r="K334" s="472">
        <f t="shared" si="36"/>
        <v>18</v>
      </c>
      <c r="L334" s="473">
        <v>0.76249999999999996</v>
      </c>
      <c r="M334" s="474">
        <f t="shared" si="37"/>
        <v>0.76249999999999996</v>
      </c>
      <c r="N334" s="519"/>
      <c r="P334" s="29" t="str">
        <f t="shared" si="39"/>
        <v>1976F0</v>
      </c>
      <c r="Q334" s="29" t="str">
        <f t="shared" si="40"/>
        <v>F018</v>
      </c>
      <c r="R334" s="29" t="str">
        <f t="shared" si="41"/>
        <v>JuneF0</v>
      </c>
    </row>
    <row r="335" spans="1:18">
      <c r="A335" s="483">
        <f t="shared" si="42"/>
        <v>331</v>
      </c>
      <c r="B335" s="484">
        <v>1</v>
      </c>
      <c r="C335" s="485">
        <v>28234</v>
      </c>
      <c r="D335" s="763" t="str">
        <f t="shared" si="38"/>
        <v>April</v>
      </c>
      <c r="E335" s="484">
        <v>19</v>
      </c>
      <c r="F335" s="472">
        <v>1977</v>
      </c>
      <c r="G335" s="484" t="s">
        <v>120</v>
      </c>
      <c r="H335" s="472" t="s">
        <v>122</v>
      </c>
      <c r="I335" s="486">
        <v>10</v>
      </c>
      <c r="J335" s="486">
        <v>0.1</v>
      </c>
      <c r="K335" s="472">
        <f t="shared" si="36"/>
        <v>15</v>
      </c>
      <c r="L335" s="473">
        <v>0.64583333333333337</v>
      </c>
      <c r="M335" s="474">
        <f t="shared" si="37"/>
        <v>0.64583333333333337</v>
      </c>
      <c r="N335" s="519"/>
      <c r="P335" s="29" t="str">
        <f t="shared" si="39"/>
        <v>1977F0</v>
      </c>
      <c r="Q335" s="29" t="str">
        <f t="shared" si="40"/>
        <v>F015</v>
      </c>
      <c r="R335" s="29" t="str">
        <f t="shared" si="41"/>
        <v>AprilF0</v>
      </c>
    </row>
    <row r="336" spans="1:18">
      <c r="A336" s="483">
        <f t="shared" si="42"/>
        <v>332</v>
      </c>
      <c r="B336" s="484">
        <v>2</v>
      </c>
      <c r="C336" s="485">
        <v>28246</v>
      </c>
      <c r="D336" s="763" t="str">
        <f t="shared" si="38"/>
        <v>May</v>
      </c>
      <c r="E336" s="484">
        <v>1</v>
      </c>
      <c r="F336" s="472">
        <v>1977</v>
      </c>
      <c r="G336" s="484" t="s">
        <v>101</v>
      </c>
      <c r="H336" s="472" t="s">
        <v>124</v>
      </c>
      <c r="I336" s="486">
        <v>100</v>
      </c>
      <c r="J336" s="486">
        <v>2.7</v>
      </c>
      <c r="K336" s="472">
        <f t="shared" si="36"/>
        <v>15</v>
      </c>
      <c r="L336" s="473">
        <v>0.65972222222222221</v>
      </c>
      <c r="M336" s="474">
        <f t="shared" si="37"/>
        <v>0.65972222222222221</v>
      </c>
      <c r="N336" s="519">
        <v>0.67361111111111116</v>
      </c>
      <c r="P336" s="29" t="str">
        <f t="shared" si="39"/>
        <v>1977F2</v>
      </c>
      <c r="Q336" s="29" t="str">
        <f t="shared" si="40"/>
        <v>F215</v>
      </c>
      <c r="R336" s="29" t="str">
        <f t="shared" si="41"/>
        <v>MayF2</v>
      </c>
    </row>
    <row r="337" spans="1:18">
      <c r="A337" s="483">
        <f t="shared" si="42"/>
        <v>333</v>
      </c>
      <c r="B337" s="484">
        <v>3</v>
      </c>
      <c r="C337" s="485">
        <v>28259</v>
      </c>
      <c r="D337" s="763" t="str">
        <f t="shared" si="38"/>
        <v>May</v>
      </c>
      <c r="E337" s="484">
        <v>14</v>
      </c>
      <c r="F337" s="472">
        <v>1977</v>
      </c>
      <c r="G337" s="484" t="s">
        <v>102</v>
      </c>
      <c r="H337" s="472" t="s">
        <v>123</v>
      </c>
      <c r="I337" s="486">
        <v>20</v>
      </c>
      <c r="J337" s="486">
        <v>1</v>
      </c>
      <c r="K337" s="472">
        <f t="shared" si="36"/>
        <v>0</v>
      </c>
      <c r="L337" s="473">
        <v>6.9444444444444447E-4</v>
      </c>
      <c r="M337" s="474">
        <f t="shared" si="37"/>
        <v>6.9444444444444447E-4</v>
      </c>
      <c r="N337" s="519"/>
      <c r="P337" s="29" t="str">
        <f t="shared" si="39"/>
        <v>1977F1</v>
      </c>
      <c r="Q337" s="29" t="str">
        <f t="shared" si="40"/>
        <v>F10</v>
      </c>
      <c r="R337" s="29" t="str">
        <f t="shared" si="41"/>
        <v>MayF1</v>
      </c>
    </row>
    <row r="338" spans="1:18">
      <c r="A338" s="483">
        <f t="shared" si="42"/>
        <v>334</v>
      </c>
      <c r="B338" s="484">
        <v>4</v>
      </c>
      <c r="C338" s="485">
        <v>28259</v>
      </c>
      <c r="D338" s="763" t="str">
        <f t="shared" si="38"/>
        <v>May</v>
      </c>
      <c r="E338" s="484">
        <v>14</v>
      </c>
      <c r="F338" s="472">
        <v>1977</v>
      </c>
      <c r="G338" s="484" t="s">
        <v>114</v>
      </c>
      <c r="H338" s="472" t="s">
        <v>123</v>
      </c>
      <c r="I338" s="486">
        <v>20</v>
      </c>
      <c r="J338" s="486">
        <v>1</v>
      </c>
      <c r="K338" s="472">
        <f t="shared" si="36"/>
        <v>14</v>
      </c>
      <c r="L338" s="473">
        <v>0.60069444444444442</v>
      </c>
      <c r="M338" s="474">
        <f t="shared" si="37"/>
        <v>0.60069444444444442</v>
      </c>
      <c r="N338" s="519">
        <v>0.6020833333333333</v>
      </c>
      <c r="P338" s="29" t="str">
        <f t="shared" si="39"/>
        <v>1977F1</v>
      </c>
      <c r="Q338" s="29" t="str">
        <f t="shared" si="40"/>
        <v>F114</v>
      </c>
      <c r="R338" s="29" t="str">
        <f t="shared" si="41"/>
        <v>MayF1</v>
      </c>
    </row>
    <row r="339" spans="1:18">
      <c r="A339" s="483">
        <f t="shared" si="42"/>
        <v>335</v>
      </c>
      <c r="B339" s="484">
        <v>5</v>
      </c>
      <c r="C339" s="485">
        <v>28261</v>
      </c>
      <c r="D339" s="763" t="str">
        <f t="shared" si="38"/>
        <v>May</v>
      </c>
      <c r="E339" s="484">
        <v>16</v>
      </c>
      <c r="F339" s="472">
        <v>1977</v>
      </c>
      <c r="G339" s="484" t="s">
        <v>121</v>
      </c>
      <c r="H339" s="472" t="s">
        <v>125</v>
      </c>
      <c r="I339" s="486">
        <v>500</v>
      </c>
      <c r="J339" s="486">
        <v>16.7</v>
      </c>
      <c r="K339" s="472">
        <f t="shared" si="36"/>
        <v>15</v>
      </c>
      <c r="L339" s="473">
        <v>0.63194444444444442</v>
      </c>
      <c r="M339" s="474">
        <f t="shared" si="37"/>
        <v>0.63194444444444442</v>
      </c>
      <c r="N339" s="519"/>
      <c r="P339" s="29" t="str">
        <f t="shared" si="39"/>
        <v>1977F3</v>
      </c>
      <c r="Q339" s="29" t="str">
        <f t="shared" si="40"/>
        <v>F315</v>
      </c>
      <c r="R339" s="29" t="str">
        <f t="shared" si="41"/>
        <v>MayF3</v>
      </c>
    </row>
    <row r="340" spans="1:18">
      <c r="A340" s="483">
        <f t="shared" si="42"/>
        <v>336</v>
      </c>
      <c r="B340" s="484">
        <v>6</v>
      </c>
      <c r="C340" s="485">
        <v>28261</v>
      </c>
      <c r="D340" s="763" t="str">
        <f t="shared" si="38"/>
        <v>May</v>
      </c>
      <c r="E340" s="484">
        <v>16</v>
      </c>
      <c r="F340" s="472">
        <v>1977</v>
      </c>
      <c r="G340" s="484" t="s">
        <v>121</v>
      </c>
      <c r="H340" s="472" t="s">
        <v>125</v>
      </c>
      <c r="I340" s="486">
        <v>500</v>
      </c>
      <c r="J340" s="486">
        <v>15</v>
      </c>
      <c r="K340" s="472">
        <f t="shared" si="36"/>
        <v>16</v>
      </c>
      <c r="L340" s="473">
        <v>0.67013888888888884</v>
      </c>
      <c r="M340" s="474">
        <f t="shared" si="37"/>
        <v>0.67013888888888884</v>
      </c>
      <c r="N340" s="519">
        <v>0.69444444444444453</v>
      </c>
      <c r="P340" s="29" t="str">
        <f t="shared" si="39"/>
        <v>1977F3</v>
      </c>
      <c r="Q340" s="29" t="str">
        <f t="shared" si="40"/>
        <v>F316</v>
      </c>
      <c r="R340" s="29" t="str">
        <f t="shared" si="41"/>
        <v>MayF3</v>
      </c>
    </row>
    <row r="341" spans="1:18">
      <c r="A341" s="483">
        <f t="shared" si="42"/>
        <v>337</v>
      </c>
      <c r="B341" s="484">
        <v>7</v>
      </c>
      <c r="C341" s="485">
        <v>28262</v>
      </c>
      <c r="D341" s="763" t="str">
        <f t="shared" si="38"/>
        <v>May</v>
      </c>
      <c r="E341" s="484">
        <v>17</v>
      </c>
      <c r="F341" s="472">
        <v>1977</v>
      </c>
      <c r="G341" s="484" t="s">
        <v>119</v>
      </c>
      <c r="H341" s="472" t="s">
        <v>122</v>
      </c>
      <c r="I341" s="486">
        <v>20</v>
      </c>
      <c r="J341" s="486">
        <v>0.2</v>
      </c>
      <c r="K341" s="472">
        <f t="shared" ref="K341:K403" si="43">HOUR(M341)</f>
        <v>18</v>
      </c>
      <c r="L341" s="473">
        <v>0.77083333333333337</v>
      </c>
      <c r="M341" s="474">
        <f t="shared" si="37"/>
        <v>0.77083333333333337</v>
      </c>
      <c r="N341" s="519"/>
      <c r="P341" s="29" t="str">
        <f t="shared" si="39"/>
        <v>1977F0</v>
      </c>
      <c r="Q341" s="29" t="str">
        <f t="shared" si="40"/>
        <v>F018</v>
      </c>
      <c r="R341" s="29" t="str">
        <f t="shared" si="41"/>
        <v>MayF0</v>
      </c>
    </row>
    <row r="342" spans="1:18">
      <c r="A342" s="483">
        <f t="shared" si="42"/>
        <v>338</v>
      </c>
      <c r="B342" s="484">
        <v>8</v>
      </c>
      <c r="C342" s="485">
        <v>28262</v>
      </c>
      <c r="D342" s="763" t="str">
        <f t="shared" si="38"/>
        <v>May</v>
      </c>
      <c r="E342" s="484">
        <v>17</v>
      </c>
      <c r="F342" s="472">
        <v>1977</v>
      </c>
      <c r="G342" s="484" t="s">
        <v>109</v>
      </c>
      <c r="H342" s="472" t="s">
        <v>123</v>
      </c>
      <c r="I342" s="486">
        <v>20</v>
      </c>
      <c r="J342" s="486">
        <v>1</v>
      </c>
      <c r="K342" s="472">
        <f t="shared" si="43"/>
        <v>19</v>
      </c>
      <c r="L342" s="473">
        <v>0.79166666666666663</v>
      </c>
      <c r="M342" s="474">
        <f t="shared" si="37"/>
        <v>0.79166666666666663</v>
      </c>
      <c r="N342" s="519"/>
      <c r="P342" s="29" t="str">
        <f t="shared" si="39"/>
        <v>1977F1</v>
      </c>
      <c r="Q342" s="29" t="str">
        <f t="shared" si="40"/>
        <v>F119</v>
      </c>
      <c r="R342" s="29" t="str">
        <f t="shared" si="41"/>
        <v>MayF1</v>
      </c>
    </row>
    <row r="343" spans="1:18">
      <c r="A343" s="483">
        <f t="shared" si="42"/>
        <v>339</v>
      </c>
      <c r="B343" s="484">
        <v>9</v>
      </c>
      <c r="C343" s="485">
        <v>28262</v>
      </c>
      <c r="D343" s="763" t="str">
        <f t="shared" si="38"/>
        <v>May</v>
      </c>
      <c r="E343" s="484">
        <v>17</v>
      </c>
      <c r="F343" s="472">
        <v>1977</v>
      </c>
      <c r="G343" s="484" t="s">
        <v>119</v>
      </c>
      <c r="H343" s="472" t="s">
        <v>123</v>
      </c>
      <c r="I343" s="486">
        <v>20</v>
      </c>
      <c r="J343" s="486">
        <v>6.4</v>
      </c>
      <c r="K343" s="472">
        <f t="shared" si="43"/>
        <v>19</v>
      </c>
      <c r="L343" s="473">
        <v>0.81041666666666667</v>
      </c>
      <c r="M343" s="474">
        <f t="shared" si="37"/>
        <v>0.81041666666666667</v>
      </c>
      <c r="N343" s="519"/>
      <c r="P343" s="29" t="str">
        <f t="shared" si="39"/>
        <v>1977F1</v>
      </c>
      <c r="Q343" s="29" t="str">
        <f t="shared" si="40"/>
        <v>F119</v>
      </c>
      <c r="R343" s="29" t="str">
        <f t="shared" si="41"/>
        <v>MayF1</v>
      </c>
    </row>
    <row r="344" spans="1:18">
      <c r="A344" s="483">
        <f t="shared" si="42"/>
        <v>340</v>
      </c>
      <c r="B344" s="484">
        <v>10</v>
      </c>
      <c r="C344" s="485">
        <v>28262</v>
      </c>
      <c r="D344" s="763" t="str">
        <f t="shared" si="38"/>
        <v>May</v>
      </c>
      <c r="E344" s="484">
        <v>17</v>
      </c>
      <c r="F344" s="472">
        <v>1977</v>
      </c>
      <c r="G344" s="484" t="s">
        <v>114</v>
      </c>
      <c r="H344" s="472" t="s">
        <v>123</v>
      </c>
      <c r="I344" s="486">
        <v>20</v>
      </c>
      <c r="J344" s="486">
        <v>1</v>
      </c>
      <c r="K344" s="472">
        <f t="shared" si="43"/>
        <v>19</v>
      </c>
      <c r="L344" s="473">
        <v>0.82638888888888884</v>
      </c>
      <c r="M344" s="474">
        <f t="shared" si="37"/>
        <v>0.82638888888888884</v>
      </c>
      <c r="N344" s="519"/>
      <c r="P344" s="29" t="str">
        <f t="shared" si="39"/>
        <v>1977F1</v>
      </c>
      <c r="Q344" s="29" t="str">
        <f t="shared" si="40"/>
        <v>F119</v>
      </c>
      <c r="R344" s="29" t="str">
        <f t="shared" si="41"/>
        <v>MayF1</v>
      </c>
    </row>
    <row r="345" spans="1:18">
      <c r="A345" s="483">
        <f t="shared" si="42"/>
        <v>341</v>
      </c>
      <c r="B345" s="484">
        <v>11</v>
      </c>
      <c r="C345" s="485">
        <v>28262</v>
      </c>
      <c r="D345" s="763" t="str">
        <f t="shared" si="38"/>
        <v>May</v>
      </c>
      <c r="E345" s="484">
        <v>17</v>
      </c>
      <c r="F345" s="472">
        <v>1977</v>
      </c>
      <c r="G345" s="484" t="s">
        <v>119</v>
      </c>
      <c r="H345" s="472" t="s">
        <v>123</v>
      </c>
      <c r="I345" s="486">
        <v>20</v>
      </c>
      <c r="J345" s="486">
        <v>1</v>
      </c>
      <c r="K345" s="472">
        <f t="shared" si="43"/>
        <v>20</v>
      </c>
      <c r="L345" s="473">
        <v>0.86111111111111116</v>
      </c>
      <c r="M345" s="474">
        <f t="shared" si="37"/>
        <v>0.86111111111111116</v>
      </c>
      <c r="N345" s="519"/>
      <c r="P345" s="29" t="str">
        <f t="shared" si="39"/>
        <v>1977F1</v>
      </c>
      <c r="Q345" s="29" t="str">
        <f t="shared" si="40"/>
        <v>F120</v>
      </c>
      <c r="R345" s="29" t="str">
        <f t="shared" si="41"/>
        <v>MayF1</v>
      </c>
    </row>
    <row r="346" spans="1:18">
      <c r="A346" s="483">
        <f t="shared" si="42"/>
        <v>342</v>
      </c>
      <c r="B346" s="484">
        <v>12</v>
      </c>
      <c r="C346" s="485">
        <v>28262</v>
      </c>
      <c r="D346" s="763" t="str">
        <f t="shared" si="38"/>
        <v>May</v>
      </c>
      <c r="E346" s="484">
        <v>17</v>
      </c>
      <c r="F346" s="472">
        <v>1977</v>
      </c>
      <c r="G346" s="484" t="s">
        <v>115</v>
      </c>
      <c r="H346" s="472" t="s">
        <v>122</v>
      </c>
      <c r="I346" s="486">
        <v>20</v>
      </c>
      <c r="J346" s="486">
        <v>0.5</v>
      </c>
      <c r="K346" s="472">
        <f t="shared" si="43"/>
        <v>22</v>
      </c>
      <c r="L346" s="473">
        <v>0.92361111111111116</v>
      </c>
      <c r="M346" s="474">
        <f t="shared" si="37"/>
        <v>0.92361111111111116</v>
      </c>
      <c r="N346" s="519"/>
      <c r="P346" s="29" t="str">
        <f t="shared" si="39"/>
        <v>1977F0</v>
      </c>
      <c r="Q346" s="29" t="str">
        <f t="shared" si="40"/>
        <v>F022</v>
      </c>
      <c r="R346" s="29" t="str">
        <f t="shared" si="41"/>
        <v>MayF0</v>
      </c>
    </row>
    <row r="347" spans="1:18">
      <c r="A347" s="483">
        <f t="shared" si="42"/>
        <v>343</v>
      </c>
      <c r="B347" s="484">
        <v>13</v>
      </c>
      <c r="C347" s="485">
        <v>28263</v>
      </c>
      <c r="D347" s="763" t="str">
        <f t="shared" si="38"/>
        <v>May</v>
      </c>
      <c r="E347" s="484">
        <v>18</v>
      </c>
      <c r="F347" s="472">
        <v>1977</v>
      </c>
      <c r="G347" s="484" t="s">
        <v>99</v>
      </c>
      <c r="H347" s="472" t="s">
        <v>126</v>
      </c>
      <c r="I347" s="486">
        <v>440</v>
      </c>
      <c r="J347" s="486">
        <v>29.3</v>
      </c>
      <c r="K347" s="472">
        <f t="shared" si="43"/>
        <v>13</v>
      </c>
      <c r="L347" s="473">
        <v>0.57638888888888895</v>
      </c>
      <c r="M347" s="474">
        <f t="shared" si="37"/>
        <v>0.57638888888888895</v>
      </c>
      <c r="N347" s="519">
        <v>0.60069444444444442</v>
      </c>
      <c r="P347" s="29" t="str">
        <f t="shared" si="39"/>
        <v>1977F4</v>
      </c>
      <c r="Q347" s="29" t="str">
        <f t="shared" si="40"/>
        <v>F413</v>
      </c>
      <c r="R347" s="29" t="str">
        <f t="shared" si="41"/>
        <v>MayF4</v>
      </c>
    </row>
    <row r="348" spans="1:18">
      <c r="A348" s="483">
        <f t="shared" si="42"/>
        <v>344</v>
      </c>
      <c r="B348" s="484">
        <v>14</v>
      </c>
      <c r="C348" s="485">
        <v>28263</v>
      </c>
      <c r="D348" s="763" t="str">
        <f t="shared" si="38"/>
        <v>May</v>
      </c>
      <c r="E348" s="484">
        <v>18</v>
      </c>
      <c r="F348" s="472">
        <v>1977</v>
      </c>
      <c r="G348" s="484" t="s">
        <v>99</v>
      </c>
      <c r="H348" s="472" t="s">
        <v>124</v>
      </c>
      <c r="I348" s="486">
        <v>50</v>
      </c>
      <c r="J348" s="486">
        <v>16.100000000000001</v>
      </c>
      <c r="K348" s="472">
        <f t="shared" si="43"/>
        <v>13</v>
      </c>
      <c r="L348" s="473">
        <v>0.5625</v>
      </c>
      <c r="M348" s="474">
        <f t="shared" si="37"/>
        <v>0.5625</v>
      </c>
      <c r="N348" s="519"/>
      <c r="P348" s="29" t="str">
        <f t="shared" si="39"/>
        <v>1977F2</v>
      </c>
      <c r="Q348" s="29" t="str">
        <f t="shared" si="40"/>
        <v>F213</v>
      </c>
      <c r="R348" s="29" t="str">
        <f t="shared" si="41"/>
        <v>MayF2</v>
      </c>
    </row>
    <row r="349" spans="1:18">
      <c r="A349" s="483">
        <f t="shared" si="42"/>
        <v>345</v>
      </c>
      <c r="B349" s="484">
        <v>15</v>
      </c>
      <c r="C349" s="485">
        <v>28265</v>
      </c>
      <c r="D349" s="763" t="str">
        <f t="shared" si="38"/>
        <v>May</v>
      </c>
      <c r="E349" s="484">
        <v>20</v>
      </c>
      <c r="F349" s="472">
        <v>1977</v>
      </c>
      <c r="G349" s="484" t="s">
        <v>120</v>
      </c>
      <c r="H349" s="472" t="s">
        <v>123</v>
      </c>
      <c r="I349" s="486">
        <v>30</v>
      </c>
      <c r="J349" s="486">
        <v>2</v>
      </c>
      <c r="K349" s="472">
        <f t="shared" si="43"/>
        <v>15</v>
      </c>
      <c r="L349" s="473">
        <v>0.64444444444444449</v>
      </c>
      <c r="M349" s="474">
        <f t="shared" si="37"/>
        <v>0.64444444444444449</v>
      </c>
      <c r="N349" s="519"/>
      <c r="P349" s="29" t="str">
        <f t="shared" si="39"/>
        <v>1977F1</v>
      </c>
      <c r="Q349" s="29" t="str">
        <f t="shared" si="40"/>
        <v>F115</v>
      </c>
      <c r="R349" s="29" t="str">
        <f t="shared" si="41"/>
        <v>MayF1</v>
      </c>
    </row>
    <row r="350" spans="1:18">
      <c r="A350" s="483">
        <f t="shared" si="42"/>
        <v>346</v>
      </c>
      <c r="B350" s="484">
        <v>16</v>
      </c>
      <c r="C350" s="485">
        <v>28265</v>
      </c>
      <c r="D350" s="763" t="str">
        <f t="shared" si="38"/>
        <v>May</v>
      </c>
      <c r="E350" s="484">
        <v>20</v>
      </c>
      <c r="F350" s="472">
        <v>1977</v>
      </c>
      <c r="G350" s="484" t="s">
        <v>116</v>
      </c>
      <c r="H350" s="472" t="s">
        <v>122</v>
      </c>
      <c r="I350" s="486">
        <v>20</v>
      </c>
      <c r="J350" s="486">
        <v>1</v>
      </c>
      <c r="K350" s="472">
        <f t="shared" si="43"/>
        <v>17</v>
      </c>
      <c r="L350" s="473">
        <v>0.71805555555555556</v>
      </c>
      <c r="M350" s="474">
        <f t="shared" si="37"/>
        <v>0.71805555555555556</v>
      </c>
      <c r="N350" s="519"/>
      <c r="P350" s="29" t="str">
        <f t="shared" si="39"/>
        <v>1977F0</v>
      </c>
      <c r="Q350" s="29" t="str">
        <f t="shared" si="40"/>
        <v>F017</v>
      </c>
      <c r="R350" s="29" t="str">
        <f t="shared" si="41"/>
        <v>MayF0</v>
      </c>
    </row>
    <row r="351" spans="1:18">
      <c r="A351" s="483">
        <f t="shared" si="42"/>
        <v>347</v>
      </c>
      <c r="B351" s="484">
        <v>17</v>
      </c>
      <c r="C351" s="485">
        <v>28267</v>
      </c>
      <c r="D351" s="763" t="str">
        <f t="shared" si="38"/>
        <v>May</v>
      </c>
      <c r="E351" s="484">
        <v>22</v>
      </c>
      <c r="F351" s="472">
        <v>1977</v>
      </c>
      <c r="G351" s="484" t="s">
        <v>106</v>
      </c>
      <c r="H351" s="472" t="s">
        <v>123</v>
      </c>
      <c r="I351" s="486">
        <v>30</v>
      </c>
      <c r="J351" s="486">
        <v>2</v>
      </c>
      <c r="K351" s="472">
        <f t="shared" si="43"/>
        <v>18</v>
      </c>
      <c r="L351" s="473">
        <v>0.76597222222222217</v>
      </c>
      <c r="M351" s="474">
        <f t="shared" si="37"/>
        <v>0.76597222222222217</v>
      </c>
      <c r="N351" s="519"/>
      <c r="P351" s="29" t="str">
        <f t="shared" si="39"/>
        <v>1977F1</v>
      </c>
      <c r="Q351" s="29" t="str">
        <f t="shared" si="40"/>
        <v>F118</v>
      </c>
      <c r="R351" s="29" t="str">
        <f t="shared" si="41"/>
        <v>MayF1</v>
      </c>
    </row>
    <row r="352" spans="1:18">
      <c r="A352" s="483">
        <f t="shared" si="42"/>
        <v>348</v>
      </c>
      <c r="B352" s="484">
        <v>18</v>
      </c>
      <c r="C352" s="485">
        <v>28270</v>
      </c>
      <c r="D352" s="763" t="str">
        <f t="shared" si="38"/>
        <v>May</v>
      </c>
      <c r="E352" s="484">
        <v>25</v>
      </c>
      <c r="F352" s="472">
        <v>1977</v>
      </c>
      <c r="G352" s="484" t="s">
        <v>104</v>
      </c>
      <c r="H352" s="472" t="s">
        <v>122</v>
      </c>
      <c r="I352" s="486">
        <v>20</v>
      </c>
      <c r="J352" s="486">
        <v>1</v>
      </c>
      <c r="K352" s="472">
        <f t="shared" si="43"/>
        <v>17</v>
      </c>
      <c r="L352" s="473">
        <v>0.71944444444444444</v>
      </c>
      <c r="M352" s="474">
        <f t="shared" si="37"/>
        <v>0.71944444444444444</v>
      </c>
      <c r="N352" s="519"/>
      <c r="P352" s="29" t="str">
        <f t="shared" si="39"/>
        <v>1977F0</v>
      </c>
      <c r="Q352" s="29" t="str">
        <f t="shared" si="40"/>
        <v>F017</v>
      </c>
      <c r="R352" s="29" t="str">
        <f t="shared" si="41"/>
        <v>MayF0</v>
      </c>
    </row>
    <row r="353" spans="1:18">
      <c r="A353" s="483">
        <f t="shared" si="42"/>
        <v>349</v>
      </c>
      <c r="B353" s="484">
        <v>19</v>
      </c>
      <c r="C353" s="485">
        <v>28295</v>
      </c>
      <c r="D353" s="763" t="str">
        <f t="shared" si="38"/>
        <v>June</v>
      </c>
      <c r="E353" s="484">
        <v>19</v>
      </c>
      <c r="F353" s="472">
        <v>1977</v>
      </c>
      <c r="G353" s="484" t="s">
        <v>103</v>
      </c>
      <c r="H353" s="472" t="s">
        <v>122</v>
      </c>
      <c r="I353" s="486">
        <v>30</v>
      </c>
      <c r="J353" s="486">
        <v>0.5</v>
      </c>
      <c r="K353" s="472">
        <f t="shared" si="43"/>
        <v>20</v>
      </c>
      <c r="L353" s="473">
        <v>0.87152777777777779</v>
      </c>
      <c r="M353" s="474">
        <f t="shared" si="37"/>
        <v>0.87152777777777779</v>
      </c>
      <c r="N353" s="519"/>
      <c r="P353" s="29" t="str">
        <f t="shared" si="39"/>
        <v>1977F0</v>
      </c>
      <c r="Q353" s="29" t="str">
        <f t="shared" si="40"/>
        <v>F020</v>
      </c>
      <c r="R353" s="29" t="str">
        <f t="shared" si="41"/>
        <v>JuneF0</v>
      </c>
    </row>
    <row r="354" spans="1:18">
      <c r="A354" s="483">
        <f t="shared" si="42"/>
        <v>350</v>
      </c>
      <c r="B354" s="484">
        <v>20</v>
      </c>
      <c r="C354" s="485">
        <v>28331</v>
      </c>
      <c r="D354" s="763" t="str">
        <f t="shared" si="38"/>
        <v>July</v>
      </c>
      <c r="E354" s="484">
        <v>25</v>
      </c>
      <c r="F354" s="472">
        <v>1977</v>
      </c>
      <c r="G354" s="484" t="s">
        <v>103</v>
      </c>
      <c r="H354" s="472" t="s">
        <v>123</v>
      </c>
      <c r="I354" s="486">
        <v>20</v>
      </c>
      <c r="J354" s="486">
        <v>0.5</v>
      </c>
      <c r="K354" s="472">
        <f t="shared" si="43"/>
        <v>23</v>
      </c>
      <c r="L354" s="473">
        <v>0.9590277777777777</v>
      </c>
      <c r="M354" s="474">
        <f t="shared" si="37"/>
        <v>0.9590277777777777</v>
      </c>
      <c r="N354" s="519"/>
      <c r="P354" s="29" t="str">
        <f t="shared" si="39"/>
        <v>1977F1</v>
      </c>
      <c r="Q354" s="29" t="str">
        <f t="shared" si="40"/>
        <v>F123</v>
      </c>
      <c r="R354" s="29" t="str">
        <f t="shared" si="41"/>
        <v>JulyF1</v>
      </c>
    </row>
    <row r="355" spans="1:18">
      <c r="A355" s="483">
        <f t="shared" si="42"/>
        <v>351</v>
      </c>
      <c r="B355" s="484">
        <v>21</v>
      </c>
      <c r="C355" s="485">
        <v>28339</v>
      </c>
      <c r="D355" s="763" t="str">
        <f t="shared" si="38"/>
        <v>August</v>
      </c>
      <c r="E355" s="484">
        <v>2</v>
      </c>
      <c r="F355" s="472">
        <v>1977</v>
      </c>
      <c r="G355" s="484" t="s">
        <v>104</v>
      </c>
      <c r="H355" s="472" t="s">
        <v>122</v>
      </c>
      <c r="I355" s="486">
        <v>30</v>
      </c>
      <c r="J355" s="486">
        <v>0.5</v>
      </c>
      <c r="K355" s="472">
        <f t="shared" si="43"/>
        <v>16</v>
      </c>
      <c r="L355" s="473">
        <v>0.6875</v>
      </c>
      <c r="M355" s="474">
        <f t="shared" si="37"/>
        <v>0.6875</v>
      </c>
      <c r="N355" s="519"/>
      <c r="P355" s="29" t="str">
        <f t="shared" si="39"/>
        <v>1977F0</v>
      </c>
      <c r="Q355" s="29" t="str">
        <f t="shared" si="40"/>
        <v>F016</v>
      </c>
      <c r="R355" s="29" t="str">
        <f t="shared" si="41"/>
        <v>AugustF0</v>
      </c>
    </row>
    <row r="356" spans="1:18">
      <c r="A356" s="483">
        <f t="shared" si="42"/>
        <v>352</v>
      </c>
      <c r="B356" s="484">
        <v>1</v>
      </c>
      <c r="C356" s="485">
        <v>28610</v>
      </c>
      <c r="D356" s="763" t="str">
        <f t="shared" si="38"/>
        <v>April</v>
      </c>
      <c r="E356" s="484">
        <v>30</v>
      </c>
      <c r="F356" s="472">
        <v>1978</v>
      </c>
      <c r="G356" s="484" t="s">
        <v>105</v>
      </c>
      <c r="H356" s="472" t="s">
        <v>124</v>
      </c>
      <c r="I356" s="486">
        <v>100</v>
      </c>
      <c r="J356" s="486">
        <v>8.6</v>
      </c>
      <c r="K356" s="472">
        <f t="shared" si="43"/>
        <v>15</v>
      </c>
      <c r="L356" s="473">
        <v>0.64166666666666672</v>
      </c>
      <c r="M356" s="474">
        <f t="shared" si="37"/>
        <v>0.64166666666666672</v>
      </c>
      <c r="N356" s="519"/>
      <c r="P356" s="29" t="str">
        <f t="shared" si="39"/>
        <v>1978F2</v>
      </c>
      <c r="Q356" s="29" t="str">
        <f t="shared" si="40"/>
        <v>F215</v>
      </c>
      <c r="R356" s="29" t="str">
        <f t="shared" si="41"/>
        <v>AprilF2</v>
      </c>
    </row>
    <row r="357" spans="1:18">
      <c r="A357" s="483">
        <f t="shared" si="42"/>
        <v>353</v>
      </c>
      <c r="B357" s="484">
        <v>2</v>
      </c>
      <c r="C357" s="485">
        <v>28610</v>
      </c>
      <c r="D357" s="763" t="str">
        <f t="shared" si="38"/>
        <v>April</v>
      </c>
      <c r="E357" s="484">
        <v>30</v>
      </c>
      <c r="F357" s="472">
        <v>1978</v>
      </c>
      <c r="G357" s="484" t="s">
        <v>106</v>
      </c>
      <c r="H357" s="472" t="s">
        <v>125</v>
      </c>
      <c r="I357" s="486">
        <v>100</v>
      </c>
      <c r="J357" s="486">
        <v>14.4</v>
      </c>
      <c r="K357" s="472">
        <f t="shared" si="43"/>
        <v>16</v>
      </c>
      <c r="L357" s="473">
        <v>0.68611111111111101</v>
      </c>
      <c r="M357" s="474">
        <f t="shared" si="37"/>
        <v>0.68611111111111101</v>
      </c>
      <c r="N357" s="519"/>
      <c r="P357" s="29" t="str">
        <f t="shared" si="39"/>
        <v>1978F3</v>
      </c>
      <c r="Q357" s="29" t="str">
        <f t="shared" si="40"/>
        <v>F316</v>
      </c>
      <c r="R357" s="29" t="str">
        <f t="shared" si="41"/>
        <v>AprilF3</v>
      </c>
    </row>
    <row r="358" spans="1:18">
      <c r="A358" s="483">
        <f t="shared" si="42"/>
        <v>354</v>
      </c>
      <c r="B358" s="484">
        <v>3</v>
      </c>
      <c r="C358" s="485">
        <v>28613</v>
      </c>
      <c r="D358" s="763" t="str">
        <f t="shared" si="38"/>
        <v>May</v>
      </c>
      <c r="E358" s="484">
        <v>3</v>
      </c>
      <c r="F358" s="472">
        <v>1978</v>
      </c>
      <c r="G358" s="484" t="s">
        <v>106</v>
      </c>
      <c r="H358" s="472" t="s">
        <v>122</v>
      </c>
      <c r="I358" s="486">
        <v>400</v>
      </c>
      <c r="J358" s="486">
        <v>6.5</v>
      </c>
      <c r="K358" s="472">
        <f t="shared" si="43"/>
        <v>16</v>
      </c>
      <c r="L358" s="473">
        <v>0.6875</v>
      </c>
      <c r="M358" s="474">
        <f t="shared" si="37"/>
        <v>0.6875</v>
      </c>
      <c r="N358" s="519"/>
      <c r="P358" s="29" t="str">
        <f t="shared" si="39"/>
        <v>1978F0</v>
      </c>
      <c r="Q358" s="29" t="str">
        <f t="shared" si="40"/>
        <v>F016</v>
      </c>
      <c r="R358" s="29" t="str">
        <f t="shared" si="41"/>
        <v>MayF0</v>
      </c>
    </row>
    <row r="359" spans="1:18">
      <c r="A359" s="483">
        <f t="shared" si="42"/>
        <v>355</v>
      </c>
      <c r="B359" s="484">
        <v>4</v>
      </c>
      <c r="C359" s="485">
        <v>28614</v>
      </c>
      <c r="D359" s="763" t="str">
        <f t="shared" si="38"/>
        <v>May</v>
      </c>
      <c r="E359" s="484">
        <v>4</v>
      </c>
      <c r="F359" s="472">
        <v>1978</v>
      </c>
      <c r="G359" s="484" t="s">
        <v>103</v>
      </c>
      <c r="H359" s="472" t="s">
        <v>122</v>
      </c>
      <c r="I359" s="486">
        <v>60</v>
      </c>
      <c r="J359" s="486">
        <v>11.3</v>
      </c>
      <c r="K359" s="472">
        <f t="shared" si="43"/>
        <v>16</v>
      </c>
      <c r="L359" s="473">
        <v>0.70138888888888884</v>
      </c>
      <c r="M359" s="474">
        <f t="shared" si="37"/>
        <v>0.70138888888888884</v>
      </c>
      <c r="N359" s="519"/>
      <c r="P359" s="29" t="str">
        <f t="shared" si="39"/>
        <v>1978F0</v>
      </c>
      <c r="Q359" s="29" t="str">
        <f t="shared" si="40"/>
        <v>F016</v>
      </c>
      <c r="R359" s="29" t="str">
        <f t="shared" si="41"/>
        <v>MayF0</v>
      </c>
    </row>
    <row r="360" spans="1:18">
      <c r="A360" s="483">
        <f t="shared" si="42"/>
        <v>356</v>
      </c>
      <c r="B360" s="484">
        <v>5</v>
      </c>
      <c r="C360" s="485">
        <v>28615</v>
      </c>
      <c r="D360" s="763" t="str">
        <f t="shared" si="38"/>
        <v>May</v>
      </c>
      <c r="E360" s="484">
        <v>5</v>
      </c>
      <c r="F360" s="472">
        <v>1978</v>
      </c>
      <c r="G360" s="484" t="s">
        <v>102</v>
      </c>
      <c r="H360" s="472" t="s">
        <v>122</v>
      </c>
      <c r="I360" s="486">
        <v>30</v>
      </c>
      <c r="J360" s="486">
        <v>4.5</v>
      </c>
      <c r="K360" s="472">
        <f t="shared" si="43"/>
        <v>17</v>
      </c>
      <c r="L360" s="473">
        <v>0.73958333333333337</v>
      </c>
      <c r="M360" s="474">
        <f t="shared" si="37"/>
        <v>0.73958333333333337</v>
      </c>
      <c r="N360" s="519"/>
      <c r="P360" s="29" t="str">
        <f t="shared" si="39"/>
        <v>1978F0</v>
      </c>
      <c r="Q360" s="29" t="str">
        <f t="shared" si="40"/>
        <v>F017</v>
      </c>
      <c r="R360" s="29" t="str">
        <f t="shared" si="41"/>
        <v>MayF0</v>
      </c>
    </row>
    <row r="361" spans="1:18">
      <c r="A361" s="483">
        <f t="shared" si="42"/>
        <v>357</v>
      </c>
      <c r="B361" s="484">
        <v>6</v>
      </c>
      <c r="C361" s="485">
        <v>28615</v>
      </c>
      <c r="D361" s="763" t="str">
        <f t="shared" si="38"/>
        <v>May</v>
      </c>
      <c r="E361" s="484">
        <v>5</v>
      </c>
      <c r="F361" s="472">
        <v>1978</v>
      </c>
      <c r="G361" s="484" t="s">
        <v>102</v>
      </c>
      <c r="H361" s="472" t="s">
        <v>122</v>
      </c>
      <c r="I361" s="486">
        <v>30</v>
      </c>
      <c r="J361" s="486">
        <v>2</v>
      </c>
      <c r="K361" s="472">
        <f t="shared" si="43"/>
        <v>18</v>
      </c>
      <c r="L361" s="473">
        <v>0.77083333333333337</v>
      </c>
      <c r="M361" s="474">
        <f t="shared" si="37"/>
        <v>0.77083333333333337</v>
      </c>
      <c r="N361" s="519"/>
      <c r="P361" s="29" t="str">
        <f t="shared" si="39"/>
        <v>1978F0</v>
      </c>
      <c r="Q361" s="29" t="str">
        <f t="shared" si="40"/>
        <v>F018</v>
      </c>
      <c r="R361" s="29" t="str">
        <f t="shared" si="41"/>
        <v>MayF0</v>
      </c>
    </row>
    <row r="362" spans="1:18">
      <c r="A362" s="483">
        <f t="shared" si="42"/>
        <v>358</v>
      </c>
      <c r="B362" s="484">
        <v>7</v>
      </c>
      <c r="C362" s="485">
        <v>28630</v>
      </c>
      <c r="D362" s="763" t="str">
        <f t="shared" si="38"/>
        <v>May</v>
      </c>
      <c r="E362" s="484">
        <v>20</v>
      </c>
      <c r="F362" s="472">
        <v>1978</v>
      </c>
      <c r="G362" s="484" t="s">
        <v>116</v>
      </c>
      <c r="H362" s="472" t="s">
        <v>122</v>
      </c>
      <c r="I362" s="486">
        <v>30</v>
      </c>
      <c r="J362" s="486">
        <v>2</v>
      </c>
      <c r="K362" s="472">
        <f t="shared" si="43"/>
        <v>23</v>
      </c>
      <c r="L362" s="473">
        <v>0.96597222222222223</v>
      </c>
      <c r="M362" s="474">
        <f t="shared" si="37"/>
        <v>0.96597222222222223</v>
      </c>
      <c r="N362" s="519"/>
      <c r="P362" s="29" t="str">
        <f t="shared" si="39"/>
        <v>1978F0</v>
      </c>
      <c r="Q362" s="29" t="str">
        <f t="shared" si="40"/>
        <v>F023</v>
      </c>
      <c r="R362" s="29" t="str">
        <f t="shared" si="41"/>
        <v>MayF0</v>
      </c>
    </row>
    <row r="363" spans="1:18">
      <c r="A363" s="483">
        <f t="shared" si="42"/>
        <v>359</v>
      </c>
      <c r="B363" s="484">
        <v>8</v>
      </c>
      <c r="C363" s="485">
        <v>28635</v>
      </c>
      <c r="D363" s="763" t="str">
        <f t="shared" si="38"/>
        <v>May</v>
      </c>
      <c r="E363" s="484">
        <v>25</v>
      </c>
      <c r="F363" s="472">
        <v>1978</v>
      </c>
      <c r="G363" s="484" t="s">
        <v>117</v>
      </c>
      <c r="H363" s="472" t="s">
        <v>122</v>
      </c>
      <c r="I363" s="486">
        <v>60</v>
      </c>
      <c r="J363" s="486">
        <v>6.1</v>
      </c>
      <c r="K363" s="472">
        <f t="shared" si="43"/>
        <v>18</v>
      </c>
      <c r="L363" s="473">
        <v>0.76736111111111116</v>
      </c>
      <c r="M363" s="474">
        <f t="shared" si="37"/>
        <v>0.76736111111111116</v>
      </c>
      <c r="N363" s="519"/>
      <c r="P363" s="29" t="str">
        <f t="shared" si="39"/>
        <v>1978F0</v>
      </c>
      <c r="Q363" s="29" t="str">
        <f t="shared" si="40"/>
        <v>F018</v>
      </c>
      <c r="R363" s="29" t="str">
        <f t="shared" si="41"/>
        <v>MayF0</v>
      </c>
    </row>
    <row r="364" spans="1:18">
      <c r="A364" s="483">
        <f t="shared" si="42"/>
        <v>360</v>
      </c>
      <c r="B364" s="484">
        <v>9</v>
      </c>
      <c r="C364" s="485">
        <v>28636</v>
      </c>
      <c r="D364" s="763" t="str">
        <f t="shared" si="38"/>
        <v>May</v>
      </c>
      <c r="E364" s="484">
        <v>26</v>
      </c>
      <c r="F364" s="472">
        <v>1978</v>
      </c>
      <c r="G364" s="484" t="s">
        <v>118</v>
      </c>
      <c r="H364" s="472" t="s">
        <v>122</v>
      </c>
      <c r="I364" s="486">
        <v>40</v>
      </c>
      <c r="J364" s="486">
        <v>1</v>
      </c>
      <c r="K364" s="472">
        <f t="shared" si="43"/>
        <v>18</v>
      </c>
      <c r="L364" s="473">
        <v>0.78888888888888886</v>
      </c>
      <c r="M364" s="474">
        <f t="shared" si="37"/>
        <v>0.78888888888888886</v>
      </c>
      <c r="N364" s="519"/>
      <c r="P364" s="29" t="str">
        <f t="shared" si="39"/>
        <v>1978F0</v>
      </c>
      <c r="Q364" s="29" t="str">
        <f t="shared" si="40"/>
        <v>F018</v>
      </c>
      <c r="R364" s="29" t="str">
        <f t="shared" si="41"/>
        <v>MayF0</v>
      </c>
    </row>
    <row r="365" spans="1:18">
      <c r="A365" s="483">
        <f t="shared" si="42"/>
        <v>361</v>
      </c>
      <c r="B365" s="484">
        <v>10</v>
      </c>
      <c r="C365" s="485">
        <v>28636</v>
      </c>
      <c r="D365" s="763" t="str">
        <f t="shared" si="38"/>
        <v>May</v>
      </c>
      <c r="E365" s="484">
        <v>26</v>
      </c>
      <c r="F365" s="472">
        <v>1978</v>
      </c>
      <c r="G365" s="484" t="s">
        <v>117</v>
      </c>
      <c r="H365" s="472" t="s">
        <v>122</v>
      </c>
      <c r="I365" s="486">
        <v>30</v>
      </c>
      <c r="J365" s="486">
        <v>2</v>
      </c>
      <c r="K365" s="472">
        <f t="shared" si="43"/>
        <v>19</v>
      </c>
      <c r="L365" s="473">
        <v>0.7944444444444444</v>
      </c>
      <c r="M365" s="474">
        <f t="shared" si="37"/>
        <v>0.7944444444444444</v>
      </c>
      <c r="N365" s="519"/>
      <c r="P365" s="29" t="str">
        <f t="shared" si="39"/>
        <v>1978F0</v>
      </c>
      <c r="Q365" s="29" t="str">
        <f t="shared" si="40"/>
        <v>F019</v>
      </c>
      <c r="R365" s="29" t="str">
        <f t="shared" si="41"/>
        <v>MayF0</v>
      </c>
    </row>
    <row r="366" spans="1:18">
      <c r="A366" s="483">
        <f t="shared" si="42"/>
        <v>362</v>
      </c>
      <c r="B366" s="484">
        <v>11</v>
      </c>
      <c r="C366" s="485">
        <v>28636</v>
      </c>
      <c r="D366" s="763" t="str">
        <f t="shared" si="38"/>
        <v>May</v>
      </c>
      <c r="E366" s="484">
        <v>26</v>
      </c>
      <c r="F366" s="472">
        <v>1978</v>
      </c>
      <c r="G366" s="484" t="s">
        <v>117</v>
      </c>
      <c r="H366" s="472" t="s">
        <v>122</v>
      </c>
      <c r="I366" s="486">
        <v>50</v>
      </c>
      <c r="J366" s="486">
        <v>2</v>
      </c>
      <c r="K366" s="472">
        <f t="shared" si="43"/>
        <v>19</v>
      </c>
      <c r="L366" s="473">
        <v>0.80902777777777779</v>
      </c>
      <c r="M366" s="474">
        <f t="shared" si="37"/>
        <v>0.80902777777777779</v>
      </c>
      <c r="N366" s="519"/>
      <c r="P366" s="29" t="str">
        <f t="shared" si="39"/>
        <v>1978F0</v>
      </c>
      <c r="Q366" s="29" t="str">
        <f t="shared" si="40"/>
        <v>F019</v>
      </c>
      <c r="R366" s="29" t="str">
        <f t="shared" si="41"/>
        <v>MayF0</v>
      </c>
    </row>
    <row r="367" spans="1:18">
      <c r="A367" s="483">
        <f t="shared" si="42"/>
        <v>363</v>
      </c>
      <c r="B367" s="484">
        <v>12</v>
      </c>
      <c r="C367" s="485">
        <v>28636</v>
      </c>
      <c r="D367" s="763" t="str">
        <f t="shared" si="38"/>
        <v>May</v>
      </c>
      <c r="E367" s="484">
        <v>26</v>
      </c>
      <c r="F367" s="472">
        <v>1978</v>
      </c>
      <c r="G367" s="484" t="s">
        <v>120</v>
      </c>
      <c r="H367" s="472" t="s">
        <v>122</v>
      </c>
      <c r="I367" s="486">
        <v>40</v>
      </c>
      <c r="J367" s="486">
        <v>1</v>
      </c>
      <c r="K367" s="472">
        <f t="shared" si="43"/>
        <v>22</v>
      </c>
      <c r="L367" s="473">
        <v>0.91666666666666663</v>
      </c>
      <c r="M367" s="474">
        <f t="shared" si="37"/>
        <v>0.91666666666666663</v>
      </c>
      <c r="N367" s="519"/>
      <c r="P367" s="29" t="str">
        <f t="shared" si="39"/>
        <v>1978F0</v>
      </c>
      <c r="Q367" s="29" t="str">
        <f t="shared" si="40"/>
        <v>F022</v>
      </c>
      <c r="R367" s="29" t="str">
        <f t="shared" si="41"/>
        <v>MayF0</v>
      </c>
    </row>
    <row r="368" spans="1:18">
      <c r="A368" s="483">
        <f t="shared" si="42"/>
        <v>364</v>
      </c>
      <c r="B368" s="484">
        <v>13</v>
      </c>
      <c r="C368" s="485">
        <v>28637</v>
      </c>
      <c r="D368" s="763" t="str">
        <f t="shared" si="38"/>
        <v>May</v>
      </c>
      <c r="E368" s="484">
        <v>27</v>
      </c>
      <c r="F368" s="472">
        <v>1978</v>
      </c>
      <c r="G368" s="484" t="s">
        <v>121</v>
      </c>
      <c r="H368" s="472" t="s">
        <v>122</v>
      </c>
      <c r="I368" s="486">
        <v>30</v>
      </c>
      <c r="J368" s="486">
        <v>2</v>
      </c>
      <c r="K368" s="472">
        <f t="shared" si="43"/>
        <v>2</v>
      </c>
      <c r="L368" s="473">
        <v>8.3333333333333329E-2</v>
      </c>
      <c r="M368" s="474">
        <f t="shared" si="37"/>
        <v>8.3333333333333329E-2</v>
      </c>
      <c r="N368" s="519"/>
      <c r="P368" s="29" t="str">
        <f t="shared" si="39"/>
        <v>1978F0</v>
      </c>
      <c r="Q368" s="29" t="str">
        <f t="shared" si="40"/>
        <v>F02</v>
      </c>
      <c r="R368" s="29" t="str">
        <f t="shared" si="41"/>
        <v>MayF0</v>
      </c>
    </row>
    <row r="369" spans="1:18">
      <c r="A369" s="483">
        <f t="shared" si="42"/>
        <v>365</v>
      </c>
      <c r="B369" s="484">
        <v>14</v>
      </c>
      <c r="C369" s="485">
        <v>28641</v>
      </c>
      <c r="D369" s="763" t="str">
        <f t="shared" si="38"/>
        <v>May</v>
      </c>
      <c r="E369" s="484">
        <v>31</v>
      </c>
      <c r="F369" s="472">
        <v>1978</v>
      </c>
      <c r="G369" s="484" t="s">
        <v>117</v>
      </c>
      <c r="H369" s="472" t="s">
        <v>122</v>
      </c>
      <c r="I369" s="486">
        <v>30</v>
      </c>
      <c r="J369" s="486">
        <v>2</v>
      </c>
      <c r="K369" s="472">
        <f t="shared" si="43"/>
        <v>15</v>
      </c>
      <c r="L369" s="473">
        <v>0.64930555555555558</v>
      </c>
      <c r="M369" s="474">
        <f t="shared" si="37"/>
        <v>0.64930555555555558</v>
      </c>
      <c r="N369" s="519"/>
      <c r="P369" s="29" t="str">
        <f t="shared" si="39"/>
        <v>1978F0</v>
      </c>
      <c r="Q369" s="29" t="str">
        <f t="shared" si="40"/>
        <v>F015</v>
      </c>
      <c r="R369" s="29" t="str">
        <f t="shared" si="41"/>
        <v>MayF0</v>
      </c>
    </row>
    <row r="370" spans="1:18">
      <c r="A370" s="483">
        <f t="shared" si="42"/>
        <v>366</v>
      </c>
      <c r="B370" s="484">
        <v>15</v>
      </c>
      <c r="C370" s="485">
        <v>28645</v>
      </c>
      <c r="D370" s="763" t="str">
        <f t="shared" si="38"/>
        <v>June</v>
      </c>
      <c r="E370" s="484">
        <v>4</v>
      </c>
      <c r="F370" s="472">
        <v>1978</v>
      </c>
      <c r="G370" s="484" t="s">
        <v>103</v>
      </c>
      <c r="H370" s="472" t="s">
        <v>122</v>
      </c>
      <c r="I370" s="486">
        <v>60</v>
      </c>
      <c r="J370" s="486">
        <v>1</v>
      </c>
      <c r="K370" s="472">
        <f t="shared" si="43"/>
        <v>0</v>
      </c>
      <c r="L370" s="473">
        <v>2.9861111111111113E-2</v>
      </c>
      <c r="M370" s="474">
        <f t="shared" si="37"/>
        <v>2.9861111111111113E-2</v>
      </c>
      <c r="N370" s="519"/>
      <c r="P370" s="29" t="str">
        <f t="shared" si="39"/>
        <v>1978F0</v>
      </c>
      <c r="Q370" s="29" t="str">
        <f t="shared" si="40"/>
        <v>F00</v>
      </c>
      <c r="R370" s="29" t="str">
        <f t="shared" si="41"/>
        <v>JuneF0</v>
      </c>
    </row>
    <row r="371" spans="1:18">
      <c r="A371" s="483">
        <f t="shared" si="42"/>
        <v>367</v>
      </c>
      <c r="B371" s="484">
        <v>16</v>
      </c>
      <c r="C371" s="485">
        <v>28672</v>
      </c>
      <c r="D371" s="763" t="str">
        <f t="shared" si="38"/>
        <v>July</v>
      </c>
      <c r="E371" s="484">
        <v>1</v>
      </c>
      <c r="F371" s="472">
        <v>1978</v>
      </c>
      <c r="G371" s="484" t="s">
        <v>103</v>
      </c>
      <c r="H371" s="472" t="s">
        <v>122</v>
      </c>
      <c r="I371" s="486">
        <v>7</v>
      </c>
      <c r="J371" s="486">
        <v>0.4</v>
      </c>
      <c r="K371" s="472">
        <f t="shared" si="43"/>
        <v>16</v>
      </c>
      <c r="L371" s="473">
        <v>0.68055555555555547</v>
      </c>
      <c r="M371" s="474">
        <f t="shared" si="37"/>
        <v>0.68055555555555547</v>
      </c>
      <c r="N371" s="519"/>
      <c r="P371" s="29" t="str">
        <f t="shared" si="39"/>
        <v>1978F0</v>
      </c>
      <c r="Q371" s="29" t="str">
        <f t="shared" si="40"/>
        <v>F016</v>
      </c>
      <c r="R371" s="29" t="str">
        <f t="shared" si="41"/>
        <v>JulyF0</v>
      </c>
    </row>
    <row r="372" spans="1:18">
      <c r="A372" s="483">
        <f t="shared" si="42"/>
        <v>368</v>
      </c>
      <c r="B372" s="484">
        <v>1</v>
      </c>
      <c r="C372" s="485">
        <v>28932</v>
      </c>
      <c r="D372" s="763" t="str">
        <f t="shared" si="38"/>
        <v>March</v>
      </c>
      <c r="E372" s="486">
        <v>18</v>
      </c>
      <c r="F372" s="472">
        <v>1979</v>
      </c>
      <c r="G372" s="484" t="s">
        <v>114</v>
      </c>
      <c r="H372" s="472" t="s">
        <v>122</v>
      </c>
      <c r="I372" s="486">
        <v>30</v>
      </c>
      <c r="J372" s="486">
        <v>0.5</v>
      </c>
      <c r="K372" s="472">
        <f t="shared" si="43"/>
        <v>2</v>
      </c>
      <c r="L372" s="473">
        <v>0.10416666666666667</v>
      </c>
      <c r="M372" s="474">
        <f t="shared" si="37"/>
        <v>0.10416666666666667</v>
      </c>
      <c r="N372" s="519"/>
      <c r="P372" s="29" t="str">
        <f t="shared" si="39"/>
        <v>1979F0</v>
      </c>
      <c r="Q372" s="29" t="str">
        <f t="shared" si="40"/>
        <v>F02</v>
      </c>
      <c r="R372" s="29" t="str">
        <f t="shared" si="41"/>
        <v>MarchF0</v>
      </c>
    </row>
    <row r="373" spans="1:18">
      <c r="A373" s="483">
        <f t="shared" si="42"/>
        <v>369</v>
      </c>
      <c r="B373" s="484">
        <v>2</v>
      </c>
      <c r="C373" s="485">
        <v>28932</v>
      </c>
      <c r="D373" s="763" t="str">
        <f t="shared" si="38"/>
        <v>March</v>
      </c>
      <c r="E373" s="486">
        <v>18</v>
      </c>
      <c r="F373" s="472">
        <v>1979</v>
      </c>
      <c r="G373" s="484" t="s">
        <v>121</v>
      </c>
      <c r="H373" s="472" t="s">
        <v>123</v>
      </c>
      <c r="I373" s="486">
        <v>500</v>
      </c>
      <c r="J373" s="486">
        <v>13.3</v>
      </c>
      <c r="K373" s="472">
        <f t="shared" si="43"/>
        <v>3</v>
      </c>
      <c r="L373" s="473">
        <v>0.13194444444444445</v>
      </c>
      <c r="M373" s="474">
        <f t="shared" si="37"/>
        <v>0.13194444444444445</v>
      </c>
      <c r="N373" s="519"/>
      <c r="P373" s="29" t="str">
        <f t="shared" si="39"/>
        <v>1979F1</v>
      </c>
      <c r="Q373" s="29" t="str">
        <f t="shared" si="40"/>
        <v>F13</v>
      </c>
      <c r="R373" s="29" t="str">
        <f t="shared" si="41"/>
        <v>MarchF1</v>
      </c>
    </row>
    <row r="374" spans="1:18">
      <c r="A374" s="483">
        <f t="shared" si="42"/>
        <v>370</v>
      </c>
      <c r="B374" s="484">
        <v>3</v>
      </c>
      <c r="C374" s="485">
        <v>28984</v>
      </c>
      <c r="D374" s="763" t="str">
        <f t="shared" si="38"/>
        <v>May</v>
      </c>
      <c r="E374" s="484">
        <v>9</v>
      </c>
      <c r="F374" s="472">
        <v>1979</v>
      </c>
      <c r="G374" s="484" t="s">
        <v>111</v>
      </c>
      <c r="H374" s="472" t="s">
        <v>122</v>
      </c>
      <c r="I374" s="486">
        <v>33</v>
      </c>
      <c r="J374" s="486">
        <v>5.7</v>
      </c>
      <c r="K374" s="472">
        <f t="shared" si="43"/>
        <v>17</v>
      </c>
      <c r="L374" s="473">
        <v>0.72013888888888899</v>
      </c>
      <c r="M374" s="474">
        <f t="shared" si="37"/>
        <v>0.72013888888888899</v>
      </c>
      <c r="N374" s="519"/>
      <c r="P374" s="29" t="str">
        <f t="shared" si="39"/>
        <v>1979F0</v>
      </c>
      <c r="Q374" s="29" t="str">
        <f t="shared" si="40"/>
        <v>F017</v>
      </c>
      <c r="R374" s="29" t="str">
        <f t="shared" si="41"/>
        <v>MayF0</v>
      </c>
    </row>
    <row r="375" spans="1:18">
      <c r="A375" s="483">
        <f t="shared" si="42"/>
        <v>371</v>
      </c>
      <c r="B375" s="484">
        <v>4</v>
      </c>
      <c r="C375" s="485">
        <v>29001</v>
      </c>
      <c r="D375" s="763" t="str">
        <f t="shared" si="38"/>
        <v>May</v>
      </c>
      <c r="E375" s="484">
        <v>26</v>
      </c>
      <c r="F375" s="472">
        <v>1979</v>
      </c>
      <c r="G375" s="484" t="s">
        <v>115</v>
      </c>
      <c r="H375" s="472" t="s">
        <v>122</v>
      </c>
      <c r="I375" s="486">
        <v>30</v>
      </c>
      <c r="J375" s="486">
        <v>0.3</v>
      </c>
      <c r="K375" s="472">
        <f t="shared" si="43"/>
        <v>15</v>
      </c>
      <c r="L375" s="473">
        <v>0.65347222222222223</v>
      </c>
      <c r="M375" s="474">
        <f t="shared" si="37"/>
        <v>0.65347222222222223</v>
      </c>
      <c r="N375" s="519"/>
      <c r="P375" s="29" t="str">
        <f t="shared" si="39"/>
        <v>1979F0</v>
      </c>
      <c r="Q375" s="29" t="str">
        <f t="shared" si="40"/>
        <v>F015</v>
      </c>
      <c r="R375" s="29" t="str">
        <f t="shared" si="41"/>
        <v>MayF0</v>
      </c>
    </row>
    <row r="376" spans="1:18">
      <c r="A376" s="483">
        <f t="shared" si="42"/>
        <v>372</v>
      </c>
      <c r="B376" s="484">
        <v>5</v>
      </c>
      <c r="C376" s="485">
        <v>29002</v>
      </c>
      <c r="D376" s="763" t="str">
        <f t="shared" si="38"/>
        <v>May</v>
      </c>
      <c r="E376" s="484">
        <v>27</v>
      </c>
      <c r="F376" s="472">
        <v>1979</v>
      </c>
      <c r="G376" s="484" t="s">
        <v>112</v>
      </c>
      <c r="H376" s="472" t="s">
        <v>122</v>
      </c>
      <c r="I376" s="486">
        <v>10</v>
      </c>
      <c r="J376" s="486">
        <v>0.1</v>
      </c>
      <c r="K376" s="472">
        <f t="shared" si="43"/>
        <v>16</v>
      </c>
      <c r="L376" s="473">
        <v>0.6875</v>
      </c>
      <c r="M376" s="474">
        <f t="shared" si="37"/>
        <v>0.6875</v>
      </c>
      <c r="N376" s="519"/>
      <c r="P376" s="29" t="str">
        <f t="shared" si="39"/>
        <v>1979F0</v>
      </c>
      <c r="Q376" s="29" t="str">
        <f t="shared" si="40"/>
        <v>F016</v>
      </c>
      <c r="R376" s="29" t="str">
        <f t="shared" si="41"/>
        <v>MayF0</v>
      </c>
    </row>
    <row r="377" spans="1:18">
      <c r="A377" s="483">
        <f t="shared" si="42"/>
        <v>373</v>
      </c>
      <c r="B377" s="484">
        <v>6</v>
      </c>
      <c r="C377" s="485">
        <v>29043</v>
      </c>
      <c r="D377" s="763" t="str">
        <f t="shared" si="38"/>
        <v>July</v>
      </c>
      <c r="E377" s="484">
        <v>7</v>
      </c>
      <c r="F377" s="472">
        <v>1979</v>
      </c>
      <c r="G377" s="484" t="s">
        <v>113</v>
      </c>
      <c r="H377" s="472" t="s">
        <v>122</v>
      </c>
      <c r="I377" s="486">
        <v>10</v>
      </c>
      <c r="J377" s="486">
        <v>0.1</v>
      </c>
      <c r="K377" s="472">
        <f t="shared" si="43"/>
        <v>21</v>
      </c>
      <c r="L377" s="473">
        <v>0.88194444444444453</v>
      </c>
      <c r="M377" s="474">
        <f t="shared" si="37"/>
        <v>0.88194444444444453</v>
      </c>
      <c r="N377" s="519"/>
      <c r="P377" s="29" t="str">
        <f t="shared" si="39"/>
        <v>1979F0</v>
      </c>
      <c r="Q377" s="29" t="str">
        <f t="shared" si="40"/>
        <v>F021</v>
      </c>
      <c r="R377" s="29" t="str">
        <f t="shared" si="41"/>
        <v>JulyF0</v>
      </c>
    </row>
    <row r="378" spans="1:18">
      <c r="A378" s="483">
        <f t="shared" si="42"/>
        <v>374</v>
      </c>
      <c r="B378" s="484">
        <v>7</v>
      </c>
      <c r="C378" s="485">
        <v>29059</v>
      </c>
      <c r="D378" s="763" t="str">
        <f t="shared" si="38"/>
        <v>July</v>
      </c>
      <c r="E378" s="484">
        <v>23</v>
      </c>
      <c r="F378" s="472">
        <v>1979</v>
      </c>
      <c r="G378" s="484" t="s">
        <v>111</v>
      </c>
      <c r="H378" s="472" t="s">
        <v>122</v>
      </c>
      <c r="I378" s="486">
        <v>10</v>
      </c>
      <c r="J378" s="486">
        <v>0.1</v>
      </c>
      <c r="K378" s="472">
        <f t="shared" si="43"/>
        <v>16</v>
      </c>
      <c r="L378" s="473">
        <v>0.70486111111111116</v>
      </c>
      <c r="M378" s="474">
        <f t="shared" si="37"/>
        <v>0.70486111111111116</v>
      </c>
      <c r="N378" s="519"/>
      <c r="P378" s="29" t="str">
        <f t="shared" si="39"/>
        <v>1979F0</v>
      </c>
      <c r="Q378" s="29" t="str">
        <f t="shared" si="40"/>
        <v>F016</v>
      </c>
      <c r="R378" s="29" t="str">
        <f t="shared" si="41"/>
        <v>JulyF0</v>
      </c>
    </row>
    <row r="379" spans="1:18">
      <c r="A379" s="483">
        <f t="shared" si="42"/>
        <v>375</v>
      </c>
      <c r="B379" s="484">
        <v>8</v>
      </c>
      <c r="C379" s="485">
        <v>29060</v>
      </c>
      <c r="D379" s="763" t="str">
        <f t="shared" si="38"/>
        <v>July</v>
      </c>
      <c r="E379" s="484">
        <v>24</v>
      </c>
      <c r="F379" s="472">
        <v>1979</v>
      </c>
      <c r="G379" s="484" t="s">
        <v>104</v>
      </c>
      <c r="H379" s="472" t="s">
        <v>122</v>
      </c>
      <c r="I379" s="486">
        <v>10</v>
      </c>
      <c r="J379" s="486">
        <v>0.1</v>
      </c>
      <c r="K379" s="472">
        <f t="shared" si="43"/>
        <v>16</v>
      </c>
      <c r="L379" s="473">
        <v>0.70486111111111116</v>
      </c>
      <c r="M379" s="474">
        <f t="shared" si="37"/>
        <v>0.70486111111111116</v>
      </c>
      <c r="N379" s="519"/>
      <c r="P379" s="29" t="str">
        <f t="shared" si="39"/>
        <v>1979F0</v>
      </c>
      <c r="Q379" s="29" t="str">
        <f t="shared" si="40"/>
        <v>F016</v>
      </c>
      <c r="R379" s="29" t="str">
        <f t="shared" si="41"/>
        <v>JulyF0</v>
      </c>
    </row>
    <row r="380" spans="1:18">
      <c r="A380" s="483">
        <f t="shared" si="42"/>
        <v>376</v>
      </c>
      <c r="B380" s="484">
        <v>9</v>
      </c>
      <c r="C380" s="485">
        <v>29060</v>
      </c>
      <c r="D380" s="763" t="str">
        <f t="shared" si="38"/>
        <v>July</v>
      </c>
      <c r="E380" s="484">
        <v>24</v>
      </c>
      <c r="F380" s="472">
        <v>1979</v>
      </c>
      <c r="G380" s="484" t="s">
        <v>104</v>
      </c>
      <c r="H380" s="472" t="s">
        <v>122</v>
      </c>
      <c r="I380" s="486">
        <v>10</v>
      </c>
      <c r="J380" s="486">
        <v>0.1</v>
      </c>
      <c r="K380" s="472">
        <f t="shared" si="43"/>
        <v>16</v>
      </c>
      <c r="L380" s="473">
        <v>0.70486111111111116</v>
      </c>
      <c r="M380" s="474">
        <f t="shared" si="37"/>
        <v>0.70486111111111116</v>
      </c>
      <c r="N380" s="519"/>
      <c r="P380" s="29" t="str">
        <f t="shared" si="39"/>
        <v>1979F0</v>
      </c>
      <c r="Q380" s="29" t="str">
        <f t="shared" si="40"/>
        <v>F016</v>
      </c>
      <c r="R380" s="29" t="str">
        <f t="shared" si="41"/>
        <v>JulyF0</v>
      </c>
    </row>
    <row r="381" spans="1:18">
      <c r="A381" s="483">
        <f t="shared" si="42"/>
        <v>377</v>
      </c>
      <c r="B381" s="484">
        <v>10</v>
      </c>
      <c r="C381" s="485">
        <v>29088</v>
      </c>
      <c r="D381" s="763" t="str">
        <f t="shared" si="38"/>
        <v>August</v>
      </c>
      <c r="E381" s="484">
        <v>21</v>
      </c>
      <c r="F381" s="472">
        <v>1979</v>
      </c>
      <c r="G381" s="484" t="s">
        <v>111</v>
      </c>
      <c r="H381" s="472" t="s">
        <v>122</v>
      </c>
      <c r="I381" s="486">
        <v>20</v>
      </c>
      <c r="J381" s="486">
        <v>1</v>
      </c>
      <c r="K381" s="472">
        <f t="shared" si="43"/>
        <v>17</v>
      </c>
      <c r="L381" s="473">
        <v>0.73263888888888884</v>
      </c>
      <c r="M381" s="474">
        <f t="shared" si="37"/>
        <v>0.73263888888888884</v>
      </c>
      <c r="N381" s="519"/>
      <c r="P381" s="29" t="str">
        <f t="shared" si="39"/>
        <v>1979F0</v>
      </c>
      <c r="Q381" s="29" t="str">
        <f t="shared" si="40"/>
        <v>F017</v>
      </c>
      <c r="R381" s="29" t="str">
        <f t="shared" si="41"/>
        <v>AugustF0</v>
      </c>
    </row>
    <row r="382" spans="1:18">
      <c r="A382" s="483">
        <f t="shared" si="42"/>
        <v>378</v>
      </c>
      <c r="B382" s="484">
        <v>11</v>
      </c>
      <c r="C382" s="485">
        <v>29092</v>
      </c>
      <c r="D382" s="763" t="str">
        <f t="shared" si="38"/>
        <v>August</v>
      </c>
      <c r="E382" s="484">
        <v>25</v>
      </c>
      <c r="F382" s="472">
        <v>1979</v>
      </c>
      <c r="G382" s="484" t="s">
        <v>103</v>
      </c>
      <c r="H382" s="472" t="s">
        <v>122</v>
      </c>
      <c r="I382" s="486">
        <v>10</v>
      </c>
      <c r="J382" s="486">
        <v>0.1</v>
      </c>
      <c r="K382" s="472">
        <f t="shared" si="43"/>
        <v>22</v>
      </c>
      <c r="L382" s="473">
        <v>0.92500000000000004</v>
      </c>
      <c r="M382" s="474">
        <f t="shared" si="37"/>
        <v>0.92500000000000004</v>
      </c>
      <c r="N382" s="519"/>
      <c r="P382" s="29" t="str">
        <f t="shared" si="39"/>
        <v>1979F0</v>
      </c>
      <c r="Q382" s="29" t="str">
        <f t="shared" si="40"/>
        <v>F022</v>
      </c>
      <c r="R382" s="29" t="str">
        <f t="shared" si="41"/>
        <v>AugustF0</v>
      </c>
    </row>
    <row r="383" spans="1:18">
      <c r="A383" s="483">
        <f t="shared" si="42"/>
        <v>379</v>
      </c>
      <c r="B383" s="484">
        <v>1</v>
      </c>
      <c r="C383" s="485">
        <v>29335</v>
      </c>
      <c r="D383" s="763" t="str">
        <f t="shared" si="38"/>
        <v>April</v>
      </c>
      <c r="E383" s="484">
        <v>24</v>
      </c>
      <c r="F383" s="472">
        <v>1980</v>
      </c>
      <c r="G383" s="484" t="s">
        <v>118</v>
      </c>
      <c r="H383" s="472" t="s">
        <v>122</v>
      </c>
      <c r="I383" s="486">
        <v>7</v>
      </c>
      <c r="J383" s="486">
        <v>0.5</v>
      </c>
      <c r="K383" s="472">
        <f t="shared" si="43"/>
        <v>12</v>
      </c>
      <c r="L383" s="473">
        <v>0.50694444444444442</v>
      </c>
      <c r="M383" s="474">
        <f t="shared" ref="M383:M442" si="44">+L383</f>
        <v>0.50694444444444442</v>
      </c>
      <c r="N383" s="519"/>
      <c r="P383" s="29" t="str">
        <f t="shared" si="39"/>
        <v>1980F0</v>
      </c>
      <c r="Q383" s="29" t="str">
        <f t="shared" si="40"/>
        <v>F012</v>
      </c>
      <c r="R383" s="29" t="str">
        <f t="shared" si="41"/>
        <v>AprilF0</v>
      </c>
    </row>
    <row r="384" spans="1:18">
      <c r="A384" s="483">
        <f t="shared" si="42"/>
        <v>380</v>
      </c>
      <c r="B384" s="484">
        <v>2</v>
      </c>
      <c r="C384" s="485">
        <v>29335</v>
      </c>
      <c r="D384" s="763" t="str">
        <f t="shared" si="38"/>
        <v>April</v>
      </c>
      <c r="E384" s="484">
        <v>24</v>
      </c>
      <c r="F384" s="472">
        <v>1980</v>
      </c>
      <c r="G384" s="484" t="s">
        <v>111</v>
      </c>
      <c r="H384" s="472" t="s">
        <v>122</v>
      </c>
      <c r="I384" s="486">
        <v>7</v>
      </c>
      <c r="J384" s="486">
        <v>1.5</v>
      </c>
      <c r="K384" s="472">
        <f t="shared" si="43"/>
        <v>17</v>
      </c>
      <c r="L384" s="473">
        <v>0.72916666666666663</v>
      </c>
      <c r="M384" s="474">
        <f t="shared" si="44"/>
        <v>0.72916666666666663</v>
      </c>
      <c r="N384" s="519"/>
      <c r="P384" s="29" t="str">
        <f t="shared" si="39"/>
        <v>1980F0</v>
      </c>
      <c r="Q384" s="29" t="str">
        <f t="shared" si="40"/>
        <v>F017</v>
      </c>
      <c r="R384" s="29" t="str">
        <f t="shared" si="41"/>
        <v>AprilF0</v>
      </c>
    </row>
    <row r="385" spans="1:18">
      <c r="A385" s="483">
        <f t="shared" si="42"/>
        <v>381</v>
      </c>
      <c r="B385" s="484">
        <v>3</v>
      </c>
      <c r="C385" s="485">
        <v>29361</v>
      </c>
      <c r="D385" s="763" t="str">
        <f t="shared" si="38"/>
        <v>May</v>
      </c>
      <c r="E385" s="484">
        <v>20</v>
      </c>
      <c r="F385" s="472">
        <v>1980</v>
      </c>
      <c r="G385" s="484" t="s">
        <v>101</v>
      </c>
      <c r="H385" s="472" t="s">
        <v>122</v>
      </c>
      <c r="I385" s="486">
        <v>10</v>
      </c>
      <c r="J385" s="486">
        <v>0.1</v>
      </c>
      <c r="K385" s="472">
        <f t="shared" si="43"/>
        <v>16</v>
      </c>
      <c r="L385" s="473">
        <v>0.68402777777777779</v>
      </c>
      <c r="M385" s="474">
        <f t="shared" si="44"/>
        <v>0.68402777777777779</v>
      </c>
      <c r="N385" s="519"/>
      <c r="P385" s="29" t="str">
        <f t="shared" si="39"/>
        <v>1980F0</v>
      </c>
      <c r="Q385" s="29" t="str">
        <f t="shared" si="40"/>
        <v>F016</v>
      </c>
      <c r="R385" s="29" t="str">
        <f t="shared" si="41"/>
        <v>MayF0</v>
      </c>
    </row>
    <row r="386" spans="1:18">
      <c r="A386" s="483">
        <f t="shared" si="42"/>
        <v>382</v>
      </c>
      <c r="B386" s="484">
        <v>4</v>
      </c>
      <c r="C386" s="485">
        <v>29368</v>
      </c>
      <c r="D386" s="763" t="str">
        <f t="shared" si="38"/>
        <v>May</v>
      </c>
      <c r="E386" s="484">
        <v>27</v>
      </c>
      <c r="F386" s="472">
        <v>1980</v>
      </c>
      <c r="G386" s="484" t="s">
        <v>108</v>
      </c>
      <c r="H386" s="472" t="s">
        <v>123</v>
      </c>
      <c r="I386" s="486">
        <v>10</v>
      </c>
      <c r="J386" s="486">
        <v>0.1</v>
      </c>
      <c r="K386" s="472">
        <f t="shared" si="43"/>
        <v>14</v>
      </c>
      <c r="L386" s="473">
        <v>0.59375</v>
      </c>
      <c r="M386" s="474">
        <f t="shared" si="44"/>
        <v>0.59375</v>
      </c>
      <c r="N386" s="519"/>
      <c r="P386" s="29" t="str">
        <f t="shared" si="39"/>
        <v>1980F1</v>
      </c>
      <c r="Q386" s="29" t="str">
        <f t="shared" si="40"/>
        <v>F114</v>
      </c>
      <c r="R386" s="29" t="str">
        <f t="shared" si="41"/>
        <v>MayF1</v>
      </c>
    </row>
    <row r="387" spans="1:18">
      <c r="A387" s="483">
        <f t="shared" si="42"/>
        <v>383</v>
      </c>
      <c r="B387" s="484">
        <v>5</v>
      </c>
      <c r="C387" s="485">
        <v>29368</v>
      </c>
      <c r="D387" s="763" t="str">
        <f t="shared" si="38"/>
        <v>May</v>
      </c>
      <c r="E387" s="484">
        <v>27</v>
      </c>
      <c r="F387" s="472">
        <v>1980</v>
      </c>
      <c r="G387" s="484" t="s">
        <v>107</v>
      </c>
      <c r="H387" s="472" t="s">
        <v>122</v>
      </c>
      <c r="I387" s="486">
        <v>10</v>
      </c>
      <c r="J387" s="486">
        <v>0.1</v>
      </c>
      <c r="K387" s="472">
        <f t="shared" si="43"/>
        <v>15</v>
      </c>
      <c r="L387" s="473">
        <v>0.63541666666666663</v>
      </c>
      <c r="M387" s="474">
        <f t="shared" si="44"/>
        <v>0.63541666666666663</v>
      </c>
      <c r="N387" s="519"/>
      <c r="P387" s="29" t="str">
        <f t="shared" si="39"/>
        <v>1980F0</v>
      </c>
      <c r="Q387" s="29" t="str">
        <f t="shared" si="40"/>
        <v>F015</v>
      </c>
      <c r="R387" s="29" t="str">
        <f t="shared" si="41"/>
        <v>MayF0</v>
      </c>
    </row>
    <row r="388" spans="1:18">
      <c r="A388" s="483">
        <f t="shared" si="42"/>
        <v>384</v>
      </c>
      <c r="B388" s="484">
        <v>6</v>
      </c>
      <c r="C388" s="485">
        <v>29368</v>
      </c>
      <c r="D388" s="763" t="str">
        <f t="shared" si="38"/>
        <v>May</v>
      </c>
      <c r="E388" s="484">
        <v>27</v>
      </c>
      <c r="F388" s="472">
        <v>1980</v>
      </c>
      <c r="G388" s="484" t="s">
        <v>107</v>
      </c>
      <c r="H388" s="472" t="s">
        <v>122</v>
      </c>
      <c r="I388" s="486">
        <v>10</v>
      </c>
      <c r="J388" s="486">
        <v>0.1</v>
      </c>
      <c r="K388" s="472">
        <f t="shared" si="43"/>
        <v>15</v>
      </c>
      <c r="L388" s="473">
        <v>0.65138888888888891</v>
      </c>
      <c r="M388" s="474">
        <f t="shared" si="44"/>
        <v>0.65138888888888891</v>
      </c>
      <c r="N388" s="519"/>
      <c r="P388" s="29" t="str">
        <f t="shared" si="39"/>
        <v>1980F0</v>
      </c>
      <c r="Q388" s="29" t="str">
        <f t="shared" si="40"/>
        <v>F015</v>
      </c>
      <c r="R388" s="29" t="str">
        <f t="shared" si="41"/>
        <v>MayF0</v>
      </c>
    </row>
    <row r="389" spans="1:18">
      <c r="A389" s="483">
        <f t="shared" si="42"/>
        <v>385</v>
      </c>
      <c r="B389" s="484">
        <v>7</v>
      </c>
      <c r="C389" s="485">
        <v>29369</v>
      </c>
      <c r="D389" s="763" t="str">
        <f t="shared" ref="D389:D452" si="45">+TEXT(C389,"mmmm")</f>
        <v>May</v>
      </c>
      <c r="E389" s="484">
        <v>28</v>
      </c>
      <c r="F389" s="472">
        <v>1980</v>
      </c>
      <c r="G389" s="484" t="s">
        <v>104</v>
      </c>
      <c r="H389" s="472" t="s">
        <v>122</v>
      </c>
      <c r="I389" s="486">
        <v>20</v>
      </c>
      <c r="J389" s="486">
        <v>0.3</v>
      </c>
      <c r="K389" s="472">
        <f t="shared" si="43"/>
        <v>17</v>
      </c>
      <c r="L389" s="473">
        <v>0.73263888888888884</v>
      </c>
      <c r="M389" s="474">
        <f t="shared" si="44"/>
        <v>0.73263888888888884</v>
      </c>
      <c r="N389" s="519"/>
      <c r="P389" s="29" t="str">
        <f t="shared" si="39"/>
        <v>1980F0</v>
      </c>
      <c r="Q389" s="29" t="str">
        <f t="shared" si="40"/>
        <v>F017</v>
      </c>
      <c r="R389" s="29" t="str">
        <f t="shared" si="41"/>
        <v>MayF0</v>
      </c>
    </row>
    <row r="390" spans="1:18">
      <c r="A390" s="483">
        <f t="shared" si="42"/>
        <v>386</v>
      </c>
      <c r="B390" s="484">
        <v>8</v>
      </c>
      <c r="C390" s="485">
        <v>29369</v>
      </c>
      <c r="D390" s="763" t="str">
        <f t="shared" si="45"/>
        <v>May</v>
      </c>
      <c r="E390" s="484">
        <v>28</v>
      </c>
      <c r="F390" s="472">
        <v>1980</v>
      </c>
      <c r="G390" s="484" t="s">
        <v>116</v>
      </c>
      <c r="H390" s="472" t="s">
        <v>124</v>
      </c>
      <c r="I390" s="486">
        <v>50</v>
      </c>
      <c r="J390" s="486">
        <v>8</v>
      </c>
      <c r="K390" s="472">
        <f t="shared" si="43"/>
        <v>20</v>
      </c>
      <c r="L390" s="473">
        <v>0.85416666666666663</v>
      </c>
      <c r="M390" s="474">
        <f t="shared" si="44"/>
        <v>0.85416666666666663</v>
      </c>
      <c r="N390" s="519"/>
      <c r="P390" s="29" t="str">
        <f t="shared" ref="P390:P453" si="46">CONCATENATE(F390,H390)</f>
        <v>1980F2</v>
      </c>
      <c r="Q390" s="29" t="str">
        <f t="shared" ref="Q390:Q453" si="47">CONCATENATE(H390,K390)</f>
        <v>F220</v>
      </c>
      <c r="R390" s="29" t="str">
        <f t="shared" ref="R390:R453" si="48">CONCATENATE(D390,H390)</f>
        <v>MayF2</v>
      </c>
    </row>
    <row r="391" spans="1:18">
      <c r="A391" s="483">
        <f t="shared" ref="A391:A454" si="49">+A390+1</f>
        <v>387</v>
      </c>
      <c r="B391" s="484">
        <v>9</v>
      </c>
      <c r="C391" s="485">
        <v>29369</v>
      </c>
      <c r="D391" s="763" t="str">
        <f t="shared" si="45"/>
        <v>May</v>
      </c>
      <c r="E391" s="484">
        <v>28</v>
      </c>
      <c r="F391" s="472">
        <v>1980</v>
      </c>
      <c r="G391" s="484" t="s">
        <v>121</v>
      </c>
      <c r="H391" s="472" t="s">
        <v>124</v>
      </c>
      <c r="I391" s="486">
        <v>10</v>
      </c>
      <c r="J391" s="486">
        <v>0.1</v>
      </c>
      <c r="K391" s="472">
        <f t="shared" si="43"/>
        <v>23</v>
      </c>
      <c r="L391" s="473">
        <v>0.99652777777777779</v>
      </c>
      <c r="M391" s="474">
        <f t="shared" si="44"/>
        <v>0.99652777777777779</v>
      </c>
      <c r="N391" s="519"/>
      <c r="P391" s="29" t="str">
        <f t="shared" si="46"/>
        <v>1980F2</v>
      </c>
      <c r="Q391" s="29" t="str">
        <f t="shared" si="47"/>
        <v>F223</v>
      </c>
      <c r="R391" s="29" t="str">
        <f t="shared" si="48"/>
        <v>MayF2</v>
      </c>
    </row>
    <row r="392" spans="1:18">
      <c r="A392" s="483">
        <f t="shared" si="49"/>
        <v>388</v>
      </c>
      <c r="B392" s="484">
        <v>10</v>
      </c>
      <c r="C392" s="485">
        <v>29370</v>
      </c>
      <c r="D392" s="763" t="str">
        <f t="shared" si="45"/>
        <v>May</v>
      </c>
      <c r="E392" s="484">
        <v>29</v>
      </c>
      <c r="F392" s="472">
        <v>1980</v>
      </c>
      <c r="G392" s="484" t="s">
        <v>121</v>
      </c>
      <c r="H392" s="472" t="s">
        <v>124</v>
      </c>
      <c r="I392" s="486">
        <v>160</v>
      </c>
      <c r="J392" s="486">
        <v>16.2</v>
      </c>
      <c r="K392" s="472">
        <f t="shared" si="43"/>
        <v>16</v>
      </c>
      <c r="L392" s="473">
        <v>0.69236111111111109</v>
      </c>
      <c r="M392" s="474">
        <f t="shared" si="44"/>
        <v>0.69236111111111109</v>
      </c>
      <c r="N392" s="519"/>
      <c r="P392" s="29" t="str">
        <f t="shared" si="46"/>
        <v>1980F2</v>
      </c>
      <c r="Q392" s="29" t="str">
        <f t="shared" si="47"/>
        <v>F216</v>
      </c>
      <c r="R392" s="29" t="str">
        <f t="shared" si="48"/>
        <v>MayF2</v>
      </c>
    </row>
    <row r="393" spans="1:18">
      <c r="A393" s="483">
        <f t="shared" si="49"/>
        <v>389</v>
      </c>
      <c r="B393" s="484">
        <v>11</v>
      </c>
      <c r="C393" s="485">
        <v>29376</v>
      </c>
      <c r="D393" s="763" t="str">
        <f t="shared" si="45"/>
        <v>June</v>
      </c>
      <c r="E393" s="484">
        <v>4</v>
      </c>
      <c r="F393" s="472">
        <v>1980</v>
      </c>
      <c r="G393" s="484" t="s">
        <v>104</v>
      </c>
      <c r="H393" s="472" t="s">
        <v>123</v>
      </c>
      <c r="I393" s="486">
        <v>60</v>
      </c>
      <c r="J393" s="486">
        <v>2.5</v>
      </c>
      <c r="K393" s="472">
        <f t="shared" si="43"/>
        <v>17</v>
      </c>
      <c r="L393" s="473">
        <v>0.73611111111111116</v>
      </c>
      <c r="M393" s="474">
        <f t="shared" si="44"/>
        <v>0.73611111111111116</v>
      </c>
      <c r="N393" s="519"/>
      <c r="P393" s="29" t="str">
        <f t="shared" si="46"/>
        <v>1980F1</v>
      </c>
      <c r="Q393" s="29" t="str">
        <f t="shared" si="47"/>
        <v>F117</v>
      </c>
      <c r="R393" s="29" t="str">
        <f t="shared" si="48"/>
        <v>JuneF1</v>
      </c>
    </row>
    <row r="394" spans="1:18">
      <c r="A394" s="483">
        <f t="shared" si="49"/>
        <v>390</v>
      </c>
      <c r="B394" s="484">
        <v>12</v>
      </c>
      <c r="C394" s="485">
        <v>29438</v>
      </c>
      <c r="D394" s="763" t="str">
        <f t="shared" si="45"/>
        <v>August</v>
      </c>
      <c r="E394" s="484">
        <v>5</v>
      </c>
      <c r="F394" s="472">
        <v>1980</v>
      </c>
      <c r="G394" s="484" t="s">
        <v>100</v>
      </c>
      <c r="H394" s="472" t="s">
        <v>123</v>
      </c>
      <c r="I394" s="486">
        <v>100</v>
      </c>
      <c r="J394" s="486">
        <v>0.6</v>
      </c>
      <c r="K394" s="472">
        <f t="shared" si="43"/>
        <v>16</v>
      </c>
      <c r="L394" s="473">
        <v>0.66666666666666663</v>
      </c>
      <c r="M394" s="474">
        <f t="shared" si="44"/>
        <v>0.66666666666666663</v>
      </c>
      <c r="N394" s="519"/>
      <c r="P394" s="29" t="str">
        <f t="shared" si="46"/>
        <v>1980F1</v>
      </c>
      <c r="Q394" s="29" t="str">
        <f t="shared" si="47"/>
        <v>F116</v>
      </c>
      <c r="R394" s="29" t="str">
        <f t="shared" si="48"/>
        <v>AugustF1</v>
      </c>
    </row>
    <row r="395" spans="1:18">
      <c r="A395" s="483">
        <f t="shared" si="49"/>
        <v>391</v>
      </c>
      <c r="B395" s="484">
        <v>13</v>
      </c>
      <c r="C395" s="485">
        <v>29438</v>
      </c>
      <c r="D395" s="763" t="str">
        <f t="shared" si="45"/>
        <v>August</v>
      </c>
      <c r="E395" s="484">
        <v>5</v>
      </c>
      <c r="F395" s="472">
        <v>1980</v>
      </c>
      <c r="G395" s="484" t="s">
        <v>100</v>
      </c>
      <c r="H395" s="472" t="s">
        <v>123</v>
      </c>
      <c r="I395" s="486">
        <v>100</v>
      </c>
      <c r="J395" s="486">
        <v>3.6</v>
      </c>
      <c r="K395" s="472">
        <f t="shared" si="43"/>
        <v>16</v>
      </c>
      <c r="L395" s="473">
        <v>0.69444444444444453</v>
      </c>
      <c r="M395" s="474">
        <f t="shared" si="44"/>
        <v>0.69444444444444453</v>
      </c>
      <c r="N395" s="519"/>
      <c r="P395" s="29" t="str">
        <f t="shared" si="46"/>
        <v>1980F1</v>
      </c>
      <c r="Q395" s="29" t="str">
        <f t="shared" si="47"/>
        <v>F116</v>
      </c>
      <c r="R395" s="29" t="str">
        <f t="shared" si="48"/>
        <v>AugustF1</v>
      </c>
    </row>
    <row r="396" spans="1:18">
      <c r="A396" s="483">
        <f t="shared" si="49"/>
        <v>392</v>
      </c>
      <c r="B396" s="484">
        <v>1</v>
      </c>
      <c r="C396" s="485">
        <v>29648</v>
      </c>
      <c r="D396" s="763" t="str">
        <f t="shared" si="45"/>
        <v>March</v>
      </c>
      <c r="E396" s="486">
        <v>3</v>
      </c>
      <c r="F396" s="472">
        <v>1981</v>
      </c>
      <c r="G396" s="484" t="s">
        <v>109</v>
      </c>
      <c r="H396" s="472" t="s">
        <v>122</v>
      </c>
      <c r="I396" s="486">
        <v>50</v>
      </c>
      <c r="J396" s="486">
        <v>1</v>
      </c>
      <c r="K396" s="472">
        <f t="shared" si="43"/>
        <v>16</v>
      </c>
      <c r="L396" s="473">
        <v>0.68402777777777779</v>
      </c>
      <c r="M396" s="474">
        <f t="shared" si="44"/>
        <v>0.68402777777777779</v>
      </c>
      <c r="N396" s="519"/>
      <c r="P396" s="29" t="str">
        <f t="shared" si="46"/>
        <v>1981F0</v>
      </c>
      <c r="Q396" s="29" t="str">
        <f t="shared" si="47"/>
        <v>F016</v>
      </c>
      <c r="R396" s="29" t="str">
        <f t="shared" si="48"/>
        <v>MarchF0</v>
      </c>
    </row>
    <row r="397" spans="1:18">
      <c r="A397" s="483">
        <f t="shared" si="49"/>
        <v>393</v>
      </c>
      <c r="B397" s="484">
        <v>2</v>
      </c>
      <c r="C397" s="485">
        <v>29712</v>
      </c>
      <c r="D397" s="763" t="str">
        <f t="shared" si="45"/>
        <v>May</v>
      </c>
      <c r="E397" s="484">
        <v>6</v>
      </c>
      <c r="F397" s="472">
        <v>1981</v>
      </c>
      <c r="G397" s="484" t="s">
        <v>104</v>
      </c>
      <c r="H397" s="472" t="s">
        <v>122</v>
      </c>
      <c r="I397" s="486">
        <v>30</v>
      </c>
      <c r="J397" s="486">
        <v>0.5</v>
      </c>
      <c r="K397" s="472">
        <f t="shared" si="43"/>
        <v>20</v>
      </c>
      <c r="L397" s="473">
        <v>0.84722222222222221</v>
      </c>
      <c r="M397" s="474">
        <f t="shared" si="44"/>
        <v>0.84722222222222221</v>
      </c>
      <c r="N397" s="519"/>
      <c r="P397" s="29" t="str">
        <f t="shared" si="46"/>
        <v>1981F0</v>
      </c>
      <c r="Q397" s="29" t="str">
        <f t="shared" si="47"/>
        <v>F020</v>
      </c>
      <c r="R397" s="29" t="str">
        <f t="shared" si="48"/>
        <v>MayF0</v>
      </c>
    </row>
    <row r="398" spans="1:18">
      <c r="A398" s="483">
        <f t="shared" si="49"/>
        <v>394</v>
      </c>
      <c r="B398" s="484">
        <v>3</v>
      </c>
      <c r="C398" s="485">
        <v>29714</v>
      </c>
      <c r="D398" s="763" t="str">
        <f t="shared" si="45"/>
        <v>May</v>
      </c>
      <c r="E398" s="484">
        <v>8</v>
      </c>
      <c r="F398" s="472">
        <v>1981</v>
      </c>
      <c r="G398" s="484" t="s">
        <v>111</v>
      </c>
      <c r="H398" s="472" t="s">
        <v>123</v>
      </c>
      <c r="I398" s="486">
        <v>30</v>
      </c>
      <c r="J398" s="486">
        <v>1</v>
      </c>
      <c r="K398" s="472">
        <f t="shared" si="43"/>
        <v>22</v>
      </c>
      <c r="L398" s="473">
        <v>0.9375</v>
      </c>
      <c r="M398" s="474">
        <f t="shared" si="44"/>
        <v>0.9375</v>
      </c>
      <c r="N398" s="519"/>
      <c r="P398" s="29" t="str">
        <f t="shared" si="46"/>
        <v>1981F1</v>
      </c>
      <c r="Q398" s="29" t="str">
        <f t="shared" si="47"/>
        <v>F122</v>
      </c>
      <c r="R398" s="29" t="str">
        <f t="shared" si="48"/>
        <v>MayF1</v>
      </c>
    </row>
    <row r="399" spans="1:18">
      <c r="A399" s="483">
        <f t="shared" si="49"/>
        <v>395</v>
      </c>
      <c r="B399" s="484">
        <v>4</v>
      </c>
      <c r="C399" s="485">
        <v>29738</v>
      </c>
      <c r="D399" s="763" t="str">
        <f t="shared" si="45"/>
        <v>June</v>
      </c>
      <c r="E399" s="484">
        <v>1</v>
      </c>
      <c r="F399" s="472">
        <v>1981</v>
      </c>
      <c r="G399" s="484" t="s">
        <v>121</v>
      </c>
      <c r="H399" s="472" t="s">
        <v>122</v>
      </c>
      <c r="I399" s="486">
        <v>20</v>
      </c>
      <c r="J399" s="486">
        <v>0.3</v>
      </c>
      <c r="K399" s="472">
        <f t="shared" si="43"/>
        <v>17</v>
      </c>
      <c r="L399" s="473">
        <v>0.72222222222222221</v>
      </c>
      <c r="M399" s="474">
        <f t="shared" si="44"/>
        <v>0.72222222222222221</v>
      </c>
      <c r="N399" s="519"/>
      <c r="P399" s="29" t="str">
        <f t="shared" si="46"/>
        <v>1981F0</v>
      </c>
      <c r="Q399" s="29" t="str">
        <f t="shared" si="47"/>
        <v>F017</v>
      </c>
      <c r="R399" s="29" t="str">
        <f t="shared" si="48"/>
        <v>JuneF0</v>
      </c>
    </row>
    <row r="400" spans="1:18">
      <c r="A400" s="483">
        <f t="shared" si="49"/>
        <v>396</v>
      </c>
      <c r="B400" s="484">
        <v>5</v>
      </c>
      <c r="C400" s="485">
        <v>29738</v>
      </c>
      <c r="D400" s="763" t="str">
        <f t="shared" si="45"/>
        <v>June</v>
      </c>
      <c r="E400" s="484">
        <v>1</v>
      </c>
      <c r="F400" s="472">
        <v>1981</v>
      </c>
      <c r="G400" s="484" t="s">
        <v>121</v>
      </c>
      <c r="H400" s="472" t="s">
        <v>124</v>
      </c>
      <c r="I400" s="486">
        <v>50</v>
      </c>
      <c r="J400" s="486">
        <v>5.7</v>
      </c>
      <c r="K400" s="472">
        <f t="shared" si="43"/>
        <v>17</v>
      </c>
      <c r="L400" s="473">
        <v>0.72916666666666663</v>
      </c>
      <c r="M400" s="474">
        <f t="shared" si="44"/>
        <v>0.72916666666666663</v>
      </c>
      <c r="N400" s="519"/>
      <c r="P400" s="29" t="str">
        <f t="shared" si="46"/>
        <v>1981F2</v>
      </c>
      <c r="Q400" s="29" t="str">
        <f t="shared" si="47"/>
        <v>F217</v>
      </c>
      <c r="R400" s="29" t="str">
        <f t="shared" si="48"/>
        <v>JuneF2</v>
      </c>
    </row>
    <row r="401" spans="1:18">
      <c r="A401" s="483">
        <f t="shared" si="49"/>
        <v>397</v>
      </c>
      <c r="B401" s="484">
        <v>6</v>
      </c>
      <c r="C401" s="485">
        <v>29739</v>
      </c>
      <c r="D401" s="763" t="str">
        <f t="shared" si="45"/>
        <v>June</v>
      </c>
      <c r="E401" s="484">
        <v>2</v>
      </c>
      <c r="F401" s="472">
        <v>1981</v>
      </c>
      <c r="G401" s="484" t="s">
        <v>108</v>
      </c>
      <c r="H401" s="472" t="s">
        <v>122</v>
      </c>
      <c r="I401" s="486">
        <v>10</v>
      </c>
      <c r="J401" s="486">
        <v>0.3</v>
      </c>
      <c r="K401" s="472">
        <f t="shared" si="43"/>
        <v>17</v>
      </c>
      <c r="L401" s="473">
        <v>0.70833333333333337</v>
      </c>
      <c r="M401" s="474">
        <f t="shared" si="44"/>
        <v>0.70833333333333337</v>
      </c>
      <c r="N401" s="519"/>
      <c r="P401" s="29" t="str">
        <f t="shared" si="46"/>
        <v>1981F0</v>
      </c>
      <c r="Q401" s="29" t="str">
        <f t="shared" si="47"/>
        <v>F017</v>
      </c>
      <c r="R401" s="29" t="str">
        <f t="shared" si="48"/>
        <v>JuneF0</v>
      </c>
    </row>
    <row r="402" spans="1:18">
      <c r="A402" s="483">
        <f t="shared" si="49"/>
        <v>398</v>
      </c>
      <c r="B402" s="484">
        <v>7</v>
      </c>
      <c r="C402" s="485">
        <v>29739</v>
      </c>
      <c r="D402" s="763" t="str">
        <f t="shared" si="45"/>
        <v>June</v>
      </c>
      <c r="E402" s="484">
        <v>2</v>
      </c>
      <c r="F402" s="472">
        <v>1981</v>
      </c>
      <c r="G402" s="484" t="s">
        <v>108</v>
      </c>
      <c r="H402" s="472" t="s">
        <v>122</v>
      </c>
      <c r="I402" s="486">
        <v>10</v>
      </c>
      <c r="J402" s="486">
        <v>0.3</v>
      </c>
      <c r="K402" s="472">
        <f t="shared" si="43"/>
        <v>17</v>
      </c>
      <c r="L402" s="473">
        <v>0.70833333333333337</v>
      </c>
      <c r="M402" s="474">
        <f t="shared" si="44"/>
        <v>0.70833333333333337</v>
      </c>
      <c r="N402" s="519"/>
      <c r="P402" s="29" t="str">
        <f t="shared" si="46"/>
        <v>1981F0</v>
      </c>
      <c r="Q402" s="29" t="str">
        <f t="shared" si="47"/>
        <v>F017</v>
      </c>
      <c r="R402" s="29" t="str">
        <f t="shared" si="48"/>
        <v>JuneF0</v>
      </c>
    </row>
    <row r="403" spans="1:18">
      <c r="A403" s="483">
        <f t="shared" si="49"/>
        <v>399</v>
      </c>
      <c r="B403" s="484">
        <v>8</v>
      </c>
      <c r="C403" s="485">
        <v>29739</v>
      </c>
      <c r="D403" s="763" t="str">
        <f t="shared" si="45"/>
        <v>June</v>
      </c>
      <c r="E403" s="484">
        <v>2</v>
      </c>
      <c r="F403" s="472">
        <v>1981</v>
      </c>
      <c r="G403" s="484" t="s">
        <v>100</v>
      </c>
      <c r="H403" s="472" t="s">
        <v>122</v>
      </c>
      <c r="I403" s="486">
        <v>10</v>
      </c>
      <c r="J403" s="486">
        <v>0.1</v>
      </c>
      <c r="K403" s="472">
        <f t="shared" si="43"/>
        <v>17</v>
      </c>
      <c r="L403" s="473">
        <v>0.70833333333333337</v>
      </c>
      <c r="M403" s="474">
        <f t="shared" si="44"/>
        <v>0.70833333333333337</v>
      </c>
      <c r="N403" s="519"/>
      <c r="P403" s="29" t="str">
        <f t="shared" si="46"/>
        <v>1981F0</v>
      </c>
      <c r="Q403" s="29" t="str">
        <f t="shared" si="47"/>
        <v>F017</v>
      </c>
      <c r="R403" s="29" t="str">
        <f t="shared" si="48"/>
        <v>JuneF0</v>
      </c>
    </row>
    <row r="404" spans="1:18">
      <c r="A404" s="483">
        <f t="shared" si="49"/>
        <v>400</v>
      </c>
      <c r="B404" s="484">
        <v>9</v>
      </c>
      <c r="C404" s="485">
        <v>29739</v>
      </c>
      <c r="D404" s="763" t="str">
        <f t="shared" si="45"/>
        <v>June</v>
      </c>
      <c r="E404" s="484">
        <v>2</v>
      </c>
      <c r="F404" s="472">
        <v>1981</v>
      </c>
      <c r="G404" s="484" t="s">
        <v>121</v>
      </c>
      <c r="H404" s="472" t="s">
        <v>123</v>
      </c>
      <c r="I404" s="486">
        <v>40</v>
      </c>
      <c r="J404" s="486">
        <v>1</v>
      </c>
      <c r="K404" s="472">
        <f t="shared" ref="K404:K463" si="50">HOUR(M404)</f>
        <v>21</v>
      </c>
      <c r="L404" s="473">
        <v>0.875</v>
      </c>
      <c r="M404" s="474">
        <f t="shared" si="44"/>
        <v>0.875</v>
      </c>
      <c r="N404" s="519"/>
      <c r="P404" s="29" t="str">
        <f t="shared" si="46"/>
        <v>1981F1</v>
      </c>
      <c r="Q404" s="29" t="str">
        <f t="shared" si="47"/>
        <v>F121</v>
      </c>
      <c r="R404" s="29" t="str">
        <f t="shared" si="48"/>
        <v>JuneF1</v>
      </c>
    </row>
    <row r="405" spans="1:18">
      <c r="A405" s="483">
        <f t="shared" si="49"/>
        <v>401</v>
      </c>
      <c r="B405" s="484">
        <v>10</v>
      </c>
      <c r="C405" s="485">
        <v>29748</v>
      </c>
      <c r="D405" s="763" t="str">
        <f t="shared" si="45"/>
        <v>June</v>
      </c>
      <c r="E405" s="484">
        <v>11</v>
      </c>
      <c r="F405" s="472">
        <v>1981</v>
      </c>
      <c r="G405" s="484" t="s">
        <v>99</v>
      </c>
      <c r="H405" s="472" t="s">
        <v>122</v>
      </c>
      <c r="I405" s="486">
        <v>10</v>
      </c>
      <c r="J405" s="486">
        <v>0.1</v>
      </c>
      <c r="K405" s="472">
        <f t="shared" si="50"/>
        <v>18</v>
      </c>
      <c r="L405" s="473">
        <v>0.75</v>
      </c>
      <c r="M405" s="474">
        <f t="shared" si="44"/>
        <v>0.75</v>
      </c>
      <c r="N405" s="519"/>
      <c r="P405" s="29" t="str">
        <f t="shared" si="46"/>
        <v>1981F0</v>
      </c>
      <c r="Q405" s="29" t="str">
        <f t="shared" si="47"/>
        <v>F018</v>
      </c>
      <c r="R405" s="29" t="str">
        <f t="shared" si="48"/>
        <v>JuneF0</v>
      </c>
    </row>
    <row r="406" spans="1:18">
      <c r="A406" s="483">
        <f t="shared" si="49"/>
        <v>402</v>
      </c>
      <c r="B406" s="484">
        <v>11</v>
      </c>
      <c r="C406" s="485">
        <v>29748</v>
      </c>
      <c r="D406" s="763" t="str">
        <f t="shared" si="45"/>
        <v>June</v>
      </c>
      <c r="E406" s="484">
        <v>11</v>
      </c>
      <c r="F406" s="472">
        <v>1981</v>
      </c>
      <c r="G406" s="484" t="s">
        <v>114</v>
      </c>
      <c r="H406" s="472" t="s">
        <v>122</v>
      </c>
      <c r="I406" s="486">
        <v>30</v>
      </c>
      <c r="J406" s="486">
        <v>0.5</v>
      </c>
      <c r="K406" s="472">
        <f t="shared" si="50"/>
        <v>21</v>
      </c>
      <c r="L406" s="473">
        <v>0.89583333333333337</v>
      </c>
      <c r="M406" s="474">
        <f t="shared" si="44"/>
        <v>0.89583333333333337</v>
      </c>
      <c r="N406" s="519"/>
      <c r="P406" s="29" t="str">
        <f t="shared" si="46"/>
        <v>1981F0</v>
      </c>
      <c r="Q406" s="29" t="str">
        <f t="shared" si="47"/>
        <v>F021</v>
      </c>
      <c r="R406" s="29" t="str">
        <f t="shared" si="48"/>
        <v>JuneF0</v>
      </c>
    </row>
    <row r="407" spans="1:18">
      <c r="A407" s="483">
        <f t="shared" si="49"/>
        <v>403</v>
      </c>
      <c r="B407" s="484">
        <v>12</v>
      </c>
      <c r="C407" s="485">
        <v>29771</v>
      </c>
      <c r="D407" s="763" t="str">
        <f t="shared" si="45"/>
        <v>July</v>
      </c>
      <c r="E407" s="484">
        <v>4</v>
      </c>
      <c r="F407" s="472">
        <v>1981</v>
      </c>
      <c r="G407" s="484" t="s">
        <v>104</v>
      </c>
      <c r="H407" s="472" t="s">
        <v>122</v>
      </c>
      <c r="I407" s="486">
        <v>10</v>
      </c>
      <c r="J407" s="486">
        <v>0.2</v>
      </c>
      <c r="K407" s="472">
        <f t="shared" si="50"/>
        <v>16</v>
      </c>
      <c r="L407" s="473">
        <v>0.6875</v>
      </c>
      <c r="M407" s="474">
        <f t="shared" si="44"/>
        <v>0.6875</v>
      </c>
      <c r="N407" s="519"/>
      <c r="P407" s="29" t="str">
        <f t="shared" si="46"/>
        <v>1981F0</v>
      </c>
      <c r="Q407" s="29" t="str">
        <f t="shared" si="47"/>
        <v>F016</v>
      </c>
      <c r="R407" s="29" t="str">
        <f t="shared" si="48"/>
        <v>JulyF0</v>
      </c>
    </row>
    <row r="408" spans="1:18">
      <c r="A408" s="483">
        <f t="shared" si="49"/>
        <v>404</v>
      </c>
      <c r="B408" s="484">
        <v>13</v>
      </c>
      <c r="C408" s="485">
        <v>29774</v>
      </c>
      <c r="D408" s="763" t="str">
        <f t="shared" si="45"/>
        <v>July</v>
      </c>
      <c r="E408" s="484">
        <v>7</v>
      </c>
      <c r="F408" s="472">
        <v>1981</v>
      </c>
      <c r="G408" s="484" t="s">
        <v>117</v>
      </c>
      <c r="H408" s="472" t="s">
        <v>123</v>
      </c>
      <c r="I408" s="486">
        <v>10</v>
      </c>
      <c r="J408" s="486">
        <v>0.3</v>
      </c>
      <c r="K408" s="472">
        <f t="shared" si="50"/>
        <v>23</v>
      </c>
      <c r="L408" s="473">
        <v>0.96875</v>
      </c>
      <c r="M408" s="474">
        <f t="shared" si="44"/>
        <v>0.96875</v>
      </c>
      <c r="N408" s="519"/>
      <c r="P408" s="29" t="str">
        <f t="shared" si="46"/>
        <v>1981F1</v>
      </c>
      <c r="Q408" s="29" t="str">
        <f t="shared" si="47"/>
        <v>F123</v>
      </c>
      <c r="R408" s="29" t="str">
        <f t="shared" si="48"/>
        <v>JulyF1</v>
      </c>
    </row>
    <row r="409" spans="1:18">
      <c r="A409" s="483">
        <f t="shared" si="49"/>
        <v>405</v>
      </c>
      <c r="B409" s="484">
        <v>14</v>
      </c>
      <c r="C409" s="485">
        <v>29804</v>
      </c>
      <c r="D409" s="763" t="str">
        <f t="shared" si="45"/>
        <v>August</v>
      </c>
      <c r="E409" s="484">
        <v>6</v>
      </c>
      <c r="F409" s="472">
        <v>1981</v>
      </c>
      <c r="G409" s="484" t="s">
        <v>102</v>
      </c>
      <c r="H409" s="472" t="s">
        <v>122</v>
      </c>
      <c r="I409" s="486">
        <v>67</v>
      </c>
      <c r="J409" s="486">
        <v>0.1</v>
      </c>
      <c r="K409" s="472">
        <f t="shared" si="50"/>
        <v>12</v>
      </c>
      <c r="L409" s="473">
        <v>0.54027777777777775</v>
      </c>
      <c r="M409" s="474">
        <f t="shared" si="44"/>
        <v>0.54027777777777775</v>
      </c>
      <c r="N409" s="519"/>
      <c r="P409" s="29" t="str">
        <f t="shared" si="46"/>
        <v>1981F0</v>
      </c>
      <c r="Q409" s="29" t="str">
        <f t="shared" si="47"/>
        <v>F012</v>
      </c>
      <c r="R409" s="29" t="str">
        <f t="shared" si="48"/>
        <v>AugustF0</v>
      </c>
    </row>
    <row r="410" spans="1:18">
      <c r="A410" s="483">
        <f t="shared" si="49"/>
        <v>406</v>
      </c>
      <c r="B410" s="484">
        <v>1</v>
      </c>
      <c r="C410" s="485">
        <v>30028</v>
      </c>
      <c r="D410" s="763" t="str">
        <f t="shared" si="45"/>
        <v>March</v>
      </c>
      <c r="E410" s="486">
        <v>18</v>
      </c>
      <c r="F410" s="472">
        <v>1982</v>
      </c>
      <c r="G410" s="484" t="s">
        <v>108</v>
      </c>
      <c r="H410" s="472" t="s">
        <v>126</v>
      </c>
      <c r="I410" s="486">
        <v>880</v>
      </c>
      <c r="J410" s="486">
        <v>87.9</v>
      </c>
      <c r="K410" s="472">
        <f t="shared" si="50"/>
        <v>23</v>
      </c>
      <c r="L410" s="473">
        <v>0.99652777777777779</v>
      </c>
      <c r="M410" s="474">
        <f t="shared" si="44"/>
        <v>0.99652777777777779</v>
      </c>
      <c r="N410" s="519"/>
      <c r="P410" s="29" t="str">
        <f t="shared" si="46"/>
        <v>1982F4</v>
      </c>
      <c r="Q410" s="29" t="str">
        <f t="shared" si="47"/>
        <v>F423</v>
      </c>
      <c r="R410" s="29" t="str">
        <f t="shared" si="48"/>
        <v>MarchF4</v>
      </c>
    </row>
    <row r="411" spans="1:18">
      <c r="A411" s="483">
        <f t="shared" si="49"/>
        <v>407</v>
      </c>
      <c r="B411" s="484">
        <v>2</v>
      </c>
      <c r="C411" s="485">
        <v>30080</v>
      </c>
      <c r="D411" s="763" t="str">
        <f t="shared" si="45"/>
        <v>May</v>
      </c>
      <c r="E411" s="486">
        <v>9</v>
      </c>
      <c r="F411" s="472">
        <v>1982</v>
      </c>
      <c r="G411" s="484" t="s">
        <v>109</v>
      </c>
      <c r="H411" s="472" t="s">
        <v>122</v>
      </c>
      <c r="I411" s="486">
        <v>20</v>
      </c>
      <c r="J411" s="486">
        <v>0.2</v>
      </c>
      <c r="K411" s="472">
        <f t="shared" si="50"/>
        <v>18</v>
      </c>
      <c r="L411" s="473">
        <v>0.77361111111111114</v>
      </c>
      <c r="M411" s="474">
        <f t="shared" si="44"/>
        <v>0.77361111111111114</v>
      </c>
      <c r="N411" s="519"/>
      <c r="P411" s="29" t="str">
        <f t="shared" si="46"/>
        <v>1982F0</v>
      </c>
      <c r="Q411" s="29" t="str">
        <f t="shared" si="47"/>
        <v>F018</v>
      </c>
      <c r="R411" s="29" t="str">
        <f t="shared" si="48"/>
        <v>MayF0</v>
      </c>
    </row>
    <row r="412" spans="1:18">
      <c r="A412" s="483">
        <f t="shared" si="49"/>
        <v>408</v>
      </c>
      <c r="B412" s="484">
        <v>3</v>
      </c>
      <c r="C412" s="485">
        <v>30080</v>
      </c>
      <c r="D412" s="763" t="str">
        <f t="shared" si="45"/>
        <v>May</v>
      </c>
      <c r="E412" s="486">
        <v>9</v>
      </c>
      <c r="F412" s="472">
        <v>1982</v>
      </c>
      <c r="G412" s="484" t="s">
        <v>108</v>
      </c>
      <c r="H412" s="472" t="s">
        <v>122</v>
      </c>
      <c r="I412" s="486">
        <v>10</v>
      </c>
      <c r="J412" s="486">
        <v>0.1</v>
      </c>
      <c r="K412" s="472">
        <f t="shared" si="50"/>
        <v>18</v>
      </c>
      <c r="L412" s="473">
        <v>0.78680555555555554</v>
      </c>
      <c r="M412" s="474">
        <f t="shared" si="44"/>
        <v>0.78680555555555554</v>
      </c>
      <c r="N412" s="519"/>
      <c r="P412" s="29" t="str">
        <f t="shared" si="46"/>
        <v>1982F0</v>
      </c>
      <c r="Q412" s="29" t="str">
        <f t="shared" si="47"/>
        <v>F018</v>
      </c>
      <c r="R412" s="29" t="str">
        <f t="shared" si="48"/>
        <v>MayF0</v>
      </c>
    </row>
    <row r="413" spans="1:18">
      <c r="A413" s="483">
        <f t="shared" si="49"/>
        <v>409</v>
      </c>
      <c r="B413" s="484">
        <v>4</v>
      </c>
      <c r="C413" s="485">
        <v>30080</v>
      </c>
      <c r="D413" s="763" t="str">
        <f t="shared" si="45"/>
        <v>May</v>
      </c>
      <c r="E413" s="486">
        <v>9</v>
      </c>
      <c r="F413" s="472">
        <v>1982</v>
      </c>
      <c r="G413" s="484" t="s">
        <v>117</v>
      </c>
      <c r="H413" s="472" t="s">
        <v>122</v>
      </c>
      <c r="I413" s="486">
        <v>100</v>
      </c>
      <c r="J413" s="486">
        <v>1</v>
      </c>
      <c r="K413" s="472">
        <f t="shared" si="50"/>
        <v>19</v>
      </c>
      <c r="L413" s="473">
        <v>0.79722222222222217</v>
      </c>
      <c r="M413" s="474">
        <f t="shared" si="44"/>
        <v>0.79722222222222217</v>
      </c>
      <c r="N413" s="519"/>
      <c r="P413" s="29" t="str">
        <f t="shared" si="46"/>
        <v>1982F0</v>
      </c>
      <c r="Q413" s="29" t="str">
        <f t="shared" si="47"/>
        <v>F019</v>
      </c>
      <c r="R413" s="29" t="str">
        <f t="shared" si="48"/>
        <v>MayF0</v>
      </c>
    </row>
    <row r="414" spans="1:18">
      <c r="A414" s="483">
        <f t="shared" si="49"/>
        <v>410</v>
      </c>
      <c r="B414" s="484">
        <v>5</v>
      </c>
      <c r="C414" s="485">
        <v>30080</v>
      </c>
      <c r="D414" s="763" t="str">
        <f t="shared" si="45"/>
        <v>May</v>
      </c>
      <c r="E414" s="486">
        <v>9</v>
      </c>
      <c r="F414" s="472">
        <v>1982</v>
      </c>
      <c r="G414" s="484" t="s">
        <v>118</v>
      </c>
      <c r="H414" s="472" t="s">
        <v>125</v>
      </c>
      <c r="I414" s="486">
        <v>40</v>
      </c>
      <c r="J414" s="486">
        <v>8</v>
      </c>
      <c r="K414" s="472">
        <f t="shared" si="50"/>
        <v>19</v>
      </c>
      <c r="L414" s="473">
        <v>0.7993055555555556</v>
      </c>
      <c r="M414" s="474">
        <f t="shared" si="44"/>
        <v>0.7993055555555556</v>
      </c>
      <c r="N414" s="519"/>
      <c r="P414" s="29" t="str">
        <f t="shared" si="46"/>
        <v>1982F3</v>
      </c>
      <c r="Q414" s="29" t="str">
        <f t="shared" si="47"/>
        <v>F319</v>
      </c>
      <c r="R414" s="29" t="str">
        <f t="shared" si="48"/>
        <v>MayF3</v>
      </c>
    </row>
    <row r="415" spans="1:18">
      <c r="A415" s="483">
        <f t="shared" si="49"/>
        <v>411</v>
      </c>
      <c r="B415" s="484">
        <v>6</v>
      </c>
      <c r="C415" s="485">
        <v>30080</v>
      </c>
      <c r="D415" s="763" t="str">
        <f t="shared" si="45"/>
        <v>May</v>
      </c>
      <c r="E415" s="486">
        <v>9</v>
      </c>
      <c r="F415" s="472">
        <v>1982</v>
      </c>
      <c r="G415" s="484" t="s">
        <v>118</v>
      </c>
      <c r="H415" s="472" t="s">
        <v>122</v>
      </c>
      <c r="I415" s="486">
        <v>10</v>
      </c>
      <c r="J415" s="486">
        <v>0.1</v>
      </c>
      <c r="K415" s="472">
        <f t="shared" si="50"/>
        <v>19</v>
      </c>
      <c r="L415" s="473">
        <v>0.80833333333333324</v>
      </c>
      <c r="M415" s="474">
        <f t="shared" si="44"/>
        <v>0.80833333333333324</v>
      </c>
      <c r="N415" s="519"/>
      <c r="P415" s="29" t="str">
        <f t="shared" si="46"/>
        <v>1982F0</v>
      </c>
      <c r="Q415" s="29" t="str">
        <f t="shared" si="47"/>
        <v>F019</v>
      </c>
      <c r="R415" s="29" t="str">
        <f t="shared" si="48"/>
        <v>MayF0</v>
      </c>
    </row>
    <row r="416" spans="1:18">
      <c r="A416" s="483">
        <f t="shared" si="49"/>
        <v>412</v>
      </c>
      <c r="B416" s="484">
        <v>7</v>
      </c>
      <c r="C416" s="485">
        <v>30080</v>
      </c>
      <c r="D416" s="763" t="str">
        <f t="shared" si="45"/>
        <v>May</v>
      </c>
      <c r="E416" s="486">
        <v>9</v>
      </c>
      <c r="F416" s="472">
        <v>1982</v>
      </c>
      <c r="G416" s="484" t="s">
        <v>113</v>
      </c>
      <c r="H416" s="472" t="s">
        <v>123</v>
      </c>
      <c r="I416" s="486">
        <v>10</v>
      </c>
      <c r="J416" s="486">
        <v>0.1</v>
      </c>
      <c r="K416" s="472">
        <f t="shared" si="50"/>
        <v>20</v>
      </c>
      <c r="L416" s="473">
        <v>0.83333333333333337</v>
      </c>
      <c r="M416" s="474">
        <f t="shared" si="44"/>
        <v>0.83333333333333337</v>
      </c>
      <c r="N416" s="519"/>
      <c r="P416" s="29" t="str">
        <f t="shared" si="46"/>
        <v>1982F1</v>
      </c>
      <c r="Q416" s="29" t="str">
        <f t="shared" si="47"/>
        <v>F120</v>
      </c>
      <c r="R416" s="29" t="str">
        <f t="shared" si="48"/>
        <v>MayF1</v>
      </c>
    </row>
    <row r="417" spans="1:18">
      <c r="A417" s="483">
        <f t="shared" si="49"/>
        <v>413</v>
      </c>
      <c r="B417" s="484">
        <v>8</v>
      </c>
      <c r="C417" s="485">
        <v>30082</v>
      </c>
      <c r="D417" s="763" t="str">
        <f t="shared" si="45"/>
        <v>May</v>
      </c>
      <c r="E417" s="486">
        <v>11</v>
      </c>
      <c r="F417" s="472">
        <v>1982</v>
      </c>
      <c r="G417" s="484" t="s">
        <v>119</v>
      </c>
      <c r="H417" s="472" t="s">
        <v>122</v>
      </c>
      <c r="I417" s="486">
        <v>20</v>
      </c>
      <c r="J417" s="486">
        <v>0.1</v>
      </c>
      <c r="K417" s="472">
        <f t="shared" si="50"/>
        <v>14</v>
      </c>
      <c r="L417" s="473">
        <v>0.60069444444444442</v>
      </c>
      <c r="M417" s="474">
        <f t="shared" si="44"/>
        <v>0.60069444444444442</v>
      </c>
      <c r="N417" s="519"/>
      <c r="P417" s="29" t="str">
        <f t="shared" si="46"/>
        <v>1982F0</v>
      </c>
      <c r="Q417" s="29" t="str">
        <f t="shared" si="47"/>
        <v>F014</v>
      </c>
      <c r="R417" s="29" t="str">
        <f t="shared" si="48"/>
        <v>MayF0</v>
      </c>
    </row>
    <row r="418" spans="1:18">
      <c r="A418" s="483">
        <f t="shared" si="49"/>
        <v>414</v>
      </c>
      <c r="B418" s="484">
        <v>9</v>
      </c>
      <c r="C418" s="485">
        <v>30083</v>
      </c>
      <c r="D418" s="763" t="str">
        <f t="shared" si="45"/>
        <v>May</v>
      </c>
      <c r="E418" s="486">
        <v>12</v>
      </c>
      <c r="F418" s="472">
        <v>1982</v>
      </c>
      <c r="G418" s="484" t="s">
        <v>114</v>
      </c>
      <c r="H418" s="472" t="s">
        <v>123</v>
      </c>
      <c r="I418" s="486">
        <v>30</v>
      </c>
      <c r="J418" s="486">
        <v>0.6</v>
      </c>
      <c r="K418" s="472">
        <f t="shared" si="50"/>
        <v>14</v>
      </c>
      <c r="L418" s="473">
        <v>0.61111111111111105</v>
      </c>
      <c r="M418" s="474">
        <f t="shared" si="44"/>
        <v>0.61111111111111105</v>
      </c>
      <c r="N418" s="519"/>
      <c r="P418" s="29" t="str">
        <f t="shared" si="46"/>
        <v>1982F1</v>
      </c>
      <c r="Q418" s="29" t="str">
        <f t="shared" si="47"/>
        <v>F114</v>
      </c>
      <c r="R418" s="29" t="str">
        <f t="shared" si="48"/>
        <v>MayF1</v>
      </c>
    </row>
    <row r="419" spans="1:18">
      <c r="A419" s="483">
        <f t="shared" si="49"/>
        <v>415</v>
      </c>
      <c r="B419" s="484">
        <v>10</v>
      </c>
      <c r="C419" s="485">
        <v>30083</v>
      </c>
      <c r="D419" s="763" t="str">
        <f t="shared" si="45"/>
        <v>May</v>
      </c>
      <c r="E419" s="486">
        <v>12</v>
      </c>
      <c r="F419" s="472">
        <v>1982</v>
      </c>
      <c r="G419" s="484" t="s">
        <v>115</v>
      </c>
      <c r="H419" s="472" t="s">
        <v>122</v>
      </c>
      <c r="I419" s="486">
        <v>10</v>
      </c>
      <c r="J419" s="486">
        <v>0.1</v>
      </c>
      <c r="K419" s="472">
        <f t="shared" si="50"/>
        <v>15</v>
      </c>
      <c r="L419" s="473">
        <v>0.64375000000000004</v>
      </c>
      <c r="M419" s="474">
        <f t="shared" si="44"/>
        <v>0.64375000000000004</v>
      </c>
      <c r="N419" s="519"/>
      <c r="P419" s="29" t="str">
        <f t="shared" si="46"/>
        <v>1982F0</v>
      </c>
      <c r="Q419" s="29" t="str">
        <f t="shared" si="47"/>
        <v>F015</v>
      </c>
      <c r="R419" s="29" t="str">
        <f t="shared" si="48"/>
        <v>MayF0</v>
      </c>
    </row>
    <row r="420" spans="1:18">
      <c r="A420" s="483">
        <f t="shared" si="49"/>
        <v>416</v>
      </c>
      <c r="B420" s="484">
        <v>11</v>
      </c>
      <c r="C420" s="485">
        <v>30088</v>
      </c>
      <c r="D420" s="763" t="str">
        <f t="shared" si="45"/>
        <v>May</v>
      </c>
      <c r="E420" s="486">
        <v>17</v>
      </c>
      <c r="F420" s="472">
        <v>1982</v>
      </c>
      <c r="G420" s="484" t="s">
        <v>119</v>
      </c>
      <c r="H420" s="472" t="s">
        <v>122</v>
      </c>
      <c r="I420" s="486">
        <v>20</v>
      </c>
      <c r="J420" s="486">
        <v>0.2</v>
      </c>
      <c r="K420" s="472">
        <f t="shared" si="50"/>
        <v>19</v>
      </c>
      <c r="L420" s="473">
        <v>0.80902777777777779</v>
      </c>
      <c r="M420" s="474">
        <f t="shared" si="44"/>
        <v>0.80902777777777779</v>
      </c>
      <c r="N420" s="519"/>
      <c r="P420" s="29" t="str">
        <f t="shared" si="46"/>
        <v>1982F0</v>
      </c>
      <c r="Q420" s="29" t="str">
        <f t="shared" si="47"/>
        <v>F019</v>
      </c>
      <c r="R420" s="29" t="str">
        <f t="shared" si="48"/>
        <v>MayF0</v>
      </c>
    </row>
    <row r="421" spans="1:18">
      <c r="A421" s="483">
        <f t="shared" si="49"/>
        <v>417</v>
      </c>
      <c r="B421" s="484">
        <v>12</v>
      </c>
      <c r="C421" s="485">
        <v>30089</v>
      </c>
      <c r="D421" s="763" t="str">
        <f t="shared" si="45"/>
        <v>May</v>
      </c>
      <c r="E421" s="486">
        <v>18</v>
      </c>
      <c r="F421" s="472">
        <v>1982</v>
      </c>
      <c r="G421" s="484" t="s">
        <v>114</v>
      </c>
      <c r="H421" s="472" t="s">
        <v>122</v>
      </c>
      <c r="I421" s="486">
        <v>10</v>
      </c>
      <c r="J421" s="486">
        <v>0.1</v>
      </c>
      <c r="K421" s="472">
        <f t="shared" si="50"/>
        <v>19</v>
      </c>
      <c r="L421" s="473">
        <v>0.83263888888888893</v>
      </c>
      <c r="M421" s="474">
        <f t="shared" si="44"/>
        <v>0.83263888888888893</v>
      </c>
      <c r="N421" s="519"/>
      <c r="P421" s="29" t="str">
        <f t="shared" si="46"/>
        <v>1982F0</v>
      </c>
      <c r="Q421" s="29" t="str">
        <f t="shared" si="47"/>
        <v>F019</v>
      </c>
      <c r="R421" s="29" t="str">
        <f t="shared" si="48"/>
        <v>MayF0</v>
      </c>
    </row>
    <row r="422" spans="1:18">
      <c r="A422" s="483">
        <f t="shared" si="49"/>
        <v>418</v>
      </c>
      <c r="B422" s="484">
        <v>13</v>
      </c>
      <c r="C422" s="485">
        <v>30089</v>
      </c>
      <c r="D422" s="763" t="str">
        <f t="shared" si="45"/>
        <v>May</v>
      </c>
      <c r="E422" s="486">
        <v>18</v>
      </c>
      <c r="F422" s="472">
        <v>1982</v>
      </c>
      <c r="G422" s="484" t="s">
        <v>103</v>
      </c>
      <c r="H422" s="472" t="s">
        <v>122</v>
      </c>
      <c r="I422" s="486">
        <v>7</v>
      </c>
      <c r="J422" s="486">
        <v>0.1</v>
      </c>
      <c r="K422" s="472">
        <f t="shared" si="50"/>
        <v>19</v>
      </c>
      <c r="L422" s="473">
        <v>0.83263888888888893</v>
      </c>
      <c r="M422" s="474">
        <f t="shared" si="44"/>
        <v>0.83263888888888893</v>
      </c>
      <c r="N422" s="519"/>
      <c r="P422" s="29" t="str">
        <f t="shared" si="46"/>
        <v>1982F0</v>
      </c>
      <c r="Q422" s="29" t="str">
        <f t="shared" si="47"/>
        <v>F019</v>
      </c>
      <c r="R422" s="29" t="str">
        <f t="shared" si="48"/>
        <v>MayF0</v>
      </c>
    </row>
    <row r="423" spans="1:18">
      <c r="A423" s="483">
        <f t="shared" si="49"/>
        <v>419</v>
      </c>
      <c r="B423" s="484">
        <v>14</v>
      </c>
      <c r="C423" s="485">
        <v>30090</v>
      </c>
      <c r="D423" s="763" t="str">
        <f t="shared" si="45"/>
        <v>May</v>
      </c>
      <c r="E423" s="486">
        <v>19</v>
      </c>
      <c r="F423" s="472">
        <v>1982</v>
      </c>
      <c r="G423" s="484" t="s">
        <v>114</v>
      </c>
      <c r="H423" s="472" t="s">
        <v>122</v>
      </c>
      <c r="I423" s="486">
        <v>50</v>
      </c>
      <c r="J423" s="486">
        <v>0.5</v>
      </c>
      <c r="K423" s="472">
        <f t="shared" si="50"/>
        <v>16</v>
      </c>
      <c r="L423" s="473">
        <v>0.70694444444444438</v>
      </c>
      <c r="M423" s="474">
        <f t="shared" si="44"/>
        <v>0.70694444444444438</v>
      </c>
      <c r="N423" s="519"/>
      <c r="P423" s="29" t="str">
        <f t="shared" si="46"/>
        <v>1982F0</v>
      </c>
      <c r="Q423" s="29" t="str">
        <f t="shared" si="47"/>
        <v>F016</v>
      </c>
      <c r="R423" s="29" t="str">
        <f t="shared" si="48"/>
        <v>MayF0</v>
      </c>
    </row>
    <row r="424" spans="1:18">
      <c r="A424" s="483">
        <f t="shared" si="49"/>
        <v>420</v>
      </c>
      <c r="B424" s="484">
        <v>15</v>
      </c>
      <c r="C424" s="485">
        <v>30090</v>
      </c>
      <c r="D424" s="763" t="str">
        <f t="shared" si="45"/>
        <v>May</v>
      </c>
      <c r="E424" s="486">
        <v>19</v>
      </c>
      <c r="F424" s="472">
        <v>1982</v>
      </c>
      <c r="G424" s="484" t="s">
        <v>115</v>
      </c>
      <c r="H424" s="472" t="s">
        <v>125</v>
      </c>
      <c r="I424" s="486">
        <v>587</v>
      </c>
      <c r="J424" s="486">
        <v>1.5</v>
      </c>
      <c r="K424" s="472">
        <f t="shared" si="50"/>
        <v>17</v>
      </c>
      <c r="L424" s="473">
        <v>0.72430555555555554</v>
      </c>
      <c r="M424" s="474">
        <f t="shared" si="44"/>
        <v>0.72430555555555554</v>
      </c>
      <c r="N424" s="519"/>
      <c r="P424" s="29" t="str">
        <f t="shared" si="46"/>
        <v>1982F3</v>
      </c>
      <c r="Q424" s="29" t="str">
        <f t="shared" si="47"/>
        <v>F317</v>
      </c>
      <c r="R424" s="29" t="str">
        <f t="shared" si="48"/>
        <v>MayF3</v>
      </c>
    </row>
    <row r="425" spans="1:18">
      <c r="A425" s="483">
        <f t="shared" si="49"/>
        <v>421</v>
      </c>
      <c r="B425" s="484">
        <v>16</v>
      </c>
      <c r="C425" s="485">
        <v>30090</v>
      </c>
      <c r="D425" s="763" t="str">
        <f t="shared" si="45"/>
        <v>May</v>
      </c>
      <c r="E425" s="486">
        <v>19</v>
      </c>
      <c r="F425" s="472">
        <v>1982</v>
      </c>
      <c r="G425" s="484" t="s">
        <v>115</v>
      </c>
      <c r="H425" s="472" t="s">
        <v>125</v>
      </c>
      <c r="I425" s="486">
        <v>880</v>
      </c>
      <c r="J425" s="486">
        <v>4</v>
      </c>
      <c r="K425" s="472">
        <f t="shared" si="50"/>
        <v>17</v>
      </c>
      <c r="L425" s="473">
        <v>0.74513888888888891</v>
      </c>
      <c r="M425" s="474">
        <f t="shared" si="44"/>
        <v>0.74513888888888891</v>
      </c>
      <c r="N425" s="519"/>
      <c r="P425" s="29" t="str">
        <f t="shared" si="46"/>
        <v>1982F3</v>
      </c>
      <c r="Q425" s="29" t="str">
        <f t="shared" si="47"/>
        <v>F317</v>
      </c>
      <c r="R425" s="29" t="str">
        <f t="shared" si="48"/>
        <v>MayF3</v>
      </c>
    </row>
    <row r="426" spans="1:18">
      <c r="A426" s="483">
        <f t="shared" si="49"/>
        <v>422</v>
      </c>
      <c r="B426" s="484">
        <v>17</v>
      </c>
      <c r="C426" s="485">
        <v>30090</v>
      </c>
      <c r="D426" s="763" t="str">
        <f t="shared" si="45"/>
        <v>May</v>
      </c>
      <c r="E426" s="486">
        <v>19</v>
      </c>
      <c r="F426" s="472">
        <v>1982</v>
      </c>
      <c r="G426" s="484" t="s">
        <v>115</v>
      </c>
      <c r="H426" s="472" t="s">
        <v>122</v>
      </c>
      <c r="I426" s="486">
        <v>20</v>
      </c>
      <c r="J426" s="486">
        <v>0.5</v>
      </c>
      <c r="K426" s="472">
        <f t="shared" si="50"/>
        <v>18</v>
      </c>
      <c r="L426" s="473">
        <v>0.75624999999999998</v>
      </c>
      <c r="M426" s="474">
        <f t="shared" si="44"/>
        <v>0.75624999999999998</v>
      </c>
      <c r="N426" s="519"/>
      <c r="P426" s="29" t="str">
        <f t="shared" si="46"/>
        <v>1982F0</v>
      </c>
      <c r="Q426" s="29" t="str">
        <f t="shared" si="47"/>
        <v>F018</v>
      </c>
      <c r="R426" s="29" t="str">
        <f t="shared" si="48"/>
        <v>MayF0</v>
      </c>
    </row>
    <row r="427" spans="1:18">
      <c r="A427" s="483">
        <f t="shared" si="49"/>
        <v>423</v>
      </c>
      <c r="B427" s="484">
        <v>18</v>
      </c>
      <c r="C427" s="485">
        <v>30090</v>
      </c>
      <c r="D427" s="763" t="str">
        <f t="shared" si="45"/>
        <v>May</v>
      </c>
      <c r="E427" s="486">
        <v>19</v>
      </c>
      <c r="F427" s="472">
        <v>1982</v>
      </c>
      <c r="G427" s="484" t="s">
        <v>115</v>
      </c>
      <c r="H427" s="472" t="s">
        <v>124</v>
      </c>
      <c r="I427" s="486">
        <v>1760</v>
      </c>
      <c r="J427" s="486">
        <v>6</v>
      </c>
      <c r="K427" s="472">
        <f t="shared" si="50"/>
        <v>18</v>
      </c>
      <c r="L427" s="473">
        <v>0.7583333333333333</v>
      </c>
      <c r="M427" s="474">
        <f t="shared" si="44"/>
        <v>0.7583333333333333</v>
      </c>
      <c r="N427" s="519"/>
      <c r="P427" s="29" t="str">
        <f t="shared" si="46"/>
        <v>1982F2</v>
      </c>
      <c r="Q427" s="29" t="str">
        <f t="shared" si="47"/>
        <v>F218</v>
      </c>
      <c r="R427" s="29" t="str">
        <f t="shared" si="48"/>
        <v>MayF2</v>
      </c>
    </row>
    <row r="428" spans="1:18">
      <c r="A428" s="483">
        <f t="shared" si="49"/>
        <v>424</v>
      </c>
      <c r="B428" s="484">
        <v>19</v>
      </c>
      <c r="C428" s="485">
        <v>30090</v>
      </c>
      <c r="D428" s="763" t="str">
        <f t="shared" si="45"/>
        <v>May</v>
      </c>
      <c r="E428" s="486">
        <v>19</v>
      </c>
      <c r="F428" s="472">
        <v>1982</v>
      </c>
      <c r="G428" s="484" t="s">
        <v>115</v>
      </c>
      <c r="H428" s="472" t="s">
        <v>125</v>
      </c>
      <c r="I428" s="486">
        <v>100</v>
      </c>
      <c r="J428" s="486">
        <v>2</v>
      </c>
      <c r="K428" s="472">
        <f t="shared" si="50"/>
        <v>18</v>
      </c>
      <c r="L428" s="473">
        <v>0.76736111111111116</v>
      </c>
      <c r="M428" s="474">
        <f t="shared" si="44"/>
        <v>0.76736111111111116</v>
      </c>
      <c r="N428" s="519"/>
      <c r="P428" s="29" t="str">
        <f t="shared" si="46"/>
        <v>1982F3</v>
      </c>
      <c r="Q428" s="29" t="str">
        <f t="shared" si="47"/>
        <v>F318</v>
      </c>
      <c r="R428" s="29" t="str">
        <f t="shared" si="48"/>
        <v>MayF3</v>
      </c>
    </row>
    <row r="429" spans="1:18">
      <c r="A429" s="483">
        <f t="shared" si="49"/>
        <v>425</v>
      </c>
      <c r="B429" s="484">
        <v>20</v>
      </c>
      <c r="C429" s="485">
        <v>30090</v>
      </c>
      <c r="D429" s="763" t="str">
        <f t="shared" si="45"/>
        <v>May</v>
      </c>
      <c r="E429" s="486">
        <v>19</v>
      </c>
      <c r="F429" s="472">
        <v>1982</v>
      </c>
      <c r="G429" s="484" t="s">
        <v>115</v>
      </c>
      <c r="H429" s="472" t="s">
        <v>124</v>
      </c>
      <c r="I429" s="486">
        <v>200</v>
      </c>
      <c r="J429" s="486">
        <v>2</v>
      </c>
      <c r="K429" s="472">
        <f t="shared" si="50"/>
        <v>18</v>
      </c>
      <c r="L429" s="473">
        <v>0.78472222222222221</v>
      </c>
      <c r="M429" s="474">
        <f t="shared" si="44"/>
        <v>0.78472222222222221</v>
      </c>
      <c r="N429" s="519"/>
      <c r="P429" s="29" t="str">
        <f t="shared" si="46"/>
        <v>1982F2</v>
      </c>
      <c r="Q429" s="29" t="str">
        <f t="shared" si="47"/>
        <v>F218</v>
      </c>
      <c r="R429" s="29" t="str">
        <f t="shared" si="48"/>
        <v>MayF2</v>
      </c>
    </row>
    <row r="430" spans="1:18">
      <c r="A430" s="483">
        <f t="shared" si="49"/>
        <v>426</v>
      </c>
      <c r="B430" s="484">
        <v>21</v>
      </c>
      <c r="C430" s="485">
        <v>30090</v>
      </c>
      <c r="D430" s="763" t="str">
        <f t="shared" si="45"/>
        <v>May</v>
      </c>
      <c r="E430" s="486">
        <v>19</v>
      </c>
      <c r="F430" s="472">
        <v>1982</v>
      </c>
      <c r="G430" s="484" t="s">
        <v>110</v>
      </c>
      <c r="H430" s="472" t="s">
        <v>122</v>
      </c>
      <c r="I430" s="486">
        <v>20</v>
      </c>
      <c r="J430" s="486">
        <v>0.3</v>
      </c>
      <c r="K430" s="472">
        <f t="shared" si="50"/>
        <v>19</v>
      </c>
      <c r="L430" s="473">
        <v>0.7944444444444444</v>
      </c>
      <c r="M430" s="474">
        <f t="shared" si="44"/>
        <v>0.7944444444444444</v>
      </c>
      <c r="N430" s="519"/>
      <c r="P430" s="29" t="str">
        <f t="shared" si="46"/>
        <v>1982F0</v>
      </c>
      <c r="Q430" s="29" t="str">
        <f t="shared" si="47"/>
        <v>F019</v>
      </c>
      <c r="R430" s="29" t="str">
        <f t="shared" si="48"/>
        <v>MayF0</v>
      </c>
    </row>
    <row r="431" spans="1:18">
      <c r="A431" s="483">
        <f t="shared" si="49"/>
        <v>427</v>
      </c>
      <c r="B431" s="484">
        <v>22</v>
      </c>
      <c r="C431" s="485">
        <v>30090</v>
      </c>
      <c r="D431" s="763" t="str">
        <f t="shared" si="45"/>
        <v>May</v>
      </c>
      <c r="E431" s="486">
        <v>19</v>
      </c>
      <c r="F431" s="472">
        <v>1982</v>
      </c>
      <c r="G431" s="484" t="s">
        <v>111</v>
      </c>
      <c r="H431" s="472" t="s">
        <v>123</v>
      </c>
      <c r="I431" s="486">
        <v>10</v>
      </c>
      <c r="J431" s="486">
        <v>0.4</v>
      </c>
      <c r="K431" s="472">
        <f t="shared" si="50"/>
        <v>19</v>
      </c>
      <c r="L431" s="473">
        <v>0.81597222222222221</v>
      </c>
      <c r="M431" s="474">
        <f t="shared" si="44"/>
        <v>0.81597222222222221</v>
      </c>
      <c r="N431" s="519"/>
      <c r="P431" s="29" t="str">
        <f t="shared" si="46"/>
        <v>1982F1</v>
      </c>
      <c r="Q431" s="29" t="str">
        <f t="shared" si="47"/>
        <v>F119</v>
      </c>
      <c r="R431" s="29" t="str">
        <f t="shared" si="48"/>
        <v>MayF1</v>
      </c>
    </row>
    <row r="432" spans="1:18">
      <c r="A432" s="483">
        <f t="shared" si="49"/>
        <v>428</v>
      </c>
      <c r="B432" s="484">
        <v>23</v>
      </c>
      <c r="C432" s="485">
        <v>30090</v>
      </c>
      <c r="D432" s="763" t="str">
        <f t="shared" si="45"/>
        <v>May</v>
      </c>
      <c r="E432" s="486">
        <v>19</v>
      </c>
      <c r="F432" s="472">
        <v>1982</v>
      </c>
      <c r="G432" s="484" t="s">
        <v>110</v>
      </c>
      <c r="H432" s="472" t="s">
        <v>123</v>
      </c>
      <c r="I432" s="486">
        <v>10</v>
      </c>
      <c r="J432" s="486">
        <v>0.2</v>
      </c>
      <c r="K432" s="472">
        <f t="shared" si="50"/>
        <v>19</v>
      </c>
      <c r="L432" s="473">
        <v>0.81597222222222221</v>
      </c>
      <c r="M432" s="474">
        <f t="shared" si="44"/>
        <v>0.81597222222222221</v>
      </c>
      <c r="N432" s="519"/>
      <c r="P432" s="29" t="str">
        <f t="shared" si="46"/>
        <v>1982F1</v>
      </c>
      <c r="Q432" s="29" t="str">
        <f t="shared" si="47"/>
        <v>F119</v>
      </c>
      <c r="R432" s="29" t="str">
        <f t="shared" si="48"/>
        <v>MayF1</v>
      </c>
    </row>
    <row r="433" spans="1:18">
      <c r="A433" s="483">
        <f t="shared" si="49"/>
        <v>429</v>
      </c>
      <c r="B433" s="484">
        <v>24</v>
      </c>
      <c r="C433" s="485">
        <v>30095</v>
      </c>
      <c r="D433" s="763" t="str">
        <f t="shared" si="45"/>
        <v>May</v>
      </c>
      <c r="E433" s="486">
        <v>24</v>
      </c>
      <c r="F433" s="472">
        <v>1982</v>
      </c>
      <c r="G433" s="484" t="s">
        <v>101</v>
      </c>
      <c r="H433" s="472" t="s">
        <v>122</v>
      </c>
      <c r="I433" s="486">
        <v>10</v>
      </c>
      <c r="J433" s="486">
        <v>4</v>
      </c>
      <c r="K433" s="472">
        <f t="shared" si="50"/>
        <v>16</v>
      </c>
      <c r="L433" s="473">
        <v>0.69791666666666663</v>
      </c>
      <c r="M433" s="474">
        <f t="shared" si="44"/>
        <v>0.69791666666666663</v>
      </c>
      <c r="N433" s="519"/>
      <c r="P433" s="29" t="str">
        <f t="shared" si="46"/>
        <v>1982F0</v>
      </c>
      <c r="Q433" s="29" t="str">
        <f t="shared" si="47"/>
        <v>F016</v>
      </c>
      <c r="R433" s="29" t="str">
        <f t="shared" si="48"/>
        <v>MayF0</v>
      </c>
    </row>
    <row r="434" spans="1:18">
      <c r="A434" s="483">
        <f t="shared" si="49"/>
        <v>430</v>
      </c>
      <c r="B434" s="484">
        <v>25</v>
      </c>
      <c r="C434" s="485">
        <v>30101</v>
      </c>
      <c r="D434" s="763" t="str">
        <f t="shared" si="45"/>
        <v>May</v>
      </c>
      <c r="E434" s="486">
        <v>30</v>
      </c>
      <c r="F434" s="472">
        <v>1982</v>
      </c>
      <c r="G434" s="484" t="s">
        <v>100</v>
      </c>
      <c r="H434" s="472" t="s">
        <v>122</v>
      </c>
      <c r="I434" s="486">
        <v>10</v>
      </c>
      <c r="J434" s="486">
        <v>0.1</v>
      </c>
      <c r="K434" s="472">
        <f t="shared" si="50"/>
        <v>17</v>
      </c>
      <c r="L434" s="473">
        <v>0.73958333333333337</v>
      </c>
      <c r="M434" s="474">
        <f t="shared" si="44"/>
        <v>0.73958333333333337</v>
      </c>
      <c r="N434" s="519"/>
      <c r="P434" s="29" t="str">
        <f t="shared" si="46"/>
        <v>1982F0</v>
      </c>
      <c r="Q434" s="29" t="str">
        <f t="shared" si="47"/>
        <v>F017</v>
      </c>
      <c r="R434" s="29" t="str">
        <f t="shared" si="48"/>
        <v>MayF0</v>
      </c>
    </row>
    <row r="435" spans="1:18">
      <c r="A435" s="483">
        <f t="shared" si="49"/>
        <v>431</v>
      </c>
      <c r="B435" s="484">
        <v>26</v>
      </c>
      <c r="C435" s="485">
        <v>30101</v>
      </c>
      <c r="D435" s="763" t="str">
        <f t="shared" si="45"/>
        <v>May</v>
      </c>
      <c r="E435" s="486">
        <v>30</v>
      </c>
      <c r="F435" s="472">
        <v>1982</v>
      </c>
      <c r="G435" s="484" t="s">
        <v>105</v>
      </c>
      <c r="H435" s="472" t="s">
        <v>123</v>
      </c>
      <c r="I435" s="486">
        <v>50</v>
      </c>
      <c r="J435" s="486">
        <v>0.4</v>
      </c>
      <c r="K435" s="472">
        <f t="shared" si="50"/>
        <v>18</v>
      </c>
      <c r="L435" s="473">
        <v>0.77083333333333337</v>
      </c>
      <c r="M435" s="474">
        <f t="shared" si="44"/>
        <v>0.77083333333333337</v>
      </c>
      <c r="N435" s="519"/>
      <c r="P435" s="29" t="str">
        <f t="shared" si="46"/>
        <v>1982F1</v>
      </c>
      <c r="Q435" s="29" t="str">
        <f t="shared" si="47"/>
        <v>F118</v>
      </c>
      <c r="R435" s="29" t="str">
        <f t="shared" si="48"/>
        <v>MayF1</v>
      </c>
    </row>
    <row r="436" spans="1:18">
      <c r="A436" s="483">
        <f t="shared" si="49"/>
        <v>432</v>
      </c>
      <c r="B436" s="484">
        <v>27</v>
      </c>
      <c r="C436" s="485">
        <v>30107</v>
      </c>
      <c r="D436" s="763" t="str">
        <f t="shared" si="45"/>
        <v>June</v>
      </c>
      <c r="E436" s="486">
        <v>5</v>
      </c>
      <c r="F436" s="472">
        <v>1982</v>
      </c>
      <c r="G436" s="484" t="s">
        <v>109</v>
      </c>
      <c r="H436" s="472" t="s">
        <v>124</v>
      </c>
      <c r="I436" s="486">
        <v>67</v>
      </c>
      <c r="J436" s="486">
        <v>3</v>
      </c>
      <c r="K436" s="472">
        <f t="shared" si="50"/>
        <v>18</v>
      </c>
      <c r="L436" s="473">
        <v>0.77222222222222225</v>
      </c>
      <c r="M436" s="474">
        <f t="shared" si="44"/>
        <v>0.77222222222222225</v>
      </c>
      <c r="N436" s="519"/>
      <c r="P436" s="29" t="str">
        <f t="shared" si="46"/>
        <v>1982F2</v>
      </c>
      <c r="Q436" s="29" t="str">
        <f t="shared" si="47"/>
        <v>F218</v>
      </c>
      <c r="R436" s="29" t="str">
        <f t="shared" si="48"/>
        <v>JuneF2</v>
      </c>
    </row>
    <row r="437" spans="1:18">
      <c r="A437" s="483">
        <f t="shared" si="49"/>
        <v>433</v>
      </c>
      <c r="B437" s="484">
        <v>28</v>
      </c>
      <c r="C437" s="485">
        <v>30116</v>
      </c>
      <c r="D437" s="763" t="str">
        <f t="shared" si="45"/>
        <v>June</v>
      </c>
      <c r="E437" s="486">
        <v>14</v>
      </c>
      <c r="F437" s="472">
        <v>1982</v>
      </c>
      <c r="G437" s="484" t="s">
        <v>104</v>
      </c>
      <c r="H437" s="472" t="s">
        <v>124</v>
      </c>
      <c r="I437" s="486">
        <v>100</v>
      </c>
      <c r="J437" s="486">
        <v>12.2</v>
      </c>
      <c r="K437" s="472">
        <f t="shared" si="50"/>
        <v>19</v>
      </c>
      <c r="L437" s="473">
        <v>0.79791666666666661</v>
      </c>
      <c r="M437" s="474">
        <f t="shared" si="44"/>
        <v>0.79791666666666661</v>
      </c>
      <c r="N437" s="519"/>
      <c r="P437" s="29" t="str">
        <f t="shared" si="46"/>
        <v>1982F2</v>
      </c>
      <c r="Q437" s="29" t="str">
        <f t="shared" si="47"/>
        <v>F219</v>
      </c>
      <c r="R437" s="29" t="str">
        <f t="shared" si="48"/>
        <v>JuneF2</v>
      </c>
    </row>
    <row r="438" spans="1:18">
      <c r="A438" s="483">
        <f t="shared" si="49"/>
        <v>434</v>
      </c>
      <c r="B438" s="484">
        <v>29</v>
      </c>
      <c r="C438" s="485">
        <v>30116</v>
      </c>
      <c r="D438" s="763" t="str">
        <f t="shared" si="45"/>
        <v>June</v>
      </c>
      <c r="E438" s="486">
        <v>14</v>
      </c>
      <c r="F438" s="472">
        <v>1982</v>
      </c>
      <c r="G438" s="484" t="s">
        <v>114</v>
      </c>
      <c r="H438" s="472" t="s">
        <v>122</v>
      </c>
      <c r="I438" s="486">
        <v>3</v>
      </c>
      <c r="J438" s="486">
        <v>0.1</v>
      </c>
      <c r="K438" s="472">
        <f t="shared" si="50"/>
        <v>19</v>
      </c>
      <c r="L438" s="473">
        <v>0.80208333333333337</v>
      </c>
      <c r="M438" s="474">
        <f t="shared" si="44"/>
        <v>0.80208333333333337</v>
      </c>
      <c r="N438" s="519"/>
      <c r="P438" s="29" t="str">
        <f t="shared" si="46"/>
        <v>1982F0</v>
      </c>
      <c r="Q438" s="29" t="str">
        <f t="shared" si="47"/>
        <v>F019</v>
      </c>
      <c r="R438" s="29" t="str">
        <f t="shared" si="48"/>
        <v>JuneF0</v>
      </c>
    </row>
    <row r="439" spans="1:18">
      <c r="A439" s="483">
        <f t="shared" si="49"/>
        <v>435</v>
      </c>
      <c r="B439" s="484">
        <v>30</v>
      </c>
      <c r="C439" s="485">
        <v>30116</v>
      </c>
      <c r="D439" s="763" t="str">
        <f t="shared" si="45"/>
        <v>June</v>
      </c>
      <c r="E439" s="486">
        <v>14</v>
      </c>
      <c r="F439" s="472">
        <v>1982</v>
      </c>
      <c r="G439" s="484" t="s">
        <v>105</v>
      </c>
      <c r="H439" s="472" t="s">
        <v>124</v>
      </c>
      <c r="I439" s="486">
        <v>100</v>
      </c>
      <c r="J439" s="486">
        <v>5</v>
      </c>
      <c r="K439" s="472">
        <f t="shared" si="50"/>
        <v>19</v>
      </c>
      <c r="L439" s="473">
        <v>0.80902777777777779</v>
      </c>
      <c r="M439" s="474">
        <f t="shared" si="44"/>
        <v>0.80902777777777779</v>
      </c>
      <c r="N439" s="519"/>
      <c r="P439" s="29" t="str">
        <f t="shared" si="46"/>
        <v>1982F2</v>
      </c>
      <c r="Q439" s="29" t="str">
        <f t="shared" si="47"/>
        <v>F219</v>
      </c>
      <c r="R439" s="29" t="str">
        <f t="shared" si="48"/>
        <v>JuneF2</v>
      </c>
    </row>
    <row r="440" spans="1:18">
      <c r="A440" s="483">
        <f t="shared" si="49"/>
        <v>436</v>
      </c>
      <c r="B440" s="484">
        <v>31</v>
      </c>
      <c r="C440" s="485">
        <v>30116</v>
      </c>
      <c r="D440" s="763" t="str">
        <f t="shared" si="45"/>
        <v>June</v>
      </c>
      <c r="E440" s="486">
        <v>14</v>
      </c>
      <c r="F440" s="472">
        <v>1982</v>
      </c>
      <c r="G440" s="484" t="s">
        <v>106</v>
      </c>
      <c r="H440" s="472" t="s">
        <v>122</v>
      </c>
      <c r="I440" s="486">
        <v>3</v>
      </c>
      <c r="J440" s="486">
        <v>0.1</v>
      </c>
      <c r="K440" s="472">
        <f t="shared" si="50"/>
        <v>21</v>
      </c>
      <c r="L440" s="473">
        <v>0.87847222222222221</v>
      </c>
      <c r="M440" s="474">
        <f t="shared" si="44"/>
        <v>0.87847222222222221</v>
      </c>
      <c r="N440" s="519"/>
      <c r="P440" s="29" t="str">
        <f t="shared" si="46"/>
        <v>1982F0</v>
      </c>
      <c r="Q440" s="29" t="str">
        <f t="shared" si="47"/>
        <v>F021</v>
      </c>
      <c r="R440" s="29" t="str">
        <f t="shared" si="48"/>
        <v>JuneF0</v>
      </c>
    </row>
    <row r="441" spans="1:18">
      <c r="A441" s="483">
        <f t="shared" si="49"/>
        <v>437</v>
      </c>
      <c r="B441" s="484">
        <v>32</v>
      </c>
      <c r="C441" s="485">
        <v>30125</v>
      </c>
      <c r="D441" s="763" t="str">
        <f t="shared" si="45"/>
        <v>June</v>
      </c>
      <c r="E441" s="486">
        <v>23</v>
      </c>
      <c r="F441" s="472">
        <v>1982</v>
      </c>
      <c r="G441" s="484" t="s">
        <v>99</v>
      </c>
      <c r="H441" s="472" t="s">
        <v>122</v>
      </c>
      <c r="I441" s="486">
        <v>3</v>
      </c>
      <c r="J441" s="486">
        <v>0.1</v>
      </c>
      <c r="K441" s="472">
        <f t="shared" si="50"/>
        <v>17</v>
      </c>
      <c r="L441" s="473">
        <v>0.73611111111111116</v>
      </c>
      <c r="M441" s="474">
        <f t="shared" si="44"/>
        <v>0.73611111111111116</v>
      </c>
      <c r="N441" s="519"/>
      <c r="P441" s="29" t="str">
        <f t="shared" si="46"/>
        <v>1982F0</v>
      </c>
      <c r="Q441" s="29" t="str">
        <f t="shared" si="47"/>
        <v>F017</v>
      </c>
      <c r="R441" s="29" t="str">
        <f t="shared" si="48"/>
        <v>JuneF0</v>
      </c>
    </row>
    <row r="442" spans="1:18">
      <c r="A442" s="483">
        <f t="shared" si="49"/>
        <v>438</v>
      </c>
      <c r="B442" s="484">
        <v>33</v>
      </c>
      <c r="C442" s="485">
        <v>30125</v>
      </c>
      <c r="D442" s="763" t="str">
        <f t="shared" si="45"/>
        <v>June</v>
      </c>
      <c r="E442" s="486">
        <v>23</v>
      </c>
      <c r="F442" s="472">
        <v>1982</v>
      </c>
      <c r="G442" s="484" t="s">
        <v>114</v>
      </c>
      <c r="H442" s="472" t="s">
        <v>122</v>
      </c>
      <c r="I442" s="486">
        <v>3</v>
      </c>
      <c r="J442" s="486">
        <v>0.1</v>
      </c>
      <c r="K442" s="472">
        <f t="shared" si="50"/>
        <v>19</v>
      </c>
      <c r="L442" s="473">
        <v>0.8125</v>
      </c>
      <c r="M442" s="474">
        <f t="shared" si="44"/>
        <v>0.8125</v>
      </c>
      <c r="N442" s="519"/>
      <c r="P442" s="29" t="str">
        <f t="shared" si="46"/>
        <v>1982F0</v>
      </c>
      <c r="Q442" s="29" t="str">
        <f t="shared" si="47"/>
        <v>F019</v>
      </c>
      <c r="R442" s="29" t="str">
        <f t="shared" si="48"/>
        <v>JuneF0</v>
      </c>
    </row>
    <row r="443" spans="1:18">
      <c r="A443" s="483">
        <f t="shared" si="49"/>
        <v>439</v>
      </c>
      <c r="B443" s="484">
        <v>34</v>
      </c>
      <c r="C443" s="485">
        <v>30126</v>
      </c>
      <c r="D443" s="763" t="str">
        <f t="shared" si="45"/>
        <v>June</v>
      </c>
      <c r="E443" s="486">
        <v>24</v>
      </c>
      <c r="F443" s="472">
        <v>1982</v>
      </c>
      <c r="G443" s="484" t="s">
        <v>115</v>
      </c>
      <c r="H443" s="472" t="s">
        <v>123</v>
      </c>
      <c r="I443" s="486">
        <v>3</v>
      </c>
      <c r="J443" s="486">
        <v>0.1</v>
      </c>
      <c r="K443" s="472">
        <f t="shared" si="50"/>
        <v>19</v>
      </c>
      <c r="L443" s="473">
        <v>0.79513888888888884</v>
      </c>
      <c r="M443" s="474">
        <f t="shared" ref="M443:M505" si="51">+L443</f>
        <v>0.79513888888888884</v>
      </c>
      <c r="N443" s="519"/>
      <c r="P443" s="29" t="str">
        <f t="shared" si="46"/>
        <v>1982F1</v>
      </c>
      <c r="Q443" s="29" t="str">
        <f t="shared" si="47"/>
        <v>F119</v>
      </c>
      <c r="R443" s="29" t="str">
        <f t="shared" si="48"/>
        <v>JuneF1</v>
      </c>
    </row>
    <row r="444" spans="1:18">
      <c r="A444" s="483">
        <f t="shared" si="49"/>
        <v>440</v>
      </c>
      <c r="B444" s="484">
        <v>35</v>
      </c>
      <c r="C444" s="485">
        <v>30141</v>
      </c>
      <c r="D444" s="763" t="str">
        <f t="shared" si="45"/>
        <v>July</v>
      </c>
      <c r="E444" s="486">
        <v>9</v>
      </c>
      <c r="F444" s="472">
        <v>1982</v>
      </c>
      <c r="G444" s="484" t="s">
        <v>99</v>
      </c>
      <c r="H444" s="472" t="s">
        <v>122</v>
      </c>
      <c r="I444" s="486">
        <v>3</v>
      </c>
      <c r="J444" s="486">
        <v>0.1</v>
      </c>
      <c r="K444" s="472">
        <f t="shared" si="50"/>
        <v>13</v>
      </c>
      <c r="L444" s="473">
        <v>0.57291666666666663</v>
      </c>
      <c r="M444" s="474">
        <f t="shared" si="51"/>
        <v>0.57291666666666663</v>
      </c>
      <c r="N444" s="519"/>
      <c r="P444" s="29" t="str">
        <f t="shared" si="46"/>
        <v>1982F0</v>
      </c>
      <c r="Q444" s="29" t="str">
        <f t="shared" si="47"/>
        <v>F013</v>
      </c>
      <c r="R444" s="29" t="str">
        <f t="shared" si="48"/>
        <v>JulyF0</v>
      </c>
    </row>
    <row r="445" spans="1:18">
      <c r="A445" s="483">
        <f t="shared" si="49"/>
        <v>441</v>
      </c>
      <c r="B445" s="484">
        <v>36</v>
      </c>
      <c r="C445" s="485">
        <v>30178</v>
      </c>
      <c r="D445" s="763" t="str">
        <f t="shared" si="45"/>
        <v>August</v>
      </c>
      <c r="E445" s="486">
        <v>15</v>
      </c>
      <c r="F445" s="472">
        <v>1982</v>
      </c>
      <c r="G445" s="484" t="s">
        <v>100</v>
      </c>
      <c r="H445" s="472" t="s">
        <v>123</v>
      </c>
      <c r="I445" s="486">
        <v>10</v>
      </c>
      <c r="J445" s="486">
        <v>0.1</v>
      </c>
      <c r="K445" s="472">
        <f t="shared" si="50"/>
        <v>17</v>
      </c>
      <c r="L445" s="473">
        <v>0.70833333333333337</v>
      </c>
      <c r="M445" s="474">
        <f t="shared" si="51"/>
        <v>0.70833333333333337</v>
      </c>
      <c r="N445" s="519"/>
      <c r="P445" s="29" t="str">
        <f t="shared" si="46"/>
        <v>1982F1</v>
      </c>
      <c r="Q445" s="29" t="str">
        <f t="shared" si="47"/>
        <v>F117</v>
      </c>
      <c r="R445" s="29" t="str">
        <f t="shared" si="48"/>
        <v>AugustF1</v>
      </c>
    </row>
    <row r="446" spans="1:18">
      <c r="A446" s="483">
        <f t="shared" si="49"/>
        <v>442</v>
      </c>
      <c r="B446" s="484">
        <v>1</v>
      </c>
      <c r="C446" s="485">
        <v>30378</v>
      </c>
      <c r="D446" s="763" t="str">
        <f t="shared" si="45"/>
        <v>March</v>
      </c>
      <c r="E446" s="486">
        <v>3</v>
      </c>
      <c r="F446" s="472">
        <v>1983</v>
      </c>
      <c r="G446" s="484" t="s">
        <v>120</v>
      </c>
      <c r="H446" s="472" t="s">
        <v>124</v>
      </c>
      <c r="I446" s="486">
        <v>880</v>
      </c>
      <c r="J446" s="486">
        <v>5</v>
      </c>
      <c r="K446" s="472">
        <f t="shared" si="50"/>
        <v>16</v>
      </c>
      <c r="L446" s="473">
        <v>0.70138888888888884</v>
      </c>
      <c r="M446" s="474">
        <f t="shared" si="51"/>
        <v>0.70138888888888884</v>
      </c>
      <c r="N446" s="519"/>
      <c r="P446" s="29" t="str">
        <f t="shared" si="46"/>
        <v>1983F2</v>
      </c>
      <c r="Q446" s="29" t="str">
        <f t="shared" si="47"/>
        <v>F216</v>
      </c>
      <c r="R446" s="29" t="str">
        <f t="shared" si="48"/>
        <v>MarchF2</v>
      </c>
    </row>
    <row r="447" spans="1:18">
      <c r="A447" s="483">
        <f t="shared" si="49"/>
        <v>443</v>
      </c>
      <c r="B447" s="484">
        <v>2</v>
      </c>
      <c r="C447" s="485">
        <v>30378</v>
      </c>
      <c r="D447" s="763" t="str">
        <f t="shared" si="45"/>
        <v>March</v>
      </c>
      <c r="E447" s="486">
        <v>3</v>
      </c>
      <c r="F447" s="472">
        <v>1983</v>
      </c>
      <c r="G447" s="484" t="s">
        <v>120</v>
      </c>
      <c r="H447" s="472" t="s">
        <v>124</v>
      </c>
      <c r="I447" s="486">
        <v>880</v>
      </c>
      <c r="J447" s="486">
        <v>5</v>
      </c>
      <c r="K447" s="472">
        <f t="shared" si="50"/>
        <v>17</v>
      </c>
      <c r="L447" s="473">
        <v>0.74930555555555556</v>
      </c>
      <c r="M447" s="474">
        <f t="shared" si="51"/>
        <v>0.74930555555555556</v>
      </c>
      <c r="N447" s="519"/>
      <c r="P447" s="29" t="str">
        <f t="shared" si="46"/>
        <v>1983F2</v>
      </c>
      <c r="Q447" s="29" t="str">
        <f t="shared" si="47"/>
        <v>F217</v>
      </c>
      <c r="R447" s="29" t="str">
        <f t="shared" si="48"/>
        <v>MarchF2</v>
      </c>
    </row>
    <row r="448" spans="1:18">
      <c r="A448" s="483">
        <f t="shared" si="49"/>
        <v>444</v>
      </c>
      <c r="B448" s="484">
        <v>3</v>
      </c>
      <c r="C448" s="485">
        <v>30378</v>
      </c>
      <c r="D448" s="763" t="str">
        <f t="shared" si="45"/>
        <v>March</v>
      </c>
      <c r="E448" s="486">
        <v>3</v>
      </c>
      <c r="F448" s="472">
        <v>1983</v>
      </c>
      <c r="G448" s="484" t="s">
        <v>115</v>
      </c>
      <c r="H448" s="472" t="s">
        <v>122</v>
      </c>
      <c r="I448" s="486">
        <v>33</v>
      </c>
      <c r="J448" s="486">
        <v>0.5</v>
      </c>
      <c r="K448" s="472">
        <f t="shared" si="50"/>
        <v>19</v>
      </c>
      <c r="L448" s="473">
        <v>0.79513888888888884</v>
      </c>
      <c r="M448" s="474">
        <f t="shared" si="51"/>
        <v>0.79513888888888884</v>
      </c>
      <c r="N448" s="519"/>
      <c r="P448" s="29" t="str">
        <f t="shared" si="46"/>
        <v>1983F0</v>
      </c>
      <c r="Q448" s="29" t="str">
        <f t="shared" si="47"/>
        <v>F019</v>
      </c>
      <c r="R448" s="29" t="str">
        <f t="shared" si="48"/>
        <v>MarchF0</v>
      </c>
    </row>
    <row r="449" spans="1:18">
      <c r="A449" s="483">
        <f t="shared" si="49"/>
        <v>445</v>
      </c>
      <c r="B449" s="484">
        <v>4</v>
      </c>
      <c r="C449" s="485">
        <v>30449</v>
      </c>
      <c r="D449" s="763" t="str">
        <f t="shared" si="45"/>
        <v>May</v>
      </c>
      <c r="E449" s="486">
        <v>13</v>
      </c>
      <c r="F449" s="472">
        <v>1983</v>
      </c>
      <c r="G449" s="484" t="s">
        <v>108</v>
      </c>
      <c r="H449" s="472" t="s">
        <v>122</v>
      </c>
      <c r="I449" s="486">
        <v>50</v>
      </c>
      <c r="J449" s="486">
        <v>0.5</v>
      </c>
      <c r="K449" s="472">
        <f t="shared" si="50"/>
        <v>13</v>
      </c>
      <c r="L449" s="473">
        <v>0.5625</v>
      </c>
      <c r="M449" s="474">
        <f t="shared" si="51"/>
        <v>0.5625</v>
      </c>
      <c r="N449" s="519"/>
      <c r="P449" s="29" t="str">
        <f t="shared" si="46"/>
        <v>1983F0</v>
      </c>
      <c r="Q449" s="29" t="str">
        <f t="shared" si="47"/>
        <v>F013</v>
      </c>
      <c r="R449" s="29" t="str">
        <f t="shared" si="48"/>
        <v>MayF0</v>
      </c>
    </row>
    <row r="450" spans="1:18">
      <c r="A450" s="483">
        <f t="shared" si="49"/>
        <v>446</v>
      </c>
      <c r="B450" s="484">
        <v>5</v>
      </c>
      <c r="C450" s="485">
        <v>30460</v>
      </c>
      <c r="D450" s="763" t="str">
        <f t="shared" si="45"/>
        <v>May</v>
      </c>
      <c r="E450" s="486">
        <v>24</v>
      </c>
      <c r="F450" s="472">
        <v>1983</v>
      </c>
      <c r="G450" s="484" t="s">
        <v>111</v>
      </c>
      <c r="H450" s="472" t="s">
        <v>123</v>
      </c>
      <c r="I450" s="486">
        <v>60</v>
      </c>
      <c r="J450" s="486">
        <v>0.3</v>
      </c>
      <c r="K450" s="472">
        <f t="shared" si="50"/>
        <v>20</v>
      </c>
      <c r="L450" s="473">
        <v>0.83333333333333337</v>
      </c>
      <c r="M450" s="474">
        <f t="shared" si="51"/>
        <v>0.83333333333333337</v>
      </c>
      <c r="N450" s="519"/>
      <c r="P450" s="29" t="str">
        <f t="shared" si="46"/>
        <v>1983F1</v>
      </c>
      <c r="Q450" s="29" t="str">
        <f t="shared" si="47"/>
        <v>F120</v>
      </c>
      <c r="R450" s="29" t="str">
        <f t="shared" si="48"/>
        <v>MayF1</v>
      </c>
    </row>
    <row r="451" spans="1:18">
      <c r="A451" s="483">
        <f t="shared" si="49"/>
        <v>447</v>
      </c>
      <c r="B451" s="484">
        <v>6</v>
      </c>
      <c r="C451" s="485">
        <v>30476</v>
      </c>
      <c r="D451" s="763" t="str">
        <f t="shared" si="45"/>
        <v>June</v>
      </c>
      <c r="E451" s="486">
        <v>9</v>
      </c>
      <c r="F451" s="472">
        <v>1983</v>
      </c>
      <c r="G451" s="484" t="s">
        <v>109</v>
      </c>
      <c r="H451" s="472" t="s">
        <v>123</v>
      </c>
      <c r="I451" s="486">
        <v>17</v>
      </c>
      <c r="J451" s="486">
        <v>0.1</v>
      </c>
      <c r="K451" s="472">
        <f t="shared" si="50"/>
        <v>22</v>
      </c>
      <c r="L451" s="473">
        <v>0.94791666666666663</v>
      </c>
      <c r="M451" s="474">
        <f t="shared" si="51"/>
        <v>0.94791666666666663</v>
      </c>
      <c r="N451" s="519"/>
      <c r="P451" s="29" t="str">
        <f t="shared" si="46"/>
        <v>1983F1</v>
      </c>
      <c r="Q451" s="29" t="str">
        <f t="shared" si="47"/>
        <v>F122</v>
      </c>
      <c r="R451" s="29" t="str">
        <f t="shared" si="48"/>
        <v>JuneF1</v>
      </c>
    </row>
    <row r="452" spans="1:18">
      <c r="A452" s="483">
        <f t="shared" si="49"/>
        <v>448</v>
      </c>
      <c r="B452" s="484">
        <v>7</v>
      </c>
      <c r="C452" s="485">
        <v>30476</v>
      </c>
      <c r="D452" s="763" t="str">
        <f t="shared" si="45"/>
        <v>June</v>
      </c>
      <c r="E452" s="486">
        <v>9</v>
      </c>
      <c r="F452" s="472">
        <v>1983</v>
      </c>
      <c r="G452" s="484" t="s">
        <v>109</v>
      </c>
      <c r="H452" s="472" t="s">
        <v>123</v>
      </c>
      <c r="I452" s="486">
        <v>17</v>
      </c>
      <c r="J452" s="486">
        <v>0.1</v>
      </c>
      <c r="K452" s="472">
        <f t="shared" si="50"/>
        <v>23</v>
      </c>
      <c r="L452" s="473">
        <v>0.95833333333333337</v>
      </c>
      <c r="M452" s="474">
        <f t="shared" si="51"/>
        <v>0.95833333333333337</v>
      </c>
      <c r="N452" s="519"/>
      <c r="P452" s="29" t="str">
        <f t="shared" si="46"/>
        <v>1983F1</v>
      </c>
      <c r="Q452" s="29" t="str">
        <f t="shared" si="47"/>
        <v>F123</v>
      </c>
      <c r="R452" s="29" t="str">
        <f t="shared" si="48"/>
        <v>JuneF1</v>
      </c>
    </row>
    <row r="453" spans="1:18">
      <c r="A453" s="483">
        <f t="shared" si="49"/>
        <v>449</v>
      </c>
      <c r="B453" s="484">
        <v>8</v>
      </c>
      <c r="C453" s="485">
        <v>30477</v>
      </c>
      <c r="D453" s="763" t="str">
        <f t="shared" ref="D453:D516" si="52">+TEXT(C453,"mmmm")</f>
        <v>June</v>
      </c>
      <c r="E453" s="486">
        <v>10</v>
      </c>
      <c r="F453" s="472">
        <v>1983</v>
      </c>
      <c r="G453" s="484" t="s">
        <v>103</v>
      </c>
      <c r="H453" s="472" t="s">
        <v>122</v>
      </c>
      <c r="I453" s="486">
        <v>70</v>
      </c>
      <c r="J453" s="486">
        <v>0.3</v>
      </c>
      <c r="K453" s="472">
        <f t="shared" si="50"/>
        <v>22</v>
      </c>
      <c r="L453" s="473">
        <v>0.94791666666666663</v>
      </c>
      <c r="M453" s="474">
        <f t="shared" si="51"/>
        <v>0.94791666666666663</v>
      </c>
      <c r="N453" s="519"/>
      <c r="P453" s="29" t="str">
        <f t="shared" si="46"/>
        <v>1983F0</v>
      </c>
      <c r="Q453" s="29" t="str">
        <f t="shared" si="47"/>
        <v>F022</v>
      </c>
      <c r="R453" s="29" t="str">
        <f t="shared" si="48"/>
        <v>JuneF0</v>
      </c>
    </row>
    <row r="454" spans="1:18">
      <c r="A454" s="483">
        <f t="shared" si="49"/>
        <v>450</v>
      </c>
      <c r="B454" s="484">
        <v>9</v>
      </c>
      <c r="C454" s="485">
        <v>30478</v>
      </c>
      <c r="D454" s="763" t="str">
        <f t="shared" si="52"/>
        <v>June</v>
      </c>
      <c r="E454" s="486">
        <v>11</v>
      </c>
      <c r="F454" s="472">
        <v>1983</v>
      </c>
      <c r="G454" s="484" t="s">
        <v>110</v>
      </c>
      <c r="H454" s="472" t="s">
        <v>123</v>
      </c>
      <c r="I454" s="486">
        <v>17</v>
      </c>
      <c r="J454" s="486">
        <v>0.1</v>
      </c>
      <c r="K454" s="472">
        <f t="shared" si="50"/>
        <v>0</v>
      </c>
      <c r="L454" s="473">
        <v>6.9444444444444441E-3</v>
      </c>
      <c r="M454" s="474">
        <f t="shared" si="51"/>
        <v>6.9444444444444441E-3</v>
      </c>
      <c r="N454" s="519"/>
      <c r="P454" s="29" t="str">
        <f t="shared" ref="P454:P517" si="53">CONCATENATE(F454,H454)</f>
        <v>1983F1</v>
      </c>
      <c r="Q454" s="29" t="str">
        <f t="shared" ref="Q454:Q517" si="54">CONCATENATE(H454,K454)</f>
        <v>F10</v>
      </c>
      <c r="R454" s="29" t="str">
        <f t="shared" ref="R454:R517" si="55">CONCATENATE(D454,H454)</f>
        <v>JuneF1</v>
      </c>
    </row>
    <row r="455" spans="1:18">
      <c r="A455" s="483">
        <f t="shared" ref="A455:A518" si="56">+A454+1</f>
        <v>451</v>
      </c>
      <c r="B455" s="484">
        <v>10</v>
      </c>
      <c r="C455" s="485">
        <v>30478</v>
      </c>
      <c r="D455" s="763" t="str">
        <f t="shared" si="52"/>
        <v>June</v>
      </c>
      <c r="E455" s="486">
        <v>11</v>
      </c>
      <c r="F455" s="472">
        <v>1983</v>
      </c>
      <c r="G455" s="484" t="s">
        <v>115</v>
      </c>
      <c r="H455" s="472" t="s">
        <v>122</v>
      </c>
      <c r="I455" s="486">
        <v>70</v>
      </c>
      <c r="J455" s="486">
        <v>0.3</v>
      </c>
      <c r="K455" s="472">
        <f t="shared" si="50"/>
        <v>0</v>
      </c>
      <c r="L455" s="473">
        <v>1.0416666666666666E-2</v>
      </c>
      <c r="M455" s="474">
        <f t="shared" si="51"/>
        <v>1.0416666666666666E-2</v>
      </c>
      <c r="N455" s="519"/>
      <c r="P455" s="29" t="str">
        <f t="shared" si="53"/>
        <v>1983F0</v>
      </c>
      <c r="Q455" s="29" t="str">
        <f t="shared" si="54"/>
        <v>F00</v>
      </c>
      <c r="R455" s="29" t="str">
        <f t="shared" si="55"/>
        <v>JuneF0</v>
      </c>
    </row>
    <row r="456" spans="1:18">
      <c r="A456" s="483">
        <f t="shared" si="56"/>
        <v>452</v>
      </c>
      <c r="B456" s="484">
        <v>11</v>
      </c>
      <c r="C456" s="485">
        <v>30480</v>
      </c>
      <c r="D456" s="763" t="str">
        <f t="shared" si="52"/>
        <v>June</v>
      </c>
      <c r="E456" s="486">
        <v>13</v>
      </c>
      <c r="F456" s="472">
        <v>1983</v>
      </c>
      <c r="G456" s="484" t="s">
        <v>105</v>
      </c>
      <c r="H456" s="472" t="s">
        <v>122</v>
      </c>
      <c r="I456" s="486">
        <v>80</v>
      </c>
      <c r="J456" s="486">
        <v>0.3</v>
      </c>
      <c r="K456" s="472">
        <f t="shared" si="50"/>
        <v>14</v>
      </c>
      <c r="L456" s="473">
        <v>0.61805555555555558</v>
      </c>
      <c r="M456" s="474">
        <f t="shared" si="51"/>
        <v>0.61805555555555558</v>
      </c>
      <c r="N456" s="519"/>
      <c r="P456" s="29" t="str">
        <f t="shared" si="53"/>
        <v>1983F0</v>
      </c>
      <c r="Q456" s="29" t="str">
        <f t="shared" si="54"/>
        <v>F014</v>
      </c>
      <c r="R456" s="29" t="str">
        <f t="shared" si="55"/>
        <v>JuneF0</v>
      </c>
    </row>
    <row r="457" spans="1:18">
      <c r="A457" s="483">
        <f t="shared" si="56"/>
        <v>453</v>
      </c>
      <c r="B457" s="484">
        <v>12</v>
      </c>
      <c r="C457" s="485">
        <v>30480</v>
      </c>
      <c r="D457" s="763" t="str">
        <f t="shared" si="52"/>
        <v>June</v>
      </c>
      <c r="E457" s="486">
        <v>13</v>
      </c>
      <c r="F457" s="472">
        <v>1983</v>
      </c>
      <c r="G457" s="484" t="s">
        <v>100</v>
      </c>
      <c r="H457" s="472" t="s">
        <v>122</v>
      </c>
      <c r="I457" s="486">
        <v>10</v>
      </c>
      <c r="J457" s="486">
        <v>0.1</v>
      </c>
      <c r="K457" s="472">
        <f t="shared" si="50"/>
        <v>15</v>
      </c>
      <c r="L457" s="473">
        <v>0.64583333333333337</v>
      </c>
      <c r="M457" s="474">
        <f t="shared" si="51"/>
        <v>0.64583333333333337</v>
      </c>
      <c r="N457" s="519"/>
      <c r="P457" s="29" t="str">
        <f t="shared" si="53"/>
        <v>1983F0</v>
      </c>
      <c r="Q457" s="29" t="str">
        <f t="shared" si="54"/>
        <v>F015</v>
      </c>
      <c r="R457" s="29" t="str">
        <f t="shared" si="55"/>
        <v>JuneF0</v>
      </c>
    </row>
    <row r="458" spans="1:18">
      <c r="A458" s="483">
        <f t="shared" si="56"/>
        <v>454</v>
      </c>
      <c r="B458" s="484">
        <v>13</v>
      </c>
      <c r="C458" s="485">
        <v>30480</v>
      </c>
      <c r="D458" s="763" t="str">
        <f t="shared" si="52"/>
        <v>June</v>
      </c>
      <c r="E458" s="486">
        <v>13</v>
      </c>
      <c r="F458" s="472">
        <v>1983</v>
      </c>
      <c r="G458" s="484" t="s">
        <v>101</v>
      </c>
      <c r="H458" s="472" t="s">
        <v>122</v>
      </c>
      <c r="I458" s="486">
        <v>10</v>
      </c>
      <c r="J458" s="486">
        <v>0.1</v>
      </c>
      <c r="K458" s="472">
        <f t="shared" si="50"/>
        <v>17</v>
      </c>
      <c r="L458" s="473">
        <v>0.7104166666666667</v>
      </c>
      <c r="M458" s="474">
        <f t="shared" si="51"/>
        <v>0.7104166666666667</v>
      </c>
      <c r="N458" s="519"/>
      <c r="P458" s="29" t="str">
        <f t="shared" si="53"/>
        <v>1983F0</v>
      </c>
      <c r="Q458" s="29" t="str">
        <f t="shared" si="54"/>
        <v>F017</v>
      </c>
      <c r="R458" s="29" t="str">
        <f t="shared" si="55"/>
        <v>JuneF0</v>
      </c>
    </row>
    <row r="459" spans="1:18">
      <c r="A459" s="483">
        <f t="shared" si="56"/>
        <v>455</v>
      </c>
      <c r="B459" s="484">
        <v>14</v>
      </c>
      <c r="C459" s="485">
        <v>30549</v>
      </c>
      <c r="D459" s="763" t="str">
        <f t="shared" si="52"/>
        <v>August</v>
      </c>
      <c r="E459" s="486">
        <v>21</v>
      </c>
      <c r="F459" s="472">
        <v>1983</v>
      </c>
      <c r="G459" s="484" t="s">
        <v>99</v>
      </c>
      <c r="H459" s="472" t="s">
        <v>122</v>
      </c>
      <c r="I459" s="486">
        <v>10</v>
      </c>
      <c r="J459" s="486">
        <v>0.2</v>
      </c>
      <c r="K459" s="472">
        <f t="shared" si="50"/>
        <v>14</v>
      </c>
      <c r="L459" s="473">
        <v>0.60416666666666663</v>
      </c>
      <c r="M459" s="474">
        <f t="shared" si="51"/>
        <v>0.60416666666666663</v>
      </c>
      <c r="N459" s="519"/>
      <c r="P459" s="29" t="str">
        <f t="shared" si="53"/>
        <v>1983F0</v>
      </c>
      <c r="Q459" s="29" t="str">
        <f t="shared" si="54"/>
        <v>F014</v>
      </c>
      <c r="R459" s="29" t="str">
        <f t="shared" si="55"/>
        <v>AugustF0</v>
      </c>
    </row>
    <row r="460" spans="1:18">
      <c r="A460" s="483">
        <f t="shared" si="56"/>
        <v>456</v>
      </c>
      <c r="B460" s="484">
        <v>1</v>
      </c>
      <c r="C460" s="485">
        <v>30843</v>
      </c>
      <c r="D460" s="763" t="str">
        <f t="shared" si="52"/>
        <v>June</v>
      </c>
      <c r="E460" s="486">
        <v>10</v>
      </c>
      <c r="F460" s="472">
        <v>1984</v>
      </c>
      <c r="G460" s="484" t="s">
        <v>108</v>
      </c>
      <c r="H460" s="472" t="s">
        <v>122</v>
      </c>
      <c r="I460" s="486">
        <v>33</v>
      </c>
      <c r="J460" s="486">
        <v>9</v>
      </c>
      <c r="K460" s="472">
        <f t="shared" si="50"/>
        <v>13</v>
      </c>
      <c r="L460" s="473">
        <v>0.55069444444444449</v>
      </c>
      <c r="M460" s="474">
        <f t="shared" si="51"/>
        <v>0.55069444444444449</v>
      </c>
      <c r="N460" s="519"/>
      <c r="P460" s="29" t="str">
        <f t="shared" si="53"/>
        <v>1984F0</v>
      </c>
      <c r="Q460" s="29" t="str">
        <f t="shared" si="54"/>
        <v>F013</v>
      </c>
      <c r="R460" s="29" t="str">
        <f t="shared" si="55"/>
        <v>JuneF0</v>
      </c>
    </row>
    <row r="461" spans="1:18">
      <c r="A461" s="483">
        <f t="shared" si="56"/>
        <v>457</v>
      </c>
      <c r="B461" s="484">
        <v>2</v>
      </c>
      <c r="C461" s="485">
        <v>30843</v>
      </c>
      <c r="D461" s="763" t="str">
        <f t="shared" si="52"/>
        <v>June</v>
      </c>
      <c r="E461" s="486">
        <v>10</v>
      </c>
      <c r="F461" s="472">
        <v>1984</v>
      </c>
      <c r="G461" s="484" t="s">
        <v>116</v>
      </c>
      <c r="H461" s="472" t="s">
        <v>122</v>
      </c>
      <c r="I461" s="486">
        <v>10</v>
      </c>
      <c r="J461" s="486">
        <v>0.1</v>
      </c>
      <c r="K461" s="472">
        <f t="shared" si="50"/>
        <v>14</v>
      </c>
      <c r="L461" s="473">
        <v>0.61597222222222225</v>
      </c>
      <c r="M461" s="474">
        <f t="shared" si="51"/>
        <v>0.61597222222222225</v>
      </c>
      <c r="N461" s="519"/>
      <c r="P461" s="29" t="str">
        <f t="shared" si="53"/>
        <v>1984F0</v>
      </c>
      <c r="Q461" s="29" t="str">
        <f t="shared" si="54"/>
        <v>F014</v>
      </c>
      <c r="R461" s="29" t="str">
        <f t="shared" si="55"/>
        <v>JuneF0</v>
      </c>
    </row>
    <row r="462" spans="1:18">
      <c r="A462" s="483">
        <f t="shared" si="56"/>
        <v>458</v>
      </c>
      <c r="B462" s="484">
        <v>3</v>
      </c>
      <c r="C462" s="485">
        <v>30843</v>
      </c>
      <c r="D462" s="763" t="str">
        <f t="shared" si="52"/>
        <v>June</v>
      </c>
      <c r="E462" s="486">
        <v>10</v>
      </c>
      <c r="F462" s="472">
        <v>1984</v>
      </c>
      <c r="G462" s="484" t="s">
        <v>119</v>
      </c>
      <c r="H462" s="472" t="s">
        <v>123</v>
      </c>
      <c r="I462" s="486">
        <v>20</v>
      </c>
      <c r="J462" s="486">
        <v>0.1</v>
      </c>
      <c r="K462" s="472">
        <f t="shared" si="50"/>
        <v>16</v>
      </c>
      <c r="L462" s="473">
        <v>0.68055555555555547</v>
      </c>
      <c r="M462" s="474">
        <f t="shared" si="51"/>
        <v>0.68055555555555547</v>
      </c>
      <c r="N462" s="519"/>
      <c r="P462" s="29" t="str">
        <f t="shared" si="53"/>
        <v>1984F1</v>
      </c>
      <c r="Q462" s="29" t="str">
        <f t="shared" si="54"/>
        <v>F116</v>
      </c>
      <c r="R462" s="29" t="str">
        <f t="shared" si="55"/>
        <v>JuneF1</v>
      </c>
    </row>
    <row r="463" spans="1:18">
      <c r="A463" s="483">
        <f t="shared" si="56"/>
        <v>459</v>
      </c>
      <c r="B463" s="484">
        <v>4</v>
      </c>
      <c r="C463" s="485">
        <v>30843</v>
      </c>
      <c r="D463" s="763" t="str">
        <f t="shared" si="52"/>
        <v>June</v>
      </c>
      <c r="E463" s="486">
        <v>10</v>
      </c>
      <c r="F463" s="472">
        <v>1984</v>
      </c>
      <c r="G463" s="484" t="s">
        <v>119</v>
      </c>
      <c r="H463" s="472" t="s">
        <v>123</v>
      </c>
      <c r="I463" s="486">
        <v>20</v>
      </c>
      <c r="J463" s="486">
        <v>0.1</v>
      </c>
      <c r="K463" s="472">
        <f t="shared" si="50"/>
        <v>16</v>
      </c>
      <c r="L463" s="473">
        <v>0.70138888888888884</v>
      </c>
      <c r="M463" s="474">
        <f t="shared" si="51"/>
        <v>0.70138888888888884</v>
      </c>
      <c r="N463" s="519"/>
      <c r="P463" s="29" t="str">
        <f t="shared" si="53"/>
        <v>1984F1</v>
      </c>
      <c r="Q463" s="29" t="str">
        <f t="shared" si="54"/>
        <v>F116</v>
      </c>
      <c r="R463" s="29" t="str">
        <f t="shared" si="55"/>
        <v>JuneF1</v>
      </c>
    </row>
    <row r="464" spans="1:18">
      <c r="A464" s="483">
        <f t="shared" si="56"/>
        <v>460</v>
      </c>
      <c r="B464" s="484">
        <v>5</v>
      </c>
      <c r="C464" s="485">
        <v>30860</v>
      </c>
      <c r="D464" s="763" t="str">
        <f t="shared" si="52"/>
        <v>June</v>
      </c>
      <c r="E464" s="486">
        <v>27</v>
      </c>
      <c r="F464" s="472">
        <v>1984</v>
      </c>
      <c r="G464" s="484" t="s">
        <v>116</v>
      </c>
      <c r="H464" s="472" t="s">
        <v>122</v>
      </c>
      <c r="I464" s="486">
        <v>10</v>
      </c>
      <c r="J464" s="486">
        <v>0.1</v>
      </c>
      <c r="K464" s="472">
        <f t="shared" ref="K464:K525" si="57">HOUR(M464)</f>
        <v>16</v>
      </c>
      <c r="L464" s="473">
        <v>0.66805555555555562</v>
      </c>
      <c r="M464" s="474">
        <f t="shared" si="51"/>
        <v>0.66805555555555562</v>
      </c>
      <c r="N464" s="519"/>
      <c r="P464" s="29" t="str">
        <f t="shared" si="53"/>
        <v>1984F0</v>
      </c>
      <c r="Q464" s="29" t="str">
        <f t="shared" si="54"/>
        <v>F016</v>
      </c>
      <c r="R464" s="29" t="str">
        <f t="shared" si="55"/>
        <v>JuneF0</v>
      </c>
    </row>
    <row r="465" spans="1:18">
      <c r="A465" s="483">
        <f t="shared" si="56"/>
        <v>461</v>
      </c>
      <c r="B465" s="484">
        <v>6</v>
      </c>
      <c r="C465" s="485">
        <v>30860</v>
      </c>
      <c r="D465" s="763" t="str">
        <f t="shared" si="52"/>
        <v>June</v>
      </c>
      <c r="E465" s="486">
        <v>27</v>
      </c>
      <c r="F465" s="472">
        <v>1984</v>
      </c>
      <c r="G465" s="484" t="s">
        <v>121</v>
      </c>
      <c r="H465" s="472" t="s">
        <v>122</v>
      </c>
      <c r="I465" s="486">
        <v>10</v>
      </c>
      <c r="J465" s="486">
        <v>0.1</v>
      </c>
      <c r="K465" s="472">
        <f t="shared" si="57"/>
        <v>16</v>
      </c>
      <c r="L465" s="473">
        <v>0.6875</v>
      </c>
      <c r="M465" s="474">
        <f t="shared" si="51"/>
        <v>0.6875</v>
      </c>
      <c r="N465" s="519"/>
      <c r="P465" s="29" t="str">
        <f t="shared" si="53"/>
        <v>1984F0</v>
      </c>
      <c r="Q465" s="29" t="str">
        <f t="shared" si="54"/>
        <v>F016</v>
      </c>
      <c r="R465" s="29" t="str">
        <f t="shared" si="55"/>
        <v>JuneF0</v>
      </c>
    </row>
    <row r="466" spans="1:18">
      <c r="A466" s="483">
        <f t="shared" si="56"/>
        <v>462</v>
      </c>
      <c r="B466" s="484">
        <v>7</v>
      </c>
      <c r="C466" s="485">
        <v>30860</v>
      </c>
      <c r="D466" s="763" t="str">
        <f t="shared" si="52"/>
        <v>June</v>
      </c>
      <c r="E466" s="486">
        <v>27</v>
      </c>
      <c r="F466" s="472">
        <v>1984</v>
      </c>
      <c r="G466" s="484" t="s">
        <v>121</v>
      </c>
      <c r="H466" s="472" t="s">
        <v>122</v>
      </c>
      <c r="I466" s="486">
        <v>10</v>
      </c>
      <c r="J466" s="486">
        <v>0.1</v>
      </c>
      <c r="K466" s="472">
        <f t="shared" si="57"/>
        <v>16</v>
      </c>
      <c r="L466" s="473">
        <v>0.6875</v>
      </c>
      <c r="M466" s="474">
        <f t="shared" si="51"/>
        <v>0.6875</v>
      </c>
      <c r="N466" s="519"/>
      <c r="P466" s="29" t="str">
        <f t="shared" si="53"/>
        <v>1984F0</v>
      </c>
      <c r="Q466" s="29" t="str">
        <f t="shared" si="54"/>
        <v>F016</v>
      </c>
      <c r="R466" s="29" t="str">
        <f t="shared" si="55"/>
        <v>JuneF0</v>
      </c>
    </row>
    <row r="467" spans="1:18">
      <c r="A467" s="483">
        <f t="shared" si="56"/>
        <v>463</v>
      </c>
      <c r="B467" s="484">
        <v>8</v>
      </c>
      <c r="C467" s="485">
        <v>30902</v>
      </c>
      <c r="D467" s="763" t="str">
        <f t="shared" si="52"/>
        <v>August</v>
      </c>
      <c r="E467" s="486">
        <v>8</v>
      </c>
      <c r="F467" s="472">
        <v>1984</v>
      </c>
      <c r="G467" s="484" t="s">
        <v>118</v>
      </c>
      <c r="H467" s="472" t="s">
        <v>122</v>
      </c>
      <c r="I467" s="486">
        <v>10</v>
      </c>
      <c r="J467" s="486">
        <v>0.1</v>
      </c>
      <c r="K467" s="472">
        <f t="shared" si="57"/>
        <v>23</v>
      </c>
      <c r="L467" s="473">
        <v>0.97013888888888899</v>
      </c>
      <c r="M467" s="474">
        <f t="shared" si="51"/>
        <v>0.97013888888888899</v>
      </c>
      <c r="N467" s="519"/>
      <c r="P467" s="29" t="str">
        <f t="shared" si="53"/>
        <v>1984F0</v>
      </c>
      <c r="Q467" s="29" t="str">
        <f t="shared" si="54"/>
        <v>F023</v>
      </c>
      <c r="R467" s="29" t="str">
        <f t="shared" si="55"/>
        <v>AugustF0</v>
      </c>
    </row>
    <row r="468" spans="1:18">
      <c r="A468" s="483">
        <f t="shared" si="56"/>
        <v>464</v>
      </c>
      <c r="B468" s="484">
        <v>1</v>
      </c>
      <c r="C468" s="485">
        <v>31163</v>
      </c>
      <c r="D468" s="763" t="str">
        <f t="shared" si="52"/>
        <v>April</v>
      </c>
      <c r="E468" s="486">
        <v>26</v>
      </c>
      <c r="F468" s="472">
        <v>1985</v>
      </c>
      <c r="G468" s="484" t="s">
        <v>115</v>
      </c>
      <c r="H468" s="472" t="s">
        <v>122</v>
      </c>
      <c r="I468" s="486">
        <v>30</v>
      </c>
      <c r="J468" s="486">
        <v>0.1</v>
      </c>
      <c r="K468" s="472">
        <f t="shared" si="57"/>
        <v>15</v>
      </c>
      <c r="L468" s="473">
        <v>0.63194444444444442</v>
      </c>
      <c r="M468" s="474">
        <f t="shared" si="51"/>
        <v>0.63194444444444442</v>
      </c>
      <c r="N468" s="519"/>
      <c r="P468" s="29" t="str">
        <f t="shared" si="53"/>
        <v>1985F0</v>
      </c>
      <c r="Q468" s="29" t="str">
        <f t="shared" si="54"/>
        <v>F015</v>
      </c>
      <c r="R468" s="29" t="str">
        <f t="shared" si="55"/>
        <v>AprilF0</v>
      </c>
    </row>
    <row r="469" spans="1:18">
      <c r="A469" s="483">
        <f t="shared" si="56"/>
        <v>465</v>
      </c>
      <c r="B469" s="484">
        <v>2</v>
      </c>
      <c r="C469" s="485">
        <v>31192</v>
      </c>
      <c r="D469" s="763" t="str">
        <f t="shared" si="52"/>
        <v>May</v>
      </c>
      <c r="E469" s="486">
        <v>25</v>
      </c>
      <c r="F469" s="472">
        <v>1985</v>
      </c>
      <c r="G469" s="484" t="s">
        <v>109</v>
      </c>
      <c r="H469" s="472" t="s">
        <v>122</v>
      </c>
      <c r="I469" s="486">
        <v>50</v>
      </c>
      <c r="J469" s="486">
        <v>0.1</v>
      </c>
      <c r="K469" s="472">
        <f t="shared" si="57"/>
        <v>23</v>
      </c>
      <c r="L469" s="473">
        <v>0.99652777777777779</v>
      </c>
      <c r="M469" s="474">
        <f t="shared" si="51"/>
        <v>0.99652777777777779</v>
      </c>
      <c r="N469" s="519"/>
      <c r="P469" s="29" t="str">
        <f t="shared" si="53"/>
        <v>1985F0</v>
      </c>
      <c r="Q469" s="29" t="str">
        <f t="shared" si="54"/>
        <v>F023</v>
      </c>
      <c r="R469" s="29" t="str">
        <f t="shared" si="55"/>
        <v>MayF0</v>
      </c>
    </row>
    <row r="470" spans="1:18">
      <c r="A470" s="483">
        <f t="shared" si="56"/>
        <v>466</v>
      </c>
      <c r="B470" s="484">
        <v>3</v>
      </c>
      <c r="C470" s="485">
        <v>31308</v>
      </c>
      <c r="D470" s="763" t="str">
        <f t="shared" si="52"/>
        <v>September</v>
      </c>
      <c r="E470" s="486">
        <v>18</v>
      </c>
      <c r="F470" s="472">
        <v>1985</v>
      </c>
      <c r="G470" s="484" t="s">
        <v>105</v>
      </c>
      <c r="H470" s="472" t="s">
        <v>122</v>
      </c>
      <c r="I470" s="486">
        <v>10</v>
      </c>
      <c r="J470" s="486">
        <v>0.1</v>
      </c>
      <c r="K470" s="472">
        <f t="shared" si="57"/>
        <v>19</v>
      </c>
      <c r="L470" s="473">
        <v>0.8125</v>
      </c>
      <c r="M470" s="474">
        <f t="shared" si="51"/>
        <v>0.8125</v>
      </c>
      <c r="N470" s="519"/>
      <c r="P470" s="29" t="str">
        <f t="shared" si="53"/>
        <v>1985F0</v>
      </c>
      <c r="Q470" s="29" t="str">
        <f t="shared" si="54"/>
        <v>F019</v>
      </c>
      <c r="R470" s="29" t="str">
        <f t="shared" si="55"/>
        <v>SeptemberF0</v>
      </c>
    </row>
    <row r="471" spans="1:18">
      <c r="A471" s="483">
        <f t="shared" si="56"/>
        <v>467</v>
      </c>
      <c r="B471" s="484">
        <v>1</v>
      </c>
      <c r="C471" s="485">
        <v>31539</v>
      </c>
      <c r="D471" s="763" t="str">
        <f t="shared" si="52"/>
        <v>May</v>
      </c>
      <c r="E471" s="486">
        <v>7</v>
      </c>
      <c r="F471" s="472">
        <v>1986</v>
      </c>
      <c r="G471" s="484" t="s">
        <v>111</v>
      </c>
      <c r="H471" s="472" t="s">
        <v>122</v>
      </c>
      <c r="I471" s="486">
        <v>100</v>
      </c>
      <c r="J471" s="486">
        <v>1</v>
      </c>
      <c r="K471" s="472">
        <f t="shared" si="57"/>
        <v>16</v>
      </c>
      <c r="L471" s="473">
        <v>0.67500000000000004</v>
      </c>
      <c r="M471" s="474">
        <f t="shared" si="51"/>
        <v>0.67500000000000004</v>
      </c>
      <c r="N471" s="519"/>
      <c r="P471" s="29" t="str">
        <f t="shared" si="53"/>
        <v>1986F0</v>
      </c>
      <c r="Q471" s="29" t="str">
        <f t="shared" si="54"/>
        <v>F016</v>
      </c>
      <c r="R471" s="29" t="str">
        <f t="shared" si="55"/>
        <v>MayF0</v>
      </c>
    </row>
    <row r="472" spans="1:18">
      <c r="A472" s="483">
        <f t="shared" si="56"/>
        <v>468</v>
      </c>
      <c r="B472" s="484">
        <v>2</v>
      </c>
      <c r="C472" s="485">
        <v>31539</v>
      </c>
      <c r="D472" s="763" t="str">
        <f t="shared" si="52"/>
        <v>May</v>
      </c>
      <c r="E472" s="486">
        <v>7</v>
      </c>
      <c r="F472" s="472">
        <v>1986</v>
      </c>
      <c r="G472" s="484" t="s">
        <v>111</v>
      </c>
      <c r="H472" s="472" t="s">
        <v>124</v>
      </c>
      <c r="I472" s="486">
        <v>100</v>
      </c>
      <c r="J472" s="486">
        <v>8</v>
      </c>
      <c r="K472" s="472">
        <f t="shared" si="57"/>
        <v>16</v>
      </c>
      <c r="L472" s="473">
        <v>0.6791666666666667</v>
      </c>
      <c r="M472" s="474">
        <f t="shared" si="51"/>
        <v>0.6791666666666667</v>
      </c>
      <c r="N472" s="519"/>
      <c r="P472" s="29" t="str">
        <f t="shared" si="53"/>
        <v>1986F2</v>
      </c>
      <c r="Q472" s="29" t="str">
        <f t="shared" si="54"/>
        <v>F216</v>
      </c>
      <c r="R472" s="29" t="str">
        <f t="shared" si="55"/>
        <v>MayF2</v>
      </c>
    </row>
    <row r="473" spans="1:18">
      <c r="A473" s="483">
        <f t="shared" si="56"/>
        <v>469</v>
      </c>
      <c r="B473" s="484">
        <v>3</v>
      </c>
      <c r="C473" s="485">
        <v>31539</v>
      </c>
      <c r="D473" s="763" t="str">
        <f t="shared" si="52"/>
        <v>May</v>
      </c>
      <c r="E473" s="486">
        <v>7</v>
      </c>
      <c r="F473" s="472">
        <v>1986</v>
      </c>
      <c r="G473" s="484" t="s">
        <v>111</v>
      </c>
      <c r="H473" s="472" t="s">
        <v>125</v>
      </c>
      <c r="I473" s="486">
        <v>300</v>
      </c>
      <c r="J473" s="486">
        <v>7</v>
      </c>
      <c r="K473" s="472">
        <f t="shared" si="57"/>
        <v>16</v>
      </c>
      <c r="L473" s="473">
        <v>0.69097222222222221</v>
      </c>
      <c r="M473" s="474">
        <f t="shared" si="51"/>
        <v>0.69097222222222221</v>
      </c>
      <c r="N473" s="519"/>
      <c r="P473" s="29" t="str">
        <f t="shared" si="53"/>
        <v>1986F3</v>
      </c>
      <c r="Q473" s="29" t="str">
        <f t="shared" si="54"/>
        <v>F316</v>
      </c>
      <c r="R473" s="29" t="str">
        <f t="shared" si="55"/>
        <v>MayF3</v>
      </c>
    </row>
    <row r="474" spans="1:18">
      <c r="A474" s="483">
        <f t="shared" si="56"/>
        <v>470</v>
      </c>
      <c r="B474" s="484">
        <v>4</v>
      </c>
      <c r="C474" s="485">
        <v>31539</v>
      </c>
      <c r="D474" s="763" t="str">
        <f t="shared" si="52"/>
        <v>May</v>
      </c>
      <c r="E474" s="486">
        <v>7</v>
      </c>
      <c r="F474" s="472">
        <v>1986</v>
      </c>
      <c r="G474" s="484" t="s">
        <v>111</v>
      </c>
      <c r="H474" s="472" t="s">
        <v>122</v>
      </c>
      <c r="I474" s="486">
        <v>50</v>
      </c>
      <c r="J474" s="486">
        <v>0.2</v>
      </c>
      <c r="K474" s="472">
        <f t="shared" si="57"/>
        <v>16</v>
      </c>
      <c r="L474" s="473">
        <v>0.70625000000000004</v>
      </c>
      <c r="M474" s="474">
        <f t="shared" si="51"/>
        <v>0.70625000000000004</v>
      </c>
      <c r="N474" s="519"/>
      <c r="P474" s="29" t="str">
        <f t="shared" si="53"/>
        <v>1986F0</v>
      </c>
      <c r="Q474" s="29" t="str">
        <f t="shared" si="54"/>
        <v>F016</v>
      </c>
      <c r="R474" s="29" t="str">
        <f t="shared" si="55"/>
        <v>MayF0</v>
      </c>
    </row>
    <row r="475" spans="1:18">
      <c r="A475" s="483">
        <f t="shared" si="56"/>
        <v>471</v>
      </c>
      <c r="B475" s="484">
        <v>5</v>
      </c>
      <c r="C475" s="485">
        <v>31539</v>
      </c>
      <c r="D475" s="763" t="str">
        <f t="shared" si="52"/>
        <v>May</v>
      </c>
      <c r="E475" s="486">
        <v>7</v>
      </c>
      <c r="F475" s="472">
        <v>1986</v>
      </c>
      <c r="G475" s="484" t="s">
        <v>111</v>
      </c>
      <c r="H475" s="472" t="s">
        <v>122</v>
      </c>
      <c r="I475" s="486">
        <v>50</v>
      </c>
      <c r="J475" s="486">
        <v>0.2</v>
      </c>
      <c r="K475" s="472">
        <f t="shared" si="57"/>
        <v>18</v>
      </c>
      <c r="L475" s="473">
        <v>0.75555555555555554</v>
      </c>
      <c r="M475" s="474">
        <f t="shared" si="51"/>
        <v>0.75555555555555554</v>
      </c>
      <c r="N475" s="519"/>
      <c r="P475" s="29" t="str">
        <f t="shared" si="53"/>
        <v>1986F0</v>
      </c>
      <c r="Q475" s="29" t="str">
        <f t="shared" si="54"/>
        <v>F018</v>
      </c>
      <c r="R475" s="29" t="str">
        <f t="shared" si="55"/>
        <v>MayF0</v>
      </c>
    </row>
    <row r="476" spans="1:18">
      <c r="A476" s="483">
        <f t="shared" si="56"/>
        <v>472</v>
      </c>
      <c r="B476" s="484">
        <v>6</v>
      </c>
      <c r="C476" s="485">
        <v>31539</v>
      </c>
      <c r="D476" s="763" t="str">
        <f t="shared" si="52"/>
        <v>May</v>
      </c>
      <c r="E476" s="486">
        <v>7</v>
      </c>
      <c r="F476" s="472">
        <v>1986</v>
      </c>
      <c r="G476" s="484" t="s">
        <v>106</v>
      </c>
      <c r="H476" s="472" t="s">
        <v>122</v>
      </c>
      <c r="I476" s="486">
        <v>10</v>
      </c>
      <c r="J476" s="486">
        <v>0.2</v>
      </c>
      <c r="K476" s="472">
        <f t="shared" si="57"/>
        <v>18</v>
      </c>
      <c r="L476" s="473">
        <v>0.78472222222222221</v>
      </c>
      <c r="M476" s="474">
        <f t="shared" si="51"/>
        <v>0.78472222222222221</v>
      </c>
      <c r="N476" s="519"/>
      <c r="P476" s="29" t="str">
        <f t="shared" si="53"/>
        <v>1986F0</v>
      </c>
      <c r="Q476" s="29" t="str">
        <f t="shared" si="54"/>
        <v>F018</v>
      </c>
      <c r="R476" s="29" t="str">
        <f t="shared" si="55"/>
        <v>MayF0</v>
      </c>
    </row>
    <row r="477" spans="1:18">
      <c r="A477" s="483">
        <f t="shared" si="56"/>
        <v>473</v>
      </c>
      <c r="B477" s="484">
        <v>7</v>
      </c>
      <c r="C477" s="485">
        <v>31546</v>
      </c>
      <c r="D477" s="763" t="str">
        <f t="shared" si="52"/>
        <v>May</v>
      </c>
      <c r="E477" s="486">
        <v>14</v>
      </c>
      <c r="F477" s="472">
        <v>1986</v>
      </c>
      <c r="G477" s="484" t="s">
        <v>102</v>
      </c>
      <c r="H477" s="472" t="s">
        <v>122</v>
      </c>
      <c r="I477" s="486">
        <v>10</v>
      </c>
      <c r="J477" s="486">
        <v>0.2</v>
      </c>
      <c r="K477" s="472">
        <f t="shared" si="57"/>
        <v>13</v>
      </c>
      <c r="L477" s="473">
        <v>0.5625</v>
      </c>
      <c r="M477" s="474">
        <f t="shared" si="51"/>
        <v>0.5625</v>
      </c>
      <c r="N477" s="519"/>
      <c r="P477" s="29" t="str">
        <f t="shared" si="53"/>
        <v>1986F0</v>
      </c>
      <c r="Q477" s="29" t="str">
        <f t="shared" si="54"/>
        <v>F013</v>
      </c>
      <c r="R477" s="29" t="str">
        <f t="shared" si="55"/>
        <v>MayF0</v>
      </c>
    </row>
    <row r="478" spans="1:18">
      <c r="A478" s="483">
        <f t="shared" si="56"/>
        <v>474</v>
      </c>
      <c r="B478" s="484">
        <v>8</v>
      </c>
      <c r="C478" s="485">
        <v>31546</v>
      </c>
      <c r="D478" s="763" t="str">
        <f t="shared" si="52"/>
        <v>May</v>
      </c>
      <c r="E478" s="486">
        <v>14</v>
      </c>
      <c r="F478" s="472">
        <v>1986</v>
      </c>
      <c r="G478" s="484" t="s">
        <v>118</v>
      </c>
      <c r="H478" s="472" t="s">
        <v>122</v>
      </c>
      <c r="I478" s="486">
        <v>50</v>
      </c>
      <c r="J478" s="486">
        <v>3</v>
      </c>
      <c r="K478" s="472">
        <f t="shared" si="57"/>
        <v>13</v>
      </c>
      <c r="L478" s="473">
        <v>0.5625</v>
      </c>
      <c r="M478" s="474">
        <f t="shared" si="51"/>
        <v>0.5625</v>
      </c>
      <c r="N478" s="519"/>
      <c r="P478" s="29" t="str">
        <f t="shared" si="53"/>
        <v>1986F0</v>
      </c>
      <c r="Q478" s="29" t="str">
        <f t="shared" si="54"/>
        <v>F013</v>
      </c>
      <c r="R478" s="29" t="str">
        <f t="shared" si="55"/>
        <v>MayF0</v>
      </c>
    </row>
    <row r="479" spans="1:18">
      <c r="A479" s="483">
        <f t="shared" si="56"/>
        <v>475</v>
      </c>
      <c r="B479" s="484">
        <v>9</v>
      </c>
      <c r="C479" s="485">
        <v>31546</v>
      </c>
      <c r="D479" s="763" t="str">
        <f t="shared" si="52"/>
        <v>May</v>
      </c>
      <c r="E479" s="486">
        <v>14</v>
      </c>
      <c r="F479" s="472">
        <v>1986</v>
      </c>
      <c r="G479" s="484" t="s">
        <v>119</v>
      </c>
      <c r="H479" s="472" t="s">
        <v>122</v>
      </c>
      <c r="I479" s="486">
        <v>30</v>
      </c>
      <c r="J479" s="486">
        <v>0.2</v>
      </c>
      <c r="K479" s="472">
        <f t="shared" si="57"/>
        <v>14</v>
      </c>
      <c r="L479" s="473">
        <v>0.58888888888888891</v>
      </c>
      <c r="M479" s="474">
        <f t="shared" si="51"/>
        <v>0.58888888888888891</v>
      </c>
      <c r="N479" s="519"/>
      <c r="P479" s="29" t="str">
        <f t="shared" si="53"/>
        <v>1986F0</v>
      </c>
      <c r="Q479" s="29" t="str">
        <f t="shared" si="54"/>
        <v>F014</v>
      </c>
      <c r="R479" s="29" t="str">
        <f t="shared" si="55"/>
        <v>MayF0</v>
      </c>
    </row>
    <row r="480" spans="1:18">
      <c r="A480" s="483">
        <f t="shared" si="56"/>
        <v>476</v>
      </c>
      <c r="B480" s="484">
        <v>10</v>
      </c>
      <c r="C480" s="485">
        <v>31548</v>
      </c>
      <c r="D480" s="763" t="str">
        <f t="shared" si="52"/>
        <v>May</v>
      </c>
      <c r="E480" s="486">
        <v>16</v>
      </c>
      <c r="F480" s="472">
        <v>1986</v>
      </c>
      <c r="G480" s="484" t="s">
        <v>120</v>
      </c>
      <c r="H480" s="472" t="s">
        <v>122</v>
      </c>
      <c r="I480" s="486">
        <v>30</v>
      </c>
      <c r="J480" s="486">
        <v>0.2</v>
      </c>
      <c r="K480" s="472">
        <f t="shared" si="57"/>
        <v>17</v>
      </c>
      <c r="L480" s="473">
        <v>0.73124999999999996</v>
      </c>
      <c r="M480" s="474">
        <f t="shared" si="51"/>
        <v>0.73124999999999996</v>
      </c>
      <c r="N480" s="519"/>
      <c r="P480" s="29" t="str">
        <f t="shared" si="53"/>
        <v>1986F0</v>
      </c>
      <c r="Q480" s="29" t="str">
        <f t="shared" si="54"/>
        <v>F017</v>
      </c>
      <c r="R480" s="29" t="str">
        <f t="shared" si="55"/>
        <v>MayF0</v>
      </c>
    </row>
    <row r="481" spans="1:18">
      <c r="A481" s="483">
        <f t="shared" si="56"/>
        <v>477</v>
      </c>
      <c r="B481" s="484">
        <v>11</v>
      </c>
      <c r="C481" s="485">
        <v>31571</v>
      </c>
      <c r="D481" s="763" t="str">
        <f t="shared" si="52"/>
        <v>June</v>
      </c>
      <c r="E481" s="486">
        <v>8</v>
      </c>
      <c r="F481" s="472">
        <v>1986</v>
      </c>
      <c r="G481" s="484" t="s">
        <v>120</v>
      </c>
      <c r="H481" s="472" t="s">
        <v>122</v>
      </c>
      <c r="I481" s="486">
        <v>40</v>
      </c>
      <c r="J481" s="486">
        <v>0.2</v>
      </c>
      <c r="K481" s="472">
        <f t="shared" si="57"/>
        <v>13</v>
      </c>
      <c r="L481" s="473">
        <v>0.55138888888888882</v>
      </c>
      <c r="M481" s="474">
        <f t="shared" si="51"/>
        <v>0.55138888888888882</v>
      </c>
      <c r="N481" s="519"/>
      <c r="P481" s="29" t="str">
        <f t="shared" si="53"/>
        <v>1986F0</v>
      </c>
      <c r="Q481" s="29" t="str">
        <f t="shared" si="54"/>
        <v>F013</v>
      </c>
      <c r="R481" s="29" t="str">
        <f t="shared" si="55"/>
        <v>JuneF0</v>
      </c>
    </row>
    <row r="482" spans="1:18">
      <c r="A482" s="483">
        <f t="shared" si="56"/>
        <v>478</v>
      </c>
      <c r="B482" s="484">
        <v>12</v>
      </c>
      <c r="C482" s="485">
        <v>31571</v>
      </c>
      <c r="D482" s="763" t="str">
        <f t="shared" si="52"/>
        <v>June</v>
      </c>
      <c r="E482" s="486">
        <v>8</v>
      </c>
      <c r="F482" s="472">
        <v>1986</v>
      </c>
      <c r="G482" s="484" t="s">
        <v>120</v>
      </c>
      <c r="H482" s="472" t="s">
        <v>122</v>
      </c>
      <c r="I482" s="486">
        <v>30</v>
      </c>
      <c r="J482" s="486">
        <v>0.2</v>
      </c>
      <c r="K482" s="472">
        <f t="shared" si="57"/>
        <v>15</v>
      </c>
      <c r="L482" s="473">
        <v>0.63194444444444442</v>
      </c>
      <c r="M482" s="474">
        <f t="shared" si="51"/>
        <v>0.63194444444444442</v>
      </c>
      <c r="N482" s="519"/>
      <c r="P482" s="29" t="str">
        <f t="shared" si="53"/>
        <v>1986F0</v>
      </c>
      <c r="Q482" s="29" t="str">
        <f t="shared" si="54"/>
        <v>F015</v>
      </c>
      <c r="R482" s="29" t="str">
        <f t="shared" si="55"/>
        <v>JuneF0</v>
      </c>
    </row>
    <row r="483" spans="1:18">
      <c r="A483" s="483">
        <f t="shared" si="56"/>
        <v>479</v>
      </c>
      <c r="B483" s="484">
        <v>13</v>
      </c>
      <c r="C483" s="485">
        <v>31593</v>
      </c>
      <c r="D483" s="763" t="str">
        <f t="shared" si="52"/>
        <v>June</v>
      </c>
      <c r="E483" s="486">
        <v>30</v>
      </c>
      <c r="F483" s="472">
        <v>1986</v>
      </c>
      <c r="G483" s="484" t="s">
        <v>108</v>
      </c>
      <c r="H483" s="472" t="s">
        <v>122</v>
      </c>
      <c r="I483" s="486">
        <v>30</v>
      </c>
      <c r="J483" s="486">
        <v>0.2</v>
      </c>
      <c r="K483" s="472">
        <f t="shared" si="57"/>
        <v>20</v>
      </c>
      <c r="L483" s="473">
        <v>0.83680555555555547</v>
      </c>
      <c r="M483" s="474">
        <f t="shared" si="51"/>
        <v>0.83680555555555547</v>
      </c>
      <c r="N483" s="519"/>
      <c r="P483" s="29" t="str">
        <f t="shared" si="53"/>
        <v>1986F0</v>
      </c>
      <c r="Q483" s="29" t="str">
        <f t="shared" si="54"/>
        <v>F020</v>
      </c>
      <c r="R483" s="29" t="str">
        <f t="shared" si="55"/>
        <v>JuneF0</v>
      </c>
    </row>
    <row r="484" spans="1:18">
      <c r="A484" s="483">
        <f t="shared" si="56"/>
        <v>480</v>
      </c>
      <c r="B484" s="484">
        <v>14</v>
      </c>
      <c r="C484" s="485">
        <v>31605</v>
      </c>
      <c r="D484" s="763" t="str">
        <f t="shared" si="52"/>
        <v>July</v>
      </c>
      <c r="E484" s="486">
        <v>12</v>
      </c>
      <c r="F484" s="472">
        <v>1986</v>
      </c>
      <c r="G484" s="484" t="s">
        <v>119</v>
      </c>
      <c r="H484" s="472" t="s">
        <v>122</v>
      </c>
      <c r="I484" s="486">
        <v>30</v>
      </c>
      <c r="J484" s="486">
        <v>0.2</v>
      </c>
      <c r="K484" s="472">
        <f t="shared" si="57"/>
        <v>18</v>
      </c>
      <c r="L484" s="473">
        <v>0.78819444444444453</v>
      </c>
      <c r="M484" s="474">
        <f t="shared" si="51"/>
        <v>0.78819444444444453</v>
      </c>
      <c r="N484" s="519"/>
      <c r="P484" s="29" t="str">
        <f t="shared" si="53"/>
        <v>1986F0</v>
      </c>
      <c r="Q484" s="29" t="str">
        <f t="shared" si="54"/>
        <v>F018</v>
      </c>
      <c r="R484" s="29" t="str">
        <f t="shared" si="55"/>
        <v>JulyF0</v>
      </c>
    </row>
    <row r="485" spans="1:18">
      <c r="A485" s="483">
        <f t="shared" si="56"/>
        <v>481</v>
      </c>
      <c r="B485" s="484">
        <v>15</v>
      </c>
      <c r="C485" s="485">
        <v>31626</v>
      </c>
      <c r="D485" s="763" t="str">
        <f t="shared" si="52"/>
        <v>August</v>
      </c>
      <c r="E485" s="486">
        <v>2</v>
      </c>
      <c r="F485" s="472">
        <v>1986</v>
      </c>
      <c r="G485" s="484" t="s">
        <v>99</v>
      </c>
      <c r="H485" s="472" t="s">
        <v>122</v>
      </c>
      <c r="I485" s="486">
        <v>50</v>
      </c>
      <c r="J485" s="486">
        <v>0.5</v>
      </c>
      <c r="K485" s="472">
        <f t="shared" si="57"/>
        <v>15</v>
      </c>
      <c r="L485" s="473">
        <v>0.64583333333333337</v>
      </c>
      <c r="M485" s="474">
        <f t="shared" si="51"/>
        <v>0.64583333333333337</v>
      </c>
      <c r="N485" s="519"/>
      <c r="P485" s="29" t="str">
        <f t="shared" si="53"/>
        <v>1986F0</v>
      </c>
      <c r="Q485" s="29" t="str">
        <f t="shared" si="54"/>
        <v>F015</v>
      </c>
      <c r="R485" s="29" t="str">
        <f t="shared" si="55"/>
        <v>AugustF0</v>
      </c>
    </row>
    <row r="486" spans="1:18">
      <c r="A486" s="483">
        <f t="shared" si="56"/>
        <v>482</v>
      </c>
      <c r="B486" s="484">
        <v>16</v>
      </c>
      <c r="C486" s="485">
        <v>31686</v>
      </c>
      <c r="D486" s="763" t="str">
        <f t="shared" si="52"/>
        <v>October</v>
      </c>
      <c r="E486" s="486">
        <v>1</v>
      </c>
      <c r="F486" s="472">
        <v>1986</v>
      </c>
      <c r="G486" s="484" t="s">
        <v>121</v>
      </c>
      <c r="H486" s="472" t="s">
        <v>122</v>
      </c>
      <c r="I486" s="486">
        <v>30</v>
      </c>
      <c r="J486" s="486">
        <v>0.2</v>
      </c>
      <c r="K486" s="472">
        <f t="shared" si="57"/>
        <v>18</v>
      </c>
      <c r="L486" s="473">
        <v>0.77777777777777779</v>
      </c>
      <c r="M486" s="474">
        <f t="shared" si="51"/>
        <v>0.77777777777777779</v>
      </c>
      <c r="N486" s="519"/>
      <c r="P486" s="29" t="str">
        <f t="shared" si="53"/>
        <v>1986F0</v>
      </c>
      <c r="Q486" s="29" t="str">
        <f t="shared" si="54"/>
        <v>F018</v>
      </c>
      <c r="R486" s="29" t="str">
        <f t="shared" si="55"/>
        <v>OctoberF0</v>
      </c>
    </row>
    <row r="487" spans="1:18">
      <c r="A487" s="483">
        <f t="shared" si="56"/>
        <v>483</v>
      </c>
      <c r="B487" s="484">
        <v>1</v>
      </c>
      <c r="C487" s="485">
        <v>31858</v>
      </c>
      <c r="D487" s="763" t="str">
        <f t="shared" si="52"/>
        <v>March</v>
      </c>
      <c r="E487" s="486">
        <v>22</v>
      </c>
      <c r="F487" s="472">
        <v>1987</v>
      </c>
      <c r="G487" s="484" t="s">
        <v>106</v>
      </c>
      <c r="H487" s="472" t="s">
        <v>125</v>
      </c>
      <c r="I487" s="486">
        <v>440</v>
      </c>
      <c r="J487" s="486">
        <v>30</v>
      </c>
      <c r="K487" s="472">
        <f t="shared" si="57"/>
        <v>17</v>
      </c>
      <c r="L487" s="473">
        <v>0.73958333333333337</v>
      </c>
      <c r="M487" s="474">
        <f t="shared" si="51"/>
        <v>0.73958333333333337</v>
      </c>
      <c r="N487" s="519"/>
      <c r="P487" s="29" t="str">
        <f t="shared" si="53"/>
        <v>1987F3</v>
      </c>
      <c r="Q487" s="29" t="str">
        <f t="shared" si="54"/>
        <v>F317</v>
      </c>
      <c r="R487" s="29" t="str">
        <f t="shared" si="55"/>
        <v>MarchF3</v>
      </c>
    </row>
    <row r="488" spans="1:18">
      <c r="A488" s="483">
        <f t="shared" si="56"/>
        <v>484</v>
      </c>
      <c r="B488" s="484">
        <v>2</v>
      </c>
      <c r="C488" s="485">
        <v>31858</v>
      </c>
      <c r="D488" s="763" t="str">
        <f t="shared" si="52"/>
        <v>March</v>
      </c>
      <c r="E488" s="486">
        <v>22</v>
      </c>
      <c r="F488" s="472">
        <v>1987</v>
      </c>
      <c r="G488" s="484" t="s">
        <v>101</v>
      </c>
      <c r="H488" s="472" t="s">
        <v>124</v>
      </c>
      <c r="I488" s="486">
        <v>83</v>
      </c>
      <c r="J488" s="486">
        <v>10</v>
      </c>
      <c r="K488" s="472">
        <f t="shared" si="57"/>
        <v>19</v>
      </c>
      <c r="L488" s="473">
        <v>0.81388888888888899</v>
      </c>
      <c r="M488" s="474">
        <f t="shared" si="51"/>
        <v>0.81388888888888899</v>
      </c>
      <c r="N488" s="519"/>
      <c r="P488" s="29" t="str">
        <f t="shared" si="53"/>
        <v>1987F2</v>
      </c>
      <c r="Q488" s="29" t="str">
        <f t="shared" si="54"/>
        <v>F219</v>
      </c>
      <c r="R488" s="29" t="str">
        <f t="shared" si="55"/>
        <v>MarchF2</v>
      </c>
    </row>
    <row r="489" spans="1:18">
      <c r="A489" s="483">
        <f t="shared" si="56"/>
        <v>485</v>
      </c>
      <c r="B489" s="484">
        <v>3</v>
      </c>
      <c r="C489" s="485">
        <v>31900</v>
      </c>
      <c r="D489" s="763" t="str">
        <f t="shared" si="52"/>
        <v>May</v>
      </c>
      <c r="E489" s="486">
        <v>3</v>
      </c>
      <c r="F489" s="472">
        <v>1987</v>
      </c>
      <c r="G489" s="484" t="s">
        <v>99</v>
      </c>
      <c r="H489" s="472" t="s">
        <v>122</v>
      </c>
      <c r="I489" s="486">
        <v>30</v>
      </c>
      <c r="J489" s="486">
        <v>0.1</v>
      </c>
      <c r="K489" s="472">
        <f t="shared" si="57"/>
        <v>13</v>
      </c>
      <c r="L489" s="473">
        <v>0.56944444444444442</v>
      </c>
      <c r="M489" s="474">
        <f t="shared" si="51"/>
        <v>0.56944444444444442</v>
      </c>
      <c r="N489" s="519"/>
      <c r="P489" s="29" t="str">
        <f t="shared" si="53"/>
        <v>1987F0</v>
      </c>
      <c r="Q489" s="29" t="str">
        <f t="shared" si="54"/>
        <v>F013</v>
      </c>
      <c r="R489" s="29" t="str">
        <f t="shared" si="55"/>
        <v>MayF0</v>
      </c>
    </row>
    <row r="490" spans="1:18">
      <c r="A490" s="483">
        <f t="shared" si="56"/>
        <v>486</v>
      </c>
      <c r="B490" s="484">
        <v>4</v>
      </c>
      <c r="C490" s="485">
        <v>31918</v>
      </c>
      <c r="D490" s="763" t="str">
        <f t="shared" si="52"/>
        <v>May</v>
      </c>
      <c r="E490" s="486">
        <v>21</v>
      </c>
      <c r="F490" s="472">
        <v>1987</v>
      </c>
      <c r="G490" s="484" t="s">
        <v>115</v>
      </c>
      <c r="H490" s="472" t="s">
        <v>122</v>
      </c>
      <c r="I490" s="486">
        <v>40</v>
      </c>
      <c r="J490" s="486">
        <v>1.5</v>
      </c>
      <c r="K490" s="472">
        <f t="shared" si="57"/>
        <v>16</v>
      </c>
      <c r="L490" s="473">
        <v>0.70138888888888884</v>
      </c>
      <c r="M490" s="474">
        <f t="shared" si="51"/>
        <v>0.70138888888888884</v>
      </c>
      <c r="N490" s="519"/>
      <c r="P490" s="29" t="str">
        <f t="shared" si="53"/>
        <v>1987F0</v>
      </c>
      <c r="Q490" s="29" t="str">
        <f t="shared" si="54"/>
        <v>F016</v>
      </c>
      <c r="R490" s="29" t="str">
        <f t="shared" si="55"/>
        <v>MayF0</v>
      </c>
    </row>
    <row r="491" spans="1:18">
      <c r="A491" s="483">
        <f t="shared" si="56"/>
        <v>487</v>
      </c>
      <c r="B491" s="484">
        <v>5</v>
      </c>
      <c r="C491" s="485">
        <v>31921</v>
      </c>
      <c r="D491" s="763" t="str">
        <f t="shared" si="52"/>
        <v>May</v>
      </c>
      <c r="E491" s="486">
        <v>24</v>
      </c>
      <c r="F491" s="472">
        <v>1987</v>
      </c>
      <c r="G491" s="484" t="s">
        <v>120</v>
      </c>
      <c r="H491" s="472" t="s">
        <v>122</v>
      </c>
      <c r="I491" s="486">
        <v>50</v>
      </c>
      <c r="J491" s="486">
        <v>0.5</v>
      </c>
      <c r="K491" s="472">
        <f t="shared" si="57"/>
        <v>21</v>
      </c>
      <c r="L491" s="473">
        <v>0.89583333333333337</v>
      </c>
      <c r="M491" s="474">
        <f t="shared" si="51"/>
        <v>0.89583333333333337</v>
      </c>
      <c r="N491" s="519"/>
      <c r="P491" s="29" t="str">
        <f t="shared" si="53"/>
        <v>1987F0</v>
      </c>
      <c r="Q491" s="29" t="str">
        <f t="shared" si="54"/>
        <v>F021</v>
      </c>
      <c r="R491" s="29" t="str">
        <f t="shared" si="55"/>
        <v>MayF0</v>
      </c>
    </row>
    <row r="492" spans="1:18">
      <c r="A492" s="483">
        <f t="shared" si="56"/>
        <v>488</v>
      </c>
      <c r="B492" s="484">
        <v>6</v>
      </c>
      <c r="C492" s="485">
        <v>31922</v>
      </c>
      <c r="D492" s="763" t="str">
        <f t="shared" si="52"/>
        <v>May</v>
      </c>
      <c r="E492" s="486">
        <v>25</v>
      </c>
      <c r="F492" s="472">
        <v>1987</v>
      </c>
      <c r="G492" s="484" t="s">
        <v>104</v>
      </c>
      <c r="H492" s="472" t="s">
        <v>123</v>
      </c>
      <c r="I492" s="486">
        <v>100</v>
      </c>
      <c r="J492" s="486">
        <v>2</v>
      </c>
      <c r="K492" s="472">
        <f t="shared" si="57"/>
        <v>16</v>
      </c>
      <c r="L492" s="473">
        <v>0.68055555555555547</v>
      </c>
      <c r="M492" s="474">
        <f t="shared" si="51"/>
        <v>0.68055555555555547</v>
      </c>
      <c r="N492" s="519"/>
      <c r="P492" s="29" t="str">
        <f t="shared" si="53"/>
        <v>1987F1</v>
      </c>
      <c r="Q492" s="29" t="str">
        <f t="shared" si="54"/>
        <v>F116</v>
      </c>
      <c r="R492" s="29" t="str">
        <f t="shared" si="55"/>
        <v>MayF1</v>
      </c>
    </row>
    <row r="493" spans="1:18">
      <c r="A493" s="483">
        <f t="shared" si="56"/>
        <v>489</v>
      </c>
      <c r="B493" s="484">
        <v>7</v>
      </c>
      <c r="C493" s="485">
        <v>31922</v>
      </c>
      <c r="D493" s="763" t="str">
        <f t="shared" si="52"/>
        <v>May</v>
      </c>
      <c r="E493" s="486">
        <v>25</v>
      </c>
      <c r="F493" s="472">
        <v>1987</v>
      </c>
      <c r="G493" s="484" t="s">
        <v>104</v>
      </c>
      <c r="H493" s="472" t="s">
        <v>125</v>
      </c>
      <c r="I493" s="486">
        <v>530</v>
      </c>
      <c r="J493" s="486">
        <v>3</v>
      </c>
      <c r="K493" s="472">
        <f t="shared" si="57"/>
        <v>17</v>
      </c>
      <c r="L493" s="473">
        <v>0.72222222222222221</v>
      </c>
      <c r="M493" s="474">
        <f t="shared" si="51"/>
        <v>0.72222222222222221</v>
      </c>
      <c r="N493" s="519"/>
      <c r="P493" s="29" t="str">
        <f t="shared" si="53"/>
        <v>1987F3</v>
      </c>
      <c r="Q493" s="29" t="str">
        <f t="shared" si="54"/>
        <v>F317</v>
      </c>
      <c r="R493" s="29" t="str">
        <f t="shared" si="55"/>
        <v>MayF3</v>
      </c>
    </row>
    <row r="494" spans="1:18">
      <c r="A494" s="483">
        <f t="shared" si="56"/>
        <v>490</v>
      </c>
      <c r="B494" s="484">
        <v>8</v>
      </c>
      <c r="C494" s="485">
        <v>31922</v>
      </c>
      <c r="D494" s="763" t="str">
        <f t="shared" si="52"/>
        <v>May</v>
      </c>
      <c r="E494" s="486">
        <v>25</v>
      </c>
      <c r="F494" s="472">
        <v>1987</v>
      </c>
      <c r="G494" s="484" t="s">
        <v>104</v>
      </c>
      <c r="H494" s="472" t="s">
        <v>122</v>
      </c>
      <c r="I494" s="486">
        <v>40</v>
      </c>
      <c r="J494" s="486">
        <v>0.1</v>
      </c>
      <c r="K494" s="472">
        <f t="shared" si="57"/>
        <v>18</v>
      </c>
      <c r="L494" s="473">
        <v>0.76041666666666663</v>
      </c>
      <c r="M494" s="474">
        <f t="shared" si="51"/>
        <v>0.76041666666666663</v>
      </c>
      <c r="N494" s="519"/>
      <c r="P494" s="29" t="str">
        <f t="shared" si="53"/>
        <v>1987F0</v>
      </c>
      <c r="Q494" s="29" t="str">
        <f t="shared" si="54"/>
        <v>F018</v>
      </c>
      <c r="R494" s="29" t="str">
        <f t="shared" si="55"/>
        <v>MayF0</v>
      </c>
    </row>
    <row r="495" spans="1:18">
      <c r="A495" s="483">
        <f t="shared" si="56"/>
        <v>491</v>
      </c>
      <c r="B495" s="484">
        <v>9</v>
      </c>
      <c r="C495" s="485">
        <v>31922</v>
      </c>
      <c r="D495" s="763" t="str">
        <f t="shared" si="52"/>
        <v>May</v>
      </c>
      <c r="E495" s="486">
        <v>25</v>
      </c>
      <c r="F495" s="472">
        <v>1987</v>
      </c>
      <c r="G495" s="484" t="s">
        <v>118</v>
      </c>
      <c r="H495" s="472" t="s">
        <v>124</v>
      </c>
      <c r="I495" s="486">
        <v>150</v>
      </c>
      <c r="J495" s="486">
        <v>10</v>
      </c>
      <c r="K495" s="472">
        <f t="shared" si="57"/>
        <v>18</v>
      </c>
      <c r="L495" s="473">
        <v>0.77083333333333337</v>
      </c>
      <c r="M495" s="474">
        <f t="shared" si="51"/>
        <v>0.77083333333333337</v>
      </c>
      <c r="N495" s="519"/>
      <c r="P495" s="29" t="str">
        <f t="shared" si="53"/>
        <v>1987F2</v>
      </c>
      <c r="Q495" s="29" t="str">
        <f t="shared" si="54"/>
        <v>F218</v>
      </c>
      <c r="R495" s="29" t="str">
        <f t="shared" si="55"/>
        <v>MayF2</v>
      </c>
    </row>
    <row r="496" spans="1:18">
      <c r="A496" s="483">
        <f t="shared" si="56"/>
        <v>492</v>
      </c>
      <c r="B496" s="484">
        <v>10</v>
      </c>
      <c r="C496" s="485">
        <v>31922</v>
      </c>
      <c r="D496" s="763" t="str">
        <f t="shared" si="52"/>
        <v>May</v>
      </c>
      <c r="E496" s="486">
        <v>25</v>
      </c>
      <c r="F496" s="472">
        <v>1987</v>
      </c>
      <c r="G496" s="484" t="s">
        <v>118</v>
      </c>
      <c r="H496" s="472" t="s">
        <v>122</v>
      </c>
      <c r="I496" s="486">
        <v>50</v>
      </c>
      <c r="J496" s="486">
        <v>1</v>
      </c>
      <c r="K496" s="472">
        <f t="shared" si="57"/>
        <v>18</v>
      </c>
      <c r="L496" s="473">
        <v>0.78680555555555554</v>
      </c>
      <c r="M496" s="474">
        <f t="shared" si="51"/>
        <v>0.78680555555555554</v>
      </c>
      <c r="N496" s="519"/>
      <c r="P496" s="29" t="str">
        <f t="shared" si="53"/>
        <v>1987F0</v>
      </c>
      <c r="Q496" s="29" t="str">
        <f t="shared" si="54"/>
        <v>F018</v>
      </c>
      <c r="R496" s="29" t="str">
        <f t="shared" si="55"/>
        <v>MayF0</v>
      </c>
    </row>
    <row r="497" spans="1:18">
      <c r="A497" s="483">
        <f t="shared" si="56"/>
        <v>493</v>
      </c>
      <c r="B497" s="484">
        <v>11</v>
      </c>
      <c r="C497" s="485">
        <v>31922</v>
      </c>
      <c r="D497" s="763" t="str">
        <f t="shared" si="52"/>
        <v>May</v>
      </c>
      <c r="E497" s="486">
        <v>25</v>
      </c>
      <c r="F497" s="472">
        <v>1987</v>
      </c>
      <c r="G497" s="484" t="s">
        <v>105</v>
      </c>
      <c r="H497" s="472" t="s">
        <v>125</v>
      </c>
      <c r="I497" s="486">
        <v>700</v>
      </c>
      <c r="J497" s="486">
        <v>3</v>
      </c>
      <c r="K497" s="472">
        <f t="shared" si="57"/>
        <v>19</v>
      </c>
      <c r="L497" s="473">
        <v>0.8</v>
      </c>
      <c r="M497" s="474">
        <f t="shared" si="51"/>
        <v>0.8</v>
      </c>
      <c r="N497" s="519"/>
      <c r="P497" s="29" t="str">
        <f t="shared" si="53"/>
        <v>1987F3</v>
      </c>
      <c r="Q497" s="29" t="str">
        <f t="shared" si="54"/>
        <v>F319</v>
      </c>
      <c r="R497" s="29" t="str">
        <f t="shared" si="55"/>
        <v>MayF3</v>
      </c>
    </row>
    <row r="498" spans="1:18">
      <c r="A498" s="483">
        <f t="shared" si="56"/>
        <v>494</v>
      </c>
      <c r="B498" s="484">
        <v>12</v>
      </c>
      <c r="C498" s="485">
        <v>31922</v>
      </c>
      <c r="D498" s="763" t="str">
        <f t="shared" si="52"/>
        <v>May</v>
      </c>
      <c r="E498" s="486">
        <v>25</v>
      </c>
      <c r="F498" s="472">
        <v>1987</v>
      </c>
      <c r="G498" s="484" t="s">
        <v>105</v>
      </c>
      <c r="H498" s="472" t="s">
        <v>123</v>
      </c>
      <c r="I498" s="486">
        <v>80</v>
      </c>
      <c r="J498" s="486">
        <v>10</v>
      </c>
      <c r="K498" s="472">
        <f t="shared" si="57"/>
        <v>19</v>
      </c>
      <c r="L498" s="473">
        <v>0.81597222222222221</v>
      </c>
      <c r="M498" s="474">
        <f t="shared" si="51"/>
        <v>0.81597222222222221</v>
      </c>
      <c r="N498" s="519"/>
      <c r="P498" s="29" t="str">
        <f t="shared" si="53"/>
        <v>1987F1</v>
      </c>
      <c r="Q498" s="29" t="str">
        <f t="shared" si="54"/>
        <v>F119</v>
      </c>
      <c r="R498" s="29" t="str">
        <f t="shared" si="55"/>
        <v>MayF1</v>
      </c>
    </row>
    <row r="499" spans="1:18">
      <c r="A499" s="483">
        <f t="shared" si="56"/>
        <v>495</v>
      </c>
      <c r="B499" s="484">
        <v>13</v>
      </c>
      <c r="C499" s="485">
        <v>31922</v>
      </c>
      <c r="D499" s="763" t="str">
        <f t="shared" si="52"/>
        <v>May</v>
      </c>
      <c r="E499" s="486">
        <v>25</v>
      </c>
      <c r="F499" s="472">
        <v>1987</v>
      </c>
      <c r="G499" s="484" t="s">
        <v>118</v>
      </c>
      <c r="H499" s="472" t="s">
        <v>122</v>
      </c>
      <c r="I499" s="486">
        <v>50</v>
      </c>
      <c r="J499" s="486">
        <v>0.1</v>
      </c>
      <c r="K499" s="472">
        <f t="shared" si="57"/>
        <v>20</v>
      </c>
      <c r="L499" s="473">
        <v>0.83888888888888891</v>
      </c>
      <c r="M499" s="474">
        <f t="shared" si="51"/>
        <v>0.83888888888888891</v>
      </c>
      <c r="N499" s="519"/>
      <c r="P499" s="29" t="str">
        <f t="shared" si="53"/>
        <v>1987F0</v>
      </c>
      <c r="Q499" s="29" t="str">
        <f t="shared" si="54"/>
        <v>F020</v>
      </c>
      <c r="R499" s="29" t="str">
        <f t="shared" si="55"/>
        <v>MayF0</v>
      </c>
    </row>
    <row r="500" spans="1:18">
      <c r="A500" s="483">
        <f t="shared" si="56"/>
        <v>496</v>
      </c>
      <c r="B500" s="484">
        <v>14</v>
      </c>
      <c r="C500" s="485">
        <v>31922</v>
      </c>
      <c r="D500" s="763" t="str">
        <f t="shared" si="52"/>
        <v>May</v>
      </c>
      <c r="E500" s="486">
        <v>25</v>
      </c>
      <c r="F500" s="472">
        <v>1987</v>
      </c>
      <c r="G500" s="484" t="s">
        <v>118</v>
      </c>
      <c r="H500" s="472" t="s">
        <v>122</v>
      </c>
      <c r="I500" s="486">
        <v>60</v>
      </c>
      <c r="J500" s="486">
        <v>3</v>
      </c>
      <c r="K500" s="472">
        <f t="shared" si="57"/>
        <v>20</v>
      </c>
      <c r="L500" s="473">
        <v>0.84722222222222221</v>
      </c>
      <c r="M500" s="474">
        <f t="shared" si="51"/>
        <v>0.84722222222222221</v>
      </c>
      <c r="N500" s="519"/>
      <c r="P500" s="29" t="str">
        <f t="shared" si="53"/>
        <v>1987F0</v>
      </c>
      <c r="Q500" s="29" t="str">
        <f t="shared" si="54"/>
        <v>F020</v>
      </c>
      <c r="R500" s="29" t="str">
        <f t="shared" si="55"/>
        <v>MayF0</v>
      </c>
    </row>
    <row r="501" spans="1:18">
      <c r="A501" s="483">
        <f t="shared" si="56"/>
        <v>497</v>
      </c>
      <c r="B501" s="484">
        <v>15</v>
      </c>
      <c r="C501" s="485">
        <v>31922</v>
      </c>
      <c r="D501" s="763" t="str">
        <f t="shared" si="52"/>
        <v>May</v>
      </c>
      <c r="E501" s="486">
        <v>25</v>
      </c>
      <c r="F501" s="472">
        <v>1987</v>
      </c>
      <c r="G501" s="484" t="s">
        <v>118</v>
      </c>
      <c r="H501" s="472" t="s">
        <v>124</v>
      </c>
      <c r="I501" s="486">
        <v>150</v>
      </c>
      <c r="J501" s="486">
        <v>2</v>
      </c>
      <c r="K501" s="472">
        <f t="shared" si="57"/>
        <v>21</v>
      </c>
      <c r="L501" s="473">
        <v>0.875</v>
      </c>
      <c r="M501" s="474">
        <f t="shared" si="51"/>
        <v>0.875</v>
      </c>
      <c r="N501" s="519"/>
      <c r="P501" s="29" t="str">
        <f t="shared" si="53"/>
        <v>1987F2</v>
      </c>
      <c r="Q501" s="29" t="str">
        <f t="shared" si="54"/>
        <v>F221</v>
      </c>
      <c r="R501" s="29" t="str">
        <f t="shared" si="55"/>
        <v>MayF2</v>
      </c>
    </row>
    <row r="502" spans="1:18">
      <c r="A502" s="483">
        <f t="shared" si="56"/>
        <v>498</v>
      </c>
      <c r="B502" s="484">
        <v>16</v>
      </c>
      <c r="C502" s="485">
        <v>31922</v>
      </c>
      <c r="D502" s="763" t="str">
        <f t="shared" si="52"/>
        <v>May</v>
      </c>
      <c r="E502" s="486">
        <v>25</v>
      </c>
      <c r="F502" s="472">
        <v>1987</v>
      </c>
      <c r="G502" s="484" t="s">
        <v>113</v>
      </c>
      <c r="H502" s="472" t="s">
        <v>122</v>
      </c>
      <c r="I502" s="486">
        <v>40</v>
      </c>
      <c r="J502" s="486">
        <v>0.1</v>
      </c>
      <c r="K502" s="472">
        <f t="shared" si="57"/>
        <v>21</v>
      </c>
      <c r="L502" s="473">
        <v>0.89583333333333337</v>
      </c>
      <c r="M502" s="474">
        <f t="shared" si="51"/>
        <v>0.89583333333333337</v>
      </c>
      <c r="N502" s="519"/>
      <c r="P502" s="29" t="str">
        <f t="shared" si="53"/>
        <v>1987F0</v>
      </c>
      <c r="Q502" s="29" t="str">
        <f t="shared" si="54"/>
        <v>F021</v>
      </c>
      <c r="R502" s="29" t="str">
        <f t="shared" si="55"/>
        <v>MayF0</v>
      </c>
    </row>
    <row r="503" spans="1:18">
      <c r="A503" s="483">
        <f t="shared" si="56"/>
        <v>499</v>
      </c>
      <c r="B503" s="484">
        <v>17</v>
      </c>
      <c r="C503" s="485">
        <v>31923</v>
      </c>
      <c r="D503" s="763" t="str">
        <f t="shared" si="52"/>
        <v>May</v>
      </c>
      <c r="E503" s="486">
        <v>26</v>
      </c>
      <c r="F503" s="472">
        <v>1987</v>
      </c>
      <c r="G503" s="484" t="s">
        <v>100</v>
      </c>
      <c r="H503" s="472" t="s">
        <v>122</v>
      </c>
      <c r="I503" s="486">
        <v>30</v>
      </c>
      <c r="J503" s="486">
        <v>0.1</v>
      </c>
      <c r="K503" s="472">
        <f t="shared" si="57"/>
        <v>22</v>
      </c>
      <c r="L503" s="473">
        <v>0.92013888888888884</v>
      </c>
      <c r="M503" s="474">
        <f t="shared" si="51"/>
        <v>0.92013888888888884</v>
      </c>
      <c r="N503" s="519"/>
      <c r="P503" s="29" t="str">
        <f t="shared" si="53"/>
        <v>1987F0</v>
      </c>
      <c r="Q503" s="29" t="str">
        <f t="shared" si="54"/>
        <v>F022</v>
      </c>
      <c r="R503" s="29" t="str">
        <f t="shared" si="55"/>
        <v>MayF0</v>
      </c>
    </row>
    <row r="504" spans="1:18">
      <c r="A504" s="483">
        <f t="shared" si="56"/>
        <v>500</v>
      </c>
      <c r="B504" s="484">
        <v>18</v>
      </c>
      <c r="C504" s="485">
        <v>31927</v>
      </c>
      <c r="D504" s="763" t="str">
        <f t="shared" si="52"/>
        <v>May</v>
      </c>
      <c r="E504" s="486">
        <v>30</v>
      </c>
      <c r="F504" s="472">
        <v>1987</v>
      </c>
      <c r="G504" s="484" t="s">
        <v>104</v>
      </c>
      <c r="H504" s="472" t="s">
        <v>123</v>
      </c>
      <c r="I504" s="486">
        <v>70</v>
      </c>
      <c r="J504" s="486">
        <v>4</v>
      </c>
      <c r="K504" s="472">
        <f t="shared" si="57"/>
        <v>20</v>
      </c>
      <c r="L504" s="473">
        <v>0.84513888888888899</v>
      </c>
      <c r="M504" s="474">
        <f t="shared" si="51"/>
        <v>0.84513888888888899</v>
      </c>
      <c r="N504" s="519"/>
      <c r="P504" s="29" t="str">
        <f t="shared" si="53"/>
        <v>1987F1</v>
      </c>
      <c r="Q504" s="29" t="str">
        <f t="shared" si="54"/>
        <v>F120</v>
      </c>
      <c r="R504" s="29" t="str">
        <f t="shared" si="55"/>
        <v>MayF1</v>
      </c>
    </row>
    <row r="505" spans="1:18">
      <c r="A505" s="483">
        <f t="shared" si="56"/>
        <v>501</v>
      </c>
      <c r="B505" s="484">
        <v>19</v>
      </c>
      <c r="C505" s="485">
        <v>31930</v>
      </c>
      <c r="D505" s="763" t="str">
        <f t="shared" si="52"/>
        <v>June</v>
      </c>
      <c r="E505" s="486">
        <v>2</v>
      </c>
      <c r="F505" s="472">
        <v>1987</v>
      </c>
      <c r="G505" s="484" t="s">
        <v>106</v>
      </c>
      <c r="H505" s="472" t="s">
        <v>124</v>
      </c>
      <c r="I505" s="486">
        <v>1600</v>
      </c>
      <c r="J505" s="486">
        <v>6</v>
      </c>
      <c r="K505" s="472">
        <f t="shared" si="57"/>
        <v>14</v>
      </c>
      <c r="L505" s="473">
        <v>0.59722222222222221</v>
      </c>
      <c r="M505" s="474">
        <f t="shared" si="51"/>
        <v>0.59722222222222221</v>
      </c>
      <c r="N505" s="519"/>
      <c r="P505" s="29" t="str">
        <f t="shared" si="53"/>
        <v>1987F2</v>
      </c>
      <c r="Q505" s="29" t="str">
        <f t="shared" si="54"/>
        <v>F214</v>
      </c>
      <c r="R505" s="29" t="str">
        <f t="shared" si="55"/>
        <v>JuneF2</v>
      </c>
    </row>
    <row r="506" spans="1:18">
      <c r="A506" s="483">
        <f t="shared" si="56"/>
        <v>502</v>
      </c>
      <c r="B506" s="484">
        <v>20</v>
      </c>
      <c r="C506" s="485">
        <v>31930</v>
      </c>
      <c r="D506" s="763" t="str">
        <f t="shared" si="52"/>
        <v>June</v>
      </c>
      <c r="E506" s="486">
        <v>2</v>
      </c>
      <c r="F506" s="472">
        <v>1987</v>
      </c>
      <c r="G506" s="484" t="s">
        <v>106</v>
      </c>
      <c r="H506" s="472" t="s">
        <v>124</v>
      </c>
      <c r="I506" s="486">
        <v>1600</v>
      </c>
      <c r="J506" s="486">
        <v>7.5</v>
      </c>
      <c r="K506" s="472">
        <f t="shared" si="57"/>
        <v>15</v>
      </c>
      <c r="L506" s="473">
        <v>0.63541666666666663</v>
      </c>
      <c r="M506" s="474">
        <f t="shared" ref="M506:M568" si="58">+L506</f>
        <v>0.63541666666666663</v>
      </c>
      <c r="N506" s="519"/>
      <c r="P506" s="29" t="str">
        <f t="shared" si="53"/>
        <v>1987F2</v>
      </c>
      <c r="Q506" s="29" t="str">
        <f t="shared" si="54"/>
        <v>F215</v>
      </c>
      <c r="R506" s="29" t="str">
        <f t="shared" si="55"/>
        <v>JuneF2</v>
      </c>
    </row>
    <row r="507" spans="1:18">
      <c r="A507" s="483">
        <f t="shared" si="56"/>
        <v>503</v>
      </c>
      <c r="B507" s="484">
        <v>21</v>
      </c>
      <c r="C507" s="485">
        <v>31930</v>
      </c>
      <c r="D507" s="763" t="str">
        <f t="shared" si="52"/>
        <v>June</v>
      </c>
      <c r="E507" s="486">
        <v>2</v>
      </c>
      <c r="F507" s="472">
        <v>1987</v>
      </c>
      <c r="G507" s="484" t="s">
        <v>113</v>
      </c>
      <c r="H507" s="472" t="s">
        <v>123</v>
      </c>
      <c r="I507" s="486">
        <v>100</v>
      </c>
      <c r="J507" s="486">
        <v>3</v>
      </c>
      <c r="K507" s="472">
        <f t="shared" si="57"/>
        <v>18</v>
      </c>
      <c r="L507" s="473">
        <v>0.77777777777777779</v>
      </c>
      <c r="M507" s="474">
        <f t="shared" si="58"/>
        <v>0.77777777777777779</v>
      </c>
      <c r="N507" s="519"/>
      <c r="P507" s="29" t="str">
        <f t="shared" si="53"/>
        <v>1987F1</v>
      </c>
      <c r="Q507" s="29" t="str">
        <f t="shared" si="54"/>
        <v>F118</v>
      </c>
      <c r="R507" s="29" t="str">
        <f t="shared" si="55"/>
        <v>JuneF1</v>
      </c>
    </row>
    <row r="508" spans="1:18">
      <c r="A508" s="483">
        <f t="shared" si="56"/>
        <v>504</v>
      </c>
      <c r="B508" s="484">
        <v>22</v>
      </c>
      <c r="C508" s="485">
        <v>31930</v>
      </c>
      <c r="D508" s="763" t="str">
        <f t="shared" si="52"/>
        <v>June</v>
      </c>
      <c r="E508" s="486">
        <v>2</v>
      </c>
      <c r="F508" s="472">
        <v>1987</v>
      </c>
      <c r="G508" s="484" t="s">
        <v>113</v>
      </c>
      <c r="H508" s="472" t="s">
        <v>122</v>
      </c>
      <c r="I508" s="486">
        <v>40</v>
      </c>
      <c r="J508" s="486">
        <v>0.1</v>
      </c>
      <c r="K508" s="472">
        <f t="shared" si="57"/>
        <v>19</v>
      </c>
      <c r="L508" s="473">
        <v>0.80555555555555547</v>
      </c>
      <c r="M508" s="474">
        <f t="shared" si="58"/>
        <v>0.80555555555555547</v>
      </c>
      <c r="N508" s="519"/>
      <c r="P508" s="29" t="str">
        <f t="shared" si="53"/>
        <v>1987F0</v>
      </c>
      <c r="Q508" s="29" t="str">
        <f t="shared" si="54"/>
        <v>F019</v>
      </c>
      <c r="R508" s="29" t="str">
        <f t="shared" si="55"/>
        <v>JuneF0</v>
      </c>
    </row>
    <row r="509" spans="1:18">
      <c r="A509" s="483">
        <f t="shared" si="56"/>
        <v>505</v>
      </c>
      <c r="B509" s="484">
        <v>23</v>
      </c>
      <c r="C509" s="485">
        <v>31939</v>
      </c>
      <c r="D509" s="763" t="str">
        <f t="shared" si="52"/>
        <v>June</v>
      </c>
      <c r="E509" s="486">
        <v>11</v>
      </c>
      <c r="F509" s="472">
        <v>1987</v>
      </c>
      <c r="G509" s="484" t="s">
        <v>105</v>
      </c>
      <c r="H509" s="472" t="s">
        <v>123</v>
      </c>
      <c r="I509" s="486">
        <v>60</v>
      </c>
      <c r="J509" s="486">
        <v>1.5</v>
      </c>
      <c r="K509" s="472">
        <f t="shared" si="57"/>
        <v>17</v>
      </c>
      <c r="L509" s="473">
        <v>0.72222222222222221</v>
      </c>
      <c r="M509" s="474">
        <f t="shared" si="58"/>
        <v>0.72222222222222221</v>
      </c>
      <c r="N509" s="519"/>
      <c r="P509" s="29" t="str">
        <f t="shared" si="53"/>
        <v>1987F1</v>
      </c>
      <c r="Q509" s="29" t="str">
        <f t="shared" si="54"/>
        <v>F117</v>
      </c>
      <c r="R509" s="29" t="str">
        <f t="shared" si="55"/>
        <v>JuneF1</v>
      </c>
    </row>
    <row r="510" spans="1:18">
      <c r="A510" s="483">
        <f t="shared" si="56"/>
        <v>506</v>
      </c>
      <c r="B510" s="484">
        <v>24</v>
      </c>
      <c r="C510" s="485">
        <v>31957</v>
      </c>
      <c r="D510" s="763" t="str">
        <f t="shared" si="52"/>
        <v>June</v>
      </c>
      <c r="E510" s="486">
        <v>29</v>
      </c>
      <c r="F510" s="472">
        <v>1987</v>
      </c>
      <c r="G510" s="484" t="s">
        <v>105</v>
      </c>
      <c r="H510" s="472" t="s">
        <v>122</v>
      </c>
      <c r="I510" s="486">
        <v>40</v>
      </c>
      <c r="J510" s="486">
        <v>0.1</v>
      </c>
      <c r="K510" s="472">
        <f t="shared" si="57"/>
        <v>14</v>
      </c>
      <c r="L510" s="473">
        <v>0.60763888888888895</v>
      </c>
      <c r="M510" s="474">
        <f t="shared" si="58"/>
        <v>0.60763888888888895</v>
      </c>
      <c r="N510" s="519"/>
      <c r="P510" s="29" t="str">
        <f t="shared" si="53"/>
        <v>1987F0</v>
      </c>
      <c r="Q510" s="29" t="str">
        <f t="shared" si="54"/>
        <v>F014</v>
      </c>
      <c r="R510" s="29" t="str">
        <f t="shared" si="55"/>
        <v>JuneF0</v>
      </c>
    </row>
    <row r="511" spans="1:18">
      <c r="A511" s="483">
        <f t="shared" si="56"/>
        <v>507</v>
      </c>
      <c r="B511" s="484">
        <v>25</v>
      </c>
      <c r="C511" s="485">
        <v>31959</v>
      </c>
      <c r="D511" s="763" t="str">
        <f t="shared" si="52"/>
        <v>July</v>
      </c>
      <c r="E511" s="486">
        <v>1</v>
      </c>
      <c r="F511" s="472">
        <v>1987</v>
      </c>
      <c r="G511" s="484" t="s">
        <v>109</v>
      </c>
      <c r="H511" s="472" t="s">
        <v>123</v>
      </c>
      <c r="I511" s="486">
        <v>80</v>
      </c>
      <c r="J511" s="486">
        <v>3</v>
      </c>
      <c r="K511" s="472">
        <f t="shared" si="57"/>
        <v>19</v>
      </c>
      <c r="L511" s="473">
        <v>0.79513888888888884</v>
      </c>
      <c r="M511" s="474">
        <f t="shared" si="58"/>
        <v>0.79513888888888884</v>
      </c>
      <c r="N511" s="519"/>
      <c r="P511" s="29" t="str">
        <f t="shared" si="53"/>
        <v>1987F1</v>
      </c>
      <c r="Q511" s="29" t="str">
        <f t="shared" si="54"/>
        <v>F119</v>
      </c>
      <c r="R511" s="29" t="str">
        <f t="shared" si="55"/>
        <v>JulyF1</v>
      </c>
    </row>
    <row r="512" spans="1:18">
      <c r="A512" s="483">
        <f t="shared" si="56"/>
        <v>508</v>
      </c>
      <c r="B512" s="484">
        <v>26</v>
      </c>
      <c r="C512" s="485">
        <v>31959</v>
      </c>
      <c r="D512" s="763" t="str">
        <f t="shared" si="52"/>
        <v>July</v>
      </c>
      <c r="E512" s="486">
        <v>1</v>
      </c>
      <c r="F512" s="472">
        <v>1987</v>
      </c>
      <c r="G512" s="484" t="s">
        <v>114</v>
      </c>
      <c r="H512" s="472" t="s">
        <v>124</v>
      </c>
      <c r="I512" s="486">
        <v>200</v>
      </c>
      <c r="J512" s="486">
        <v>4.5</v>
      </c>
      <c r="K512" s="472">
        <f t="shared" si="57"/>
        <v>19</v>
      </c>
      <c r="L512" s="473">
        <v>0.8125</v>
      </c>
      <c r="M512" s="474">
        <f t="shared" si="58"/>
        <v>0.8125</v>
      </c>
      <c r="N512" s="519"/>
      <c r="P512" s="29" t="str">
        <f t="shared" si="53"/>
        <v>1987F2</v>
      </c>
      <c r="Q512" s="29" t="str">
        <f t="shared" si="54"/>
        <v>F219</v>
      </c>
      <c r="R512" s="29" t="str">
        <f t="shared" si="55"/>
        <v>JulyF2</v>
      </c>
    </row>
    <row r="513" spans="1:18">
      <c r="A513" s="483">
        <f t="shared" si="56"/>
        <v>509</v>
      </c>
      <c r="B513" s="484">
        <v>27</v>
      </c>
      <c r="C513" s="485">
        <v>31959</v>
      </c>
      <c r="D513" s="763" t="str">
        <f t="shared" si="52"/>
        <v>July</v>
      </c>
      <c r="E513" s="486">
        <v>1</v>
      </c>
      <c r="F513" s="472">
        <v>1987</v>
      </c>
      <c r="G513" s="484" t="s">
        <v>114</v>
      </c>
      <c r="H513" s="472" t="s">
        <v>124</v>
      </c>
      <c r="I513" s="486">
        <v>150</v>
      </c>
      <c r="J513" s="486">
        <v>9</v>
      </c>
      <c r="K513" s="472">
        <f t="shared" si="57"/>
        <v>20</v>
      </c>
      <c r="L513" s="473">
        <v>0.87291666666666667</v>
      </c>
      <c r="M513" s="474">
        <f t="shared" si="58"/>
        <v>0.87291666666666667</v>
      </c>
      <c r="N513" s="519">
        <v>0.9</v>
      </c>
      <c r="P513" s="29" t="str">
        <f t="shared" si="53"/>
        <v>1987F2</v>
      </c>
      <c r="Q513" s="29" t="str">
        <f t="shared" si="54"/>
        <v>F220</v>
      </c>
      <c r="R513" s="29" t="str">
        <f t="shared" si="55"/>
        <v>JulyF2</v>
      </c>
    </row>
    <row r="514" spans="1:18">
      <c r="A514" s="483">
        <f t="shared" si="56"/>
        <v>510</v>
      </c>
      <c r="B514" s="484">
        <v>28</v>
      </c>
      <c r="C514" s="485">
        <v>31965</v>
      </c>
      <c r="D514" s="763" t="str">
        <f t="shared" si="52"/>
        <v>July</v>
      </c>
      <c r="E514" s="486">
        <v>7</v>
      </c>
      <c r="F514" s="472">
        <v>1987</v>
      </c>
      <c r="G514" s="484" t="s">
        <v>103</v>
      </c>
      <c r="H514" s="472" t="s">
        <v>123</v>
      </c>
      <c r="I514" s="486">
        <v>40</v>
      </c>
      <c r="J514" s="486">
        <v>0.5</v>
      </c>
      <c r="K514" s="472">
        <f t="shared" si="57"/>
        <v>18</v>
      </c>
      <c r="L514" s="473">
        <v>0.77777777777777779</v>
      </c>
      <c r="M514" s="474">
        <f t="shared" si="58"/>
        <v>0.77777777777777779</v>
      </c>
      <c r="N514" s="519"/>
      <c r="P514" s="29" t="str">
        <f t="shared" si="53"/>
        <v>1987F1</v>
      </c>
      <c r="Q514" s="29" t="str">
        <f t="shared" si="54"/>
        <v>F118</v>
      </c>
      <c r="R514" s="29" t="str">
        <f t="shared" si="55"/>
        <v>JulyF1</v>
      </c>
    </row>
    <row r="515" spans="1:18">
      <c r="A515" s="483">
        <f t="shared" si="56"/>
        <v>511</v>
      </c>
      <c r="B515" s="484">
        <v>29</v>
      </c>
      <c r="C515" s="485">
        <v>31972</v>
      </c>
      <c r="D515" s="763" t="str">
        <f t="shared" si="52"/>
        <v>July</v>
      </c>
      <c r="E515" s="486">
        <v>14</v>
      </c>
      <c r="F515" s="472">
        <v>1987</v>
      </c>
      <c r="G515" s="484" t="s">
        <v>104</v>
      </c>
      <c r="H515" s="472" t="s">
        <v>122</v>
      </c>
      <c r="I515" s="486">
        <v>60</v>
      </c>
      <c r="J515" s="486">
        <v>1</v>
      </c>
      <c r="K515" s="472">
        <f t="shared" si="57"/>
        <v>15</v>
      </c>
      <c r="L515" s="473">
        <v>0.66111111111111109</v>
      </c>
      <c r="M515" s="474">
        <f t="shared" si="58"/>
        <v>0.66111111111111109</v>
      </c>
      <c r="N515" s="519"/>
      <c r="P515" s="29" t="str">
        <f t="shared" si="53"/>
        <v>1987F0</v>
      </c>
      <c r="Q515" s="29" t="str">
        <f t="shared" si="54"/>
        <v>F015</v>
      </c>
      <c r="R515" s="29" t="str">
        <f t="shared" si="55"/>
        <v>JulyF0</v>
      </c>
    </row>
    <row r="516" spans="1:18">
      <c r="A516" s="483">
        <f t="shared" si="56"/>
        <v>512</v>
      </c>
      <c r="B516" s="484">
        <v>30</v>
      </c>
      <c r="C516" s="485">
        <v>31972</v>
      </c>
      <c r="D516" s="763" t="str">
        <f t="shared" si="52"/>
        <v>July</v>
      </c>
      <c r="E516" s="486">
        <v>14</v>
      </c>
      <c r="F516" s="472">
        <v>1987</v>
      </c>
      <c r="G516" s="484" t="s">
        <v>105</v>
      </c>
      <c r="H516" s="472" t="s">
        <v>123</v>
      </c>
      <c r="I516" s="486">
        <v>90</v>
      </c>
      <c r="J516" s="486">
        <v>2</v>
      </c>
      <c r="K516" s="472">
        <f t="shared" si="57"/>
        <v>15</v>
      </c>
      <c r="L516" s="473">
        <v>0.66319444444444442</v>
      </c>
      <c r="M516" s="474">
        <f t="shared" si="58"/>
        <v>0.66319444444444442</v>
      </c>
      <c r="N516" s="519"/>
      <c r="P516" s="29" t="str">
        <f t="shared" si="53"/>
        <v>1987F1</v>
      </c>
      <c r="Q516" s="29" t="str">
        <f t="shared" si="54"/>
        <v>F115</v>
      </c>
      <c r="R516" s="29" t="str">
        <f t="shared" si="55"/>
        <v>JulyF1</v>
      </c>
    </row>
    <row r="517" spans="1:18">
      <c r="A517" s="483">
        <f t="shared" si="56"/>
        <v>513</v>
      </c>
      <c r="B517" s="484">
        <v>31</v>
      </c>
      <c r="C517" s="485">
        <v>31972</v>
      </c>
      <c r="D517" s="763" t="str">
        <f t="shared" ref="D517:D580" si="59">+TEXT(C517,"mmmm")</f>
        <v>July</v>
      </c>
      <c r="E517" s="486">
        <v>14</v>
      </c>
      <c r="F517" s="472">
        <v>1987</v>
      </c>
      <c r="G517" s="484" t="s">
        <v>115</v>
      </c>
      <c r="H517" s="472" t="s">
        <v>124</v>
      </c>
      <c r="I517" s="486">
        <v>150</v>
      </c>
      <c r="J517" s="486">
        <v>4.5</v>
      </c>
      <c r="K517" s="472">
        <f t="shared" si="57"/>
        <v>18</v>
      </c>
      <c r="L517" s="473">
        <v>0.75</v>
      </c>
      <c r="M517" s="474">
        <f t="shared" si="58"/>
        <v>0.75</v>
      </c>
      <c r="N517" s="519"/>
      <c r="P517" s="29" t="str">
        <f t="shared" si="53"/>
        <v>1987F2</v>
      </c>
      <c r="Q517" s="29" t="str">
        <f t="shared" si="54"/>
        <v>F218</v>
      </c>
      <c r="R517" s="29" t="str">
        <f t="shared" si="55"/>
        <v>JulyF2</v>
      </c>
    </row>
    <row r="518" spans="1:18">
      <c r="A518" s="483">
        <f t="shared" si="56"/>
        <v>514</v>
      </c>
      <c r="B518" s="484">
        <v>32</v>
      </c>
      <c r="C518" s="485">
        <v>32031</v>
      </c>
      <c r="D518" s="763" t="str">
        <f t="shared" si="59"/>
        <v>September</v>
      </c>
      <c r="E518" s="486">
        <v>11</v>
      </c>
      <c r="F518" s="472">
        <v>1987</v>
      </c>
      <c r="G518" s="484" t="s">
        <v>104</v>
      </c>
      <c r="H518" s="472" t="s">
        <v>122</v>
      </c>
      <c r="I518" s="486">
        <v>40</v>
      </c>
      <c r="J518" s="486">
        <v>0.1</v>
      </c>
      <c r="K518" s="472">
        <f t="shared" si="57"/>
        <v>21</v>
      </c>
      <c r="L518" s="473">
        <v>0.90277777777777779</v>
      </c>
      <c r="M518" s="474">
        <f t="shared" si="58"/>
        <v>0.90277777777777779</v>
      </c>
      <c r="N518" s="519"/>
      <c r="P518" s="29" t="str">
        <f t="shared" ref="P518:P581" si="60">CONCATENATE(F518,H518)</f>
        <v>1987F0</v>
      </c>
      <c r="Q518" s="29" t="str">
        <f t="shared" ref="Q518:Q581" si="61">CONCATENATE(H518,K518)</f>
        <v>F021</v>
      </c>
      <c r="R518" s="29" t="str">
        <f t="shared" ref="R518:R581" si="62">CONCATENATE(D518,H518)</f>
        <v>SeptemberF0</v>
      </c>
    </row>
    <row r="519" spans="1:18">
      <c r="A519" s="483">
        <f t="shared" ref="A519:A582" si="63">+A518+1</f>
        <v>515</v>
      </c>
      <c r="B519" s="484">
        <v>1</v>
      </c>
      <c r="C519" s="485">
        <v>32293</v>
      </c>
      <c r="D519" s="763" t="str">
        <f t="shared" si="59"/>
        <v>May</v>
      </c>
      <c r="E519" s="486">
        <v>30</v>
      </c>
      <c r="F519" s="472">
        <v>1988</v>
      </c>
      <c r="G519" s="484" t="s">
        <v>99</v>
      </c>
      <c r="H519" s="472" t="s">
        <v>123</v>
      </c>
      <c r="I519" s="486">
        <v>73</v>
      </c>
      <c r="J519" s="486">
        <v>10</v>
      </c>
      <c r="K519" s="472">
        <f t="shared" si="57"/>
        <v>18</v>
      </c>
      <c r="L519" s="473">
        <v>0.76041666666666663</v>
      </c>
      <c r="M519" s="474">
        <f t="shared" si="58"/>
        <v>0.76041666666666663</v>
      </c>
      <c r="N519" s="519"/>
      <c r="P519" s="29" t="str">
        <f t="shared" si="60"/>
        <v>1988F1</v>
      </c>
      <c r="Q519" s="29" t="str">
        <f t="shared" si="61"/>
        <v>F118</v>
      </c>
      <c r="R519" s="29" t="str">
        <f t="shared" si="62"/>
        <v>MayF1</v>
      </c>
    </row>
    <row r="520" spans="1:18">
      <c r="A520" s="483">
        <f t="shared" si="63"/>
        <v>516</v>
      </c>
      <c r="B520" s="484">
        <v>2</v>
      </c>
      <c r="C520" s="485">
        <v>32293</v>
      </c>
      <c r="D520" s="763" t="str">
        <f t="shared" si="59"/>
        <v>May</v>
      </c>
      <c r="E520" s="486">
        <v>30</v>
      </c>
      <c r="F520" s="472">
        <v>1988</v>
      </c>
      <c r="G520" s="484" t="s">
        <v>102</v>
      </c>
      <c r="H520" s="472" t="s">
        <v>122</v>
      </c>
      <c r="I520" s="486">
        <v>100</v>
      </c>
      <c r="J520" s="486">
        <v>3</v>
      </c>
      <c r="K520" s="472">
        <f t="shared" si="57"/>
        <v>18</v>
      </c>
      <c r="L520" s="473">
        <v>0.77430555555555547</v>
      </c>
      <c r="M520" s="474">
        <f t="shared" si="58"/>
        <v>0.77430555555555547</v>
      </c>
      <c r="N520" s="519"/>
      <c r="P520" s="29" t="str">
        <f t="shared" si="60"/>
        <v>1988F0</v>
      </c>
      <c r="Q520" s="29" t="str">
        <f t="shared" si="61"/>
        <v>F018</v>
      </c>
      <c r="R520" s="29" t="str">
        <f t="shared" si="62"/>
        <v>MayF0</v>
      </c>
    </row>
    <row r="521" spans="1:18">
      <c r="A521" s="483">
        <f t="shared" si="63"/>
        <v>517</v>
      </c>
      <c r="B521" s="484">
        <v>3</v>
      </c>
      <c r="C521" s="485">
        <v>32372</v>
      </c>
      <c r="D521" s="763" t="str">
        <f t="shared" si="59"/>
        <v>August</v>
      </c>
      <c r="E521" s="486">
        <v>17</v>
      </c>
      <c r="F521" s="472">
        <v>1988</v>
      </c>
      <c r="G521" s="484" t="s">
        <v>114</v>
      </c>
      <c r="H521" s="472" t="s">
        <v>122</v>
      </c>
      <c r="I521" s="486">
        <v>30</v>
      </c>
      <c r="J521" s="486">
        <v>0.1</v>
      </c>
      <c r="K521" s="472">
        <f t="shared" si="57"/>
        <v>15</v>
      </c>
      <c r="L521" s="473">
        <v>0.66180555555555554</v>
      </c>
      <c r="M521" s="474">
        <f t="shared" si="58"/>
        <v>0.66180555555555554</v>
      </c>
      <c r="N521" s="519"/>
      <c r="P521" s="29" t="str">
        <f t="shared" si="60"/>
        <v>1988F0</v>
      </c>
      <c r="Q521" s="29" t="str">
        <f t="shared" si="61"/>
        <v>F015</v>
      </c>
      <c r="R521" s="29" t="str">
        <f t="shared" si="62"/>
        <v>AugustF0</v>
      </c>
    </row>
    <row r="522" spans="1:18">
      <c r="A522" s="483">
        <f t="shared" si="63"/>
        <v>518</v>
      </c>
      <c r="B522" s="484">
        <v>4</v>
      </c>
      <c r="C522" s="485">
        <v>32400</v>
      </c>
      <c r="D522" s="763" t="str">
        <f t="shared" si="59"/>
        <v>September</v>
      </c>
      <c r="E522" s="486">
        <v>14</v>
      </c>
      <c r="F522" s="472">
        <v>1988</v>
      </c>
      <c r="G522" s="484" t="s">
        <v>118</v>
      </c>
      <c r="H522" s="472" t="s">
        <v>124</v>
      </c>
      <c r="I522" s="486">
        <v>173</v>
      </c>
      <c r="J522" s="486">
        <v>0.7</v>
      </c>
      <c r="K522" s="472">
        <f t="shared" si="57"/>
        <v>21</v>
      </c>
      <c r="L522" s="473">
        <v>0.875</v>
      </c>
      <c r="M522" s="474">
        <f t="shared" si="58"/>
        <v>0.875</v>
      </c>
      <c r="N522" s="519"/>
      <c r="P522" s="29" t="str">
        <f t="shared" si="60"/>
        <v>1988F2</v>
      </c>
      <c r="Q522" s="29" t="str">
        <f t="shared" si="61"/>
        <v>F221</v>
      </c>
      <c r="R522" s="29" t="str">
        <f t="shared" si="62"/>
        <v>SeptemberF2</v>
      </c>
    </row>
    <row r="523" spans="1:18">
      <c r="A523" s="483">
        <f t="shared" si="63"/>
        <v>519</v>
      </c>
      <c r="B523" s="484">
        <v>1</v>
      </c>
      <c r="C523" s="485">
        <v>32628</v>
      </c>
      <c r="D523" s="763" t="str">
        <f t="shared" si="59"/>
        <v>April</v>
      </c>
      <c r="E523" s="486">
        <v>30</v>
      </c>
      <c r="F523" s="472">
        <v>1989</v>
      </c>
      <c r="G523" s="484" t="s">
        <v>108</v>
      </c>
      <c r="H523" s="472" t="s">
        <v>122</v>
      </c>
      <c r="I523" s="486">
        <v>40</v>
      </c>
      <c r="J523" s="486">
        <v>0.3</v>
      </c>
      <c r="K523" s="472">
        <f t="shared" si="57"/>
        <v>17</v>
      </c>
      <c r="L523" s="473">
        <v>0.71875</v>
      </c>
      <c r="M523" s="474">
        <f t="shared" si="58"/>
        <v>0.71875</v>
      </c>
      <c r="N523" s="519"/>
      <c r="P523" s="29" t="str">
        <f t="shared" si="60"/>
        <v>1989F0</v>
      </c>
      <c r="Q523" s="29" t="str">
        <f t="shared" si="61"/>
        <v>F017</v>
      </c>
      <c r="R523" s="29" t="str">
        <f t="shared" si="62"/>
        <v>AprilF0</v>
      </c>
    </row>
    <row r="524" spans="1:18">
      <c r="A524" s="483">
        <f t="shared" si="63"/>
        <v>520</v>
      </c>
      <c r="B524" s="484">
        <v>2</v>
      </c>
      <c r="C524" s="485">
        <v>32628</v>
      </c>
      <c r="D524" s="763" t="str">
        <f t="shared" si="59"/>
        <v>April</v>
      </c>
      <c r="E524" s="486">
        <v>30</v>
      </c>
      <c r="F524" s="472">
        <v>1989</v>
      </c>
      <c r="G524" s="484" t="s">
        <v>113</v>
      </c>
      <c r="H524" s="472" t="s">
        <v>122</v>
      </c>
      <c r="I524" s="486">
        <v>20</v>
      </c>
      <c r="J524" s="486">
        <v>0.1</v>
      </c>
      <c r="K524" s="472">
        <f t="shared" si="57"/>
        <v>18</v>
      </c>
      <c r="L524" s="473">
        <v>0.76944444444444438</v>
      </c>
      <c r="M524" s="474">
        <f t="shared" si="58"/>
        <v>0.76944444444444438</v>
      </c>
      <c r="N524" s="519"/>
      <c r="P524" s="29" t="str">
        <f t="shared" si="60"/>
        <v>1989F0</v>
      </c>
      <c r="Q524" s="29" t="str">
        <f t="shared" si="61"/>
        <v>F018</v>
      </c>
      <c r="R524" s="29" t="str">
        <f t="shared" si="62"/>
        <v>AprilF0</v>
      </c>
    </row>
    <row r="525" spans="1:18">
      <c r="A525" s="483">
        <f t="shared" si="63"/>
        <v>521</v>
      </c>
      <c r="B525" s="484">
        <v>3</v>
      </c>
      <c r="C525" s="485">
        <v>32628</v>
      </c>
      <c r="D525" s="763" t="str">
        <f t="shared" si="59"/>
        <v>April</v>
      </c>
      <c r="E525" s="486">
        <v>30</v>
      </c>
      <c r="F525" s="472">
        <v>1989</v>
      </c>
      <c r="G525" s="484" t="s">
        <v>118</v>
      </c>
      <c r="H525" s="472" t="s">
        <v>122</v>
      </c>
      <c r="I525" s="486">
        <v>20</v>
      </c>
      <c r="J525" s="486">
        <v>0.2</v>
      </c>
      <c r="K525" s="472">
        <f t="shared" si="57"/>
        <v>18</v>
      </c>
      <c r="L525" s="473">
        <v>0.76944444444444438</v>
      </c>
      <c r="M525" s="474">
        <f t="shared" si="58"/>
        <v>0.76944444444444438</v>
      </c>
      <c r="N525" s="519"/>
      <c r="P525" s="29" t="str">
        <f t="shared" si="60"/>
        <v>1989F0</v>
      </c>
      <c r="Q525" s="29" t="str">
        <f t="shared" si="61"/>
        <v>F018</v>
      </c>
      <c r="R525" s="29" t="str">
        <f t="shared" si="62"/>
        <v>AprilF0</v>
      </c>
    </row>
    <row r="526" spans="1:18">
      <c r="A526" s="483">
        <f t="shared" si="63"/>
        <v>522</v>
      </c>
      <c r="B526" s="484">
        <v>4</v>
      </c>
      <c r="C526" s="485">
        <v>32632</v>
      </c>
      <c r="D526" s="763" t="str">
        <f t="shared" si="59"/>
        <v>May</v>
      </c>
      <c r="E526" s="486">
        <v>4</v>
      </c>
      <c r="F526" s="472">
        <v>1989</v>
      </c>
      <c r="G526" s="484" t="s">
        <v>108</v>
      </c>
      <c r="H526" s="472" t="s">
        <v>122</v>
      </c>
      <c r="I526" s="486">
        <v>40</v>
      </c>
      <c r="J526" s="486">
        <v>1</v>
      </c>
      <c r="K526" s="472">
        <f t="shared" ref="K526:K589" si="64">HOUR(M526)</f>
        <v>15</v>
      </c>
      <c r="L526" s="473">
        <v>0.64583333333333337</v>
      </c>
      <c r="M526" s="474">
        <f t="shared" si="58"/>
        <v>0.64583333333333337</v>
      </c>
      <c r="N526" s="519"/>
      <c r="P526" s="29" t="str">
        <f t="shared" si="60"/>
        <v>1989F0</v>
      </c>
      <c r="Q526" s="29" t="str">
        <f t="shared" si="61"/>
        <v>F015</v>
      </c>
      <c r="R526" s="29" t="str">
        <f t="shared" si="62"/>
        <v>MayF0</v>
      </c>
    </row>
    <row r="527" spans="1:18">
      <c r="A527" s="483">
        <f t="shared" si="63"/>
        <v>523</v>
      </c>
      <c r="B527" s="484">
        <v>5</v>
      </c>
      <c r="C527" s="485">
        <v>32632</v>
      </c>
      <c r="D527" s="763" t="str">
        <f t="shared" si="59"/>
        <v>May</v>
      </c>
      <c r="E527" s="486">
        <v>4</v>
      </c>
      <c r="F527" s="472">
        <v>1989</v>
      </c>
      <c r="G527" s="484" t="s">
        <v>108</v>
      </c>
      <c r="H527" s="472" t="s">
        <v>122</v>
      </c>
      <c r="I527" s="486">
        <v>40</v>
      </c>
      <c r="J527" s="486">
        <v>1</v>
      </c>
      <c r="K527" s="472">
        <f t="shared" si="64"/>
        <v>15</v>
      </c>
      <c r="L527" s="473">
        <v>0.65625</v>
      </c>
      <c r="M527" s="474">
        <f t="shared" si="58"/>
        <v>0.65625</v>
      </c>
      <c r="N527" s="519"/>
      <c r="P527" s="29" t="str">
        <f t="shared" si="60"/>
        <v>1989F0</v>
      </c>
      <c r="Q527" s="29" t="str">
        <f t="shared" si="61"/>
        <v>F015</v>
      </c>
      <c r="R527" s="29" t="str">
        <f t="shared" si="62"/>
        <v>MayF0</v>
      </c>
    </row>
    <row r="528" spans="1:18">
      <c r="A528" s="483">
        <f t="shared" si="63"/>
        <v>524</v>
      </c>
      <c r="B528" s="484">
        <v>6</v>
      </c>
      <c r="C528" s="485">
        <v>32632</v>
      </c>
      <c r="D528" s="763" t="str">
        <f t="shared" si="59"/>
        <v>May</v>
      </c>
      <c r="E528" s="486">
        <v>4</v>
      </c>
      <c r="F528" s="472">
        <v>1989</v>
      </c>
      <c r="G528" s="484" t="s">
        <v>118</v>
      </c>
      <c r="H528" s="472" t="s">
        <v>122</v>
      </c>
      <c r="I528" s="486">
        <v>50</v>
      </c>
      <c r="J528" s="486">
        <v>2</v>
      </c>
      <c r="K528" s="472">
        <f t="shared" si="64"/>
        <v>17</v>
      </c>
      <c r="L528" s="473">
        <v>0.71180555555555547</v>
      </c>
      <c r="M528" s="474">
        <f t="shared" si="58"/>
        <v>0.71180555555555547</v>
      </c>
      <c r="N528" s="519"/>
      <c r="P528" s="29" t="str">
        <f t="shared" si="60"/>
        <v>1989F0</v>
      </c>
      <c r="Q528" s="29" t="str">
        <f t="shared" si="61"/>
        <v>F017</v>
      </c>
      <c r="R528" s="29" t="str">
        <f t="shared" si="62"/>
        <v>MayF0</v>
      </c>
    </row>
    <row r="529" spans="1:18">
      <c r="A529" s="483">
        <f t="shared" si="63"/>
        <v>525</v>
      </c>
      <c r="B529" s="484">
        <v>7</v>
      </c>
      <c r="C529" s="485">
        <v>32640</v>
      </c>
      <c r="D529" s="763" t="str">
        <f t="shared" si="59"/>
        <v>May</v>
      </c>
      <c r="E529" s="486">
        <v>12</v>
      </c>
      <c r="F529" s="472">
        <v>1989</v>
      </c>
      <c r="G529" s="484" t="s">
        <v>107</v>
      </c>
      <c r="H529" s="472" t="s">
        <v>124</v>
      </c>
      <c r="I529" s="486">
        <v>200</v>
      </c>
      <c r="J529" s="486">
        <v>7</v>
      </c>
      <c r="K529" s="472">
        <f t="shared" si="64"/>
        <v>17</v>
      </c>
      <c r="L529" s="473">
        <v>0.72638888888888886</v>
      </c>
      <c r="M529" s="474">
        <f t="shared" si="58"/>
        <v>0.72638888888888886</v>
      </c>
      <c r="N529" s="519"/>
      <c r="P529" s="29" t="str">
        <f t="shared" si="60"/>
        <v>1989F2</v>
      </c>
      <c r="Q529" s="29" t="str">
        <f t="shared" si="61"/>
        <v>F217</v>
      </c>
      <c r="R529" s="29" t="str">
        <f t="shared" si="62"/>
        <v>MayF2</v>
      </c>
    </row>
    <row r="530" spans="1:18">
      <c r="A530" s="483">
        <f t="shared" si="63"/>
        <v>526</v>
      </c>
      <c r="B530" s="484">
        <v>8</v>
      </c>
      <c r="C530" s="485">
        <v>32640</v>
      </c>
      <c r="D530" s="763" t="str">
        <f t="shared" si="59"/>
        <v>May</v>
      </c>
      <c r="E530" s="486">
        <v>12</v>
      </c>
      <c r="F530" s="472">
        <v>1989</v>
      </c>
      <c r="G530" s="484" t="s">
        <v>112</v>
      </c>
      <c r="H530" s="472" t="s">
        <v>122</v>
      </c>
      <c r="I530" s="486">
        <v>60</v>
      </c>
      <c r="J530" s="486">
        <v>2</v>
      </c>
      <c r="K530" s="472">
        <f t="shared" si="64"/>
        <v>18</v>
      </c>
      <c r="L530" s="473">
        <v>0.76875000000000004</v>
      </c>
      <c r="M530" s="474">
        <f t="shared" si="58"/>
        <v>0.76875000000000004</v>
      </c>
      <c r="N530" s="519"/>
      <c r="P530" s="29" t="str">
        <f t="shared" si="60"/>
        <v>1989F0</v>
      </c>
      <c r="Q530" s="29" t="str">
        <f t="shared" si="61"/>
        <v>F018</v>
      </c>
      <c r="R530" s="29" t="str">
        <f t="shared" si="62"/>
        <v>MayF0</v>
      </c>
    </row>
    <row r="531" spans="1:18">
      <c r="A531" s="483">
        <f t="shared" si="63"/>
        <v>527</v>
      </c>
      <c r="B531" s="484">
        <v>9</v>
      </c>
      <c r="C531" s="485">
        <v>32643</v>
      </c>
      <c r="D531" s="763" t="str">
        <f t="shared" si="59"/>
        <v>May</v>
      </c>
      <c r="E531" s="486">
        <v>15</v>
      </c>
      <c r="F531" s="472">
        <v>1989</v>
      </c>
      <c r="G531" s="484" t="s">
        <v>117</v>
      </c>
      <c r="H531" s="472" t="s">
        <v>122</v>
      </c>
      <c r="I531" s="486">
        <v>50</v>
      </c>
      <c r="J531" s="486">
        <v>1</v>
      </c>
      <c r="K531" s="472">
        <f t="shared" si="64"/>
        <v>18</v>
      </c>
      <c r="L531" s="473">
        <v>0.76944444444444438</v>
      </c>
      <c r="M531" s="474">
        <f t="shared" si="58"/>
        <v>0.76944444444444438</v>
      </c>
      <c r="N531" s="519">
        <v>0.78125</v>
      </c>
      <c r="P531" s="29" t="str">
        <f t="shared" si="60"/>
        <v>1989F0</v>
      </c>
      <c r="Q531" s="29" t="str">
        <f t="shared" si="61"/>
        <v>F018</v>
      </c>
      <c r="R531" s="29" t="str">
        <f t="shared" si="62"/>
        <v>MayF0</v>
      </c>
    </row>
    <row r="532" spans="1:18">
      <c r="A532" s="483">
        <f t="shared" si="63"/>
        <v>528</v>
      </c>
      <c r="B532" s="484">
        <v>10</v>
      </c>
      <c r="C532" s="485">
        <v>32643</v>
      </c>
      <c r="D532" s="763" t="str">
        <f t="shared" si="59"/>
        <v>May</v>
      </c>
      <c r="E532" s="486">
        <v>15</v>
      </c>
      <c r="F532" s="472">
        <v>1989</v>
      </c>
      <c r="G532" s="484" t="s">
        <v>112</v>
      </c>
      <c r="H532" s="472" t="s">
        <v>123</v>
      </c>
      <c r="I532" s="486">
        <v>210</v>
      </c>
      <c r="J532" s="486">
        <v>4</v>
      </c>
      <c r="K532" s="472">
        <f t="shared" si="64"/>
        <v>18</v>
      </c>
      <c r="L532" s="473">
        <v>0.78125</v>
      </c>
      <c r="M532" s="474">
        <f t="shared" si="58"/>
        <v>0.78125</v>
      </c>
      <c r="N532" s="519"/>
      <c r="P532" s="29" t="str">
        <f t="shared" si="60"/>
        <v>1989F1</v>
      </c>
      <c r="Q532" s="29" t="str">
        <f t="shared" si="61"/>
        <v>F118</v>
      </c>
      <c r="R532" s="29" t="str">
        <f t="shared" si="62"/>
        <v>MayF1</v>
      </c>
    </row>
    <row r="533" spans="1:18">
      <c r="A533" s="483">
        <f t="shared" si="63"/>
        <v>529</v>
      </c>
      <c r="B533" s="484">
        <v>11</v>
      </c>
      <c r="C533" s="485">
        <v>32643</v>
      </c>
      <c r="D533" s="763" t="str">
        <f t="shared" si="59"/>
        <v>May</v>
      </c>
      <c r="E533" s="486">
        <v>15</v>
      </c>
      <c r="F533" s="472">
        <v>1989</v>
      </c>
      <c r="G533" s="484" t="s">
        <v>112</v>
      </c>
      <c r="H533" s="472" t="s">
        <v>122</v>
      </c>
      <c r="I533" s="486">
        <v>90</v>
      </c>
      <c r="J533" s="486">
        <v>1.5</v>
      </c>
      <c r="K533" s="472">
        <f t="shared" si="64"/>
        <v>20</v>
      </c>
      <c r="L533" s="473">
        <v>0.83680555555555547</v>
      </c>
      <c r="M533" s="474">
        <f t="shared" si="58"/>
        <v>0.83680555555555547</v>
      </c>
      <c r="N533" s="519"/>
      <c r="P533" s="29" t="str">
        <f t="shared" si="60"/>
        <v>1989F0</v>
      </c>
      <c r="Q533" s="29" t="str">
        <f t="shared" si="61"/>
        <v>F020</v>
      </c>
      <c r="R533" s="29" t="str">
        <f t="shared" si="62"/>
        <v>MayF0</v>
      </c>
    </row>
    <row r="534" spans="1:18">
      <c r="A534" s="483">
        <f t="shared" si="63"/>
        <v>530</v>
      </c>
      <c r="B534" s="484">
        <v>12</v>
      </c>
      <c r="C534" s="485">
        <v>32644</v>
      </c>
      <c r="D534" s="763" t="str">
        <f t="shared" si="59"/>
        <v>May</v>
      </c>
      <c r="E534" s="486">
        <v>16</v>
      </c>
      <c r="F534" s="472">
        <v>1989</v>
      </c>
      <c r="G534" s="484" t="s">
        <v>112</v>
      </c>
      <c r="H534" s="472" t="s">
        <v>123</v>
      </c>
      <c r="I534" s="486">
        <v>80</v>
      </c>
      <c r="J534" s="486">
        <v>3</v>
      </c>
      <c r="K534" s="472">
        <f t="shared" si="64"/>
        <v>13</v>
      </c>
      <c r="L534" s="473">
        <v>0.57986111111111105</v>
      </c>
      <c r="M534" s="474">
        <f t="shared" si="58"/>
        <v>0.57986111111111105</v>
      </c>
      <c r="N534" s="519"/>
      <c r="P534" s="29" t="str">
        <f t="shared" si="60"/>
        <v>1989F1</v>
      </c>
      <c r="Q534" s="29" t="str">
        <f t="shared" si="61"/>
        <v>F113</v>
      </c>
      <c r="R534" s="29" t="str">
        <f t="shared" si="62"/>
        <v>MayF1</v>
      </c>
    </row>
    <row r="535" spans="1:18">
      <c r="A535" s="483">
        <f t="shared" si="63"/>
        <v>531</v>
      </c>
      <c r="B535" s="484">
        <v>13</v>
      </c>
      <c r="C535" s="485">
        <v>32644</v>
      </c>
      <c r="D535" s="763" t="str">
        <f t="shared" si="59"/>
        <v>May</v>
      </c>
      <c r="E535" s="486">
        <v>16</v>
      </c>
      <c r="F535" s="472">
        <v>1989</v>
      </c>
      <c r="G535" s="484" t="s">
        <v>118</v>
      </c>
      <c r="H535" s="472" t="s">
        <v>122</v>
      </c>
      <c r="I535" s="486">
        <v>60</v>
      </c>
      <c r="J535" s="486">
        <v>1.5</v>
      </c>
      <c r="K535" s="472">
        <f t="shared" si="64"/>
        <v>16</v>
      </c>
      <c r="L535" s="473">
        <v>0.68055555555555547</v>
      </c>
      <c r="M535" s="474">
        <f t="shared" si="58"/>
        <v>0.68055555555555547</v>
      </c>
      <c r="N535" s="519"/>
      <c r="P535" s="29" t="str">
        <f t="shared" si="60"/>
        <v>1989F0</v>
      </c>
      <c r="Q535" s="29" t="str">
        <f t="shared" si="61"/>
        <v>F016</v>
      </c>
      <c r="R535" s="29" t="str">
        <f t="shared" si="62"/>
        <v>MayF0</v>
      </c>
    </row>
    <row r="536" spans="1:18">
      <c r="A536" s="483">
        <f t="shared" si="63"/>
        <v>532</v>
      </c>
      <c r="B536" s="484">
        <v>14</v>
      </c>
      <c r="C536" s="485">
        <v>32644</v>
      </c>
      <c r="D536" s="763" t="str">
        <f t="shared" si="59"/>
        <v>May</v>
      </c>
      <c r="E536" s="486">
        <v>16</v>
      </c>
      <c r="F536" s="472">
        <v>1989</v>
      </c>
      <c r="G536" s="484" t="s">
        <v>118</v>
      </c>
      <c r="H536" s="472" t="s">
        <v>124</v>
      </c>
      <c r="I536" s="486">
        <v>300</v>
      </c>
      <c r="J536" s="486">
        <v>10</v>
      </c>
      <c r="K536" s="472">
        <f t="shared" si="64"/>
        <v>16</v>
      </c>
      <c r="L536" s="473">
        <v>0.69097222222222221</v>
      </c>
      <c r="M536" s="474">
        <f t="shared" si="58"/>
        <v>0.69097222222222221</v>
      </c>
      <c r="N536" s="519"/>
      <c r="P536" s="29" t="str">
        <f t="shared" si="60"/>
        <v>1989F2</v>
      </c>
      <c r="Q536" s="29" t="str">
        <f t="shared" si="61"/>
        <v>F216</v>
      </c>
      <c r="R536" s="29" t="str">
        <f t="shared" si="62"/>
        <v>MayF2</v>
      </c>
    </row>
    <row r="537" spans="1:18">
      <c r="A537" s="483">
        <f t="shared" si="63"/>
        <v>533</v>
      </c>
      <c r="B537" s="484">
        <v>15</v>
      </c>
      <c r="C537" s="485">
        <v>32644</v>
      </c>
      <c r="D537" s="763" t="str">
        <f t="shared" si="59"/>
        <v>May</v>
      </c>
      <c r="E537" s="486">
        <v>16</v>
      </c>
      <c r="F537" s="472">
        <v>1989</v>
      </c>
      <c r="G537" s="484" t="s">
        <v>113</v>
      </c>
      <c r="H537" s="472" t="s">
        <v>122</v>
      </c>
      <c r="I537" s="486">
        <v>50</v>
      </c>
      <c r="J537" s="486">
        <v>3</v>
      </c>
      <c r="K537" s="472">
        <f t="shared" si="64"/>
        <v>16</v>
      </c>
      <c r="L537" s="473">
        <v>0.70486111111111116</v>
      </c>
      <c r="M537" s="474">
        <f t="shared" si="58"/>
        <v>0.70486111111111116</v>
      </c>
      <c r="N537" s="519"/>
      <c r="P537" s="29" t="str">
        <f t="shared" si="60"/>
        <v>1989F0</v>
      </c>
      <c r="Q537" s="29" t="str">
        <f t="shared" si="61"/>
        <v>F016</v>
      </c>
      <c r="R537" s="29" t="str">
        <f t="shared" si="62"/>
        <v>MayF0</v>
      </c>
    </row>
    <row r="538" spans="1:18">
      <c r="A538" s="483">
        <f t="shared" si="63"/>
        <v>534</v>
      </c>
      <c r="B538" s="484">
        <v>16</v>
      </c>
      <c r="C538" s="485">
        <v>32644</v>
      </c>
      <c r="D538" s="763" t="str">
        <f t="shared" si="59"/>
        <v>May</v>
      </c>
      <c r="E538" s="486">
        <v>16</v>
      </c>
      <c r="F538" s="472">
        <v>1989</v>
      </c>
      <c r="G538" s="484" t="s">
        <v>118</v>
      </c>
      <c r="H538" s="472" t="s">
        <v>122</v>
      </c>
      <c r="I538" s="486">
        <v>40</v>
      </c>
      <c r="J538" s="486">
        <v>1</v>
      </c>
      <c r="K538" s="472">
        <f t="shared" si="64"/>
        <v>16</v>
      </c>
      <c r="L538" s="473">
        <v>0.70486111111111116</v>
      </c>
      <c r="M538" s="474">
        <f t="shared" si="58"/>
        <v>0.70486111111111116</v>
      </c>
      <c r="N538" s="519"/>
      <c r="P538" s="29" t="str">
        <f t="shared" si="60"/>
        <v>1989F0</v>
      </c>
      <c r="Q538" s="29" t="str">
        <f t="shared" si="61"/>
        <v>F016</v>
      </c>
      <c r="R538" s="29" t="str">
        <f t="shared" si="62"/>
        <v>MayF0</v>
      </c>
    </row>
    <row r="539" spans="1:18">
      <c r="A539" s="483">
        <f t="shared" si="63"/>
        <v>535</v>
      </c>
      <c r="B539" s="484">
        <v>17</v>
      </c>
      <c r="C539" s="485">
        <v>32644</v>
      </c>
      <c r="D539" s="763" t="str">
        <f t="shared" si="59"/>
        <v>May</v>
      </c>
      <c r="E539" s="486">
        <v>16</v>
      </c>
      <c r="F539" s="472">
        <v>1989</v>
      </c>
      <c r="G539" s="484" t="s">
        <v>113</v>
      </c>
      <c r="H539" s="472" t="s">
        <v>122</v>
      </c>
      <c r="I539" s="486">
        <v>40</v>
      </c>
      <c r="J539" s="486">
        <v>0.1</v>
      </c>
      <c r="K539" s="472">
        <f t="shared" si="64"/>
        <v>17</v>
      </c>
      <c r="L539" s="473">
        <v>0.70972222222222225</v>
      </c>
      <c r="M539" s="474">
        <f t="shared" si="58"/>
        <v>0.70972222222222225</v>
      </c>
      <c r="N539" s="519"/>
      <c r="P539" s="29" t="str">
        <f t="shared" si="60"/>
        <v>1989F0</v>
      </c>
      <c r="Q539" s="29" t="str">
        <f t="shared" si="61"/>
        <v>F017</v>
      </c>
      <c r="R539" s="29" t="str">
        <f t="shared" si="62"/>
        <v>MayF0</v>
      </c>
    </row>
    <row r="540" spans="1:18">
      <c r="A540" s="483">
        <f t="shared" si="63"/>
        <v>536</v>
      </c>
      <c r="B540" s="484">
        <v>18</v>
      </c>
      <c r="C540" s="485">
        <v>32644</v>
      </c>
      <c r="D540" s="763" t="str">
        <f t="shared" si="59"/>
        <v>May</v>
      </c>
      <c r="E540" s="486">
        <v>16</v>
      </c>
      <c r="F540" s="472">
        <v>1989</v>
      </c>
      <c r="G540" s="484" t="s">
        <v>113</v>
      </c>
      <c r="H540" s="472" t="s">
        <v>123</v>
      </c>
      <c r="I540" s="486">
        <v>110</v>
      </c>
      <c r="J540" s="486">
        <v>0.2</v>
      </c>
      <c r="K540" s="472">
        <f t="shared" si="64"/>
        <v>17</v>
      </c>
      <c r="L540" s="473">
        <v>0.72430555555555554</v>
      </c>
      <c r="M540" s="474">
        <f t="shared" si="58"/>
        <v>0.72430555555555554</v>
      </c>
      <c r="N540" s="519"/>
      <c r="P540" s="29" t="str">
        <f t="shared" si="60"/>
        <v>1989F1</v>
      </c>
      <c r="Q540" s="29" t="str">
        <f t="shared" si="61"/>
        <v>F117</v>
      </c>
      <c r="R540" s="29" t="str">
        <f t="shared" si="62"/>
        <v>MayF1</v>
      </c>
    </row>
    <row r="541" spans="1:18">
      <c r="A541" s="483">
        <f t="shared" si="63"/>
        <v>537</v>
      </c>
      <c r="B541" s="484">
        <v>19</v>
      </c>
      <c r="C541" s="485">
        <v>32665</v>
      </c>
      <c r="D541" s="763" t="str">
        <f t="shared" si="59"/>
        <v>June</v>
      </c>
      <c r="E541" s="486">
        <v>6</v>
      </c>
      <c r="F541" s="472">
        <v>1989</v>
      </c>
      <c r="G541" s="484" t="s">
        <v>106</v>
      </c>
      <c r="H541" s="472" t="s">
        <v>123</v>
      </c>
      <c r="I541" s="486">
        <v>60</v>
      </c>
      <c r="J541" s="486">
        <v>1</v>
      </c>
      <c r="K541" s="472">
        <f t="shared" si="64"/>
        <v>20</v>
      </c>
      <c r="L541" s="473">
        <v>0.84236111111111101</v>
      </c>
      <c r="M541" s="474">
        <f t="shared" si="58"/>
        <v>0.84236111111111101</v>
      </c>
      <c r="N541" s="519"/>
      <c r="P541" s="29" t="str">
        <f t="shared" si="60"/>
        <v>1989F1</v>
      </c>
      <c r="Q541" s="29" t="str">
        <f t="shared" si="61"/>
        <v>F120</v>
      </c>
      <c r="R541" s="29" t="str">
        <f t="shared" si="62"/>
        <v>JuneF1</v>
      </c>
    </row>
    <row r="542" spans="1:18">
      <c r="A542" s="483">
        <f t="shared" si="63"/>
        <v>538</v>
      </c>
      <c r="B542" s="484">
        <v>20</v>
      </c>
      <c r="C542" s="485">
        <v>32665</v>
      </c>
      <c r="D542" s="763" t="str">
        <f t="shared" si="59"/>
        <v>June</v>
      </c>
      <c r="E542" s="486">
        <v>6</v>
      </c>
      <c r="F542" s="472">
        <v>1989</v>
      </c>
      <c r="G542" s="484" t="s">
        <v>106</v>
      </c>
      <c r="H542" s="472" t="s">
        <v>123</v>
      </c>
      <c r="I542" s="486">
        <v>40</v>
      </c>
      <c r="J542" s="486">
        <v>1</v>
      </c>
      <c r="K542" s="472">
        <f t="shared" si="64"/>
        <v>20</v>
      </c>
      <c r="L542" s="473">
        <v>0.85624999999999996</v>
      </c>
      <c r="M542" s="474">
        <f t="shared" si="58"/>
        <v>0.85624999999999996</v>
      </c>
      <c r="N542" s="519"/>
      <c r="P542" s="29" t="str">
        <f t="shared" si="60"/>
        <v>1989F1</v>
      </c>
      <c r="Q542" s="29" t="str">
        <f t="shared" si="61"/>
        <v>F120</v>
      </c>
      <c r="R542" s="29" t="str">
        <f t="shared" si="62"/>
        <v>JuneF1</v>
      </c>
    </row>
    <row r="543" spans="1:18">
      <c r="A543" s="483">
        <f t="shared" si="63"/>
        <v>539</v>
      </c>
      <c r="B543" s="484">
        <v>21</v>
      </c>
      <c r="C543" s="485">
        <v>32669</v>
      </c>
      <c r="D543" s="763" t="str">
        <f t="shared" si="59"/>
        <v>June</v>
      </c>
      <c r="E543" s="486">
        <v>10</v>
      </c>
      <c r="F543" s="472">
        <v>1989</v>
      </c>
      <c r="G543" s="484" t="s">
        <v>108</v>
      </c>
      <c r="H543" s="472" t="s">
        <v>122</v>
      </c>
      <c r="I543" s="486">
        <v>110</v>
      </c>
      <c r="J543" s="486">
        <v>2.5</v>
      </c>
      <c r="K543" s="472">
        <f t="shared" si="64"/>
        <v>20</v>
      </c>
      <c r="L543" s="473">
        <v>0.83819444444444446</v>
      </c>
      <c r="M543" s="474">
        <f t="shared" si="58"/>
        <v>0.83819444444444446</v>
      </c>
      <c r="N543" s="519"/>
      <c r="P543" s="29" t="str">
        <f t="shared" si="60"/>
        <v>1989F0</v>
      </c>
      <c r="Q543" s="29" t="str">
        <f t="shared" si="61"/>
        <v>F020</v>
      </c>
      <c r="R543" s="29" t="str">
        <f t="shared" si="62"/>
        <v>JuneF0</v>
      </c>
    </row>
    <row r="544" spans="1:18">
      <c r="A544" s="483">
        <f t="shared" si="63"/>
        <v>540</v>
      </c>
      <c r="B544" s="484">
        <v>22</v>
      </c>
      <c r="C544" s="485">
        <v>32669</v>
      </c>
      <c r="D544" s="763" t="str">
        <f t="shared" si="59"/>
        <v>June</v>
      </c>
      <c r="E544" s="486">
        <v>10</v>
      </c>
      <c r="F544" s="472">
        <v>1989</v>
      </c>
      <c r="G544" s="484" t="s">
        <v>108</v>
      </c>
      <c r="H544" s="472" t="s">
        <v>122</v>
      </c>
      <c r="I544" s="486">
        <v>100</v>
      </c>
      <c r="J544" s="486">
        <v>3</v>
      </c>
      <c r="K544" s="472">
        <f t="shared" si="64"/>
        <v>20</v>
      </c>
      <c r="L544" s="473">
        <v>0.84375</v>
      </c>
      <c r="M544" s="474">
        <f t="shared" si="58"/>
        <v>0.84375</v>
      </c>
      <c r="N544" s="519"/>
      <c r="P544" s="29" t="str">
        <f t="shared" si="60"/>
        <v>1989F0</v>
      </c>
      <c r="Q544" s="29" t="str">
        <f t="shared" si="61"/>
        <v>F020</v>
      </c>
      <c r="R544" s="29" t="str">
        <f t="shared" si="62"/>
        <v>JuneF0</v>
      </c>
    </row>
    <row r="545" spans="1:18">
      <c r="A545" s="483">
        <f t="shared" si="63"/>
        <v>541</v>
      </c>
      <c r="B545" s="484">
        <v>23</v>
      </c>
      <c r="C545" s="485">
        <v>32669</v>
      </c>
      <c r="D545" s="763" t="str">
        <f t="shared" si="59"/>
        <v>June</v>
      </c>
      <c r="E545" s="486">
        <v>10</v>
      </c>
      <c r="F545" s="472">
        <v>1989</v>
      </c>
      <c r="G545" s="484" t="s">
        <v>109</v>
      </c>
      <c r="H545" s="472" t="s">
        <v>122</v>
      </c>
      <c r="I545" s="486">
        <v>100</v>
      </c>
      <c r="J545" s="486">
        <v>1</v>
      </c>
      <c r="K545" s="472">
        <f t="shared" si="64"/>
        <v>20</v>
      </c>
      <c r="L545" s="473">
        <v>0.84513888888888899</v>
      </c>
      <c r="M545" s="474">
        <f t="shared" si="58"/>
        <v>0.84513888888888899</v>
      </c>
      <c r="N545" s="519"/>
      <c r="P545" s="29" t="str">
        <f t="shared" si="60"/>
        <v>1989F0</v>
      </c>
      <c r="Q545" s="29" t="str">
        <f t="shared" si="61"/>
        <v>F020</v>
      </c>
      <c r="R545" s="29" t="str">
        <f t="shared" si="62"/>
        <v>JuneF0</v>
      </c>
    </row>
    <row r="546" spans="1:18">
      <c r="A546" s="483">
        <f t="shared" si="63"/>
        <v>542</v>
      </c>
      <c r="B546" s="484">
        <v>24</v>
      </c>
      <c r="C546" s="485">
        <v>32669</v>
      </c>
      <c r="D546" s="763" t="str">
        <f t="shared" si="59"/>
        <v>June</v>
      </c>
      <c r="E546" s="486">
        <v>10</v>
      </c>
      <c r="F546" s="472">
        <v>1989</v>
      </c>
      <c r="G546" s="484" t="s">
        <v>109</v>
      </c>
      <c r="H546" s="472" t="s">
        <v>122</v>
      </c>
      <c r="I546" s="486">
        <v>120</v>
      </c>
      <c r="J546" s="486">
        <v>4.5</v>
      </c>
      <c r="K546" s="472">
        <f t="shared" si="64"/>
        <v>20</v>
      </c>
      <c r="L546" s="473">
        <v>0.86111111111111116</v>
      </c>
      <c r="M546" s="474">
        <f t="shared" si="58"/>
        <v>0.86111111111111116</v>
      </c>
      <c r="N546" s="519"/>
      <c r="P546" s="29" t="str">
        <f t="shared" si="60"/>
        <v>1989F0</v>
      </c>
      <c r="Q546" s="29" t="str">
        <f t="shared" si="61"/>
        <v>F020</v>
      </c>
      <c r="R546" s="29" t="str">
        <f t="shared" si="62"/>
        <v>JuneF0</v>
      </c>
    </row>
    <row r="547" spans="1:18">
      <c r="A547" s="483">
        <f t="shared" si="63"/>
        <v>543</v>
      </c>
      <c r="B547" s="484">
        <v>25</v>
      </c>
      <c r="C547" s="485">
        <v>32670</v>
      </c>
      <c r="D547" s="763" t="str">
        <f t="shared" si="59"/>
        <v>June</v>
      </c>
      <c r="E547" s="486">
        <v>11</v>
      </c>
      <c r="F547" s="472">
        <v>1989</v>
      </c>
      <c r="G547" s="484" t="s">
        <v>114</v>
      </c>
      <c r="H547" s="472" t="s">
        <v>123</v>
      </c>
      <c r="I547" s="486">
        <v>150</v>
      </c>
      <c r="J547" s="486">
        <v>4</v>
      </c>
      <c r="K547" s="472">
        <f t="shared" si="64"/>
        <v>21</v>
      </c>
      <c r="L547" s="473">
        <v>0.91319444444444453</v>
      </c>
      <c r="M547" s="474">
        <f t="shared" si="58"/>
        <v>0.91319444444444453</v>
      </c>
      <c r="N547" s="519"/>
      <c r="P547" s="29" t="str">
        <f t="shared" si="60"/>
        <v>1989F1</v>
      </c>
      <c r="Q547" s="29" t="str">
        <f t="shared" si="61"/>
        <v>F121</v>
      </c>
      <c r="R547" s="29" t="str">
        <f t="shared" si="62"/>
        <v>JuneF1</v>
      </c>
    </row>
    <row r="548" spans="1:18">
      <c r="A548" s="483">
        <f t="shared" si="63"/>
        <v>544</v>
      </c>
      <c r="B548" s="484">
        <v>26</v>
      </c>
      <c r="C548" s="485">
        <v>32670</v>
      </c>
      <c r="D548" s="763" t="str">
        <f t="shared" si="59"/>
        <v>June</v>
      </c>
      <c r="E548" s="486">
        <v>11</v>
      </c>
      <c r="F548" s="472">
        <v>1989</v>
      </c>
      <c r="G548" s="484" t="s">
        <v>120</v>
      </c>
      <c r="H548" s="472" t="s">
        <v>122</v>
      </c>
      <c r="I548" s="486">
        <v>90</v>
      </c>
      <c r="J548" s="486">
        <v>1.5</v>
      </c>
      <c r="K548" s="472">
        <f t="shared" si="64"/>
        <v>23</v>
      </c>
      <c r="L548" s="473">
        <v>0.95972222222222225</v>
      </c>
      <c r="M548" s="474">
        <f t="shared" si="58"/>
        <v>0.95972222222222225</v>
      </c>
      <c r="N548" s="519"/>
      <c r="P548" s="29" t="str">
        <f t="shared" si="60"/>
        <v>1989F0</v>
      </c>
      <c r="Q548" s="29" t="str">
        <f t="shared" si="61"/>
        <v>F023</v>
      </c>
      <c r="R548" s="29" t="str">
        <f t="shared" si="62"/>
        <v>JuneF0</v>
      </c>
    </row>
    <row r="549" spans="1:18">
      <c r="A549" s="483">
        <f t="shared" si="63"/>
        <v>545</v>
      </c>
      <c r="B549" s="484">
        <v>27</v>
      </c>
      <c r="C549" s="485">
        <v>32670</v>
      </c>
      <c r="D549" s="763" t="str">
        <f t="shared" si="59"/>
        <v>June</v>
      </c>
      <c r="E549" s="486">
        <v>11</v>
      </c>
      <c r="F549" s="472">
        <v>1989</v>
      </c>
      <c r="G549" s="484" t="s">
        <v>120</v>
      </c>
      <c r="H549" s="472" t="s">
        <v>122</v>
      </c>
      <c r="I549" s="486">
        <v>80</v>
      </c>
      <c r="J549" s="486">
        <v>0.3</v>
      </c>
      <c r="K549" s="472">
        <f t="shared" si="64"/>
        <v>23</v>
      </c>
      <c r="L549" s="473">
        <v>0.96319444444444446</v>
      </c>
      <c r="M549" s="474">
        <f t="shared" si="58"/>
        <v>0.96319444444444446</v>
      </c>
      <c r="N549" s="519"/>
      <c r="P549" s="29" t="str">
        <f t="shared" si="60"/>
        <v>1989F0</v>
      </c>
      <c r="Q549" s="29" t="str">
        <f t="shared" si="61"/>
        <v>F023</v>
      </c>
      <c r="R549" s="29" t="str">
        <f t="shared" si="62"/>
        <v>JuneF0</v>
      </c>
    </row>
    <row r="550" spans="1:18">
      <c r="A550" s="483">
        <f t="shared" si="63"/>
        <v>546</v>
      </c>
      <c r="B550" s="484">
        <v>28</v>
      </c>
      <c r="C550" s="485">
        <v>32670</v>
      </c>
      <c r="D550" s="763" t="str">
        <f t="shared" si="59"/>
        <v>June</v>
      </c>
      <c r="E550" s="486">
        <v>11</v>
      </c>
      <c r="F550" s="472">
        <v>1989</v>
      </c>
      <c r="G550" s="484" t="s">
        <v>120</v>
      </c>
      <c r="H550" s="472" t="s">
        <v>122</v>
      </c>
      <c r="I550" s="486">
        <v>80</v>
      </c>
      <c r="J550" s="486">
        <v>0.3</v>
      </c>
      <c r="K550" s="472">
        <f t="shared" si="64"/>
        <v>23</v>
      </c>
      <c r="L550" s="473">
        <v>0.96388888888888891</v>
      </c>
      <c r="M550" s="474">
        <f t="shared" si="58"/>
        <v>0.96388888888888891</v>
      </c>
      <c r="N550" s="519"/>
      <c r="P550" s="29" t="str">
        <f t="shared" si="60"/>
        <v>1989F0</v>
      </c>
      <c r="Q550" s="29" t="str">
        <f t="shared" si="61"/>
        <v>F023</v>
      </c>
      <c r="R550" s="29" t="str">
        <f t="shared" si="62"/>
        <v>JuneF0</v>
      </c>
    </row>
    <row r="551" spans="1:18">
      <c r="A551" s="483">
        <f t="shared" si="63"/>
        <v>547</v>
      </c>
      <c r="B551" s="484">
        <v>29</v>
      </c>
      <c r="C551" s="485">
        <v>32671</v>
      </c>
      <c r="D551" s="763" t="str">
        <f t="shared" si="59"/>
        <v>June</v>
      </c>
      <c r="E551" s="486">
        <v>12</v>
      </c>
      <c r="F551" s="472">
        <v>1989</v>
      </c>
      <c r="G551" s="484" t="s">
        <v>109</v>
      </c>
      <c r="H551" s="472" t="s">
        <v>123</v>
      </c>
      <c r="I551" s="486">
        <v>100</v>
      </c>
      <c r="J551" s="486">
        <v>1</v>
      </c>
      <c r="K551" s="472">
        <f t="shared" si="64"/>
        <v>18</v>
      </c>
      <c r="L551" s="473">
        <v>0.78472222222222221</v>
      </c>
      <c r="M551" s="474">
        <f t="shared" si="58"/>
        <v>0.78472222222222221</v>
      </c>
      <c r="N551" s="519"/>
      <c r="P551" s="29" t="str">
        <f t="shared" si="60"/>
        <v>1989F1</v>
      </c>
      <c r="Q551" s="29" t="str">
        <f t="shared" si="61"/>
        <v>F118</v>
      </c>
      <c r="R551" s="29" t="str">
        <f t="shared" si="62"/>
        <v>JuneF1</v>
      </c>
    </row>
    <row r="552" spans="1:18">
      <c r="A552" s="483">
        <f t="shared" si="63"/>
        <v>548</v>
      </c>
      <c r="B552" s="484">
        <v>30</v>
      </c>
      <c r="C552" s="485">
        <v>32671</v>
      </c>
      <c r="D552" s="763" t="str">
        <f t="shared" si="59"/>
        <v>June</v>
      </c>
      <c r="E552" s="486">
        <v>12</v>
      </c>
      <c r="F552" s="472">
        <v>1989</v>
      </c>
      <c r="G552" s="484" t="s">
        <v>120</v>
      </c>
      <c r="H552" s="472" t="s">
        <v>122</v>
      </c>
      <c r="I552" s="486">
        <v>100</v>
      </c>
      <c r="J552" s="486">
        <v>2</v>
      </c>
      <c r="K552" s="472">
        <f t="shared" si="64"/>
        <v>22</v>
      </c>
      <c r="L552" s="473">
        <v>0.93402777777777779</v>
      </c>
      <c r="M552" s="474">
        <f t="shared" si="58"/>
        <v>0.93402777777777779</v>
      </c>
      <c r="N552" s="519"/>
      <c r="P552" s="29" t="str">
        <f t="shared" si="60"/>
        <v>1989F0</v>
      </c>
      <c r="Q552" s="29" t="str">
        <f t="shared" si="61"/>
        <v>F022</v>
      </c>
      <c r="R552" s="29" t="str">
        <f t="shared" si="62"/>
        <v>JuneF0</v>
      </c>
    </row>
    <row r="553" spans="1:18">
      <c r="A553" s="483">
        <f t="shared" si="63"/>
        <v>549</v>
      </c>
      <c r="B553" s="484">
        <v>31</v>
      </c>
      <c r="C553" s="485">
        <v>32735</v>
      </c>
      <c r="D553" s="763" t="str">
        <f t="shared" si="59"/>
        <v>August</v>
      </c>
      <c r="E553" s="486">
        <v>15</v>
      </c>
      <c r="F553" s="472">
        <v>1989</v>
      </c>
      <c r="G553" s="484" t="s">
        <v>112</v>
      </c>
      <c r="H553" s="472" t="s">
        <v>122</v>
      </c>
      <c r="I553" s="486">
        <v>60</v>
      </c>
      <c r="J553" s="486">
        <v>2.5</v>
      </c>
      <c r="K553" s="472">
        <f t="shared" si="64"/>
        <v>16</v>
      </c>
      <c r="L553" s="473">
        <v>0.69097222222222221</v>
      </c>
      <c r="M553" s="474">
        <f t="shared" si="58"/>
        <v>0.69097222222222221</v>
      </c>
      <c r="N553" s="519"/>
      <c r="P553" s="29" t="str">
        <f t="shared" si="60"/>
        <v>1989F0</v>
      </c>
      <c r="Q553" s="29" t="str">
        <f t="shared" si="61"/>
        <v>F016</v>
      </c>
      <c r="R553" s="29" t="str">
        <f t="shared" si="62"/>
        <v>AugustF0</v>
      </c>
    </row>
    <row r="554" spans="1:18">
      <c r="A554" s="483">
        <f t="shared" si="63"/>
        <v>550</v>
      </c>
      <c r="B554" s="484">
        <v>32</v>
      </c>
      <c r="C554" s="485">
        <v>32735</v>
      </c>
      <c r="D554" s="763" t="str">
        <f t="shared" si="59"/>
        <v>August</v>
      </c>
      <c r="E554" s="486">
        <v>15</v>
      </c>
      <c r="F554" s="472">
        <v>1989</v>
      </c>
      <c r="G554" s="484" t="s">
        <v>107</v>
      </c>
      <c r="H554" s="472" t="s">
        <v>122</v>
      </c>
      <c r="I554" s="486">
        <v>90</v>
      </c>
      <c r="J554" s="486">
        <v>3</v>
      </c>
      <c r="K554" s="472">
        <f t="shared" si="64"/>
        <v>19</v>
      </c>
      <c r="L554" s="473">
        <v>0.82916666666666661</v>
      </c>
      <c r="M554" s="474">
        <f t="shared" si="58"/>
        <v>0.82916666666666661</v>
      </c>
      <c r="N554" s="519"/>
      <c r="P554" s="29" t="str">
        <f t="shared" si="60"/>
        <v>1989F0</v>
      </c>
      <c r="Q554" s="29" t="str">
        <f t="shared" si="61"/>
        <v>F019</v>
      </c>
      <c r="R554" s="29" t="str">
        <f t="shared" si="62"/>
        <v>AugustF0</v>
      </c>
    </row>
    <row r="555" spans="1:18">
      <c r="A555" s="483">
        <f t="shared" si="63"/>
        <v>551</v>
      </c>
      <c r="B555" s="484">
        <v>1</v>
      </c>
      <c r="C555" s="485">
        <v>32987</v>
      </c>
      <c r="D555" s="763" t="str">
        <f t="shared" si="59"/>
        <v>April</v>
      </c>
      <c r="E555" s="486">
        <v>24</v>
      </c>
      <c r="F555" s="472">
        <v>1990</v>
      </c>
      <c r="G555" s="484" t="s">
        <v>115</v>
      </c>
      <c r="H555" s="472" t="s">
        <v>122</v>
      </c>
      <c r="I555" s="486">
        <v>80</v>
      </c>
      <c r="J555" s="486">
        <v>1.4</v>
      </c>
      <c r="K555" s="472">
        <f t="shared" si="64"/>
        <v>17</v>
      </c>
      <c r="L555" s="473">
        <v>0.71597222222222223</v>
      </c>
      <c r="M555" s="474">
        <f t="shared" si="58"/>
        <v>0.71597222222222223</v>
      </c>
      <c r="N555" s="519"/>
      <c r="P555" s="29" t="str">
        <f t="shared" si="60"/>
        <v>1990F0</v>
      </c>
      <c r="Q555" s="29" t="str">
        <f t="shared" si="61"/>
        <v>F017</v>
      </c>
      <c r="R555" s="29" t="str">
        <f t="shared" si="62"/>
        <v>AprilF0</v>
      </c>
    </row>
    <row r="556" spans="1:18">
      <c r="A556" s="483">
        <f t="shared" si="63"/>
        <v>552</v>
      </c>
      <c r="B556" s="484">
        <v>2</v>
      </c>
      <c r="C556" s="485">
        <v>32987</v>
      </c>
      <c r="D556" s="763" t="str">
        <f t="shared" si="59"/>
        <v>April</v>
      </c>
      <c r="E556" s="486">
        <v>24</v>
      </c>
      <c r="F556" s="472">
        <v>1990</v>
      </c>
      <c r="G556" s="484" t="s">
        <v>111</v>
      </c>
      <c r="H556" s="472" t="s">
        <v>122</v>
      </c>
      <c r="I556" s="486">
        <v>70</v>
      </c>
      <c r="J556" s="486">
        <v>1.3</v>
      </c>
      <c r="K556" s="472">
        <f t="shared" si="64"/>
        <v>19</v>
      </c>
      <c r="L556" s="473">
        <v>0.8125</v>
      </c>
      <c r="M556" s="474">
        <f t="shared" si="58"/>
        <v>0.8125</v>
      </c>
      <c r="N556" s="519"/>
      <c r="P556" s="29" t="str">
        <f t="shared" si="60"/>
        <v>1990F0</v>
      </c>
      <c r="Q556" s="29" t="str">
        <f t="shared" si="61"/>
        <v>F019</v>
      </c>
      <c r="R556" s="29" t="str">
        <f t="shared" si="62"/>
        <v>AprilF0</v>
      </c>
    </row>
    <row r="557" spans="1:18">
      <c r="A557" s="483">
        <f t="shared" si="63"/>
        <v>553</v>
      </c>
      <c r="B557" s="484">
        <v>3</v>
      </c>
      <c r="C557" s="485">
        <v>32987</v>
      </c>
      <c r="D557" s="763" t="str">
        <f t="shared" si="59"/>
        <v>April</v>
      </c>
      <c r="E557" s="486">
        <v>24</v>
      </c>
      <c r="F557" s="472">
        <v>1990</v>
      </c>
      <c r="G557" s="484" t="s">
        <v>111</v>
      </c>
      <c r="H557" s="472" t="s">
        <v>123</v>
      </c>
      <c r="I557" s="486">
        <v>130</v>
      </c>
      <c r="J557" s="486">
        <v>3</v>
      </c>
      <c r="K557" s="472">
        <f t="shared" si="64"/>
        <v>20</v>
      </c>
      <c r="L557" s="473">
        <v>0.84375</v>
      </c>
      <c r="M557" s="474">
        <f t="shared" si="58"/>
        <v>0.84375</v>
      </c>
      <c r="N557" s="519"/>
      <c r="P557" s="29" t="str">
        <f t="shared" si="60"/>
        <v>1990F1</v>
      </c>
      <c r="Q557" s="29" t="str">
        <f t="shared" si="61"/>
        <v>F120</v>
      </c>
      <c r="R557" s="29" t="str">
        <f t="shared" si="62"/>
        <v>AprilF1</v>
      </c>
    </row>
    <row r="558" spans="1:18">
      <c r="A558" s="483">
        <f t="shared" si="63"/>
        <v>554</v>
      </c>
      <c r="B558" s="484">
        <v>4</v>
      </c>
      <c r="C558" s="485">
        <v>32987</v>
      </c>
      <c r="D558" s="763" t="str">
        <f t="shared" si="59"/>
        <v>April</v>
      </c>
      <c r="E558" s="486">
        <v>24</v>
      </c>
      <c r="F558" s="472">
        <v>1990</v>
      </c>
      <c r="G558" s="484" t="s">
        <v>106</v>
      </c>
      <c r="H558" s="472" t="s">
        <v>123</v>
      </c>
      <c r="I558" s="486">
        <v>110</v>
      </c>
      <c r="J558" s="486">
        <v>2.5</v>
      </c>
      <c r="K558" s="472">
        <f t="shared" si="64"/>
        <v>20</v>
      </c>
      <c r="L558" s="473">
        <v>0.87291666666666667</v>
      </c>
      <c r="M558" s="474">
        <f t="shared" si="58"/>
        <v>0.87291666666666667</v>
      </c>
      <c r="N558" s="519"/>
      <c r="P558" s="29" t="str">
        <f t="shared" si="60"/>
        <v>1990F1</v>
      </c>
      <c r="Q558" s="29" t="str">
        <f t="shared" si="61"/>
        <v>F120</v>
      </c>
      <c r="R558" s="29" t="str">
        <f t="shared" si="62"/>
        <v>AprilF1</v>
      </c>
    </row>
    <row r="559" spans="1:18">
      <c r="A559" s="483">
        <f t="shared" si="63"/>
        <v>555</v>
      </c>
      <c r="B559" s="484">
        <v>5</v>
      </c>
      <c r="C559" s="485">
        <v>32987</v>
      </c>
      <c r="D559" s="763" t="str">
        <f t="shared" si="59"/>
        <v>April</v>
      </c>
      <c r="E559" s="486">
        <v>24</v>
      </c>
      <c r="F559" s="472">
        <v>1990</v>
      </c>
      <c r="G559" s="484" t="s">
        <v>120</v>
      </c>
      <c r="H559" s="472" t="s">
        <v>122</v>
      </c>
      <c r="I559" s="486">
        <v>90</v>
      </c>
      <c r="J559" s="486">
        <v>1.5</v>
      </c>
      <c r="K559" s="472">
        <f t="shared" si="64"/>
        <v>21</v>
      </c>
      <c r="L559" s="473">
        <v>0.90277777777777779</v>
      </c>
      <c r="M559" s="474">
        <f t="shared" si="58"/>
        <v>0.90277777777777779</v>
      </c>
      <c r="N559" s="519"/>
      <c r="P559" s="29" t="str">
        <f t="shared" si="60"/>
        <v>1990F0</v>
      </c>
      <c r="Q559" s="29" t="str">
        <f t="shared" si="61"/>
        <v>F021</v>
      </c>
      <c r="R559" s="29" t="str">
        <f t="shared" si="62"/>
        <v>AprilF0</v>
      </c>
    </row>
    <row r="560" spans="1:18">
      <c r="A560" s="483">
        <f t="shared" si="63"/>
        <v>556</v>
      </c>
      <c r="B560" s="484">
        <v>6</v>
      </c>
      <c r="C560" s="485">
        <v>32987</v>
      </c>
      <c r="D560" s="763" t="str">
        <f t="shared" si="59"/>
        <v>April</v>
      </c>
      <c r="E560" s="486">
        <v>24</v>
      </c>
      <c r="F560" s="472">
        <v>1990</v>
      </c>
      <c r="G560" s="484" t="s">
        <v>116</v>
      </c>
      <c r="H560" s="472" t="s">
        <v>123</v>
      </c>
      <c r="I560" s="486">
        <v>140</v>
      </c>
      <c r="J560" s="486">
        <v>3.5</v>
      </c>
      <c r="K560" s="472">
        <f t="shared" si="64"/>
        <v>22</v>
      </c>
      <c r="L560" s="473">
        <v>0.9375</v>
      </c>
      <c r="M560" s="474">
        <f t="shared" si="58"/>
        <v>0.9375</v>
      </c>
      <c r="N560" s="519"/>
      <c r="P560" s="29" t="str">
        <f t="shared" si="60"/>
        <v>1990F1</v>
      </c>
      <c r="Q560" s="29" t="str">
        <f t="shared" si="61"/>
        <v>F122</v>
      </c>
      <c r="R560" s="29" t="str">
        <f t="shared" si="62"/>
        <v>AprilF1</v>
      </c>
    </row>
    <row r="561" spans="1:18">
      <c r="A561" s="483">
        <f t="shared" si="63"/>
        <v>557</v>
      </c>
      <c r="B561" s="484">
        <v>7</v>
      </c>
      <c r="C561" s="485">
        <v>32987</v>
      </c>
      <c r="D561" s="763" t="str">
        <f t="shared" si="59"/>
        <v>April</v>
      </c>
      <c r="E561" s="486">
        <v>24</v>
      </c>
      <c r="F561" s="472">
        <v>1990</v>
      </c>
      <c r="G561" s="484" t="s">
        <v>116</v>
      </c>
      <c r="H561" s="472" t="s">
        <v>123</v>
      </c>
      <c r="I561" s="486">
        <v>250</v>
      </c>
      <c r="J561" s="486">
        <v>4</v>
      </c>
      <c r="K561" s="472">
        <f t="shared" si="64"/>
        <v>23</v>
      </c>
      <c r="L561" s="473">
        <v>0.97013888888888899</v>
      </c>
      <c r="M561" s="474">
        <f t="shared" si="58"/>
        <v>0.97013888888888899</v>
      </c>
      <c r="N561" s="519"/>
      <c r="P561" s="29" t="str">
        <f t="shared" si="60"/>
        <v>1990F1</v>
      </c>
      <c r="Q561" s="29" t="str">
        <f t="shared" si="61"/>
        <v>F123</v>
      </c>
      <c r="R561" s="29" t="str">
        <f t="shared" si="62"/>
        <v>AprilF1</v>
      </c>
    </row>
    <row r="562" spans="1:18">
      <c r="A562" s="483">
        <f t="shared" si="63"/>
        <v>558</v>
      </c>
      <c r="B562" s="484">
        <v>8</v>
      </c>
      <c r="C562" s="485">
        <v>32988</v>
      </c>
      <c r="D562" s="763" t="str">
        <f t="shared" si="59"/>
        <v>April</v>
      </c>
      <c r="E562" s="486">
        <v>25</v>
      </c>
      <c r="F562" s="472">
        <v>1990</v>
      </c>
      <c r="G562" s="484" t="s">
        <v>100</v>
      </c>
      <c r="H562" s="472" t="s">
        <v>123</v>
      </c>
      <c r="I562" s="486">
        <v>50</v>
      </c>
      <c r="J562" s="486">
        <v>2</v>
      </c>
      <c r="K562" s="472">
        <f t="shared" si="64"/>
        <v>0</v>
      </c>
      <c r="L562" s="473">
        <v>3.4722222222222224E-2</v>
      </c>
      <c r="M562" s="474">
        <f t="shared" si="58"/>
        <v>3.4722222222222224E-2</v>
      </c>
      <c r="N562" s="519"/>
      <c r="P562" s="29" t="str">
        <f t="shared" si="60"/>
        <v>1990F1</v>
      </c>
      <c r="Q562" s="29" t="str">
        <f t="shared" si="61"/>
        <v>F10</v>
      </c>
      <c r="R562" s="29" t="str">
        <f t="shared" si="62"/>
        <v>AprilF1</v>
      </c>
    </row>
    <row r="563" spans="1:18">
      <c r="A563" s="483">
        <f t="shared" si="63"/>
        <v>559</v>
      </c>
      <c r="B563" s="484">
        <v>9</v>
      </c>
      <c r="C563" s="485">
        <v>33024</v>
      </c>
      <c r="D563" s="763" t="str">
        <f t="shared" si="59"/>
        <v>May</v>
      </c>
      <c r="E563" s="486">
        <v>31</v>
      </c>
      <c r="F563" s="472">
        <v>1990</v>
      </c>
      <c r="G563" s="484" t="s">
        <v>105</v>
      </c>
      <c r="H563" s="472" t="s">
        <v>123</v>
      </c>
      <c r="I563" s="486">
        <v>177</v>
      </c>
      <c r="J563" s="486">
        <v>7</v>
      </c>
      <c r="K563" s="472">
        <f t="shared" si="64"/>
        <v>15</v>
      </c>
      <c r="L563" s="473">
        <v>0.64583333333333337</v>
      </c>
      <c r="M563" s="474">
        <f t="shared" si="58"/>
        <v>0.64583333333333337</v>
      </c>
      <c r="N563" s="519"/>
      <c r="P563" s="29" t="str">
        <f t="shared" si="60"/>
        <v>1990F1</v>
      </c>
      <c r="Q563" s="29" t="str">
        <f t="shared" si="61"/>
        <v>F115</v>
      </c>
      <c r="R563" s="29" t="str">
        <f t="shared" si="62"/>
        <v>MayF1</v>
      </c>
    </row>
    <row r="564" spans="1:18">
      <c r="A564" s="483">
        <f t="shared" si="63"/>
        <v>560</v>
      </c>
      <c r="B564" s="484">
        <v>10</v>
      </c>
      <c r="C564" s="485">
        <v>33024</v>
      </c>
      <c r="D564" s="763" t="str">
        <f t="shared" si="59"/>
        <v>May</v>
      </c>
      <c r="E564" s="486">
        <v>31</v>
      </c>
      <c r="F564" s="472">
        <v>1990</v>
      </c>
      <c r="G564" s="484" t="s">
        <v>105</v>
      </c>
      <c r="H564" s="472" t="s">
        <v>122</v>
      </c>
      <c r="I564" s="486">
        <v>50</v>
      </c>
      <c r="J564" s="486">
        <v>1.2</v>
      </c>
      <c r="K564" s="472">
        <f t="shared" si="64"/>
        <v>16</v>
      </c>
      <c r="L564" s="473">
        <v>0.67291666666666661</v>
      </c>
      <c r="M564" s="474">
        <f t="shared" si="58"/>
        <v>0.67291666666666661</v>
      </c>
      <c r="N564" s="519"/>
      <c r="P564" s="29" t="str">
        <f t="shared" si="60"/>
        <v>1990F0</v>
      </c>
      <c r="Q564" s="29" t="str">
        <f t="shared" si="61"/>
        <v>F016</v>
      </c>
      <c r="R564" s="29" t="str">
        <f t="shared" si="62"/>
        <v>MayF0</v>
      </c>
    </row>
    <row r="565" spans="1:18">
      <c r="A565" s="483">
        <f t="shared" si="63"/>
        <v>561</v>
      </c>
      <c r="B565" s="484">
        <v>11</v>
      </c>
      <c r="C565" s="485">
        <v>33024</v>
      </c>
      <c r="D565" s="763" t="str">
        <f t="shared" si="59"/>
        <v>May</v>
      </c>
      <c r="E565" s="486">
        <v>31</v>
      </c>
      <c r="F565" s="472">
        <v>1990</v>
      </c>
      <c r="G565" s="484" t="s">
        <v>105</v>
      </c>
      <c r="H565" s="472" t="s">
        <v>125</v>
      </c>
      <c r="I565" s="486">
        <v>1407</v>
      </c>
      <c r="J565" s="486">
        <v>14</v>
      </c>
      <c r="K565" s="472">
        <f t="shared" si="64"/>
        <v>17</v>
      </c>
      <c r="L565" s="473">
        <v>0.7368055555555556</v>
      </c>
      <c r="M565" s="474">
        <f t="shared" si="58"/>
        <v>0.7368055555555556</v>
      </c>
      <c r="N565" s="519"/>
      <c r="P565" s="29" t="str">
        <f t="shared" si="60"/>
        <v>1990F3</v>
      </c>
      <c r="Q565" s="29" t="str">
        <f t="shared" si="61"/>
        <v>F317</v>
      </c>
      <c r="R565" s="29" t="str">
        <f t="shared" si="62"/>
        <v>MayF3</v>
      </c>
    </row>
    <row r="566" spans="1:18">
      <c r="A566" s="483">
        <f t="shared" si="63"/>
        <v>562</v>
      </c>
      <c r="B566" s="484">
        <v>12</v>
      </c>
      <c r="C566" s="485">
        <v>33024</v>
      </c>
      <c r="D566" s="763" t="str">
        <f t="shared" si="59"/>
        <v>May</v>
      </c>
      <c r="E566" s="486">
        <v>31</v>
      </c>
      <c r="F566" s="472">
        <v>1990</v>
      </c>
      <c r="G566" s="484" t="s">
        <v>104</v>
      </c>
      <c r="H566" s="472" t="s">
        <v>122</v>
      </c>
      <c r="I566" s="486">
        <v>60</v>
      </c>
      <c r="J566" s="486">
        <v>1.3</v>
      </c>
      <c r="K566" s="472">
        <f t="shared" si="64"/>
        <v>17</v>
      </c>
      <c r="L566" s="473">
        <v>0.73958333333333337</v>
      </c>
      <c r="M566" s="474">
        <f t="shared" si="58"/>
        <v>0.73958333333333337</v>
      </c>
      <c r="N566" s="519"/>
      <c r="P566" s="29" t="str">
        <f t="shared" si="60"/>
        <v>1990F0</v>
      </c>
      <c r="Q566" s="29" t="str">
        <f t="shared" si="61"/>
        <v>F017</v>
      </c>
      <c r="R566" s="29" t="str">
        <f t="shared" si="62"/>
        <v>MayF0</v>
      </c>
    </row>
    <row r="567" spans="1:18">
      <c r="A567" s="483">
        <f t="shared" si="63"/>
        <v>563</v>
      </c>
      <c r="B567" s="484">
        <v>13</v>
      </c>
      <c r="C567" s="485">
        <v>33024</v>
      </c>
      <c r="D567" s="763" t="str">
        <f t="shared" si="59"/>
        <v>May</v>
      </c>
      <c r="E567" s="486">
        <v>31</v>
      </c>
      <c r="F567" s="472">
        <v>1990</v>
      </c>
      <c r="G567" s="484" t="s">
        <v>104</v>
      </c>
      <c r="H567" s="472" t="s">
        <v>124</v>
      </c>
      <c r="I567" s="486">
        <v>600</v>
      </c>
      <c r="J567" s="486">
        <v>5.5</v>
      </c>
      <c r="K567" s="472">
        <f t="shared" si="64"/>
        <v>19</v>
      </c>
      <c r="L567" s="473">
        <v>0.80208333333333337</v>
      </c>
      <c r="M567" s="474">
        <f t="shared" si="58"/>
        <v>0.80208333333333337</v>
      </c>
      <c r="N567" s="519"/>
      <c r="P567" s="29" t="str">
        <f t="shared" si="60"/>
        <v>1990F2</v>
      </c>
      <c r="Q567" s="29" t="str">
        <f t="shared" si="61"/>
        <v>F219</v>
      </c>
      <c r="R567" s="29" t="str">
        <f t="shared" si="62"/>
        <v>MayF2</v>
      </c>
    </row>
    <row r="568" spans="1:18">
      <c r="A568" s="483">
        <f t="shared" si="63"/>
        <v>564</v>
      </c>
      <c r="B568" s="484">
        <v>14</v>
      </c>
      <c r="C568" s="485">
        <v>33024</v>
      </c>
      <c r="D568" s="763" t="str">
        <f t="shared" si="59"/>
        <v>May</v>
      </c>
      <c r="E568" s="486">
        <v>31</v>
      </c>
      <c r="F568" s="472">
        <v>1990</v>
      </c>
      <c r="G568" s="484" t="s">
        <v>105</v>
      </c>
      <c r="H568" s="472" t="s">
        <v>122</v>
      </c>
      <c r="I568" s="486">
        <v>70</v>
      </c>
      <c r="J568" s="486">
        <v>0.7</v>
      </c>
      <c r="K568" s="472">
        <f t="shared" si="64"/>
        <v>20</v>
      </c>
      <c r="L568" s="473">
        <v>0.83888888888888891</v>
      </c>
      <c r="M568" s="474">
        <f t="shared" si="58"/>
        <v>0.83888888888888891</v>
      </c>
      <c r="N568" s="519"/>
      <c r="P568" s="29" t="str">
        <f t="shared" si="60"/>
        <v>1990F0</v>
      </c>
      <c r="Q568" s="29" t="str">
        <f t="shared" si="61"/>
        <v>F020</v>
      </c>
      <c r="R568" s="29" t="str">
        <f t="shared" si="62"/>
        <v>MayF0</v>
      </c>
    </row>
    <row r="569" spans="1:18">
      <c r="A569" s="483">
        <f t="shared" si="63"/>
        <v>565</v>
      </c>
      <c r="B569" s="484">
        <v>15</v>
      </c>
      <c r="C569" s="485">
        <v>33024</v>
      </c>
      <c r="D569" s="763" t="str">
        <f t="shared" si="59"/>
        <v>May</v>
      </c>
      <c r="E569" s="486">
        <v>31</v>
      </c>
      <c r="F569" s="472">
        <v>1990</v>
      </c>
      <c r="G569" s="484" t="s">
        <v>104</v>
      </c>
      <c r="H569" s="472" t="s">
        <v>122</v>
      </c>
      <c r="I569" s="486">
        <v>50</v>
      </c>
      <c r="J569" s="486">
        <v>0.6</v>
      </c>
      <c r="K569" s="472">
        <f t="shared" si="64"/>
        <v>20</v>
      </c>
      <c r="L569" s="473">
        <v>0.84305555555555556</v>
      </c>
      <c r="M569" s="474">
        <f t="shared" ref="M569:M630" si="65">+L569</f>
        <v>0.84305555555555556</v>
      </c>
      <c r="N569" s="519"/>
      <c r="P569" s="29" t="str">
        <f t="shared" si="60"/>
        <v>1990F0</v>
      </c>
      <c r="Q569" s="29" t="str">
        <f t="shared" si="61"/>
        <v>F020</v>
      </c>
      <c r="R569" s="29" t="str">
        <f t="shared" si="62"/>
        <v>MayF0</v>
      </c>
    </row>
    <row r="570" spans="1:18">
      <c r="A570" s="483">
        <f t="shared" si="63"/>
        <v>566</v>
      </c>
      <c r="B570" s="484">
        <v>16</v>
      </c>
      <c r="C570" s="485">
        <v>33024</v>
      </c>
      <c r="D570" s="763" t="str">
        <f t="shared" si="59"/>
        <v>May</v>
      </c>
      <c r="E570" s="486">
        <v>31</v>
      </c>
      <c r="F570" s="472">
        <v>1990</v>
      </c>
      <c r="G570" s="484" t="s">
        <v>105</v>
      </c>
      <c r="H570" s="472" t="s">
        <v>124</v>
      </c>
      <c r="I570" s="486">
        <v>450</v>
      </c>
      <c r="J570" s="486">
        <v>3</v>
      </c>
      <c r="K570" s="472">
        <f t="shared" si="64"/>
        <v>21</v>
      </c>
      <c r="L570" s="473">
        <v>0.90625</v>
      </c>
      <c r="M570" s="474">
        <f t="shared" si="65"/>
        <v>0.90625</v>
      </c>
      <c r="N570" s="519"/>
      <c r="P570" s="29" t="str">
        <f t="shared" si="60"/>
        <v>1990F2</v>
      </c>
      <c r="Q570" s="29" t="str">
        <f t="shared" si="61"/>
        <v>F221</v>
      </c>
      <c r="R570" s="29" t="str">
        <f t="shared" si="62"/>
        <v>MayF2</v>
      </c>
    </row>
    <row r="571" spans="1:18">
      <c r="A571" s="483">
        <f t="shared" si="63"/>
        <v>567</v>
      </c>
      <c r="B571" s="484">
        <v>17</v>
      </c>
      <c r="C571" s="485">
        <v>33024</v>
      </c>
      <c r="D571" s="763" t="str">
        <f t="shared" si="59"/>
        <v>May</v>
      </c>
      <c r="E571" s="486">
        <v>31</v>
      </c>
      <c r="F571" s="472">
        <v>1990</v>
      </c>
      <c r="G571" s="484" t="s">
        <v>111</v>
      </c>
      <c r="H571" s="472" t="s">
        <v>122</v>
      </c>
      <c r="I571" s="486">
        <v>77</v>
      </c>
      <c r="J571" s="486">
        <v>0.6</v>
      </c>
      <c r="K571" s="472">
        <f t="shared" si="64"/>
        <v>22</v>
      </c>
      <c r="L571" s="473">
        <v>0.92708333333333337</v>
      </c>
      <c r="M571" s="474">
        <f t="shared" si="65"/>
        <v>0.92708333333333337</v>
      </c>
      <c r="N571" s="519"/>
      <c r="P571" s="29" t="str">
        <f t="shared" si="60"/>
        <v>1990F0</v>
      </c>
      <c r="Q571" s="29" t="str">
        <f t="shared" si="61"/>
        <v>F022</v>
      </c>
      <c r="R571" s="29" t="str">
        <f t="shared" si="62"/>
        <v>MayF0</v>
      </c>
    </row>
    <row r="572" spans="1:18">
      <c r="A572" s="483">
        <f t="shared" si="63"/>
        <v>568</v>
      </c>
      <c r="B572" s="484">
        <v>18</v>
      </c>
      <c r="C572" s="485">
        <v>33024</v>
      </c>
      <c r="D572" s="763" t="str">
        <f t="shared" si="59"/>
        <v>May</v>
      </c>
      <c r="E572" s="486">
        <v>31</v>
      </c>
      <c r="F572" s="472">
        <v>1990</v>
      </c>
      <c r="G572" s="484" t="s">
        <v>111</v>
      </c>
      <c r="H572" s="472" t="s">
        <v>122</v>
      </c>
      <c r="I572" s="486">
        <v>70</v>
      </c>
      <c r="J572" s="486">
        <v>0.5</v>
      </c>
      <c r="K572" s="472">
        <f t="shared" si="64"/>
        <v>22</v>
      </c>
      <c r="L572" s="473">
        <v>0.94513888888888886</v>
      </c>
      <c r="M572" s="474">
        <f t="shared" si="65"/>
        <v>0.94513888888888886</v>
      </c>
      <c r="N572" s="519"/>
      <c r="P572" s="29" t="str">
        <f t="shared" si="60"/>
        <v>1990F0</v>
      </c>
      <c r="Q572" s="29" t="str">
        <f t="shared" si="61"/>
        <v>F022</v>
      </c>
      <c r="R572" s="29" t="str">
        <f t="shared" si="62"/>
        <v>MayF0</v>
      </c>
    </row>
    <row r="573" spans="1:18">
      <c r="A573" s="483">
        <f t="shared" si="63"/>
        <v>569</v>
      </c>
      <c r="B573" s="484">
        <v>19</v>
      </c>
      <c r="C573" s="485">
        <v>33024</v>
      </c>
      <c r="D573" s="763" t="str">
        <f t="shared" si="59"/>
        <v>May</v>
      </c>
      <c r="E573" s="486">
        <v>31</v>
      </c>
      <c r="F573" s="472">
        <v>1990</v>
      </c>
      <c r="G573" s="484" t="s">
        <v>111</v>
      </c>
      <c r="H573" s="472" t="s">
        <v>123</v>
      </c>
      <c r="I573" s="486">
        <v>90</v>
      </c>
      <c r="J573" s="486">
        <v>1.1000000000000001</v>
      </c>
      <c r="K573" s="472">
        <f t="shared" si="64"/>
        <v>22</v>
      </c>
      <c r="L573" s="473">
        <v>0.95694444444444438</v>
      </c>
      <c r="M573" s="474">
        <f t="shared" si="65"/>
        <v>0.95694444444444438</v>
      </c>
      <c r="N573" s="519"/>
      <c r="P573" s="29" t="str">
        <f t="shared" si="60"/>
        <v>1990F1</v>
      </c>
      <c r="Q573" s="29" t="str">
        <f t="shared" si="61"/>
        <v>F122</v>
      </c>
      <c r="R573" s="29" t="str">
        <f t="shared" si="62"/>
        <v>MayF1</v>
      </c>
    </row>
    <row r="574" spans="1:18">
      <c r="A574" s="483">
        <f t="shared" si="63"/>
        <v>570</v>
      </c>
      <c r="B574" s="484">
        <v>20</v>
      </c>
      <c r="C574" s="485">
        <v>33024</v>
      </c>
      <c r="D574" s="763" t="str">
        <f t="shared" si="59"/>
        <v>May</v>
      </c>
      <c r="E574" s="486">
        <v>31</v>
      </c>
      <c r="F574" s="472">
        <v>1990</v>
      </c>
      <c r="G574" s="484" t="s">
        <v>116</v>
      </c>
      <c r="H574" s="472" t="s">
        <v>122</v>
      </c>
      <c r="I574" s="486">
        <v>80</v>
      </c>
      <c r="J574" s="486">
        <v>0.8</v>
      </c>
      <c r="K574" s="472">
        <f t="shared" si="64"/>
        <v>23</v>
      </c>
      <c r="L574" s="473">
        <v>0.97430555555555554</v>
      </c>
      <c r="M574" s="474">
        <f t="shared" si="65"/>
        <v>0.97430555555555554</v>
      </c>
      <c r="N574" s="519"/>
      <c r="P574" s="29" t="str">
        <f t="shared" si="60"/>
        <v>1990F0</v>
      </c>
      <c r="Q574" s="29" t="str">
        <f t="shared" si="61"/>
        <v>F023</v>
      </c>
      <c r="R574" s="29" t="str">
        <f t="shared" si="62"/>
        <v>MayF0</v>
      </c>
    </row>
    <row r="575" spans="1:18">
      <c r="A575" s="483">
        <f t="shared" si="63"/>
        <v>571</v>
      </c>
      <c r="B575" s="484">
        <v>21</v>
      </c>
      <c r="C575" s="485">
        <v>33024</v>
      </c>
      <c r="D575" s="763" t="str">
        <f t="shared" si="59"/>
        <v>May</v>
      </c>
      <c r="E575" s="486">
        <v>31</v>
      </c>
      <c r="F575" s="472">
        <v>1990</v>
      </c>
      <c r="G575" s="484" t="s">
        <v>116</v>
      </c>
      <c r="H575" s="472" t="s">
        <v>122</v>
      </c>
      <c r="I575" s="486">
        <v>67</v>
      </c>
      <c r="J575" s="486">
        <v>0.6</v>
      </c>
      <c r="K575" s="472">
        <f t="shared" si="64"/>
        <v>23</v>
      </c>
      <c r="L575" s="473">
        <v>0.99236111111111114</v>
      </c>
      <c r="M575" s="474">
        <f t="shared" si="65"/>
        <v>0.99236111111111114</v>
      </c>
      <c r="N575" s="519"/>
      <c r="P575" s="29" t="str">
        <f t="shared" si="60"/>
        <v>1990F0</v>
      </c>
      <c r="Q575" s="29" t="str">
        <f t="shared" si="61"/>
        <v>F023</v>
      </c>
      <c r="R575" s="29" t="str">
        <f t="shared" si="62"/>
        <v>MayF0</v>
      </c>
    </row>
    <row r="576" spans="1:18">
      <c r="A576" s="483">
        <f t="shared" si="63"/>
        <v>572</v>
      </c>
      <c r="B576" s="484">
        <v>22</v>
      </c>
      <c r="C576" s="485">
        <v>33032</v>
      </c>
      <c r="D576" s="763" t="str">
        <f t="shared" si="59"/>
        <v>June</v>
      </c>
      <c r="E576" s="486">
        <v>8</v>
      </c>
      <c r="F576" s="472">
        <v>1990</v>
      </c>
      <c r="G576" s="484" t="s">
        <v>115</v>
      </c>
      <c r="H576" s="472" t="s">
        <v>123</v>
      </c>
      <c r="I576" s="486">
        <v>90</v>
      </c>
      <c r="J576" s="486">
        <v>1.4</v>
      </c>
      <c r="K576" s="472">
        <f t="shared" si="64"/>
        <v>17</v>
      </c>
      <c r="L576" s="473">
        <v>0.73263888888888884</v>
      </c>
      <c r="M576" s="474">
        <f t="shared" si="65"/>
        <v>0.73263888888888884</v>
      </c>
      <c r="N576" s="519"/>
      <c r="P576" s="29" t="str">
        <f t="shared" si="60"/>
        <v>1990F1</v>
      </c>
      <c r="Q576" s="29" t="str">
        <f t="shared" si="61"/>
        <v>F117</v>
      </c>
      <c r="R576" s="29" t="str">
        <f t="shared" si="62"/>
        <v>JuneF1</v>
      </c>
    </row>
    <row r="577" spans="1:18">
      <c r="A577" s="483">
        <f t="shared" si="63"/>
        <v>573</v>
      </c>
      <c r="B577" s="484">
        <v>23</v>
      </c>
      <c r="C577" s="485">
        <v>33032</v>
      </c>
      <c r="D577" s="763" t="str">
        <f t="shared" si="59"/>
        <v>June</v>
      </c>
      <c r="E577" s="486">
        <v>8</v>
      </c>
      <c r="F577" s="472">
        <v>1990</v>
      </c>
      <c r="G577" s="484" t="s">
        <v>115</v>
      </c>
      <c r="H577" s="472" t="s">
        <v>122</v>
      </c>
      <c r="I577" s="486">
        <v>80</v>
      </c>
      <c r="J577" s="486">
        <v>1.2</v>
      </c>
      <c r="K577" s="472">
        <f t="shared" si="64"/>
        <v>18</v>
      </c>
      <c r="L577" s="473">
        <v>0.76875000000000004</v>
      </c>
      <c r="M577" s="474">
        <f t="shared" si="65"/>
        <v>0.76875000000000004</v>
      </c>
      <c r="N577" s="519"/>
      <c r="P577" s="29" t="str">
        <f t="shared" si="60"/>
        <v>1990F0</v>
      </c>
      <c r="Q577" s="29" t="str">
        <f t="shared" si="61"/>
        <v>F018</v>
      </c>
      <c r="R577" s="29" t="str">
        <f t="shared" si="62"/>
        <v>JuneF0</v>
      </c>
    </row>
    <row r="578" spans="1:18">
      <c r="A578" s="483">
        <f t="shared" si="63"/>
        <v>574</v>
      </c>
      <c r="B578" s="484">
        <v>24</v>
      </c>
      <c r="C578" s="485">
        <v>33032</v>
      </c>
      <c r="D578" s="763" t="str">
        <f t="shared" si="59"/>
        <v>June</v>
      </c>
      <c r="E578" s="486">
        <v>8</v>
      </c>
      <c r="F578" s="472">
        <v>1990</v>
      </c>
      <c r="G578" s="484" t="s">
        <v>114</v>
      </c>
      <c r="H578" s="472" t="s">
        <v>122</v>
      </c>
      <c r="I578" s="486">
        <v>70</v>
      </c>
      <c r="J578" s="486">
        <v>0.8</v>
      </c>
      <c r="K578" s="472">
        <f t="shared" si="64"/>
        <v>18</v>
      </c>
      <c r="L578" s="473">
        <v>0.77083333333333337</v>
      </c>
      <c r="M578" s="474">
        <f t="shared" si="65"/>
        <v>0.77083333333333337</v>
      </c>
      <c r="N578" s="519"/>
      <c r="P578" s="29" t="str">
        <f t="shared" si="60"/>
        <v>1990F0</v>
      </c>
      <c r="Q578" s="29" t="str">
        <f t="shared" si="61"/>
        <v>F018</v>
      </c>
      <c r="R578" s="29" t="str">
        <f t="shared" si="62"/>
        <v>JuneF0</v>
      </c>
    </row>
    <row r="579" spans="1:18">
      <c r="A579" s="483">
        <f t="shared" si="63"/>
        <v>575</v>
      </c>
      <c r="B579" s="484">
        <v>25</v>
      </c>
      <c r="C579" s="485">
        <v>33032</v>
      </c>
      <c r="D579" s="763" t="str">
        <f t="shared" si="59"/>
        <v>June</v>
      </c>
      <c r="E579" s="486">
        <v>8</v>
      </c>
      <c r="F579" s="472">
        <v>1990</v>
      </c>
      <c r="G579" s="484" t="s">
        <v>114</v>
      </c>
      <c r="H579" s="472" t="s">
        <v>122</v>
      </c>
      <c r="I579" s="486">
        <v>70</v>
      </c>
      <c r="J579" s="486">
        <v>1.1000000000000001</v>
      </c>
      <c r="K579" s="472">
        <f t="shared" si="64"/>
        <v>18</v>
      </c>
      <c r="L579" s="473">
        <v>0.78263888888888899</v>
      </c>
      <c r="M579" s="474">
        <f t="shared" si="65"/>
        <v>0.78263888888888899</v>
      </c>
      <c r="N579" s="519"/>
      <c r="P579" s="29" t="str">
        <f t="shared" si="60"/>
        <v>1990F0</v>
      </c>
      <c r="Q579" s="29" t="str">
        <f t="shared" si="61"/>
        <v>F018</v>
      </c>
      <c r="R579" s="29" t="str">
        <f t="shared" si="62"/>
        <v>JuneF0</v>
      </c>
    </row>
    <row r="580" spans="1:18">
      <c r="A580" s="483">
        <f t="shared" si="63"/>
        <v>576</v>
      </c>
      <c r="B580" s="484">
        <v>26</v>
      </c>
      <c r="C580" s="485">
        <v>33032</v>
      </c>
      <c r="D580" s="763" t="str">
        <f t="shared" si="59"/>
        <v>June</v>
      </c>
      <c r="E580" s="486">
        <v>8</v>
      </c>
      <c r="F580" s="472">
        <v>1990</v>
      </c>
      <c r="G580" s="484" t="s">
        <v>114</v>
      </c>
      <c r="H580" s="472" t="s">
        <v>122</v>
      </c>
      <c r="I580" s="486">
        <v>60</v>
      </c>
      <c r="J580" s="486">
        <v>0.9</v>
      </c>
      <c r="K580" s="472">
        <f t="shared" si="64"/>
        <v>18</v>
      </c>
      <c r="L580" s="473">
        <v>0.78402777777777777</v>
      </c>
      <c r="M580" s="474">
        <f t="shared" si="65"/>
        <v>0.78402777777777777</v>
      </c>
      <c r="N580" s="519"/>
      <c r="P580" s="29" t="str">
        <f t="shared" si="60"/>
        <v>1990F0</v>
      </c>
      <c r="Q580" s="29" t="str">
        <f t="shared" si="61"/>
        <v>F018</v>
      </c>
      <c r="R580" s="29" t="str">
        <f t="shared" si="62"/>
        <v>JuneF0</v>
      </c>
    </row>
    <row r="581" spans="1:18">
      <c r="A581" s="483">
        <f t="shared" si="63"/>
        <v>577</v>
      </c>
      <c r="B581" s="484">
        <v>27</v>
      </c>
      <c r="C581" s="485">
        <v>33032</v>
      </c>
      <c r="D581" s="763" t="str">
        <f t="shared" ref="D581:D644" si="66">+TEXT(C581,"mmmm")</f>
        <v>June</v>
      </c>
      <c r="E581" s="486">
        <v>8</v>
      </c>
      <c r="F581" s="472">
        <v>1990</v>
      </c>
      <c r="G581" s="484" t="s">
        <v>114</v>
      </c>
      <c r="H581" s="472" t="s">
        <v>124</v>
      </c>
      <c r="I581" s="486">
        <v>300</v>
      </c>
      <c r="J581" s="486">
        <v>2.6</v>
      </c>
      <c r="K581" s="472">
        <f t="shared" si="64"/>
        <v>19</v>
      </c>
      <c r="L581" s="473">
        <v>0.7944444444444444</v>
      </c>
      <c r="M581" s="474">
        <f t="shared" si="65"/>
        <v>0.7944444444444444</v>
      </c>
      <c r="N581" s="519"/>
      <c r="P581" s="29" t="str">
        <f t="shared" si="60"/>
        <v>1990F2</v>
      </c>
      <c r="Q581" s="29" t="str">
        <f t="shared" si="61"/>
        <v>F219</v>
      </c>
      <c r="R581" s="29" t="str">
        <f t="shared" si="62"/>
        <v>JuneF2</v>
      </c>
    </row>
    <row r="582" spans="1:18">
      <c r="A582" s="483">
        <f t="shared" si="63"/>
        <v>578</v>
      </c>
      <c r="B582" s="484">
        <v>28</v>
      </c>
      <c r="C582" s="485">
        <v>33032</v>
      </c>
      <c r="D582" s="763" t="str">
        <f t="shared" si="66"/>
        <v>June</v>
      </c>
      <c r="E582" s="486">
        <v>8</v>
      </c>
      <c r="F582" s="472">
        <v>1990</v>
      </c>
      <c r="G582" s="484" t="s">
        <v>114</v>
      </c>
      <c r="H582" s="472" t="s">
        <v>122</v>
      </c>
      <c r="I582" s="486">
        <v>60</v>
      </c>
      <c r="J582" s="486">
        <v>1</v>
      </c>
      <c r="K582" s="472">
        <f t="shared" si="64"/>
        <v>19</v>
      </c>
      <c r="L582" s="473">
        <v>0.80763888888888891</v>
      </c>
      <c r="M582" s="474">
        <f t="shared" si="65"/>
        <v>0.80763888888888891</v>
      </c>
      <c r="N582" s="519"/>
      <c r="P582" s="29" t="str">
        <f t="shared" ref="P582:P645" si="67">CONCATENATE(F582,H582)</f>
        <v>1990F0</v>
      </c>
      <c r="Q582" s="29" t="str">
        <f t="shared" ref="Q582:Q645" si="68">CONCATENATE(H582,K582)</f>
        <v>F019</v>
      </c>
      <c r="R582" s="29" t="str">
        <f t="shared" ref="R582:R645" si="69">CONCATENATE(D582,H582)</f>
        <v>JuneF0</v>
      </c>
    </row>
    <row r="583" spans="1:18">
      <c r="A583" s="483">
        <f t="shared" ref="A583:A646" si="70">+A582+1</f>
        <v>579</v>
      </c>
      <c r="B583" s="484">
        <v>29</v>
      </c>
      <c r="C583" s="485">
        <v>33032</v>
      </c>
      <c r="D583" s="763" t="str">
        <f t="shared" si="66"/>
        <v>June</v>
      </c>
      <c r="E583" s="486">
        <v>8</v>
      </c>
      <c r="F583" s="472">
        <v>1990</v>
      </c>
      <c r="G583" s="484" t="s">
        <v>114</v>
      </c>
      <c r="H583" s="472" t="s">
        <v>122</v>
      </c>
      <c r="I583" s="486">
        <v>80</v>
      </c>
      <c r="J583" s="486">
        <v>1.2</v>
      </c>
      <c r="K583" s="472">
        <f t="shared" si="64"/>
        <v>19</v>
      </c>
      <c r="L583" s="473">
        <v>0.82361111111111107</v>
      </c>
      <c r="M583" s="474">
        <f t="shared" si="65"/>
        <v>0.82361111111111107</v>
      </c>
      <c r="N583" s="519"/>
      <c r="P583" s="29" t="str">
        <f t="shared" si="67"/>
        <v>1990F0</v>
      </c>
      <c r="Q583" s="29" t="str">
        <f t="shared" si="68"/>
        <v>F019</v>
      </c>
      <c r="R583" s="29" t="str">
        <f t="shared" si="69"/>
        <v>JuneF0</v>
      </c>
    </row>
    <row r="584" spans="1:18">
      <c r="A584" s="483">
        <f t="shared" si="70"/>
        <v>580</v>
      </c>
      <c r="B584" s="484">
        <v>30</v>
      </c>
      <c r="C584" s="485">
        <v>33032</v>
      </c>
      <c r="D584" s="763" t="str">
        <f t="shared" si="66"/>
        <v>June</v>
      </c>
      <c r="E584" s="486">
        <v>8</v>
      </c>
      <c r="F584" s="472">
        <v>1990</v>
      </c>
      <c r="G584" s="484" t="s">
        <v>116</v>
      </c>
      <c r="H584" s="472" t="s">
        <v>123</v>
      </c>
      <c r="I584" s="486">
        <v>110</v>
      </c>
      <c r="J584" s="486">
        <v>2.2000000000000002</v>
      </c>
      <c r="K584" s="472">
        <f t="shared" si="64"/>
        <v>19</v>
      </c>
      <c r="L584" s="473">
        <v>0.82986111111111116</v>
      </c>
      <c r="M584" s="474">
        <f t="shared" si="65"/>
        <v>0.82986111111111116</v>
      </c>
      <c r="N584" s="519"/>
      <c r="P584" s="29" t="str">
        <f t="shared" si="67"/>
        <v>1990F1</v>
      </c>
      <c r="Q584" s="29" t="str">
        <f t="shared" si="68"/>
        <v>F119</v>
      </c>
      <c r="R584" s="29" t="str">
        <f t="shared" si="69"/>
        <v>JuneF1</v>
      </c>
    </row>
    <row r="585" spans="1:18">
      <c r="A585" s="483">
        <f t="shared" si="70"/>
        <v>581</v>
      </c>
      <c r="B585" s="484">
        <v>31</v>
      </c>
      <c r="C585" s="485">
        <v>33032</v>
      </c>
      <c r="D585" s="763" t="str">
        <f t="shared" si="66"/>
        <v>June</v>
      </c>
      <c r="E585" s="486">
        <v>8</v>
      </c>
      <c r="F585" s="472">
        <v>1990</v>
      </c>
      <c r="G585" s="484" t="s">
        <v>114</v>
      </c>
      <c r="H585" s="472" t="s">
        <v>122</v>
      </c>
      <c r="I585" s="486">
        <v>60</v>
      </c>
      <c r="J585" s="486">
        <v>1.2</v>
      </c>
      <c r="K585" s="472">
        <f t="shared" si="64"/>
        <v>20</v>
      </c>
      <c r="L585" s="473">
        <v>0.83680555555555547</v>
      </c>
      <c r="M585" s="474">
        <f t="shared" si="65"/>
        <v>0.83680555555555547</v>
      </c>
      <c r="N585" s="519"/>
      <c r="P585" s="29" t="str">
        <f t="shared" si="67"/>
        <v>1990F0</v>
      </c>
      <c r="Q585" s="29" t="str">
        <f t="shared" si="68"/>
        <v>F020</v>
      </c>
      <c r="R585" s="29" t="str">
        <f t="shared" si="69"/>
        <v>JuneF0</v>
      </c>
    </row>
    <row r="586" spans="1:18">
      <c r="A586" s="483">
        <f t="shared" si="70"/>
        <v>582</v>
      </c>
      <c r="B586" s="484">
        <v>32</v>
      </c>
      <c r="C586" s="485">
        <v>33032</v>
      </c>
      <c r="D586" s="763" t="str">
        <f t="shared" si="66"/>
        <v>June</v>
      </c>
      <c r="E586" s="486">
        <v>8</v>
      </c>
      <c r="F586" s="472">
        <v>1990</v>
      </c>
      <c r="G586" s="484" t="s">
        <v>115</v>
      </c>
      <c r="H586" s="472" t="s">
        <v>122</v>
      </c>
      <c r="I586" s="486">
        <v>70</v>
      </c>
      <c r="J586" s="486">
        <v>1.8</v>
      </c>
      <c r="K586" s="472">
        <f t="shared" si="64"/>
        <v>20</v>
      </c>
      <c r="L586" s="473">
        <v>0.84722222222222221</v>
      </c>
      <c r="M586" s="474">
        <f t="shared" si="65"/>
        <v>0.84722222222222221</v>
      </c>
      <c r="N586" s="519"/>
      <c r="P586" s="29" t="str">
        <f t="shared" si="67"/>
        <v>1990F0</v>
      </c>
      <c r="Q586" s="29" t="str">
        <f t="shared" si="68"/>
        <v>F020</v>
      </c>
      <c r="R586" s="29" t="str">
        <f t="shared" si="69"/>
        <v>JuneF0</v>
      </c>
    </row>
    <row r="587" spans="1:18">
      <c r="A587" s="483">
        <f t="shared" si="70"/>
        <v>583</v>
      </c>
      <c r="B587" s="484">
        <v>33</v>
      </c>
      <c r="C587" s="485">
        <v>33032</v>
      </c>
      <c r="D587" s="763" t="str">
        <f t="shared" si="66"/>
        <v>June</v>
      </c>
      <c r="E587" s="486">
        <v>8</v>
      </c>
      <c r="F587" s="472">
        <v>1990</v>
      </c>
      <c r="G587" s="484" t="s">
        <v>116</v>
      </c>
      <c r="H587" s="472" t="s">
        <v>124</v>
      </c>
      <c r="I587" s="486">
        <v>200</v>
      </c>
      <c r="J587" s="486">
        <v>1.6</v>
      </c>
      <c r="K587" s="472">
        <f t="shared" si="64"/>
        <v>20</v>
      </c>
      <c r="L587" s="473">
        <v>0.86805555555555547</v>
      </c>
      <c r="M587" s="474">
        <f t="shared" si="65"/>
        <v>0.86805555555555547</v>
      </c>
      <c r="N587" s="519"/>
      <c r="P587" s="29" t="str">
        <f t="shared" si="67"/>
        <v>1990F2</v>
      </c>
      <c r="Q587" s="29" t="str">
        <f t="shared" si="68"/>
        <v>F220</v>
      </c>
      <c r="R587" s="29" t="str">
        <f t="shared" si="69"/>
        <v>JuneF2</v>
      </c>
    </row>
    <row r="588" spans="1:18">
      <c r="A588" s="483">
        <f t="shared" si="70"/>
        <v>584</v>
      </c>
      <c r="B588" s="484">
        <v>34</v>
      </c>
      <c r="C588" s="485">
        <v>33038</v>
      </c>
      <c r="D588" s="763" t="str">
        <f t="shared" si="66"/>
        <v>June</v>
      </c>
      <c r="E588" s="486">
        <v>14</v>
      </c>
      <c r="F588" s="472">
        <v>1990</v>
      </c>
      <c r="G588" s="484" t="s">
        <v>110</v>
      </c>
      <c r="H588" s="472" t="s">
        <v>122</v>
      </c>
      <c r="I588" s="486">
        <v>73</v>
      </c>
      <c r="J588" s="486">
        <v>0.7</v>
      </c>
      <c r="K588" s="472">
        <f t="shared" si="64"/>
        <v>15</v>
      </c>
      <c r="L588" s="473">
        <v>0.65555555555555556</v>
      </c>
      <c r="M588" s="474">
        <f t="shared" si="65"/>
        <v>0.65555555555555556</v>
      </c>
      <c r="N588" s="519"/>
      <c r="P588" s="29" t="str">
        <f t="shared" si="67"/>
        <v>1990F0</v>
      </c>
      <c r="Q588" s="29" t="str">
        <f t="shared" si="68"/>
        <v>F015</v>
      </c>
      <c r="R588" s="29" t="str">
        <f t="shared" si="69"/>
        <v>JuneF0</v>
      </c>
    </row>
    <row r="589" spans="1:18">
      <c r="A589" s="483">
        <f t="shared" si="70"/>
        <v>585</v>
      </c>
      <c r="B589" s="484">
        <v>35</v>
      </c>
      <c r="C589" s="485">
        <v>33069</v>
      </c>
      <c r="D589" s="763" t="str">
        <f t="shared" si="66"/>
        <v>July</v>
      </c>
      <c r="E589" s="486">
        <v>15</v>
      </c>
      <c r="F589" s="472">
        <v>1990</v>
      </c>
      <c r="G589" s="484" t="s">
        <v>114</v>
      </c>
      <c r="H589" s="472" t="s">
        <v>122</v>
      </c>
      <c r="I589" s="486">
        <v>60</v>
      </c>
      <c r="J589" s="486">
        <v>1.2</v>
      </c>
      <c r="K589" s="472">
        <f t="shared" si="64"/>
        <v>15</v>
      </c>
      <c r="L589" s="473">
        <v>0.6333333333333333</v>
      </c>
      <c r="M589" s="474">
        <f t="shared" si="65"/>
        <v>0.6333333333333333</v>
      </c>
      <c r="N589" s="519"/>
      <c r="P589" s="29" t="str">
        <f t="shared" si="67"/>
        <v>1990F0</v>
      </c>
      <c r="Q589" s="29" t="str">
        <f t="shared" si="68"/>
        <v>F015</v>
      </c>
      <c r="R589" s="29" t="str">
        <f t="shared" si="69"/>
        <v>JulyF0</v>
      </c>
    </row>
    <row r="590" spans="1:18">
      <c r="A590" s="483">
        <f t="shared" si="70"/>
        <v>586</v>
      </c>
      <c r="B590" s="484">
        <v>36</v>
      </c>
      <c r="C590" s="485">
        <v>33069</v>
      </c>
      <c r="D590" s="763" t="str">
        <f t="shared" si="66"/>
        <v>July</v>
      </c>
      <c r="E590" s="486">
        <v>15</v>
      </c>
      <c r="F590" s="472">
        <v>1990</v>
      </c>
      <c r="G590" s="484" t="s">
        <v>114</v>
      </c>
      <c r="H590" s="472" t="s">
        <v>122</v>
      </c>
      <c r="I590" s="486">
        <v>73</v>
      </c>
      <c r="J590" s="486">
        <v>1.5</v>
      </c>
      <c r="K590" s="472">
        <f t="shared" ref="K590:K649" si="71">HOUR(M590)</f>
        <v>15</v>
      </c>
      <c r="L590" s="473">
        <v>0.64583333333333337</v>
      </c>
      <c r="M590" s="474">
        <f t="shared" si="65"/>
        <v>0.64583333333333337</v>
      </c>
      <c r="N590" s="519"/>
      <c r="P590" s="29" t="str">
        <f t="shared" si="67"/>
        <v>1990F0</v>
      </c>
      <c r="Q590" s="29" t="str">
        <f t="shared" si="68"/>
        <v>F015</v>
      </c>
      <c r="R590" s="29" t="str">
        <f t="shared" si="69"/>
        <v>JulyF0</v>
      </c>
    </row>
    <row r="591" spans="1:18">
      <c r="A591" s="483">
        <f t="shared" si="70"/>
        <v>587</v>
      </c>
      <c r="B591" s="484">
        <v>37</v>
      </c>
      <c r="C591" s="485">
        <v>33069</v>
      </c>
      <c r="D591" s="763" t="str">
        <f t="shared" si="66"/>
        <v>July</v>
      </c>
      <c r="E591" s="486">
        <v>15</v>
      </c>
      <c r="F591" s="472">
        <v>1990</v>
      </c>
      <c r="G591" s="484" t="s">
        <v>114</v>
      </c>
      <c r="H591" s="472" t="s">
        <v>122</v>
      </c>
      <c r="I591" s="486">
        <v>100</v>
      </c>
      <c r="J591" s="486">
        <v>1.9</v>
      </c>
      <c r="K591" s="472">
        <f t="shared" si="71"/>
        <v>16</v>
      </c>
      <c r="L591" s="473">
        <v>0.69027777777777777</v>
      </c>
      <c r="M591" s="474">
        <f t="shared" si="65"/>
        <v>0.69027777777777777</v>
      </c>
      <c r="N591" s="519"/>
      <c r="P591" s="29" t="str">
        <f t="shared" si="67"/>
        <v>1990F0</v>
      </c>
      <c r="Q591" s="29" t="str">
        <f t="shared" si="68"/>
        <v>F016</v>
      </c>
      <c r="R591" s="29" t="str">
        <f t="shared" si="69"/>
        <v>JulyF0</v>
      </c>
    </row>
    <row r="592" spans="1:18">
      <c r="A592" s="483">
        <f t="shared" si="70"/>
        <v>588</v>
      </c>
      <c r="B592" s="484">
        <v>38</v>
      </c>
      <c r="C592" s="485">
        <v>33069</v>
      </c>
      <c r="D592" s="763" t="str">
        <f t="shared" si="66"/>
        <v>July</v>
      </c>
      <c r="E592" s="486">
        <v>15</v>
      </c>
      <c r="F592" s="472">
        <v>1990</v>
      </c>
      <c r="G592" s="484" t="s">
        <v>101</v>
      </c>
      <c r="H592" s="472" t="s">
        <v>122</v>
      </c>
      <c r="I592" s="486">
        <v>20</v>
      </c>
      <c r="J592" s="486">
        <v>0.1</v>
      </c>
      <c r="K592" s="472">
        <f t="shared" si="71"/>
        <v>16</v>
      </c>
      <c r="L592" s="473">
        <v>0.69791666666666663</v>
      </c>
      <c r="M592" s="474">
        <f t="shared" si="65"/>
        <v>0.69791666666666663</v>
      </c>
      <c r="N592" s="519"/>
      <c r="P592" s="29" t="str">
        <f t="shared" si="67"/>
        <v>1990F0</v>
      </c>
      <c r="Q592" s="29" t="str">
        <f t="shared" si="68"/>
        <v>F016</v>
      </c>
      <c r="R592" s="29" t="str">
        <f t="shared" si="69"/>
        <v>JulyF0</v>
      </c>
    </row>
    <row r="593" spans="1:18">
      <c r="A593" s="483">
        <f t="shared" si="70"/>
        <v>589</v>
      </c>
      <c r="B593" s="484">
        <v>1</v>
      </c>
      <c r="C593" s="485">
        <v>33368</v>
      </c>
      <c r="D593" s="763" t="str">
        <f t="shared" si="66"/>
        <v>May</v>
      </c>
      <c r="E593" s="486">
        <v>10</v>
      </c>
      <c r="F593" s="472">
        <v>1991</v>
      </c>
      <c r="G593" s="484" t="s">
        <v>102</v>
      </c>
      <c r="H593" s="472" t="s">
        <v>123</v>
      </c>
      <c r="I593" s="486">
        <v>160</v>
      </c>
      <c r="J593" s="486">
        <v>7</v>
      </c>
      <c r="K593" s="472">
        <f t="shared" si="71"/>
        <v>19</v>
      </c>
      <c r="L593" s="473">
        <v>0.80555555555555547</v>
      </c>
      <c r="M593" s="474">
        <f t="shared" si="65"/>
        <v>0.80555555555555547</v>
      </c>
      <c r="N593" s="519"/>
      <c r="P593" s="29" t="str">
        <f t="shared" si="67"/>
        <v>1991F1</v>
      </c>
      <c r="Q593" s="29" t="str">
        <f t="shared" si="68"/>
        <v>F119</v>
      </c>
      <c r="R593" s="29" t="str">
        <f t="shared" si="69"/>
        <v>MayF1</v>
      </c>
    </row>
    <row r="594" spans="1:18">
      <c r="A594" s="483">
        <f t="shared" si="70"/>
        <v>590</v>
      </c>
      <c r="B594" s="484">
        <v>2</v>
      </c>
      <c r="C594" s="485">
        <v>33368</v>
      </c>
      <c r="D594" s="763" t="str">
        <f t="shared" si="66"/>
        <v>May</v>
      </c>
      <c r="E594" s="486">
        <v>10</v>
      </c>
      <c r="F594" s="472">
        <v>1991</v>
      </c>
      <c r="G594" s="484" t="s">
        <v>102</v>
      </c>
      <c r="H594" s="472" t="s">
        <v>122</v>
      </c>
      <c r="I594" s="486">
        <v>40</v>
      </c>
      <c r="J594" s="486">
        <v>0.2</v>
      </c>
      <c r="K594" s="472">
        <f t="shared" si="71"/>
        <v>19</v>
      </c>
      <c r="L594" s="473">
        <v>0.80902777777777779</v>
      </c>
      <c r="M594" s="474">
        <f t="shared" si="65"/>
        <v>0.80902777777777779</v>
      </c>
      <c r="N594" s="519"/>
      <c r="P594" s="29" t="str">
        <f t="shared" si="67"/>
        <v>1991F0</v>
      </c>
      <c r="Q594" s="29" t="str">
        <f t="shared" si="68"/>
        <v>F019</v>
      </c>
      <c r="R594" s="29" t="str">
        <f t="shared" si="69"/>
        <v>MayF0</v>
      </c>
    </row>
    <row r="595" spans="1:18">
      <c r="A595" s="483">
        <f t="shared" si="70"/>
        <v>591</v>
      </c>
      <c r="B595" s="484">
        <v>3</v>
      </c>
      <c r="C595" s="485">
        <v>33369</v>
      </c>
      <c r="D595" s="763" t="str">
        <f t="shared" si="66"/>
        <v>May</v>
      </c>
      <c r="E595" s="486">
        <v>11</v>
      </c>
      <c r="F595" s="472">
        <v>1991</v>
      </c>
      <c r="G595" s="484" t="s">
        <v>99</v>
      </c>
      <c r="H595" s="472" t="s">
        <v>122</v>
      </c>
      <c r="I595" s="486">
        <v>70</v>
      </c>
      <c r="J595" s="486">
        <v>0.5</v>
      </c>
      <c r="K595" s="472">
        <f t="shared" si="71"/>
        <v>19</v>
      </c>
      <c r="L595" s="473">
        <v>0.79305555555555562</v>
      </c>
      <c r="M595" s="474">
        <f t="shared" si="65"/>
        <v>0.79305555555555562</v>
      </c>
      <c r="N595" s="519"/>
      <c r="P595" s="29" t="str">
        <f t="shared" si="67"/>
        <v>1991F0</v>
      </c>
      <c r="Q595" s="29" t="str">
        <f t="shared" si="68"/>
        <v>F019</v>
      </c>
      <c r="R595" s="29" t="str">
        <f t="shared" si="69"/>
        <v>MayF0</v>
      </c>
    </row>
    <row r="596" spans="1:18">
      <c r="A596" s="483">
        <f t="shared" si="70"/>
        <v>592</v>
      </c>
      <c r="B596" s="484">
        <v>4</v>
      </c>
      <c r="C596" s="485">
        <v>33369</v>
      </c>
      <c r="D596" s="763" t="str">
        <f t="shared" si="66"/>
        <v>May</v>
      </c>
      <c r="E596" s="486">
        <v>11</v>
      </c>
      <c r="F596" s="472">
        <v>1991</v>
      </c>
      <c r="G596" s="484" t="s">
        <v>118</v>
      </c>
      <c r="H596" s="472" t="s">
        <v>122</v>
      </c>
      <c r="I596" s="486">
        <v>30</v>
      </c>
      <c r="J596" s="486">
        <v>0.1</v>
      </c>
      <c r="K596" s="472">
        <f t="shared" si="71"/>
        <v>19</v>
      </c>
      <c r="L596" s="473">
        <v>0.8125</v>
      </c>
      <c r="M596" s="474">
        <f t="shared" si="65"/>
        <v>0.8125</v>
      </c>
      <c r="N596" s="519"/>
      <c r="P596" s="29" t="str">
        <f t="shared" si="67"/>
        <v>1991F0</v>
      </c>
      <c r="Q596" s="29" t="str">
        <f t="shared" si="68"/>
        <v>F019</v>
      </c>
      <c r="R596" s="29" t="str">
        <f t="shared" si="69"/>
        <v>MayF0</v>
      </c>
    </row>
    <row r="597" spans="1:18">
      <c r="A597" s="483">
        <f t="shared" si="70"/>
        <v>593</v>
      </c>
      <c r="B597" s="484">
        <v>5</v>
      </c>
      <c r="C597" s="485">
        <v>33369</v>
      </c>
      <c r="D597" s="763" t="str">
        <f t="shared" si="66"/>
        <v>May</v>
      </c>
      <c r="E597" s="486">
        <v>11</v>
      </c>
      <c r="F597" s="472">
        <v>1991</v>
      </c>
      <c r="G597" s="484" t="s">
        <v>118</v>
      </c>
      <c r="H597" s="472" t="s">
        <v>122</v>
      </c>
      <c r="I597" s="486">
        <v>30</v>
      </c>
      <c r="J597" s="486">
        <v>0.2</v>
      </c>
      <c r="K597" s="472">
        <f t="shared" si="71"/>
        <v>19</v>
      </c>
      <c r="L597" s="473">
        <v>0.82291666666666663</v>
      </c>
      <c r="M597" s="474">
        <f t="shared" si="65"/>
        <v>0.82291666666666663</v>
      </c>
      <c r="N597" s="519"/>
      <c r="P597" s="29" t="str">
        <f t="shared" si="67"/>
        <v>1991F0</v>
      </c>
      <c r="Q597" s="29" t="str">
        <f t="shared" si="68"/>
        <v>F019</v>
      </c>
      <c r="R597" s="29" t="str">
        <f t="shared" si="69"/>
        <v>MayF0</v>
      </c>
    </row>
    <row r="598" spans="1:18">
      <c r="A598" s="483">
        <f t="shared" si="70"/>
        <v>594</v>
      </c>
      <c r="B598" s="484">
        <v>6</v>
      </c>
      <c r="C598" s="485">
        <v>33371</v>
      </c>
      <c r="D598" s="763" t="str">
        <f t="shared" si="66"/>
        <v>May</v>
      </c>
      <c r="E598" s="486">
        <v>13</v>
      </c>
      <c r="F598" s="472">
        <v>1991</v>
      </c>
      <c r="G598" s="484" t="s">
        <v>109</v>
      </c>
      <c r="H598" s="472" t="s">
        <v>122</v>
      </c>
      <c r="I598" s="486">
        <v>30</v>
      </c>
      <c r="J598" s="486">
        <v>0.2</v>
      </c>
      <c r="K598" s="472">
        <f t="shared" si="71"/>
        <v>16</v>
      </c>
      <c r="L598" s="473">
        <v>0.7</v>
      </c>
      <c r="M598" s="474">
        <f t="shared" si="65"/>
        <v>0.7</v>
      </c>
      <c r="N598" s="519"/>
      <c r="P598" s="29" t="str">
        <f t="shared" si="67"/>
        <v>1991F0</v>
      </c>
      <c r="Q598" s="29" t="str">
        <f t="shared" si="68"/>
        <v>F016</v>
      </c>
      <c r="R598" s="29" t="str">
        <f t="shared" si="69"/>
        <v>MayF0</v>
      </c>
    </row>
    <row r="599" spans="1:18">
      <c r="A599" s="483">
        <f t="shared" si="70"/>
        <v>595</v>
      </c>
      <c r="B599" s="484">
        <v>7</v>
      </c>
      <c r="C599" s="485">
        <v>33371</v>
      </c>
      <c r="D599" s="763" t="str">
        <f t="shared" si="66"/>
        <v>May</v>
      </c>
      <c r="E599" s="486">
        <v>13</v>
      </c>
      <c r="F599" s="472">
        <v>1991</v>
      </c>
      <c r="G599" s="484" t="s">
        <v>109</v>
      </c>
      <c r="H599" s="472" t="s">
        <v>122</v>
      </c>
      <c r="I599" s="486">
        <v>20</v>
      </c>
      <c r="J599" s="486">
        <v>0.1</v>
      </c>
      <c r="K599" s="472">
        <f t="shared" si="71"/>
        <v>17</v>
      </c>
      <c r="L599" s="473">
        <v>0.74305555555555547</v>
      </c>
      <c r="M599" s="474">
        <f t="shared" si="65"/>
        <v>0.74305555555555547</v>
      </c>
      <c r="N599" s="519"/>
      <c r="P599" s="29" t="str">
        <f t="shared" si="67"/>
        <v>1991F0</v>
      </c>
      <c r="Q599" s="29" t="str">
        <f t="shared" si="68"/>
        <v>F017</v>
      </c>
      <c r="R599" s="29" t="str">
        <f t="shared" si="69"/>
        <v>MayF0</v>
      </c>
    </row>
    <row r="600" spans="1:18">
      <c r="A600" s="483">
        <f t="shared" si="70"/>
        <v>596</v>
      </c>
      <c r="B600" s="484">
        <v>8</v>
      </c>
      <c r="C600" s="485">
        <v>33373</v>
      </c>
      <c r="D600" s="763" t="str">
        <f t="shared" si="66"/>
        <v>May</v>
      </c>
      <c r="E600" s="486">
        <v>15</v>
      </c>
      <c r="F600" s="472">
        <v>1991</v>
      </c>
      <c r="G600" s="484" t="s">
        <v>121</v>
      </c>
      <c r="H600" s="472" t="s">
        <v>125</v>
      </c>
      <c r="I600" s="486">
        <v>450</v>
      </c>
      <c r="J600" s="486">
        <v>16</v>
      </c>
      <c r="K600" s="472">
        <f t="shared" si="71"/>
        <v>20</v>
      </c>
      <c r="L600" s="473">
        <v>0.84513888888888899</v>
      </c>
      <c r="M600" s="474">
        <f t="shared" si="65"/>
        <v>0.84513888888888899</v>
      </c>
      <c r="N600" s="519">
        <v>0.87361111111111101</v>
      </c>
      <c r="P600" s="29" t="str">
        <f t="shared" si="67"/>
        <v>1991F3</v>
      </c>
      <c r="Q600" s="29" t="str">
        <f t="shared" si="68"/>
        <v>F320</v>
      </c>
      <c r="R600" s="29" t="str">
        <f t="shared" si="69"/>
        <v>MayF3</v>
      </c>
    </row>
    <row r="601" spans="1:18">
      <c r="A601" s="483">
        <f t="shared" si="70"/>
        <v>597</v>
      </c>
      <c r="B601" s="484">
        <v>9</v>
      </c>
      <c r="C601" s="485">
        <v>33381</v>
      </c>
      <c r="D601" s="763" t="str">
        <f t="shared" si="66"/>
        <v>May</v>
      </c>
      <c r="E601" s="486">
        <v>23</v>
      </c>
      <c r="F601" s="472">
        <v>1991</v>
      </c>
      <c r="G601" s="484" t="s">
        <v>100</v>
      </c>
      <c r="H601" s="472" t="s">
        <v>122</v>
      </c>
      <c r="I601" s="486">
        <v>70</v>
      </c>
      <c r="J601" s="486">
        <v>0.1</v>
      </c>
      <c r="K601" s="472">
        <f t="shared" si="71"/>
        <v>17</v>
      </c>
      <c r="L601" s="473">
        <v>0.72222222222222221</v>
      </c>
      <c r="M601" s="474">
        <f t="shared" si="65"/>
        <v>0.72222222222222221</v>
      </c>
      <c r="N601" s="519"/>
      <c r="P601" s="29" t="str">
        <f t="shared" si="67"/>
        <v>1991F0</v>
      </c>
      <c r="Q601" s="29" t="str">
        <f t="shared" si="68"/>
        <v>F017</v>
      </c>
      <c r="R601" s="29" t="str">
        <f t="shared" si="69"/>
        <v>MayF0</v>
      </c>
    </row>
    <row r="602" spans="1:18">
      <c r="A602" s="483">
        <f t="shared" si="70"/>
        <v>598</v>
      </c>
      <c r="B602" s="484">
        <v>10</v>
      </c>
      <c r="C602" s="485">
        <v>33381</v>
      </c>
      <c r="D602" s="763" t="str">
        <f t="shared" si="66"/>
        <v>May</v>
      </c>
      <c r="E602" s="486">
        <v>23</v>
      </c>
      <c r="F602" s="472">
        <v>1991</v>
      </c>
      <c r="G602" s="484" t="s">
        <v>115</v>
      </c>
      <c r="H602" s="472" t="s">
        <v>122</v>
      </c>
      <c r="I602" s="486">
        <v>20</v>
      </c>
      <c r="J602" s="486">
        <v>0.1</v>
      </c>
      <c r="K602" s="472">
        <f t="shared" si="71"/>
        <v>19</v>
      </c>
      <c r="L602" s="473">
        <v>0.79513888888888884</v>
      </c>
      <c r="M602" s="474">
        <f t="shared" si="65"/>
        <v>0.79513888888888884</v>
      </c>
      <c r="N602" s="519"/>
      <c r="P602" s="29" t="str">
        <f t="shared" si="67"/>
        <v>1991F0</v>
      </c>
      <c r="Q602" s="29" t="str">
        <f t="shared" si="68"/>
        <v>F019</v>
      </c>
      <c r="R602" s="29" t="str">
        <f t="shared" si="69"/>
        <v>MayF0</v>
      </c>
    </row>
    <row r="603" spans="1:18">
      <c r="A603" s="483">
        <f t="shared" si="70"/>
        <v>599</v>
      </c>
      <c r="B603" s="484">
        <v>11</v>
      </c>
      <c r="C603" s="485">
        <v>33386</v>
      </c>
      <c r="D603" s="763" t="str">
        <f t="shared" si="66"/>
        <v>May</v>
      </c>
      <c r="E603" s="486">
        <v>28</v>
      </c>
      <c r="F603" s="472">
        <v>1991</v>
      </c>
      <c r="G603" s="484" t="s">
        <v>107</v>
      </c>
      <c r="H603" s="472" t="s">
        <v>122</v>
      </c>
      <c r="I603" s="486">
        <v>40</v>
      </c>
      <c r="J603" s="486">
        <v>0.5</v>
      </c>
      <c r="K603" s="472">
        <f t="shared" si="71"/>
        <v>21</v>
      </c>
      <c r="L603" s="473">
        <v>0.87569444444444444</v>
      </c>
      <c r="M603" s="474">
        <f t="shared" si="65"/>
        <v>0.87569444444444444</v>
      </c>
      <c r="N603" s="519"/>
      <c r="P603" s="29" t="str">
        <f t="shared" si="67"/>
        <v>1991F0</v>
      </c>
      <c r="Q603" s="29" t="str">
        <f t="shared" si="68"/>
        <v>F021</v>
      </c>
      <c r="R603" s="29" t="str">
        <f t="shared" si="69"/>
        <v>MayF0</v>
      </c>
    </row>
    <row r="604" spans="1:18">
      <c r="A604" s="483">
        <f t="shared" si="70"/>
        <v>600</v>
      </c>
      <c r="B604" s="484">
        <v>12</v>
      </c>
      <c r="C604" s="485">
        <v>33386</v>
      </c>
      <c r="D604" s="763" t="str">
        <f t="shared" si="66"/>
        <v>May</v>
      </c>
      <c r="E604" s="486">
        <v>28</v>
      </c>
      <c r="F604" s="472">
        <v>1991</v>
      </c>
      <c r="G604" s="484" t="s">
        <v>107</v>
      </c>
      <c r="H604" s="472" t="s">
        <v>122</v>
      </c>
      <c r="I604" s="486">
        <v>30</v>
      </c>
      <c r="J604" s="486">
        <v>0.1</v>
      </c>
      <c r="K604" s="472">
        <f t="shared" si="71"/>
        <v>21</v>
      </c>
      <c r="L604" s="473">
        <v>0.88194444444444453</v>
      </c>
      <c r="M604" s="474">
        <f t="shared" si="65"/>
        <v>0.88194444444444453</v>
      </c>
      <c r="N604" s="519"/>
      <c r="P604" s="29" t="str">
        <f t="shared" si="67"/>
        <v>1991F0</v>
      </c>
      <c r="Q604" s="29" t="str">
        <f t="shared" si="68"/>
        <v>F021</v>
      </c>
      <c r="R604" s="29" t="str">
        <f t="shared" si="69"/>
        <v>MayF0</v>
      </c>
    </row>
    <row r="605" spans="1:18">
      <c r="A605" s="483">
        <f t="shared" si="70"/>
        <v>601</v>
      </c>
      <c r="B605" s="484">
        <v>13</v>
      </c>
      <c r="C605" s="485">
        <v>33387</v>
      </c>
      <c r="D605" s="763" t="str">
        <f t="shared" si="66"/>
        <v>May</v>
      </c>
      <c r="E605" s="486">
        <v>29</v>
      </c>
      <c r="F605" s="472">
        <v>1991</v>
      </c>
      <c r="G605" s="484" t="s">
        <v>105</v>
      </c>
      <c r="H605" s="472" t="s">
        <v>122</v>
      </c>
      <c r="I605" s="486">
        <v>60</v>
      </c>
      <c r="J605" s="486">
        <v>0.5</v>
      </c>
      <c r="K605" s="472">
        <f t="shared" si="71"/>
        <v>17</v>
      </c>
      <c r="L605" s="473">
        <v>0.71666666666666667</v>
      </c>
      <c r="M605" s="474">
        <f t="shared" si="65"/>
        <v>0.71666666666666667</v>
      </c>
      <c r="N605" s="519"/>
      <c r="P605" s="29" t="str">
        <f t="shared" si="67"/>
        <v>1991F0</v>
      </c>
      <c r="Q605" s="29" t="str">
        <f t="shared" si="68"/>
        <v>F017</v>
      </c>
      <c r="R605" s="29" t="str">
        <f t="shared" si="69"/>
        <v>MayF0</v>
      </c>
    </row>
    <row r="606" spans="1:18">
      <c r="A606" s="483">
        <f t="shared" si="70"/>
        <v>602</v>
      </c>
      <c r="B606" s="484">
        <v>14</v>
      </c>
      <c r="C606" s="485">
        <v>33387</v>
      </c>
      <c r="D606" s="763" t="str">
        <f t="shared" si="66"/>
        <v>May</v>
      </c>
      <c r="E606" s="486">
        <v>29</v>
      </c>
      <c r="F606" s="472">
        <v>1991</v>
      </c>
      <c r="G606" s="484" t="s">
        <v>118</v>
      </c>
      <c r="H606" s="472" t="s">
        <v>122</v>
      </c>
      <c r="I606" s="486">
        <v>50</v>
      </c>
      <c r="J606" s="486">
        <v>0.5</v>
      </c>
      <c r="K606" s="472">
        <f t="shared" si="71"/>
        <v>17</v>
      </c>
      <c r="L606" s="473">
        <v>0.74097222222222225</v>
      </c>
      <c r="M606" s="474">
        <f t="shared" si="65"/>
        <v>0.74097222222222225</v>
      </c>
      <c r="N606" s="519"/>
      <c r="P606" s="29" t="str">
        <f t="shared" si="67"/>
        <v>1991F0</v>
      </c>
      <c r="Q606" s="29" t="str">
        <f t="shared" si="68"/>
        <v>F017</v>
      </c>
      <c r="R606" s="29" t="str">
        <f t="shared" si="69"/>
        <v>MayF0</v>
      </c>
    </row>
    <row r="607" spans="1:18">
      <c r="A607" s="483">
        <f t="shared" si="70"/>
        <v>603</v>
      </c>
      <c r="B607" s="484">
        <v>15</v>
      </c>
      <c r="C607" s="485">
        <v>33387</v>
      </c>
      <c r="D607" s="763" t="str">
        <f t="shared" si="66"/>
        <v>May</v>
      </c>
      <c r="E607" s="486">
        <v>29</v>
      </c>
      <c r="F607" s="472">
        <v>1991</v>
      </c>
      <c r="G607" s="484" t="s">
        <v>113</v>
      </c>
      <c r="H607" s="472" t="s">
        <v>122</v>
      </c>
      <c r="I607" s="486">
        <v>60</v>
      </c>
      <c r="J607" s="486">
        <v>2.8</v>
      </c>
      <c r="K607" s="472">
        <f t="shared" si="71"/>
        <v>17</v>
      </c>
      <c r="L607" s="473">
        <v>0.74375000000000002</v>
      </c>
      <c r="M607" s="474">
        <f t="shared" si="65"/>
        <v>0.74375000000000002</v>
      </c>
      <c r="N607" s="519"/>
      <c r="P607" s="29" t="str">
        <f t="shared" si="67"/>
        <v>1991F0</v>
      </c>
      <c r="Q607" s="29" t="str">
        <f t="shared" si="68"/>
        <v>F017</v>
      </c>
      <c r="R607" s="29" t="str">
        <f t="shared" si="69"/>
        <v>MayF0</v>
      </c>
    </row>
    <row r="608" spans="1:18">
      <c r="A608" s="483">
        <f t="shared" si="70"/>
        <v>604</v>
      </c>
      <c r="B608" s="484">
        <v>16</v>
      </c>
      <c r="C608" s="485">
        <v>33387</v>
      </c>
      <c r="D608" s="763" t="str">
        <f t="shared" si="66"/>
        <v>May</v>
      </c>
      <c r="E608" s="486">
        <v>29</v>
      </c>
      <c r="F608" s="472">
        <v>1991</v>
      </c>
      <c r="G608" s="484" t="s">
        <v>109</v>
      </c>
      <c r="H608" s="472" t="s">
        <v>122</v>
      </c>
      <c r="I608" s="486">
        <v>20</v>
      </c>
      <c r="J608" s="486">
        <v>0.1</v>
      </c>
      <c r="K608" s="472">
        <f t="shared" si="71"/>
        <v>18</v>
      </c>
      <c r="L608" s="473">
        <v>0.75555555555555554</v>
      </c>
      <c r="M608" s="474">
        <f t="shared" si="65"/>
        <v>0.75555555555555554</v>
      </c>
      <c r="N608" s="519"/>
      <c r="P608" s="29" t="str">
        <f t="shared" si="67"/>
        <v>1991F0</v>
      </c>
      <c r="Q608" s="29" t="str">
        <f t="shared" si="68"/>
        <v>F018</v>
      </c>
      <c r="R608" s="29" t="str">
        <f t="shared" si="69"/>
        <v>MayF0</v>
      </c>
    </row>
    <row r="609" spans="1:18">
      <c r="A609" s="483">
        <f t="shared" si="70"/>
        <v>605</v>
      </c>
      <c r="B609" s="484">
        <v>17</v>
      </c>
      <c r="C609" s="485">
        <v>33387</v>
      </c>
      <c r="D609" s="763" t="str">
        <f t="shared" si="66"/>
        <v>May</v>
      </c>
      <c r="E609" s="486">
        <v>29</v>
      </c>
      <c r="F609" s="472">
        <v>1991</v>
      </c>
      <c r="G609" s="484" t="s">
        <v>108</v>
      </c>
      <c r="H609" s="472" t="s">
        <v>122</v>
      </c>
      <c r="I609" s="486">
        <v>40</v>
      </c>
      <c r="J609" s="486">
        <v>2</v>
      </c>
      <c r="K609" s="472">
        <f t="shared" si="71"/>
        <v>18</v>
      </c>
      <c r="L609" s="473">
        <v>0.75694444444444453</v>
      </c>
      <c r="M609" s="474">
        <f t="shared" si="65"/>
        <v>0.75694444444444453</v>
      </c>
      <c r="N609" s="519"/>
      <c r="P609" s="29" t="str">
        <f t="shared" si="67"/>
        <v>1991F0</v>
      </c>
      <c r="Q609" s="29" t="str">
        <f t="shared" si="68"/>
        <v>F018</v>
      </c>
      <c r="R609" s="29" t="str">
        <f t="shared" si="69"/>
        <v>MayF0</v>
      </c>
    </row>
    <row r="610" spans="1:18">
      <c r="A610" s="483">
        <f t="shared" si="70"/>
        <v>606</v>
      </c>
      <c r="B610" s="484">
        <v>18</v>
      </c>
      <c r="C610" s="485">
        <v>33387</v>
      </c>
      <c r="D610" s="763" t="str">
        <f t="shared" si="66"/>
        <v>May</v>
      </c>
      <c r="E610" s="486">
        <v>29</v>
      </c>
      <c r="F610" s="472">
        <v>1991</v>
      </c>
      <c r="G610" s="484" t="s">
        <v>118</v>
      </c>
      <c r="H610" s="472" t="s">
        <v>122</v>
      </c>
      <c r="I610" s="486">
        <v>30</v>
      </c>
      <c r="J610" s="486">
        <v>0.2</v>
      </c>
      <c r="K610" s="472">
        <f t="shared" si="71"/>
        <v>18</v>
      </c>
      <c r="L610" s="473">
        <v>0.78333333333333333</v>
      </c>
      <c r="M610" s="474">
        <f t="shared" si="65"/>
        <v>0.78333333333333333</v>
      </c>
      <c r="N610" s="519"/>
      <c r="P610" s="29" t="str">
        <f t="shared" si="67"/>
        <v>1991F0</v>
      </c>
      <c r="Q610" s="29" t="str">
        <f t="shared" si="68"/>
        <v>F018</v>
      </c>
      <c r="R610" s="29" t="str">
        <f t="shared" si="69"/>
        <v>MayF0</v>
      </c>
    </row>
    <row r="611" spans="1:18">
      <c r="A611" s="483">
        <f t="shared" si="70"/>
        <v>607</v>
      </c>
      <c r="B611" s="484">
        <v>19</v>
      </c>
      <c r="C611" s="485">
        <v>33387</v>
      </c>
      <c r="D611" s="763" t="str">
        <f t="shared" si="66"/>
        <v>May</v>
      </c>
      <c r="E611" s="486">
        <v>29</v>
      </c>
      <c r="F611" s="472">
        <v>1991</v>
      </c>
      <c r="G611" s="484" t="s">
        <v>114</v>
      </c>
      <c r="H611" s="472" t="s">
        <v>122</v>
      </c>
      <c r="I611" s="486">
        <v>20</v>
      </c>
      <c r="J611" s="486">
        <v>0.1</v>
      </c>
      <c r="K611" s="472">
        <f t="shared" si="71"/>
        <v>19</v>
      </c>
      <c r="L611" s="473">
        <v>0.8125</v>
      </c>
      <c r="M611" s="474">
        <f t="shared" si="65"/>
        <v>0.8125</v>
      </c>
      <c r="N611" s="519"/>
      <c r="P611" s="29" t="str">
        <f t="shared" si="67"/>
        <v>1991F0</v>
      </c>
      <c r="Q611" s="29" t="str">
        <f t="shared" si="68"/>
        <v>F019</v>
      </c>
      <c r="R611" s="29" t="str">
        <f t="shared" si="69"/>
        <v>MayF0</v>
      </c>
    </row>
    <row r="612" spans="1:18">
      <c r="A612" s="483">
        <f t="shared" si="70"/>
        <v>608</v>
      </c>
      <c r="B612" s="484">
        <v>20</v>
      </c>
      <c r="C612" s="485">
        <v>33387</v>
      </c>
      <c r="D612" s="763" t="str">
        <f t="shared" si="66"/>
        <v>May</v>
      </c>
      <c r="E612" s="486">
        <v>29</v>
      </c>
      <c r="F612" s="472">
        <v>1991</v>
      </c>
      <c r="G612" s="484" t="s">
        <v>114</v>
      </c>
      <c r="H612" s="472" t="s">
        <v>122</v>
      </c>
      <c r="I612" s="486">
        <v>30</v>
      </c>
      <c r="J612" s="486">
        <v>0.2</v>
      </c>
      <c r="K612" s="472">
        <f t="shared" si="71"/>
        <v>20</v>
      </c>
      <c r="L612" s="473">
        <v>0.83680555555555547</v>
      </c>
      <c r="M612" s="474">
        <f t="shared" si="65"/>
        <v>0.83680555555555547</v>
      </c>
      <c r="N612" s="519"/>
      <c r="P612" s="29" t="str">
        <f t="shared" si="67"/>
        <v>1991F0</v>
      </c>
      <c r="Q612" s="29" t="str">
        <f t="shared" si="68"/>
        <v>F020</v>
      </c>
      <c r="R612" s="29" t="str">
        <f t="shared" si="69"/>
        <v>MayF0</v>
      </c>
    </row>
    <row r="613" spans="1:18">
      <c r="A613" s="483">
        <f t="shared" si="70"/>
        <v>609</v>
      </c>
      <c r="B613" s="484">
        <v>21</v>
      </c>
      <c r="C613" s="485">
        <v>33407</v>
      </c>
      <c r="D613" s="763" t="str">
        <f t="shared" si="66"/>
        <v>June</v>
      </c>
      <c r="E613" s="486">
        <v>18</v>
      </c>
      <c r="F613" s="472">
        <v>1991</v>
      </c>
      <c r="G613" s="484" t="s">
        <v>101</v>
      </c>
      <c r="H613" s="472" t="s">
        <v>122</v>
      </c>
      <c r="I613" s="486">
        <v>30</v>
      </c>
      <c r="J613" s="486">
        <v>0.5</v>
      </c>
      <c r="K613" s="472">
        <f t="shared" si="71"/>
        <v>17</v>
      </c>
      <c r="L613" s="473">
        <v>0.73611111111111116</v>
      </c>
      <c r="M613" s="474">
        <f t="shared" si="65"/>
        <v>0.73611111111111116</v>
      </c>
      <c r="N613" s="519"/>
      <c r="P613" s="29" t="str">
        <f t="shared" si="67"/>
        <v>1991F0</v>
      </c>
      <c r="Q613" s="29" t="str">
        <f t="shared" si="68"/>
        <v>F017</v>
      </c>
      <c r="R613" s="29" t="str">
        <f t="shared" si="69"/>
        <v>JuneF0</v>
      </c>
    </row>
    <row r="614" spans="1:18">
      <c r="A614" s="483">
        <f t="shared" si="70"/>
        <v>610</v>
      </c>
      <c r="B614" s="484">
        <v>1</v>
      </c>
      <c r="C614" s="485">
        <v>33710</v>
      </c>
      <c r="D614" s="763" t="str">
        <f t="shared" si="66"/>
        <v>April</v>
      </c>
      <c r="E614" s="486">
        <v>16</v>
      </c>
      <c r="F614" s="472">
        <v>1992</v>
      </c>
      <c r="G614" s="484" t="s">
        <v>109</v>
      </c>
      <c r="H614" s="472" t="s">
        <v>122</v>
      </c>
      <c r="I614" s="486">
        <v>13</v>
      </c>
      <c r="J614" s="486">
        <v>0.5</v>
      </c>
      <c r="K614" s="472">
        <f t="shared" si="71"/>
        <v>16</v>
      </c>
      <c r="L614" s="473">
        <v>0.70138888888888884</v>
      </c>
      <c r="M614" s="474">
        <f t="shared" si="65"/>
        <v>0.70138888888888884</v>
      </c>
      <c r="N614" s="519"/>
      <c r="P614" s="29" t="str">
        <f t="shared" si="67"/>
        <v>1992F0</v>
      </c>
      <c r="Q614" s="29" t="str">
        <f t="shared" si="68"/>
        <v>F016</v>
      </c>
      <c r="R614" s="29" t="str">
        <f t="shared" si="69"/>
        <v>AprilF0</v>
      </c>
    </row>
    <row r="615" spans="1:18">
      <c r="A615" s="483">
        <f t="shared" si="70"/>
        <v>611</v>
      </c>
      <c r="B615" s="484">
        <v>2</v>
      </c>
      <c r="C615" s="485">
        <v>33710</v>
      </c>
      <c r="D615" s="763" t="str">
        <f t="shared" si="66"/>
        <v>April</v>
      </c>
      <c r="E615" s="486">
        <v>16</v>
      </c>
      <c r="F615" s="472">
        <v>1992</v>
      </c>
      <c r="G615" s="484" t="s">
        <v>109</v>
      </c>
      <c r="H615" s="472" t="s">
        <v>122</v>
      </c>
      <c r="I615" s="486">
        <v>13</v>
      </c>
      <c r="J615" s="486">
        <v>0.5</v>
      </c>
      <c r="K615" s="472">
        <f t="shared" si="71"/>
        <v>16</v>
      </c>
      <c r="L615" s="473">
        <v>0.70763888888888893</v>
      </c>
      <c r="M615" s="474">
        <f t="shared" si="65"/>
        <v>0.70763888888888893</v>
      </c>
      <c r="N615" s="519"/>
      <c r="P615" s="29" t="str">
        <f t="shared" si="67"/>
        <v>1992F0</v>
      </c>
      <c r="Q615" s="29" t="str">
        <f t="shared" si="68"/>
        <v>F016</v>
      </c>
      <c r="R615" s="29" t="str">
        <f t="shared" si="69"/>
        <v>AprilF0</v>
      </c>
    </row>
    <row r="616" spans="1:18">
      <c r="A616" s="483">
        <f t="shared" si="70"/>
        <v>612</v>
      </c>
      <c r="B616" s="484">
        <v>3</v>
      </c>
      <c r="C616" s="485">
        <v>33710</v>
      </c>
      <c r="D616" s="763" t="str">
        <f t="shared" si="66"/>
        <v>April</v>
      </c>
      <c r="E616" s="486">
        <v>16</v>
      </c>
      <c r="F616" s="472">
        <v>1992</v>
      </c>
      <c r="G616" s="484" t="s">
        <v>109</v>
      </c>
      <c r="H616" s="472" t="s">
        <v>123</v>
      </c>
      <c r="I616" s="486">
        <v>50</v>
      </c>
      <c r="J616" s="486">
        <v>3</v>
      </c>
      <c r="K616" s="472">
        <f t="shared" si="71"/>
        <v>17</v>
      </c>
      <c r="L616" s="473">
        <v>0.7090277777777777</v>
      </c>
      <c r="M616" s="474">
        <f t="shared" si="65"/>
        <v>0.7090277777777777</v>
      </c>
      <c r="N616" s="519"/>
      <c r="P616" s="29" t="str">
        <f t="shared" si="67"/>
        <v>1992F1</v>
      </c>
      <c r="Q616" s="29" t="str">
        <f t="shared" si="68"/>
        <v>F117</v>
      </c>
      <c r="R616" s="29" t="str">
        <f t="shared" si="69"/>
        <v>AprilF1</v>
      </c>
    </row>
    <row r="617" spans="1:18">
      <c r="A617" s="483">
        <f t="shared" si="70"/>
        <v>613</v>
      </c>
      <c r="B617" s="484">
        <v>4</v>
      </c>
      <c r="C617" s="485">
        <v>33710</v>
      </c>
      <c r="D617" s="763" t="str">
        <f t="shared" si="66"/>
        <v>April</v>
      </c>
      <c r="E617" s="486">
        <v>16</v>
      </c>
      <c r="F617" s="472">
        <v>1992</v>
      </c>
      <c r="G617" s="484" t="s">
        <v>114</v>
      </c>
      <c r="H617" s="472" t="s">
        <v>122</v>
      </c>
      <c r="I617" s="486">
        <v>10</v>
      </c>
      <c r="J617" s="486">
        <v>0.5</v>
      </c>
      <c r="K617" s="472">
        <f t="shared" si="71"/>
        <v>17</v>
      </c>
      <c r="L617" s="473">
        <v>0.71527777777777779</v>
      </c>
      <c r="M617" s="474">
        <f t="shared" si="65"/>
        <v>0.71527777777777779</v>
      </c>
      <c r="N617" s="519"/>
      <c r="P617" s="29" t="str">
        <f t="shared" si="67"/>
        <v>1992F0</v>
      </c>
      <c r="Q617" s="29" t="str">
        <f t="shared" si="68"/>
        <v>F017</v>
      </c>
      <c r="R617" s="29" t="str">
        <f t="shared" si="69"/>
        <v>AprilF0</v>
      </c>
    </row>
    <row r="618" spans="1:18">
      <c r="A618" s="483">
        <f t="shared" si="70"/>
        <v>614</v>
      </c>
      <c r="B618" s="484">
        <v>5</v>
      </c>
      <c r="C618" s="485">
        <v>33751</v>
      </c>
      <c r="D618" s="763" t="str">
        <f t="shared" si="66"/>
        <v>May</v>
      </c>
      <c r="E618" s="486">
        <v>27</v>
      </c>
      <c r="F618" s="472">
        <v>1992</v>
      </c>
      <c r="G618" s="484" t="s">
        <v>112</v>
      </c>
      <c r="H618" s="472" t="s">
        <v>122</v>
      </c>
      <c r="I618" s="486">
        <v>50</v>
      </c>
      <c r="J618" s="486">
        <v>0.1</v>
      </c>
      <c r="K618" s="472">
        <f t="shared" si="71"/>
        <v>16</v>
      </c>
      <c r="L618" s="473">
        <v>0.67708333333333337</v>
      </c>
      <c r="M618" s="474">
        <f t="shared" si="65"/>
        <v>0.67708333333333337</v>
      </c>
      <c r="N618" s="519"/>
      <c r="P618" s="29" t="str">
        <f t="shared" si="67"/>
        <v>1992F0</v>
      </c>
      <c r="Q618" s="29" t="str">
        <f t="shared" si="68"/>
        <v>F016</v>
      </c>
      <c r="R618" s="29" t="str">
        <f t="shared" si="69"/>
        <v>MayF0</v>
      </c>
    </row>
    <row r="619" spans="1:18">
      <c r="A619" s="483">
        <f t="shared" si="70"/>
        <v>615</v>
      </c>
      <c r="B619" s="484">
        <v>6</v>
      </c>
      <c r="C619" s="485">
        <v>33759</v>
      </c>
      <c r="D619" s="763" t="str">
        <f t="shared" si="66"/>
        <v>June</v>
      </c>
      <c r="E619" s="486">
        <v>4</v>
      </c>
      <c r="F619" s="472">
        <v>1992</v>
      </c>
      <c r="G619" s="484" t="s">
        <v>108</v>
      </c>
      <c r="H619" s="472" t="s">
        <v>122</v>
      </c>
      <c r="I619" s="486">
        <v>13</v>
      </c>
      <c r="J619" s="486">
        <v>0.5</v>
      </c>
      <c r="K619" s="472">
        <f t="shared" si="71"/>
        <v>20</v>
      </c>
      <c r="L619" s="473">
        <v>0.86458333333333337</v>
      </c>
      <c r="M619" s="474">
        <f t="shared" si="65"/>
        <v>0.86458333333333337</v>
      </c>
      <c r="N619" s="519"/>
      <c r="P619" s="29" t="str">
        <f t="shared" si="67"/>
        <v>1992F0</v>
      </c>
      <c r="Q619" s="29" t="str">
        <f t="shared" si="68"/>
        <v>F020</v>
      </c>
      <c r="R619" s="29" t="str">
        <f t="shared" si="69"/>
        <v>JuneF0</v>
      </c>
    </row>
    <row r="620" spans="1:18">
      <c r="A620" s="483">
        <f t="shared" si="70"/>
        <v>616</v>
      </c>
      <c r="B620" s="484">
        <v>7</v>
      </c>
      <c r="C620" s="485">
        <v>33759</v>
      </c>
      <c r="D620" s="763" t="str">
        <f t="shared" si="66"/>
        <v>June</v>
      </c>
      <c r="E620" s="486">
        <v>4</v>
      </c>
      <c r="F620" s="472">
        <v>1992</v>
      </c>
      <c r="G620" s="484" t="s">
        <v>108</v>
      </c>
      <c r="H620" s="472" t="s">
        <v>122</v>
      </c>
      <c r="I620" s="486">
        <v>13</v>
      </c>
      <c r="J620" s="486">
        <v>0.5</v>
      </c>
      <c r="K620" s="472">
        <f t="shared" si="71"/>
        <v>21</v>
      </c>
      <c r="L620" s="473">
        <v>0.90486111111111101</v>
      </c>
      <c r="M620" s="474">
        <f t="shared" si="65"/>
        <v>0.90486111111111101</v>
      </c>
      <c r="N620" s="519"/>
      <c r="P620" s="29" t="str">
        <f t="shared" si="67"/>
        <v>1992F0</v>
      </c>
      <c r="Q620" s="29" t="str">
        <f t="shared" si="68"/>
        <v>F021</v>
      </c>
      <c r="R620" s="29" t="str">
        <f t="shared" si="69"/>
        <v>JuneF0</v>
      </c>
    </row>
    <row r="621" spans="1:18">
      <c r="A621" s="483">
        <f t="shared" si="70"/>
        <v>617</v>
      </c>
      <c r="B621" s="484">
        <v>8</v>
      </c>
      <c r="C621" s="485">
        <v>33759</v>
      </c>
      <c r="D621" s="763" t="str">
        <f t="shared" si="66"/>
        <v>June</v>
      </c>
      <c r="E621" s="486">
        <v>4</v>
      </c>
      <c r="F621" s="472">
        <v>1992</v>
      </c>
      <c r="G621" s="484" t="s">
        <v>108</v>
      </c>
      <c r="H621" s="472" t="s">
        <v>122</v>
      </c>
      <c r="I621" s="486">
        <v>13</v>
      </c>
      <c r="J621" s="486">
        <v>0.5</v>
      </c>
      <c r="K621" s="472">
        <f t="shared" si="71"/>
        <v>22</v>
      </c>
      <c r="L621" s="473">
        <v>0.92152777777777783</v>
      </c>
      <c r="M621" s="474">
        <f t="shared" si="65"/>
        <v>0.92152777777777783</v>
      </c>
      <c r="N621" s="519"/>
      <c r="P621" s="29" t="str">
        <f t="shared" si="67"/>
        <v>1992F0</v>
      </c>
      <c r="Q621" s="29" t="str">
        <f t="shared" si="68"/>
        <v>F022</v>
      </c>
      <c r="R621" s="29" t="str">
        <f t="shared" si="69"/>
        <v>JuneF0</v>
      </c>
    </row>
    <row r="622" spans="1:18">
      <c r="A622" s="483">
        <f t="shared" si="70"/>
        <v>618</v>
      </c>
      <c r="B622" s="484">
        <v>9</v>
      </c>
      <c r="C622" s="485">
        <v>33766</v>
      </c>
      <c r="D622" s="763" t="str">
        <f t="shared" si="66"/>
        <v>June</v>
      </c>
      <c r="E622" s="486">
        <v>11</v>
      </c>
      <c r="F622" s="472">
        <v>1992</v>
      </c>
      <c r="G622" s="484" t="s">
        <v>118</v>
      </c>
      <c r="H622" s="472" t="s">
        <v>122</v>
      </c>
      <c r="I622" s="486">
        <v>13</v>
      </c>
      <c r="J622" s="486">
        <v>0.5</v>
      </c>
      <c r="K622" s="472">
        <f t="shared" si="71"/>
        <v>15</v>
      </c>
      <c r="L622" s="473">
        <v>0.66041666666666665</v>
      </c>
      <c r="M622" s="474">
        <f t="shared" si="65"/>
        <v>0.66041666666666665</v>
      </c>
      <c r="N622" s="519"/>
      <c r="P622" s="29" t="str">
        <f t="shared" si="67"/>
        <v>1992F0</v>
      </c>
      <c r="Q622" s="29" t="str">
        <f t="shared" si="68"/>
        <v>F015</v>
      </c>
      <c r="R622" s="29" t="str">
        <f t="shared" si="69"/>
        <v>JuneF0</v>
      </c>
    </row>
    <row r="623" spans="1:18">
      <c r="A623" s="483">
        <f t="shared" si="70"/>
        <v>619</v>
      </c>
      <c r="B623" s="484">
        <v>10</v>
      </c>
      <c r="C623" s="485">
        <v>33766</v>
      </c>
      <c r="D623" s="763" t="str">
        <f t="shared" si="66"/>
        <v>June</v>
      </c>
      <c r="E623" s="486">
        <v>11</v>
      </c>
      <c r="F623" s="472">
        <v>1992</v>
      </c>
      <c r="G623" s="484" t="s">
        <v>118</v>
      </c>
      <c r="H623" s="472" t="s">
        <v>122</v>
      </c>
      <c r="I623" s="486">
        <v>13</v>
      </c>
      <c r="J623" s="486">
        <v>0.5</v>
      </c>
      <c r="K623" s="472">
        <f t="shared" si="71"/>
        <v>15</v>
      </c>
      <c r="L623" s="473">
        <v>0.66111111111111109</v>
      </c>
      <c r="M623" s="474">
        <f t="shared" si="65"/>
        <v>0.66111111111111109</v>
      </c>
      <c r="N623" s="519"/>
      <c r="P623" s="29" t="str">
        <f t="shared" si="67"/>
        <v>1992F0</v>
      </c>
      <c r="Q623" s="29" t="str">
        <f t="shared" si="68"/>
        <v>F015</v>
      </c>
      <c r="R623" s="29" t="str">
        <f t="shared" si="69"/>
        <v>JuneF0</v>
      </c>
    </row>
    <row r="624" spans="1:18">
      <c r="A624" s="483">
        <f t="shared" si="70"/>
        <v>620</v>
      </c>
      <c r="B624" s="484">
        <v>11</v>
      </c>
      <c r="C624" s="485">
        <v>33773</v>
      </c>
      <c r="D624" s="763" t="str">
        <f t="shared" si="66"/>
        <v>June</v>
      </c>
      <c r="E624" s="486">
        <v>18</v>
      </c>
      <c r="F624" s="472">
        <v>1992</v>
      </c>
      <c r="G624" s="484" t="s">
        <v>105</v>
      </c>
      <c r="H624" s="472" t="s">
        <v>122</v>
      </c>
      <c r="I624" s="486">
        <v>7</v>
      </c>
      <c r="J624" s="486">
        <v>0.3</v>
      </c>
      <c r="K624" s="472">
        <f t="shared" si="71"/>
        <v>16</v>
      </c>
      <c r="L624" s="473">
        <v>0.70138888888888884</v>
      </c>
      <c r="M624" s="474">
        <f t="shared" si="65"/>
        <v>0.70138888888888884</v>
      </c>
      <c r="N624" s="519"/>
      <c r="P624" s="29" t="str">
        <f t="shared" si="67"/>
        <v>1992F0</v>
      </c>
      <c r="Q624" s="29" t="str">
        <f t="shared" si="68"/>
        <v>F016</v>
      </c>
      <c r="R624" s="29" t="str">
        <f t="shared" si="69"/>
        <v>JuneF0</v>
      </c>
    </row>
    <row r="625" spans="1:18">
      <c r="A625" s="483">
        <f t="shared" si="70"/>
        <v>621</v>
      </c>
      <c r="B625" s="484">
        <v>12</v>
      </c>
      <c r="C625" s="485">
        <v>33774</v>
      </c>
      <c r="D625" s="763" t="str">
        <f t="shared" si="66"/>
        <v>June</v>
      </c>
      <c r="E625" s="486">
        <v>19</v>
      </c>
      <c r="F625" s="472">
        <v>1992</v>
      </c>
      <c r="G625" s="484" t="s">
        <v>121</v>
      </c>
      <c r="H625" s="472" t="s">
        <v>122</v>
      </c>
      <c r="I625" s="486">
        <v>5</v>
      </c>
      <c r="J625" s="486">
        <v>0.1</v>
      </c>
      <c r="K625" s="472">
        <f t="shared" si="71"/>
        <v>19</v>
      </c>
      <c r="L625" s="473">
        <v>0.80625000000000002</v>
      </c>
      <c r="M625" s="474">
        <f t="shared" si="65"/>
        <v>0.80625000000000002</v>
      </c>
      <c r="N625" s="519"/>
      <c r="P625" s="29" t="str">
        <f t="shared" si="67"/>
        <v>1992F0</v>
      </c>
      <c r="Q625" s="29" t="str">
        <f t="shared" si="68"/>
        <v>F019</v>
      </c>
      <c r="R625" s="29" t="str">
        <f t="shared" si="69"/>
        <v>JuneF0</v>
      </c>
    </row>
    <row r="626" spans="1:18">
      <c r="A626" s="483">
        <f t="shared" si="70"/>
        <v>622</v>
      </c>
      <c r="B626" s="484">
        <v>13</v>
      </c>
      <c r="C626" s="485">
        <v>33774</v>
      </c>
      <c r="D626" s="763" t="str">
        <f t="shared" si="66"/>
        <v>June</v>
      </c>
      <c r="E626" s="486">
        <v>19</v>
      </c>
      <c r="F626" s="472">
        <v>1992</v>
      </c>
      <c r="G626" s="484" t="s">
        <v>99</v>
      </c>
      <c r="H626" s="472" t="s">
        <v>123</v>
      </c>
      <c r="I626" s="486">
        <v>23</v>
      </c>
      <c r="J626" s="486">
        <v>2</v>
      </c>
      <c r="K626" s="472">
        <f t="shared" si="71"/>
        <v>20</v>
      </c>
      <c r="L626" s="473">
        <v>0.84027777777777779</v>
      </c>
      <c r="M626" s="474">
        <f t="shared" si="65"/>
        <v>0.84027777777777779</v>
      </c>
      <c r="N626" s="519"/>
      <c r="P626" s="29" t="str">
        <f t="shared" si="67"/>
        <v>1992F1</v>
      </c>
      <c r="Q626" s="29" t="str">
        <f t="shared" si="68"/>
        <v>F120</v>
      </c>
      <c r="R626" s="29" t="str">
        <f t="shared" si="69"/>
        <v>JuneF1</v>
      </c>
    </row>
    <row r="627" spans="1:18">
      <c r="A627" s="483">
        <f t="shared" si="70"/>
        <v>623</v>
      </c>
      <c r="B627" s="484">
        <v>14</v>
      </c>
      <c r="C627" s="485">
        <v>33781</v>
      </c>
      <c r="D627" s="763" t="str">
        <f t="shared" si="66"/>
        <v>June</v>
      </c>
      <c r="E627" s="486">
        <v>26</v>
      </c>
      <c r="F627" s="472">
        <v>1992</v>
      </c>
      <c r="G627" s="484" t="s">
        <v>100</v>
      </c>
      <c r="H627" s="472" t="s">
        <v>122</v>
      </c>
      <c r="I627" s="486">
        <v>10</v>
      </c>
      <c r="J627" s="486">
        <v>0.2</v>
      </c>
      <c r="K627" s="472">
        <f t="shared" si="71"/>
        <v>19</v>
      </c>
      <c r="L627" s="473">
        <v>0.82291666666666663</v>
      </c>
      <c r="M627" s="474">
        <f t="shared" si="65"/>
        <v>0.82291666666666663</v>
      </c>
      <c r="N627" s="519"/>
      <c r="P627" s="29" t="str">
        <f t="shared" si="67"/>
        <v>1992F0</v>
      </c>
      <c r="Q627" s="29" t="str">
        <f t="shared" si="68"/>
        <v>F019</v>
      </c>
      <c r="R627" s="29" t="str">
        <f t="shared" si="69"/>
        <v>JuneF0</v>
      </c>
    </row>
    <row r="628" spans="1:18">
      <c r="A628" s="483">
        <f t="shared" si="70"/>
        <v>624</v>
      </c>
      <c r="B628" s="484">
        <v>15</v>
      </c>
      <c r="C628" s="485">
        <v>33782</v>
      </c>
      <c r="D628" s="763" t="str">
        <f t="shared" si="66"/>
        <v>June</v>
      </c>
      <c r="E628" s="486">
        <v>27</v>
      </c>
      <c r="F628" s="472">
        <v>1992</v>
      </c>
      <c r="G628" s="484" t="s">
        <v>108</v>
      </c>
      <c r="H628" s="472" t="s">
        <v>122</v>
      </c>
      <c r="I628" s="486">
        <v>10</v>
      </c>
      <c r="J628" s="486">
        <v>0.1</v>
      </c>
      <c r="K628" s="472">
        <f t="shared" si="71"/>
        <v>17</v>
      </c>
      <c r="L628" s="473">
        <v>0.72083333333333333</v>
      </c>
      <c r="M628" s="474">
        <f t="shared" si="65"/>
        <v>0.72083333333333333</v>
      </c>
      <c r="N628" s="519"/>
      <c r="P628" s="29" t="str">
        <f t="shared" si="67"/>
        <v>1992F0</v>
      </c>
      <c r="Q628" s="29" t="str">
        <f t="shared" si="68"/>
        <v>F017</v>
      </c>
      <c r="R628" s="29" t="str">
        <f t="shared" si="69"/>
        <v>JuneF0</v>
      </c>
    </row>
    <row r="629" spans="1:18">
      <c r="A629" s="483">
        <f t="shared" si="70"/>
        <v>625</v>
      </c>
      <c r="B629" s="484">
        <v>16</v>
      </c>
      <c r="C629" s="485">
        <v>33782</v>
      </c>
      <c r="D629" s="763" t="str">
        <f t="shared" si="66"/>
        <v>June</v>
      </c>
      <c r="E629" s="486">
        <v>27</v>
      </c>
      <c r="F629" s="472">
        <v>1992</v>
      </c>
      <c r="G629" s="484" t="s">
        <v>108</v>
      </c>
      <c r="H629" s="472" t="s">
        <v>125</v>
      </c>
      <c r="I629" s="486">
        <v>300</v>
      </c>
      <c r="J629" s="486">
        <v>5</v>
      </c>
      <c r="K629" s="472">
        <f t="shared" si="71"/>
        <v>17</v>
      </c>
      <c r="L629" s="473">
        <v>0.73402777777777783</v>
      </c>
      <c r="M629" s="474">
        <f t="shared" si="65"/>
        <v>0.73402777777777783</v>
      </c>
      <c r="N629" s="519"/>
      <c r="P629" s="29" t="str">
        <f t="shared" si="67"/>
        <v>1992F3</v>
      </c>
      <c r="Q629" s="29" t="str">
        <f t="shared" si="68"/>
        <v>F317</v>
      </c>
      <c r="R629" s="29" t="str">
        <f t="shared" si="69"/>
        <v>JuneF3</v>
      </c>
    </row>
    <row r="630" spans="1:18" ht="65.25" customHeight="1">
      <c r="A630" s="483">
        <f t="shared" si="70"/>
        <v>626</v>
      </c>
      <c r="B630" s="484">
        <v>17</v>
      </c>
      <c r="C630" s="485">
        <v>33782</v>
      </c>
      <c r="D630" s="763" t="str">
        <f t="shared" si="66"/>
        <v>June</v>
      </c>
      <c r="E630" s="486">
        <v>27</v>
      </c>
      <c r="F630" s="472">
        <v>1992</v>
      </c>
      <c r="G630" s="484" t="s">
        <v>108</v>
      </c>
      <c r="H630" s="472" t="s">
        <v>126</v>
      </c>
      <c r="I630" s="486">
        <v>1583</v>
      </c>
      <c r="J630" s="486">
        <v>18</v>
      </c>
      <c r="K630" s="472">
        <f t="shared" si="71"/>
        <v>18</v>
      </c>
      <c r="L630" s="473">
        <v>0.7715277777777777</v>
      </c>
      <c r="M630" s="474">
        <f t="shared" si="65"/>
        <v>0.7715277777777777</v>
      </c>
      <c r="N630" s="519">
        <v>0.8125</v>
      </c>
      <c r="P630" s="29" t="str">
        <f t="shared" si="67"/>
        <v>1992F4</v>
      </c>
      <c r="Q630" s="29" t="str">
        <f t="shared" si="68"/>
        <v>F418</v>
      </c>
      <c r="R630" s="29" t="str">
        <f t="shared" si="69"/>
        <v>JuneF4</v>
      </c>
    </row>
    <row r="631" spans="1:18" ht="28.5" customHeight="1">
      <c r="A631" s="483">
        <f t="shared" si="70"/>
        <v>627</v>
      </c>
      <c r="B631" s="484">
        <v>18</v>
      </c>
      <c r="C631" s="485">
        <v>33782</v>
      </c>
      <c r="D631" s="763" t="str">
        <f t="shared" si="66"/>
        <v>June</v>
      </c>
      <c r="E631" s="486">
        <v>27</v>
      </c>
      <c r="F631" s="472">
        <v>1992</v>
      </c>
      <c r="G631" s="484" t="s">
        <v>108</v>
      </c>
      <c r="H631" s="472" t="s">
        <v>123</v>
      </c>
      <c r="I631" s="486">
        <v>55</v>
      </c>
      <c r="J631" s="486">
        <v>2</v>
      </c>
      <c r="K631" s="472">
        <f t="shared" si="71"/>
        <v>19</v>
      </c>
      <c r="L631" s="473">
        <v>0.79236111111111107</v>
      </c>
      <c r="M631" s="474">
        <f t="shared" ref="M631:M690" si="72">+L631</f>
        <v>0.79236111111111107</v>
      </c>
      <c r="N631" s="519"/>
      <c r="P631" s="29" t="str">
        <f t="shared" si="67"/>
        <v>1992F1</v>
      </c>
      <c r="Q631" s="29" t="str">
        <f t="shared" si="68"/>
        <v>F119</v>
      </c>
      <c r="R631" s="29" t="str">
        <f t="shared" si="69"/>
        <v>JuneF1</v>
      </c>
    </row>
    <row r="632" spans="1:18" ht="32.25" customHeight="1">
      <c r="A632" s="483">
        <f t="shared" si="70"/>
        <v>628</v>
      </c>
      <c r="B632" s="484">
        <v>19</v>
      </c>
      <c r="C632" s="485">
        <v>33782</v>
      </c>
      <c r="D632" s="763" t="str">
        <f t="shared" si="66"/>
        <v>June</v>
      </c>
      <c r="E632" s="486">
        <v>27</v>
      </c>
      <c r="F632" s="472">
        <v>1992</v>
      </c>
      <c r="G632" s="484" t="s">
        <v>109</v>
      </c>
      <c r="H632" s="472" t="s">
        <v>124</v>
      </c>
      <c r="I632" s="486">
        <v>150</v>
      </c>
      <c r="J632" s="486">
        <v>4</v>
      </c>
      <c r="K632" s="472">
        <f t="shared" si="71"/>
        <v>19</v>
      </c>
      <c r="L632" s="473">
        <v>0.79583333333333339</v>
      </c>
      <c r="M632" s="474">
        <f t="shared" si="72"/>
        <v>0.79583333333333339</v>
      </c>
      <c r="N632" s="519"/>
      <c r="P632" s="29" t="str">
        <f t="shared" si="67"/>
        <v>1992F2</v>
      </c>
      <c r="Q632" s="29" t="str">
        <f t="shared" si="68"/>
        <v>F219</v>
      </c>
      <c r="R632" s="29" t="str">
        <f t="shared" si="69"/>
        <v>JuneF2</v>
      </c>
    </row>
    <row r="633" spans="1:18">
      <c r="A633" s="483">
        <f t="shared" si="70"/>
        <v>629</v>
      </c>
      <c r="B633" s="484">
        <v>1</v>
      </c>
      <c r="C633" s="485">
        <v>34087</v>
      </c>
      <c r="D633" s="763" t="str">
        <f t="shared" si="66"/>
        <v>April</v>
      </c>
      <c r="E633" s="486">
        <v>28</v>
      </c>
      <c r="F633" s="472">
        <v>1993</v>
      </c>
      <c r="G633" s="484" t="s">
        <v>112</v>
      </c>
      <c r="H633" s="472" t="s">
        <v>122</v>
      </c>
      <c r="I633" s="486">
        <v>50</v>
      </c>
      <c r="J633" s="486">
        <v>0.2</v>
      </c>
      <c r="K633" s="472">
        <f t="shared" si="71"/>
        <v>17</v>
      </c>
      <c r="L633" s="473">
        <v>0.7368055555555556</v>
      </c>
      <c r="M633" s="474">
        <f t="shared" si="72"/>
        <v>0.7368055555555556</v>
      </c>
      <c r="N633" s="519"/>
      <c r="P633" s="29" t="str">
        <f t="shared" si="67"/>
        <v>1993F0</v>
      </c>
      <c r="Q633" s="29" t="str">
        <f t="shared" si="68"/>
        <v>F017</v>
      </c>
      <c r="R633" s="29" t="str">
        <f t="shared" si="69"/>
        <v>AprilF0</v>
      </c>
    </row>
    <row r="634" spans="1:18">
      <c r="A634" s="483">
        <f t="shared" si="70"/>
        <v>630</v>
      </c>
      <c r="B634" s="484">
        <v>2</v>
      </c>
      <c r="C634" s="485">
        <v>34087</v>
      </c>
      <c r="D634" s="763" t="str">
        <f t="shared" si="66"/>
        <v>April</v>
      </c>
      <c r="E634" s="486">
        <v>28</v>
      </c>
      <c r="F634" s="472">
        <v>1993</v>
      </c>
      <c r="G634" s="484" t="s">
        <v>113</v>
      </c>
      <c r="H634" s="472" t="s">
        <v>122</v>
      </c>
      <c r="I634" s="486">
        <v>75</v>
      </c>
      <c r="J634" s="486">
        <v>1.5</v>
      </c>
      <c r="K634" s="472">
        <f t="shared" si="71"/>
        <v>17</v>
      </c>
      <c r="L634" s="473">
        <v>0.74375000000000002</v>
      </c>
      <c r="M634" s="474">
        <f t="shared" si="72"/>
        <v>0.74375000000000002</v>
      </c>
      <c r="N634" s="519"/>
      <c r="P634" s="29" t="str">
        <f t="shared" si="67"/>
        <v>1993F0</v>
      </c>
      <c r="Q634" s="29" t="str">
        <f t="shared" si="68"/>
        <v>F017</v>
      </c>
      <c r="R634" s="29" t="str">
        <f t="shared" si="69"/>
        <v>AprilF0</v>
      </c>
    </row>
    <row r="635" spans="1:18">
      <c r="A635" s="483">
        <f t="shared" si="70"/>
        <v>631</v>
      </c>
      <c r="B635" s="484">
        <v>3</v>
      </c>
      <c r="C635" s="485">
        <v>34087</v>
      </c>
      <c r="D635" s="763" t="str">
        <f t="shared" si="66"/>
        <v>April</v>
      </c>
      <c r="E635" s="486">
        <v>28</v>
      </c>
      <c r="F635" s="472">
        <v>1993</v>
      </c>
      <c r="G635" s="484" t="s">
        <v>114</v>
      </c>
      <c r="H635" s="472" t="s">
        <v>123</v>
      </c>
      <c r="I635" s="486">
        <v>100</v>
      </c>
      <c r="J635" s="486">
        <v>2.5</v>
      </c>
      <c r="K635" s="472">
        <f t="shared" si="71"/>
        <v>18</v>
      </c>
      <c r="L635" s="473">
        <v>0.78263888888888899</v>
      </c>
      <c r="M635" s="474">
        <f t="shared" si="72"/>
        <v>0.78263888888888899</v>
      </c>
      <c r="N635" s="519"/>
      <c r="P635" s="29" t="str">
        <f t="shared" si="67"/>
        <v>1993F1</v>
      </c>
      <c r="Q635" s="29" t="str">
        <f t="shared" si="68"/>
        <v>F118</v>
      </c>
      <c r="R635" s="29" t="str">
        <f t="shared" si="69"/>
        <v>AprilF1</v>
      </c>
    </row>
    <row r="636" spans="1:18">
      <c r="A636" s="483">
        <f t="shared" si="70"/>
        <v>632</v>
      </c>
      <c r="B636" s="484">
        <v>4</v>
      </c>
      <c r="C636" s="485">
        <v>34094</v>
      </c>
      <c r="D636" s="763" t="str">
        <f t="shared" si="66"/>
        <v>May</v>
      </c>
      <c r="E636" s="486">
        <v>5</v>
      </c>
      <c r="F636" s="472">
        <v>1993</v>
      </c>
      <c r="G636" s="484" t="s">
        <v>104</v>
      </c>
      <c r="H636" s="472" t="s">
        <v>122</v>
      </c>
      <c r="I636" s="486">
        <v>100</v>
      </c>
      <c r="J636" s="486">
        <v>0.5</v>
      </c>
      <c r="K636" s="472">
        <f t="shared" si="71"/>
        <v>17</v>
      </c>
      <c r="L636" s="473">
        <v>0.71875</v>
      </c>
      <c r="M636" s="474">
        <f t="shared" si="72"/>
        <v>0.71875</v>
      </c>
      <c r="N636" s="519"/>
      <c r="P636" s="29" t="str">
        <f t="shared" si="67"/>
        <v>1993F0</v>
      </c>
      <c r="Q636" s="29" t="str">
        <f t="shared" si="68"/>
        <v>F017</v>
      </c>
      <c r="R636" s="29" t="str">
        <f t="shared" si="69"/>
        <v>MayF0</v>
      </c>
    </row>
    <row r="637" spans="1:18" ht="29.25" customHeight="1">
      <c r="A637" s="483">
        <f t="shared" si="70"/>
        <v>633</v>
      </c>
      <c r="B637" s="484">
        <v>5</v>
      </c>
      <c r="C637" s="485">
        <v>34094</v>
      </c>
      <c r="D637" s="763" t="str">
        <f t="shared" si="66"/>
        <v>May</v>
      </c>
      <c r="E637" s="486">
        <v>5</v>
      </c>
      <c r="F637" s="472">
        <v>1993</v>
      </c>
      <c r="G637" s="484" t="s">
        <v>100</v>
      </c>
      <c r="H637" s="472" t="s">
        <v>125</v>
      </c>
      <c r="I637" s="486">
        <v>500</v>
      </c>
      <c r="J637" s="486">
        <v>4</v>
      </c>
      <c r="K637" s="472">
        <f t="shared" si="71"/>
        <v>17</v>
      </c>
      <c r="L637" s="473">
        <v>0.73472222222222217</v>
      </c>
      <c r="M637" s="474">
        <f t="shared" si="72"/>
        <v>0.73472222222222217</v>
      </c>
      <c r="N637" s="519"/>
      <c r="P637" s="29" t="str">
        <f t="shared" si="67"/>
        <v>1993F3</v>
      </c>
      <c r="Q637" s="29" t="str">
        <f t="shared" si="68"/>
        <v>F317</v>
      </c>
      <c r="R637" s="29" t="str">
        <f t="shared" si="69"/>
        <v>MayF3</v>
      </c>
    </row>
    <row r="638" spans="1:18" ht="16.5" customHeight="1">
      <c r="A638" s="483">
        <f t="shared" si="70"/>
        <v>634</v>
      </c>
      <c r="B638" s="484">
        <v>6</v>
      </c>
      <c r="C638" s="485">
        <v>34094</v>
      </c>
      <c r="D638" s="763" t="str">
        <f t="shared" si="66"/>
        <v>May</v>
      </c>
      <c r="E638" s="486">
        <v>5</v>
      </c>
      <c r="F638" s="472">
        <v>1993</v>
      </c>
      <c r="G638" s="484" t="s">
        <v>100</v>
      </c>
      <c r="H638" s="472" t="s">
        <v>122</v>
      </c>
      <c r="I638" s="486">
        <v>150</v>
      </c>
      <c r="J638" s="486">
        <v>1</v>
      </c>
      <c r="K638" s="472">
        <f t="shared" si="71"/>
        <v>17</v>
      </c>
      <c r="L638" s="473">
        <v>0.74652777777777779</v>
      </c>
      <c r="M638" s="474">
        <f t="shared" si="72"/>
        <v>0.74652777777777779</v>
      </c>
      <c r="N638" s="519"/>
      <c r="P638" s="29" t="str">
        <f t="shared" si="67"/>
        <v>1993F0</v>
      </c>
      <c r="Q638" s="29" t="str">
        <f t="shared" si="68"/>
        <v>F017</v>
      </c>
      <c r="R638" s="29" t="str">
        <f t="shared" si="69"/>
        <v>MayF0</v>
      </c>
    </row>
    <row r="639" spans="1:18" ht="15" customHeight="1">
      <c r="A639" s="483">
        <f t="shared" si="70"/>
        <v>635</v>
      </c>
      <c r="B639" s="484">
        <v>7</v>
      </c>
      <c r="C639" s="485">
        <v>34094</v>
      </c>
      <c r="D639" s="763" t="str">
        <f t="shared" si="66"/>
        <v>May</v>
      </c>
      <c r="E639" s="486">
        <v>5</v>
      </c>
      <c r="F639" s="472">
        <v>1993</v>
      </c>
      <c r="G639" s="484" t="s">
        <v>100</v>
      </c>
      <c r="H639" s="472" t="s">
        <v>123</v>
      </c>
      <c r="I639" s="486">
        <v>275</v>
      </c>
      <c r="J639" s="486">
        <v>2</v>
      </c>
      <c r="K639" s="472">
        <f t="shared" si="71"/>
        <v>18</v>
      </c>
      <c r="L639" s="473">
        <v>0.75694444444444453</v>
      </c>
      <c r="M639" s="474">
        <f t="shared" si="72"/>
        <v>0.75694444444444453</v>
      </c>
      <c r="N639" s="519"/>
      <c r="P639" s="29" t="str">
        <f t="shared" si="67"/>
        <v>1993F1</v>
      </c>
      <c r="Q639" s="29" t="str">
        <f t="shared" si="68"/>
        <v>F118</v>
      </c>
      <c r="R639" s="29" t="str">
        <f t="shared" si="69"/>
        <v>MayF1</v>
      </c>
    </row>
    <row r="640" spans="1:18">
      <c r="A640" s="483">
        <f t="shared" si="70"/>
        <v>636</v>
      </c>
      <c r="B640" s="484">
        <v>8</v>
      </c>
      <c r="C640" s="485">
        <v>34094</v>
      </c>
      <c r="D640" s="763" t="str">
        <f t="shared" si="66"/>
        <v>May</v>
      </c>
      <c r="E640" s="486">
        <v>5</v>
      </c>
      <c r="F640" s="472">
        <v>1993</v>
      </c>
      <c r="G640" s="484" t="s">
        <v>100</v>
      </c>
      <c r="H640" s="472" t="s">
        <v>122</v>
      </c>
      <c r="I640" s="486">
        <v>100</v>
      </c>
      <c r="J640" s="486">
        <v>0.5</v>
      </c>
      <c r="K640" s="472">
        <f t="shared" si="71"/>
        <v>18</v>
      </c>
      <c r="L640" s="473">
        <v>0.78263888888888899</v>
      </c>
      <c r="M640" s="474">
        <f t="shared" si="72"/>
        <v>0.78263888888888899</v>
      </c>
      <c r="N640" s="519"/>
      <c r="P640" s="29" t="str">
        <f t="shared" si="67"/>
        <v>1993F0</v>
      </c>
      <c r="Q640" s="29" t="str">
        <f t="shared" si="68"/>
        <v>F018</v>
      </c>
      <c r="R640" s="29" t="str">
        <f t="shared" si="69"/>
        <v>MayF0</v>
      </c>
    </row>
    <row r="641" spans="1:18">
      <c r="A641" s="483">
        <f t="shared" si="70"/>
        <v>637</v>
      </c>
      <c r="B641" s="484">
        <v>9</v>
      </c>
      <c r="C641" s="485">
        <v>34094</v>
      </c>
      <c r="D641" s="763" t="str">
        <f t="shared" si="66"/>
        <v>May</v>
      </c>
      <c r="E641" s="486">
        <v>5</v>
      </c>
      <c r="F641" s="472">
        <v>1993</v>
      </c>
      <c r="G641" s="484" t="s">
        <v>100</v>
      </c>
      <c r="H641" s="472" t="s">
        <v>122</v>
      </c>
      <c r="I641" s="486">
        <v>150</v>
      </c>
      <c r="J641" s="486">
        <v>2</v>
      </c>
      <c r="K641" s="472">
        <f t="shared" si="71"/>
        <v>18</v>
      </c>
      <c r="L641" s="473">
        <v>0.78472222222222221</v>
      </c>
      <c r="M641" s="474">
        <f t="shared" si="72"/>
        <v>0.78472222222222221</v>
      </c>
      <c r="N641" s="519"/>
      <c r="P641" s="29" t="str">
        <f t="shared" si="67"/>
        <v>1993F0</v>
      </c>
      <c r="Q641" s="29" t="str">
        <f t="shared" si="68"/>
        <v>F018</v>
      </c>
      <c r="R641" s="29" t="str">
        <f t="shared" si="69"/>
        <v>MayF0</v>
      </c>
    </row>
    <row r="642" spans="1:18" ht="29.25" customHeight="1">
      <c r="A642" s="483">
        <f t="shared" si="70"/>
        <v>638</v>
      </c>
      <c r="B642" s="484">
        <v>10</v>
      </c>
      <c r="C642" s="485">
        <v>34094</v>
      </c>
      <c r="D642" s="763" t="str">
        <f t="shared" si="66"/>
        <v>May</v>
      </c>
      <c r="E642" s="486">
        <v>5</v>
      </c>
      <c r="F642" s="472">
        <v>1993</v>
      </c>
      <c r="G642" s="484" t="s">
        <v>100</v>
      </c>
      <c r="H642" s="472" t="s">
        <v>125</v>
      </c>
      <c r="I642" s="486">
        <v>1200</v>
      </c>
      <c r="J642" s="486">
        <v>11</v>
      </c>
      <c r="K642" s="472">
        <f t="shared" si="71"/>
        <v>18</v>
      </c>
      <c r="L642" s="473">
        <v>0.78749999999999998</v>
      </c>
      <c r="M642" s="474">
        <f t="shared" si="72"/>
        <v>0.78749999999999998</v>
      </c>
      <c r="N642" s="519"/>
      <c r="P642" s="29" t="str">
        <f t="shared" si="67"/>
        <v>1993F3</v>
      </c>
      <c r="Q642" s="29" t="str">
        <f t="shared" si="68"/>
        <v>F318</v>
      </c>
      <c r="R642" s="29" t="str">
        <f t="shared" si="69"/>
        <v>MayF3</v>
      </c>
    </row>
    <row r="643" spans="1:18">
      <c r="A643" s="483">
        <f t="shared" si="70"/>
        <v>639</v>
      </c>
      <c r="B643" s="484">
        <v>11</v>
      </c>
      <c r="C643" s="485">
        <v>34096</v>
      </c>
      <c r="D643" s="763" t="str">
        <f t="shared" si="66"/>
        <v>May</v>
      </c>
      <c r="E643" s="486">
        <v>7</v>
      </c>
      <c r="F643" s="472">
        <v>1993</v>
      </c>
      <c r="G643" s="484" t="s">
        <v>111</v>
      </c>
      <c r="H643" s="472" t="s">
        <v>122</v>
      </c>
      <c r="I643" s="486">
        <v>75</v>
      </c>
      <c r="J643" s="486">
        <v>0.5</v>
      </c>
      <c r="K643" s="472">
        <f t="shared" si="71"/>
        <v>16</v>
      </c>
      <c r="L643" s="473">
        <v>0.70486111111111116</v>
      </c>
      <c r="M643" s="474">
        <f t="shared" si="72"/>
        <v>0.70486111111111116</v>
      </c>
      <c r="N643" s="519"/>
      <c r="P643" s="29" t="str">
        <f t="shared" si="67"/>
        <v>1993F0</v>
      </c>
      <c r="Q643" s="29" t="str">
        <f t="shared" si="68"/>
        <v>F016</v>
      </c>
      <c r="R643" s="29" t="str">
        <f t="shared" si="69"/>
        <v>MayF0</v>
      </c>
    </row>
    <row r="644" spans="1:18" ht="15.75" customHeight="1">
      <c r="A644" s="483">
        <f t="shared" si="70"/>
        <v>640</v>
      </c>
      <c r="B644" s="484">
        <v>12</v>
      </c>
      <c r="C644" s="485">
        <v>34096</v>
      </c>
      <c r="D644" s="763" t="str">
        <f t="shared" si="66"/>
        <v>May</v>
      </c>
      <c r="E644" s="486">
        <v>7</v>
      </c>
      <c r="F644" s="472">
        <v>1993</v>
      </c>
      <c r="G644" s="484" t="s">
        <v>121</v>
      </c>
      <c r="H644" s="472" t="s">
        <v>122</v>
      </c>
      <c r="I644" s="486">
        <v>100</v>
      </c>
      <c r="J644" s="486">
        <v>1</v>
      </c>
      <c r="K644" s="472">
        <f t="shared" si="71"/>
        <v>17</v>
      </c>
      <c r="L644" s="473">
        <v>0.72986111111111107</v>
      </c>
      <c r="M644" s="474">
        <f t="shared" si="72"/>
        <v>0.72986111111111107</v>
      </c>
      <c r="N644" s="519"/>
      <c r="P644" s="29" t="str">
        <f t="shared" si="67"/>
        <v>1993F0</v>
      </c>
      <c r="Q644" s="29" t="str">
        <f t="shared" si="68"/>
        <v>F017</v>
      </c>
      <c r="R644" s="29" t="str">
        <f t="shared" si="69"/>
        <v>MayF0</v>
      </c>
    </row>
    <row r="645" spans="1:18">
      <c r="A645" s="483">
        <f t="shared" si="70"/>
        <v>641</v>
      </c>
      <c r="B645" s="484">
        <v>13</v>
      </c>
      <c r="C645" s="485">
        <v>34096</v>
      </c>
      <c r="D645" s="763" t="str">
        <f t="shared" ref="D645:D708" si="73">+TEXT(C645,"mmmm")</f>
        <v>May</v>
      </c>
      <c r="E645" s="486">
        <v>7</v>
      </c>
      <c r="F645" s="472">
        <v>1993</v>
      </c>
      <c r="G645" s="484" t="s">
        <v>121</v>
      </c>
      <c r="H645" s="472" t="s">
        <v>122</v>
      </c>
      <c r="I645" s="486">
        <v>100</v>
      </c>
      <c r="J645" s="486">
        <v>1</v>
      </c>
      <c r="K645" s="472">
        <f t="shared" si="71"/>
        <v>17</v>
      </c>
      <c r="L645" s="473">
        <v>0.73958333333333337</v>
      </c>
      <c r="M645" s="474">
        <f t="shared" si="72"/>
        <v>0.73958333333333337</v>
      </c>
      <c r="N645" s="519"/>
      <c r="P645" s="29" t="str">
        <f t="shared" si="67"/>
        <v>1993F0</v>
      </c>
      <c r="Q645" s="29" t="str">
        <f t="shared" si="68"/>
        <v>F017</v>
      </c>
      <c r="R645" s="29" t="str">
        <f t="shared" si="69"/>
        <v>MayF0</v>
      </c>
    </row>
    <row r="646" spans="1:18">
      <c r="A646" s="483">
        <f t="shared" si="70"/>
        <v>642</v>
      </c>
      <c r="B646" s="484">
        <v>14</v>
      </c>
      <c r="C646" s="485">
        <v>34106</v>
      </c>
      <c r="D646" s="763" t="str">
        <f t="shared" si="73"/>
        <v>May</v>
      </c>
      <c r="E646" s="486">
        <v>17</v>
      </c>
      <c r="F646" s="472">
        <v>1993</v>
      </c>
      <c r="G646" s="484" t="s">
        <v>116</v>
      </c>
      <c r="H646" s="472" t="s">
        <v>123</v>
      </c>
      <c r="I646" s="486">
        <v>150</v>
      </c>
      <c r="J646" s="486">
        <v>2.5</v>
      </c>
      <c r="K646" s="472">
        <f t="shared" si="71"/>
        <v>18</v>
      </c>
      <c r="L646" s="473">
        <v>0.77361111111111114</v>
      </c>
      <c r="M646" s="474">
        <f t="shared" si="72"/>
        <v>0.77361111111111114</v>
      </c>
      <c r="N646" s="519"/>
      <c r="P646" s="29" t="str">
        <f t="shared" ref="P646:P709" si="74">CONCATENATE(F646,H646)</f>
        <v>1993F1</v>
      </c>
      <c r="Q646" s="29" t="str">
        <f t="shared" ref="Q646:Q709" si="75">CONCATENATE(H646,K646)</f>
        <v>F118</v>
      </c>
      <c r="R646" s="29" t="str">
        <f t="shared" ref="R646:R709" si="76">CONCATENATE(D646,H646)</f>
        <v>MayF1</v>
      </c>
    </row>
    <row r="647" spans="1:18" ht="28.5" customHeight="1">
      <c r="A647" s="483">
        <f t="shared" ref="A647:A710" si="77">+A646+1</f>
        <v>643</v>
      </c>
      <c r="B647" s="484">
        <v>15</v>
      </c>
      <c r="C647" s="485">
        <v>34122</v>
      </c>
      <c r="D647" s="763" t="str">
        <f t="shared" si="73"/>
        <v>June</v>
      </c>
      <c r="E647" s="486">
        <v>2</v>
      </c>
      <c r="F647" s="472">
        <v>1993</v>
      </c>
      <c r="G647" s="484" t="s">
        <v>101</v>
      </c>
      <c r="H647" s="472" t="s">
        <v>122</v>
      </c>
      <c r="I647" s="486">
        <v>50</v>
      </c>
      <c r="J647" s="486">
        <v>0.5</v>
      </c>
      <c r="K647" s="472">
        <f t="shared" si="71"/>
        <v>21</v>
      </c>
      <c r="L647" s="473">
        <v>0.89583333333333337</v>
      </c>
      <c r="M647" s="474">
        <f t="shared" si="72"/>
        <v>0.89583333333333337</v>
      </c>
      <c r="N647" s="519"/>
      <c r="P647" s="29" t="str">
        <f t="shared" si="74"/>
        <v>1993F0</v>
      </c>
      <c r="Q647" s="29" t="str">
        <f t="shared" si="75"/>
        <v>F021</v>
      </c>
      <c r="R647" s="29" t="str">
        <f t="shared" si="76"/>
        <v>JuneF0</v>
      </c>
    </row>
    <row r="648" spans="1:18" ht="32.25" customHeight="1">
      <c r="A648" s="483">
        <f t="shared" si="77"/>
        <v>644</v>
      </c>
      <c r="B648" s="484">
        <v>16</v>
      </c>
      <c r="C648" s="485">
        <v>34157</v>
      </c>
      <c r="D648" s="763" t="str">
        <f t="shared" si="73"/>
        <v>July</v>
      </c>
      <c r="E648" s="486">
        <v>7</v>
      </c>
      <c r="F648" s="472">
        <v>1993</v>
      </c>
      <c r="G648" s="484" t="s">
        <v>114</v>
      </c>
      <c r="H648" s="472" t="s">
        <v>122</v>
      </c>
      <c r="I648" s="486">
        <v>50</v>
      </c>
      <c r="J648" s="486">
        <v>0.5</v>
      </c>
      <c r="K648" s="472">
        <f t="shared" si="71"/>
        <v>19</v>
      </c>
      <c r="L648" s="473">
        <v>0.79166666666666663</v>
      </c>
      <c r="M648" s="474">
        <f t="shared" si="72"/>
        <v>0.79166666666666663</v>
      </c>
      <c r="N648" s="519"/>
      <c r="P648" s="29" t="str">
        <f t="shared" si="74"/>
        <v>1993F0</v>
      </c>
      <c r="Q648" s="29" t="str">
        <f t="shared" si="75"/>
        <v>F019</v>
      </c>
      <c r="R648" s="29" t="str">
        <f t="shared" si="76"/>
        <v>JulyF0</v>
      </c>
    </row>
    <row r="649" spans="1:18" ht="15" customHeight="1">
      <c r="A649" s="483">
        <f t="shared" si="77"/>
        <v>645</v>
      </c>
      <c r="B649" s="484">
        <v>17</v>
      </c>
      <c r="C649" s="485">
        <v>34230</v>
      </c>
      <c r="D649" s="763" t="str">
        <f t="shared" si="73"/>
        <v>September</v>
      </c>
      <c r="E649" s="486">
        <v>18</v>
      </c>
      <c r="F649" s="472">
        <v>1993</v>
      </c>
      <c r="G649" s="484" t="s">
        <v>101</v>
      </c>
      <c r="H649" s="472" t="s">
        <v>122</v>
      </c>
      <c r="I649" s="486">
        <v>100</v>
      </c>
      <c r="J649" s="486">
        <v>0.5</v>
      </c>
      <c r="K649" s="472">
        <f t="shared" si="71"/>
        <v>18</v>
      </c>
      <c r="L649" s="473">
        <v>0.7597222222222223</v>
      </c>
      <c r="M649" s="474">
        <f t="shared" si="72"/>
        <v>0.7597222222222223</v>
      </c>
      <c r="N649" s="519">
        <v>0.76249999999999996</v>
      </c>
      <c r="P649" s="29" t="str">
        <f t="shared" si="74"/>
        <v>1993F0</v>
      </c>
      <c r="Q649" s="29" t="str">
        <f t="shared" si="75"/>
        <v>F018</v>
      </c>
      <c r="R649" s="29" t="str">
        <f t="shared" si="76"/>
        <v>SeptemberF0</v>
      </c>
    </row>
    <row r="650" spans="1:18">
      <c r="A650" s="483">
        <f t="shared" si="77"/>
        <v>646</v>
      </c>
      <c r="B650" s="484">
        <v>18</v>
      </c>
      <c r="C650" s="485">
        <v>34254</v>
      </c>
      <c r="D650" s="763" t="str">
        <f t="shared" si="73"/>
        <v>October</v>
      </c>
      <c r="E650" s="486">
        <v>12</v>
      </c>
      <c r="F650" s="472">
        <v>1993</v>
      </c>
      <c r="G650" s="484" t="s">
        <v>115</v>
      </c>
      <c r="H650" s="472" t="s">
        <v>123</v>
      </c>
      <c r="I650" s="486">
        <v>75</v>
      </c>
      <c r="J650" s="486">
        <v>2</v>
      </c>
      <c r="K650" s="472">
        <f t="shared" ref="K650:K710" si="78">HOUR(M650)</f>
        <v>17</v>
      </c>
      <c r="L650" s="473">
        <v>0.73958333333333337</v>
      </c>
      <c r="M650" s="474">
        <f t="shared" si="72"/>
        <v>0.73958333333333337</v>
      </c>
      <c r="N650" s="519"/>
      <c r="P650" s="29" t="str">
        <f t="shared" si="74"/>
        <v>1993F1</v>
      </c>
      <c r="Q650" s="29" t="str">
        <f t="shared" si="75"/>
        <v>F117</v>
      </c>
      <c r="R650" s="29" t="str">
        <f t="shared" si="76"/>
        <v>OctoberF1</v>
      </c>
    </row>
    <row r="651" spans="1:18">
      <c r="A651" s="483">
        <f t="shared" si="77"/>
        <v>647</v>
      </c>
      <c r="B651" s="484">
        <v>1</v>
      </c>
      <c r="C651" s="485">
        <v>34463</v>
      </c>
      <c r="D651" s="763" t="str">
        <f t="shared" si="73"/>
        <v>May</v>
      </c>
      <c r="E651" s="486">
        <v>9</v>
      </c>
      <c r="F651" s="472">
        <v>1994</v>
      </c>
      <c r="G651" s="484" t="s">
        <v>102</v>
      </c>
      <c r="H651" s="472" t="s">
        <v>123</v>
      </c>
      <c r="I651" s="486">
        <v>100</v>
      </c>
      <c r="J651" s="486">
        <v>2</v>
      </c>
      <c r="K651" s="472">
        <f t="shared" si="78"/>
        <v>16</v>
      </c>
      <c r="L651" s="473">
        <v>0.69444444444444453</v>
      </c>
      <c r="M651" s="474">
        <f t="shared" si="72"/>
        <v>0.69444444444444453</v>
      </c>
      <c r="N651" s="519"/>
      <c r="P651" s="29" t="str">
        <f t="shared" si="74"/>
        <v>1994F1</v>
      </c>
      <c r="Q651" s="29" t="str">
        <f t="shared" si="75"/>
        <v>F116</v>
      </c>
      <c r="R651" s="29" t="str">
        <f t="shared" si="76"/>
        <v>MayF1</v>
      </c>
    </row>
    <row r="652" spans="1:18">
      <c r="A652" s="483">
        <f t="shared" si="77"/>
        <v>648</v>
      </c>
      <c r="B652" s="484">
        <v>2</v>
      </c>
      <c r="C652" s="485">
        <v>34463</v>
      </c>
      <c r="D652" s="763" t="str">
        <f t="shared" si="73"/>
        <v>May</v>
      </c>
      <c r="E652" s="486">
        <v>9</v>
      </c>
      <c r="F652" s="472">
        <v>1994</v>
      </c>
      <c r="G652" s="484" t="s">
        <v>102</v>
      </c>
      <c r="H652" s="472" t="s">
        <v>122</v>
      </c>
      <c r="I652" s="486">
        <v>25</v>
      </c>
      <c r="J652" s="486">
        <v>1</v>
      </c>
      <c r="K652" s="472">
        <f t="shared" si="78"/>
        <v>17</v>
      </c>
      <c r="L652" s="473">
        <v>0.71527777777777779</v>
      </c>
      <c r="M652" s="474">
        <f t="shared" si="72"/>
        <v>0.71527777777777779</v>
      </c>
      <c r="N652" s="519"/>
      <c r="P652" s="29" t="str">
        <f t="shared" si="74"/>
        <v>1994F0</v>
      </c>
      <c r="Q652" s="29" t="str">
        <f t="shared" si="75"/>
        <v>F017</v>
      </c>
      <c r="R652" s="29" t="str">
        <f t="shared" si="76"/>
        <v>MayF0</v>
      </c>
    </row>
    <row r="653" spans="1:18">
      <c r="A653" s="483">
        <f t="shared" si="77"/>
        <v>649</v>
      </c>
      <c r="B653" s="484">
        <v>3</v>
      </c>
      <c r="C653" s="485">
        <v>34482</v>
      </c>
      <c r="D653" s="763" t="str">
        <f t="shared" si="73"/>
        <v>May</v>
      </c>
      <c r="E653" s="486">
        <v>28</v>
      </c>
      <c r="F653" s="472">
        <v>1994</v>
      </c>
      <c r="G653" s="484" t="s">
        <v>110</v>
      </c>
      <c r="H653" s="472" t="s">
        <v>123</v>
      </c>
      <c r="I653" s="486">
        <v>350</v>
      </c>
      <c r="J653" s="486">
        <v>4</v>
      </c>
      <c r="K653" s="472">
        <f t="shared" si="78"/>
        <v>19</v>
      </c>
      <c r="L653" s="473">
        <v>0.7944444444444444</v>
      </c>
      <c r="M653" s="474">
        <f t="shared" si="72"/>
        <v>0.7944444444444444</v>
      </c>
      <c r="N653" s="519">
        <v>0.80694444444444446</v>
      </c>
      <c r="P653" s="29" t="str">
        <f t="shared" si="74"/>
        <v>1994F1</v>
      </c>
      <c r="Q653" s="29" t="str">
        <f t="shared" si="75"/>
        <v>F119</v>
      </c>
      <c r="R653" s="29" t="str">
        <f t="shared" si="76"/>
        <v>MayF1</v>
      </c>
    </row>
    <row r="654" spans="1:18">
      <c r="A654" s="483">
        <f t="shared" si="77"/>
        <v>650</v>
      </c>
      <c r="B654" s="484">
        <v>4</v>
      </c>
      <c r="C654" s="485">
        <v>34495</v>
      </c>
      <c r="D654" s="763" t="str">
        <f t="shared" si="73"/>
        <v>June</v>
      </c>
      <c r="E654" s="486">
        <v>10</v>
      </c>
      <c r="F654" s="472">
        <v>1994</v>
      </c>
      <c r="G654" s="484" t="s">
        <v>112</v>
      </c>
      <c r="H654" s="472" t="s">
        <v>122</v>
      </c>
      <c r="I654" s="486">
        <v>50</v>
      </c>
      <c r="J654" s="486">
        <v>1</v>
      </c>
      <c r="K654" s="472">
        <f t="shared" si="78"/>
        <v>19</v>
      </c>
      <c r="L654" s="473">
        <v>0.8125</v>
      </c>
      <c r="M654" s="474">
        <f t="shared" si="72"/>
        <v>0.8125</v>
      </c>
      <c r="N654" s="519"/>
      <c r="P654" s="29" t="str">
        <f t="shared" si="74"/>
        <v>1994F0</v>
      </c>
      <c r="Q654" s="29" t="str">
        <f t="shared" si="75"/>
        <v>F019</v>
      </c>
      <c r="R654" s="29" t="str">
        <f t="shared" si="76"/>
        <v>JuneF0</v>
      </c>
    </row>
    <row r="655" spans="1:18">
      <c r="A655" s="483">
        <f t="shared" si="77"/>
        <v>651</v>
      </c>
      <c r="B655" s="484">
        <v>5</v>
      </c>
      <c r="C655" s="485">
        <v>34514</v>
      </c>
      <c r="D655" s="763" t="str">
        <f t="shared" si="73"/>
        <v>June</v>
      </c>
      <c r="E655" s="486">
        <v>29</v>
      </c>
      <c r="F655" s="472">
        <v>1994</v>
      </c>
      <c r="G655" s="484" t="s">
        <v>106</v>
      </c>
      <c r="H655" s="472" t="s">
        <v>122</v>
      </c>
      <c r="I655" s="486">
        <v>25</v>
      </c>
      <c r="J655" s="486">
        <v>0.5</v>
      </c>
      <c r="K655" s="472">
        <f t="shared" si="78"/>
        <v>19</v>
      </c>
      <c r="L655" s="473">
        <v>0.79861111111111116</v>
      </c>
      <c r="M655" s="474">
        <f t="shared" si="72"/>
        <v>0.79861111111111116</v>
      </c>
      <c r="N655" s="519"/>
      <c r="P655" s="29" t="str">
        <f t="shared" si="74"/>
        <v>1994F0</v>
      </c>
      <c r="Q655" s="29" t="str">
        <f t="shared" si="75"/>
        <v>F019</v>
      </c>
      <c r="R655" s="29" t="str">
        <f t="shared" si="76"/>
        <v>JuneF0</v>
      </c>
    </row>
    <row r="656" spans="1:18">
      <c r="A656" s="483">
        <f t="shared" si="77"/>
        <v>652</v>
      </c>
      <c r="B656" s="484">
        <v>1</v>
      </c>
      <c r="C656" s="485">
        <v>34783</v>
      </c>
      <c r="D656" s="763" t="str">
        <f t="shared" si="73"/>
        <v>March</v>
      </c>
      <c r="E656" s="486">
        <v>25</v>
      </c>
      <c r="F656" s="472">
        <v>1995</v>
      </c>
      <c r="G656" s="484" t="s">
        <v>101</v>
      </c>
      <c r="H656" s="472" t="s">
        <v>123</v>
      </c>
      <c r="I656" s="486">
        <v>100</v>
      </c>
      <c r="J656" s="486">
        <v>3</v>
      </c>
      <c r="K656" s="472">
        <f t="shared" si="78"/>
        <v>15</v>
      </c>
      <c r="L656" s="473">
        <v>0.64236111111111105</v>
      </c>
      <c r="M656" s="474">
        <f t="shared" si="72"/>
        <v>0.64236111111111105</v>
      </c>
      <c r="N656" s="519"/>
      <c r="P656" s="29" t="str">
        <f t="shared" si="74"/>
        <v>1995F1</v>
      </c>
      <c r="Q656" s="29" t="str">
        <f t="shared" si="75"/>
        <v>F115</v>
      </c>
      <c r="R656" s="29" t="str">
        <f t="shared" si="76"/>
        <v>MarchF1</v>
      </c>
    </row>
    <row r="657" spans="1:18">
      <c r="A657" s="483">
        <f t="shared" si="77"/>
        <v>653</v>
      </c>
      <c r="B657" s="484">
        <v>2</v>
      </c>
      <c r="C657" s="485">
        <v>34783</v>
      </c>
      <c r="D657" s="763" t="str">
        <f t="shared" si="73"/>
        <v>March</v>
      </c>
      <c r="E657" s="486">
        <v>25</v>
      </c>
      <c r="F657" s="472">
        <v>1995</v>
      </c>
      <c r="G657" s="484" t="s">
        <v>106</v>
      </c>
      <c r="H657" s="472" t="s">
        <v>123</v>
      </c>
      <c r="I657" s="486">
        <v>200</v>
      </c>
      <c r="J657" s="486">
        <v>5</v>
      </c>
      <c r="K657" s="472">
        <f t="shared" si="78"/>
        <v>17</v>
      </c>
      <c r="L657" s="473">
        <v>0.73750000000000004</v>
      </c>
      <c r="M657" s="474">
        <f t="shared" si="72"/>
        <v>0.73750000000000004</v>
      </c>
      <c r="N657" s="519"/>
      <c r="P657" s="29" t="str">
        <f t="shared" si="74"/>
        <v>1995F1</v>
      </c>
      <c r="Q657" s="29" t="str">
        <f t="shared" si="75"/>
        <v>F117</v>
      </c>
      <c r="R657" s="29" t="str">
        <f t="shared" si="76"/>
        <v>MarchF1</v>
      </c>
    </row>
    <row r="658" spans="1:18">
      <c r="A658" s="483">
        <f t="shared" si="77"/>
        <v>654</v>
      </c>
      <c r="B658" s="484">
        <v>3</v>
      </c>
      <c r="C658" s="485">
        <v>34783</v>
      </c>
      <c r="D658" s="763" t="str">
        <f t="shared" si="73"/>
        <v>March</v>
      </c>
      <c r="E658" s="486">
        <v>25</v>
      </c>
      <c r="F658" s="472">
        <v>1995</v>
      </c>
      <c r="G658" s="484" t="s">
        <v>101</v>
      </c>
      <c r="H658" s="472" t="s">
        <v>122</v>
      </c>
      <c r="I658" s="486">
        <v>50</v>
      </c>
      <c r="J658" s="486">
        <v>0.5</v>
      </c>
      <c r="K658" s="472">
        <f t="shared" si="78"/>
        <v>18</v>
      </c>
      <c r="L658" s="473">
        <v>0.76041666666666663</v>
      </c>
      <c r="M658" s="474">
        <f t="shared" si="72"/>
        <v>0.76041666666666663</v>
      </c>
      <c r="N658" s="519"/>
      <c r="P658" s="29" t="str">
        <f t="shared" si="74"/>
        <v>1995F0</v>
      </c>
      <c r="Q658" s="29" t="str">
        <f t="shared" si="75"/>
        <v>F018</v>
      </c>
      <c r="R658" s="29" t="str">
        <f t="shared" si="76"/>
        <v>MarchF0</v>
      </c>
    </row>
    <row r="659" spans="1:18">
      <c r="A659" s="483">
        <f t="shared" si="77"/>
        <v>655</v>
      </c>
      <c r="B659" s="484">
        <v>4</v>
      </c>
      <c r="C659" s="485">
        <v>34808</v>
      </c>
      <c r="D659" s="763" t="str">
        <f t="shared" si="73"/>
        <v>April</v>
      </c>
      <c r="E659" s="486">
        <v>19</v>
      </c>
      <c r="F659" s="472">
        <v>1995</v>
      </c>
      <c r="G659" s="484" t="s">
        <v>108</v>
      </c>
      <c r="H659" s="472" t="s">
        <v>122</v>
      </c>
      <c r="I659" s="486">
        <v>20</v>
      </c>
      <c r="J659" s="486">
        <v>0.2</v>
      </c>
      <c r="K659" s="472">
        <f t="shared" si="78"/>
        <v>19</v>
      </c>
      <c r="L659" s="473">
        <v>0.80208333333333337</v>
      </c>
      <c r="M659" s="474">
        <f t="shared" si="72"/>
        <v>0.80208333333333337</v>
      </c>
      <c r="N659" s="519"/>
      <c r="P659" s="29" t="str">
        <f t="shared" si="74"/>
        <v>1995F0</v>
      </c>
      <c r="Q659" s="29" t="str">
        <f t="shared" si="75"/>
        <v>F019</v>
      </c>
      <c r="R659" s="29" t="str">
        <f t="shared" si="76"/>
        <v>AprilF0</v>
      </c>
    </row>
    <row r="660" spans="1:18" ht="30.75" customHeight="1">
      <c r="A660" s="483">
        <f t="shared" si="77"/>
        <v>656</v>
      </c>
      <c r="B660" s="484">
        <v>5</v>
      </c>
      <c r="C660" s="485">
        <v>34826</v>
      </c>
      <c r="D660" s="763" t="str">
        <f t="shared" si="73"/>
        <v>May</v>
      </c>
      <c r="E660" s="486">
        <v>7</v>
      </c>
      <c r="F660" s="472">
        <v>1995</v>
      </c>
      <c r="G660" s="484" t="s">
        <v>118</v>
      </c>
      <c r="H660" s="472" t="s">
        <v>124</v>
      </c>
      <c r="I660" s="486">
        <v>200</v>
      </c>
      <c r="J660" s="486">
        <v>12</v>
      </c>
      <c r="K660" s="472">
        <f t="shared" si="78"/>
        <v>0</v>
      </c>
      <c r="L660" s="473">
        <v>2.7777777777777776E-2</v>
      </c>
      <c r="M660" s="474">
        <f t="shared" si="72"/>
        <v>2.7777777777777776E-2</v>
      </c>
      <c r="N660" s="519">
        <v>4.1666666666666664E-2</v>
      </c>
      <c r="P660" s="29" t="str">
        <f t="shared" si="74"/>
        <v>1995F2</v>
      </c>
      <c r="Q660" s="29" t="str">
        <f t="shared" si="75"/>
        <v>F20</v>
      </c>
      <c r="R660" s="29" t="str">
        <f t="shared" si="76"/>
        <v>MayF2</v>
      </c>
    </row>
    <row r="661" spans="1:18">
      <c r="A661" s="483">
        <f t="shared" si="77"/>
        <v>657</v>
      </c>
      <c r="B661" s="484">
        <v>6</v>
      </c>
      <c r="C661" s="485">
        <v>34826</v>
      </c>
      <c r="D661" s="763" t="str">
        <f t="shared" si="73"/>
        <v>May</v>
      </c>
      <c r="E661" s="486">
        <v>7</v>
      </c>
      <c r="F661" s="472">
        <v>1995</v>
      </c>
      <c r="G661" s="484" t="s">
        <v>104</v>
      </c>
      <c r="H661" s="472" t="s">
        <v>122</v>
      </c>
      <c r="I661" s="486">
        <v>25</v>
      </c>
      <c r="J661" s="486">
        <v>0.2</v>
      </c>
      <c r="K661" s="472">
        <f t="shared" si="78"/>
        <v>7</v>
      </c>
      <c r="L661" s="473">
        <v>0.2951388888888889</v>
      </c>
      <c r="M661" s="474">
        <f t="shared" si="72"/>
        <v>0.2951388888888889</v>
      </c>
      <c r="N661" s="519"/>
      <c r="P661" s="29" t="str">
        <f t="shared" si="74"/>
        <v>1995F0</v>
      </c>
      <c r="Q661" s="29" t="str">
        <f t="shared" si="75"/>
        <v>F07</v>
      </c>
      <c r="R661" s="29" t="str">
        <f t="shared" si="76"/>
        <v>MayF0</v>
      </c>
    </row>
    <row r="662" spans="1:18">
      <c r="A662" s="483">
        <f t="shared" si="77"/>
        <v>658</v>
      </c>
      <c r="B662" s="484">
        <v>7</v>
      </c>
      <c r="C662" s="485">
        <v>34836</v>
      </c>
      <c r="D662" s="763" t="str">
        <f t="shared" si="73"/>
        <v>May</v>
      </c>
      <c r="E662" s="486">
        <v>17</v>
      </c>
      <c r="F662" s="472">
        <v>1995</v>
      </c>
      <c r="G662" s="484" t="s">
        <v>105</v>
      </c>
      <c r="H662" s="472" t="s">
        <v>122</v>
      </c>
      <c r="I662" s="486">
        <v>75</v>
      </c>
      <c r="J662" s="486">
        <v>3</v>
      </c>
      <c r="K662" s="472">
        <f t="shared" si="78"/>
        <v>13</v>
      </c>
      <c r="L662" s="473">
        <v>0.54513888888888895</v>
      </c>
      <c r="M662" s="474">
        <f t="shared" si="72"/>
        <v>0.54513888888888895</v>
      </c>
      <c r="N662" s="519"/>
      <c r="P662" s="29" t="str">
        <f t="shared" si="74"/>
        <v>1995F0</v>
      </c>
      <c r="Q662" s="29" t="str">
        <f t="shared" si="75"/>
        <v>F013</v>
      </c>
      <c r="R662" s="29" t="str">
        <f t="shared" si="76"/>
        <v>MayF0</v>
      </c>
    </row>
    <row r="663" spans="1:18" ht="32.25" customHeight="1">
      <c r="A663" s="483">
        <f t="shared" si="77"/>
        <v>659</v>
      </c>
      <c r="B663" s="484">
        <v>8</v>
      </c>
      <c r="C663" s="485">
        <v>34836</v>
      </c>
      <c r="D663" s="763" t="str">
        <f t="shared" si="73"/>
        <v>May</v>
      </c>
      <c r="E663" s="486">
        <v>17</v>
      </c>
      <c r="F663" s="472">
        <v>1995</v>
      </c>
      <c r="G663" s="484" t="s">
        <v>101</v>
      </c>
      <c r="H663" s="472" t="s">
        <v>122</v>
      </c>
      <c r="I663" s="486">
        <v>100</v>
      </c>
      <c r="J663" s="486">
        <v>2</v>
      </c>
      <c r="K663" s="472">
        <f t="shared" si="78"/>
        <v>14</v>
      </c>
      <c r="L663" s="473">
        <v>0.59444444444444444</v>
      </c>
      <c r="M663" s="474">
        <f t="shared" si="72"/>
        <v>0.59444444444444444</v>
      </c>
      <c r="N663" s="519">
        <v>0.6</v>
      </c>
      <c r="P663" s="29" t="str">
        <f t="shared" si="74"/>
        <v>1995F0</v>
      </c>
      <c r="Q663" s="29" t="str">
        <f t="shared" si="75"/>
        <v>F014</v>
      </c>
      <c r="R663" s="29" t="str">
        <f t="shared" si="76"/>
        <v>MayF0</v>
      </c>
    </row>
    <row r="664" spans="1:18">
      <c r="A664" s="483">
        <f t="shared" si="77"/>
        <v>660</v>
      </c>
      <c r="B664" s="484">
        <v>9</v>
      </c>
      <c r="C664" s="485">
        <v>34841</v>
      </c>
      <c r="D664" s="763" t="str">
        <f t="shared" si="73"/>
        <v>May</v>
      </c>
      <c r="E664" s="486">
        <v>22</v>
      </c>
      <c r="F664" s="472">
        <v>1995</v>
      </c>
      <c r="G664" s="484" t="s">
        <v>109</v>
      </c>
      <c r="H664" s="472" t="s">
        <v>123</v>
      </c>
      <c r="I664" s="486">
        <v>200</v>
      </c>
      <c r="J664" s="486">
        <v>2</v>
      </c>
      <c r="K664" s="472">
        <f t="shared" si="78"/>
        <v>15</v>
      </c>
      <c r="L664" s="473">
        <v>0.63472222222222219</v>
      </c>
      <c r="M664" s="474">
        <f t="shared" si="72"/>
        <v>0.63472222222222219</v>
      </c>
      <c r="N664" s="519"/>
      <c r="P664" s="29" t="str">
        <f t="shared" si="74"/>
        <v>1995F1</v>
      </c>
      <c r="Q664" s="29" t="str">
        <f t="shared" si="75"/>
        <v>F115</v>
      </c>
      <c r="R664" s="29" t="str">
        <f t="shared" si="76"/>
        <v>MayF1</v>
      </c>
    </row>
    <row r="665" spans="1:18">
      <c r="A665" s="483">
        <f t="shared" si="77"/>
        <v>661</v>
      </c>
      <c r="B665" s="484">
        <v>10</v>
      </c>
      <c r="C665" s="485">
        <v>34841</v>
      </c>
      <c r="D665" s="763" t="str">
        <f t="shared" si="73"/>
        <v>May</v>
      </c>
      <c r="E665" s="486">
        <v>22</v>
      </c>
      <c r="F665" s="472">
        <v>1995</v>
      </c>
      <c r="G665" s="484" t="s">
        <v>114</v>
      </c>
      <c r="H665" s="472" t="s">
        <v>122</v>
      </c>
      <c r="I665" s="486">
        <v>25</v>
      </c>
      <c r="J665" s="486">
        <v>0.5</v>
      </c>
      <c r="K665" s="472">
        <f t="shared" si="78"/>
        <v>15</v>
      </c>
      <c r="L665" s="473">
        <v>0.63541666666666663</v>
      </c>
      <c r="M665" s="474">
        <f t="shared" si="72"/>
        <v>0.63541666666666663</v>
      </c>
      <c r="N665" s="519"/>
      <c r="P665" s="29" t="str">
        <f t="shared" si="74"/>
        <v>1995F0</v>
      </c>
      <c r="Q665" s="29" t="str">
        <f t="shared" si="75"/>
        <v>F015</v>
      </c>
      <c r="R665" s="29" t="str">
        <f t="shared" si="76"/>
        <v>MayF0</v>
      </c>
    </row>
    <row r="666" spans="1:18">
      <c r="A666" s="483">
        <f t="shared" si="77"/>
        <v>662</v>
      </c>
      <c r="B666" s="484">
        <v>11</v>
      </c>
      <c r="C666" s="485">
        <v>34841</v>
      </c>
      <c r="D666" s="763" t="str">
        <f t="shared" si="73"/>
        <v>May</v>
      </c>
      <c r="E666" s="486">
        <v>22</v>
      </c>
      <c r="F666" s="472">
        <v>1995</v>
      </c>
      <c r="G666" s="484" t="s">
        <v>116</v>
      </c>
      <c r="H666" s="472" t="s">
        <v>122</v>
      </c>
      <c r="I666" s="486">
        <v>50</v>
      </c>
      <c r="J666" s="486">
        <v>1</v>
      </c>
      <c r="K666" s="472">
        <f t="shared" si="78"/>
        <v>18</v>
      </c>
      <c r="L666" s="473">
        <v>0.76249999999999996</v>
      </c>
      <c r="M666" s="474">
        <f t="shared" si="72"/>
        <v>0.76249999999999996</v>
      </c>
      <c r="N666" s="519"/>
      <c r="P666" s="29" t="str">
        <f t="shared" si="74"/>
        <v>1995F0</v>
      </c>
      <c r="Q666" s="29" t="str">
        <f t="shared" si="75"/>
        <v>F018</v>
      </c>
      <c r="R666" s="29" t="str">
        <f t="shared" si="76"/>
        <v>MayF0</v>
      </c>
    </row>
    <row r="667" spans="1:18">
      <c r="A667" s="483">
        <f t="shared" si="77"/>
        <v>663</v>
      </c>
      <c r="B667" s="484">
        <v>12</v>
      </c>
      <c r="C667" s="485">
        <v>34841</v>
      </c>
      <c r="D667" s="763" t="str">
        <f t="shared" si="73"/>
        <v>May</v>
      </c>
      <c r="E667" s="486">
        <v>22</v>
      </c>
      <c r="F667" s="472">
        <v>1995</v>
      </c>
      <c r="G667" s="484" t="s">
        <v>116</v>
      </c>
      <c r="H667" s="472" t="s">
        <v>122</v>
      </c>
      <c r="I667" s="486">
        <v>25</v>
      </c>
      <c r="J667" s="486">
        <v>0.3</v>
      </c>
      <c r="K667" s="472">
        <f t="shared" si="78"/>
        <v>19</v>
      </c>
      <c r="L667" s="473">
        <v>0.81597222222222221</v>
      </c>
      <c r="M667" s="474">
        <f t="shared" si="72"/>
        <v>0.81597222222222221</v>
      </c>
      <c r="N667" s="519"/>
      <c r="P667" s="29" t="str">
        <f t="shared" si="74"/>
        <v>1995F0</v>
      </c>
      <c r="Q667" s="29" t="str">
        <f t="shared" si="75"/>
        <v>F019</v>
      </c>
      <c r="R667" s="29" t="str">
        <f t="shared" si="76"/>
        <v>MayF0</v>
      </c>
    </row>
    <row r="668" spans="1:18">
      <c r="A668" s="483">
        <f t="shared" si="77"/>
        <v>664</v>
      </c>
      <c r="B668" s="484">
        <v>13</v>
      </c>
      <c r="C668" s="485">
        <v>34841</v>
      </c>
      <c r="D668" s="763" t="str">
        <f t="shared" si="73"/>
        <v>May</v>
      </c>
      <c r="E668" s="486">
        <v>22</v>
      </c>
      <c r="F668" s="472">
        <v>1995</v>
      </c>
      <c r="G668" s="484" t="s">
        <v>116</v>
      </c>
      <c r="H668" s="472" t="s">
        <v>122</v>
      </c>
      <c r="I668" s="486">
        <v>75</v>
      </c>
      <c r="J668" s="486">
        <v>1</v>
      </c>
      <c r="K668" s="472">
        <f t="shared" si="78"/>
        <v>20</v>
      </c>
      <c r="L668" s="473">
        <v>0.8340277777777777</v>
      </c>
      <c r="M668" s="474">
        <f t="shared" si="72"/>
        <v>0.8340277777777777</v>
      </c>
      <c r="N668" s="519"/>
      <c r="P668" s="29" t="str">
        <f t="shared" si="74"/>
        <v>1995F0</v>
      </c>
      <c r="Q668" s="29" t="str">
        <f t="shared" si="75"/>
        <v>F020</v>
      </c>
      <c r="R668" s="29" t="str">
        <f t="shared" si="76"/>
        <v>MayF0</v>
      </c>
    </row>
    <row r="669" spans="1:18">
      <c r="A669" s="483">
        <f t="shared" si="77"/>
        <v>665</v>
      </c>
      <c r="B669" s="484">
        <v>14</v>
      </c>
      <c r="C669" s="485">
        <v>34845</v>
      </c>
      <c r="D669" s="763" t="str">
        <f t="shared" si="73"/>
        <v>May</v>
      </c>
      <c r="E669" s="486">
        <v>26</v>
      </c>
      <c r="F669" s="472">
        <v>1995</v>
      </c>
      <c r="G669" s="484" t="s">
        <v>119</v>
      </c>
      <c r="H669" s="472" t="s">
        <v>122</v>
      </c>
      <c r="I669" s="486">
        <v>100</v>
      </c>
      <c r="J669" s="486">
        <v>1</v>
      </c>
      <c r="K669" s="472">
        <f t="shared" si="78"/>
        <v>15</v>
      </c>
      <c r="L669" s="473">
        <v>0.66319444444444442</v>
      </c>
      <c r="M669" s="474">
        <f t="shared" si="72"/>
        <v>0.66319444444444442</v>
      </c>
      <c r="N669" s="519"/>
      <c r="P669" s="29" t="str">
        <f t="shared" si="74"/>
        <v>1995F0</v>
      </c>
      <c r="Q669" s="29" t="str">
        <f t="shared" si="75"/>
        <v>F015</v>
      </c>
      <c r="R669" s="29" t="str">
        <f t="shared" si="76"/>
        <v>MayF0</v>
      </c>
    </row>
    <row r="670" spans="1:18">
      <c r="A670" s="483">
        <f t="shared" si="77"/>
        <v>666</v>
      </c>
      <c r="B670" s="484">
        <v>15</v>
      </c>
      <c r="C670" s="485">
        <v>34849</v>
      </c>
      <c r="D670" s="763" t="str">
        <f t="shared" si="73"/>
        <v>May</v>
      </c>
      <c r="E670" s="486">
        <v>30</v>
      </c>
      <c r="F670" s="472">
        <v>1995</v>
      </c>
      <c r="G670" s="484" t="s">
        <v>100</v>
      </c>
      <c r="H670" s="472" t="s">
        <v>122</v>
      </c>
      <c r="I670" s="486">
        <v>50</v>
      </c>
      <c r="J670" s="486">
        <v>0.5</v>
      </c>
      <c r="K670" s="472">
        <f t="shared" si="78"/>
        <v>18</v>
      </c>
      <c r="L670" s="473">
        <v>0.76111111111111107</v>
      </c>
      <c r="M670" s="474">
        <f t="shared" si="72"/>
        <v>0.76111111111111107</v>
      </c>
      <c r="N670" s="519"/>
      <c r="P670" s="29" t="str">
        <f t="shared" si="74"/>
        <v>1995F0</v>
      </c>
      <c r="Q670" s="29" t="str">
        <f t="shared" si="75"/>
        <v>F018</v>
      </c>
      <c r="R670" s="29" t="str">
        <f t="shared" si="76"/>
        <v>MayF0</v>
      </c>
    </row>
    <row r="671" spans="1:18">
      <c r="A671" s="483">
        <f t="shared" si="77"/>
        <v>667</v>
      </c>
      <c r="B671" s="484">
        <v>16</v>
      </c>
      <c r="C671" s="485">
        <v>34849</v>
      </c>
      <c r="D671" s="763" t="str">
        <f t="shared" si="73"/>
        <v>May</v>
      </c>
      <c r="E671" s="486">
        <v>30</v>
      </c>
      <c r="F671" s="472">
        <v>1995</v>
      </c>
      <c r="G671" s="484" t="s">
        <v>115</v>
      </c>
      <c r="H671" s="472" t="s">
        <v>122</v>
      </c>
      <c r="I671" s="486">
        <v>200</v>
      </c>
      <c r="J671" s="486">
        <v>2</v>
      </c>
      <c r="K671" s="472">
        <f t="shared" si="78"/>
        <v>19</v>
      </c>
      <c r="L671" s="473">
        <v>0.80208333333333337</v>
      </c>
      <c r="M671" s="474">
        <f t="shared" si="72"/>
        <v>0.80208333333333337</v>
      </c>
      <c r="N671" s="519"/>
      <c r="P671" s="29" t="str">
        <f t="shared" si="74"/>
        <v>1995F0</v>
      </c>
      <c r="Q671" s="29" t="str">
        <f t="shared" si="75"/>
        <v>F019</v>
      </c>
      <c r="R671" s="29" t="str">
        <f t="shared" si="76"/>
        <v>MayF0</v>
      </c>
    </row>
    <row r="672" spans="1:18">
      <c r="A672" s="483">
        <f t="shared" si="77"/>
        <v>668</v>
      </c>
      <c r="B672" s="484">
        <v>17</v>
      </c>
      <c r="C672" s="485">
        <v>34850</v>
      </c>
      <c r="D672" s="763" t="str">
        <f t="shared" si="73"/>
        <v>May</v>
      </c>
      <c r="E672" s="486">
        <v>31</v>
      </c>
      <c r="F672" s="472">
        <v>1995</v>
      </c>
      <c r="G672" s="484" t="s">
        <v>115</v>
      </c>
      <c r="H672" s="472" t="s">
        <v>122</v>
      </c>
      <c r="I672" s="486">
        <v>25</v>
      </c>
      <c r="J672" s="486">
        <v>0.1</v>
      </c>
      <c r="K672" s="472">
        <f t="shared" si="78"/>
        <v>12</v>
      </c>
      <c r="L672" s="473">
        <v>0.52083333333333337</v>
      </c>
      <c r="M672" s="474">
        <f t="shared" si="72"/>
        <v>0.52083333333333337</v>
      </c>
      <c r="N672" s="519"/>
      <c r="P672" s="29" t="str">
        <f t="shared" si="74"/>
        <v>1995F0</v>
      </c>
      <c r="Q672" s="29" t="str">
        <f t="shared" si="75"/>
        <v>F012</v>
      </c>
      <c r="R672" s="29" t="str">
        <f t="shared" si="76"/>
        <v>MayF0</v>
      </c>
    </row>
    <row r="673" spans="1:18">
      <c r="A673" s="483">
        <f t="shared" si="77"/>
        <v>669</v>
      </c>
      <c r="B673" s="484">
        <v>18</v>
      </c>
      <c r="C673" s="485">
        <v>34852</v>
      </c>
      <c r="D673" s="763" t="str">
        <f t="shared" si="73"/>
        <v>June</v>
      </c>
      <c r="E673" s="486">
        <v>2</v>
      </c>
      <c r="F673" s="472">
        <v>1995</v>
      </c>
      <c r="G673" s="484" t="s">
        <v>107</v>
      </c>
      <c r="H673" s="472" t="s">
        <v>123</v>
      </c>
      <c r="I673" s="486">
        <v>150</v>
      </c>
      <c r="J673" s="486">
        <v>11</v>
      </c>
      <c r="K673" s="472">
        <f t="shared" si="78"/>
        <v>17</v>
      </c>
      <c r="L673" s="473">
        <v>0.72569444444444453</v>
      </c>
      <c r="M673" s="474">
        <f t="shared" si="72"/>
        <v>0.72569444444444453</v>
      </c>
      <c r="N673" s="519">
        <v>0.73263888888888884</v>
      </c>
      <c r="P673" s="29" t="str">
        <f t="shared" si="74"/>
        <v>1995F1</v>
      </c>
      <c r="Q673" s="29" t="str">
        <f t="shared" si="75"/>
        <v>F117</v>
      </c>
      <c r="R673" s="29" t="str">
        <f t="shared" si="76"/>
        <v>JuneF1</v>
      </c>
    </row>
    <row r="674" spans="1:18">
      <c r="A674" s="483">
        <f t="shared" si="77"/>
        <v>670</v>
      </c>
      <c r="B674" s="484">
        <v>19</v>
      </c>
      <c r="C674" s="485">
        <v>34858</v>
      </c>
      <c r="D674" s="763" t="str">
        <f t="shared" si="73"/>
        <v>June</v>
      </c>
      <c r="E674" s="486">
        <v>8</v>
      </c>
      <c r="F674" s="472">
        <v>1995</v>
      </c>
      <c r="G674" s="484" t="s">
        <v>115</v>
      </c>
      <c r="H674" s="472" t="s">
        <v>122</v>
      </c>
      <c r="I674" s="486">
        <v>50</v>
      </c>
      <c r="J674" s="486">
        <v>0.1</v>
      </c>
      <c r="K674" s="472">
        <f t="shared" si="78"/>
        <v>15</v>
      </c>
      <c r="L674" s="473">
        <v>0.64375000000000004</v>
      </c>
      <c r="M674" s="474">
        <f t="shared" si="72"/>
        <v>0.64375000000000004</v>
      </c>
      <c r="N674" s="519">
        <v>0.64652777777777781</v>
      </c>
      <c r="P674" s="29" t="str">
        <f t="shared" si="74"/>
        <v>1995F0</v>
      </c>
      <c r="Q674" s="29" t="str">
        <f t="shared" si="75"/>
        <v>F015</v>
      </c>
      <c r="R674" s="29" t="str">
        <f t="shared" si="76"/>
        <v>JuneF0</v>
      </c>
    </row>
    <row r="675" spans="1:18">
      <c r="A675" s="483">
        <f t="shared" si="77"/>
        <v>671</v>
      </c>
      <c r="B675" s="484">
        <v>20</v>
      </c>
      <c r="C675" s="485">
        <v>34858</v>
      </c>
      <c r="D675" s="763" t="str">
        <f t="shared" si="73"/>
        <v>June</v>
      </c>
      <c r="E675" s="486">
        <v>8</v>
      </c>
      <c r="F675" s="472">
        <v>1995</v>
      </c>
      <c r="G675" s="484" t="s">
        <v>115</v>
      </c>
      <c r="H675" s="472" t="s">
        <v>126</v>
      </c>
      <c r="I675" s="486">
        <v>200</v>
      </c>
      <c r="J675" s="486">
        <v>3</v>
      </c>
      <c r="K675" s="472">
        <f t="shared" si="78"/>
        <v>15</v>
      </c>
      <c r="L675" s="473">
        <v>0.64652777777777781</v>
      </c>
      <c r="M675" s="474">
        <f t="shared" si="72"/>
        <v>0.64652777777777781</v>
      </c>
      <c r="N675" s="519"/>
      <c r="P675" s="29" t="str">
        <f t="shared" si="74"/>
        <v>1995F4</v>
      </c>
      <c r="Q675" s="29" t="str">
        <f t="shared" si="75"/>
        <v>F415</v>
      </c>
      <c r="R675" s="29" t="str">
        <f t="shared" si="76"/>
        <v>JuneF4</v>
      </c>
    </row>
    <row r="676" spans="1:18">
      <c r="A676" s="483">
        <f t="shared" si="77"/>
        <v>672</v>
      </c>
      <c r="B676" s="484">
        <v>21</v>
      </c>
      <c r="C676" s="485">
        <v>34858</v>
      </c>
      <c r="D676" s="763" t="str">
        <f t="shared" si="73"/>
        <v>June</v>
      </c>
      <c r="E676" s="486">
        <v>8</v>
      </c>
      <c r="F676" s="472">
        <v>1995</v>
      </c>
      <c r="G676" s="484" t="s">
        <v>115</v>
      </c>
      <c r="H676" s="472" t="s">
        <v>122</v>
      </c>
      <c r="I676" s="486">
        <v>100</v>
      </c>
      <c r="J676" s="486">
        <v>0.3</v>
      </c>
      <c r="K676" s="472">
        <f t="shared" si="78"/>
        <v>15</v>
      </c>
      <c r="L676" s="473">
        <v>0.65972222222222221</v>
      </c>
      <c r="M676" s="474">
        <f t="shared" si="72"/>
        <v>0.65972222222222221</v>
      </c>
      <c r="N676" s="519"/>
      <c r="P676" s="29" t="str">
        <f t="shared" si="74"/>
        <v>1995F0</v>
      </c>
      <c r="Q676" s="29" t="str">
        <f t="shared" si="75"/>
        <v>F015</v>
      </c>
      <c r="R676" s="29" t="str">
        <f t="shared" si="76"/>
        <v>JuneF0</v>
      </c>
    </row>
    <row r="677" spans="1:18" ht="30.75" customHeight="1">
      <c r="A677" s="483">
        <f t="shared" si="77"/>
        <v>673</v>
      </c>
      <c r="B677" s="484">
        <v>22</v>
      </c>
      <c r="C677" s="485">
        <v>34858</v>
      </c>
      <c r="D677" s="763" t="str">
        <f t="shared" si="73"/>
        <v>June</v>
      </c>
      <c r="E677" s="486">
        <v>8</v>
      </c>
      <c r="F677" s="472">
        <v>1995</v>
      </c>
      <c r="G677" s="484" t="s">
        <v>115</v>
      </c>
      <c r="H677" s="472" t="s">
        <v>124</v>
      </c>
      <c r="I677" s="486">
        <v>400</v>
      </c>
      <c r="J677" s="486">
        <v>6</v>
      </c>
      <c r="K677" s="472">
        <f t="shared" si="78"/>
        <v>15</v>
      </c>
      <c r="L677" s="473">
        <v>0.65972222222222221</v>
      </c>
      <c r="M677" s="474">
        <f t="shared" si="72"/>
        <v>0.65972222222222221</v>
      </c>
      <c r="N677" s="519">
        <v>0.66527777777777775</v>
      </c>
      <c r="P677" s="29" t="str">
        <f t="shared" si="74"/>
        <v>1995F2</v>
      </c>
      <c r="Q677" s="29" t="str">
        <f t="shared" si="75"/>
        <v>F215</v>
      </c>
      <c r="R677" s="29" t="str">
        <f t="shared" si="76"/>
        <v>JuneF2</v>
      </c>
    </row>
    <row r="678" spans="1:18">
      <c r="A678" s="483">
        <f t="shared" si="77"/>
        <v>674</v>
      </c>
      <c r="B678" s="484">
        <v>23</v>
      </c>
      <c r="C678" s="485">
        <v>34858</v>
      </c>
      <c r="D678" s="763" t="str">
        <f t="shared" si="73"/>
        <v>June</v>
      </c>
      <c r="E678" s="486">
        <v>8</v>
      </c>
      <c r="F678" s="472">
        <v>1995</v>
      </c>
      <c r="G678" s="484" t="s">
        <v>110</v>
      </c>
      <c r="H678" s="472" t="s">
        <v>123</v>
      </c>
      <c r="I678" s="486">
        <v>200</v>
      </c>
      <c r="J678" s="486">
        <v>3</v>
      </c>
      <c r="K678" s="472">
        <f t="shared" si="78"/>
        <v>15</v>
      </c>
      <c r="L678" s="473">
        <v>0.66319444444444442</v>
      </c>
      <c r="M678" s="474">
        <f t="shared" si="72"/>
        <v>0.66319444444444442</v>
      </c>
      <c r="N678" s="519">
        <v>0.67708333333333337</v>
      </c>
      <c r="P678" s="29" t="str">
        <f t="shared" si="74"/>
        <v>1995F1</v>
      </c>
      <c r="Q678" s="29" t="str">
        <f t="shared" si="75"/>
        <v>F115</v>
      </c>
      <c r="R678" s="29" t="str">
        <f t="shared" si="76"/>
        <v>JuneF1</v>
      </c>
    </row>
    <row r="679" spans="1:18">
      <c r="A679" s="483">
        <f t="shared" si="77"/>
        <v>675</v>
      </c>
      <c r="B679" s="484">
        <v>24</v>
      </c>
      <c r="C679" s="485">
        <v>34858</v>
      </c>
      <c r="D679" s="763" t="str">
        <f t="shared" si="73"/>
        <v>June</v>
      </c>
      <c r="E679" s="486">
        <v>8</v>
      </c>
      <c r="F679" s="472">
        <v>1995</v>
      </c>
      <c r="G679" s="484" t="s">
        <v>115</v>
      </c>
      <c r="H679" s="472" t="s">
        <v>123</v>
      </c>
      <c r="I679" s="486">
        <v>250</v>
      </c>
      <c r="J679" s="486">
        <v>2</v>
      </c>
      <c r="K679" s="472">
        <f t="shared" si="78"/>
        <v>16</v>
      </c>
      <c r="L679" s="473">
        <v>0.66666666666666663</v>
      </c>
      <c r="M679" s="474">
        <f t="shared" si="72"/>
        <v>0.66666666666666663</v>
      </c>
      <c r="N679" s="519">
        <v>0.67361111111111116</v>
      </c>
      <c r="P679" s="29" t="str">
        <f t="shared" si="74"/>
        <v>1995F1</v>
      </c>
      <c r="Q679" s="29" t="str">
        <f t="shared" si="75"/>
        <v>F116</v>
      </c>
      <c r="R679" s="29" t="str">
        <f t="shared" si="76"/>
        <v>JuneF1</v>
      </c>
    </row>
    <row r="680" spans="1:18">
      <c r="A680" s="483">
        <f t="shared" si="77"/>
        <v>676</v>
      </c>
      <c r="B680" s="484">
        <v>25</v>
      </c>
      <c r="C680" s="485">
        <v>34858</v>
      </c>
      <c r="D680" s="763" t="str">
        <f t="shared" si="73"/>
        <v>June</v>
      </c>
      <c r="E680" s="486">
        <v>8</v>
      </c>
      <c r="F680" s="472">
        <v>1995</v>
      </c>
      <c r="G680" s="484" t="s">
        <v>105</v>
      </c>
      <c r="H680" s="472" t="s">
        <v>122</v>
      </c>
      <c r="I680" s="486">
        <v>75</v>
      </c>
      <c r="J680" s="486">
        <v>1</v>
      </c>
      <c r="K680" s="472">
        <f t="shared" si="78"/>
        <v>16</v>
      </c>
      <c r="L680" s="473">
        <v>0.67708333333333337</v>
      </c>
      <c r="M680" s="474">
        <f t="shared" si="72"/>
        <v>0.67708333333333337</v>
      </c>
      <c r="N680" s="519"/>
      <c r="P680" s="29" t="str">
        <f t="shared" si="74"/>
        <v>1995F0</v>
      </c>
      <c r="Q680" s="29" t="str">
        <f t="shared" si="75"/>
        <v>F016</v>
      </c>
      <c r="R680" s="29" t="str">
        <f t="shared" si="76"/>
        <v>JuneF0</v>
      </c>
    </row>
    <row r="681" spans="1:18">
      <c r="A681" s="483">
        <f t="shared" si="77"/>
        <v>677</v>
      </c>
      <c r="B681" s="484">
        <v>26</v>
      </c>
      <c r="C681" s="485">
        <v>34858</v>
      </c>
      <c r="D681" s="763" t="str">
        <f t="shared" si="73"/>
        <v>June</v>
      </c>
      <c r="E681" s="486">
        <v>8</v>
      </c>
      <c r="F681" s="472">
        <v>1995</v>
      </c>
      <c r="G681" s="484" t="s">
        <v>120</v>
      </c>
      <c r="H681" s="472" t="s">
        <v>122</v>
      </c>
      <c r="I681" s="486">
        <v>100</v>
      </c>
      <c r="J681" s="486">
        <v>2</v>
      </c>
      <c r="K681" s="472">
        <f t="shared" si="78"/>
        <v>16</v>
      </c>
      <c r="L681" s="473">
        <v>0.67986111111111114</v>
      </c>
      <c r="M681" s="474">
        <f t="shared" si="72"/>
        <v>0.67986111111111114</v>
      </c>
      <c r="N681" s="519"/>
      <c r="P681" s="29" t="str">
        <f t="shared" si="74"/>
        <v>1995F0</v>
      </c>
      <c r="Q681" s="29" t="str">
        <f t="shared" si="75"/>
        <v>F016</v>
      </c>
      <c r="R681" s="29" t="str">
        <f t="shared" si="76"/>
        <v>JuneF0</v>
      </c>
    </row>
    <row r="682" spans="1:18">
      <c r="A682" s="483">
        <f t="shared" si="77"/>
        <v>678</v>
      </c>
      <c r="B682" s="484">
        <v>27</v>
      </c>
      <c r="C682" s="485">
        <v>34858</v>
      </c>
      <c r="D682" s="763" t="str">
        <f t="shared" si="73"/>
        <v>June</v>
      </c>
      <c r="E682" s="486">
        <v>8</v>
      </c>
      <c r="F682" s="472">
        <v>1995</v>
      </c>
      <c r="G682" s="484" t="s">
        <v>110</v>
      </c>
      <c r="H682" s="472" t="s">
        <v>123</v>
      </c>
      <c r="I682" s="486">
        <v>250</v>
      </c>
      <c r="J682" s="486">
        <v>10</v>
      </c>
      <c r="K682" s="472">
        <f t="shared" si="78"/>
        <v>16</v>
      </c>
      <c r="L682" s="473">
        <v>0.69097222222222221</v>
      </c>
      <c r="M682" s="474">
        <f t="shared" si="72"/>
        <v>0.69097222222222221</v>
      </c>
      <c r="N682" s="519">
        <v>0.70138888888888884</v>
      </c>
      <c r="P682" s="29" t="str">
        <f t="shared" si="74"/>
        <v>1995F1</v>
      </c>
      <c r="Q682" s="29" t="str">
        <f t="shared" si="75"/>
        <v>F116</v>
      </c>
      <c r="R682" s="29" t="str">
        <f t="shared" si="76"/>
        <v>JuneF1</v>
      </c>
    </row>
    <row r="683" spans="1:18">
      <c r="A683" s="483">
        <f t="shared" si="77"/>
        <v>679</v>
      </c>
      <c r="B683" s="484">
        <v>28</v>
      </c>
      <c r="C683" s="485">
        <v>34858</v>
      </c>
      <c r="D683" s="763" t="str">
        <f t="shared" si="73"/>
        <v>June</v>
      </c>
      <c r="E683" s="486">
        <v>8</v>
      </c>
      <c r="F683" s="472">
        <v>1995</v>
      </c>
      <c r="G683" s="495" t="s">
        <v>120</v>
      </c>
      <c r="H683" s="496" t="s">
        <v>124</v>
      </c>
      <c r="I683" s="497">
        <v>500</v>
      </c>
      <c r="J683" s="497">
        <v>10</v>
      </c>
      <c r="K683" s="496">
        <f t="shared" si="78"/>
        <v>16</v>
      </c>
      <c r="L683" s="473">
        <v>0.70486111111111116</v>
      </c>
      <c r="M683" s="498">
        <f t="shared" si="72"/>
        <v>0.70486111111111116</v>
      </c>
      <c r="N683" s="519">
        <v>0.71527777777777779</v>
      </c>
      <c r="P683" s="29" t="str">
        <f t="shared" si="74"/>
        <v>1995F2</v>
      </c>
      <c r="Q683" s="29" t="str">
        <f t="shared" si="75"/>
        <v>F216</v>
      </c>
      <c r="R683" s="29" t="str">
        <f t="shared" si="76"/>
        <v>JuneF2</v>
      </c>
    </row>
    <row r="684" spans="1:18">
      <c r="A684" s="483">
        <f t="shared" si="77"/>
        <v>680</v>
      </c>
      <c r="B684" s="484">
        <v>29</v>
      </c>
      <c r="C684" s="485">
        <v>34858</v>
      </c>
      <c r="D684" s="763" t="str">
        <f t="shared" si="73"/>
        <v>June</v>
      </c>
      <c r="E684" s="486">
        <v>8</v>
      </c>
      <c r="F684" s="472">
        <v>1995</v>
      </c>
      <c r="G684" s="495" t="s">
        <v>115</v>
      </c>
      <c r="H684" s="496" t="s">
        <v>124</v>
      </c>
      <c r="I684" s="497">
        <v>300</v>
      </c>
      <c r="J684" s="497">
        <v>4</v>
      </c>
      <c r="K684" s="496">
        <f t="shared" si="78"/>
        <v>16</v>
      </c>
      <c r="L684" s="473">
        <v>0.70763888888888893</v>
      </c>
      <c r="M684" s="498">
        <f t="shared" si="72"/>
        <v>0.70763888888888893</v>
      </c>
      <c r="N684" s="519">
        <v>0.72569444444444453</v>
      </c>
      <c r="P684" s="29" t="str">
        <f t="shared" si="74"/>
        <v>1995F2</v>
      </c>
      <c r="Q684" s="29" t="str">
        <f t="shared" si="75"/>
        <v>F216</v>
      </c>
      <c r="R684" s="29" t="str">
        <f t="shared" si="76"/>
        <v>JuneF2</v>
      </c>
    </row>
    <row r="685" spans="1:18" ht="42" customHeight="1">
      <c r="A685" s="483">
        <f t="shared" si="77"/>
        <v>681</v>
      </c>
      <c r="B685" s="484">
        <v>30</v>
      </c>
      <c r="C685" s="485">
        <v>34858</v>
      </c>
      <c r="D685" s="763" t="str">
        <f t="shared" si="73"/>
        <v>June</v>
      </c>
      <c r="E685" s="486">
        <v>8</v>
      </c>
      <c r="F685" s="472">
        <v>1995</v>
      </c>
      <c r="G685" s="495" t="s">
        <v>120</v>
      </c>
      <c r="H685" s="496" t="s">
        <v>124</v>
      </c>
      <c r="I685" s="497">
        <v>400</v>
      </c>
      <c r="J685" s="497">
        <v>9</v>
      </c>
      <c r="K685" s="496">
        <f t="shared" si="78"/>
        <v>17</v>
      </c>
      <c r="L685" s="473">
        <v>0.71527777777777779</v>
      </c>
      <c r="M685" s="498">
        <f t="shared" si="72"/>
        <v>0.71527777777777779</v>
      </c>
      <c r="N685" s="519">
        <v>0.72569444444444453</v>
      </c>
      <c r="P685" s="29" t="str">
        <f t="shared" si="74"/>
        <v>1995F2</v>
      </c>
      <c r="Q685" s="29" t="str">
        <f t="shared" si="75"/>
        <v>F217</v>
      </c>
      <c r="R685" s="29" t="str">
        <f t="shared" si="76"/>
        <v>JuneF2</v>
      </c>
    </row>
    <row r="686" spans="1:18">
      <c r="A686" s="483">
        <f t="shared" si="77"/>
        <v>682</v>
      </c>
      <c r="B686" s="484">
        <v>31</v>
      </c>
      <c r="C686" s="485">
        <v>34858</v>
      </c>
      <c r="D686" s="763" t="str">
        <f t="shared" si="73"/>
        <v>June</v>
      </c>
      <c r="E686" s="486">
        <v>8</v>
      </c>
      <c r="F686" s="472">
        <v>1995</v>
      </c>
      <c r="G686" s="484" t="s">
        <v>115</v>
      </c>
      <c r="H686" s="472" t="s">
        <v>122</v>
      </c>
      <c r="I686" s="486">
        <v>100</v>
      </c>
      <c r="J686" s="486">
        <v>2</v>
      </c>
      <c r="K686" s="472">
        <f t="shared" si="78"/>
        <v>17</v>
      </c>
      <c r="L686" s="473">
        <v>0.71527777777777779</v>
      </c>
      <c r="M686" s="474">
        <f t="shared" si="72"/>
        <v>0.71527777777777779</v>
      </c>
      <c r="N686" s="519"/>
      <c r="P686" s="29" t="str">
        <f t="shared" si="74"/>
        <v>1995F0</v>
      </c>
      <c r="Q686" s="29" t="str">
        <f t="shared" si="75"/>
        <v>F017</v>
      </c>
      <c r="R686" s="29" t="str">
        <f t="shared" si="76"/>
        <v>JuneF0</v>
      </c>
    </row>
    <row r="687" spans="1:18">
      <c r="A687" s="483">
        <f t="shared" si="77"/>
        <v>683</v>
      </c>
      <c r="B687" s="484">
        <v>32</v>
      </c>
      <c r="C687" s="485">
        <v>34858</v>
      </c>
      <c r="D687" s="763" t="str">
        <f t="shared" si="73"/>
        <v>June</v>
      </c>
      <c r="E687" s="486">
        <v>8</v>
      </c>
      <c r="F687" s="472">
        <v>1995</v>
      </c>
      <c r="G687" s="484" t="s">
        <v>115</v>
      </c>
      <c r="H687" s="472" t="s">
        <v>122</v>
      </c>
      <c r="I687" s="486">
        <v>50</v>
      </c>
      <c r="J687" s="486">
        <v>1</v>
      </c>
      <c r="K687" s="472">
        <f t="shared" si="78"/>
        <v>17</v>
      </c>
      <c r="L687" s="473">
        <v>0.72291666666666676</v>
      </c>
      <c r="M687" s="474">
        <f t="shared" si="72"/>
        <v>0.72291666666666676</v>
      </c>
      <c r="N687" s="519"/>
      <c r="P687" s="29" t="str">
        <f t="shared" si="74"/>
        <v>1995F0</v>
      </c>
      <c r="Q687" s="29" t="str">
        <f t="shared" si="75"/>
        <v>F017</v>
      </c>
      <c r="R687" s="29" t="str">
        <f t="shared" si="76"/>
        <v>JuneF0</v>
      </c>
    </row>
    <row r="688" spans="1:18" ht="56.25" customHeight="1">
      <c r="A688" s="483">
        <f t="shared" si="77"/>
        <v>684</v>
      </c>
      <c r="B688" s="484">
        <v>33</v>
      </c>
      <c r="C688" s="485">
        <v>34858</v>
      </c>
      <c r="D688" s="763" t="str">
        <f t="shared" si="73"/>
        <v>June</v>
      </c>
      <c r="E688" s="486">
        <v>8</v>
      </c>
      <c r="F688" s="472">
        <v>1995</v>
      </c>
      <c r="G688" s="484" t="s">
        <v>115</v>
      </c>
      <c r="H688" s="472" t="s">
        <v>126</v>
      </c>
      <c r="I688" s="486">
        <v>600</v>
      </c>
      <c r="J688" s="486">
        <v>29</v>
      </c>
      <c r="K688" s="472">
        <f t="shared" si="78"/>
        <v>17</v>
      </c>
      <c r="L688" s="473">
        <v>0.73263888888888884</v>
      </c>
      <c r="M688" s="474">
        <f t="shared" si="72"/>
        <v>0.73263888888888884</v>
      </c>
      <c r="N688" s="519">
        <v>0.77083333333333337</v>
      </c>
      <c r="P688" s="29" t="str">
        <f t="shared" si="74"/>
        <v>1995F4</v>
      </c>
      <c r="Q688" s="29" t="str">
        <f t="shared" si="75"/>
        <v>F417</v>
      </c>
      <c r="R688" s="29" t="str">
        <f t="shared" si="76"/>
        <v>JuneF4</v>
      </c>
    </row>
    <row r="689" spans="1:18">
      <c r="A689" s="483">
        <f t="shared" si="77"/>
        <v>685</v>
      </c>
      <c r="B689" s="484">
        <v>34</v>
      </c>
      <c r="C689" s="485">
        <v>34858</v>
      </c>
      <c r="D689" s="763" t="str">
        <f t="shared" si="73"/>
        <v>June</v>
      </c>
      <c r="E689" s="486">
        <v>8</v>
      </c>
      <c r="F689" s="472">
        <v>1995</v>
      </c>
      <c r="G689" s="484" t="s">
        <v>111</v>
      </c>
      <c r="H689" s="472" t="s">
        <v>122</v>
      </c>
      <c r="I689" s="486">
        <v>150</v>
      </c>
      <c r="J689" s="486">
        <v>4</v>
      </c>
      <c r="K689" s="472">
        <f t="shared" si="78"/>
        <v>17</v>
      </c>
      <c r="L689" s="473">
        <v>0.73819444444444438</v>
      </c>
      <c r="M689" s="474">
        <f t="shared" si="72"/>
        <v>0.73819444444444438</v>
      </c>
      <c r="N689" s="519">
        <v>0.74236111111111114</v>
      </c>
      <c r="P689" s="29" t="str">
        <f t="shared" si="74"/>
        <v>1995F0</v>
      </c>
      <c r="Q689" s="29" t="str">
        <f t="shared" si="75"/>
        <v>F017</v>
      </c>
      <c r="R689" s="29" t="str">
        <f t="shared" si="76"/>
        <v>JuneF0</v>
      </c>
    </row>
    <row r="690" spans="1:18" ht="15" customHeight="1">
      <c r="A690" s="483">
        <f t="shared" si="77"/>
        <v>686</v>
      </c>
      <c r="B690" s="484">
        <v>35</v>
      </c>
      <c r="C690" s="485">
        <v>34858</v>
      </c>
      <c r="D690" s="763" t="str">
        <f t="shared" si="73"/>
        <v>June</v>
      </c>
      <c r="E690" s="486">
        <v>8</v>
      </c>
      <c r="F690" s="472">
        <v>1995</v>
      </c>
      <c r="G690" s="484" t="s">
        <v>110</v>
      </c>
      <c r="H690" s="472" t="s">
        <v>122</v>
      </c>
      <c r="I690" s="486">
        <v>50</v>
      </c>
      <c r="J690" s="486">
        <v>0.5</v>
      </c>
      <c r="K690" s="472">
        <f t="shared" si="78"/>
        <v>17</v>
      </c>
      <c r="L690" s="473">
        <v>0.74513888888888891</v>
      </c>
      <c r="M690" s="474">
        <f t="shared" si="72"/>
        <v>0.74513888888888891</v>
      </c>
      <c r="N690" s="519"/>
      <c r="P690" s="29" t="str">
        <f t="shared" si="74"/>
        <v>1995F0</v>
      </c>
      <c r="Q690" s="29" t="str">
        <f t="shared" si="75"/>
        <v>F017</v>
      </c>
      <c r="R690" s="29" t="str">
        <f t="shared" si="76"/>
        <v>JuneF0</v>
      </c>
    </row>
    <row r="691" spans="1:18" ht="66" customHeight="1">
      <c r="A691" s="483">
        <f t="shared" si="77"/>
        <v>687</v>
      </c>
      <c r="B691" s="484">
        <v>36</v>
      </c>
      <c r="C691" s="485">
        <v>34858</v>
      </c>
      <c r="D691" s="763" t="str">
        <f t="shared" si="73"/>
        <v>June</v>
      </c>
      <c r="E691" s="486">
        <v>8</v>
      </c>
      <c r="F691" s="472">
        <v>1995</v>
      </c>
      <c r="G691" s="484" t="s">
        <v>116</v>
      </c>
      <c r="H691" s="472" t="s">
        <v>126</v>
      </c>
      <c r="I691" s="486">
        <v>2200</v>
      </c>
      <c r="J691" s="486">
        <v>15</v>
      </c>
      <c r="K691" s="472">
        <f t="shared" si="78"/>
        <v>18</v>
      </c>
      <c r="L691" s="473">
        <v>0.78125</v>
      </c>
      <c r="M691" s="474">
        <f t="shared" ref="M691:M753" si="79">+L691</f>
        <v>0.78125</v>
      </c>
      <c r="N691" s="519">
        <v>0.81319444444444444</v>
      </c>
      <c r="P691" s="29" t="str">
        <f t="shared" si="74"/>
        <v>1995F4</v>
      </c>
      <c r="Q691" s="29" t="str">
        <f t="shared" si="75"/>
        <v>F418</v>
      </c>
      <c r="R691" s="29" t="str">
        <f t="shared" si="76"/>
        <v>JuneF4</v>
      </c>
    </row>
    <row r="692" spans="1:18" ht="15.75" customHeight="1">
      <c r="A692" s="483">
        <f t="shared" si="77"/>
        <v>688</v>
      </c>
      <c r="B692" s="484">
        <v>37</v>
      </c>
      <c r="C692" s="485">
        <v>34882</v>
      </c>
      <c r="D692" s="763" t="str">
        <f t="shared" si="73"/>
        <v>July</v>
      </c>
      <c r="E692" s="486">
        <v>2</v>
      </c>
      <c r="F692" s="472">
        <v>1995</v>
      </c>
      <c r="G692" s="484" t="s">
        <v>114</v>
      </c>
      <c r="H692" s="472" t="s">
        <v>122</v>
      </c>
      <c r="I692" s="486">
        <v>50</v>
      </c>
      <c r="J692" s="486">
        <v>0.3</v>
      </c>
      <c r="K692" s="472">
        <f t="shared" si="78"/>
        <v>19</v>
      </c>
      <c r="L692" s="473">
        <v>0.8222222222222223</v>
      </c>
      <c r="M692" s="474">
        <f t="shared" si="79"/>
        <v>0.8222222222222223</v>
      </c>
      <c r="N692" s="519"/>
      <c r="P692" s="29" t="str">
        <f t="shared" si="74"/>
        <v>1995F0</v>
      </c>
      <c r="Q692" s="29" t="str">
        <f t="shared" si="75"/>
        <v>F019</v>
      </c>
      <c r="R692" s="29" t="str">
        <f t="shared" si="76"/>
        <v>JulyF0</v>
      </c>
    </row>
    <row r="693" spans="1:18" ht="42" customHeight="1">
      <c r="A693" s="483">
        <f t="shared" si="77"/>
        <v>689</v>
      </c>
      <c r="B693" s="484">
        <v>38</v>
      </c>
      <c r="C693" s="485">
        <v>34882</v>
      </c>
      <c r="D693" s="763" t="str">
        <f t="shared" si="73"/>
        <v>July</v>
      </c>
      <c r="E693" s="486">
        <v>2</v>
      </c>
      <c r="F693" s="472">
        <v>1995</v>
      </c>
      <c r="G693" s="484" t="s">
        <v>114</v>
      </c>
      <c r="H693" s="472" t="s">
        <v>122</v>
      </c>
      <c r="I693" s="486">
        <v>75</v>
      </c>
      <c r="J693" s="486">
        <v>0.5</v>
      </c>
      <c r="K693" s="472">
        <f t="shared" si="78"/>
        <v>20</v>
      </c>
      <c r="L693" s="473">
        <v>0.84375</v>
      </c>
      <c r="M693" s="474">
        <f t="shared" si="79"/>
        <v>0.84375</v>
      </c>
      <c r="N693" s="519">
        <v>0.85069444444444453</v>
      </c>
      <c r="P693" s="29" t="str">
        <f t="shared" si="74"/>
        <v>1995F0</v>
      </c>
      <c r="Q693" s="29" t="str">
        <f t="shared" si="75"/>
        <v>F020</v>
      </c>
      <c r="R693" s="29" t="str">
        <f t="shared" si="76"/>
        <v>JulyF0</v>
      </c>
    </row>
    <row r="694" spans="1:18">
      <c r="A694" s="483">
        <f t="shared" si="77"/>
        <v>690</v>
      </c>
      <c r="B694" s="484">
        <v>39</v>
      </c>
      <c r="C694" s="485">
        <v>34902</v>
      </c>
      <c r="D694" s="763" t="str">
        <f t="shared" si="73"/>
        <v>July</v>
      </c>
      <c r="E694" s="486">
        <v>22</v>
      </c>
      <c r="F694" s="472">
        <v>1995</v>
      </c>
      <c r="G694" s="484" t="s">
        <v>111</v>
      </c>
      <c r="H694" s="472" t="s">
        <v>122</v>
      </c>
      <c r="I694" s="486">
        <v>25</v>
      </c>
      <c r="J694" s="486">
        <v>0.1</v>
      </c>
      <c r="K694" s="472">
        <f t="shared" si="78"/>
        <v>19</v>
      </c>
      <c r="L694" s="473">
        <v>0.80625000000000002</v>
      </c>
      <c r="M694" s="474">
        <f t="shared" si="79"/>
        <v>0.80625000000000002</v>
      </c>
      <c r="N694" s="519"/>
      <c r="P694" s="29" t="str">
        <f t="shared" si="74"/>
        <v>1995F0</v>
      </c>
      <c r="Q694" s="29" t="str">
        <f t="shared" si="75"/>
        <v>F019</v>
      </c>
      <c r="R694" s="29" t="str">
        <f t="shared" si="76"/>
        <v>JulyF0</v>
      </c>
    </row>
    <row r="695" spans="1:18" ht="43.5" customHeight="1">
      <c r="A695" s="483">
        <f t="shared" si="77"/>
        <v>691</v>
      </c>
      <c r="B695" s="484">
        <v>40</v>
      </c>
      <c r="C695" s="485">
        <v>34903</v>
      </c>
      <c r="D695" s="763" t="str">
        <f t="shared" si="73"/>
        <v>July</v>
      </c>
      <c r="E695" s="486">
        <v>23</v>
      </c>
      <c r="F695" s="472">
        <v>1995</v>
      </c>
      <c r="G695" s="484" t="s">
        <v>119</v>
      </c>
      <c r="H695" s="472" t="s">
        <v>123</v>
      </c>
      <c r="I695" s="486">
        <v>150</v>
      </c>
      <c r="J695" s="486">
        <v>4</v>
      </c>
      <c r="K695" s="472">
        <f t="shared" si="78"/>
        <v>19</v>
      </c>
      <c r="L695" s="473">
        <v>0.79305555555555562</v>
      </c>
      <c r="M695" s="474">
        <f t="shared" si="79"/>
        <v>0.79305555555555562</v>
      </c>
      <c r="N695" s="519">
        <v>0.80347222222222225</v>
      </c>
      <c r="P695" s="29" t="str">
        <f t="shared" si="74"/>
        <v>1995F1</v>
      </c>
      <c r="Q695" s="29" t="str">
        <f t="shared" si="75"/>
        <v>F119</v>
      </c>
      <c r="R695" s="29" t="str">
        <f t="shared" si="76"/>
        <v>JulyF1</v>
      </c>
    </row>
    <row r="696" spans="1:18" ht="41.25" customHeight="1">
      <c r="A696" s="483">
        <f t="shared" si="77"/>
        <v>692</v>
      </c>
      <c r="B696" s="484">
        <v>41</v>
      </c>
      <c r="C696" s="485">
        <v>34903</v>
      </c>
      <c r="D696" s="763" t="str">
        <f t="shared" si="73"/>
        <v>July</v>
      </c>
      <c r="E696" s="486">
        <v>23</v>
      </c>
      <c r="F696" s="472">
        <v>1995</v>
      </c>
      <c r="G696" s="484" t="s">
        <v>119</v>
      </c>
      <c r="H696" s="472" t="s">
        <v>122</v>
      </c>
      <c r="I696" s="486">
        <v>100</v>
      </c>
      <c r="J696" s="486">
        <v>2</v>
      </c>
      <c r="K696" s="472">
        <f t="shared" si="78"/>
        <v>19</v>
      </c>
      <c r="L696" s="473">
        <v>0.82638888888888884</v>
      </c>
      <c r="M696" s="474">
        <f t="shared" si="79"/>
        <v>0.82638888888888884</v>
      </c>
      <c r="N696" s="519">
        <v>0.83194444444444438</v>
      </c>
      <c r="P696" s="29" t="str">
        <f t="shared" si="74"/>
        <v>1995F0</v>
      </c>
      <c r="Q696" s="29" t="str">
        <f t="shared" si="75"/>
        <v>F019</v>
      </c>
      <c r="R696" s="29" t="str">
        <f t="shared" si="76"/>
        <v>JulyF0</v>
      </c>
    </row>
    <row r="697" spans="1:18">
      <c r="A697" s="483">
        <f t="shared" si="77"/>
        <v>693</v>
      </c>
      <c r="B697" s="484">
        <v>1</v>
      </c>
      <c r="C697" s="485">
        <v>35194</v>
      </c>
      <c r="D697" s="763" t="str">
        <f t="shared" si="73"/>
        <v>May</v>
      </c>
      <c r="E697" s="486">
        <v>9</v>
      </c>
      <c r="F697" s="472">
        <v>1996</v>
      </c>
      <c r="G697" s="484" t="s">
        <v>115</v>
      </c>
      <c r="H697" s="472" t="s">
        <v>122</v>
      </c>
      <c r="I697" s="486">
        <v>25</v>
      </c>
      <c r="J697" s="486">
        <v>0.1</v>
      </c>
      <c r="K697" s="472">
        <f t="shared" si="78"/>
        <v>17</v>
      </c>
      <c r="L697" s="473">
        <v>0.72222222222222221</v>
      </c>
      <c r="M697" s="474">
        <f t="shared" si="79"/>
        <v>0.72222222222222221</v>
      </c>
      <c r="N697" s="519">
        <v>0.72291666666666676</v>
      </c>
      <c r="P697" s="29" t="str">
        <f t="shared" si="74"/>
        <v>1996F0</v>
      </c>
      <c r="Q697" s="29" t="str">
        <f t="shared" si="75"/>
        <v>F017</v>
      </c>
      <c r="R697" s="29" t="str">
        <f t="shared" si="76"/>
        <v>MayF0</v>
      </c>
    </row>
    <row r="698" spans="1:18">
      <c r="A698" s="483">
        <f t="shared" si="77"/>
        <v>694</v>
      </c>
      <c r="B698" s="484">
        <v>2</v>
      </c>
      <c r="C698" s="485">
        <v>35194</v>
      </c>
      <c r="D698" s="763" t="str">
        <f t="shared" si="73"/>
        <v>May</v>
      </c>
      <c r="E698" s="486">
        <v>9</v>
      </c>
      <c r="F698" s="472">
        <v>1996</v>
      </c>
      <c r="G698" s="484" t="s">
        <v>116</v>
      </c>
      <c r="H698" s="472" t="s">
        <v>122</v>
      </c>
      <c r="I698" s="486">
        <v>100</v>
      </c>
      <c r="J698" s="486">
        <v>5</v>
      </c>
      <c r="K698" s="472">
        <f t="shared" si="78"/>
        <v>17</v>
      </c>
      <c r="L698" s="473">
        <v>0.74930555555555556</v>
      </c>
      <c r="M698" s="474">
        <f t="shared" si="79"/>
        <v>0.74930555555555556</v>
      </c>
      <c r="N698" s="519">
        <v>0.75694444444444453</v>
      </c>
      <c r="P698" s="29" t="str">
        <f t="shared" si="74"/>
        <v>1996F0</v>
      </c>
      <c r="Q698" s="29" t="str">
        <f t="shared" si="75"/>
        <v>F017</v>
      </c>
      <c r="R698" s="29" t="str">
        <f t="shared" si="76"/>
        <v>MayF0</v>
      </c>
    </row>
    <row r="699" spans="1:18">
      <c r="A699" s="483">
        <f t="shared" si="77"/>
        <v>695</v>
      </c>
      <c r="B699" s="484">
        <v>3</v>
      </c>
      <c r="C699" s="485">
        <v>35194</v>
      </c>
      <c r="D699" s="763" t="str">
        <f t="shared" si="73"/>
        <v>May</v>
      </c>
      <c r="E699" s="486">
        <v>9</v>
      </c>
      <c r="F699" s="472">
        <v>1996</v>
      </c>
      <c r="G699" s="484" t="s">
        <v>116</v>
      </c>
      <c r="H699" s="472" t="s">
        <v>122</v>
      </c>
      <c r="I699" s="486">
        <v>20</v>
      </c>
      <c r="J699" s="486">
        <v>0.1</v>
      </c>
      <c r="K699" s="472">
        <f t="shared" si="78"/>
        <v>18</v>
      </c>
      <c r="L699" s="473">
        <v>0.76527777777777783</v>
      </c>
      <c r="M699" s="474">
        <f t="shared" si="79"/>
        <v>0.76527777777777783</v>
      </c>
      <c r="N699" s="519">
        <v>0.76527777777777783</v>
      </c>
      <c r="P699" s="29" t="str">
        <f t="shared" si="74"/>
        <v>1996F0</v>
      </c>
      <c r="Q699" s="29" t="str">
        <f t="shared" si="75"/>
        <v>F018</v>
      </c>
      <c r="R699" s="29" t="str">
        <f t="shared" si="76"/>
        <v>MayF0</v>
      </c>
    </row>
    <row r="700" spans="1:18">
      <c r="A700" s="483">
        <f t="shared" si="77"/>
        <v>696</v>
      </c>
      <c r="B700" s="484">
        <v>4</v>
      </c>
      <c r="C700" s="485">
        <v>35194</v>
      </c>
      <c r="D700" s="763" t="str">
        <f t="shared" si="73"/>
        <v>May</v>
      </c>
      <c r="E700" s="486">
        <v>9</v>
      </c>
      <c r="F700" s="472">
        <v>1996</v>
      </c>
      <c r="G700" s="484" t="s">
        <v>116</v>
      </c>
      <c r="H700" s="472" t="s">
        <v>122</v>
      </c>
      <c r="I700" s="486">
        <v>75</v>
      </c>
      <c r="J700" s="486">
        <v>0.6</v>
      </c>
      <c r="K700" s="472">
        <f t="shared" si="78"/>
        <v>18</v>
      </c>
      <c r="L700" s="473">
        <v>0.7715277777777777</v>
      </c>
      <c r="M700" s="474">
        <f t="shared" si="79"/>
        <v>0.7715277777777777</v>
      </c>
      <c r="N700" s="519">
        <v>0.77430555555555547</v>
      </c>
      <c r="P700" s="29" t="str">
        <f t="shared" si="74"/>
        <v>1996F0</v>
      </c>
      <c r="Q700" s="29" t="str">
        <f t="shared" si="75"/>
        <v>F018</v>
      </c>
      <c r="R700" s="29" t="str">
        <f t="shared" si="76"/>
        <v>MayF0</v>
      </c>
    </row>
    <row r="701" spans="1:18">
      <c r="A701" s="483">
        <f t="shared" si="77"/>
        <v>697</v>
      </c>
      <c r="B701" s="484">
        <v>5</v>
      </c>
      <c r="C701" s="485">
        <v>35209</v>
      </c>
      <c r="D701" s="763" t="str">
        <f t="shared" si="73"/>
        <v>May</v>
      </c>
      <c r="E701" s="486">
        <v>24</v>
      </c>
      <c r="F701" s="472">
        <v>1996</v>
      </c>
      <c r="G701" s="484" t="s">
        <v>104</v>
      </c>
      <c r="H701" s="472" t="s">
        <v>122</v>
      </c>
      <c r="I701" s="486">
        <v>50</v>
      </c>
      <c r="J701" s="486">
        <v>1</v>
      </c>
      <c r="K701" s="472">
        <f t="shared" si="78"/>
        <v>14</v>
      </c>
      <c r="L701" s="473">
        <v>0.61736111111111114</v>
      </c>
      <c r="M701" s="474">
        <f t="shared" si="79"/>
        <v>0.61736111111111114</v>
      </c>
      <c r="N701" s="519">
        <v>0.62083333333333335</v>
      </c>
      <c r="P701" s="29" t="str">
        <f t="shared" si="74"/>
        <v>1996F0</v>
      </c>
      <c r="Q701" s="29" t="str">
        <f t="shared" si="75"/>
        <v>F014</v>
      </c>
      <c r="R701" s="29" t="str">
        <f t="shared" si="76"/>
        <v>MayF0</v>
      </c>
    </row>
    <row r="702" spans="1:18">
      <c r="A702" s="483">
        <f t="shared" si="77"/>
        <v>698</v>
      </c>
      <c r="B702" s="484">
        <v>6</v>
      </c>
      <c r="C702" s="485">
        <v>35209</v>
      </c>
      <c r="D702" s="763" t="str">
        <f t="shared" si="73"/>
        <v>May</v>
      </c>
      <c r="E702" s="486">
        <v>24</v>
      </c>
      <c r="F702" s="472">
        <v>1996</v>
      </c>
      <c r="G702" s="484" t="s">
        <v>109</v>
      </c>
      <c r="H702" s="472" t="s">
        <v>122</v>
      </c>
      <c r="I702" s="486">
        <v>30</v>
      </c>
      <c r="J702" s="486">
        <v>0.5</v>
      </c>
      <c r="K702" s="472">
        <f t="shared" si="78"/>
        <v>14</v>
      </c>
      <c r="L702" s="473">
        <v>0.62222222222222223</v>
      </c>
      <c r="M702" s="474">
        <f t="shared" si="79"/>
        <v>0.62222222222222223</v>
      </c>
      <c r="N702" s="519">
        <v>0.62430555555555556</v>
      </c>
      <c r="P702" s="29" t="str">
        <f t="shared" si="74"/>
        <v>1996F0</v>
      </c>
      <c r="Q702" s="29" t="str">
        <f t="shared" si="75"/>
        <v>F014</v>
      </c>
      <c r="R702" s="29" t="str">
        <f t="shared" si="76"/>
        <v>MayF0</v>
      </c>
    </row>
    <row r="703" spans="1:18">
      <c r="A703" s="483">
        <f t="shared" si="77"/>
        <v>699</v>
      </c>
      <c r="B703" s="484">
        <v>7</v>
      </c>
      <c r="C703" s="485">
        <v>35209</v>
      </c>
      <c r="D703" s="763" t="str">
        <f t="shared" si="73"/>
        <v>May</v>
      </c>
      <c r="E703" s="486">
        <v>24</v>
      </c>
      <c r="F703" s="472">
        <v>1996</v>
      </c>
      <c r="G703" s="484" t="s">
        <v>105</v>
      </c>
      <c r="H703" s="472" t="s">
        <v>122</v>
      </c>
      <c r="I703" s="486">
        <v>40</v>
      </c>
      <c r="J703" s="486">
        <v>0.6</v>
      </c>
      <c r="K703" s="472">
        <f t="shared" si="78"/>
        <v>14</v>
      </c>
      <c r="L703" s="473">
        <v>0.62291666666666667</v>
      </c>
      <c r="M703" s="474">
        <f t="shared" si="79"/>
        <v>0.62291666666666667</v>
      </c>
      <c r="N703" s="519">
        <v>0.62569444444444444</v>
      </c>
      <c r="P703" s="29" t="str">
        <f t="shared" si="74"/>
        <v>1996F0</v>
      </c>
      <c r="Q703" s="29" t="str">
        <f t="shared" si="75"/>
        <v>F014</v>
      </c>
      <c r="R703" s="29" t="str">
        <f t="shared" si="76"/>
        <v>MayF0</v>
      </c>
    </row>
    <row r="704" spans="1:18">
      <c r="A704" s="483">
        <f t="shared" si="77"/>
        <v>700</v>
      </c>
      <c r="B704" s="484">
        <v>8</v>
      </c>
      <c r="C704" s="485">
        <v>35209</v>
      </c>
      <c r="D704" s="763" t="str">
        <f t="shared" si="73"/>
        <v>May</v>
      </c>
      <c r="E704" s="486">
        <v>24</v>
      </c>
      <c r="F704" s="472">
        <v>1996</v>
      </c>
      <c r="G704" s="484" t="s">
        <v>104</v>
      </c>
      <c r="H704" s="472" t="s">
        <v>122</v>
      </c>
      <c r="I704" s="486">
        <v>75</v>
      </c>
      <c r="J704" s="486">
        <v>0.6</v>
      </c>
      <c r="K704" s="472">
        <f t="shared" si="78"/>
        <v>15</v>
      </c>
      <c r="L704" s="473">
        <v>0.64444444444444449</v>
      </c>
      <c r="M704" s="474">
        <f t="shared" si="79"/>
        <v>0.64444444444444449</v>
      </c>
      <c r="N704" s="519">
        <v>0.64722222222222225</v>
      </c>
      <c r="P704" s="29" t="str">
        <f t="shared" si="74"/>
        <v>1996F0</v>
      </c>
      <c r="Q704" s="29" t="str">
        <f t="shared" si="75"/>
        <v>F015</v>
      </c>
      <c r="R704" s="29" t="str">
        <f t="shared" si="76"/>
        <v>MayF0</v>
      </c>
    </row>
    <row r="705" spans="1:18">
      <c r="A705" s="483">
        <f t="shared" si="77"/>
        <v>701</v>
      </c>
      <c r="B705" s="484">
        <v>9</v>
      </c>
      <c r="C705" s="485">
        <v>35209</v>
      </c>
      <c r="D705" s="763" t="str">
        <f t="shared" si="73"/>
        <v>May</v>
      </c>
      <c r="E705" s="486">
        <v>24</v>
      </c>
      <c r="F705" s="472">
        <v>1996</v>
      </c>
      <c r="G705" s="484" t="s">
        <v>105</v>
      </c>
      <c r="H705" s="472" t="s">
        <v>122</v>
      </c>
      <c r="I705" s="486">
        <v>50</v>
      </c>
      <c r="J705" s="486">
        <v>0.5</v>
      </c>
      <c r="K705" s="472">
        <f t="shared" si="78"/>
        <v>15</v>
      </c>
      <c r="L705" s="473">
        <v>0.65416666666666667</v>
      </c>
      <c r="M705" s="474">
        <f t="shared" si="79"/>
        <v>0.65416666666666667</v>
      </c>
      <c r="N705" s="519">
        <v>0.65694444444444444</v>
      </c>
      <c r="P705" s="29" t="str">
        <f t="shared" si="74"/>
        <v>1996F0</v>
      </c>
      <c r="Q705" s="29" t="str">
        <f t="shared" si="75"/>
        <v>F015</v>
      </c>
      <c r="R705" s="29" t="str">
        <f t="shared" si="76"/>
        <v>MayF0</v>
      </c>
    </row>
    <row r="706" spans="1:18">
      <c r="A706" s="483">
        <f t="shared" si="77"/>
        <v>702</v>
      </c>
      <c r="B706" s="484">
        <v>10</v>
      </c>
      <c r="C706" s="485">
        <v>35209</v>
      </c>
      <c r="D706" s="763" t="str">
        <f t="shared" si="73"/>
        <v>May</v>
      </c>
      <c r="E706" s="486">
        <v>24</v>
      </c>
      <c r="F706" s="472">
        <v>1996</v>
      </c>
      <c r="G706" s="484" t="s">
        <v>114</v>
      </c>
      <c r="H706" s="472" t="s">
        <v>122</v>
      </c>
      <c r="I706" s="486">
        <v>50</v>
      </c>
      <c r="J706" s="486">
        <v>0.6</v>
      </c>
      <c r="K706" s="472">
        <f t="shared" si="78"/>
        <v>16</v>
      </c>
      <c r="L706" s="473">
        <v>0.68958333333333333</v>
      </c>
      <c r="M706" s="474">
        <f t="shared" si="79"/>
        <v>0.68958333333333333</v>
      </c>
      <c r="N706" s="519">
        <v>0.69305555555555554</v>
      </c>
      <c r="P706" s="29" t="str">
        <f t="shared" si="74"/>
        <v>1996F0</v>
      </c>
      <c r="Q706" s="29" t="str">
        <f t="shared" si="75"/>
        <v>F016</v>
      </c>
      <c r="R706" s="29" t="str">
        <f t="shared" si="76"/>
        <v>MayF0</v>
      </c>
    </row>
    <row r="707" spans="1:18">
      <c r="A707" s="483">
        <f t="shared" si="77"/>
        <v>703</v>
      </c>
      <c r="B707" s="484">
        <v>11</v>
      </c>
      <c r="C707" s="485">
        <v>35209</v>
      </c>
      <c r="D707" s="763" t="str">
        <f t="shared" si="73"/>
        <v>May</v>
      </c>
      <c r="E707" s="486">
        <v>24</v>
      </c>
      <c r="F707" s="472">
        <v>1996</v>
      </c>
      <c r="G707" s="484" t="s">
        <v>115</v>
      </c>
      <c r="H707" s="472" t="s">
        <v>122</v>
      </c>
      <c r="I707" s="486">
        <v>40</v>
      </c>
      <c r="J707" s="486">
        <v>0.5</v>
      </c>
      <c r="K707" s="472">
        <f t="shared" si="78"/>
        <v>17</v>
      </c>
      <c r="L707" s="473">
        <v>0.74652777777777779</v>
      </c>
      <c r="M707" s="474">
        <f t="shared" si="79"/>
        <v>0.74652777777777779</v>
      </c>
      <c r="N707" s="519">
        <v>0.74861111111111101</v>
      </c>
      <c r="P707" s="29" t="str">
        <f t="shared" si="74"/>
        <v>1996F0</v>
      </c>
      <c r="Q707" s="29" t="str">
        <f t="shared" si="75"/>
        <v>F017</v>
      </c>
      <c r="R707" s="29" t="str">
        <f t="shared" si="76"/>
        <v>MayF0</v>
      </c>
    </row>
    <row r="708" spans="1:18">
      <c r="A708" s="483">
        <f t="shared" si="77"/>
        <v>704</v>
      </c>
      <c r="B708" s="484">
        <v>12</v>
      </c>
      <c r="C708" s="485">
        <v>35209</v>
      </c>
      <c r="D708" s="763" t="str">
        <f t="shared" si="73"/>
        <v>May</v>
      </c>
      <c r="E708" s="486">
        <v>24</v>
      </c>
      <c r="F708" s="472">
        <v>1996</v>
      </c>
      <c r="G708" s="484" t="s">
        <v>105</v>
      </c>
      <c r="H708" s="472" t="s">
        <v>122</v>
      </c>
      <c r="I708" s="486">
        <v>50</v>
      </c>
      <c r="J708" s="486">
        <v>0.5</v>
      </c>
      <c r="K708" s="472">
        <f t="shared" si="78"/>
        <v>19</v>
      </c>
      <c r="L708" s="473">
        <v>0.8125</v>
      </c>
      <c r="M708" s="474">
        <f t="shared" si="79"/>
        <v>0.8125</v>
      </c>
      <c r="N708" s="519">
        <v>0.81597222222222221</v>
      </c>
      <c r="P708" s="29" t="str">
        <f t="shared" si="74"/>
        <v>1996F0</v>
      </c>
      <c r="Q708" s="29" t="str">
        <f t="shared" si="75"/>
        <v>F019</v>
      </c>
      <c r="R708" s="29" t="str">
        <f t="shared" si="76"/>
        <v>MayF0</v>
      </c>
    </row>
    <row r="709" spans="1:18">
      <c r="A709" s="483">
        <f t="shared" si="77"/>
        <v>705</v>
      </c>
      <c r="B709" s="484">
        <v>13</v>
      </c>
      <c r="C709" s="485">
        <v>35210</v>
      </c>
      <c r="D709" s="763" t="str">
        <f t="shared" ref="D709:D772" si="80">+TEXT(C709,"mmmm")</f>
        <v>May</v>
      </c>
      <c r="E709" s="486">
        <v>25</v>
      </c>
      <c r="F709" s="472">
        <v>1996</v>
      </c>
      <c r="G709" s="484" t="s">
        <v>102</v>
      </c>
      <c r="H709" s="472" t="s">
        <v>122</v>
      </c>
      <c r="I709" s="486">
        <v>100</v>
      </c>
      <c r="J709" s="486">
        <v>5</v>
      </c>
      <c r="K709" s="472">
        <f t="shared" si="78"/>
        <v>16</v>
      </c>
      <c r="L709" s="473">
        <v>0.6875</v>
      </c>
      <c r="M709" s="474">
        <f t="shared" si="79"/>
        <v>0.6875</v>
      </c>
      <c r="N709" s="519">
        <v>0.69027777777777777</v>
      </c>
      <c r="P709" s="29" t="str">
        <f t="shared" si="74"/>
        <v>1996F0</v>
      </c>
      <c r="Q709" s="29" t="str">
        <f t="shared" si="75"/>
        <v>F016</v>
      </c>
      <c r="R709" s="29" t="str">
        <f t="shared" si="76"/>
        <v>MayF0</v>
      </c>
    </row>
    <row r="710" spans="1:18">
      <c r="A710" s="483">
        <f t="shared" si="77"/>
        <v>706</v>
      </c>
      <c r="B710" s="484">
        <v>14</v>
      </c>
      <c r="C710" s="485">
        <v>35210</v>
      </c>
      <c r="D710" s="763" t="str">
        <f t="shared" si="80"/>
        <v>May</v>
      </c>
      <c r="E710" s="486">
        <v>25</v>
      </c>
      <c r="F710" s="472">
        <v>1996</v>
      </c>
      <c r="G710" s="484" t="s">
        <v>117</v>
      </c>
      <c r="H710" s="472" t="s">
        <v>124</v>
      </c>
      <c r="I710" s="486">
        <v>200</v>
      </c>
      <c r="J710" s="486">
        <v>3</v>
      </c>
      <c r="K710" s="472">
        <f t="shared" si="78"/>
        <v>16</v>
      </c>
      <c r="L710" s="473">
        <v>0.70416666666666661</v>
      </c>
      <c r="M710" s="474">
        <f t="shared" si="79"/>
        <v>0.70416666666666661</v>
      </c>
      <c r="N710" s="519">
        <v>0.71250000000000002</v>
      </c>
      <c r="P710" s="29" t="str">
        <f t="shared" ref="P710:P773" si="81">CONCATENATE(F710,H710)</f>
        <v>1996F2</v>
      </c>
      <c r="Q710" s="29" t="str">
        <f t="shared" ref="Q710:Q773" si="82">CONCATENATE(H710,K710)</f>
        <v>F216</v>
      </c>
      <c r="R710" s="29" t="str">
        <f t="shared" ref="R710:R773" si="83">CONCATENATE(D710,H710)</f>
        <v>MayF2</v>
      </c>
    </row>
    <row r="711" spans="1:18">
      <c r="A711" s="483">
        <f t="shared" ref="A711:A774" si="84">+A710+1</f>
        <v>707</v>
      </c>
      <c r="B711" s="484">
        <v>15</v>
      </c>
      <c r="C711" s="485">
        <v>35210</v>
      </c>
      <c r="D711" s="763" t="str">
        <f t="shared" si="80"/>
        <v>May</v>
      </c>
      <c r="E711" s="486">
        <v>25</v>
      </c>
      <c r="F711" s="472">
        <v>1996</v>
      </c>
      <c r="G711" s="484" t="s">
        <v>99</v>
      </c>
      <c r="H711" s="472" t="s">
        <v>123</v>
      </c>
      <c r="I711" s="486">
        <v>100</v>
      </c>
      <c r="J711" s="486">
        <v>1</v>
      </c>
      <c r="K711" s="472">
        <f t="shared" ref="K711:K774" si="85">HOUR(M711)</f>
        <v>17</v>
      </c>
      <c r="L711" s="473">
        <v>0.72569444444444453</v>
      </c>
      <c r="M711" s="474">
        <f t="shared" si="79"/>
        <v>0.72569444444444453</v>
      </c>
      <c r="N711" s="519">
        <v>0.72916666666666663</v>
      </c>
      <c r="P711" s="29" t="str">
        <f t="shared" si="81"/>
        <v>1996F1</v>
      </c>
      <c r="Q711" s="29" t="str">
        <f t="shared" si="82"/>
        <v>F117</v>
      </c>
      <c r="R711" s="29" t="str">
        <f t="shared" si="83"/>
        <v>MayF1</v>
      </c>
    </row>
    <row r="712" spans="1:18">
      <c r="A712" s="483">
        <f t="shared" si="84"/>
        <v>708</v>
      </c>
      <c r="B712" s="484">
        <v>16</v>
      </c>
      <c r="C712" s="485">
        <v>35210</v>
      </c>
      <c r="D712" s="763" t="str">
        <f t="shared" si="80"/>
        <v>May</v>
      </c>
      <c r="E712" s="486">
        <v>25</v>
      </c>
      <c r="F712" s="472">
        <v>1996</v>
      </c>
      <c r="G712" s="484" t="s">
        <v>102</v>
      </c>
      <c r="H712" s="472" t="s">
        <v>123</v>
      </c>
      <c r="I712" s="486">
        <v>200</v>
      </c>
      <c r="J712" s="486">
        <v>4</v>
      </c>
      <c r="K712" s="472">
        <f t="shared" si="85"/>
        <v>17</v>
      </c>
      <c r="L712" s="473">
        <v>0.73541666666666661</v>
      </c>
      <c r="M712" s="474">
        <f t="shared" si="79"/>
        <v>0.73541666666666661</v>
      </c>
      <c r="N712" s="519">
        <v>0.74305555555555547</v>
      </c>
      <c r="P712" s="29" t="str">
        <f t="shared" si="81"/>
        <v>1996F1</v>
      </c>
      <c r="Q712" s="29" t="str">
        <f t="shared" si="82"/>
        <v>F117</v>
      </c>
      <c r="R712" s="29" t="str">
        <f t="shared" si="83"/>
        <v>MayF1</v>
      </c>
    </row>
    <row r="713" spans="1:18">
      <c r="A713" s="483">
        <f t="shared" si="84"/>
        <v>709</v>
      </c>
      <c r="B713" s="484">
        <v>17</v>
      </c>
      <c r="C713" s="485">
        <v>35211</v>
      </c>
      <c r="D713" s="763" t="str">
        <f t="shared" si="80"/>
        <v>May</v>
      </c>
      <c r="E713" s="486">
        <v>26</v>
      </c>
      <c r="F713" s="472">
        <v>1996</v>
      </c>
      <c r="G713" s="484" t="s">
        <v>100</v>
      </c>
      <c r="H713" s="472" t="s">
        <v>122</v>
      </c>
      <c r="I713" s="486">
        <v>50</v>
      </c>
      <c r="J713" s="486">
        <v>0.5</v>
      </c>
      <c r="K713" s="472">
        <f t="shared" si="85"/>
        <v>13</v>
      </c>
      <c r="L713" s="473">
        <v>0.57847222222222217</v>
      </c>
      <c r="M713" s="474">
        <f t="shared" si="79"/>
        <v>0.57847222222222217</v>
      </c>
      <c r="N713" s="519">
        <v>0.58194444444444449</v>
      </c>
      <c r="P713" s="29" t="str">
        <f t="shared" si="81"/>
        <v>1996F0</v>
      </c>
      <c r="Q713" s="29" t="str">
        <f t="shared" si="82"/>
        <v>F013</v>
      </c>
      <c r="R713" s="29" t="str">
        <f t="shared" si="83"/>
        <v>MayF0</v>
      </c>
    </row>
    <row r="714" spans="1:18">
      <c r="A714" s="483">
        <f t="shared" si="84"/>
        <v>710</v>
      </c>
      <c r="B714" s="484">
        <v>18</v>
      </c>
      <c r="C714" s="485">
        <v>35211</v>
      </c>
      <c r="D714" s="763" t="str">
        <f t="shared" si="80"/>
        <v>May</v>
      </c>
      <c r="E714" s="486">
        <v>26</v>
      </c>
      <c r="F714" s="472">
        <v>1996</v>
      </c>
      <c r="G714" s="484" t="s">
        <v>100</v>
      </c>
      <c r="H714" s="472" t="s">
        <v>122</v>
      </c>
      <c r="I714" s="486">
        <v>100</v>
      </c>
      <c r="J714" s="486">
        <v>1</v>
      </c>
      <c r="K714" s="472">
        <f t="shared" si="85"/>
        <v>14</v>
      </c>
      <c r="L714" s="473">
        <v>0.59444444444444444</v>
      </c>
      <c r="M714" s="474">
        <f t="shared" si="79"/>
        <v>0.59444444444444444</v>
      </c>
      <c r="N714" s="519">
        <v>0.59583333333333333</v>
      </c>
      <c r="P714" s="29" t="str">
        <f t="shared" si="81"/>
        <v>1996F0</v>
      </c>
      <c r="Q714" s="29" t="str">
        <f t="shared" si="82"/>
        <v>F014</v>
      </c>
      <c r="R714" s="29" t="str">
        <f t="shared" si="83"/>
        <v>MayF0</v>
      </c>
    </row>
    <row r="715" spans="1:18">
      <c r="A715" s="483">
        <f t="shared" si="84"/>
        <v>711</v>
      </c>
      <c r="B715" s="484">
        <v>19</v>
      </c>
      <c r="C715" s="485">
        <v>35211</v>
      </c>
      <c r="D715" s="763" t="str">
        <f t="shared" si="80"/>
        <v>May</v>
      </c>
      <c r="E715" s="486">
        <v>26</v>
      </c>
      <c r="F715" s="472">
        <v>1996</v>
      </c>
      <c r="G715" s="484" t="s">
        <v>100</v>
      </c>
      <c r="H715" s="472" t="s">
        <v>122</v>
      </c>
      <c r="I715" s="486">
        <v>75</v>
      </c>
      <c r="J715" s="486">
        <v>1</v>
      </c>
      <c r="K715" s="472">
        <f t="shared" si="85"/>
        <v>14</v>
      </c>
      <c r="L715" s="473">
        <v>0.59444444444444444</v>
      </c>
      <c r="M715" s="474">
        <f t="shared" si="79"/>
        <v>0.59444444444444444</v>
      </c>
      <c r="N715" s="519">
        <v>0.59722222222222221</v>
      </c>
      <c r="P715" s="29" t="str">
        <f t="shared" si="81"/>
        <v>1996F0</v>
      </c>
      <c r="Q715" s="29" t="str">
        <f t="shared" si="82"/>
        <v>F014</v>
      </c>
      <c r="R715" s="29" t="str">
        <f t="shared" si="83"/>
        <v>MayF0</v>
      </c>
    </row>
    <row r="716" spans="1:18">
      <c r="A716" s="483">
        <f t="shared" si="84"/>
        <v>712</v>
      </c>
      <c r="B716" s="484">
        <v>20</v>
      </c>
      <c r="C716" s="485">
        <v>35216</v>
      </c>
      <c r="D716" s="763" t="str">
        <f t="shared" si="80"/>
        <v>May</v>
      </c>
      <c r="E716" s="486">
        <v>31</v>
      </c>
      <c r="F716" s="472">
        <v>1996</v>
      </c>
      <c r="G716" s="484" t="s">
        <v>119</v>
      </c>
      <c r="H716" s="472" t="s">
        <v>122</v>
      </c>
      <c r="I716" s="486">
        <v>50</v>
      </c>
      <c r="J716" s="486">
        <v>0.5</v>
      </c>
      <c r="K716" s="472">
        <f t="shared" si="85"/>
        <v>18</v>
      </c>
      <c r="L716" s="473">
        <v>0.76180555555555562</v>
      </c>
      <c r="M716" s="474">
        <f t="shared" si="79"/>
        <v>0.76180555555555562</v>
      </c>
      <c r="N716" s="519">
        <v>0.76249999999999996</v>
      </c>
      <c r="P716" s="29" t="str">
        <f t="shared" si="81"/>
        <v>1996F0</v>
      </c>
      <c r="Q716" s="29" t="str">
        <f t="shared" si="82"/>
        <v>F018</v>
      </c>
      <c r="R716" s="29" t="str">
        <f t="shared" si="83"/>
        <v>MayF0</v>
      </c>
    </row>
    <row r="717" spans="1:18">
      <c r="A717" s="483">
        <f t="shared" si="84"/>
        <v>713</v>
      </c>
      <c r="B717" s="484">
        <v>21</v>
      </c>
      <c r="C717" s="485">
        <v>35216</v>
      </c>
      <c r="D717" s="763" t="str">
        <f t="shared" si="80"/>
        <v>May</v>
      </c>
      <c r="E717" s="486">
        <v>31</v>
      </c>
      <c r="F717" s="472">
        <v>1996</v>
      </c>
      <c r="G717" s="484" t="s">
        <v>120</v>
      </c>
      <c r="H717" s="472" t="s">
        <v>122</v>
      </c>
      <c r="I717" s="486">
        <v>50</v>
      </c>
      <c r="J717" s="486">
        <v>0.5</v>
      </c>
      <c r="K717" s="472">
        <f t="shared" si="85"/>
        <v>20</v>
      </c>
      <c r="L717" s="473">
        <v>0.84236111111111101</v>
      </c>
      <c r="M717" s="474">
        <f t="shared" si="79"/>
        <v>0.84236111111111101</v>
      </c>
      <c r="N717" s="519">
        <v>0.84305555555555556</v>
      </c>
      <c r="P717" s="29" t="str">
        <f t="shared" si="81"/>
        <v>1996F0</v>
      </c>
      <c r="Q717" s="29" t="str">
        <f t="shared" si="82"/>
        <v>F020</v>
      </c>
      <c r="R717" s="29" t="str">
        <f t="shared" si="83"/>
        <v>MayF0</v>
      </c>
    </row>
    <row r="718" spans="1:18">
      <c r="A718" s="483">
        <f t="shared" si="84"/>
        <v>714</v>
      </c>
      <c r="B718" s="484">
        <v>22</v>
      </c>
      <c r="C718" s="485">
        <v>35218</v>
      </c>
      <c r="D718" s="763" t="str">
        <f t="shared" si="80"/>
        <v>June</v>
      </c>
      <c r="E718" s="486">
        <v>2</v>
      </c>
      <c r="F718" s="472">
        <v>1996</v>
      </c>
      <c r="G718" s="484" t="s">
        <v>104</v>
      </c>
      <c r="H718" s="472" t="s">
        <v>122</v>
      </c>
      <c r="I718" s="486">
        <v>50</v>
      </c>
      <c r="J718" s="486">
        <v>3</v>
      </c>
      <c r="K718" s="472">
        <f t="shared" si="85"/>
        <v>14</v>
      </c>
      <c r="L718" s="473">
        <v>0.60277777777777775</v>
      </c>
      <c r="M718" s="474">
        <f t="shared" si="79"/>
        <v>0.60277777777777775</v>
      </c>
      <c r="N718" s="519">
        <v>0.61805555555555558</v>
      </c>
      <c r="P718" s="29" t="str">
        <f t="shared" si="81"/>
        <v>1996F0</v>
      </c>
      <c r="Q718" s="29" t="str">
        <f t="shared" si="82"/>
        <v>F014</v>
      </c>
      <c r="R718" s="29" t="str">
        <f t="shared" si="83"/>
        <v>JuneF0</v>
      </c>
    </row>
    <row r="719" spans="1:18">
      <c r="A719" s="483">
        <f t="shared" si="84"/>
        <v>715</v>
      </c>
      <c r="B719" s="484">
        <v>23</v>
      </c>
      <c r="C719" s="485">
        <v>35218</v>
      </c>
      <c r="D719" s="763" t="str">
        <f t="shared" si="80"/>
        <v>June</v>
      </c>
      <c r="E719" s="486">
        <v>2</v>
      </c>
      <c r="F719" s="472">
        <v>1996</v>
      </c>
      <c r="G719" s="484" t="s">
        <v>114</v>
      </c>
      <c r="H719" s="472" t="s">
        <v>122</v>
      </c>
      <c r="I719" s="486">
        <v>50</v>
      </c>
      <c r="J719" s="486">
        <v>0.5</v>
      </c>
      <c r="K719" s="472">
        <f t="shared" si="85"/>
        <v>16</v>
      </c>
      <c r="L719" s="473">
        <v>0.67152777777777783</v>
      </c>
      <c r="M719" s="474">
        <f t="shared" si="79"/>
        <v>0.67152777777777783</v>
      </c>
      <c r="N719" s="519">
        <v>0.6743055555555556</v>
      </c>
      <c r="P719" s="29" t="str">
        <f t="shared" si="81"/>
        <v>1996F0</v>
      </c>
      <c r="Q719" s="29" t="str">
        <f t="shared" si="82"/>
        <v>F016</v>
      </c>
      <c r="R719" s="29" t="str">
        <f t="shared" si="83"/>
        <v>JuneF0</v>
      </c>
    </row>
    <row r="720" spans="1:18">
      <c r="A720" s="483">
        <f t="shared" si="84"/>
        <v>716</v>
      </c>
      <c r="B720" s="484">
        <v>24</v>
      </c>
      <c r="C720" s="485">
        <v>35218</v>
      </c>
      <c r="D720" s="763" t="str">
        <f t="shared" si="80"/>
        <v>June</v>
      </c>
      <c r="E720" s="486">
        <v>2</v>
      </c>
      <c r="F720" s="472">
        <v>1996</v>
      </c>
      <c r="G720" s="484" t="s">
        <v>114</v>
      </c>
      <c r="H720" s="472" t="s">
        <v>122</v>
      </c>
      <c r="I720" s="486">
        <v>50</v>
      </c>
      <c r="J720" s="486">
        <v>0.5</v>
      </c>
      <c r="K720" s="472">
        <f t="shared" si="85"/>
        <v>16</v>
      </c>
      <c r="L720" s="473">
        <v>0.68888888888888899</v>
      </c>
      <c r="M720" s="474">
        <f t="shared" si="79"/>
        <v>0.68888888888888899</v>
      </c>
      <c r="N720" s="519">
        <v>0.69097222222222221</v>
      </c>
      <c r="P720" s="29" t="str">
        <f t="shared" si="81"/>
        <v>1996F0</v>
      </c>
      <c r="Q720" s="29" t="str">
        <f t="shared" si="82"/>
        <v>F016</v>
      </c>
      <c r="R720" s="29" t="str">
        <f t="shared" si="83"/>
        <v>JuneF0</v>
      </c>
    </row>
    <row r="721" spans="1:18">
      <c r="A721" s="483">
        <f t="shared" si="84"/>
        <v>717</v>
      </c>
      <c r="B721" s="484">
        <v>25</v>
      </c>
      <c r="C721" s="485">
        <v>35219</v>
      </c>
      <c r="D721" s="763" t="str">
        <f t="shared" si="80"/>
        <v>June</v>
      </c>
      <c r="E721" s="486">
        <v>3</v>
      </c>
      <c r="F721" s="472">
        <v>1996</v>
      </c>
      <c r="G721" s="484" t="s">
        <v>99</v>
      </c>
      <c r="H721" s="472" t="s">
        <v>122</v>
      </c>
      <c r="I721" s="486">
        <v>50</v>
      </c>
      <c r="J721" s="486">
        <v>0.5</v>
      </c>
      <c r="K721" s="472">
        <f t="shared" si="85"/>
        <v>14</v>
      </c>
      <c r="L721" s="473">
        <v>0.59722222222222221</v>
      </c>
      <c r="M721" s="474">
        <f t="shared" si="79"/>
        <v>0.59722222222222221</v>
      </c>
      <c r="N721" s="519">
        <v>0.6</v>
      </c>
      <c r="P721" s="29" t="str">
        <f t="shared" si="81"/>
        <v>1996F0</v>
      </c>
      <c r="Q721" s="29" t="str">
        <f t="shared" si="82"/>
        <v>F014</v>
      </c>
      <c r="R721" s="29" t="str">
        <f t="shared" si="83"/>
        <v>JuneF0</v>
      </c>
    </row>
    <row r="722" spans="1:18">
      <c r="A722" s="483">
        <f t="shared" si="84"/>
        <v>718</v>
      </c>
      <c r="B722" s="484">
        <v>26</v>
      </c>
      <c r="C722" s="485">
        <v>35221</v>
      </c>
      <c r="D722" s="763" t="str">
        <f t="shared" si="80"/>
        <v>June</v>
      </c>
      <c r="E722" s="486">
        <v>5</v>
      </c>
      <c r="F722" s="472">
        <v>1996</v>
      </c>
      <c r="G722" s="484" t="s">
        <v>100</v>
      </c>
      <c r="H722" s="472" t="s">
        <v>122</v>
      </c>
      <c r="I722" s="486">
        <v>25</v>
      </c>
      <c r="J722" s="486">
        <v>2</v>
      </c>
      <c r="K722" s="472">
        <f t="shared" si="85"/>
        <v>16</v>
      </c>
      <c r="L722" s="473">
        <v>0.69930555555555562</v>
      </c>
      <c r="M722" s="474">
        <f t="shared" si="79"/>
        <v>0.69930555555555562</v>
      </c>
      <c r="N722" s="519">
        <v>0.7055555555555556</v>
      </c>
      <c r="P722" s="29" t="str">
        <f t="shared" si="81"/>
        <v>1996F0</v>
      </c>
      <c r="Q722" s="29" t="str">
        <f t="shared" si="82"/>
        <v>F016</v>
      </c>
      <c r="R722" s="29" t="str">
        <f t="shared" si="83"/>
        <v>JuneF0</v>
      </c>
    </row>
    <row r="723" spans="1:18">
      <c r="A723" s="483">
        <f t="shared" si="84"/>
        <v>719</v>
      </c>
      <c r="B723" s="484">
        <v>27</v>
      </c>
      <c r="C723" s="485">
        <v>35234</v>
      </c>
      <c r="D723" s="763" t="str">
        <f t="shared" si="80"/>
        <v>June</v>
      </c>
      <c r="E723" s="486">
        <v>18</v>
      </c>
      <c r="F723" s="472">
        <v>1996</v>
      </c>
      <c r="G723" s="484" t="s">
        <v>119</v>
      </c>
      <c r="H723" s="472" t="s">
        <v>122</v>
      </c>
      <c r="I723" s="486">
        <v>50</v>
      </c>
      <c r="J723" s="486">
        <v>0.5</v>
      </c>
      <c r="K723" s="472">
        <f t="shared" si="85"/>
        <v>16</v>
      </c>
      <c r="L723" s="473">
        <v>0.69027777777777777</v>
      </c>
      <c r="M723" s="474">
        <f t="shared" si="79"/>
        <v>0.69027777777777777</v>
      </c>
      <c r="N723" s="519">
        <v>0.69305555555555554</v>
      </c>
      <c r="P723" s="29" t="str">
        <f t="shared" si="81"/>
        <v>1996F0</v>
      </c>
      <c r="Q723" s="29" t="str">
        <f t="shared" si="82"/>
        <v>F016</v>
      </c>
      <c r="R723" s="29" t="str">
        <f t="shared" si="83"/>
        <v>JuneF0</v>
      </c>
    </row>
    <row r="724" spans="1:18">
      <c r="A724" s="483">
        <f t="shared" si="84"/>
        <v>720</v>
      </c>
      <c r="B724" s="484">
        <v>28</v>
      </c>
      <c r="C724" s="485">
        <v>35287</v>
      </c>
      <c r="D724" s="763" t="str">
        <f t="shared" si="80"/>
        <v>August</v>
      </c>
      <c r="E724" s="486">
        <v>10</v>
      </c>
      <c r="F724" s="472">
        <v>1996</v>
      </c>
      <c r="G724" s="484" t="s">
        <v>116</v>
      </c>
      <c r="H724" s="472" t="s">
        <v>122</v>
      </c>
      <c r="I724" s="486">
        <v>50</v>
      </c>
      <c r="J724" s="486">
        <v>0.5</v>
      </c>
      <c r="K724" s="472">
        <f t="shared" si="85"/>
        <v>17</v>
      </c>
      <c r="L724" s="473">
        <v>0.72430555555555554</v>
      </c>
      <c r="M724" s="474">
        <f t="shared" si="79"/>
        <v>0.72430555555555554</v>
      </c>
      <c r="N724" s="519">
        <v>0.72569444444444453</v>
      </c>
      <c r="P724" s="29" t="str">
        <f t="shared" si="81"/>
        <v>1996F0</v>
      </c>
      <c r="Q724" s="29" t="str">
        <f t="shared" si="82"/>
        <v>F017</v>
      </c>
      <c r="R724" s="29" t="str">
        <f t="shared" si="83"/>
        <v>AugustF0</v>
      </c>
    </row>
    <row r="725" spans="1:18">
      <c r="A725" s="483">
        <f t="shared" si="84"/>
        <v>721</v>
      </c>
      <c r="B725" s="484">
        <v>29</v>
      </c>
      <c r="C725" s="485">
        <v>35305</v>
      </c>
      <c r="D725" s="763" t="str">
        <f t="shared" si="80"/>
        <v>August</v>
      </c>
      <c r="E725" s="486">
        <v>28</v>
      </c>
      <c r="F725" s="472">
        <v>1996</v>
      </c>
      <c r="G725" s="484" t="s">
        <v>118</v>
      </c>
      <c r="H725" s="472" t="s">
        <v>122</v>
      </c>
      <c r="I725" s="486">
        <v>10</v>
      </c>
      <c r="J725" s="486">
        <v>0.2</v>
      </c>
      <c r="K725" s="472">
        <f t="shared" si="85"/>
        <v>12</v>
      </c>
      <c r="L725" s="473">
        <v>0.50347222222222221</v>
      </c>
      <c r="M725" s="474">
        <f t="shared" si="79"/>
        <v>0.50347222222222221</v>
      </c>
      <c r="N725" s="519">
        <v>0.50486111111111109</v>
      </c>
      <c r="P725" s="29" t="str">
        <f t="shared" si="81"/>
        <v>1996F0</v>
      </c>
      <c r="Q725" s="29" t="str">
        <f t="shared" si="82"/>
        <v>F012</v>
      </c>
      <c r="R725" s="29" t="str">
        <f t="shared" si="83"/>
        <v>AugustF0</v>
      </c>
    </row>
    <row r="726" spans="1:18">
      <c r="A726" s="483">
        <f t="shared" si="84"/>
        <v>722</v>
      </c>
      <c r="B726" s="484">
        <v>30</v>
      </c>
      <c r="C726" s="485">
        <v>35305</v>
      </c>
      <c r="D726" s="763" t="str">
        <f t="shared" si="80"/>
        <v>August</v>
      </c>
      <c r="E726" s="486">
        <v>28</v>
      </c>
      <c r="F726" s="472">
        <v>1996</v>
      </c>
      <c r="G726" s="484" t="s">
        <v>118</v>
      </c>
      <c r="H726" s="472" t="s">
        <v>122</v>
      </c>
      <c r="I726" s="486">
        <v>10</v>
      </c>
      <c r="J726" s="486">
        <v>0.2</v>
      </c>
      <c r="K726" s="472">
        <f t="shared" si="85"/>
        <v>12</v>
      </c>
      <c r="L726" s="473">
        <v>0.52083333333333337</v>
      </c>
      <c r="M726" s="474">
        <f t="shared" si="79"/>
        <v>0.52083333333333337</v>
      </c>
      <c r="N726" s="519">
        <v>0.52222222222222225</v>
      </c>
      <c r="P726" s="29" t="str">
        <f t="shared" si="81"/>
        <v>1996F0</v>
      </c>
      <c r="Q726" s="29" t="str">
        <f t="shared" si="82"/>
        <v>F012</v>
      </c>
      <c r="R726" s="29" t="str">
        <f t="shared" si="83"/>
        <v>AugustF0</v>
      </c>
    </row>
    <row r="727" spans="1:18" ht="15" customHeight="1">
      <c r="A727" s="483">
        <f t="shared" si="84"/>
        <v>723</v>
      </c>
      <c r="B727" s="484">
        <v>31</v>
      </c>
      <c r="C727" s="485">
        <v>35325</v>
      </c>
      <c r="D727" s="763" t="str">
        <f t="shared" si="80"/>
        <v>September</v>
      </c>
      <c r="E727" s="486">
        <v>17</v>
      </c>
      <c r="F727" s="472">
        <v>1996</v>
      </c>
      <c r="G727" s="484" t="s">
        <v>108</v>
      </c>
      <c r="H727" s="472" t="s">
        <v>122</v>
      </c>
      <c r="I727" s="486">
        <v>100</v>
      </c>
      <c r="J727" s="486">
        <v>0.5</v>
      </c>
      <c r="K727" s="472">
        <f t="shared" si="85"/>
        <v>21</v>
      </c>
      <c r="L727" s="473">
        <v>0.88194444444444453</v>
      </c>
      <c r="M727" s="474">
        <f t="shared" si="79"/>
        <v>0.88194444444444453</v>
      </c>
      <c r="N727" s="519">
        <v>0.8833333333333333</v>
      </c>
      <c r="P727" s="29" t="str">
        <f t="shared" si="81"/>
        <v>1996F0</v>
      </c>
      <c r="Q727" s="29" t="str">
        <f t="shared" si="82"/>
        <v>F021</v>
      </c>
      <c r="R727" s="29" t="str">
        <f t="shared" si="83"/>
        <v>SeptemberF0</v>
      </c>
    </row>
    <row r="728" spans="1:18">
      <c r="A728" s="483">
        <f t="shared" si="84"/>
        <v>724</v>
      </c>
      <c r="B728" s="484">
        <v>32</v>
      </c>
      <c r="C728" s="485">
        <v>35325</v>
      </c>
      <c r="D728" s="763" t="str">
        <f t="shared" si="80"/>
        <v>September</v>
      </c>
      <c r="E728" s="486">
        <v>17</v>
      </c>
      <c r="F728" s="472">
        <v>1996</v>
      </c>
      <c r="G728" s="484" t="s">
        <v>109</v>
      </c>
      <c r="H728" s="472" t="s">
        <v>122</v>
      </c>
      <c r="I728" s="486">
        <v>50</v>
      </c>
      <c r="J728" s="486">
        <v>0.5</v>
      </c>
      <c r="K728" s="472">
        <f t="shared" si="85"/>
        <v>22</v>
      </c>
      <c r="L728" s="473">
        <v>0.9458333333333333</v>
      </c>
      <c r="M728" s="474">
        <f t="shared" si="79"/>
        <v>0.9458333333333333</v>
      </c>
      <c r="N728" s="519">
        <v>0.9472222222222223</v>
      </c>
      <c r="P728" s="29" t="str">
        <f t="shared" si="81"/>
        <v>1996F0</v>
      </c>
      <c r="Q728" s="29" t="str">
        <f t="shared" si="82"/>
        <v>F022</v>
      </c>
      <c r="R728" s="29" t="str">
        <f t="shared" si="83"/>
        <v>SeptemberF0</v>
      </c>
    </row>
    <row r="729" spans="1:18">
      <c r="A729" s="483">
        <f t="shared" si="84"/>
        <v>725</v>
      </c>
      <c r="B729" s="484">
        <v>33</v>
      </c>
      <c r="C729" s="485">
        <v>35325</v>
      </c>
      <c r="D729" s="763" t="str">
        <f t="shared" si="80"/>
        <v>September</v>
      </c>
      <c r="E729" s="486">
        <v>17</v>
      </c>
      <c r="F729" s="472">
        <v>1996</v>
      </c>
      <c r="G729" s="484" t="s">
        <v>104</v>
      </c>
      <c r="H729" s="472" t="s">
        <v>122</v>
      </c>
      <c r="I729" s="486">
        <v>50</v>
      </c>
      <c r="J729" s="486">
        <v>0.5</v>
      </c>
      <c r="K729" s="472">
        <f t="shared" si="85"/>
        <v>23</v>
      </c>
      <c r="L729" s="473">
        <v>0.99236111111111114</v>
      </c>
      <c r="M729" s="474">
        <f t="shared" si="79"/>
        <v>0.99236111111111114</v>
      </c>
      <c r="N729" s="519">
        <v>0.99375000000000002</v>
      </c>
      <c r="P729" s="29" t="str">
        <f t="shared" si="81"/>
        <v>1996F0</v>
      </c>
      <c r="Q729" s="29" t="str">
        <f t="shared" si="82"/>
        <v>F023</v>
      </c>
      <c r="R729" s="29" t="str">
        <f t="shared" si="83"/>
        <v>SeptemberF0</v>
      </c>
    </row>
    <row r="730" spans="1:18">
      <c r="A730" s="483">
        <f t="shared" si="84"/>
        <v>726</v>
      </c>
      <c r="B730" s="484">
        <v>34</v>
      </c>
      <c r="C730" s="485">
        <v>35326</v>
      </c>
      <c r="D730" s="763" t="str">
        <f t="shared" si="80"/>
        <v>September</v>
      </c>
      <c r="E730" s="486">
        <v>18</v>
      </c>
      <c r="F730" s="472">
        <v>1996</v>
      </c>
      <c r="G730" s="484" t="s">
        <v>100</v>
      </c>
      <c r="H730" s="472" t="s">
        <v>122</v>
      </c>
      <c r="I730" s="486">
        <v>50</v>
      </c>
      <c r="J730" s="486">
        <v>0.5</v>
      </c>
      <c r="K730" s="472">
        <f t="shared" si="85"/>
        <v>19</v>
      </c>
      <c r="L730" s="473">
        <v>0.79236111111111107</v>
      </c>
      <c r="M730" s="474">
        <f t="shared" si="79"/>
        <v>0.79236111111111107</v>
      </c>
      <c r="N730" s="519">
        <v>0.79374999999999996</v>
      </c>
      <c r="P730" s="29" t="str">
        <f t="shared" si="81"/>
        <v>1996F0</v>
      </c>
      <c r="Q730" s="29" t="str">
        <f t="shared" si="82"/>
        <v>F019</v>
      </c>
      <c r="R730" s="29" t="str">
        <f t="shared" si="83"/>
        <v>SeptemberF0</v>
      </c>
    </row>
    <row r="731" spans="1:18">
      <c r="A731" s="483">
        <f t="shared" si="84"/>
        <v>727</v>
      </c>
      <c r="B731" s="484">
        <v>35</v>
      </c>
      <c r="C731" s="485">
        <v>35326</v>
      </c>
      <c r="D731" s="763" t="str">
        <f t="shared" si="80"/>
        <v>September</v>
      </c>
      <c r="E731" s="486">
        <v>18</v>
      </c>
      <c r="F731" s="472">
        <v>1996</v>
      </c>
      <c r="G731" s="484" t="s">
        <v>100</v>
      </c>
      <c r="H731" s="472" t="s">
        <v>122</v>
      </c>
      <c r="I731" s="486">
        <v>50</v>
      </c>
      <c r="J731" s="486">
        <v>0.5</v>
      </c>
      <c r="K731" s="472">
        <f t="shared" si="85"/>
        <v>19</v>
      </c>
      <c r="L731" s="473">
        <v>0.79652777777777783</v>
      </c>
      <c r="M731" s="474">
        <f t="shared" si="79"/>
        <v>0.79652777777777783</v>
      </c>
      <c r="N731" s="519">
        <v>0.79861111111111116</v>
      </c>
      <c r="P731" s="29" t="str">
        <f t="shared" si="81"/>
        <v>1996F0</v>
      </c>
      <c r="Q731" s="29" t="str">
        <f t="shared" si="82"/>
        <v>F019</v>
      </c>
      <c r="R731" s="29" t="str">
        <f t="shared" si="83"/>
        <v>SeptemberF0</v>
      </c>
    </row>
    <row r="732" spans="1:18">
      <c r="A732" s="483">
        <f t="shared" si="84"/>
        <v>728</v>
      </c>
      <c r="B732" s="484">
        <v>1</v>
      </c>
      <c r="C732" s="485">
        <v>35556</v>
      </c>
      <c r="D732" s="763" t="str">
        <f t="shared" si="80"/>
        <v>May</v>
      </c>
      <c r="E732" s="486">
        <v>6</v>
      </c>
      <c r="F732" s="472">
        <v>1997</v>
      </c>
      <c r="G732" s="484" t="s">
        <v>103</v>
      </c>
      <c r="H732" s="472" t="s">
        <v>122</v>
      </c>
      <c r="I732" s="486">
        <v>25</v>
      </c>
      <c r="J732" s="486">
        <v>0.7</v>
      </c>
      <c r="K732" s="472">
        <f t="shared" si="85"/>
        <v>19</v>
      </c>
      <c r="L732" s="473">
        <v>0.81597222222222221</v>
      </c>
      <c r="M732" s="474">
        <f t="shared" si="79"/>
        <v>0.81597222222222221</v>
      </c>
      <c r="N732" s="519">
        <v>0.81597222222222221</v>
      </c>
      <c r="P732" s="29" t="str">
        <f t="shared" si="81"/>
        <v>1997F0</v>
      </c>
      <c r="Q732" s="29" t="str">
        <f t="shared" si="82"/>
        <v>F019</v>
      </c>
      <c r="R732" s="29" t="str">
        <f t="shared" si="83"/>
        <v>MayF0</v>
      </c>
    </row>
    <row r="733" spans="1:18">
      <c r="A733" s="483">
        <f t="shared" si="84"/>
        <v>729</v>
      </c>
      <c r="B733" s="484">
        <v>2</v>
      </c>
      <c r="C733" s="485">
        <v>35557</v>
      </c>
      <c r="D733" s="763" t="str">
        <f t="shared" si="80"/>
        <v>May</v>
      </c>
      <c r="E733" s="486">
        <v>7</v>
      </c>
      <c r="F733" s="472">
        <v>1997</v>
      </c>
      <c r="G733" s="484" t="s">
        <v>115</v>
      </c>
      <c r="H733" s="472" t="s">
        <v>122</v>
      </c>
      <c r="I733" s="486">
        <v>25</v>
      </c>
      <c r="J733" s="486">
        <v>0.2</v>
      </c>
      <c r="K733" s="472">
        <f t="shared" si="85"/>
        <v>18</v>
      </c>
      <c r="L733" s="473">
        <v>0.77708333333333324</v>
      </c>
      <c r="M733" s="474">
        <f t="shared" si="79"/>
        <v>0.77708333333333324</v>
      </c>
      <c r="N733" s="519">
        <v>0.77847222222222223</v>
      </c>
      <c r="P733" s="29" t="str">
        <f t="shared" si="81"/>
        <v>1997F0</v>
      </c>
      <c r="Q733" s="29" t="str">
        <f t="shared" si="82"/>
        <v>F018</v>
      </c>
      <c r="R733" s="29" t="str">
        <f t="shared" si="83"/>
        <v>MayF0</v>
      </c>
    </row>
    <row r="734" spans="1:18">
      <c r="A734" s="483">
        <f t="shared" si="84"/>
        <v>730</v>
      </c>
      <c r="B734" s="484">
        <v>3</v>
      </c>
      <c r="C734" s="485">
        <v>35557</v>
      </c>
      <c r="D734" s="763" t="str">
        <f t="shared" si="80"/>
        <v>May</v>
      </c>
      <c r="E734" s="486">
        <v>7</v>
      </c>
      <c r="F734" s="472">
        <v>1997</v>
      </c>
      <c r="G734" s="484" t="s">
        <v>114</v>
      </c>
      <c r="H734" s="472" t="s">
        <v>122</v>
      </c>
      <c r="I734" s="486">
        <v>25</v>
      </c>
      <c r="J734" s="486">
        <v>0.5</v>
      </c>
      <c r="K734" s="472">
        <f t="shared" si="85"/>
        <v>18</v>
      </c>
      <c r="L734" s="473">
        <v>0.78611111111111109</v>
      </c>
      <c r="M734" s="474">
        <f t="shared" si="79"/>
        <v>0.78611111111111109</v>
      </c>
      <c r="N734" s="519">
        <v>0.78611111111111109</v>
      </c>
      <c r="P734" s="29" t="str">
        <f t="shared" si="81"/>
        <v>1997F0</v>
      </c>
      <c r="Q734" s="29" t="str">
        <f t="shared" si="82"/>
        <v>F018</v>
      </c>
      <c r="R734" s="29" t="str">
        <f t="shared" si="83"/>
        <v>MayF0</v>
      </c>
    </row>
    <row r="735" spans="1:18">
      <c r="A735" s="483">
        <f t="shared" si="84"/>
        <v>731</v>
      </c>
      <c r="B735" s="484">
        <v>4</v>
      </c>
      <c r="C735" s="485">
        <v>35557</v>
      </c>
      <c r="D735" s="763" t="str">
        <f t="shared" si="80"/>
        <v>May</v>
      </c>
      <c r="E735" s="486">
        <v>7</v>
      </c>
      <c r="F735" s="472">
        <v>1997</v>
      </c>
      <c r="G735" s="484" t="s">
        <v>115</v>
      </c>
      <c r="H735" s="472" t="s">
        <v>122</v>
      </c>
      <c r="I735" s="486">
        <v>50</v>
      </c>
      <c r="J735" s="486">
        <v>1</v>
      </c>
      <c r="K735" s="472">
        <f t="shared" si="85"/>
        <v>19</v>
      </c>
      <c r="L735" s="473">
        <v>0.79861111111111116</v>
      </c>
      <c r="M735" s="474">
        <f t="shared" si="79"/>
        <v>0.79861111111111116</v>
      </c>
      <c r="N735" s="519">
        <v>0.79861111111111116</v>
      </c>
      <c r="P735" s="29" t="str">
        <f t="shared" si="81"/>
        <v>1997F0</v>
      </c>
      <c r="Q735" s="29" t="str">
        <f t="shared" si="82"/>
        <v>F019</v>
      </c>
      <c r="R735" s="29" t="str">
        <f t="shared" si="83"/>
        <v>MayF0</v>
      </c>
    </row>
    <row r="736" spans="1:18">
      <c r="A736" s="483">
        <f t="shared" si="84"/>
        <v>732</v>
      </c>
      <c r="B736" s="484">
        <v>5</v>
      </c>
      <c r="C736" s="485">
        <v>35557</v>
      </c>
      <c r="D736" s="763" t="str">
        <f t="shared" si="80"/>
        <v>May</v>
      </c>
      <c r="E736" s="486">
        <v>7</v>
      </c>
      <c r="F736" s="472">
        <v>1997</v>
      </c>
      <c r="G736" s="484" t="s">
        <v>116</v>
      </c>
      <c r="H736" s="472" t="s">
        <v>122</v>
      </c>
      <c r="I736" s="486">
        <v>25</v>
      </c>
      <c r="J736" s="486">
        <v>0.1</v>
      </c>
      <c r="K736" s="472">
        <f t="shared" si="85"/>
        <v>20</v>
      </c>
      <c r="L736" s="473">
        <v>0.83680555555555547</v>
      </c>
      <c r="M736" s="474">
        <f t="shared" si="79"/>
        <v>0.83680555555555547</v>
      </c>
      <c r="N736" s="519">
        <v>0.83819444444444446</v>
      </c>
      <c r="P736" s="29" t="str">
        <f t="shared" si="81"/>
        <v>1997F0</v>
      </c>
      <c r="Q736" s="29" t="str">
        <f t="shared" si="82"/>
        <v>F020</v>
      </c>
      <c r="R736" s="29" t="str">
        <f t="shared" si="83"/>
        <v>MayF0</v>
      </c>
    </row>
    <row r="737" spans="1:18">
      <c r="A737" s="483">
        <f t="shared" si="84"/>
        <v>733</v>
      </c>
      <c r="B737" s="484">
        <v>6</v>
      </c>
      <c r="C737" s="485">
        <v>35578</v>
      </c>
      <c r="D737" s="763" t="str">
        <f t="shared" si="80"/>
        <v>May</v>
      </c>
      <c r="E737" s="486">
        <v>28</v>
      </c>
      <c r="F737" s="472">
        <v>1997</v>
      </c>
      <c r="G737" s="484" t="s">
        <v>117</v>
      </c>
      <c r="H737" s="472" t="s">
        <v>122</v>
      </c>
      <c r="I737" s="486">
        <v>25</v>
      </c>
      <c r="J737" s="486">
        <v>0.1</v>
      </c>
      <c r="K737" s="472">
        <f t="shared" si="85"/>
        <v>16</v>
      </c>
      <c r="L737" s="473">
        <v>0.67152777777777783</v>
      </c>
      <c r="M737" s="474">
        <f t="shared" si="79"/>
        <v>0.67152777777777783</v>
      </c>
      <c r="N737" s="519">
        <v>0.67222222222222217</v>
      </c>
      <c r="P737" s="29" t="str">
        <f t="shared" si="81"/>
        <v>1997F0</v>
      </c>
      <c r="Q737" s="29" t="str">
        <f t="shared" si="82"/>
        <v>F016</v>
      </c>
      <c r="R737" s="29" t="str">
        <f t="shared" si="83"/>
        <v>MayF0</v>
      </c>
    </row>
    <row r="738" spans="1:18">
      <c r="A738" s="483">
        <f t="shared" si="84"/>
        <v>734</v>
      </c>
      <c r="B738" s="484">
        <v>7</v>
      </c>
      <c r="C738" s="485">
        <v>35579</v>
      </c>
      <c r="D738" s="763" t="str">
        <f t="shared" si="80"/>
        <v>May</v>
      </c>
      <c r="E738" s="486">
        <v>29</v>
      </c>
      <c r="F738" s="472">
        <v>1997</v>
      </c>
      <c r="G738" s="484" t="s">
        <v>118</v>
      </c>
      <c r="H738" s="472" t="s">
        <v>122</v>
      </c>
      <c r="I738" s="486">
        <v>25</v>
      </c>
      <c r="J738" s="486">
        <v>0.1</v>
      </c>
      <c r="K738" s="472">
        <f t="shared" si="85"/>
        <v>20</v>
      </c>
      <c r="L738" s="473">
        <v>0.87152777777777779</v>
      </c>
      <c r="M738" s="474">
        <f t="shared" si="79"/>
        <v>0.87152777777777779</v>
      </c>
      <c r="N738" s="519">
        <v>0.87291666666666667</v>
      </c>
      <c r="P738" s="29" t="str">
        <f t="shared" si="81"/>
        <v>1997F0</v>
      </c>
      <c r="Q738" s="29" t="str">
        <f t="shared" si="82"/>
        <v>F020</v>
      </c>
      <c r="R738" s="29" t="str">
        <f t="shared" si="83"/>
        <v>MayF0</v>
      </c>
    </row>
    <row r="739" spans="1:18">
      <c r="A739" s="483">
        <f t="shared" si="84"/>
        <v>735</v>
      </c>
      <c r="B739" s="484">
        <v>8</v>
      </c>
      <c r="C739" s="485">
        <v>35579</v>
      </c>
      <c r="D739" s="763" t="str">
        <f t="shared" si="80"/>
        <v>May</v>
      </c>
      <c r="E739" s="486">
        <v>29</v>
      </c>
      <c r="F739" s="472">
        <v>1997</v>
      </c>
      <c r="G739" s="484" t="s">
        <v>114</v>
      </c>
      <c r="H739" s="472" t="s">
        <v>122</v>
      </c>
      <c r="I739" s="486">
        <v>50</v>
      </c>
      <c r="J739" s="486">
        <v>0.3</v>
      </c>
      <c r="K739" s="472">
        <f t="shared" si="85"/>
        <v>21</v>
      </c>
      <c r="L739" s="473">
        <v>0.87777777777777777</v>
      </c>
      <c r="M739" s="474">
        <f t="shared" si="79"/>
        <v>0.87777777777777777</v>
      </c>
      <c r="N739" s="519">
        <v>0.87916666666666676</v>
      </c>
      <c r="P739" s="29" t="str">
        <f t="shared" si="81"/>
        <v>1997F0</v>
      </c>
      <c r="Q739" s="29" t="str">
        <f t="shared" si="82"/>
        <v>F021</v>
      </c>
      <c r="R739" s="29" t="str">
        <f t="shared" si="83"/>
        <v>MayF0</v>
      </c>
    </row>
    <row r="740" spans="1:18">
      <c r="A740" s="483">
        <f t="shared" si="84"/>
        <v>736</v>
      </c>
      <c r="B740" s="484">
        <v>9</v>
      </c>
      <c r="C740" s="485">
        <v>35579</v>
      </c>
      <c r="D740" s="763" t="str">
        <f t="shared" si="80"/>
        <v>May</v>
      </c>
      <c r="E740" s="486">
        <v>29</v>
      </c>
      <c r="F740" s="472">
        <v>1997</v>
      </c>
      <c r="G740" s="484" t="s">
        <v>118</v>
      </c>
      <c r="H740" s="472" t="s">
        <v>122</v>
      </c>
      <c r="I740" s="486">
        <v>25</v>
      </c>
      <c r="J740" s="486">
        <v>0.1</v>
      </c>
      <c r="K740" s="472">
        <f t="shared" si="85"/>
        <v>21</v>
      </c>
      <c r="L740" s="473">
        <v>0.8833333333333333</v>
      </c>
      <c r="M740" s="474">
        <f t="shared" si="79"/>
        <v>0.8833333333333333</v>
      </c>
      <c r="N740" s="519">
        <v>0.8847222222222223</v>
      </c>
      <c r="P740" s="29" t="str">
        <f t="shared" si="81"/>
        <v>1997F0</v>
      </c>
      <c r="Q740" s="29" t="str">
        <f t="shared" si="82"/>
        <v>F021</v>
      </c>
      <c r="R740" s="29" t="str">
        <f t="shared" si="83"/>
        <v>MayF0</v>
      </c>
    </row>
    <row r="741" spans="1:18">
      <c r="A741" s="483">
        <f t="shared" si="84"/>
        <v>737</v>
      </c>
      <c r="B741" s="484">
        <v>10</v>
      </c>
      <c r="C741" s="485">
        <v>35590</v>
      </c>
      <c r="D741" s="763" t="str">
        <f t="shared" si="80"/>
        <v>June</v>
      </c>
      <c r="E741" s="486">
        <v>9</v>
      </c>
      <c r="F741" s="472">
        <v>1997</v>
      </c>
      <c r="G741" s="484" t="s">
        <v>114</v>
      </c>
      <c r="H741" s="472" t="s">
        <v>122</v>
      </c>
      <c r="I741" s="486">
        <v>25</v>
      </c>
      <c r="J741" s="486">
        <v>0.1</v>
      </c>
      <c r="K741" s="472">
        <f t="shared" si="85"/>
        <v>14</v>
      </c>
      <c r="L741" s="473">
        <v>0.60069444444444442</v>
      </c>
      <c r="M741" s="474">
        <f t="shared" si="79"/>
        <v>0.60069444444444442</v>
      </c>
      <c r="N741" s="519">
        <v>0.6020833333333333</v>
      </c>
      <c r="P741" s="29" t="str">
        <f t="shared" si="81"/>
        <v>1997F0</v>
      </c>
      <c r="Q741" s="29" t="str">
        <f t="shared" si="82"/>
        <v>F014</v>
      </c>
      <c r="R741" s="29" t="str">
        <f t="shared" si="83"/>
        <v>JuneF0</v>
      </c>
    </row>
    <row r="742" spans="1:18">
      <c r="A742" s="483">
        <f t="shared" si="84"/>
        <v>738</v>
      </c>
      <c r="B742" s="484">
        <v>11</v>
      </c>
      <c r="C742" s="485">
        <v>35592</v>
      </c>
      <c r="D742" s="763" t="str">
        <f t="shared" si="80"/>
        <v>June</v>
      </c>
      <c r="E742" s="486">
        <v>11</v>
      </c>
      <c r="F742" s="472">
        <v>1997</v>
      </c>
      <c r="G742" s="484" t="s">
        <v>116</v>
      </c>
      <c r="H742" s="472" t="s">
        <v>123</v>
      </c>
      <c r="I742" s="486">
        <v>100</v>
      </c>
      <c r="J742" s="486">
        <v>2</v>
      </c>
      <c r="K742" s="472">
        <f t="shared" si="85"/>
        <v>17</v>
      </c>
      <c r="L742" s="473">
        <v>0.72222222222222221</v>
      </c>
      <c r="M742" s="474">
        <f t="shared" si="79"/>
        <v>0.72222222222222221</v>
      </c>
      <c r="N742" s="519">
        <v>0.72569444444444453</v>
      </c>
      <c r="P742" s="29" t="str">
        <f t="shared" si="81"/>
        <v>1997F1</v>
      </c>
      <c r="Q742" s="29" t="str">
        <f t="shared" si="82"/>
        <v>F117</v>
      </c>
      <c r="R742" s="29" t="str">
        <f t="shared" si="83"/>
        <v>JuneF1</v>
      </c>
    </row>
    <row r="743" spans="1:18">
      <c r="A743" s="483">
        <f t="shared" si="84"/>
        <v>739</v>
      </c>
      <c r="B743" s="484">
        <v>12</v>
      </c>
      <c r="C743" s="485">
        <v>35592</v>
      </c>
      <c r="D743" s="763" t="str">
        <f t="shared" si="80"/>
        <v>June</v>
      </c>
      <c r="E743" s="486">
        <v>11</v>
      </c>
      <c r="F743" s="472">
        <v>1997</v>
      </c>
      <c r="G743" s="484" t="s">
        <v>116</v>
      </c>
      <c r="H743" s="472" t="s">
        <v>122</v>
      </c>
      <c r="I743" s="486">
        <v>25</v>
      </c>
      <c r="J743" s="486">
        <v>0.1</v>
      </c>
      <c r="K743" s="472">
        <f t="shared" si="85"/>
        <v>17</v>
      </c>
      <c r="L743" s="473">
        <v>0.73541666666666661</v>
      </c>
      <c r="M743" s="474">
        <f t="shared" si="79"/>
        <v>0.73541666666666661</v>
      </c>
      <c r="N743" s="519">
        <v>0.73611111111111116</v>
      </c>
      <c r="P743" s="29" t="str">
        <f t="shared" si="81"/>
        <v>1997F0</v>
      </c>
      <c r="Q743" s="29" t="str">
        <f t="shared" si="82"/>
        <v>F017</v>
      </c>
      <c r="R743" s="29" t="str">
        <f t="shared" si="83"/>
        <v>JuneF0</v>
      </c>
    </row>
    <row r="744" spans="1:18">
      <c r="A744" s="483">
        <f t="shared" si="84"/>
        <v>740</v>
      </c>
      <c r="B744" s="484">
        <v>13</v>
      </c>
      <c r="C744" s="485">
        <v>35592</v>
      </c>
      <c r="D744" s="763" t="str">
        <f t="shared" si="80"/>
        <v>June</v>
      </c>
      <c r="E744" s="486">
        <v>11</v>
      </c>
      <c r="F744" s="472">
        <v>1997</v>
      </c>
      <c r="G744" s="484" t="s">
        <v>116</v>
      </c>
      <c r="H744" s="472" t="s">
        <v>125</v>
      </c>
      <c r="I744" s="486">
        <v>600</v>
      </c>
      <c r="J744" s="486">
        <v>9</v>
      </c>
      <c r="K744" s="472">
        <f t="shared" si="85"/>
        <v>17</v>
      </c>
      <c r="L744" s="473">
        <v>0.7402777777777777</v>
      </c>
      <c r="M744" s="474">
        <f t="shared" si="79"/>
        <v>0.7402777777777777</v>
      </c>
      <c r="N744" s="519">
        <v>0.77222222222222225</v>
      </c>
      <c r="P744" s="29" t="str">
        <f t="shared" si="81"/>
        <v>1997F3</v>
      </c>
      <c r="Q744" s="29" t="str">
        <f t="shared" si="82"/>
        <v>F317</v>
      </c>
      <c r="R744" s="29" t="str">
        <f t="shared" si="83"/>
        <v>JuneF3</v>
      </c>
    </row>
    <row r="745" spans="1:18">
      <c r="A745" s="483">
        <f t="shared" si="84"/>
        <v>741</v>
      </c>
      <c r="B745" s="484">
        <v>14</v>
      </c>
      <c r="C745" s="485">
        <v>35592</v>
      </c>
      <c r="D745" s="763" t="str">
        <f t="shared" si="80"/>
        <v>June</v>
      </c>
      <c r="E745" s="486">
        <v>11</v>
      </c>
      <c r="F745" s="472">
        <v>1997</v>
      </c>
      <c r="G745" s="484" t="s">
        <v>121</v>
      </c>
      <c r="H745" s="472" t="s">
        <v>123</v>
      </c>
      <c r="I745" s="486">
        <v>200</v>
      </c>
      <c r="J745" s="486">
        <v>0.5</v>
      </c>
      <c r="K745" s="472">
        <f t="shared" si="85"/>
        <v>18</v>
      </c>
      <c r="L745" s="473">
        <v>0.78402777777777777</v>
      </c>
      <c r="M745" s="474">
        <f t="shared" si="79"/>
        <v>0.78402777777777777</v>
      </c>
      <c r="N745" s="519">
        <v>0.78819444444444453</v>
      </c>
      <c r="P745" s="29" t="str">
        <f t="shared" si="81"/>
        <v>1997F1</v>
      </c>
      <c r="Q745" s="29" t="str">
        <f t="shared" si="82"/>
        <v>F118</v>
      </c>
      <c r="R745" s="29" t="str">
        <f t="shared" si="83"/>
        <v>JuneF1</v>
      </c>
    </row>
    <row r="746" spans="1:18">
      <c r="A746" s="483">
        <f t="shared" si="84"/>
        <v>742</v>
      </c>
      <c r="B746" s="484">
        <v>15</v>
      </c>
      <c r="C746" s="485">
        <v>35592</v>
      </c>
      <c r="D746" s="763" t="str">
        <f t="shared" si="80"/>
        <v>June</v>
      </c>
      <c r="E746" s="486">
        <v>11</v>
      </c>
      <c r="F746" s="472">
        <v>1997</v>
      </c>
      <c r="G746" s="484" t="s">
        <v>121</v>
      </c>
      <c r="H746" s="472" t="s">
        <v>122</v>
      </c>
      <c r="I746" s="486">
        <v>50</v>
      </c>
      <c r="J746" s="486">
        <v>0.5</v>
      </c>
      <c r="K746" s="472">
        <f t="shared" si="85"/>
        <v>19</v>
      </c>
      <c r="L746" s="473">
        <v>0.79791666666666661</v>
      </c>
      <c r="M746" s="474">
        <f t="shared" si="79"/>
        <v>0.79791666666666661</v>
      </c>
      <c r="N746" s="519">
        <v>0.7993055555555556</v>
      </c>
      <c r="P746" s="29" t="str">
        <f t="shared" si="81"/>
        <v>1997F0</v>
      </c>
      <c r="Q746" s="29" t="str">
        <f t="shared" si="82"/>
        <v>F019</v>
      </c>
      <c r="R746" s="29" t="str">
        <f t="shared" si="83"/>
        <v>JuneF0</v>
      </c>
    </row>
    <row r="747" spans="1:18">
      <c r="A747" s="483">
        <f t="shared" si="84"/>
        <v>743</v>
      </c>
      <c r="B747" s="484">
        <v>16</v>
      </c>
      <c r="C747" s="485">
        <v>35592</v>
      </c>
      <c r="D747" s="763" t="str">
        <f t="shared" si="80"/>
        <v>June</v>
      </c>
      <c r="E747" s="486">
        <v>11</v>
      </c>
      <c r="F747" s="472">
        <v>1997</v>
      </c>
      <c r="G747" s="484" t="s">
        <v>121</v>
      </c>
      <c r="H747" s="472" t="s">
        <v>122</v>
      </c>
      <c r="I747" s="486">
        <v>25</v>
      </c>
      <c r="J747" s="486">
        <v>0.1</v>
      </c>
      <c r="K747" s="472">
        <f t="shared" si="85"/>
        <v>19</v>
      </c>
      <c r="L747" s="473">
        <v>0.80694444444444446</v>
      </c>
      <c r="M747" s="474">
        <f t="shared" si="79"/>
        <v>0.80694444444444446</v>
      </c>
      <c r="N747" s="519">
        <v>0.80763888888888891</v>
      </c>
      <c r="P747" s="29" t="str">
        <f t="shared" si="81"/>
        <v>1997F0</v>
      </c>
      <c r="Q747" s="29" t="str">
        <f t="shared" si="82"/>
        <v>F019</v>
      </c>
      <c r="R747" s="29" t="str">
        <f t="shared" si="83"/>
        <v>JuneF0</v>
      </c>
    </row>
    <row r="748" spans="1:18">
      <c r="A748" s="483">
        <f t="shared" si="84"/>
        <v>744</v>
      </c>
      <c r="B748" s="484">
        <v>17</v>
      </c>
      <c r="C748" s="485">
        <v>35592</v>
      </c>
      <c r="D748" s="763" t="str">
        <f t="shared" si="80"/>
        <v>June</v>
      </c>
      <c r="E748" s="486">
        <v>11</v>
      </c>
      <c r="F748" s="472">
        <v>1997</v>
      </c>
      <c r="G748" s="484" t="s">
        <v>115</v>
      </c>
      <c r="H748" s="472" t="s">
        <v>123</v>
      </c>
      <c r="I748" s="486">
        <v>200</v>
      </c>
      <c r="J748" s="486">
        <v>4</v>
      </c>
      <c r="K748" s="472">
        <f t="shared" si="85"/>
        <v>19</v>
      </c>
      <c r="L748" s="473">
        <v>0.82430555555555562</v>
      </c>
      <c r="M748" s="474">
        <f t="shared" si="79"/>
        <v>0.82430555555555562</v>
      </c>
      <c r="N748" s="519">
        <v>0.83194444444444438</v>
      </c>
      <c r="P748" s="29" t="str">
        <f t="shared" si="81"/>
        <v>1997F1</v>
      </c>
      <c r="Q748" s="29" t="str">
        <f t="shared" si="82"/>
        <v>F119</v>
      </c>
      <c r="R748" s="29" t="str">
        <f t="shared" si="83"/>
        <v>JuneF1</v>
      </c>
    </row>
    <row r="749" spans="1:18">
      <c r="A749" s="483">
        <f t="shared" si="84"/>
        <v>745</v>
      </c>
      <c r="B749" s="484">
        <v>18</v>
      </c>
      <c r="C749" s="485">
        <v>35592</v>
      </c>
      <c r="D749" s="763" t="str">
        <f t="shared" si="80"/>
        <v>June</v>
      </c>
      <c r="E749" s="486">
        <v>11</v>
      </c>
      <c r="F749" s="472">
        <v>1997</v>
      </c>
      <c r="G749" s="484" t="s">
        <v>120</v>
      </c>
      <c r="H749" s="472" t="s">
        <v>123</v>
      </c>
      <c r="I749" s="486">
        <v>200</v>
      </c>
      <c r="J749" s="486">
        <v>1</v>
      </c>
      <c r="K749" s="472">
        <f t="shared" si="85"/>
        <v>19</v>
      </c>
      <c r="L749" s="473">
        <v>0.83194444444444438</v>
      </c>
      <c r="M749" s="474">
        <f t="shared" si="79"/>
        <v>0.83194444444444438</v>
      </c>
      <c r="N749" s="519">
        <v>0.83472222222222225</v>
      </c>
      <c r="P749" s="29" t="str">
        <f t="shared" si="81"/>
        <v>1997F1</v>
      </c>
      <c r="Q749" s="29" t="str">
        <f t="shared" si="82"/>
        <v>F119</v>
      </c>
      <c r="R749" s="29" t="str">
        <f t="shared" si="83"/>
        <v>JuneF1</v>
      </c>
    </row>
    <row r="750" spans="1:18">
      <c r="A750" s="483">
        <f t="shared" si="84"/>
        <v>746</v>
      </c>
      <c r="B750" s="484">
        <v>19</v>
      </c>
      <c r="C750" s="485">
        <v>35592</v>
      </c>
      <c r="D750" s="763" t="str">
        <f t="shared" si="80"/>
        <v>June</v>
      </c>
      <c r="E750" s="486">
        <v>11</v>
      </c>
      <c r="F750" s="472">
        <v>1997</v>
      </c>
      <c r="G750" s="484" t="s">
        <v>121</v>
      </c>
      <c r="H750" s="472" t="s">
        <v>123</v>
      </c>
      <c r="I750" s="486">
        <v>100</v>
      </c>
      <c r="J750" s="486">
        <v>9</v>
      </c>
      <c r="K750" s="472">
        <f t="shared" si="85"/>
        <v>21</v>
      </c>
      <c r="L750" s="473">
        <v>0.88194444444444453</v>
      </c>
      <c r="M750" s="474">
        <f t="shared" si="79"/>
        <v>0.88194444444444453</v>
      </c>
      <c r="N750" s="519">
        <v>0.89583333333333337</v>
      </c>
      <c r="P750" s="29" t="str">
        <f t="shared" si="81"/>
        <v>1997F1</v>
      </c>
      <c r="Q750" s="29" t="str">
        <f t="shared" si="82"/>
        <v>F121</v>
      </c>
      <c r="R750" s="29" t="str">
        <f t="shared" si="83"/>
        <v>JuneF1</v>
      </c>
    </row>
    <row r="751" spans="1:18">
      <c r="A751" s="483">
        <f t="shared" si="84"/>
        <v>747</v>
      </c>
      <c r="B751" s="484">
        <v>20</v>
      </c>
      <c r="C751" s="485">
        <v>35593</v>
      </c>
      <c r="D751" s="763" t="str">
        <f t="shared" si="80"/>
        <v>June</v>
      </c>
      <c r="E751" s="486">
        <v>12</v>
      </c>
      <c r="F751" s="472">
        <v>1997</v>
      </c>
      <c r="G751" s="484" t="s">
        <v>116</v>
      </c>
      <c r="H751" s="472" t="s">
        <v>122</v>
      </c>
      <c r="I751" s="486">
        <v>25</v>
      </c>
      <c r="J751" s="486">
        <v>0.1</v>
      </c>
      <c r="K751" s="472">
        <f t="shared" si="85"/>
        <v>19</v>
      </c>
      <c r="L751" s="473">
        <v>0.80069444444444438</v>
      </c>
      <c r="M751" s="474">
        <f t="shared" si="79"/>
        <v>0.80069444444444438</v>
      </c>
      <c r="N751" s="519">
        <v>0.80208333333333337</v>
      </c>
      <c r="P751" s="29" t="str">
        <f t="shared" si="81"/>
        <v>1997F0</v>
      </c>
      <c r="Q751" s="29" t="str">
        <f t="shared" si="82"/>
        <v>F019</v>
      </c>
      <c r="R751" s="29" t="str">
        <f t="shared" si="83"/>
        <v>JuneF0</v>
      </c>
    </row>
    <row r="752" spans="1:18">
      <c r="A752" s="483">
        <f t="shared" si="84"/>
        <v>748</v>
      </c>
      <c r="B752" s="484">
        <v>21</v>
      </c>
      <c r="C752" s="485">
        <v>35593</v>
      </c>
      <c r="D752" s="763" t="str">
        <f t="shared" si="80"/>
        <v>June</v>
      </c>
      <c r="E752" s="486">
        <v>12</v>
      </c>
      <c r="F752" s="472">
        <v>1997</v>
      </c>
      <c r="G752" s="484" t="s">
        <v>110</v>
      </c>
      <c r="H752" s="472" t="s">
        <v>122</v>
      </c>
      <c r="I752" s="486">
        <v>25</v>
      </c>
      <c r="J752" s="486">
        <v>0.1</v>
      </c>
      <c r="K752" s="472">
        <f t="shared" si="85"/>
        <v>20</v>
      </c>
      <c r="L752" s="473">
        <v>0.84027777777777779</v>
      </c>
      <c r="M752" s="474">
        <f t="shared" si="79"/>
        <v>0.84027777777777779</v>
      </c>
      <c r="N752" s="519">
        <v>0.84166666666666667</v>
      </c>
      <c r="P752" s="29" t="str">
        <f t="shared" si="81"/>
        <v>1997F0</v>
      </c>
      <c r="Q752" s="29" t="str">
        <f t="shared" si="82"/>
        <v>F020</v>
      </c>
      <c r="R752" s="29" t="str">
        <f t="shared" si="83"/>
        <v>JuneF0</v>
      </c>
    </row>
    <row r="753" spans="1:18">
      <c r="A753" s="483">
        <f t="shared" si="84"/>
        <v>749</v>
      </c>
      <c r="B753" s="484">
        <v>22</v>
      </c>
      <c r="C753" s="485">
        <v>35595</v>
      </c>
      <c r="D753" s="763" t="str">
        <f t="shared" si="80"/>
        <v>June</v>
      </c>
      <c r="E753" s="486">
        <v>14</v>
      </c>
      <c r="F753" s="472">
        <v>1997</v>
      </c>
      <c r="G753" s="484" t="s">
        <v>108</v>
      </c>
      <c r="H753" s="472" t="s">
        <v>122</v>
      </c>
      <c r="I753" s="486">
        <v>50</v>
      </c>
      <c r="J753" s="486">
        <v>0.2</v>
      </c>
      <c r="K753" s="472">
        <f t="shared" si="85"/>
        <v>14</v>
      </c>
      <c r="L753" s="473">
        <v>0.62430555555555556</v>
      </c>
      <c r="M753" s="474">
        <f t="shared" si="79"/>
        <v>0.62430555555555556</v>
      </c>
      <c r="N753" s="519">
        <v>0.62569444444444444</v>
      </c>
      <c r="P753" s="29" t="str">
        <f t="shared" si="81"/>
        <v>1997F0</v>
      </c>
      <c r="Q753" s="29" t="str">
        <f t="shared" si="82"/>
        <v>F014</v>
      </c>
      <c r="R753" s="29" t="str">
        <f t="shared" si="83"/>
        <v>JuneF0</v>
      </c>
    </row>
    <row r="754" spans="1:18">
      <c r="A754" s="483">
        <f t="shared" si="84"/>
        <v>750</v>
      </c>
      <c r="B754" s="484">
        <v>23</v>
      </c>
      <c r="C754" s="485">
        <v>35595</v>
      </c>
      <c r="D754" s="763" t="str">
        <f t="shared" si="80"/>
        <v>June</v>
      </c>
      <c r="E754" s="486">
        <v>14</v>
      </c>
      <c r="F754" s="472">
        <v>1997</v>
      </c>
      <c r="G754" s="484" t="s">
        <v>108</v>
      </c>
      <c r="H754" s="472" t="s">
        <v>122</v>
      </c>
      <c r="I754" s="486">
        <v>25</v>
      </c>
      <c r="J754" s="486">
        <v>0.1</v>
      </c>
      <c r="K754" s="472">
        <f t="shared" si="85"/>
        <v>15</v>
      </c>
      <c r="L754" s="473">
        <v>0.64097222222222217</v>
      </c>
      <c r="M754" s="474">
        <f t="shared" ref="M754:M814" si="86">+L754</f>
        <v>0.64097222222222217</v>
      </c>
      <c r="N754" s="519">
        <v>0.64236111111111105</v>
      </c>
      <c r="P754" s="29" t="str">
        <f t="shared" si="81"/>
        <v>1997F0</v>
      </c>
      <c r="Q754" s="29" t="str">
        <f t="shared" si="82"/>
        <v>F015</v>
      </c>
      <c r="R754" s="29" t="str">
        <f t="shared" si="83"/>
        <v>JuneF0</v>
      </c>
    </row>
    <row r="755" spans="1:18">
      <c r="A755" s="483">
        <f t="shared" si="84"/>
        <v>751</v>
      </c>
      <c r="B755" s="484">
        <v>24</v>
      </c>
      <c r="C755" s="485">
        <v>35595</v>
      </c>
      <c r="D755" s="763" t="str">
        <f t="shared" si="80"/>
        <v>June</v>
      </c>
      <c r="E755" s="486">
        <v>14</v>
      </c>
      <c r="F755" s="472">
        <v>1997</v>
      </c>
      <c r="G755" s="484" t="s">
        <v>118</v>
      </c>
      <c r="H755" s="472" t="s">
        <v>122</v>
      </c>
      <c r="I755" s="486">
        <v>25</v>
      </c>
      <c r="J755" s="486">
        <v>0.1</v>
      </c>
      <c r="K755" s="472">
        <f t="shared" si="85"/>
        <v>16</v>
      </c>
      <c r="L755" s="473">
        <v>0.68402777777777779</v>
      </c>
      <c r="M755" s="474">
        <f t="shared" si="86"/>
        <v>0.68402777777777779</v>
      </c>
      <c r="N755" s="519">
        <v>0.68541666666666667</v>
      </c>
      <c r="P755" s="29" t="str">
        <f t="shared" si="81"/>
        <v>1997F0</v>
      </c>
      <c r="Q755" s="29" t="str">
        <f t="shared" si="82"/>
        <v>F016</v>
      </c>
      <c r="R755" s="29" t="str">
        <f t="shared" si="83"/>
        <v>JuneF0</v>
      </c>
    </row>
    <row r="756" spans="1:18">
      <c r="A756" s="483">
        <f t="shared" si="84"/>
        <v>752</v>
      </c>
      <c r="B756" s="484">
        <v>25</v>
      </c>
      <c r="C756" s="485">
        <v>35595</v>
      </c>
      <c r="D756" s="763" t="str">
        <f t="shared" si="80"/>
        <v>June</v>
      </c>
      <c r="E756" s="486">
        <v>14</v>
      </c>
      <c r="F756" s="472">
        <v>1997</v>
      </c>
      <c r="G756" s="484" t="s">
        <v>109</v>
      </c>
      <c r="H756" s="472" t="s">
        <v>122</v>
      </c>
      <c r="I756" s="486">
        <v>50</v>
      </c>
      <c r="J756" s="486">
        <v>0.2</v>
      </c>
      <c r="K756" s="472">
        <f t="shared" si="85"/>
        <v>17</v>
      </c>
      <c r="L756" s="473">
        <v>0.7416666666666667</v>
      </c>
      <c r="M756" s="474">
        <f t="shared" si="86"/>
        <v>0.7416666666666667</v>
      </c>
      <c r="N756" s="519">
        <v>0.74375000000000002</v>
      </c>
      <c r="P756" s="29" t="str">
        <f t="shared" si="81"/>
        <v>1997F0</v>
      </c>
      <c r="Q756" s="29" t="str">
        <f t="shared" si="82"/>
        <v>F017</v>
      </c>
      <c r="R756" s="29" t="str">
        <f t="shared" si="83"/>
        <v>JuneF0</v>
      </c>
    </row>
    <row r="757" spans="1:18">
      <c r="A757" s="483">
        <f t="shared" si="84"/>
        <v>753</v>
      </c>
      <c r="B757" s="484">
        <v>26</v>
      </c>
      <c r="C757" s="485">
        <v>35595</v>
      </c>
      <c r="D757" s="763" t="str">
        <f t="shared" si="80"/>
        <v>June</v>
      </c>
      <c r="E757" s="486">
        <v>14</v>
      </c>
      <c r="F757" s="472">
        <v>1997</v>
      </c>
      <c r="G757" s="484" t="s">
        <v>114</v>
      </c>
      <c r="H757" s="472" t="s">
        <v>122</v>
      </c>
      <c r="I757" s="486">
        <v>50</v>
      </c>
      <c r="J757" s="486">
        <v>0.1</v>
      </c>
      <c r="K757" s="472">
        <f t="shared" si="85"/>
        <v>18</v>
      </c>
      <c r="L757" s="473">
        <v>0.75694444444444453</v>
      </c>
      <c r="M757" s="474">
        <f t="shared" si="86"/>
        <v>0.75694444444444453</v>
      </c>
      <c r="N757" s="519">
        <v>0.75902777777777775</v>
      </c>
      <c r="P757" s="29" t="str">
        <f t="shared" si="81"/>
        <v>1997F0</v>
      </c>
      <c r="Q757" s="29" t="str">
        <f t="shared" si="82"/>
        <v>F018</v>
      </c>
      <c r="R757" s="29" t="str">
        <f t="shared" si="83"/>
        <v>JuneF0</v>
      </c>
    </row>
    <row r="758" spans="1:18">
      <c r="A758" s="483">
        <f t="shared" si="84"/>
        <v>754</v>
      </c>
      <c r="B758" s="484">
        <v>27</v>
      </c>
      <c r="C758" s="485">
        <v>35596</v>
      </c>
      <c r="D758" s="763" t="str">
        <f t="shared" si="80"/>
        <v>June</v>
      </c>
      <c r="E758" s="486">
        <v>15</v>
      </c>
      <c r="F758" s="472">
        <v>1997</v>
      </c>
      <c r="G758" s="484" t="s">
        <v>101</v>
      </c>
      <c r="H758" s="472" t="s">
        <v>123</v>
      </c>
      <c r="I758" s="486">
        <v>100</v>
      </c>
      <c r="J758" s="486">
        <v>0.5</v>
      </c>
      <c r="K758" s="472">
        <f t="shared" si="85"/>
        <v>18</v>
      </c>
      <c r="L758" s="473">
        <v>0.75694444444444453</v>
      </c>
      <c r="M758" s="474">
        <f t="shared" si="86"/>
        <v>0.75694444444444453</v>
      </c>
      <c r="N758" s="519">
        <v>0.7597222222222223</v>
      </c>
      <c r="P758" s="29" t="str">
        <f t="shared" si="81"/>
        <v>1997F1</v>
      </c>
      <c r="Q758" s="29" t="str">
        <f t="shared" si="82"/>
        <v>F118</v>
      </c>
      <c r="R758" s="29" t="str">
        <f t="shared" si="83"/>
        <v>JuneF1</v>
      </c>
    </row>
    <row r="759" spans="1:18">
      <c r="A759" s="483">
        <f t="shared" si="84"/>
        <v>755</v>
      </c>
      <c r="B759" s="484">
        <v>28</v>
      </c>
      <c r="C759" s="485">
        <v>35597</v>
      </c>
      <c r="D759" s="763" t="str">
        <f t="shared" si="80"/>
        <v>June</v>
      </c>
      <c r="E759" s="486">
        <v>16</v>
      </c>
      <c r="F759" s="472">
        <v>1997</v>
      </c>
      <c r="G759" s="484" t="s">
        <v>102</v>
      </c>
      <c r="H759" s="472" t="s">
        <v>122</v>
      </c>
      <c r="I759" s="486">
        <v>25</v>
      </c>
      <c r="J759" s="486">
        <v>0.2</v>
      </c>
      <c r="K759" s="472">
        <f t="shared" si="85"/>
        <v>12</v>
      </c>
      <c r="L759" s="473">
        <v>0.51388888888888895</v>
      </c>
      <c r="M759" s="474">
        <f t="shared" si="86"/>
        <v>0.51388888888888895</v>
      </c>
      <c r="N759" s="519">
        <v>0.51527777777777783</v>
      </c>
      <c r="P759" s="29" t="str">
        <f t="shared" si="81"/>
        <v>1997F0</v>
      </c>
      <c r="Q759" s="29" t="str">
        <f t="shared" si="82"/>
        <v>F012</v>
      </c>
      <c r="R759" s="29" t="str">
        <f t="shared" si="83"/>
        <v>JuneF0</v>
      </c>
    </row>
    <row r="760" spans="1:18">
      <c r="A760" s="483">
        <f t="shared" si="84"/>
        <v>756</v>
      </c>
      <c r="B760" s="484">
        <v>29</v>
      </c>
      <c r="C760" s="485">
        <v>35597</v>
      </c>
      <c r="D760" s="763" t="str">
        <f t="shared" si="80"/>
        <v>June</v>
      </c>
      <c r="E760" s="486">
        <v>16</v>
      </c>
      <c r="F760" s="472">
        <v>1997</v>
      </c>
      <c r="G760" s="484" t="s">
        <v>107</v>
      </c>
      <c r="H760" s="472" t="s">
        <v>122</v>
      </c>
      <c r="I760" s="486">
        <v>50</v>
      </c>
      <c r="J760" s="486">
        <v>0.1</v>
      </c>
      <c r="K760" s="472">
        <f t="shared" si="85"/>
        <v>12</v>
      </c>
      <c r="L760" s="473">
        <v>0.52083333333333337</v>
      </c>
      <c r="M760" s="474">
        <f t="shared" si="86"/>
        <v>0.52083333333333337</v>
      </c>
      <c r="N760" s="519">
        <v>0.5229166666666667</v>
      </c>
      <c r="P760" s="29" t="str">
        <f t="shared" si="81"/>
        <v>1997F0</v>
      </c>
      <c r="Q760" s="29" t="str">
        <f t="shared" si="82"/>
        <v>F012</v>
      </c>
      <c r="R760" s="29" t="str">
        <f t="shared" si="83"/>
        <v>JuneF0</v>
      </c>
    </row>
    <row r="761" spans="1:18">
      <c r="A761" s="483">
        <f t="shared" si="84"/>
        <v>757</v>
      </c>
      <c r="B761" s="484">
        <v>1</v>
      </c>
      <c r="C761" s="485">
        <v>36014</v>
      </c>
      <c r="D761" s="763" t="str">
        <f t="shared" si="80"/>
        <v>August</v>
      </c>
      <c r="E761" s="486">
        <v>7</v>
      </c>
      <c r="F761" s="472">
        <v>1998</v>
      </c>
      <c r="G761" s="484" t="s">
        <v>118</v>
      </c>
      <c r="H761" s="472" t="s">
        <v>122</v>
      </c>
      <c r="I761" s="486">
        <v>25</v>
      </c>
      <c r="J761" s="486">
        <v>0.5</v>
      </c>
      <c r="K761" s="472">
        <f t="shared" si="85"/>
        <v>16</v>
      </c>
      <c r="L761" s="473">
        <v>0.67361111111111116</v>
      </c>
      <c r="M761" s="474">
        <f t="shared" si="86"/>
        <v>0.67361111111111116</v>
      </c>
      <c r="N761" s="519">
        <v>0.67708333333333337</v>
      </c>
      <c r="P761" s="29" t="str">
        <f t="shared" si="81"/>
        <v>1998F0</v>
      </c>
      <c r="Q761" s="29" t="str">
        <f t="shared" si="82"/>
        <v>F016</v>
      </c>
      <c r="R761" s="29" t="str">
        <f t="shared" si="83"/>
        <v>AugustF0</v>
      </c>
    </row>
    <row r="762" spans="1:18">
      <c r="A762" s="483">
        <f t="shared" si="84"/>
        <v>758</v>
      </c>
      <c r="B762" s="484">
        <v>2</v>
      </c>
      <c r="C762" s="485">
        <v>36095</v>
      </c>
      <c r="D762" s="763" t="str">
        <f t="shared" si="80"/>
        <v>October</v>
      </c>
      <c r="E762" s="486">
        <v>27</v>
      </c>
      <c r="F762" s="472">
        <v>1998</v>
      </c>
      <c r="G762" s="484" t="s">
        <v>118</v>
      </c>
      <c r="H762" s="472" t="s">
        <v>123</v>
      </c>
      <c r="I762" s="486">
        <v>300</v>
      </c>
      <c r="J762" s="486">
        <v>1</v>
      </c>
      <c r="K762" s="472">
        <f t="shared" si="85"/>
        <v>19</v>
      </c>
      <c r="L762" s="473">
        <v>0.80208333333333337</v>
      </c>
      <c r="M762" s="474">
        <f t="shared" si="86"/>
        <v>0.80208333333333337</v>
      </c>
      <c r="N762" s="519">
        <v>0.8041666666666667</v>
      </c>
      <c r="P762" s="29" t="str">
        <f t="shared" si="81"/>
        <v>1998F1</v>
      </c>
      <c r="Q762" s="29" t="str">
        <f t="shared" si="82"/>
        <v>F119</v>
      </c>
      <c r="R762" s="29" t="str">
        <f t="shared" si="83"/>
        <v>OctoberF1</v>
      </c>
    </row>
    <row r="763" spans="1:18">
      <c r="A763" s="483">
        <f t="shared" si="84"/>
        <v>759</v>
      </c>
      <c r="B763" s="484">
        <v>1</v>
      </c>
      <c r="C763" s="485">
        <v>36281</v>
      </c>
      <c r="D763" s="763" t="str">
        <f t="shared" si="80"/>
        <v>May</v>
      </c>
      <c r="E763" s="486">
        <v>1</v>
      </c>
      <c r="F763" s="472">
        <v>1999</v>
      </c>
      <c r="G763" s="484" t="s">
        <v>107</v>
      </c>
      <c r="H763" s="472" t="s">
        <v>122</v>
      </c>
      <c r="I763" s="486">
        <v>50</v>
      </c>
      <c r="J763" s="486">
        <v>0.1</v>
      </c>
      <c r="K763" s="472">
        <f t="shared" si="85"/>
        <v>19</v>
      </c>
      <c r="L763" s="473">
        <v>0.79652777777777783</v>
      </c>
      <c r="M763" s="474">
        <f t="shared" si="86"/>
        <v>0.79652777777777783</v>
      </c>
      <c r="N763" s="519">
        <v>0.79652777777777783</v>
      </c>
      <c r="P763" s="29" t="str">
        <f t="shared" si="81"/>
        <v>1999F0</v>
      </c>
      <c r="Q763" s="29" t="str">
        <f t="shared" si="82"/>
        <v>F019</v>
      </c>
      <c r="R763" s="29" t="str">
        <f t="shared" si="83"/>
        <v>MayF0</v>
      </c>
    </row>
    <row r="764" spans="1:18">
      <c r="A764" s="483">
        <f t="shared" si="84"/>
        <v>760</v>
      </c>
      <c r="B764" s="484">
        <v>2</v>
      </c>
      <c r="C764" s="485">
        <v>36300</v>
      </c>
      <c r="D764" s="763" t="str">
        <f t="shared" si="80"/>
        <v>May</v>
      </c>
      <c r="E764" s="486">
        <v>20</v>
      </c>
      <c r="F764" s="472">
        <v>1999</v>
      </c>
      <c r="G764" s="484" t="s">
        <v>115</v>
      </c>
      <c r="H764" s="472" t="s">
        <v>122</v>
      </c>
      <c r="I764" s="486">
        <v>25</v>
      </c>
      <c r="J764" s="486">
        <v>0.1</v>
      </c>
      <c r="K764" s="472">
        <f t="shared" si="85"/>
        <v>17</v>
      </c>
      <c r="L764" s="473">
        <v>0.71111111111111114</v>
      </c>
      <c r="M764" s="474">
        <f t="shared" si="86"/>
        <v>0.71111111111111114</v>
      </c>
      <c r="N764" s="519">
        <v>0.71250000000000002</v>
      </c>
      <c r="P764" s="29" t="str">
        <f t="shared" si="81"/>
        <v>1999F0</v>
      </c>
      <c r="Q764" s="29" t="str">
        <f t="shared" si="82"/>
        <v>F017</v>
      </c>
      <c r="R764" s="29" t="str">
        <f t="shared" si="83"/>
        <v>MayF0</v>
      </c>
    </row>
    <row r="765" spans="1:18">
      <c r="A765" s="483">
        <f t="shared" si="84"/>
        <v>761</v>
      </c>
      <c r="B765" s="484">
        <v>3</v>
      </c>
      <c r="C765" s="485">
        <v>36300</v>
      </c>
      <c r="D765" s="763" t="str">
        <f t="shared" si="80"/>
        <v>May</v>
      </c>
      <c r="E765" s="486">
        <v>20</v>
      </c>
      <c r="F765" s="472">
        <v>1999</v>
      </c>
      <c r="G765" s="484" t="s">
        <v>115</v>
      </c>
      <c r="H765" s="472" t="s">
        <v>122</v>
      </c>
      <c r="I765" s="486">
        <v>25</v>
      </c>
      <c r="J765" s="486">
        <v>0.1</v>
      </c>
      <c r="K765" s="472">
        <f t="shared" si="85"/>
        <v>17</v>
      </c>
      <c r="L765" s="473">
        <v>0.72152777777777777</v>
      </c>
      <c r="M765" s="474">
        <f t="shared" si="86"/>
        <v>0.72152777777777777</v>
      </c>
      <c r="N765" s="519">
        <v>0.72222222222222221</v>
      </c>
      <c r="P765" s="29" t="str">
        <f t="shared" si="81"/>
        <v>1999F0</v>
      </c>
      <c r="Q765" s="29" t="str">
        <f t="shared" si="82"/>
        <v>F017</v>
      </c>
      <c r="R765" s="29" t="str">
        <f t="shared" si="83"/>
        <v>MayF0</v>
      </c>
    </row>
    <row r="766" spans="1:18">
      <c r="A766" s="483">
        <f t="shared" si="84"/>
        <v>762</v>
      </c>
      <c r="B766" s="484">
        <v>4</v>
      </c>
      <c r="C766" s="485">
        <v>36300</v>
      </c>
      <c r="D766" s="763" t="str">
        <f t="shared" si="80"/>
        <v>May</v>
      </c>
      <c r="E766" s="486">
        <v>20</v>
      </c>
      <c r="F766" s="472">
        <v>1999</v>
      </c>
      <c r="G766" s="484" t="s">
        <v>120</v>
      </c>
      <c r="H766" s="472" t="s">
        <v>122</v>
      </c>
      <c r="I766" s="486">
        <v>50</v>
      </c>
      <c r="J766" s="486">
        <v>0.5</v>
      </c>
      <c r="K766" s="472">
        <f t="shared" si="85"/>
        <v>17</v>
      </c>
      <c r="L766" s="473">
        <v>0.73888888888888893</v>
      </c>
      <c r="M766" s="474">
        <f t="shared" si="86"/>
        <v>0.73888888888888893</v>
      </c>
      <c r="N766" s="519">
        <v>0.7416666666666667</v>
      </c>
      <c r="P766" s="29" t="str">
        <f t="shared" si="81"/>
        <v>1999F0</v>
      </c>
      <c r="Q766" s="29" t="str">
        <f t="shared" si="82"/>
        <v>F017</v>
      </c>
      <c r="R766" s="29" t="str">
        <f t="shared" si="83"/>
        <v>MayF0</v>
      </c>
    </row>
    <row r="767" spans="1:18">
      <c r="A767" s="483">
        <f t="shared" si="84"/>
        <v>763</v>
      </c>
      <c r="B767" s="484">
        <v>5</v>
      </c>
      <c r="C767" s="485">
        <v>36300</v>
      </c>
      <c r="D767" s="763" t="str">
        <f t="shared" si="80"/>
        <v>May</v>
      </c>
      <c r="E767" s="486">
        <v>20</v>
      </c>
      <c r="F767" s="472">
        <v>1999</v>
      </c>
      <c r="G767" s="484" t="s">
        <v>120</v>
      </c>
      <c r="H767" s="472" t="s">
        <v>122</v>
      </c>
      <c r="I767" s="486">
        <v>25</v>
      </c>
      <c r="J767" s="486">
        <v>0.1</v>
      </c>
      <c r="K767" s="472">
        <f t="shared" si="85"/>
        <v>19</v>
      </c>
      <c r="L767" s="473">
        <v>0.79305555555555562</v>
      </c>
      <c r="M767" s="474">
        <f t="shared" si="86"/>
        <v>0.79305555555555562</v>
      </c>
      <c r="N767" s="519">
        <v>0.79374999999999996</v>
      </c>
      <c r="P767" s="29" t="str">
        <f t="shared" si="81"/>
        <v>1999F0</v>
      </c>
      <c r="Q767" s="29" t="str">
        <f t="shared" si="82"/>
        <v>F019</v>
      </c>
      <c r="R767" s="29" t="str">
        <f t="shared" si="83"/>
        <v>MayF0</v>
      </c>
    </row>
    <row r="768" spans="1:18">
      <c r="A768" s="483">
        <f t="shared" si="84"/>
        <v>764</v>
      </c>
      <c r="B768" s="484">
        <v>6</v>
      </c>
      <c r="C768" s="485">
        <v>36305</v>
      </c>
      <c r="D768" s="763" t="str">
        <f t="shared" si="80"/>
        <v>May</v>
      </c>
      <c r="E768" s="486">
        <v>25</v>
      </c>
      <c r="F768" s="472">
        <v>1999</v>
      </c>
      <c r="G768" s="484" t="s">
        <v>118</v>
      </c>
      <c r="H768" s="472" t="s">
        <v>122</v>
      </c>
      <c r="I768" s="486">
        <v>25</v>
      </c>
      <c r="J768" s="486">
        <v>0.3</v>
      </c>
      <c r="K768" s="472">
        <f t="shared" si="85"/>
        <v>16</v>
      </c>
      <c r="L768" s="473">
        <v>0.70694444444444438</v>
      </c>
      <c r="M768" s="474">
        <f t="shared" si="86"/>
        <v>0.70694444444444438</v>
      </c>
      <c r="N768" s="519">
        <v>0.70694444444444438</v>
      </c>
      <c r="P768" s="29" t="str">
        <f t="shared" si="81"/>
        <v>1999F0</v>
      </c>
      <c r="Q768" s="29" t="str">
        <f t="shared" si="82"/>
        <v>F016</v>
      </c>
      <c r="R768" s="29" t="str">
        <f t="shared" si="83"/>
        <v>MayF0</v>
      </c>
    </row>
    <row r="769" spans="1:18">
      <c r="A769" s="483">
        <f t="shared" si="84"/>
        <v>765</v>
      </c>
      <c r="B769" s="484">
        <v>7</v>
      </c>
      <c r="C769" s="485">
        <v>36305</v>
      </c>
      <c r="D769" s="763" t="str">
        <f t="shared" si="80"/>
        <v>May</v>
      </c>
      <c r="E769" s="486">
        <v>25</v>
      </c>
      <c r="F769" s="472">
        <v>1999</v>
      </c>
      <c r="G769" s="484" t="s">
        <v>118</v>
      </c>
      <c r="H769" s="472" t="s">
        <v>122</v>
      </c>
      <c r="I769" s="486">
        <v>25</v>
      </c>
      <c r="J769" s="486">
        <v>1</v>
      </c>
      <c r="K769" s="472">
        <f t="shared" si="85"/>
        <v>17</v>
      </c>
      <c r="L769" s="473">
        <v>0.71180555555555547</v>
      </c>
      <c r="M769" s="474">
        <f t="shared" si="86"/>
        <v>0.71180555555555547</v>
      </c>
      <c r="N769" s="519">
        <v>0.71388888888888891</v>
      </c>
      <c r="P769" s="29" t="str">
        <f t="shared" si="81"/>
        <v>1999F0</v>
      </c>
      <c r="Q769" s="29" t="str">
        <f t="shared" si="82"/>
        <v>F017</v>
      </c>
      <c r="R769" s="29" t="str">
        <f t="shared" si="83"/>
        <v>MayF0</v>
      </c>
    </row>
    <row r="770" spans="1:18">
      <c r="A770" s="483">
        <f t="shared" si="84"/>
        <v>766</v>
      </c>
      <c r="B770" s="484">
        <v>8</v>
      </c>
      <c r="C770" s="485">
        <v>36305</v>
      </c>
      <c r="D770" s="763" t="str">
        <f t="shared" si="80"/>
        <v>May</v>
      </c>
      <c r="E770" s="486">
        <v>25</v>
      </c>
      <c r="F770" s="472">
        <v>1999</v>
      </c>
      <c r="G770" s="484" t="s">
        <v>118</v>
      </c>
      <c r="H770" s="472" t="s">
        <v>122</v>
      </c>
      <c r="I770" s="486">
        <v>25</v>
      </c>
      <c r="J770" s="486">
        <v>0.1</v>
      </c>
      <c r="K770" s="472">
        <f t="shared" si="85"/>
        <v>19</v>
      </c>
      <c r="L770" s="473">
        <v>0.82986111111111116</v>
      </c>
      <c r="M770" s="474">
        <f t="shared" si="86"/>
        <v>0.82986111111111116</v>
      </c>
      <c r="N770" s="519">
        <v>0.83125000000000004</v>
      </c>
      <c r="P770" s="29" t="str">
        <f t="shared" si="81"/>
        <v>1999F0</v>
      </c>
      <c r="Q770" s="29" t="str">
        <f t="shared" si="82"/>
        <v>F019</v>
      </c>
      <c r="R770" s="29" t="str">
        <f t="shared" si="83"/>
        <v>MayF0</v>
      </c>
    </row>
    <row r="771" spans="1:18">
      <c r="A771" s="483">
        <f t="shared" si="84"/>
        <v>767</v>
      </c>
      <c r="B771" s="484">
        <v>9</v>
      </c>
      <c r="C771" s="485">
        <v>36313</v>
      </c>
      <c r="D771" s="763" t="str">
        <f t="shared" si="80"/>
        <v>June</v>
      </c>
      <c r="E771" s="486">
        <v>2</v>
      </c>
      <c r="F771" s="472">
        <v>1999</v>
      </c>
      <c r="G771" s="484" t="s">
        <v>110</v>
      </c>
      <c r="H771" s="472" t="s">
        <v>122</v>
      </c>
      <c r="I771" s="486">
        <v>25</v>
      </c>
      <c r="J771" s="486">
        <v>0.1</v>
      </c>
      <c r="K771" s="472">
        <f t="shared" si="85"/>
        <v>19</v>
      </c>
      <c r="L771" s="473">
        <v>0.81111111111111101</v>
      </c>
      <c r="M771" s="474">
        <f t="shared" si="86"/>
        <v>0.81111111111111101</v>
      </c>
      <c r="N771" s="519">
        <v>0.81111111111111101</v>
      </c>
      <c r="P771" s="29" t="str">
        <f t="shared" si="81"/>
        <v>1999F0</v>
      </c>
      <c r="Q771" s="29" t="str">
        <f t="shared" si="82"/>
        <v>F019</v>
      </c>
      <c r="R771" s="29" t="str">
        <f t="shared" si="83"/>
        <v>JuneF0</v>
      </c>
    </row>
    <row r="772" spans="1:18">
      <c r="A772" s="483">
        <f t="shared" si="84"/>
        <v>768</v>
      </c>
      <c r="B772" s="484">
        <v>10</v>
      </c>
      <c r="C772" s="485">
        <v>36315</v>
      </c>
      <c r="D772" s="763" t="str">
        <f t="shared" si="80"/>
        <v>June</v>
      </c>
      <c r="E772" s="486">
        <v>4</v>
      </c>
      <c r="F772" s="472">
        <v>1999</v>
      </c>
      <c r="G772" s="484" t="s">
        <v>100</v>
      </c>
      <c r="H772" s="472" t="s">
        <v>122</v>
      </c>
      <c r="I772" s="486">
        <v>15</v>
      </c>
      <c r="J772" s="486">
        <v>0.1</v>
      </c>
      <c r="K772" s="472">
        <f t="shared" si="85"/>
        <v>20</v>
      </c>
      <c r="L772" s="473">
        <v>0.85902777777777783</v>
      </c>
      <c r="M772" s="474">
        <f t="shared" si="86"/>
        <v>0.85902777777777783</v>
      </c>
      <c r="N772" s="519">
        <v>0.86041666666666661</v>
      </c>
      <c r="P772" s="29" t="str">
        <f t="shared" si="81"/>
        <v>1999F0</v>
      </c>
      <c r="Q772" s="29" t="str">
        <f t="shared" si="82"/>
        <v>F020</v>
      </c>
      <c r="R772" s="29" t="str">
        <f t="shared" si="83"/>
        <v>JuneF0</v>
      </c>
    </row>
    <row r="773" spans="1:18">
      <c r="A773" s="483">
        <f t="shared" si="84"/>
        <v>769</v>
      </c>
      <c r="B773" s="484">
        <v>11</v>
      </c>
      <c r="C773" s="485">
        <v>36335</v>
      </c>
      <c r="D773" s="763" t="str">
        <f t="shared" ref="D773:D836" si="87">+TEXT(C773,"mmmm")</f>
        <v>June</v>
      </c>
      <c r="E773" s="486">
        <v>24</v>
      </c>
      <c r="F773" s="472">
        <v>1999</v>
      </c>
      <c r="G773" s="484" t="s">
        <v>109</v>
      </c>
      <c r="H773" s="472" t="s">
        <v>122</v>
      </c>
      <c r="I773" s="486">
        <v>25</v>
      </c>
      <c r="J773" s="486">
        <v>0.1</v>
      </c>
      <c r="K773" s="472">
        <f t="shared" si="85"/>
        <v>15</v>
      </c>
      <c r="L773" s="473">
        <v>0.66388888888888886</v>
      </c>
      <c r="M773" s="474">
        <f t="shared" si="86"/>
        <v>0.66388888888888886</v>
      </c>
      <c r="N773" s="519">
        <v>0.6645833333333333</v>
      </c>
      <c r="P773" s="29" t="str">
        <f t="shared" si="81"/>
        <v>1999F0</v>
      </c>
      <c r="Q773" s="29" t="str">
        <f t="shared" si="82"/>
        <v>F015</v>
      </c>
      <c r="R773" s="29" t="str">
        <f t="shared" si="83"/>
        <v>JuneF0</v>
      </c>
    </row>
    <row r="774" spans="1:18">
      <c r="A774" s="483">
        <f t="shared" si="84"/>
        <v>770</v>
      </c>
      <c r="B774" s="484">
        <v>12</v>
      </c>
      <c r="C774" s="485">
        <v>36335</v>
      </c>
      <c r="D774" s="763" t="str">
        <f t="shared" si="87"/>
        <v>June</v>
      </c>
      <c r="E774" s="486">
        <v>24</v>
      </c>
      <c r="F774" s="472">
        <v>1999</v>
      </c>
      <c r="G774" s="484" t="s">
        <v>113</v>
      </c>
      <c r="H774" s="472" t="s">
        <v>122</v>
      </c>
      <c r="I774" s="486">
        <v>50</v>
      </c>
      <c r="J774" s="486">
        <v>0.2</v>
      </c>
      <c r="K774" s="472">
        <f t="shared" si="85"/>
        <v>18</v>
      </c>
      <c r="L774" s="473">
        <v>0.75</v>
      </c>
      <c r="M774" s="474">
        <f t="shared" si="86"/>
        <v>0.75</v>
      </c>
      <c r="N774" s="519">
        <v>0.75694444444444453</v>
      </c>
      <c r="P774" s="29" t="str">
        <f t="shared" ref="P774:P837" si="88">CONCATENATE(F774,H774)</f>
        <v>1999F0</v>
      </c>
      <c r="Q774" s="29" t="str">
        <f t="shared" ref="Q774:Q837" si="89">CONCATENATE(H774,K774)</f>
        <v>F018</v>
      </c>
      <c r="R774" s="29" t="str">
        <f t="shared" ref="R774:R837" si="90">CONCATENATE(D774,H774)</f>
        <v>JuneF0</v>
      </c>
    </row>
    <row r="775" spans="1:18">
      <c r="A775" s="483">
        <f t="shared" ref="A775:A838" si="91">+A774+1</f>
        <v>771</v>
      </c>
      <c r="B775" s="484">
        <v>13</v>
      </c>
      <c r="C775" s="485">
        <v>36340</v>
      </c>
      <c r="D775" s="763" t="str">
        <f t="shared" si="87"/>
        <v>June</v>
      </c>
      <c r="E775" s="486">
        <v>29</v>
      </c>
      <c r="F775" s="472">
        <v>1999</v>
      </c>
      <c r="G775" s="484" t="s">
        <v>100</v>
      </c>
      <c r="H775" s="472" t="s">
        <v>122</v>
      </c>
      <c r="I775" s="486">
        <v>25</v>
      </c>
      <c r="J775" s="486">
        <v>0.1</v>
      </c>
      <c r="K775" s="472">
        <f t="shared" ref="K775:K834" si="92">HOUR(M775)</f>
        <v>15</v>
      </c>
      <c r="L775" s="473">
        <v>0.65555555555555556</v>
      </c>
      <c r="M775" s="474">
        <f t="shared" si="86"/>
        <v>0.65555555555555556</v>
      </c>
      <c r="N775" s="519">
        <v>0.65625</v>
      </c>
      <c r="P775" s="29" t="str">
        <f t="shared" si="88"/>
        <v>1999F0</v>
      </c>
      <c r="Q775" s="29" t="str">
        <f t="shared" si="89"/>
        <v>F015</v>
      </c>
      <c r="R775" s="29" t="str">
        <f t="shared" si="90"/>
        <v>JuneF0</v>
      </c>
    </row>
    <row r="776" spans="1:18">
      <c r="A776" s="483">
        <f t="shared" si="91"/>
        <v>772</v>
      </c>
      <c r="B776" s="484">
        <v>14</v>
      </c>
      <c r="C776" s="485">
        <v>36340</v>
      </c>
      <c r="D776" s="763" t="str">
        <f t="shared" si="87"/>
        <v>June</v>
      </c>
      <c r="E776" s="486">
        <v>29</v>
      </c>
      <c r="F776" s="472">
        <v>1999</v>
      </c>
      <c r="G776" s="484" t="s">
        <v>100</v>
      </c>
      <c r="H776" s="472" t="s">
        <v>122</v>
      </c>
      <c r="I776" s="486">
        <v>25</v>
      </c>
      <c r="J776" s="486">
        <v>0.1</v>
      </c>
      <c r="K776" s="472">
        <f t="shared" si="92"/>
        <v>16</v>
      </c>
      <c r="L776" s="473">
        <v>0.69097222222222221</v>
      </c>
      <c r="M776" s="474">
        <f t="shared" si="86"/>
        <v>0.69097222222222221</v>
      </c>
      <c r="N776" s="519">
        <v>0.69166666666666676</v>
      </c>
      <c r="P776" s="29" t="str">
        <f t="shared" si="88"/>
        <v>1999F0</v>
      </c>
      <c r="Q776" s="29" t="str">
        <f t="shared" si="89"/>
        <v>F016</v>
      </c>
      <c r="R776" s="29" t="str">
        <f t="shared" si="90"/>
        <v>JuneF0</v>
      </c>
    </row>
    <row r="777" spans="1:18">
      <c r="A777" s="483">
        <f t="shared" si="91"/>
        <v>773</v>
      </c>
      <c r="B777" s="484">
        <v>15</v>
      </c>
      <c r="C777" s="485">
        <v>36340</v>
      </c>
      <c r="D777" s="763" t="str">
        <f t="shared" si="87"/>
        <v>June</v>
      </c>
      <c r="E777" s="486">
        <v>29</v>
      </c>
      <c r="F777" s="472">
        <v>1999</v>
      </c>
      <c r="G777" s="484" t="s">
        <v>104</v>
      </c>
      <c r="H777" s="472" t="s">
        <v>122</v>
      </c>
      <c r="I777" s="486">
        <v>25</v>
      </c>
      <c r="J777" s="486">
        <v>0.1</v>
      </c>
      <c r="K777" s="472">
        <f t="shared" si="92"/>
        <v>18</v>
      </c>
      <c r="L777" s="473">
        <v>0.75347222222222221</v>
      </c>
      <c r="M777" s="474">
        <f t="shared" si="86"/>
        <v>0.75347222222222221</v>
      </c>
      <c r="N777" s="519">
        <v>0.75416666666666676</v>
      </c>
      <c r="P777" s="29" t="str">
        <f t="shared" si="88"/>
        <v>1999F0</v>
      </c>
      <c r="Q777" s="29" t="str">
        <f t="shared" si="89"/>
        <v>F018</v>
      </c>
      <c r="R777" s="29" t="str">
        <f t="shared" si="90"/>
        <v>JuneF0</v>
      </c>
    </row>
    <row r="778" spans="1:18">
      <c r="A778" s="483">
        <f t="shared" si="91"/>
        <v>774</v>
      </c>
      <c r="B778" s="484">
        <v>16</v>
      </c>
      <c r="C778" s="485">
        <v>36340</v>
      </c>
      <c r="D778" s="763" t="str">
        <f t="shared" si="87"/>
        <v>June</v>
      </c>
      <c r="E778" s="486">
        <v>29</v>
      </c>
      <c r="F778" s="472">
        <v>1999</v>
      </c>
      <c r="G778" s="484" t="s">
        <v>104</v>
      </c>
      <c r="H778" s="472" t="s">
        <v>122</v>
      </c>
      <c r="I778" s="486">
        <v>50</v>
      </c>
      <c r="J778" s="486">
        <v>1</v>
      </c>
      <c r="K778" s="472">
        <f t="shared" si="92"/>
        <v>18</v>
      </c>
      <c r="L778" s="473">
        <v>0.7583333333333333</v>
      </c>
      <c r="M778" s="474">
        <f t="shared" si="86"/>
        <v>0.7583333333333333</v>
      </c>
      <c r="N778" s="519">
        <v>0.76388888888888884</v>
      </c>
      <c r="P778" s="29" t="str">
        <f t="shared" si="88"/>
        <v>1999F0</v>
      </c>
      <c r="Q778" s="29" t="str">
        <f t="shared" si="89"/>
        <v>F018</v>
      </c>
      <c r="R778" s="29" t="str">
        <f t="shared" si="90"/>
        <v>JuneF0</v>
      </c>
    </row>
    <row r="779" spans="1:18">
      <c r="A779" s="483">
        <f t="shared" si="91"/>
        <v>775</v>
      </c>
      <c r="B779" s="484">
        <v>17</v>
      </c>
      <c r="C779" s="485">
        <v>36340</v>
      </c>
      <c r="D779" s="763" t="str">
        <f t="shared" si="87"/>
        <v>June</v>
      </c>
      <c r="E779" s="486">
        <v>29</v>
      </c>
      <c r="F779" s="472">
        <v>1999</v>
      </c>
      <c r="G779" s="484" t="s">
        <v>104</v>
      </c>
      <c r="H779" s="472" t="s">
        <v>122</v>
      </c>
      <c r="I779" s="486">
        <v>25</v>
      </c>
      <c r="J779" s="486">
        <v>0.1</v>
      </c>
      <c r="K779" s="472">
        <f t="shared" si="92"/>
        <v>18</v>
      </c>
      <c r="L779" s="473">
        <v>0.76458333333333339</v>
      </c>
      <c r="M779" s="474">
        <f t="shared" si="86"/>
        <v>0.76458333333333339</v>
      </c>
      <c r="N779" s="519">
        <v>0.76527777777777783</v>
      </c>
      <c r="P779" s="29" t="str">
        <f t="shared" si="88"/>
        <v>1999F0</v>
      </c>
      <c r="Q779" s="29" t="str">
        <f t="shared" si="89"/>
        <v>F018</v>
      </c>
      <c r="R779" s="29" t="str">
        <f t="shared" si="90"/>
        <v>JuneF0</v>
      </c>
    </row>
    <row r="780" spans="1:18">
      <c r="A780" s="483">
        <f t="shared" si="91"/>
        <v>776</v>
      </c>
      <c r="B780" s="484">
        <v>18</v>
      </c>
      <c r="C780" s="485">
        <v>36340</v>
      </c>
      <c r="D780" s="763" t="str">
        <f t="shared" si="87"/>
        <v>June</v>
      </c>
      <c r="E780" s="486">
        <v>29</v>
      </c>
      <c r="F780" s="472">
        <v>1999</v>
      </c>
      <c r="G780" s="484" t="s">
        <v>104</v>
      </c>
      <c r="H780" s="472" t="s">
        <v>122</v>
      </c>
      <c r="I780" s="486">
        <v>25</v>
      </c>
      <c r="J780" s="486">
        <v>0.1</v>
      </c>
      <c r="K780" s="472">
        <f t="shared" si="92"/>
        <v>18</v>
      </c>
      <c r="L780" s="473">
        <v>0.77708333333333324</v>
      </c>
      <c r="M780" s="474">
        <f t="shared" si="86"/>
        <v>0.77708333333333324</v>
      </c>
      <c r="N780" s="519">
        <v>0.77847222222222223</v>
      </c>
      <c r="P780" s="29" t="str">
        <f t="shared" si="88"/>
        <v>1999F0</v>
      </c>
      <c r="Q780" s="29" t="str">
        <f t="shared" si="89"/>
        <v>F018</v>
      </c>
      <c r="R780" s="29" t="str">
        <f t="shared" si="90"/>
        <v>JuneF0</v>
      </c>
    </row>
    <row r="781" spans="1:18">
      <c r="A781" s="483">
        <f t="shared" si="91"/>
        <v>777</v>
      </c>
      <c r="B781" s="484">
        <v>19</v>
      </c>
      <c r="C781" s="485">
        <v>36340</v>
      </c>
      <c r="D781" s="763" t="str">
        <f t="shared" si="87"/>
        <v>June</v>
      </c>
      <c r="E781" s="486">
        <v>29</v>
      </c>
      <c r="F781" s="472">
        <v>1999</v>
      </c>
      <c r="G781" s="484" t="s">
        <v>114</v>
      </c>
      <c r="H781" s="472" t="s">
        <v>122</v>
      </c>
      <c r="I781" s="486">
        <v>25</v>
      </c>
      <c r="J781" s="486">
        <v>0.1</v>
      </c>
      <c r="K781" s="472">
        <f t="shared" si="92"/>
        <v>18</v>
      </c>
      <c r="L781" s="473">
        <v>0.77916666666666667</v>
      </c>
      <c r="M781" s="474">
        <f t="shared" si="86"/>
        <v>0.77916666666666667</v>
      </c>
      <c r="N781" s="519">
        <v>0.78125</v>
      </c>
      <c r="P781" s="29" t="str">
        <f t="shared" si="88"/>
        <v>1999F0</v>
      </c>
      <c r="Q781" s="29" t="str">
        <f t="shared" si="89"/>
        <v>F018</v>
      </c>
      <c r="R781" s="29" t="str">
        <f t="shared" si="90"/>
        <v>JuneF0</v>
      </c>
    </row>
    <row r="782" spans="1:18">
      <c r="A782" s="483">
        <f t="shared" si="91"/>
        <v>778</v>
      </c>
      <c r="B782" s="484">
        <v>20</v>
      </c>
      <c r="C782" s="485">
        <v>36340</v>
      </c>
      <c r="D782" s="763" t="str">
        <f t="shared" si="87"/>
        <v>June</v>
      </c>
      <c r="E782" s="486">
        <v>29</v>
      </c>
      <c r="F782" s="472">
        <v>1999</v>
      </c>
      <c r="G782" s="484" t="s">
        <v>104</v>
      </c>
      <c r="H782" s="472" t="s">
        <v>122</v>
      </c>
      <c r="I782" s="486">
        <v>25</v>
      </c>
      <c r="J782" s="486">
        <v>0.1</v>
      </c>
      <c r="K782" s="472">
        <f t="shared" si="92"/>
        <v>18</v>
      </c>
      <c r="L782" s="473">
        <v>0.78472222222222221</v>
      </c>
      <c r="M782" s="474">
        <f t="shared" si="86"/>
        <v>0.78472222222222221</v>
      </c>
      <c r="N782" s="519">
        <v>0.78611111111111109</v>
      </c>
      <c r="P782" s="29" t="str">
        <f t="shared" si="88"/>
        <v>1999F0</v>
      </c>
      <c r="Q782" s="29" t="str">
        <f t="shared" si="89"/>
        <v>F018</v>
      </c>
      <c r="R782" s="29" t="str">
        <f t="shared" si="90"/>
        <v>JuneF0</v>
      </c>
    </row>
    <row r="783" spans="1:18">
      <c r="A783" s="483">
        <f t="shared" si="91"/>
        <v>779</v>
      </c>
      <c r="B783" s="484">
        <v>21</v>
      </c>
      <c r="C783" s="485">
        <v>36340</v>
      </c>
      <c r="D783" s="763" t="str">
        <f t="shared" si="87"/>
        <v>June</v>
      </c>
      <c r="E783" s="486">
        <v>29</v>
      </c>
      <c r="F783" s="472">
        <v>1999</v>
      </c>
      <c r="G783" s="484" t="s">
        <v>104</v>
      </c>
      <c r="H783" s="472" t="s">
        <v>122</v>
      </c>
      <c r="I783" s="486">
        <v>25</v>
      </c>
      <c r="J783" s="486">
        <v>0.1</v>
      </c>
      <c r="K783" s="472">
        <f t="shared" si="92"/>
        <v>18</v>
      </c>
      <c r="L783" s="473">
        <v>0.78888888888888886</v>
      </c>
      <c r="M783" s="474">
        <f t="shared" si="86"/>
        <v>0.78888888888888886</v>
      </c>
      <c r="N783" s="519">
        <v>0.7909722222222223</v>
      </c>
      <c r="P783" s="29" t="str">
        <f t="shared" si="88"/>
        <v>1999F0</v>
      </c>
      <c r="Q783" s="29" t="str">
        <f t="shared" si="89"/>
        <v>F018</v>
      </c>
      <c r="R783" s="29" t="str">
        <f t="shared" si="90"/>
        <v>JuneF0</v>
      </c>
    </row>
    <row r="784" spans="1:18">
      <c r="A784" s="483">
        <f t="shared" si="91"/>
        <v>780</v>
      </c>
      <c r="B784" s="484">
        <v>22</v>
      </c>
      <c r="C784" s="485">
        <v>36340</v>
      </c>
      <c r="D784" s="763" t="str">
        <f t="shared" si="87"/>
        <v>June</v>
      </c>
      <c r="E784" s="486">
        <v>29</v>
      </c>
      <c r="F784" s="472">
        <v>1999</v>
      </c>
      <c r="G784" s="484" t="s">
        <v>114</v>
      </c>
      <c r="H784" s="472" t="s">
        <v>122</v>
      </c>
      <c r="I784" s="486">
        <v>50</v>
      </c>
      <c r="J784" s="486">
        <v>0.8</v>
      </c>
      <c r="K784" s="472">
        <f t="shared" si="92"/>
        <v>18</v>
      </c>
      <c r="L784" s="473">
        <v>0.79027777777777775</v>
      </c>
      <c r="M784" s="474">
        <f t="shared" si="86"/>
        <v>0.79027777777777775</v>
      </c>
      <c r="N784" s="519">
        <v>0.79374999999999996</v>
      </c>
      <c r="P784" s="29" t="str">
        <f t="shared" si="88"/>
        <v>1999F0</v>
      </c>
      <c r="Q784" s="29" t="str">
        <f t="shared" si="89"/>
        <v>F018</v>
      </c>
      <c r="R784" s="29" t="str">
        <f t="shared" si="90"/>
        <v>JuneF0</v>
      </c>
    </row>
    <row r="785" spans="1:18">
      <c r="A785" s="483">
        <f t="shared" si="91"/>
        <v>781</v>
      </c>
      <c r="B785" s="484">
        <v>23</v>
      </c>
      <c r="C785" s="485">
        <v>36340</v>
      </c>
      <c r="D785" s="763" t="str">
        <f t="shared" si="87"/>
        <v>June</v>
      </c>
      <c r="E785" s="486">
        <v>29</v>
      </c>
      <c r="F785" s="472">
        <v>1999</v>
      </c>
      <c r="G785" s="484" t="s">
        <v>114</v>
      </c>
      <c r="H785" s="472" t="s">
        <v>122</v>
      </c>
      <c r="I785" s="486">
        <v>25</v>
      </c>
      <c r="J785" s="486">
        <v>0.3</v>
      </c>
      <c r="K785" s="472">
        <f t="shared" si="92"/>
        <v>19</v>
      </c>
      <c r="L785" s="473">
        <v>0.80069444444444438</v>
      </c>
      <c r="M785" s="474">
        <f t="shared" si="86"/>
        <v>0.80069444444444438</v>
      </c>
      <c r="N785" s="519">
        <v>0.80486111111111114</v>
      </c>
      <c r="P785" s="29" t="str">
        <f t="shared" si="88"/>
        <v>1999F0</v>
      </c>
      <c r="Q785" s="29" t="str">
        <f t="shared" si="89"/>
        <v>F019</v>
      </c>
      <c r="R785" s="29" t="str">
        <f t="shared" si="90"/>
        <v>JuneF0</v>
      </c>
    </row>
    <row r="786" spans="1:18">
      <c r="A786" s="483">
        <f t="shared" si="91"/>
        <v>782</v>
      </c>
      <c r="B786" s="484">
        <v>24</v>
      </c>
      <c r="C786" s="485">
        <v>36340</v>
      </c>
      <c r="D786" s="763" t="str">
        <f t="shared" si="87"/>
        <v>June</v>
      </c>
      <c r="E786" s="486">
        <v>29</v>
      </c>
      <c r="F786" s="472">
        <v>1999</v>
      </c>
      <c r="G786" s="484" t="s">
        <v>114</v>
      </c>
      <c r="H786" s="472" t="s">
        <v>122</v>
      </c>
      <c r="I786" s="486">
        <v>25</v>
      </c>
      <c r="J786" s="486">
        <v>0.1</v>
      </c>
      <c r="K786" s="472">
        <f t="shared" si="92"/>
        <v>19</v>
      </c>
      <c r="L786" s="473">
        <v>0.80208333333333337</v>
      </c>
      <c r="M786" s="474">
        <f t="shared" si="86"/>
        <v>0.80208333333333337</v>
      </c>
      <c r="N786" s="519">
        <v>0.80347222222222225</v>
      </c>
      <c r="P786" s="29" t="str">
        <f t="shared" si="88"/>
        <v>1999F0</v>
      </c>
      <c r="Q786" s="29" t="str">
        <f t="shared" si="89"/>
        <v>F019</v>
      </c>
      <c r="R786" s="29" t="str">
        <f t="shared" si="90"/>
        <v>JuneF0</v>
      </c>
    </row>
    <row r="787" spans="1:18">
      <c r="A787" s="483">
        <f t="shared" si="91"/>
        <v>783</v>
      </c>
      <c r="B787" s="484">
        <v>25</v>
      </c>
      <c r="C787" s="485">
        <v>36340</v>
      </c>
      <c r="D787" s="763" t="str">
        <f t="shared" si="87"/>
        <v>June</v>
      </c>
      <c r="E787" s="486">
        <v>29</v>
      </c>
      <c r="F787" s="472">
        <v>1999</v>
      </c>
      <c r="G787" s="484" t="s">
        <v>104</v>
      </c>
      <c r="H787" s="472" t="s">
        <v>122</v>
      </c>
      <c r="I787" s="486">
        <v>25</v>
      </c>
      <c r="J787" s="486">
        <v>0.2</v>
      </c>
      <c r="K787" s="472">
        <f t="shared" si="92"/>
        <v>23</v>
      </c>
      <c r="L787" s="473">
        <v>0.99305555555555547</v>
      </c>
      <c r="M787" s="474">
        <f t="shared" si="86"/>
        <v>0.99305555555555547</v>
      </c>
      <c r="N787" s="519">
        <v>0.99513888888888891</v>
      </c>
      <c r="P787" s="29" t="str">
        <f t="shared" si="88"/>
        <v>1999F0</v>
      </c>
      <c r="Q787" s="29" t="str">
        <f t="shared" si="89"/>
        <v>F023</v>
      </c>
      <c r="R787" s="29" t="str">
        <f t="shared" si="90"/>
        <v>JuneF0</v>
      </c>
    </row>
    <row r="788" spans="1:18">
      <c r="A788" s="483">
        <f t="shared" si="91"/>
        <v>784</v>
      </c>
      <c r="B788" s="484">
        <v>1</v>
      </c>
      <c r="C788" s="499">
        <v>36580</v>
      </c>
      <c r="D788" s="763" t="str">
        <f t="shared" si="87"/>
        <v>February</v>
      </c>
      <c r="E788" s="486">
        <v>24</v>
      </c>
      <c r="F788" s="472">
        <v>2000</v>
      </c>
      <c r="G788" s="484" t="s">
        <v>110</v>
      </c>
      <c r="H788" s="472" t="s">
        <v>122</v>
      </c>
      <c r="I788" s="486">
        <v>25</v>
      </c>
      <c r="J788" s="486">
        <v>2</v>
      </c>
      <c r="K788" s="472">
        <f t="shared" si="92"/>
        <v>18</v>
      </c>
      <c r="L788" s="473">
        <v>0.77916666666666667</v>
      </c>
      <c r="M788" s="474">
        <f t="shared" si="86"/>
        <v>0.77916666666666667</v>
      </c>
      <c r="N788" s="519">
        <v>0.78333333333333333</v>
      </c>
      <c r="P788" s="29" t="str">
        <f t="shared" si="88"/>
        <v>2000F0</v>
      </c>
      <c r="Q788" s="29" t="str">
        <f t="shared" si="89"/>
        <v>F018</v>
      </c>
      <c r="R788" s="29" t="str">
        <f t="shared" si="90"/>
        <v>FebruaryF0</v>
      </c>
    </row>
    <row r="789" spans="1:18">
      <c r="A789" s="483">
        <f t="shared" si="91"/>
        <v>785</v>
      </c>
      <c r="B789" s="484">
        <v>2</v>
      </c>
      <c r="C789" s="499">
        <v>36580</v>
      </c>
      <c r="D789" s="763" t="str">
        <f t="shared" si="87"/>
        <v>February</v>
      </c>
      <c r="E789" s="486">
        <v>24</v>
      </c>
      <c r="F789" s="472">
        <v>2000</v>
      </c>
      <c r="G789" s="484" t="s">
        <v>106</v>
      </c>
      <c r="H789" s="472" t="s">
        <v>123</v>
      </c>
      <c r="I789" s="486">
        <v>150</v>
      </c>
      <c r="J789" s="486">
        <v>14</v>
      </c>
      <c r="K789" s="472">
        <f t="shared" si="92"/>
        <v>20</v>
      </c>
      <c r="L789" s="473">
        <v>0.84236111111111101</v>
      </c>
      <c r="M789" s="474">
        <f t="shared" si="86"/>
        <v>0.84236111111111101</v>
      </c>
      <c r="N789" s="519">
        <v>0.8534722222222223</v>
      </c>
      <c r="P789" s="29" t="str">
        <f t="shared" si="88"/>
        <v>2000F1</v>
      </c>
      <c r="Q789" s="29" t="str">
        <f t="shared" si="89"/>
        <v>F120</v>
      </c>
      <c r="R789" s="29" t="str">
        <f t="shared" si="90"/>
        <v>FebruaryF1</v>
      </c>
    </row>
    <row r="790" spans="1:18">
      <c r="A790" s="483">
        <f t="shared" si="91"/>
        <v>786</v>
      </c>
      <c r="B790" s="484">
        <v>3</v>
      </c>
      <c r="C790" s="499">
        <v>36671</v>
      </c>
      <c r="D790" s="763" t="str">
        <f t="shared" si="87"/>
        <v>May</v>
      </c>
      <c r="E790" s="486">
        <v>25</v>
      </c>
      <c r="F790" s="472">
        <v>2000</v>
      </c>
      <c r="G790" s="484" t="s">
        <v>117</v>
      </c>
      <c r="H790" s="472" t="s">
        <v>122</v>
      </c>
      <c r="I790" s="486">
        <v>25</v>
      </c>
      <c r="J790" s="486">
        <v>0.5</v>
      </c>
      <c r="K790" s="472">
        <f t="shared" si="92"/>
        <v>19</v>
      </c>
      <c r="L790" s="473">
        <v>0.82708333333333339</v>
      </c>
      <c r="M790" s="474">
        <f t="shared" si="86"/>
        <v>0.82708333333333339</v>
      </c>
      <c r="N790" s="519">
        <v>0.82916666666666661</v>
      </c>
      <c r="P790" s="29" t="str">
        <f t="shared" si="88"/>
        <v>2000F0</v>
      </c>
      <c r="Q790" s="29" t="str">
        <f t="shared" si="89"/>
        <v>F019</v>
      </c>
      <c r="R790" s="29" t="str">
        <f t="shared" si="90"/>
        <v>MayF0</v>
      </c>
    </row>
    <row r="791" spans="1:18">
      <c r="A791" s="483">
        <f t="shared" si="91"/>
        <v>787</v>
      </c>
      <c r="B791" s="484">
        <v>4</v>
      </c>
      <c r="C791" s="499">
        <v>36690</v>
      </c>
      <c r="D791" s="763" t="str">
        <f t="shared" si="87"/>
        <v>June</v>
      </c>
      <c r="E791" s="486">
        <v>13</v>
      </c>
      <c r="F791" s="472">
        <v>2000</v>
      </c>
      <c r="G791" s="484" t="s">
        <v>105</v>
      </c>
      <c r="H791" s="472" t="s">
        <v>122</v>
      </c>
      <c r="I791" s="486">
        <v>25</v>
      </c>
      <c r="J791" s="486">
        <v>0.1</v>
      </c>
      <c r="K791" s="472">
        <f t="shared" si="92"/>
        <v>15</v>
      </c>
      <c r="L791" s="473">
        <v>0.66249999999999998</v>
      </c>
      <c r="M791" s="474">
        <f t="shared" si="86"/>
        <v>0.66249999999999998</v>
      </c>
      <c r="N791" s="519">
        <v>0.67013888888888884</v>
      </c>
      <c r="P791" s="29" t="str">
        <f t="shared" si="88"/>
        <v>2000F0</v>
      </c>
      <c r="Q791" s="29" t="str">
        <f t="shared" si="89"/>
        <v>F015</v>
      </c>
      <c r="R791" s="29" t="str">
        <f t="shared" si="90"/>
        <v>JuneF0</v>
      </c>
    </row>
    <row r="792" spans="1:18">
      <c r="A792" s="483">
        <f t="shared" si="91"/>
        <v>788</v>
      </c>
      <c r="B792" s="484">
        <v>5</v>
      </c>
      <c r="C792" s="499">
        <v>36690</v>
      </c>
      <c r="D792" s="763" t="str">
        <f t="shared" si="87"/>
        <v>June</v>
      </c>
      <c r="E792" s="486">
        <v>13</v>
      </c>
      <c r="F792" s="472">
        <v>2000</v>
      </c>
      <c r="G792" s="484" t="s">
        <v>111</v>
      </c>
      <c r="H792" s="472" t="s">
        <v>122</v>
      </c>
      <c r="I792" s="486">
        <v>25</v>
      </c>
      <c r="J792" s="486">
        <v>0.1</v>
      </c>
      <c r="K792" s="472">
        <f t="shared" si="92"/>
        <v>19</v>
      </c>
      <c r="L792" s="473">
        <v>0.82361111111111107</v>
      </c>
      <c r="M792" s="474">
        <f t="shared" si="86"/>
        <v>0.82361111111111107</v>
      </c>
      <c r="N792" s="519">
        <v>0.82499999999999996</v>
      </c>
      <c r="P792" s="29" t="str">
        <f t="shared" si="88"/>
        <v>2000F0</v>
      </c>
      <c r="Q792" s="29" t="str">
        <f t="shared" si="89"/>
        <v>F019</v>
      </c>
      <c r="R792" s="29" t="str">
        <f t="shared" si="90"/>
        <v>JuneF0</v>
      </c>
    </row>
    <row r="793" spans="1:18">
      <c r="A793" s="483">
        <f t="shared" si="91"/>
        <v>789</v>
      </c>
      <c r="B793" s="484">
        <v>6</v>
      </c>
      <c r="C793" s="499">
        <v>36702</v>
      </c>
      <c r="D793" s="763" t="str">
        <f t="shared" si="87"/>
        <v>June</v>
      </c>
      <c r="E793" s="486">
        <v>25</v>
      </c>
      <c r="F793" s="472">
        <v>2000</v>
      </c>
      <c r="G793" s="484" t="s">
        <v>114</v>
      </c>
      <c r="H793" s="472" t="s">
        <v>122</v>
      </c>
      <c r="I793" s="486">
        <v>25</v>
      </c>
      <c r="J793" s="486">
        <v>1.5</v>
      </c>
      <c r="K793" s="472">
        <f t="shared" si="92"/>
        <v>15</v>
      </c>
      <c r="L793" s="473">
        <v>0.66180555555555554</v>
      </c>
      <c r="M793" s="474">
        <f t="shared" si="86"/>
        <v>0.66180555555555554</v>
      </c>
      <c r="N793" s="519">
        <v>0.66736111111111107</v>
      </c>
      <c r="P793" s="29" t="str">
        <f t="shared" si="88"/>
        <v>2000F0</v>
      </c>
      <c r="Q793" s="29" t="str">
        <f t="shared" si="89"/>
        <v>F015</v>
      </c>
      <c r="R793" s="29" t="str">
        <f t="shared" si="90"/>
        <v>JuneF0</v>
      </c>
    </row>
    <row r="794" spans="1:18">
      <c r="A794" s="483">
        <f t="shared" si="91"/>
        <v>790</v>
      </c>
      <c r="B794" s="484">
        <v>7</v>
      </c>
      <c r="C794" s="499">
        <v>36702</v>
      </c>
      <c r="D794" s="763" t="str">
        <f t="shared" si="87"/>
        <v>June</v>
      </c>
      <c r="E794" s="486">
        <v>25</v>
      </c>
      <c r="F794" s="472">
        <v>2000</v>
      </c>
      <c r="G794" s="484" t="s">
        <v>114</v>
      </c>
      <c r="H794" s="472" t="s">
        <v>122</v>
      </c>
      <c r="I794" s="486">
        <v>25</v>
      </c>
      <c r="J794" s="486">
        <v>0.1</v>
      </c>
      <c r="K794" s="472">
        <f t="shared" si="92"/>
        <v>16</v>
      </c>
      <c r="L794" s="473">
        <v>0.68263888888888891</v>
      </c>
      <c r="M794" s="474">
        <f t="shared" si="86"/>
        <v>0.68263888888888891</v>
      </c>
      <c r="N794" s="519">
        <v>0.68402777777777779</v>
      </c>
      <c r="P794" s="29" t="str">
        <f t="shared" si="88"/>
        <v>2000F0</v>
      </c>
      <c r="Q794" s="29" t="str">
        <f t="shared" si="89"/>
        <v>F016</v>
      </c>
      <c r="R794" s="29" t="str">
        <f t="shared" si="90"/>
        <v>JuneF0</v>
      </c>
    </row>
    <row r="795" spans="1:18">
      <c r="A795" s="483">
        <f t="shared" si="91"/>
        <v>791</v>
      </c>
      <c r="B795" s="484">
        <v>8</v>
      </c>
      <c r="C795" s="499">
        <v>36822</v>
      </c>
      <c r="D795" s="763" t="str">
        <f t="shared" si="87"/>
        <v>October</v>
      </c>
      <c r="E795" s="486">
        <v>23</v>
      </c>
      <c r="F795" s="472">
        <v>2000</v>
      </c>
      <c r="G795" s="484" t="s">
        <v>118</v>
      </c>
      <c r="H795" s="472" t="s">
        <v>122</v>
      </c>
      <c r="I795" s="486">
        <v>50</v>
      </c>
      <c r="J795" s="486">
        <v>0.5</v>
      </c>
      <c r="K795" s="472">
        <f t="shared" si="92"/>
        <v>13</v>
      </c>
      <c r="L795" s="473">
        <v>0.54861111111111105</v>
      </c>
      <c r="M795" s="474">
        <f t="shared" si="86"/>
        <v>0.54861111111111105</v>
      </c>
      <c r="N795" s="519">
        <v>0.56944444444444442</v>
      </c>
      <c r="P795" s="29" t="str">
        <f t="shared" si="88"/>
        <v>2000F0</v>
      </c>
      <c r="Q795" s="29" t="str">
        <f t="shared" si="89"/>
        <v>F013</v>
      </c>
      <c r="R795" s="29" t="str">
        <f t="shared" si="90"/>
        <v>OctoberF0</v>
      </c>
    </row>
    <row r="796" spans="1:18">
      <c r="A796" s="483">
        <f t="shared" si="91"/>
        <v>792</v>
      </c>
      <c r="B796" s="484">
        <v>1</v>
      </c>
      <c r="C796" s="499">
        <v>36973</v>
      </c>
      <c r="D796" s="763" t="str">
        <f t="shared" si="87"/>
        <v>March</v>
      </c>
      <c r="E796" s="486">
        <v>23</v>
      </c>
      <c r="F796" s="472">
        <v>2001</v>
      </c>
      <c r="G796" s="484" t="s">
        <v>102</v>
      </c>
      <c r="H796" s="472" t="s">
        <v>122</v>
      </c>
      <c r="I796" s="486">
        <v>25</v>
      </c>
      <c r="J796" s="486">
        <v>0.1</v>
      </c>
      <c r="K796" s="472">
        <f t="shared" si="92"/>
        <v>15</v>
      </c>
      <c r="L796" s="473">
        <v>0.625</v>
      </c>
      <c r="M796" s="474">
        <f t="shared" si="86"/>
        <v>0.625</v>
      </c>
      <c r="N796" s="519">
        <v>0.63194444444444442</v>
      </c>
      <c r="P796" s="29" t="str">
        <f t="shared" si="88"/>
        <v>2001F0</v>
      </c>
      <c r="Q796" s="29" t="str">
        <f t="shared" si="89"/>
        <v>F015</v>
      </c>
      <c r="R796" s="29" t="str">
        <f t="shared" si="90"/>
        <v>MarchF0</v>
      </c>
    </row>
    <row r="797" spans="1:18">
      <c r="A797" s="483">
        <f t="shared" si="91"/>
        <v>793</v>
      </c>
      <c r="B797" s="484">
        <v>2</v>
      </c>
      <c r="C797" s="485">
        <v>36987</v>
      </c>
      <c r="D797" s="763" t="str">
        <f t="shared" si="87"/>
        <v>April</v>
      </c>
      <c r="E797" s="486">
        <v>6</v>
      </c>
      <c r="F797" s="472">
        <v>2001</v>
      </c>
      <c r="G797" s="484" t="s">
        <v>105</v>
      </c>
      <c r="H797" s="472" t="s">
        <v>123</v>
      </c>
      <c r="I797" s="486">
        <v>100</v>
      </c>
      <c r="J797" s="486">
        <v>10</v>
      </c>
      <c r="K797" s="472">
        <f t="shared" si="92"/>
        <v>17</v>
      </c>
      <c r="L797" s="473">
        <v>0.70833333333333337</v>
      </c>
      <c r="M797" s="474">
        <f t="shared" si="86"/>
        <v>0.70833333333333337</v>
      </c>
      <c r="N797" s="519">
        <v>0.71180555555555547</v>
      </c>
      <c r="P797" s="29" t="str">
        <f t="shared" si="88"/>
        <v>2001F1</v>
      </c>
      <c r="Q797" s="29" t="str">
        <f t="shared" si="89"/>
        <v>F117</v>
      </c>
      <c r="R797" s="29" t="str">
        <f t="shared" si="90"/>
        <v>AprilF1</v>
      </c>
    </row>
    <row r="798" spans="1:18">
      <c r="A798" s="483">
        <f t="shared" si="91"/>
        <v>794</v>
      </c>
      <c r="B798" s="484">
        <v>3</v>
      </c>
      <c r="C798" s="485">
        <v>36991</v>
      </c>
      <c r="D798" s="763" t="str">
        <f t="shared" si="87"/>
        <v>April</v>
      </c>
      <c r="E798" s="486">
        <v>10</v>
      </c>
      <c r="F798" s="472">
        <v>2001</v>
      </c>
      <c r="G798" s="484" t="s">
        <v>114</v>
      </c>
      <c r="H798" s="472" t="s">
        <v>123</v>
      </c>
      <c r="I798" s="486">
        <v>100</v>
      </c>
      <c r="J798" s="486">
        <v>1.5</v>
      </c>
      <c r="K798" s="472">
        <f t="shared" si="92"/>
        <v>21</v>
      </c>
      <c r="L798" s="473">
        <v>0.89027777777777783</v>
      </c>
      <c r="M798" s="474">
        <f t="shared" si="86"/>
        <v>0.89027777777777783</v>
      </c>
      <c r="N798" s="519">
        <v>0.89374999999999993</v>
      </c>
      <c r="P798" s="29" t="str">
        <f t="shared" si="88"/>
        <v>2001F1</v>
      </c>
      <c r="Q798" s="29" t="str">
        <f t="shared" si="89"/>
        <v>F121</v>
      </c>
      <c r="R798" s="29" t="str">
        <f t="shared" si="90"/>
        <v>AprilF1</v>
      </c>
    </row>
    <row r="799" spans="1:18">
      <c r="A799" s="483">
        <f t="shared" si="91"/>
        <v>795</v>
      </c>
      <c r="B799" s="484">
        <v>4</v>
      </c>
      <c r="C799" s="485">
        <v>36991</v>
      </c>
      <c r="D799" s="763" t="str">
        <f t="shared" si="87"/>
        <v>April</v>
      </c>
      <c r="E799" s="486">
        <v>10</v>
      </c>
      <c r="F799" s="472">
        <v>2001</v>
      </c>
      <c r="G799" s="484" t="s">
        <v>104</v>
      </c>
      <c r="H799" s="472" t="s">
        <v>124</v>
      </c>
      <c r="I799" s="486">
        <v>200</v>
      </c>
      <c r="J799" s="486">
        <v>4</v>
      </c>
      <c r="K799" s="472">
        <f t="shared" si="92"/>
        <v>22</v>
      </c>
      <c r="L799" s="473">
        <v>0.92083333333333339</v>
      </c>
      <c r="M799" s="474">
        <f t="shared" si="86"/>
        <v>0.92083333333333339</v>
      </c>
      <c r="N799" s="519">
        <v>0.9243055555555556</v>
      </c>
      <c r="P799" s="29" t="str">
        <f t="shared" si="88"/>
        <v>2001F2</v>
      </c>
      <c r="Q799" s="29" t="str">
        <f t="shared" si="89"/>
        <v>F222</v>
      </c>
      <c r="R799" s="29" t="str">
        <f t="shared" si="90"/>
        <v>AprilF2</v>
      </c>
    </row>
    <row r="800" spans="1:18">
      <c r="A800" s="483">
        <f t="shared" si="91"/>
        <v>796</v>
      </c>
      <c r="B800" s="484">
        <v>5</v>
      </c>
      <c r="C800" s="485">
        <v>36991</v>
      </c>
      <c r="D800" s="763" t="str">
        <f t="shared" si="87"/>
        <v>April</v>
      </c>
      <c r="E800" s="486">
        <v>10</v>
      </c>
      <c r="F800" s="472">
        <v>2001</v>
      </c>
      <c r="G800" s="484" t="s">
        <v>101</v>
      </c>
      <c r="H800" s="472" t="s">
        <v>124</v>
      </c>
      <c r="I800" s="486">
        <v>200</v>
      </c>
      <c r="J800" s="486">
        <v>12</v>
      </c>
      <c r="K800" s="472">
        <f t="shared" si="92"/>
        <v>22</v>
      </c>
      <c r="L800" s="473">
        <v>0.94444444444444453</v>
      </c>
      <c r="M800" s="474">
        <f t="shared" si="86"/>
        <v>0.94444444444444453</v>
      </c>
      <c r="N800" s="519">
        <v>0.96527777777777779</v>
      </c>
      <c r="P800" s="29" t="str">
        <f t="shared" si="88"/>
        <v>2001F2</v>
      </c>
      <c r="Q800" s="29" t="str">
        <f t="shared" si="89"/>
        <v>F222</v>
      </c>
      <c r="R800" s="29" t="str">
        <f t="shared" si="90"/>
        <v>AprilF2</v>
      </c>
    </row>
    <row r="801" spans="1:18">
      <c r="A801" s="483">
        <f t="shared" si="91"/>
        <v>797</v>
      </c>
      <c r="B801" s="484">
        <v>6</v>
      </c>
      <c r="C801" s="485">
        <v>36991</v>
      </c>
      <c r="D801" s="763" t="str">
        <f t="shared" si="87"/>
        <v>April</v>
      </c>
      <c r="E801" s="486">
        <v>10</v>
      </c>
      <c r="F801" s="472">
        <v>2001</v>
      </c>
      <c r="G801" s="484" t="s">
        <v>101</v>
      </c>
      <c r="H801" s="472" t="s">
        <v>123</v>
      </c>
      <c r="I801" s="486">
        <v>100</v>
      </c>
      <c r="J801" s="486">
        <v>6</v>
      </c>
      <c r="K801" s="472">
        <f t="shared" si="92"/>
        <v>23</v>
      </c>
      <c r="L801" s="473">
        <v>0.95833333333333337</v>
      </c>
      <c r="M801" s="474">
        <f t="shared" si="86"/>
        <v>0.95833333333333337</v>
      </c>
      <c r="N801" s="519">
        <v>0.96875</v>
      </c>
      <c r="P801" s="29" t="str">
        <f t="shared" si="88"/>
        <v>2001F1</v>
      </c>
      <c r="Q801" s="29" t="str">
        <f t="shared" si="89"/>
        <v>F123</v>
      </c>
      <c r="R801" s="29" t="str">
        <f t="shared" si="90"/>
        <v>AprilF1</v>
      </c>
    </row>
    <row r="802" spans="1:18">
      <c r="A802" s="483">
        <f t="shared" si="91"/>
        <v>798</v>
      </c>
      <c r="B802" s="484">
        <v>7</v>
      </c>
      <c r="C802" s="485">
        <v>36991</v>
      </c>
      <c r="D802" s="763" t="str">
        <f t="shared" si="87"/>
        <v>April</v>
      </c>
      <c r="E802" s="486">
        <v>10</v>
      </c>
      <c r="F802" s="472">
        <v>2001</v>
      </c>
      <c r="G802" s="484" t="s">
        <v>101</v>
      </c>
      <c r="H802" s="472" t="s">
        <v>122</v>
      </c>
      <c r="I802" s="486">
        <v>50</v>
      </c>
      <c r="J802" s="486">
        <v>2</v>
      </c>
      <c r="K802" s="472">
        <f t="shared" si="92"/>
        <v>23</v>
      </c>
      <c r="L802" s="473">
        <v>0.96527777777777779</v>
      </c>
      <c r="M802" s="474">
        <f t="shared" si="86"/>
        <v>0.96527777777777779</v>
      </c>
      <c r="N802" s="519">
        <v>0.97222222222222221</v>
      </c>
      <c r="P802" s="29" t="str">
        <f t="shared" si="88"/>
        <v>2001F0</v>
      </c>
      <c r="Q802" s="29" t="str">
        <f t="shared" si="89"/>
        <v>F023</v>
      </c>
      <c r="R802" s="29" t="str">
        <f t="shared" si="90"/>
        <v>AprilF0</v>
      </c>
    </row>
    <row r="803" spans="1:18">
      <c r="A803" s="483">
        <f t="shared" si="91"/>
        <v>799</v>
      </c>
      <c r="B803" s="484">
        <v>8</v>
      </c>
      <c r="C803" s="485">
        <v>36991</v>
      </c>
      <c r="D803" s="763" t="str">
        <f t="shared" si="87"/>
        <v>April</v>
      </c>
      <c r="E803" s="486">
        <v>10</v>
      </c>
      <c r="F803" s="472">
        <v>2001</v>
      </c>
      <c r="G803" s="484" t="s">
        <v>116</v>
      </c>
      <c r="H803" s="472" t="s">
        <v>124</v>
      </c>
      <c r="I803" s="486">
        <v>200</v>
      </c>
      <c r="J803" s="486">
        <v>6</v>
      </c>
      <c r="K803" s="472">
        <f t="shared" si="92"/>
        <v>23</v>
      </c>
      <c r="L803" s="473">
        <v>0.97013888888888899</v>
      </c>
      <c r="M803" s="474">
        <f t="shared" si="86"/>
        <v>0.97013888888888899</v>
      </c>
      <c r="N803" s="519">
        <v>0.98055555555555562</v>
      </c>
      <c r="P803" s="29" t="str">
        <f t="shared" si="88"/>
        <v>2001F2</v>
      </c>
      <c r="Q803" s="29" t="str">
        <f t="shared" si="89"/>
        <v>F223</v>
      </c>
      <c r="R803" s="29" t="str">
        <f t="shared" si="90"/>
        <v>AprilF2</v>
      </c>
    </row>
    <row r="804" spans="1:18">
      <c r="A804" s="483">
        <f t="shared" si="91"/>
        <v>800</v>
      </c>
      <c r="B804" s="484">
        <v>9</v>
      </c>
      <c r="C804" s="485">
        <v>37011</v>
      </c>
      <c r="D804" s="763" t="str">
        <f t="shared" si="87"/>
        <v>April</v>
      </c>
      <c r="E804" s="486">
        <v>30</v>
      </c>
      <c r="F804" s="472">
        <v>2001</v>
      </c>
      <c r="G804" s="484" t="s">
        <v>114</v>
      </c>
      <c r="H804" s="472" t="s">
        <v>122</v>
      </c>
      <c r="I804" s="486">
        <v>10</v>
      </c>
      <c r="J804" s="486">
        <v>0.1</v>
      </c>
      <c r="K804" s="472">
        <f t="shared" si="92"/>
        <v>19</v>
      </c>
      <c r="L804" s="473">
        <v>0.8208333333333333</v>
      </c>
      <c r="M804" s="474">
        <f t="shared" si="86"/>
        <v>0.8208333333333333</v>
      </c>
      <c r="N804" s="519">
        <v>0.82152777777777775</v>
      </c>
      <c r="P804" s="29" t="str">
        <f t="shared" si="88"/>
        <v>2001F0</v>
      </c>
      <c r="Q804" s="29" t="str">
        <f t="shared" si="89"/>
        <v>F019</v>
      </c>
      <c r="R804" s="29" t="str">
        <f t="shared" si="90"/>
        <v>AprilF0</v>
      </c>
    </row>
    <row r="805" spans="1:18">
      <c r="A805" s="483">
        <f t="shared" si="91"/>
        <v>801</v>
      </c>
      <c r="B805" s="484">
        <v>10</v>
      </c>
      <c r="C805" s="485">
        <v>37030</v>
      </c>
      <c r="D805" s="763" t="str">
        <f t="shared" si="87"/>
        <v>May</v>
      </c>
      <c r="E805" s="486">
        <v>19</v>
      </c>
      <c r="F805" s="472">
        <v>2001</v>
      </c>
      <c r="G805" s="484" t="s">
        <v>110</v>
      </c>
      <c r="H805" s="472" t="s">
        <v>122</v>
      </c>
      <c r="I805" s="486">
        <v>25</v>
      </c>
      <c r="J805" s="486">
        <v>0.2</v>
      </c>
      <c r="K805" s="472">
        <f t="shared" si="92"/>
        <v>9</v>
      </c>
      <c r="L805" s="473">
        <v>0.40625</v>
      </c>
      <c r="M805" s="474">
        <f t="shared" si="86"/>
        <v>0.40625</v>
      </c>
      <c r="N805" s="519">
        <v>0.40763888888888888</v>
      </c>
      <c r="P805" s="29" t="str">
        <f t="shared" si="88"/>
        <v>2001F0</v>
      </c>
      <c r="Q805" s="29" t="str">
        <f t="shared" si="89"/>
        <v>F09</v>
      </c>
      <c r="R805" s="29" t="str">
        <f t="shared" si="90"/>
        <v>MayF0</v>
      </c>
    </row>
    <row r="806" spans="1:18">
      <c r="A806" s="483">
        <f t="shared" si="91"/>
        <v>802</v>
      </c>
      <c r="B806" s="484">
        <v>11</v>
      </c>
      <c r="C806" s="485">
        <v>37040</v>
      </c>
      <c r="D806" s="763" t="str">
        <f t="shared" si="87"/>
        <v>May</v>
      </c>
      <c r="E806" s="486">
        <v>29</v>
      </c>
      <c r="F806" s="472">
        <v>2001</v>
      </c>
      <c r="G806" s="484" t="s">
        <v>118</v>
      </c>
      <c r="H806" s="472" t="s">
        <v>122</v>
      </c>
      <c r="I806" s="486">
        <v>25</v>
      </c>
      <c r="J806" s="486">
        <v>0.1</v>
      </c>
      <c r="K806" s="472">
        <f t="shared" si="92"/>
        <v>16</v>
      </c>
      <c r="L806" s="473">
        <v>0.69791666666666663</v>
      </c>
      <c r="M806" s="474">
        <f t="shared" si="86"/>
        <v>0.69791666666666663</v>
      </c>
      <c r="N806" s="519">
        <v>0.69861111111111107</v>
      </c>
      <c r="P806" s="29" t="str">
        <f t="shared" si="88"/>
        <v>2001F0</v>
      </c>
      <c r="Q806" s="29" t="str">
        <f t="shared" si="89"/>
        <v>F016</v>
      </c>
      <c r="R806" s="29" t="str">
        <f t="shared" si="90"/>
        <v>MayF0</v>
      </c>
    </row>
    <row r="807" spans="1:18">
      <c r="A807" s="483">
        <f t="shared" si="91"/>
        <v>803</v>
      </c>
      <c r="B807" s="484">
        <v>12</v>
      </c>
      <c r="C807" s="485">
        <v>37040</v>
      </c>
      <c r="D807" s="763" t="str">
        <f t="shared" si="87"/>
        <v>May</v>
      </c>
      <c r="E807" s="486">
        <v>29</v>
      </c>
      <c r="F807" s="472">
        <v>2001</v>
      </c>
      <c r="G807" s="484" t="s">
        <v>114</v>
      </c>
      <c r="H807" s="472" t="s">
        <v>122</v>
      </c>
      <c r="I807" s="486">
        <v>25</v>
      </c>
      <c r="J807" s="486">
        <v>0.2</v>
      </c>
      <c r="K807" s="472">
        <f t="shared" si="92"/>
        <v>17</v>
      </c>
      <c r="L807" s="473">
        <v>0.74652777777777779</v>
      </c>
      <c r="M807" s="474">
        <f t="shared" si="86"/>
        <v>0.74652777777777779</v>
      </c>
      <c r="N807" s="519">
        <v>0.74791666666666667</v>
      </c>
      <c r="P807" s="29" t="str">
        <f t="shared" si="88"/>
        <v>2001F0</v>
      </c>
      <c r="Q807" s="29" t="str">
        <f t="shared" si="89"/>
        <v>F017</v>
      </c>
      <c r="R807" s="29" t="str">
        <f t="shared" si="90"/>
        <v>MayF0</v>
      </c>
    </row>
    <row r="808" spans="1:18">
      <c r="A808" s="483">
        <f t="shared" si="91"/>
        <v>804</v>
      </c>
      <c r="B808" s="484">
        <v>13</v>
      </c>
      <c r="C808" s="485">
        <v>37040</v>
      </c>
      <c r="D808" s="763" t="str">
        <f t="shared" si="87"/>
        <v>May</v>
      </c>
      <c r="E808" s="486">
        <v>29</v>
      </c>
      <c r="F808" s="472">
        <v>2001</v>
      </c>
      <c r="G808" s="484" t="s">
        <v>114</v>
      </c>
      <c r="H808" s="472" t="s">
        <v>122</v>
      </c>
      <c r="I808" s="486">
        <v>25</v>
      </c>
      <c r="J808" s="486">
        <v>0.1</v>
      </c>
      <c r="K808" s="472">
        <f t="shared" si="92"/>
        <v>18</v>
      </c>
      <c r="L808" s="473">
        <v>0.75138888888888899</v>
      </c>
      <c r="M808" s="474">
        <f t="shared" si="86"/>
        <v>0.75138888888888899</v>
      </c>
      <c r="N808" s="519">
        <v>0.75208333333333333</v>
      </c>
      <c r="P808" s="29" t="str">
        <f t="shared" si="88"/>
        <v>2001F0</v>
      </c>
      <c r="Q808" s="29" t="str">
        <f t="shared" si="89"/>
        <v>F018</v>
      </c>
      <c r="R808" s="29" t="str">
        <f t="shared" si="90"/>
        <v>MayF0</v>
      </c>
    </row>
    <row r="809" spans="1:18">
      <c r="A809" s="483">
        <f t="shared" si="91"/>
        <v>805</v>
      </c>
      <c r="B809" s="484">
        <v>14</v>
      </c>
      <c r="C809" s="485">
        <v>37040</v>
      </c>
      <c r="D809" s="763" t="str">
        <f t="shared" si="87"/>
        <v>May</v>
      </c>
      <c r="E809" s="486">
        <v>29</v>
      </c>
      <c r="F809" s="472">
        <v>2001</v>
      </c>
      <c r="G809" s="484" t="s">
        <v>114</v>
      </c>
      <c r="H809" s="472" t="s">
        <v>122</v>
      </c>
      <c r="I809" s="486">
        <v>25</v>
      </c>
      <c r="J809" s="486">
        <v>0.1</v>
      </c>
      <c r="K809" s="472">
        <f t="shared" si="92"/>
        <v>18</v>
      </c>
      <c r="L809" s="473">
        <v>0.75347222222222221</v>
      </c>
      <c r="M809" s="474">
        <f t="shared" si="86"/>
        <v>0.75347222222222221</v>
      </c>
      <c r="N809" s="519">
        <v>0.75486111111111109</v>
      </c>
      <c r="P809" s="29" t="str">
        <f t="shared" si="88"/>
        <v>2001F0</v>
      </c>
      <c r="Q809" s="29" t="str">
        <f t="shared" si="89"/>
        <v>F018</v>
      </c>
      <c r="R809" s="29" t="str">
        <f t="shared" si="90"/>
        <v>MayF0</v>
      </c>
    </row>
    <row r="810" spans="1:18">
      <c r="A810" s="483">
        <f t="shared" si="91"/>
        <v>806</v>
      </c>
      <c r="B810" s="484">
        <v>15</v>
      </c>
      <c r="C810" s="485">
        <v>37040</v>
      </c>
      <c r="D810" s="763" t="str">
        <f t="shared" si="87"/>
        <v>May</v>
      </c>
      <c r="E810" s="486">
        <v>29</v>
      </c>
      <c r="F810" s="472">
        <v>2001</v>
      </c>
      <c r="G810" s="484" t="s">
        <v>114</v>
      </c>
      <c r="H810" s="472" t="s">
        <v>122</v>
      </c>
      <c r="I810" s="486">
        <v>20</v>
      </c>
      <c r="J810" s="486">
        <v>0.1</v>
      </c>
      <c r="K810" s="472">
        <f t="shared" si="92"/>
        <v>18</v>
      </c>
      <c r="L810" s="473">
        <v>0.75486111111111109</v>
      </c>
      <c r="M810" s="474">
        <f t="shared" si="86"/>
        <v>0.75486111111111109</v>
      </c>
      <c r="N810" s="519">
        <v>0.75555555555555554</v>
      </c>
      <c r="P810" s="29" t="str">
        <f t="shared" si="88"/>
        <v>2001F0</v>
      </c>
      <c r="Q810" s="29" t="str">
        <f t="shared" si="89"/>
        <v>F018</v>
      </c>
      <c r="R810" s="29" t="str">
        <f t="shared" si="90"/>
        <v>MayF0</v>
      </c>
    </row>
    <row r="811" spans="1:18">
      <c r="A811" s="483">
        <f t="shared" si="91"/>
        <v>807</v>
      </c>
      <c r="B811" s="484">
        <v>16</v>
      </c>
      <c r="C811" s="485">
        <v>37040</v>
      </c>
      <c r="D811" s="763" t="str">
        <f t="shared" si="87"/>
        <v>May</v>
      </c>
      <c r="E811" s="486">
        <v>29</v>
      </c>
      <c r="F811" s="472">
        <v>2001</v>
      </c>
      <c r="G811" s="484" t="s">
        <v>114</v>
      </c>
      <c r="H811" s="472" t="s">
        <v>125</v>
      </c>
      <c r="I811" s="486">
        <v>440</v>
      </c>
      <c r="J811" s="486">
        <v>10</v>
      </c>
      <c r="K811" s="472">
        <f t="shared" si="92"/>
        <v>18</v>
      </c>
      <c r="L811" s="473">
        <v>0.76041666666666663</v>
      </c>
      <c r="M811" s="474">
        <f t="shared" si="86"/>
        <v>0.76041666666666663</v>
      </c>
      <c r="N811" s="519">
        <v>0.78125</v>
      </c>
      <c r="P811" s="29" t="str">
        <f t="shared" si="88"/>
        <v>2001F3</v>
      </c>
      <c r="Q811" s="29" t="str">
        <f t="shared" si="89"/>
        <v>F318</v>
      </c>
      <c r="R811" s="29" t="str">
        <f t="shared" si="90"/>
        <v>MayF3</v>
      </c>
    </row>
    <row r="812" spans="1:18">
      <c r="A812" s="483">
        <f t="shared" si="91"/>
        <v>808</v>
      </c>
      <c r="B812" s="484">
        <v>17</v>
      </c>
      <c r="C812" s="485">
        <v>37040</v>
      </c>
      <c r="D812" s="763" t="str">
        <f t="shared" si="87"/>
        <v>May</v>
      </c>
      <c r="E812" s="486">
        <v>29</v>
      </c>
      <c r="F812" s="472">
        <v>2001</v>
      </c>
      <c r="G812" s="484" t="s">
        <v>114</v>
      </c>
      <c r="H812" s="472" t="s">
        <v>122</v>
      </c>
      <c r="I812" s="486">
        <v>20</v>
      </c>
      <c r="J812" s="486">
        <v>0.1</v>
      </c>
      <c r="K812" s="472">
        <f t="shared" si="92"/>
        <v>18</v>
      </c>
      <c r="L812" s="473">
        <v>0.76666666666666661</v>
      </c>
      <c r="M812" s="474">
        <f t="shared" si="86"/>
        <v>0.76666666666666661</v>
      </c>
      <c r="N812" s="519">
        <v>0.7680555555555556</v>
      </c>
      <c r="P812" s="29" t="str">
        <f t="shared" si="88"/>
        <v>2001F0</v>
      </c>
      <c r="Q812" s="29" t="str">
        <f t="shared" si="89"/>
        <v>F018</v>
      </c>
      <c r="R812" s="29" t="str">
        <f t="shared" si="90"/>
        <v>MayF0</v>
      </c>
    </row>
    <row r="813" spans="1:18">
      <c r="A813" s="483">
        <f t="shared" si="91"/>
        <v>809</v>
      </c>
      <c r="B813" s="484">
        <v>18</v>
      </c>
      <c r="C813" s="485">
        <v>37151</v>
      </c>
      <c r="D813" s="763" t="str">
        <f t="shared" si="87"/>
        <v>September</v>
      </c>
      <c r="E813" s="486">
        <v>17</v>
      </c>
      <c r="F813" s="472">
        <v>2001</v>
      </c>
      <c r="G813" s="484" t="s">
        <v>99</v>
      </c>
      <c r="H813" s="472" t="s">
        <v>122</v>
      </c>
      <c r="I813" s="486">
        <v>25</v>
      </c>
      <c r="J813" s="486">
        <v>0.1</v>
      </c>
      <c r="K813" s="472">
        <f t="shared" si="92"/>
        <v>15</v>
      </c>
      <c r="L813" s="473">
        <v>0.66180555555555554</v>
      </c>
      <c r="M813" s="474">
        <f t="shared" si="86"/>
        <v>0.66180555555555554</v>
      </c>
      <c r="N813" s="519">
        <v>0.66249999999999998</v>
      </c>
      <c r="P813" s="29" t="str">
        <f t="shared" si="88"/>
        <v>2001F0</v>
      </c>
      <c r="Q813" s="29" t="str">
        <f t="shared" si="89"/>
        <v>F015</v>
      </c>
      <c r="R813" s="29" t="str">
        <f t="shared" si="90"/>
        <v>SeptemberF0</v>
      </c>
    </row>
    <row r="814" spans="1:18">
      <c r="A814" s="483">
        <f t="shared" si="91"/>
        <v>810</v>
      </c>
      <c r="B814" s="484">
        <v>19</v>
      </c>
      <c r="C814" s="485">
        <v>37153</v>
      </c>
      <c r="D814" s="763" t="str">
        <f t="shared" si="87"/>
        <v>September</v>
      </c>
      <c r="E814" s="486">
        <v>19</v>
      </c>
      <c r="F814" s="472">
        <v>2001</v>
      </c>
      <c r="G814" s="484" t="s">
        <v>113</v>
      </c>
      <c r="H814" s="472" t="s">
        <v>122</v>
      </c>
      <c r="I814" s="486">
        <v>25</v>
      </c>
      <c r="J814" s="486">
        <v>0.2</v>
      </c>
      <c r="K814" s="472">
        <f t="shared" si="92"/>
        <v>17</v>
      </c>
      <c r="L814" s="473">
        <v>0.74652777777777779</v>
      </c>
      <c r="M814" s="474">
        <f t="shared" si="86"/>
        <v>0.74652777777777779</v>
      </c>
      <c r="N814" s="519">
        <v>0.74791666666666667</v>
      </c>
      <c r="P814" s="29" t="str">
        <f t="shared" si="88"/>
        <v>2001F0</v>
      </c>
      <c r="Q814" s="29" t="str">
        <f t="shared" si="89"/>
        <v>F017</v>
      </c>
      <c r="R814" s="29" t="str">
        <f t="shared" si="90"/>
        <v>SeptemberF0</v>
      </c>
    </row>
    <row r="815" spans="1:18">
      <c r="A815" s="483">
        <f t="shared" si="91"/>
        <v>811</v>
      </c>
      <c r="B815" s="484">
        <v>20</v>
      </c>
      <c r="C815" s="485">
        <v>37153</v>
      </c>
      <c r="D815" s="763" t="str">
        <f t="shared" si="87"/>
        <v>September</v>
      </c>
      <c r="E815" s="486">
        <v>19</v>
      </c>
      <c r="F815" s="472">
        <v>2001</v>
      </c>
      <c r="G815" s="484" t="s">
        <v>101</v>
      </c>
      <c r="H815" s="472" t="s">
        <v>122</v>
      </c>
      <c r="I815" s="486">
        <v>25</v>
      </c>
      <c r="J815" s="486">
        <v>0.1</v>
      </c>
      <c r="K815" s="472">
        <f t="shared" si="92"/>
        <v>18</v>
      </c>
      <c r="L815" s="473">
        <v>0.77083333333333337</v>
      </c>
      <c r="M815" s="474">
        <f t="shared" ref="M815:M877" si="93">+L815</f>
        <v>0.77083333333333337</v>
      </c>
      <c r="N815" s="519">
        <v>0.77222222222222225</v>
      </c>
      <c r="P815" s="29" t="str">
        <f t="shared" si="88"/>
        <v>2001F0</v>
      </c>
      <c r="Q815" s="29" t="str">
        <f t="shared" si="89"/>
        <v>F018</v>
      </c>
      <c r="R815" s="29" t="str">
        <f t="shared" si="90"/>
        <v>SeptemberF0</v>
      </c>
    </row>
    <row r="816" spans="1:18">
      <c r="A816" s="483">
        <f t="shared" si="91"/>
        <v>812</v>
      </c>
      <c r="B816" s="484">
        <v>1</v>
      </c>
      <c r="C816" s="485">
        <v>37381</v>
      </c>
      <c r="D816" s="763" t="str">
        <f t="shared" si="87"/>
        <v>May</v>
      </c>
      <c r="E816" s="486">
        <v>5</v>
      </c>
      <c r="F816" s="472">
        <v>2002</v>
      </c>
      <c r="G816" s="484" t="s">
        <v>117</v>
      </c>
      <c r="H816" s="472" t="s">
        <v>122</v>
      </c>
      <c r="I816" s="486">
        <v>25</v>
      </c>
      <c r="J816" s="486">
        <v>0.1</v>
      </c>
      <c r="K816" s="472">
        <f t="shared" si="92"/>
        <v>16</v>
      </c>
      <c r="L816" s="473">
        <v>0.68194444444444446</v>
      </c>
      <c r="M816" s="474">
        <f t="shared" si="93"/>
        <v>0.68194444444444446</v>
      </c>
      <c r="N816" s="519">
        <v>0.68402777777777779</v>
      </c>
      <c r="P816" s="29" t="str">
        <f t="shared" si="88"/>
        <v>2002F0</v>
      </c>
      <c r="Q816" s="29" t="str">
        <f t="shared" si="89"/>
        <v>F016</v>
      </c>
      <c r="R816" s="29" t="str">
        <f t="shared" si="90"/>
        <v>MayF0</v>
      </c>
    </row>
    <row r="817" spans="1:18">
      <c r="A817" s="483">
        <f t="shared" si="91"/>
        <v>813</v>
      </c>
      <c r="B817" s="484">
        <v>2</v>
      </c>
      <c r="C817" s="485">
        <v>37381</v>
      </c>
      <c r="D817" s="763" t="str">
        <f t="shared" si="87"/>
        <v>May</v>
      </c>
      <c r="E817" s="486">
        <v>5</v>
      </c>
      <c r="F817" s="472">
        <v>2002</v>
      </c>
      <c r="G817" s="484" t="s">
        <v>117</v>
      </c>
      <c r="H817" s="472" t="s">
        <v>122</v>
      </c>
      <c r="I817" s="486">
        <v>50</v>
      </c>
      <c r="J817" s="486">
        <v>0.5</v>
      </c>
      <c r="K817" s="472">
        <f t="shared" si="92"/>
        <v>16</v>
      </c>
      <c r="L817" s="473">
        <v>0.68819444444444444</v>
      </c>
      <c r="M817" s="474">
        <f t="shared" si="93"/>
        <v>0.68819444444444444</v>
      </c>
      <c r="N817" s="519">
        <v>0.69166666666666676</v>
      </c>
      <c r="P817" s="29" t="str">
        <f t="shared" si="88"/>
        <v>2002F0</v>
      </c>
      <c r="Q817" s="29" t="str">
        <f t="shared" si="89"/>
        <v>F016</v>
      </c>
      <c r="R817" s="29" t="str">
        <f t="shared" si="90"/>
        <v>MayF0</v>
      </c>
    </row>
    <row r="818" spans="1:18">
      <c r="A818" s="483">
        <f t="shared" si="91"/>
        <v>814</v>
      </c>
      <c r="B818" s="484">
        <v>3</v>
      </c>
      <c r="C818" s="485">
        <v>37381</v>
      </c>
      <c r="D818" s="763" t="str">
        <f t="shared" si="87"/>
        <v>May</v>
      </c>
      <c r="E818" s="486">
        <v>5</v>
      </c>
      <c r="F818" s="472">
        <v>2002</v>
      </c>
      <c r="G818" s="484" t="s">
        <v>109</v>
      </c>
      <c r="H818" s="472" t="s">
        <v>122</v>
      </c>
      <c r="I818" s="486">
        <v>25</v>
      </c>
      <c r="J818" s="486">
        <v>0.1</v>
      </c>
      <c r="K818" s="472">
        <f t="shared" si="92"/>
        <v>16</v>
      </c>
      <c r="L818" s="473">
        <v>0.69097222222222221</v>
      </c>
      <c r="M818" s="474">
        <f t="shared" si="93"/>
        <v>0.69097222222222221</v>
      </c>
      <c r="N818" s="519">
        <v>0.69305555555555554</v>
      </c>
      <c r="P818" s="29" t="str">
        <f t="shared" si="88"/>
        <v>2002F0</v>
      </c>
      <c r="Q818" s="29" t="str">
        <f t="shared" si="89"/>
        <v>F016</v>
      </c>
      <c r="R818" s="29" t="str">
        <f t="shared" si="90"/>
        <v>MayF0</v>
      </c>
    </row>
    <row r="819" spans="1:18">
      <c r="A819" s="483">
        <f t="shared" si="91"/>
        <v>815</v>
      </c>
      <c r="B819" s="484">
        <v>4</v>
      </c>
      <c r="C819" s="485">
        <v>37381</v>
      </c>
      <c r="D819" s="763" t="str">
        <f t="shared" si="87"/>
        <v>May</v>
      </c>
      <c r="E819" s="486">
        <v>5</v>
      </c>
      <c r="F819" s="472">
        <v>2002</v>
      </c>
      <c r="G819" s="484" t="s">
        <v>118</v>
      </c>
      <c r="H819" s="472" t="s">
        <v>124</v>
      </c>
      <c r="I819" s="486">
        <v>150</v>
      </c>
      <c r="J819" s="486">
        <v>2</v>
      </c>
      <c r="K819" s="472">
        <f t="shared" si="92"/>
        <v>17</v>
      </c>
      <c r="L819" s="473">
        <v>0.74652777777777779</v>
      </c>
      <c r="M819" s="474">
        <f t="shared" si="93"/>
        <v>0.74652777777777779</v>
      </c>
      <c r="N819" s="519">
        <v>0.75138888888888899</v>
      </c>
      <c r="P819" s="29" t="str">
        <f t="shared" si="88"/>
        <v>2002F2</v>
      </c>
      <c r="Q819" s="29" t="str">
        <f t="shared" si="89"/>
        <v>F217</v>
      </c>
      <c r="R819" s="29" t="str">
        <f t="shared" si="90"/>
        <v>MayF2</v>
      </c>
    </row>
    <row r="820" spans="1:18">
      <c r="A820" s="483">
        <f t="shared" si="91"/>
        <v>816</v>
      </c>
      <c r="B820" s="484">
        <v>5</v>
      </c>
      <c r="C820" s="485">
        <v>37381</v>
      </c>
      <c r="D820" s="763" t="str">
        <f t="shared" si="87"/>
        <v>May</v>
      </c>
      <c r="E820" s="486">
        <v>5</v>
      </c>
      <c r="F820" s="472">
        <v>2002</v>
      </c>
      <c r="G820" s="484" t="s">
        <v>118</v>
      </c>
      <c r="H820" s="472" t="s">
        <v>122</v>
      </c>
      <c r="I820" s="486">
        <v>25</v>
      </c>
      <c r="J820" s="486">
        <v>0.1</v>
      </c>
      <c r="K820" s="472">
        <f t="shared" si="92"/>
        <v>17</v>
      </c>
      <c r="L820" s="473">
        <v>0.74791666666666667</v>
      </c>
      <c r="M820" s="474">
        <f t="shared" si="93"/>
        <v>0.74791666666666667</v>
      </c>
      <c r="N820" s="519">
        <v>0.74930555555555556</v>
      </c>
      <c r="P820" s="29" t="str">
        <f t="shared" si="88"/>
        <v>2002F0</v>
      </c>
      <c r="Q820" s="29" t="str">
        <f t="shared" si="89"/>
        <v>F017</v>
      </c>
      <c r="R820" s="29" t="str">
        <f t="shared" si="90"/>
        <v>MayF0</v>
      </c>
    </row>
    <row r="821" spans="1:18">
      <c r="A821" s="483">
        <f t="shared" si="91"/>
        <v>817</v>
      </c>
      <c r="B821" s="484">
        <v>6</v>
      </c>
      <c r="C821" s="485">
        <v>37381</v>
      </c>
      <c r="D821" s="763" t="str">
        <f t="shared" si="87"/>
        <v>May</v>
      </c>
      <c r="E821" s="486">
        <v>5</v>
      </c>
      <c r="F821" s="472">
        <v>2002</v>
      </c>
      <c r="G821" s="484" t="s">
        <v>119</v>
      </c>
      <c r="H821" s="472" t="s">
        <v>122</v>
      </c>
      <c r="I821" s="486">
        <v>50</v>
      </c>
      <c r="J821" s="486">
        <v>0.4</v>
      </c>
      <c r="K821" s="472">
        <f t="shared" si="92"/>
        <v>18</v>
      </c>
      <c r="L821" s="473">
        <v>0.75763888888888886</v>
      </c>
      <c r="M821" s="474">
        <f t="shared" si="93"/>
        <v>0.75763888888888886</v>
      </c>
      <c r="N821" s="519">
        <v>0.76041666666666663</v>
      </c>
      <c r="P821" s="29" t="str">
        <f t="shared" si="88"/>
        <v>2002F0</v>
      </c>
      <c r="Q821" s="29" t="str">
        <f t="shared" si="89"/>
        <v>F018</v>
      </c>
      <c r="R821" s="29" t="str">
        <f t="shared" si="90"/>
        <v>MayF0</v>
      </c>
    </row>
    <row r="822" spans="1:18">
      <c r="A822" s="483">
        <f t="shared" si="91"/>
        <v>818</v>
      </c>
      <c r="B822" s="484">
        <v>7</v>
      </c>
      <c r="C822" s="485">
        <v>37381</v>
      </c>
      <c r="D822" s="763" t="str">
        <f t="shared" si="87"/>
        <v>May</v>
      </c>
      <c r="E822" s="486">
        <v>5</v>
      </c>
      <c r="F822" s="472">
        <v>2002</v>
      </c>
      <c r="G822" s="484" t="s">
        <v>119</v>
      </c>
      <c r="H822" s="472" t="s">
        <v>122</v>
      </c>
      <c r="I822" s="486">
        <v>25</v>
      </c>
      <c r="J822" s="486">
        <v>0.3</v>
      </c>
      <c r="K822" s="472">
        <f t="shared" si="92"/>
        <v>18</v>
      </c>
      <c r="L822" s="473">
        <v>0.77083333333333337</v>
      </c>
      <c r="M822" s="474">
        <f t="shared" si="93"/>
        <v>0.77083333333333337</v>
      </c>
      <c r="N822" s="519">
        <v>0.7729166666666667</v>
      </c>
      <c r="P822" s="29" t="str">
        <f t="shared" si="88"/>
        <v>2002F0</v>
      </c>
      <c r="Q822" s="29" t="str">
        <f t="shared" si="89"/>
        <v>F018</v>
      </c>
      <c r="R822" s="29" t="str">
        <f t="shared" si="90"/>
        <v>MayF0</v>
      </c>
    </row>
    <row r="823" spans="1:18">
      <c r="A823" s="483">
        <f t="shared" si="91"/>
        <v>819</v>
      </c>
      <c r="B823" s="484">
        <v>8</v>
      </c>
      <c r="C823" s="485">
        <v>37381</v>
      </c>
      <c r="D823" s="763" t="str">
        <f t="shared" si="87"/>
        <v>May</v>
      </c>
      <c r="E823" s="486">
        <v>5</v>
      </c>
      <c r="F823" s="472">
        <v>2002</v>
      </c>
      <c r="G823" s="484" t="s">
        <v>119</v>
      </c>
      <c r="H823" s="472" t="s">
        <v>122</v>
      </c>
      <c r="I823" s="486">
        <v>25</v>
      </c>
      <c r="J823" s="486">
        <v>0.1</v>
      </c>
      <c r="K823" s="472">
        <f t="shared" si="92"/>
        <v>18</v>
      </c>
      <c r="L823" s="473">
        <v>0.77430555555555547</v>
      </c>
      <c r="M823" s="474">
        <f t="shared" si="93"/>
        <v>0.77430555555555547</v>
      </c>
      <c r="N823" s="519">
        <v>0.77430555555555547</v>
      </c>
      <c r="P823" s="29" t="str">
        <f t="shared" si="88"/>
        <v>2002F0</v>
      </c>
      <c r="Q823" s="29" t="str">
        <f t="shared" si="89"/>
        <v>F018</v>
      </c>
      <c r="R823" s="29" t="str">
        <f t="shared" si="90"/>
        <v>MayF0</v>
      </c>
    </row>
    <row r="824" spans="1:18">
      <c r="A824" s="483">
        <f t="shared" si="91"/>
        <v>820</v>
      </c>
      <c r="B824" s="484">
        <v>9</v>
      </c>
      <c r="C824" s="485">
        <v>37381</v>
      </c>
      <c r="D824" s="763" t="str">
        <f t="shared" si="87"/>
        <v>May</v>
      </c>
      <c r="E824" s="486">
        <v>5</v>
      </c>
      <c r="F824" s="472">
        <v>2002</v>
      </c>
      <c r="G824" s="484" t="s">
        <v>111</v>
      </c>
      <c r="H824" s="472" t="s">
        <v>122</v>
      </c>
      <c r="I824" s="486">
        <v>25</v>
      </c>
      <c r="J824" s="486">
        <v>2.5</v>
      </c>
      <c r="K824" s="472">
        <f t="shared" si="92"/>
        <v>18</v>
      </c>
      <c r="L824" s="473">
        <v>0.78749999999999998</v>
      </c>
      <c r="M824" s="474">
        <f t="shared" si="93"/>
        <v>0.78749999999999998</v>
      </c>
      <c r="N824" s="519">
        <v>0.79027777777777775</v>
      </c>
      <c r="P824" s="29" t="str">
        <f t="shared" si="88"/>
        <v>2002F0</v>
      </c>
      <c r="Q824" s="29" t="str">
        <f t="shared" si="89"/>
        <v>F018</v>
      </c>
      <c r="R824" s="29" t="str">
        <f t="shared" si="90"/>
        <v>MayF0</v>
      </c>
    </row>
    <row r="825" spans="1:18">
      <c r="A825" s="483">
        <f t="shared" si="91"/>
        <v>821</v>
      </c>
      <c r="B825" s="484">
        <v>10</v>
      </c>
      <c r="C825" s="485">
        <v>37381</v>
      </c>
      <c r="D825" s="763" t="str">
        <f t="shared" si="87"/>
        <v>May</v>
      </c>
      <c r="E825" s="486">
        <v>5</v>
      </c>
      <c r="F825" s="472">
        <v>2002</v>
      </c>
      <c r="G825" s="484" t="s">
        <v>111</v>
      </c>
      <c r="H825" s="472" t="s">
        <v>122</v>
      </c>
      <c r="I825" s="486">
        <v>25</v>
      </c>
      <c r="J825" s="486">
        <v>0.5</v>
      </c>
      <c r="K825" s="472">
        <f t="shared" si="92"/>
        <v>18</v>
      </c>
      <c r="L825" s="473">
        <v>0.79027777777777775</v>
      </c>
      <c r="M825" s="474">
        <f t="shared" si="93"/>
        <v>0.79027777777777775</v>
      </c>
      <c r="N825" s="519">
        <v>0.79027777777777775</v>
      </c>
      <c r="P825" s="29" t="str">
        <f t="shared" si="88"/>
        <v>2002F0</v>
      </c>
      <c r="Q825" s="29" t="str">
        <f t="shared" si="89"/>
        <v>F018</v>
      </c>
      <c r="R825" s="29" t="str">
        <f t="shared" si="90"/>
        <v>MayF0</v>
      </c>
    </row>
    <row r="826" spans="1:18">
      <c r="A826" s="483">
        <f t="shared" si="91"/>
        <v>822</v>
      </c>
      <c r="B826" s="484">
        <v>11</v>
      </c>
      <c r="C826" s="485">
        <v>37381</v>
      </c>
      <c r="D826" s="763" t="str">
        <f t="shared" si="87"/>
        <v>May</v>
      </c>
      <c r="E826" s="486">
        <v>5</v>
      </c>
      <c r="F826" s="472">
        <v>2002</v>
      </c>
      <c r="G826" s="484" t="s">
        <v>119</v>
      </c>
      <c r="H826" s="472" t="s">
        <v>122</v>
      </c>
      <c r="I826" s="486">
        <v>25</v>
      </c>
      <c r="J826" s="486">
        <v>0.2</v>
      </c>
      <c r="K826" s="472">
        <f t="shared" si="92"/>
        <v>19</v>
      </c>
      <c r="L826" s="473">
        <v>0.79861111111111116</v>
      </c>
      <c r="M826" s="474">
        <f t="shared" si="93"/>
        <v>0.79861111111111116</v>
      </c>
      <c r="N826" s="519">
        <v>0.80069444444444438</v>
      </c>
      <c r="P826" s="29" t="str">
        <f t="shared" si="88"/>
        <v>2002F0</v>
      </c>
      <c r="Q826" s="29" t="str">
        <f t="shared" si="89"/>
        <v>F019</v>
      </c>
      <c r="R826" s="29" t="str">
        <f t="shared" si="90"/>
        <v>MayF0</v>
      </c>
    </row>
    <row r="827" spans="1:18">
      <c r="A827" s="483">
        <f t="shared" si="91"/>
        <v>823</v>
      </c>
      <c r="B827" s="484">
        <v>12</v>
      </c>
      <c r="C827" s="485">
        <v>37381</v>
      </c>
      <c r="D827" s="763" t="str">
        <f t="shared" si="87"/>
        <v>May</v>
      </c>
      <c r="E827" s="486">
        <v>5</v>
      </c>
      <c r="F827" s="472">
        <v>2002</v>
      </c>
      <c r="G827" s="484" t="s">
        <v>120</v>
      </c>
      <c r="H827" s="472" t="s">
        <v>122</v>
      </c>
      <c r="I827" s="486">
        <v>25</v>
      </c>
      <c r="J827" s="486">
        <v>0.2</v>
      </c>
      <c r="K827" s="472">
        <f t="shared" si="92"/>
        <v>20</v>
      </c>
      <c r="L827" s="473">
        <v>0.84375</v>
      </c>
      <c r="M827" s="474">
        <f t="shared" si="93"/>
        <v>0.84375</v>
      </c>
      <c r="N827" s="519">
        <v>0.84583333333333333</v>
      </c>
      <c r="P827" s="29" t="str">
        <f t="shared" si="88"/>
        <v>2002F0</v>
      </c>
      <c r="Q827" s="29" t="str">
        <f t="shared" si="89"/>
        <v>F020</v>
      </c>
      <c r="R827" s="29" t="str">
        <f t="shared" si="90"/>
        <v>MayF0</v>
      </c>
    </row>
    <row r="828" spans="1:18">
      <c r="A828" s="483">
        <f t="shared" si="91"/>
        <v>824</v>
      </c>
      <c r="B828" s="484">
        <v>13</v>
      </c>
      <c r="C828" s="485">
        <v>37387</v>
      </c>
      <c r="D828" s="763" t="str">
        <f t="shared" si="87"/>
        <v>May</v>
      </c>
      <c r="E828" s="486">
        <v>11</v>
      </c>
      <c r="F828" s="472">
        <v>2002</v>
      </c>
      <c r="G828" s="484" t="s">
        <v>108</v>
      </c>
      <c r="H828" s="472" t="s">
        <v>122</v>
      </c>
      <c r="I828" s="486">
        <v>25</v>
      </c>
      <c r="J828" s="486">
        <v>0.1</v>
      </c>
      <c r="K828" s="472">
        <f t="shared" si="92"/>
        <v>0</v>
      </c>
      <c r="L828" s="473">
        <v>3.5416666666666666E-2</v>
      </c>
      <c r="M828" s="474">
        <f t="shared" si="93"/>
        <v>3.5416666666666666E-2</v>
      </c>
      <c r="N828" s="519">
        <v>3.6805555555555557E-2</v>
      </c>
      <c r="P828" s="29" t="str">
        <f t="shared" si="88"/>
        <v>2002F0</v>
      </c>
      <c r="Q828" s="29" t="str">
        <f t="shared" si="89"/>
        <v>F00</v>
      </c>
      <c r="R828" s="29" t="str">
        <f t="shared" si="90"/>
        <v>MayF0</v>
      </c>
    </row>
    <row r="829" spans="1:18">
      <c r="A829" s="483">
        <f t="shared" si="91"/>
        <v>825</v>
      </c>
      <c r="B829" s="484">
        <v>14</v>
      </c>
      <c r="C829" s="485">
        <v>37392</v>
      </c>
      <c r="D829" s="763" t="str">
        <f t="shared" si="87"/>
        <v>May</v>
      </c>
      <c r="E829" s="486">
        <v>16</v>
      </c>
      <c r="F829" s="472">
        <v>2002</v>
      </c>
      <c r="G829" s="484" t="s">
        <v>100</v>
      </c>
      <c r="H829" s="472" t="s">
        <v>122</v>
      </c>
      <c r="I829" s="486">
        <v>25</v>
      </c>
      <c r="J829" s="486">
        <v>0.1</v>
      </c>
      <c r="K829" s="472">
        <f t="shared" si="92"/>
        <v>18</v>
      </c>
      <c r="L829" s="473">
        <v>0.75</v>
      </c>
      <c r="M829" s="474">
        <f t="shared" si="93"/>
        <v>0.75</v>
      </c>
      <c r="N829" s="519">
        <v>0.75138888888888899</v>
      </c>
      <c r="P829" s="29" t="str">
        <f t="shared" si="88"/>
        <v>2002F0</v>
      </c>
      <c r="Q829" s="29" t="str">
        <f t="shared" si="89"/>
        <v>F018</v>
      </c>
      <c r="R829" s="29" t="str">
        <f t="shared" si="90"/>
        <v>MayF0</v>
      </c>
    </row>
    <row r="830" spans="1:18">
      <c r="A830" s="483">
        <f t="shared" si="91"/>
        <v>826</v>
      </c>
      <c r="B830" s="484">
        <v>15</v>
      </c>
      <c r="C830" s="485">
        <v>37392</v>
      </c>
      <c r="D830" s="763" t="str">
        <f t="shared" si="87"/>
        <v>May</v>
      </c>
      <c r="E830" s="486">
        <v>16</v>
      </c>
      <c r="F830" s="472">
        <v>2002</v>
      </c>
      <c r="G830" s="484" t="s">
        <v>100</v>
      </c>
      <c r="H830" s="472" t="s">
        <v>122</v>
      </c>
      <c r="I830" s="486">
        <v>25</v>
      </c>
      <c r="J830" s="486">
        <v>0.1</v>
      </c>
      <c r="K830" s="472">
        <f t="shared" si="92"/>
        <v>18</v>
      </c>
      <c r="L830" s="473">
        <v>0.77777777777777779</v>
      </c>
      <c r="M830" s="474">
        <f t="shared" si="93"/>
        <v>0.77777777777777779</v>
      </c>
      <c r="N830" s="519">
        <v>0.77986111111111101</v>
      </c>
      <c r="P830" s="29" t="str">
        <f t="shared" si="88"/>
        <v>2002F0</v>
      </c>
      <c r="Q830" s="29" t="str">
        <f t="shared" si="89"/>
        <v>F018</v>
      </c>
      <c r="R830" s="29" t="str">
        <f t="shared" si="90"/>
        <v>MayF0</v>
      </c>
    </row>
    <row r="831" spans="1:18">
      <c r="A831" s="483">
        <f t="shared" si="91"/>
        <v>827</v>
      </c>
      <c r="B831" s="484">
        <v>16</v>
      </c>
      <c r="C831" s="485">
        <v>37392</v>
      </c>
      <c r="D831" s="763" t="str">
        <f t="shared" si="87"/>
        <v>May</v>
      </c>
      <c r="E831" s="486">
        <v>16</v>
      </c>
      <c r="F831" s="472">
        <v>2002</v>
      </c>
      <c r="G831" s="484" t="s">
        <v>109</v>
      </c>
      <c r="H831" s="472" t="s">
        <v>123</v>
      </c>
      <c r="I831" s="486">
        <v>100</v>
      </c>
      <c r="J831" s="486">
        <v>0.1</v>
      </c>
      <c r="K831" s="472">
        <f t="shared" si="92"/>
        <v>19</v>
      </c>
      <c r="L831" s="473">
        <v>0.82638888888888884</v>
      </c>
      <c r="M831" s="474">
        <f t="shared" si="93"/>
        <v>0.82638888888888884</v>
      </c>
      <c r="N831" s="519">
        <v>0.82986111111111116</v>
      </c>
      <c r="P831" s="29" t="str">
        <f t="shared" si="88"/>
        <v>2002F1</v>
      </c>
      <c r="Q831" s="29" t="str">
        <f t="shared" si="89"/>
        <v>F119</v>
      </c>
      <c r="R831" s="29" t="str">
        <f t="shared" si="90"/>
        <v>MayF1</v>
      </c>
    </row>
    <row r="832" spans="1:18">
      <c r="A832" s="483">
        <f t="shared" si="91"/>
        <v>828</v>
      </c>
      <c r="B832" s="484">
        <v>17</v>
      </c>
      <c r="C832" s="485">
        <v>37399</v>
      </c>
      <c r="D832" s="763" t="str">
        <f t="shared" si="87"/>
        <v>May</v>
      </c>
      <c r="E832" s="486">
        <v>23</v>
      </c>
      <c r="F832" s="472">
        <v>2002</v>
      </c>
      <c r="G832" s="484" t="s">
        <v>106</v>
      </c>
      <c r="H832" s="472" t="s">
        <v>122</v>
      </c>
      <c r="I832" s="486">
        <v>25</v>
      </c>
      <c r="J832" s="486">
        <v>0.1</v>
      </c>
      <c r="K832" s="472">
        <f t="shared" si="92"/>
        <v>17</v>
      </c>
      <c r="L832" s="473">
        <v>0.72916666666666663</v>
      </c>
      <c r="M832" s="474">
        <f t="shared" si="93"/>
        <v>0.72916666666666663</v>
      </c>
      <c r="N832" s="519">
        <v>0.73055555555555562</v>
      </c>
      <c r="P832" s="29" t="str">
        <f t="shared" si="88"/>
        <v>2002F0</v>
      </c>
      <c r="Q832" s="29" t="str">
        <f t="shared" si="89"/>
        <v>F017</v>
      </c>
      <c r="R832" s="29" t="str">
        <f t="shared" si="90"/>
        <v>MayF0</v>
      </c>
    </row>
    <row r="833" spans="1:18">
      <c r="A833" s="483">
        <f t="shared" si="91"/>
        <v>829</v>
      </c>
      <c r="B833" s="484">
        <v>18</v>
      </c>
      <c r="C833" s="485">
        <v>37399</v>
      </c>
      <c r="D833" s="763" t="str">
        <f t="shared" si="87"/>
        <v>May</v>
      </c>
      <c r="E833" s="486">
        <v>23</v>
      </c>
      <c r="F833" s="472">
        <v>2002</v>
      </c>
      <c r="G833" s="484" t="s">
        <v>109</v>
      </c>
      <c r="H833" s="472" t="s">
        <v>122</v>
      </c>
      <c r="I833" s="486">
        <v>25</v>
      </c>
      <c r="J833" s="486">
        <v>0.1</v>
      </c>
      <c r="K833" s="472">
        <f t="shared" si="92"/>
        <v>19</v>
      </c>
      <c r="L833" s="473">
        <v>0.82152777777777775</v>
      </c>
      <c r="M833" s="474">
        <f t="shared" si="93"/>
        <v>0.82152777777777775</v>
      </c>
      <c r="N833" s="519">
        <v>0.82291666666666663</v>
      </c>
      <c r="P833" s="29" t="str">
        <f t="shared" si="88"/>
        <v>2002F0</v>
      </c>
      <c r="Q833" s="29" t="str">
        <f t="shared" si="89"/>
        <v>F019</v>
      </c>
      <c r="R833" s="29" t="str">
        <f t="shared" si="90"/>
        <v>MayF0</v>
      </c>
    </row>
    <row r="834" spans="1:18">
      <c r="A834" s="483">
        <f t="shared" si="91"/>
        <v>830</v>
      </c>
      <c r="B834" s="484">
        <v>19</v>
      </c>
      <c r="C834" s="485">
        <v>37399</v>
      </c>
      <c r="D834" s="763" t="str">
        <f t="shared" si="87"/>
        <v>May</v>
      </c>
      <c r="E834" s="486">
        <v>23</v>
      </c>
      <c r="F834" s="472">
        <v>2002</v>
      </c>
      <c r="G834" s="484" t="s">
        <v>109</v>
      </c>
      <c r="H834" s="472" t="s">
        <v>122</v>
      </c>
      <c r="I834" s="486">
        <v>25</v>
      </c>
      <c r="J834" s="486">
        <v>0.1</v>
      </c>
      <c r="K834" s="472">
        <f t="shared" si="92"/>
        <v>20</v>
      </c>
      <c r="L834" s="473">
        <v>0.83680555555555547</v>
      </c>
      <c r="M834" s="474">
        <f t="shared" si="93"/>
        <v>0.83680555555555547</v>
      </c>
      <c r="N834" s="519">
        <v>0.83819444444444446</v>
      </c>
      <c r="P834" s="29" t="str">
        <f t="shared" si="88"/>
        <v>2002F0</v>
      </c>
      <c r="Q834" s="29" t="str">
        <f t="shared" si="89"/>
        <v>F020</v>
      </c>
      <c r="R834" s="29" t="str">
        <f t="shared" si="90"/>
        <v>MayF0</v>
      </c>
    </row>
    <row r="835" spans="1:18">
      <c r="A835" s="483">
        <f t="shared" si="91"/>
        <v>831</v>
      </c>
      <c r="B835" s="484">
        <v>20</v>
      </c>
      <c r="C835" s="485">
        <v>37399</v>
      </c>
      <c r="D835" s="763" t="str">
        <f t="shared" si="87"/>
        <v>May</v>
      </c>
      <c r="E835" s="486">
        <v>23</v>
      </c>
      <c r="F835" s="472">
        <v>2002</v>
      </c>
      <c r="G835" s="484" t="s">
        <v>110</v>
      </c>
      <c r="H835" s="472" t="s">
        <v>123</v>
      </c>
      <c r="I835" s="486">
        <v>100</v>
      </c>
      <c r="J835" s="486">
        <v>6</v>
      </c>
      <c r="K835" s="472">
        <f t="shared" ref="K835:K898" si="94">HOUR(M835)</f>
        <v>22</v>
      </c>
      <c r="L835" s="473">
        <v>0.93402777777777779</v>
      </c>
      <c r="M835" s="474">
        <f t="shared" si="93"/>
        <v>0.93402777777777779</v>
      </c>
      <c r="N835" s="519">
        <v>0.94097222222222221</v>
      </c>
      <c r="P835" s="29" t="str">
        <f t="shared" si="88"/>
        <v>2002F1</v>
      </c>
      <c r="Q835" s="29" t="str">
        <f t="shared" si="89"/>
        <v>F122</v>
      </c>
      <c r="R835" s="29" t="str">
        <f t="shared" si="90"/>
        <v>MayF1</v>
      </c>
    </row>
    <row r="836" spans="1:18">
      <c r="A836" s="483">
        <f t="shared" si="91"/>
        <v>832</v>
      </c>
      <c r="B836" s="484">
        <v>21</v>
      </c>
      <c r="C836" s="485">
        <v>37422</v>
      </c>
      <c r="D836" s="763" t="str">
        <f t="shared" si="87"/>
        <v>June</v>
      </c>
      <c r="E836" s="486">
        <v>15</v>
      </c>
      <c r="F836" s="472">
        <v>2002</v>
      </c>
      <c r="G836" s="484" t="s">
        <v>101</v>
      </c>
      <c r="H836" s="472" t="s">
        <v>122</v>
      </c>
      <c r="I836" s="486">
        <v>25</v>
      </c>
      <c r="J836" s="486">
        <v>0.2</v>
      </c>
      <c r="K836" s="472">
        <f t="shared" si="94"/>
        <v>17</v>
      </c>
      <c r="L836" s="473">
        <v>0.7104166666666667</v>
      </c>
      <c r="M836" s="474">
        <f t="shared" si="93"/>
        <v>0.7104166666666667</v>
      </c>
      <c r="N836" s="519">
        <v>0.71458333333333324</v>
      </c>
      <c r="P836" s="29" t="str">
        <f t="shared" si="88"/>
        <v>2002F0</v>
      </c>
      <c r="Q836" s="29" t="str">
        <f t="shared" si="89"/>
        <v>F017</v>
      </c>
      <c r="R836" s="29" t="str">
        <f t="shared" si="90"/>
        <v>JuneF0</v>
      </c>
    </row>
    <row r="837" spans="1:18">
      <c r="A837" s="483">
        <f t="shared" si="91"/>
        <v>833</v>
      </c>
      <c r="B837" s="484">
        <v>22</v>
      </c>
      <c r="C837" s="485">
        <v>37498</v>
      </c>
      <c r="D837" s="763" t="str">
        <f t="shared" ref="D837:D900" si="95">+TEXT(C837,"mmmm")</f>
        <v>August</v>
      </c>
      <c r="E837" s="486">
        <v>30</v>
      </c>
      <c r="F837" s="472">
        <v>2002</v>
      </c>
      <c r="G837" s="484" t="s">
        <v>117</v>
      </c>
      <c r="H837" s="472" t="s">
        <v>122</v>
      </c>
      <c r="I837" s="486">
        <v>25</v>
      </c>
      <c r="J837" s="486">
        <v>0.5</v>
      </c>
      <c r="K837" s="472">
        <f t="shared" si="94"/>
        <v>18</v>
      </c>
      <c r="L837" s="473">
        <v>0.75486111111111109</v>
      </c>
      <c r="M837" s="474">
        <f t="shared" si="93"/>
        <v>0.75486111111111109</v>
      </c>
      <c r="N837" s="519">
        <v>0.75763888888888886</v>
      </c>
      <c r="P837" s="29" t="str">
        <f t="shared" si="88"/>
        <v>2002F0</v>
      </c>
      <c r="Q837" s="29" t="str">
        <f t="shared" si="89"/>
        <v>F018</v>
      </c>
      <c r="R837" s="29" t="str">
        <f t="shared" si="90"/>
        <v>AugustF0</v>
      </c>
    </row>
    <row r="838" spans="1:18">
      <c r="A838" s="483">
        <f t="shared" si="91"/>
        <v>834</v>
      </c>
      <c r="B838" s="484">
        <v>1</v>
      </c>
      <c r="C838" s="485">
        <v>37726</v>
      </c>
      <c r="D838" s="763" t="str">
        <f t="shared" si="95"/>
        <v>April</v>
      </c>
      <c r="E838" s="486">
        <v>15</v>
      </c>
      <c r="F838" s="472">
        <v>2003</v>
      </c>
      <c r="G838" s="484" t="s">
        <v>116</v>
      </c>
      <c r="H838" s="472" t="s">
        <v>122</v>
      </c>
      <c r="I838" s="486">
        <v>200</v>
      </c>
      <c r="J838" s="486">
        <v>5</v>
      </c>
      <c r="K838" s="472">
        <f t="shared" si="94"/>
        <v>16</v>
      </c>
      <c r="L838" s="473">
        <v>0.67013888888888884</v>
      </c>
      <c r="M838" s="474">
        <f t="shared" si="93"/>
        <v>0.67013888888888884</v>
      </c>
      <c r="N838" s="519">
        <v>0.67708333333333337</v>
      </c>
      <c r="P838" s="29" t="str">
        <f t="shared" ref="P838:P901" si="96">CONCATENATE(F838,H838)</f>
        <v>2003F0</v>
      </c>
      <c r="Q838" s="29" t="str">
        <f t="shared" ref="Q838:Q901" si="97">CONCATENATE(H838,K838)</f>
        <v>F016</v>
      </c>
      <c r="R838" s="29" t="str">
        <f t="shared" ref="R838:R901" si="98">CONCATENATE(D838,H838)</f>
        <v>AprilF0</v>
      </c>
    </row>
    <row r="839" spans="1:18">
      <c r="A839" s="483">
        <f t="shared" ref="A839:A902" si="99">+A838+1</f>
        <v>835</v>
      </c>
      <c r="B839" s="484">
        <v>2</v>
      </c>
      <c r="C839" s="485">
        <v>37734</v>
      </c>
      <c r="D839" s="763" t="str">
        <f t="shared" si="95"/>
        <v>April</v>
      </c>
      <c r="E839" s="486">
        <v>23</v>
      </c>
      <c r="F839" s="472">
        <v>2003</v>
      </c>
      <c r="G839" s="484" t="s">
        <v>120</v>
      </c>
      <c r="H839" s="472" t="s">
        <v>123</v>
      </c>
      <c r="I839" s="486">
        <v>25</v>
      </c>
      <c r="J839" s="486">
        <v>0.1</v>
      </c>
      <c r="K839" s="472">
        <f t="shared" si="94"/>
        <v>11</v>
      </c>
      <c r="L839" s="473">
        <v>0.4694444444444445</v>
      </c>
      <c r="M839" s="474">
        <f t="shared" si="93"/>
        <v>0.4694444444444445</v>
      </c>
      <c r="N839" s="519">
        <v>0.47083333333333338</v>
      </c>
      <c r="P839" s="29" t="str">
        <f t="shared" si="96"/>
        <v>2003F1</v>
      </c>
      <c r="Q839" s="29" t="str">
        <f t="shared" si="97"/>
        <v>F111</v>
      </c>
      <c r="R839" s="29" t="str">
        <f t="shared" si="98"/>
        <v>AprilF1</v>
      </c>
    </row>
    <row r="840" spans="1:18">
      <c r="A840" s="483">
        <f t="shared" si="99"/>
        <v>836</v>
      </c>
      <c r="B840" s="484">
        <v>3</v>
      </c>
      <c r="C840" s="485">
        <v>37756</v>
      </c>
      <c r="D840" s="763" t="str">
        <f t="shared" si="95"/>
        <v>May</v>
      </c>
      <c r="E840" s="486">
        <v>15</v>
      </c>
      <c r="F840" s="472">
        <v>2003</v>
      </c>
      <c r="G840" s="484" t="s">
        <v>99</v>
      </c>
      <c r="H840" s="472" t="s">
        <v>122</v>
      </c>
      <c r="I840" s="486">
        <v>100</v>
      </c>
      <c r="J840" s="486">
        <v>0.1</v>
      </c>
      <c r="K840" s="472">
        <f t="shared" si="94"/>
        <v>15</v>
      </c>
      <c r="L840" s="473">
        <v>0.6333333333333333</v>
      </c>
      <c r="M840" s="474">
        <f t="shared" si="93"/>
        <v>0.6333333333333333</v>
      </c>
      <c r="N840" s="519">
        <v>0.63402777777777775</v>
      </c>
      <c r="P840" s="29" t="str">
        <f t="shared" si="96"/>
        <v>2003F0</v>
      </c>
      <c r="Q840" s="29" t="str">
        <f t="shared" si="97"/>
        <v>F015</v>
      </c>
      <c r="R840" s="29" t="str">
        <f t="shared" si="98"/>
        <v>MayF0</v>
      </c>
    </row>
    <row r="841" spans="1:18">
      <c r="A841" s="483">
        <f t="shared" si="99"/>
        <v>837</v>
      </c>
      <c r="B841" s="484">
        <v>4</v>
      </c>
      <c r="C841" s="485">
        <v>37756</v>
      </c>
      <c r="D841" s="763" t="str">
        <f t="shared" si="95"/>
        <v>May</v>
      </c>
      <c r="E841" s="486">
        <v>15</v>
      </c>
      <c r="F841" s="472">
        <v>2003</v>
      </c>
      <c r="G841" s="484" t="s">
        <v>99</v>
      </c>
      <c r="H841" s="472" t="s">
        <v>123</v>
      </c>
      <c r="I841" s="486">
        <v>200</v>
      </c>
      <c r="J841" s="486">
        <v>5</v>
      </c>
      <c r="K841" s="472">
        <f t="shared" si="94"/>
        <v>15</v>
      </c>
      <c r="L841" s="473">
        <v>0.64236111111111105</v>
      </c>
      <c r="M841" s="474">
        <f t="shared" si="93"/>
        <v>0.64236111111111105</v>
      </c>
      <c r="N841" s="519">
        <v>0.64930555555555558</v>
      </c>
      <c r="P841" s="29" t="str">
        <f t="shared" si="96"/>
        <v>2003F1</v>
      </c>
      <c r="Q841" s="29" t="str">
        <f t="shared" si="97"/>
        <v>F115</v>
      </c>
      <c r="R841" s="29" t="str">
        <f t="shared" si="98"/>
        <v>MayF1</v>
      </c>
    </row>
    <row r="842" spans="1:18">
      <c r="A842" s="483">
        <f t="shared" si="99"/>
        <v>838</v>
      </c>
      <c r="B842" s="484">
        <v>5</v>
      </c>
      <c r="C842" s="485">
        <v>37756</v>
      </c>
      <c r="D842" s="763" t="str">
        <f t="shared" si="95"/>
        <v>May</v>
      </c>
      <c r="E842" s="486">
        <v>15</v>
      </c>
      <c r="F842" s="472">
        <v>2003</v>
      </c>
      <c r="G842" s="484" t="s">
        <v>99</v>
      </c>
      <c r="H842" s="472" t="s">
        <v>122</v>
      </c>
      <c r="I842" s="486">
        <v>50</v>
      </c>
      <c r="J842" s="486">
        <v>0.1</v>
      </c>
      <c r="K842" s="472">
        <f t="shared" si="94"/>
        <v>15</v>
      </c>
      <c r="L842" s="473">
        <v>0.65625</v>
      </c>
      <c r="M842" s="474">
        <f t="shared" si="93"/>
        <v>0.65625</v>
      </c>
      <c r="N842" s="519">
        <v>0.65694444444444444</v>
      </c>
      <c r="P842" s="29" t="str">
        <f t="shared" si="96"/>
        <v>2003F0</v>
      </c>
      <c r="Q842" s="29" t="str">
        <f t="shared" si="97"/>
        <v>F015</v>
      </c>
      <c r="R842" s="29" t="str">
        <f t="shared" si="98"/>
        <v>MayF0</v>
      </c>
    </row>
    <row r="843" spans="1:18">
      <c r="A843" s="483">
        <f t="shared" si="99"/>
        <v>839</v>
      </c>
      <c r="B843" s="484">
        <v>6</v>
      </c>
      <c r="C843" s="485">
        <v>37756</v>
      </c>
      <c r="D843" s="763" t="str">
        <f t="shared" si="95"/>
        <v>May</v>
      </c>
      <c r="E843" s="486">
        <v>15</v>
      </c>
      <c r="F843" s="472">
        <v>2003</v>
      </c>
      <c r="G843" s="484" t="s">
        <v>102</v>
      </c>
      <c r="H843" s="472" t="s">
        <v>123</v>
      </c>
      <c r="I843" s="486">
        <v>1320</v>
      </c>
      <c r="J843" s="486">
        <v>10</v>
      </c>
      <c r="K843" s="472">
        <f t="shared" si="94"/>
        <v>16</v>
      </c>
      <c r="L843" s="473">
        <v>0.69166666666666676</v>
      </c>
      <c r="M843" s="474">
        <f t="shared" si="93"/>
        <v>0.69166666666666676</v>
      </c>
      <c r="N843" s="519">
        <v>0.7055555555555556</v>
      </c>
      <c r="P843" s="29" t="str">
        <f t="shared" si="96"/>
        <v>2003F1</v>
      </c>
      <c r="Q843" s="29" t="str">
        <f t="shared" si="97"/>
        <v>F116</v>
      </c>
      <c r="R843" s="29" t="str">
        <f t="shared" si="98"/>
        <v>MayF1</v>
      </c>
    </row>
    <row r="844" spans="1:18">
      <c r="A844" s="483">
        <f t="shared" si="99"/>
        <v>840</v>
      </c>
      <c r="B844" s="484">
        <v>7</v>
      </c>
      <c r="C844" s="485">
        <v>37756</v>
      </c>
      <c r="D844" s="763" t="str">
        <f t="shared" si="95"/>
        <v>May</v>
      </c>
      <c r="E844" s="486">
        <v>15</v>
      </c>
      <c r="F844" s="472">
        <v>2003</v>
      </c>
      <c r="G844" s="484" t="s">
        <v>102</v>
      </c>
      <c r="H844" s="472" t="s">
        <v>122</v>
      </c>
      <c r="I844" s="486">
        <v>500</v>
      </c>
      <c r="J844" s="486">
        <v>1</v>
      </c>
      <c r="K844" s="472">
        <f t="shared" si="94"/>
        <v>16</v>
      </c>
      <c r="L844" s="473">
        <v>0.69513888888888886</v>
      </c>
      <c r="M844" s="474">
        <f t="shared" si="93"/>
        <v>0.69513888888888886</v>
      </c>
      <c r="N844" s="519">
        <v>0.69791666666666663</v>
      </c>
      <c r="P844" s="29" t="str">
        <f t="shared" si="96"/>
        <v>2003F0</v>
      </c>
      <c r="Q844" s="29" t="str">
        <f t="shared" si="97"/>
        <v>F016</v>
      </c>
      <c r="R844" s="29" t="str">
        <f t="shared" si="98"/>
        <v>MayF0</v>
      </c>
    </row>
    <row r="845" spans="1:18">
      <c r="A845" s="483">
        <f t="shared" si="99"/>
        <v>841</v>
      </c>
      <c r="B845" s="484">
        <v>8</v>
      </c>
      <c r="C845" s="485">
        <v>37756</v>
      </c>
      <c r="D845" s="763" t="str">
        <f t="shared" si="95"/>
        <v>May</v>
      </c>
      <c r="E845" s="486">
        <v>15</v>
      </c>
      <c r="F845" s="472">
        <v>2003</v>
      </c>
      <c r="G845" s="484" t="s">
        <v>100</v>
      </c>
      <c r="H845" s="472" t="s">
        <v>122</v>
      </c>
      <c r="I845" s="486">
        <v>50</v>
      </c>
      <c r="J845" s="486">
        <v>0.1</v>
      </c>
      <c r="K845" s="472">
        <f t="shared" si="94"/>
        <v>17</v>
      </c>
      <c r="L845" s="473">
        <v>0.7402777777777777</v>
      </c>
      <c r="M845" s="474">
        <f t="shared" si="93"/>
        <v>0.7402777777777777</v>
      </c>
      <c r="N845" s="519">
        <v>0.74097222222222225</v>
      </c>
      <c r="P845" s="29" t="str">
        <f t="shared" si="96"/>
        <v>2003F0</v>
      </c>
      <c r="Q845" s="29" t="str">
        <f t="shared" si="97"/>
        <v>F017</v>
      </c>
      <c r="R845" s="29" t="str">
        <f t="shared" si="98"/>
        <v>MayF0</v>
      </c>
    </row>
    <row r="846" spans="1:18">
      <c r="A846" s="483">
        <f t="shared" si="99"/>
        <v>842</v>
      </c>
      <c r="B846" s="484">
        <v>9</v>
      </c>
      <c r="C846" s="485">
        <v>37756</v>
      </c>
      <c r="D846" s="763" t="str">
        <f t="shared" si="95"/>
        <v>May</v>
      </c>
      <c r="E846" s="486">
        <v>15</v>
      </c>
      <c r="F846" s="472">
        <v>2003</v>
      </c>
      <c r="G846" s="484" t="s">
        <v>100</v>
      </c>
      <c r="H846" s="472" t="s">
        <v>122</v>
      </c>
      <c r="I846" s="486">
        <v>30</v>
      </c>
      <c r="J846" s="486">
        <v>0.5</v>
      </c>
      <c r="K846" s="472">
        <f t="shared" si="94"/>
        <v>18</v>
      </c>
      <c r="L846" s="473">
        <v>0.76388888888888884</v>
      </c>
      <c r="M846" s="474">
        <f t="shared" si="93"/>
        <v>0.76388888888888884</v>
      </c>
      <c r="N846" s="519">
        <v>0.76527777777777783</v>
      </c>
      <c r="P846" s="29" t="str">
        <f t="shared" si="96"/>
        <v>2003F0</v>
      </c>
      <c r="Q846" s="29" t="str">
        <f t="shared" si="97"/>
        <v>F018</v>
      </c>
      <c r="R846" s="29" t="str">
        <f t="shared" si="98"/>
        <v>MayF0</v>
      </c>
    </row>
    <row r="847" spans="1:18">
      <c r="A847" s="483">
        <f t="shared" si="99"/>
        <v>843</v>
      </c>
      <c r="B847" s="484">
        <v>10</v>
      </c>
      <c r="C847" s="485">
        <v>37756</v>
      </c>
      <c r="D847" s="763" t="str">
        <f t="shared" si="95"/>
        <v>May</v>
      </c>
      <c r="E847" s="486">
        <v>15</v>
      </c>
      <c r="F847" s="472">
        <v>2003</v>
      </c>
      <c r="G847" s="484" t="s">
        <v>100</v>
      </c>
      <c r="H847" s="472" t="s">
        <v>122</v>
      </c>
      <c r="I847" s="486">
        <v>20</v>
      </c>
      <c r="J847" s="486">
        <v>0.5</v>
      </c>
      <c r="K847" s="472">
        <f t="shared" si="94"/>
        <v>18</v>
      </c>
      <c r="L847" s="473">
        <v>0.77430555555555547</v>
      </c>
      <c r="M847" s="474">
        <f t="shared" si="93"/>
        <v>0.77430555555555547</v>
      </c>
      <c r="N847" s="519">
        <v>0.77500000000000002</v>
      </c>
      <c r="P847" s="29" t="str">
        <f t="shared" si="96"/>
        <v>2003F0</v>
      </c>
      <c r="Q847" s="29" t="str">
        <f t="shared" si="97"/>
        <v>F018</v>
      </c>
      <c r="R847" s="29" t="str">
        <f t="shared" si="98"/>
        <v>MayF0</v>
      </c>
    </row>
    <row r="848" spans="1:18">
      <c r="A848" s="483">
        <f t="shared" si="99"/>
        <v>844</v>
      </c>
      <c r="B848" s="484">
        <v>11</v>
      </c>
      <c r="C848" s="485">
        <v>37756</v>
      </c>
      <c r="D848" s="763" t="str">
        <f t="shared" si="95"/>
        <v>May</v>
      </c>
      <c r="E848" s="486">
        <v>15</v>
      </c>
      <c r="F848" s="472">
        <v>2003</v>
      </c>
      <c r="G848" s="484" t="s">
        <v>103</v>
      </c>
      <c r="H848" s="472" t="s">
        <v>122</v>
      </c>
      <c r="I848" s="486">
        <v>50</v>
      </c>
      <c r="J848" s="486">
        <v>1</v>
      </c>
      <c r="K848" s="472">
        <f t="shared" si="94"/>
        <v>18</v>
      </c>
      <c r="L848" s="473">
        <v>0.77638888888888891</v>
      </c>
      <c r="M848" s="474">
        <f t="shared" si="93"/>
        <v>0.77638888888888891</v>
      </c>
      <c r="N848" s="519">
        <v>0.77777777777777779</v>
      </c>
      <c r="P848" s="29" t="str">
        <f t="shared" si="96"/>
        <v>2003F0</v>
      </c>
      <c r="Q848" s="29" t="str">
        <f t="shared" si="97"/>
        <v>F018</v>
      </c>
      <c r="R848" s="29" t="str">
        <f t="shared" si="98"/>
        <v>MayF0</v>
      </c>
    </row>
    <row r="849" spans="1:18">
      <c r="A849" s="483">
        <f t="shared" si="99"/>
        <v>845</v>
      </c>
      <c r="B849" s="484">
        <v>12</v>
      </c>
      <c r="C849" s="485">
        <v>37756</v>
      </c>
      <c r="D849" s="763" t="str">
        <f t="shared" si="95"/>
        <v>May</v>
      </c>
      <c r="E849" s="486">
        <v>15</v>
      </c>
      <c r="F849" s="472">
        <v>2003</v>
      </c>
      <c r="G849" s="484" t="s">
        <v>100</v>
      </c>
      <c r="H849" s="472" t="s">
        <v>122</v>
      </c>
      <c r="I849" s="486">
        <v>100</v>
      </c>
      <c r="J849" s="486">
        <v>0.3</v>
      </c>
      <c r="K849" s="472">
        <f t="shared" si="94"/>
        <v>18</v>
      </c>
      <c r="L849" s="473">
        <v>0.78125</v>
      </c>
      <c r="M849" s="474">
        <f t="shared" si="93"/>
        <v>0.78125</v>
      </c>
      <c r="N849" s="519">
        <v>0.78194444444444444</v>
      </c>
      <c r="P849" s="29" t="str">
        <f t="shared" si="96"/>
        <v>2003F0</v>
      </c>
      <c r="Q849" s="29" t="str">
        <f t="shared" si="97"/>
        <v>F018</v>
      </c>
      <c r="R849" s="29" t="str">
        <f t="shared" si="98"/>
        <v>MayF0</v>
      </c>
    </row>
    <row r="850" spans="1:18">
      <c r="A850" s="483">
        <f t="shared" si="99"/>
        <v>846</v>
      </c>
      <c r="B850" s="484">
        <v>13</v>
      </c>
      <c r="C850" s="485">
        <v>37756</v>
      </c>
      <c r="D850" s="763" t="str">
        <f t="shared" si="95"/>
        <v>May</v>
      </c>
      <c r="E850" s="486">
        <v>15</v>
      </c>
      <c r="F850" s="472">
        <v>2003</v>
      </c>
      <c r="G850" s="484" t="s">
        <v>108</v>
      </c>
      <c r="H850" s="472" t="s">
        <v>122</v>
      </c>
      <c r="I850" s="486">
        <v>200</v>
      </c>
      <c r="J850" s="486">
        <v>6</v>
      </c>
      <c r="K850" s="472">
        <f t="shared" si="94"/>
        <v>18</v>
      </c>
      <c r="L850" s="473">
        <v>0.79027777777777775</v>
      </c>
      <c r="M850" s="474">
        <f t="shared" si="93"/>
        <v>0.79027777777777775</v>
      </c>
      <c r="N850" s="519">
        <v>0.79583333333333339</v>
      </c>
      <c r="P850" s="29" t="str">
        <f t="shared" si="96"/>
        <v>2003F0</v>
      </c>
      <c r="Q850" s="29" t="str">
        <f t="shared" si="97"/>
        <v>F018</v>
      </c>
      <c r="R850" s="29" t="str">
        <f t="shared" si="98"/>
        <v>MayF0</v>
      </c>
    </row>
    <row r="851" spans="1:18">
      <c r="A851" s="483">
        <f t="shared" si="99"/>
        <v>847</v>
      </c>
      <c r="B851" s="484">
        <v>14</v>
      </c>
      <c r="C851" s="485">
        <v>37756</v>
      </c>
      <c r="D851" s="763" t="str">
        <f t="shared" si="95"/>
        <v>May</v>
      </c>
      <c r="E851" s="486">
        <v>15</v>
      </c>
      <c r="F851" s="472">
        <v>2003</v>
      </c>
      <c r="G851" s="484" t="s">
        <v>103</v>
      </c>
      <c r="H851" s="472" t="s">
        <v>122</v>
      </c>
      <c r="I851" s="486">
        <v>20</v>
      </c>
      <c r="J851" s="486">
        <v>0.1</v>
      </c>
      <c r="K851" s="472">
        <f t="shared" si="94"/>
        <v>19</v>
      </c>
      <c r="L851" s="473">
        <v>0.80208333333333337</v>
      </c>
      <c r="M851" s="474">
        <f t="shared" si="93"/>
        <v>0.80208333333333337</v>
      </c>
      <c r="N851" s="519">
        <v>0.80347222222222225</v>
      </c>
      <c r="P851" s="29" t="str">
        <f t="shared" si="96"/>
        <v>2003F0</v>
      </c>
      <c r="Q851" s="29" t="str">
        <f t="shared" si="97"/>
        <v>F019</v>
      </c>
      <c r="R851" s="29" t="str">
        <f t="shared" si="98"/>
        <v>MayF0</v>
      </c>
    </row>
    <row r="852" spans="1:18">
      <c r="A852" s="483">
        <f t="shared" si="99"/>
        <v>848</v>
      </c>
      <c r="B852" s="484">
        <v>15</v>
      </c>
      <c r="C852" s="485">
        <v>37756</v>
      </c>
      <c r="D852" s="763" t="str">
        <f t="shared" si="95"/>
        <v>May</v>
      </c>
      <c r="E852" s="486">
        <v>15</v>
      </c>
      <c r="F852" s="472">
        <v>2003</v>
      </c>
      <c r="G852" s="484" t="s">
        <v>103</v>
      </c>
      <c r="H852" s="472" t="s">
        <v>122</v>
      </c>
      <c r="I852" s="486">
        <v>50</v>
      </c>
      <c r="J852" s="486">
        <v>0.1</v>
      </c>
      <c r="K852" s="472">
        <f t="shared" si="94"/>
        <v>19</v>
      </c>
      <c r="L852" s="473">
        <v>0.80208333333333337</v>
      </c>
      <c r="M852" s="474">
        <f t="shared" si="93"/>
        <v>0.80208333333333337</v>
      </c>
      <c r="N852" s="519">
        <v>0.8027777777777777</v>
      </c>
      <c r="P852" s="29" t="str">
        <f t="shared" si="96"/>
        <v>2003F0</v>
      </c>
      <c r="Q852" s="29" t="str">
        <f t="shared" si="97"/>
        <v>F019</v>
      </c>
      <c r="R852" s="29" t="str">
        <f t="shared" si="98"/>
        <v>MayF0</v>
      </c>
    </row>
    <row r="853" spans="1:18">
      <c r="A853" s="483">
        <f t="shared" si="99"/>
        <v>849</v>
      </c>
      <c r="B853" s="484">
        <v>16</v>
      </c>
      <c r="C853" s="485">
        <v>37756</v>
      </c>
      <c r="D853" s="763" t="str">
        <f t="shared" si="95"/>
        <v>May</v>
      </c>
      <c r="E853" s="486">
        <v>15</v>
      </c>
      <c r="F853" s="472">
        <v>2003</v>
      </c>
      <c r="G853" s="484" t="s">
        <v>115</v>
      </c>
      <c r="H853" s="472" t="s">
        <v>122</v>
      </c>
      <c r="I853" s="486">
        <v>40</v>
      </c>
      <c r="J853" s="486">
        <v>0.1</v>
      </c>
      <c r="K853" s="472">
        <f t="shared" si="94"/>
        <v>19</v>
      </c>
      <c r="L853" s="473">
        <v>0.8125</v>
      </c>
      <c r="M853" s="474">
        <f t="shared" si="93"/>
        <v>0.8125</v>
      </c>
      <c r="N853" s="519">
        <v>0.81388888888888899</v>
      </c>
      <c r="P853" s="29" t="str">
        <f t="shared" si="96"/>
        <v>2003F0</v>
      </c>
      <c r="Q853" s="29" t="str">
        <f t="shared" si="97"/>
        <v>F019</v>
      </c>
      <c r="R853" s="29" t="str">
        <f t="shared" si="98"/>
        <v>MayF0</v>
      </c>
    </row>
    <row r="854" spans="1:18">
      <c r="A854" s="483">
        <f t="shared" si="99"/>
        <v>850</v>
      </c>
      <c r="B854" s="484">
        <v>17</v>
      </c>
      <c r="C854" s="485">
        <v>37756</v>
      </c>
      <c r="D854" s="763" t="str">
        <f t="shared" si="95"/>
        <v>May</v>
      </c>
      <c r="E854" s="486">
        <v>15</v>
      </c>
      <c r="F854" s="472">
        <v>2003</v>
      </c>
      <c r="G854" s="484" t="s">
        <v>103</v>
      </c>
      <c r="H854" s="472" t="s">
        <v>122</v>
      </c>
      <c r="I854" s="486">
        <v>50</v>
      </c>
      <c r="J854" s="486">
        <v>0.3</v>
      </c>
      <c r="K854" s="472">
        <f t="shared" si="94"/>
        <v>19</v>
      </c>
      <c r="L854" s="473">
        <v>0.81319444444444444</v>
      </c>
      <c r="M854" s="474">
        <f t="shared" si="93"/>
        <v>0.81319444444444444</v>
      </c>
      <c r="N854" s="519">
        <v>0.81597222222222221</v>
      </c>
      <c r="P854" s="29" t="str">
        <f t="shared" si="96"/>
        <v>2003F0</v>
      </c>
      <c r="Q854" s="29" t="str">
        <f t="shared" si="97"/>
        <v>F019</v>
      </c>
      <c r="R854" s="29" t="str">
        <f t="shared" si="98"/>
        <v>MayF0</v>
      </c>
    </row>
    <row r="855" spans="1:18">
      <c r="A855" s="483">
        <f t="shared" si="99"/>
        <v>851</v>
      </c>
      <c r="B855" s="484">
        <v>18</v>
      </c>
      <c r="C855" s="485">
        <v>37756</v>
      </c>
      <c r="D855" s="763" t="str">
        <f t="shared" si="95"/>
        <v>May</v>
      </c>
      <c r="E855" s="486">
        <v>15</v>
      </c>
      <c r="F855" s="472">
        <v>2003</v>
      </c>
      <c r="G855" s="484" t="s">
        <v>100</v>
      </c>
      <c r="H855" s="472" t="s">
        <v>123</v>
      </c>
      <c r="I855" s="486">
        <v>30</v>
      </c>
      <c r="J855" s="486">
        <v>2</v>
      </c>
      <c r="K855" s="472">
        <f t="shared" si="94"/>
        <v>19</v>
      </c>
      <c r="L855" s="473">
        <v>0.81458333333333333</v>
      </c>
      <c r="M855" s="474">
        <f t="shared" si="93"/>
        <v>0.81458333333333333</v>
      </c>
      <c r="N855" s="519">
        <v>0.81666666666666676</v>
      </c>
      <c r="P855" s="29" t="str">
        <f t="shared" si="96"/>
        <v>2003F1</v>
      </c>
      <c r="Q855" s="29" t="str">
        <f t="shared" si="97"/>
        <v>F119</v>
      </c>
      <c r="R855" s="29" t="str">
        <f t="shared" si="98"/>
        <v>MayF1</v>
      </c>
    </row>
    <row r="856" spans="1:18">
      <c r="A856" s="483">
        <f t="shared" si="99"/>
        <v>852</v>
      </c>
      <c r="B856" s="484">
        <v>19</v>
      </c>
      <c r="C856" s="485">
        <v>37756</v>
      </c>
      <c r="D856" s="763" t="str">
        <f t="shared" si="95"/>
        <v>May</v>
      </c>
      <c r="E856" s="486">
        <v>15</v>
      </c>
      <c r="F856" s="472">
        <v>2003</v>
      </c>
      <c r="G856" s="484" t="s">
        <v>120</v>
      </c>
      <c r="H856" s="472" t="s">
        <v>122</v>
      </c>
      <c r="I856" s="486">
        <v>50</v>
      </c>
      <c r="J856" s="486">
        <v>0.5</v>
      </c>
      <c r="K856" s="472">
        <f t="shared" si="94"/>
        <v>19</v>
      </c>
      <c r="L856" s="473">
        <v>0.81736111111111109</v>
      </c>
      <c r="M856" s="474">
        <f t="shared" si="93"/>
        <v>0.81736111111111109</v>
      </c>
      <c r="N856" s="519">
        <v>0.82013888888888886</v>
      </c>
      <c r="P856" s="29" t="str">
        <f t="shared" si="96"/>
        <v>2003F0</v>
      </c>
      <c r="Q856" s="29" t="str">
        <f t="shared" si="97"/>
        <v>F019</v>
      </c>
      <c r="R856" s="29" t="str">
        <f t="shared" si="98"/>
        <v>MayF0</v>
      </c>
    </row>
    <row r="857" spans="1:18">
      <c r="A857" s="483">
        <f t="shared" si="99"/>
        <v>853</v>
      </c>
      <c r="B857" s="484">
        <v>20</v>
      </c>
      <c r="C857" s="485">
        <v>37756</v>
      </c>
      <c r="D857" s="763" t="str">
        <f t="shared" si="95"/>
        <v>May</v>
      </c>
      <c r="E857" s="486">
        <v>15</v>
      </c>
      <c r="F857" s="472">
        <v>2003</v>
      </c>
      <c r="G857" s="484" t="s">
        <v>100</v>
      </c>
      <c r="H857" s="472" t="s">
        <v>122</v>
      </c>
      <c r="I857" s="486">
        <v>40</v>
      </c>
      <c r="J857" s="486">
        <v>1</v>
      </c>
      <c r="K857" s="472">
        <f t="shared" si="94"/>
        <v>19</v>
      </c>
      <c r="L857" s="473">
        <v>0.82291666666666663</v>
      </c>
      <c r="M857" s="474">
        <f t="shared" si="93"/>
        <v>0.82291666666666663</v>
      </c>
      <c r="N857" s="519">
        <v>0.82430555555555562</v>
      </c>
      <c r="P857" s="29" t="str">
        <f t="shared" si="96"/>
        <v>2003F0</v>
      </c>
      <c r="Q857" s="29" t="str">
        <f t="shared" si="97"/>
        <v>F019</v>
      </c>
      <c r="R857" s="29" t="str">
        <f t="shared" si="98"/>
        <v>MayF0</v>
      </c>
    </row>
    <row r="858" spans="1:18">
      <c r="A858" s="483">
        <f t="shared" si="99"/>
        <v>854</v>
      </c>
      <c r="B858" s="484">
        <v>21</v>
      </c>
      <c r="C858" s="485">
        <v>37756</v>
      </c>
      <c r="D858" s="763" t="str">
        <f t="shared" si="95"/>
        <v>May</v>
      </c>
      <c r="E858" s="486">
        <v>15</v>
      </c>
      <c r="F858" s="472">
        <v>2003</v>
      </c>
      <c r="G858" s="484" t="s">
        <v>120</v>
      </c>
      <c r="H858" s="472" t="s">
        <v>122</v>
      </c>
      <c r="I858" s="486">
        <v>20</v>
      </c>
      <c r="J858" s="486">
        <v>0.1</v>
      </c>
      <c r="K858" s="472">
        <f t="shared" si="94"/>
        <v>19</v>
      </c>
      <c r="L858" s="473">
        <v>0.83263888888888893</v>
      </c>
      <c r="M858" s="474">
        <f t="shared" si="93"/>
        <v>0.83263888888888893</v>
      </c>
      <c r="N858" s="519">
        <v>0.8340277777777777</v>
      </c>
      <c r="P858" s="29" t="str">
        <f t="shared" si="96"/>
        <v>2003F0</v>
      </c>
      <c r="Q858" s="29" t="str">
        <f t="shared" si="97"/>
        <v>F019</v>
      </c>
      <c r="R858" s="29" t="str">
        <f t="shared" si="98"/>
        <v>MayF0</v>
      </c>
    </row>
    <row r="859" spans="1:18">
      <c r="A859" s="483">
        <f t="shared" si="99"/>
        <v>855</v>
      </c>
      <c r="B859" s="484">
        <v>22</v>
      </c>
      <c r="C859" s="485">
        <v>37756</v>
      </c>
      <c r="D859" s="763" t="str">
        <f t="shared" si="95"/>
        <v>May</v>
      </c>
      <c r="E859" s="486">
        <v>15</v>
      </c>
      <c r="F859" s="472">
        <v>2003</v>
      </c>
      <c r="G859" s="484" t="s">
        <v>101</v>
      </c>
      <c r="H859" s="472" t="s">
        <v>122</v>
      </c>
      <c r="I859" s="486">
        <v>20</v>
      </c>
      <c r="J859" s="486">
        <v>0.8</v>
      </c>
      <c r="K859" s="472">
        <f t="shared" si="94"/>
        <v>20</v>
      </c>
      <c r="L859" s="473">
        <v>0.83333333333333337</v>
      </c>
      <c r="M859" s="474">
        <f t="shared" si="93"/>
        <v>0.83333333333333337</v>
      </c>
      <c r="N859" s="519">
        <v>0.83472222222222225</v>
      </c>
      <c r="P859" s="29" t="str">
        <f t="shared" si="96"/>
        <v>2003F0</v>
      </c>
      <c r="Q859" s="29" t="str">
        <f t="shared" si="97"/>
        <v>F020</v>
      </c>
      <c r="R859" s="29" t="str">
        <f t="shared" si="98"/>
        <v>MayF0</v>
      </c>
    </row>
    <row r="860" spans="1:18">
      <c r="A860" s="483">
        <f t="shared" si="99"/>
        <v>856</v>
      </c>
      <c r="B860" s="484">
        <v>23</v>
      </c>
      <c r="C860" s="485">
        <v>37756</v>
      </c>
      <c r="D860" s="763" t="str">
        <f t="shared" si="95"/>
        <v>May</v>
      </c>
      <c r="E860" s="486">
        <v>15</v>
      </c>
      <c r="F860" s="472">
        <v>2003</v>
      </c>
      <c r="G860" s="484" t="s">
        <v>109</v>
      </c>
      <c r="H860" s="472" t="s">
        <v>122</v>
      </c>
      <c r="I860" s="486">
        <v>30</v>
      </c>
      <c r="J860" s="486">
        <v>2</v>
      </c>
      <c r="K860" s="472">
        <f t="shared" si="94"/>
        <v>20</v>
      </c>
      <c r="L860" s="473">
        <v>0.84930555555555554</v>
      </c>
      <c r="M860" s="474">
        <f t="shared" si="93"/>
        <v>0.84930555555555554</v>
      </c>
      <c r="N860" s="519">
        <v>0.85277777777777775</v>
      </c>
      <c r="P860" s="29" t="str">
        <f t="shared" si="96"/>
        <v>2003F0</v>
      </c>
      <c r="Q860" s="29" t="str">
        <f t="shared" si="97"/>
        <v>F020</v>
      </c>
      <c r="R860" s="29" t="str">
        <f t="shared" si="98"/>
        <v>MayF0</v>
      </c>
    </row>
    <row r="861" spans="1:18">
      <c r="A861" s="483">
        <f t="shared" si="99"/>
        <v>857</v>
      </c>
      <c r="B861" s="484">
        <v>24</v>
      </c>
      <c r="C861" s="485">
        <v>37756</v>
      </c>
      <c r="D861" s="763" t="str">
        <f t="shared" si="95"/>
        <v>May</v>
      </c>
      <c r="E861" s="486">
        <v>15</v>
      </c>
      <c r="F861" s="472">
        <v>2003</v>
      </c>
      <c r="G861" s="484" t="s">
        <v>114</v>
      </c>
      <c r="H861" s="472" t="s">
        <v>122</v>
      </c>
      <c r="I861" s="486">
        <v>20</v>
      </c>
      <c r="J861" s="486">
        <v>0.1</v>
      </c>
      <c r="K861" s="472">
        <f t="shared" si="94"/>
        <v>20</v>
      </c>
      <c r="L861" s="473">
        <v>0.86388888888888893</v>
      </c>
      <c r="M861" s="474">
        <f t="shared" si="93"/>
        <v>0.86388888888888893</v>
      </c>
      <c r="N861" s="519">
        <v>0.86458333333333337</v>
      </c>
      <c r="P861" s="29" t="str">
        <f t="shared" si="96"/>
        <v>2003F0</v>
      </c>
      <c r="Q861" s="29" t="str">
        <f t="shared" si="97"/>
        <v>F020</v>
      </c>
      <c r="R861" s="29" t="str">
        <f t="shared" si="98"/>
        <v>MayF0</v>
      </c>
    </row>
    <row r="862" spans="1:18">
      <c r="A862" s="483">
        <f t="shared" si="99"/>
        <v>858</v>
      </c>
      <c r="B862" s="484">
        <v>25</v>
      </c>
      <c r="C862" s="485">
        <v>37756</v>
      </c>
      <c r="D862" s="763" t="str">
        <f t="shared" si="95"/>
        <v>May</v>
      </c>
      <c r="E862" s="486">
        <v>15</v>
      </c>
      <c r="F862" s="472">
        <v>2003</v>
      </c>
      <c r="G862" s="484" t="s">
        <v>116</v>
      </c>
      <c r="H862" s="472" t="s">
        <v>123</v>
      </c>
      <c r="I862" s="486">
        <v>100</v>
      </c>
      <c r="J862" s="486">
        <v>18</v>
      </c>
      <c r="K862" s="472">
        <f t="shared" si="94"/>
        <v>20</v>
      </c>
      <c r="L862" s="473">
        <v>0.86319444444444438</v>
      </c>
      <c r="M862" s="474">
        <f t="shared" si="93"/>
        <v>0.86319444444444438</v>
      </c>
      <c r="N862" s="519">
        <v>0.88888888888888884</v>
      </c>
      <c r="P862" s="29" t="str">
        <f t="shared" si="96"/>
        <v>2003F1</v>
      </c>
      <c r="Q862" s="29" t="str">
        <f t="shared" si="97"/>
        <v>F120</v>
      </c>
      <c r="R862" s="29" t="str">
        <f t="shared" si="98"/>
        <v>MayF1</v>
      </c>
    </row>
    <row r="863" spans="1:18">
      <c r="A863" s="483">
        <f t="shared" si="99"/>
        <v>859</v>
      </c>
      <c r="B863" s="484">
        <v>26</v>
      </c>
      <c r="C863" s="485">
        <v>37756</v>
      </c>
      <c r="D863" s="763" t="str">
        <f t="shared" si="95"/>
        <v>May</v>
      </c>
      <c r="E863" s="486">
        <v>15</v>
      </c>
      <c r="F863" s="472">
        <v>2003</v>
      </c>
      <c r="G863" s="484" t="s">
        <v>116</v>
      </c>
      <c r="H863" s="472" t="s">
        <v>122</v>
      </c>
      <c r="I863" s="486">
        <v>50</v>
      </c>
      <c r="J863" s="486">
        <v>0.5</v>
      </c>
      <c r="K863" s="472">
        <f t="shared" si="94"/>
        <v>21</v>
      </c>
      <c r="L863" s="473">
        <v>0.89583333333333337</v>
      </c>
      <c r="M863" s="474">
        <f t="shared" si="93"/>
        <v>0.89583333333333337</v>
      </c>
      <c r="N863" s="519">
        <v>0.8979166666666667</v>
      </c>
      <c r="P863" s="29" t="str">
        <f t="shared" si="96"/>
        <v>2003F0</v>
      </c>
      <c r="Q863" s="29" t="str">
        <f t="shared" si="97"/>
        <v>F021</v>
      </c>
      <c r="R863" s="29" t="str">
        <f t="shared" si="98"/>
        <v>MayF0</v>
      </c>
    </row>
    <row r="864" spans="1:18">
      <c r="A864" s="483">
        <f t="shared" si="99"/>
        <v>860</v>
      </c>
      <c r="B864" s="484">
        <v>27</v>
      </c>
      <c r="C864" s="485">
        <v>37756</v>
      </c>
      <c r="D864" s="763" t="str">
        <f t="shared" si="95"/>
        <v>May</v>
      </c>
      <c r="E864" s="486">
        <v>15</v>
      </c>
      <c r="F864" s="472">
        <v>2003</v>
      </c>
      <c r="G864" s="484" t="s">
        <v>116</v>
      </c>
      <c r="H864" s="472" t="s">
        <v>124</v>
      </c>
      <c r="I864" s="486">
        <v>1760</v>
      </c>
      <c r="J864" s="486">
        <v>10</v>
      </c>
      <c r="K864" s="472">
        <f t="shared" si="94"/>
        <v>21</v>
      </c>
      <c r="L864" s="473">
        <v>0.91180555555555554</v>
      </c>
      <c r="M864" s="474">
        <f t="shared" si="93"/>
        <v>0.91180555555555554</v>
      </c>
      <c r="N864" s="519">
        <v>0.91874999999999996</v>
      </c>
      <c r="P864" s="29" t="str">
        <f t="shared" si="96"/>
        <v>2003F2</v>
      </c>
      <c r="Q864" s="29" t="str">
        <f t="shared" si="97"/>
        <v>F221</v>
      </c>
      <c r="R864" s="29" t="str">
        <f t="shared" si="98"/>
        <v>MayF2</v>
      </c>
    </row>
    <row r="865" spans="1:18">
      <c r="A865" s="483">
        <f t="shared" si="99"/>
        <v>861</v>
      </c>
      <c r="B865" s="484">
        <v>28</v>
      </c>
      <c r="C865" s="485">
        <v>37756</v>
      </c>
      <c r="D865" s="763" t="str">
        <f t="shared" si="95"/>
        <v>May</v>
      </c>
      <c r="E865" s="486">
        <v>15</v>
      </c>
      <c r="F865" s="472">
        <v>2003</v>
      </c>
      <c r="G865" s="484" t="s">
        <v>116</v>
      </c>
      <c r="H865" s="472" t="s">
        <v>122</v>
      </c>
      <c r="I865" s="486">
        <v>50</v>
      </c>
      <c r="J865" s="486">
        <v>0.1</v>
      </c>
      <c r="K865" s="472">
        <f t="shared" si="94"/>
        <v>22</v>
      </c>
      <c r="L865" s="473">
        <v>0.93125000000000002</v>
      </c>
      <c r="M865" s="474">
        <f t="shared" si="93"/>
        <v>0.93125000000000002</v>
      </c>
      <c r="N865" s="519">
        <v>0.93263888888888891</v>
      </c>
      <c r="P865" s="29" t="str">
        <f t="shared" si="96"/>
        <v>2003F0</v>
      </c>
      <c r="Q865" s="29" t="str">
        <f t="shared" si="97"/>
        <v>F022</v>
      </c>
      <c r="R865" s="29" t="str">
        <f t="shared" si="98"/>
        <v>MayF0</v>
      </c>
    </row>
    <row r="866" spans="1:18">
      <c r="A866" s="483">
        <f t="shared" si="99"/>
        <v>862</v>
      </c>
      <c r="B866" s="484">
        <v>29</v>
      </c>
      <c r="C866" s="485">
        <v>37765</v>
      </c>
      <c r="D866" s="763" t="str">
        <f t="shared" si="95"/>
        <v>May</v>
      </c>
      <c r="E866" s="486">
        <v>24</v>
      </c>
      <c r="F866" s="472">
        <v>2003</v>
      </c>
      <c r="G866" s="484" t="s">
        <v>110</v>
      </c>
      <c r="H866" s="472" t="s">
        <v>122</v>
      </c>
      <c r="I866" s="486">
        <v>25</v>
      </c>
      <c r="J866" s="486">
        <v>0.2</v>
      </c>
      <c r="K866" s="472">
        <f t="shared" si="94"/>
        <v>17</v>
      </c>
      <c r="L866" s="473">
        <v>0.74236111111111114</v>
      </c>
      <c r="M866" s="474">
        <f t="shared" si="93"/>
        <v>0.74236111111111114</v>
      </c>
      <c r="N866" s="519">
        <v>0.74305555555555547</v>
      </c>
      <c r="P866" s="29" t="str">
        <f t="shared" si="96"/>
        <v>2003F0</v>
      </c>
      <c r="Q866" s="29" t="str">
        <f t="shared" si="97"/>
        <v>F017</v>
      </c>
      <c r="R866" s="29" t="str">
        <f t="shared" si="98"/>
        <v>MayF0</v>
      </c>
    </row>
    <row r="867" spans="1:18">
      <c r="A867" s="483">
        <f t="shared" si="99"/>
        <v>863</v>
      </c>
      <c r="B867" s="484">
        <v>30</v>
      </c>
      <c r="C867" s="485">
        <v>37765</v>
      </c>
      <c r="D867" s="763" t="str">
        <f t="shared" si="95"/>
        <v>May</v>
      </c>
      <c r="E867" s="486">
        <v>24</v>
      </c>
      <c r="F867" s="472">
        <v>2003</v>
      </c>
      <c r="G867" s="484" t="s">
        <v>115</v>
      </c>
      <c r="H867" s="472" t="s">
        <v>122</v>
      </c>
      <c r="I867" s="486">
        <v>50</v>
      </c>
      <c r="J867" s="486">
        <v>0.2</v>
      </c>
      <c r="K867" s="472">
        <f t="shared" si="94"/>
        <v>18</v>
      </c>
      <c r="L867" s="473">
        <v>0.76249999999999996</v>
      </c>
      <c r="M867" s="474">
        <f t="shared" si="93"/>
        <v>0.76249999999999996</v>
      </c>
      <c r="N867" s="519">
        <v>0.76388888888888884</v>
      </c>
      <c r="P867" s="29" t="str">
        <f t="shared" si="96"/>
        <v>2003F0</v>
      </c>
      <c r="Q867" s="29" t="str">
        <f t="shared" si="97"/>
        <v>F018</v>
      </c>
      <c r="R867" s="29" t="str">
        <f t="shared" si="98"/>
        <v>MayF0</v>
      </c>
    </row>
    <row r="868" spans="1:18">
      <c r="A868" s="483">
        <f t="shared" si="99"/>
        <v>864</v>
      </c>
      <c r="B868" s="484">
        <v>31</v>
      </c>
      <c r="C868" s="485">
        <v>37775</v>
      </c>
      <c r="D868" s="763" t="str">
        <f t="shared" si="95"/>
        <v>June</v>
      </c>
      <c r="E868" s="486">
        <v>3</v>
      </c>
      <c r="F868" s="472">
        <v>2003</v>
      </c>
      <c r="G868" s="484" t="s">
        <v>117</v>
      </c>
      <c r="H868" s="472" t="s">
        <v>122</v>
      </c>
      <c r="I868" s="486">
        <v>50</v>
      </c>
      <c r="J868" s="486">
        <v>0.2</v>
      </c>
      <c r="K868" s="472">
        <f t="shared" si="94"/>
        <v>18</v>
      </c>
      <c r="L868" s="473">
        <v>0.77569444444444446</v>
      </c>
      <c r="M868" s="474">
        <f t="shared" si="93"/>
        <v>0.77569444444444446</v>
      </c>
      <c r="N868" s="519">
        <v>0.78333333333333333</v>
      </c>
      <c r="P868" s="29" t="str">
        <f t="shared" si="96"/>
        <v>2003F0</v>
      </c>
      <c r="Q868" s="29" t="str">
        <f t="shared" si="97"/>
        <v>F018</v>
      </c>
      <c r="R868" s="29" t="str">
        <f t="shared" si="98"/>
        <v>JuneF0</v>
      </c>
    </row>
    <row r="869" spans="1:18">
      <c r="A869" s="483">
        <f t="shared" si="99"/>
        <v>865</v>
      </c>
      <c r="B869" s="484">
        <v>32</v>
      </c>
      <c r="C869" s="485">
        <v>37775</v>
      </c>
      <c r="D869" s="763" t="str">
        <f t="shared" si="95"/>
        <v>June</v>
      </c>
      <c r="E869" s="486">
        <v>3</v>
      </c>
      <c r="F869" s="472">
        <v>2003</v>
      </c>
      <c r="G869" s="484" t="s">
        <v>117</v>
      </c>
      <c r="H869" s="472" t="s">
        <v>122</v>
      </c>
      <c r="I869" s="486">
        <v>25</v>
      </c>
      <c r="J869" s="486">
        <v>0.1</v>
      </c>
      <c r="K869" s="472">
        <f t="shared" si="94"/>
        <v>19</v>
      </c>
      <c r="L869" s="473">
        <v>0.79722222222222217</v>
      </c>
      <c r="M869" s="474">
        <f t="shared" si="93"/>
        <v>0.79722222222222217</v>
      </c>
      <c r="N869" s="519">
        <v>0.7993055555555556</v>
      </c>
      <c r="P869" s="29" t="str">
        <f t="shared" si="96"/>
        <v>2003F0</v>
      </c>
      <c r="Q869" s="29" t="str">
        <f t="shared" si="97"/>
        <v>F019</v>
      </c>
      <c r="R869" s="29" t="str">
        <f t="shared" si="98"/>
        <v>JuneF0</v>
      </c>
    </row>
    <row r="870" spans="1:18">
      <c r="A870" s="483">
        <f t="shared" si="99"/>
        <v>866</v>
      </c>
      <c r="B870" s="484">
        <v>33</v>
      </c>
      <c r="C870" s="485">
        <v>37777</v>
      </c>
      <c r="D870" s="763" t="str">
        <f t="shared" si="95"/>
        <v>June</v>
      </c>
      <c r="E870" s="486">
        <v>5</v>
      </c>
      <c r="F870" s="472">
        <v>2003</v>
      </c>
      <c r="G870" s="484" t="s">
        <v>104</v>
      </c>
      <c r="H870" s="472" t="s">
        <v>122</v>
      </c>
      <c r="I870" s="486">
        <v>440</v>
      </c>
      <c r="J870" s="486">
        <v>4</v>
      </c>
      <c r="K870" s="472">
        <f t="shared" si="94"/>
        <v>16</v>
      </c>
      <c r="L870" s="473">
        <v>0.6875</v>
      </c>
      <c r="M870" s="474">
        <f t="shared" si="93"/>
        <v>0.6875</v>
      </c>
      <c r="N870" s="519">
        <v>0.69097222222222221</v>
      </c>
      <c r="P870" s="29" t="str">
        <f t="shared" si="96"/>
        <v>2003F0</v>
      </c>
      <c r="Q870" s="29" t="str">
        <f t="shared" si="97"/>
        <v>F016</v>
      </c>
      <c r="R870" s="29" t="str">
        <f t="shared" si="98"/>
        <v>JuneF0</v>
      </c>
    </row>
    <row r="871" spans="1:18">
      <c r="A871" s="483">
        <f t="shared" si="99"/>
        <v>867</v>
      </c>
      <c r="B871" s="484">
        <v>1</v>
      </c>
      <c r="C871" s="485">
        <v>38096</v>
      </c>
      <c r="D871" s="763" t="str">
        <f t="shared" si="95"/>
        <v>April</v>
      </c>
      <c r="E871" s="486">
        <v>19</v>
      </c>
      <c r="F871" s="472">
        <v>2004</v>
      </c>
      <c r="G871" s="484" t="s">
        <v>105</v>
      </c>
      <c r="H871" s="472" t="s">
        <v>122</v>
      </c>
      <c r="I871" s="486">
        <v>440</v>
      </c>
      <c r="J871" s="486">
        <v>1</v>
      </c>
      <c r="K871" s="472">
        <f t="shared" si="94"/>
        <v>19</v>
      </c>
      <c r="L871" s="473">
        <v>0.80694444444444446</v>
      </c>
      <c r="M871" s="474">
        <f t="shared" si="93"/>
        <v>0.80694444444444446</v>
      </c>
      <c r="N871" s="519">
        <v>0.81388888888888899</v>
      </c>
      <c r="P871" s="29" t="str">
        <f t="shared" si="96"/>
        <v>2004F0</v>
      </c>
      <c r="Q871" s="29" t="str">
        <f t="shared" si="97"/>
        <v>F019</v>
      </c>
      <c r="R871" s="29" t="str">
        <f t="shared" si="98"/>
        <v>AprilF0</v>
      </c>
    </row>
    <row r="872" spans="1:18">
      <c r="A872" s="483">
        <f t="shared" si="99"/>
        <v>868</v>
      </c>
      <c r="B872" s="484">
        <v>2</v>
      </c>
      <c r="C872" s="485">
        <v>38118</v>
      </c>
      <c r="D872" s="763" t="str">
        <f t="shared" si="95"/>
        <v>May</v>
      </c>
      <c r="E872" s="486">
        <v>11</v>
      </c>
      <c r="F872" s="472">
        <v>2004</v>
      </c>
      <c r="G872" s="484" t="s">
        <v>107</v>
      </c>
      <c r="H872" s="472" t="s">
        <v>122</v>
      </c>
      <c r="I872" s="486">
        <v>25</v>
      </c>
      <c r="J872" s="486">
        <v>1</v>
      </c>
      <c r="K872" s="472">
        <f t="shared" si="94"/>
        <v>16</v>
      </c>
      <c r="L872" s="473">
        <v>0.68819444444444444</v>
      </c>
      <c r="M872" s="474">
        <f t="shared" si="93"/>
        <v>0.68819444444444444</v>
      </c>
      <c r="N872" s="519">
        <v>0.69374999999999998</v>
      </c>
      <c r="P872" s="29" t="str">
        <f t="shared" si="96"/>
        <v>2004F0</v>
      </c>
      <c r="Q872" s="29" t="str">
        <f t="shared" si="97"/>
        <v>F016</v>
      </c>
      <c r="R872" s="29" t="str">
        <f t="shared" si="98"/>
        <v>MayF0</v>
      </c>
    </row>
    <row r="873" spans="1:18">
      <c r="A873" s="483">
        <f t="shared" si="99"/>
        <v>869</v>
      </c>
      <c r="B873" s="484">
        <v>3</v>
      </c>
      <c r="C873" s="485">
        <v>38118</v>
      </c>
      <c r="D873" s="763" t="str">
        <f t="shared" si="95"/>
        <v>May</v>
      </c>
      <c r="E873" s="486">
        <v>11</v>
      </c>
      <c r="F873" s="472">
        <v>2004</v>
      </c>
      <c r="G873" s="484" t="s">
        <v>107</v>
      </c>
      <c r="H873" s="472" t="s">
        <v>122</v>
      </c>
      <c r="I873" s="486">
        <v>25</v>
      </c>
      <c r="J873" s="486">
        <v>0.1</v>
      </c>
      <c r="K873" s="472">
        <f t="shared" si="94"/>
        <v>17</v>
      </c>
      <c r="L873" s="473">
        <v>0.72152777777777777</v>
      </c>
      <c r="M873" s="474">
        <f t="shared" si="93"/>
        <v>0.72152777777777777</v>
      </c>
      <c r="N873" s="519">
        <v>0.72291666666666676</v>
      </c>
      <c r="P873" s="29" t="str">
        <f t="shared" si="96"/>
        <v>2004F0</v>
      </c>
      <c r="Q873" s="29" t="str">
        <f t="shared" si="97"/>
        <v>F017</v>
      </c>
      <c r="R873" s="29" t="str">
        <f t="shared" si="98"/>
        <v>MayF0</v>
      </c>
    </row>
    <row r="874" spans="1:18">
      <c r="A874" s="483">
        <f t="shared" si="99"/>
        <v>870</v>
      </c>
      <c r="B874" s="484">
        <v>4</v>
      </c>
      <c r="C874" s="485">
        <v>38153</v>
      </c>
      <c r="D874" s="763" t="str">
        <f t="shared" si="95"/>
        <v>June</v>
      </c>
      <c r="E874" s="486">
        <v>15</v>
      </c>
      <c r="F874" s="472">
        <v>2004</v>
      </c>
      <c r="G874" s="484" t="s">
        <v>99</v>
      </c>
      <c r="H874" s="472" t="s">
        <v>122</v>
      </c>
      <c r="I874" s="486">
        <v>50</v>
      </c>
      <c r="J874" s="486">
        <v>0.3</v>
      </c>
      <c r="K874" s="472">
        <f t="shared" si="94"/>
        <v>17</v>
      </c>
      <c r="L874" s="473">
        <v>0.72013888888888899</v>
      </c>
      <c r="M874" s="474">
        <f t="shared" si="93"/>
        <v>0.72013888888888899</v>
      </c>
      <c r="N874" s="519">
        <v>0.72638888888888886</v>
      </c>
      <c r="P874" s="29" t="str">
        <f t="shared" si="96"/>
        <v>2004F0</v>
      </c>
      <c r="Q874" s="29" t="str">
        <f t="shared" si="97"/>
        <v>F017</v>
      </c>
      <c r="R874" s="29" t="str">
        <f t="shared" si="98"/>
        <v>JuneF0</v>
      </c>
    </row>
    <row r="875" spans="1:18">
      <c r="A875" s="483">
        <f t="shared" si="99"/>
        <v>871</v>
      </c>
      <c r="B875" s="484">
        <v>5</v>
      </c>
      <c r="C875" s="485">
        <v>38155</v>
      </c>
      <c r="D875" s="763" t="str">
        <f t="shared" si="95"/>
        <v>June</v>
      </c>
      <c r="E875" s="486">
        <v>17</v>
      </c>
      <c r="F875" s="472">
        <v>2004</v>
      </c>
      <c r="G875" s="484" t="s">
        <v>109</v>
      </c>
      <c r="H875" s="472" t="s">
        <v>122</v>
      </c>
      <c r="I875" s="486">
        <v>25</v>
      </c>
      <c r="J875" s="486">
        <v>0.1</v>
      </c>
      <c r="K875" s="472">
        <f t="shared" si="94"/>
        <v>16</v>
      </c>
      <c r="L875" s="473">
        <v>0.70625000000000004</v>
      </c>
      <c r="M875" s="474">
        <f t="shared" si="93"/>
        <v>0.70625000000000004</v>
      </c>
      <c r="N875" s="519">
        <v>0.70833333333333337</v>
      </c>
      <c r="P875" s="29" t="str">
        <f t="shared" si="96"/>
        <v>2004F0</v>
      </c>
      <c r="Q875" s="29" t="str">
        <f t="shared" si="97"/>
        <v>F016</v>
      </c>
      <c r="R875" s="29" t="str">
        <f t="shared" si="98"/>
        <v>JuneF0</v>
      </c>
    </row>
    <row r="876" spans="1:18">
      <c r="A876" s="483">
        <f t="shared" si="99"/>
        <v>872</v>
      </c>
      <c r="B876" s="484">
        <v>6</v>
      </c>
      <c r="C876" s="485">
        <v>38155</v>
      </c>
      <c r="D876" s="763" t="str">
        <f t="shared" si="95"/>
        <v>June</v>
      </c>
      <c r="E876" s="486">
        <v>17</v>
      </c>
      <c r="F876" s="472">
        <v>2004</v>
      </c>
      <c r="G876" s="484" t="s">
        <v>109</v>
      </c>
      <c r="H876" s="472" t="s">
        <v>122</v>
      </c>
      <c r="I876" s="486">
        <v>25</v>
      </c>
      <c r="J876" s="486">
        <v>0.1</v>
      </c>
      <c r="K876" s="472">
        <f t="shared" si="94"/>
        <v>17</v>
      </c>
      <c r="L876" s="473">
        <v>0.73958333333333337</v>
      </c>
      <c r="M876" s="474">
        <f t="shared" si="93"/>
        <v>0.73958333333333337</v>
      </c>
      <c r="N876" s="519">
        <v>0.74236111111111114</v>
      </c>
      <c r="P876" s="29" t="str">
        <f t="shared" si="96"/>
        <v>2004F0</v>
      </c>
      <c r="Q876" s="29" t="str">
        <f t="shared" si="97"/>
        <v>F017</v>
      </c>
      <c r="R876" s="29" t="str">
        <f t="shared" si="98"/>
        <v>JuneF0</v>
      </c>
    </row>
    <row r="877" spans="1:18">
      <c r="A877" s="483">
        <f t="shared" si="99"/>
        <v>873</v>
      </c>
      <c r="B877" s="484">
        <v>7</v>
      </c>
      <c r="C877" s="485">
        <v>38159</v>
      </c>
      <c r="D877" s="763" t="str">
        <f t="shared" si="95"/>
        <v>June</v>
      </c>
      <c r="E877" s="486">
        <v>21</v>
      </c>
      <c r="F877" s="472">
        <v>2004</v>
      </c>
      <c r="G877" s="484" t="s">
        <v>113</v>
      </c>
      <c r="H877" s="472" t="s">
        <v>122</v>
      </c>
      <c r="I877" s="486">
        <v>25</v>
      </c>
      <c r="J877" s="486">
        <v>0.1</v>
      </c>
      <c r="K877" s="472">
        <f t="shared" si="94"/>
        <v>18</v>
      </c>
      <c r="L877" s="473">
        <v>0.75763888888888886</v>
      </c>
      <c r="M877" s="474">
        <f t="shared" si="93"/>
        <v>0.75763888888888886</v>
      </c>
      <c r="N877" s="519">
        <v>0.7583333333333333</v>
      </c>
      <c r="P877" s="29" t="str">
        <f t="shared" si="96"/>
        <v>2004F0</v>
      </c>
      <c r="Q877" s="29" t="str">
        <f t="shared" si="97"/>
        <v>F018</v>
      </c>
      <c r="R877" s="29" t="str">
        <f t="shared" si="98"/>
        <v>JuneF0</v>
      </c>
    </row>
    <row r="878" spans="1:18">
      <c r="A878" s="483">
        <f t="shared" si="99"/>
        <v>874</v>
      </c>
      <c r="B878" s="484">
        <v>8</v>
      </c>
      <c r="C878" s="485">
        <v>38159</v>
      </c>
      <c r="D878" s="763" t="str">
        <f t="shared" si="95"/>
        <v>June</v>
      </c>
      <c r="E878" s="486">
        <v>21</v>
      </c>
      <c r="F878" s="472">
        <v>2004</v>
      </c>
      <c r="G878" s="484" t="s">
        <v>113</v>
      </c>
      <c r="H878" s="472" t="s">
        <v>122</v>
      </c>
      <c r="I878" s="486">
        <v>25</v>
      </c>
      <c r="J878" s="486">
        <v>0.1</v>
      </c>
      <c r="K878" s="472">
        <f t="shared" si="94"/>
        <v>18</v>
      </c>
      <c r="L878" s="473">
        <v>0.76111111111111107</v>
      </c>
      <c r="M878" s="474">
        <f t="shared" ref="M878:M936" si="100">+L878</f>
        <v>0.76111111111111107</v>
      </c>
      <c r="N878" s="519">
        <v>0.76249999999999996</v>
      </c>
      <c r="P878" s="29" t="str">
        <f t="shared" si="96"/>
        <v>2004F0</v>
      </c>
      <c r="Q878" s="29" t="str">
        <f t="shared" si="97"/>
        <v>F018</v>
      </c>
      <c r="R878" s="29" t="str">
        <f t="shared" si="98"/>
        <v>JuneF0</v>
      </c>
    </row>
    <row r="879" spans="1:18">
      <c r="A879" s="483">
        <f t="shared" si="99"/>
        <v>875</v>
      </c>
      <c r="B879" s="484">
        <v>9</v>
      </c>
      <c r="C879" s="485">
        <v>38159</v>
      </c>
      <c r="D879" s="763" t="str">
        <f t="shared" si="95"/>
        <v>June</v>
      </c>
      <c r="E879" s="486">
        <v>21</v>
      </c>
      <c r="F879" s="472">
        <v>2004</v>
      </c>
      <c r="G879" s="484" t="s">
        <v>118</v>
      </c>
      <c r="H879" s="472" t="s">
        <v>122</v>
      </c>
      <c r="I879" s="486">
        <v>25</v>
      </c>
      <c r="J879" s="486">
        <v>0.1</v>
      </c>
      <c r="K879" s="472">
        <f t="shared" si="94"/>
        <v>18</v>
      </c>
      <c r="L879" s="473">
        <v>0.77361111111111114</v>
      </c>
      <c r="M879" s="474">
        <f t="shared" si="100"/>
        <v>0.77361111111111114</v>
      </c>
      <c r="N879" s="519">
        <v>0.77569444444444446</v>
      </c>
      <c r="P879" s="29" t="str">
        <f t="shared" si="96"/>
        <v>2004F0</v>
      </c>
      <c r="Q879" s="29" t="str">
        <f t="shared" si="97"/>
        <v>F018</v>
      </c>
      <c r="R879" s="29" t="str">
        <f t="shared" si="98"/>
        <v>JuneF0</v>
      </c>
    </row>
    <row r="880" spans="1:18">
      <c r="A880" s="483">
        <f t="shared" si="99"/>
        <v>876</v>
      </c>
      <c r="B880" s="484">
        <v>10</v>
      </c>
      <c r="C880" s="485">
        <v>38159</v>
      </c>
      <c r="D880" s="763" t="str">
        <f t="shared" si="95"/>
        <v>June</v>
      </c>
      <c r="E880" s="486">
        <v>21</v>
      </c>
      <c r="F880" s="472">
        <v>2004</v>
      </c>
      <c r="G880" s="484" t="s">
        <v>118</v>
      </c>
      <c r="H880" s="472" t="s">
        <v>122</v>
      </c>
      <c r="I880" s="486">
        <v>25</v>
      </c>
      <c r="J880" s="486">
        <v>0.1</v>
      </c>
      <c r="K880" s="472">
        <f t="shared" si="94"/>
        <v>18</v>
      </c>
      <c r="L880" s="473">
        <v>0.78333333333333333</v>
      </c>
      <c r="M880" s="474">
        <f t="shared" si="100"/>
        <v>0.78333333333333333</v>
      </c>
      <c r="N880" s="519">
        <v>0.78333333333333333</v>
      </c>
      <c r="P880" s="29" t="str">
        <f t="shared" si="96"/>
        <v>2004F0</v>
      </c>
      <c r="Q880" s="29" t="str">
        <f t="shared" si="97"/>
        <v>F018</v>
      </c>
      <c r="R880" s="29" t="str">
        <f t="shared" si="98"/>
        <v>JuneF0</v>
      </c>
    </row>
    <row r="881" spans="1:18">
      <c r="A881" s="483">
        <f t="shared" si="99"/>
        <v>877</v>
      </c>
      <c r="B881" s="484">
        <v>11</v>
      </c>
      <c r="C881" s="485">
        <v>38159</v>
      </c>
      <c r="D881" s="763" t="str">
        <f t="shared" si="95"/>
        <v>June</v>
      </c>
      <c r="E881" s="486">
        <v>21</v>
      </c>
      <c r="F881" s="472">
        <v>2004</v>
      </c>
      <c r="G881" s="484" t="s">
        <v>118</v>
      </c>
      <c r="H881" s="472" t="s">
        <v>122</v>
      </c>
      <c r="I881" s="486">
        <v>25</v>
      </c>
      <c r="J881" s="486">
        <v>0.1</v>
      </c>
      <c r="K881" s="472">
        <f t="shared" si="94"/>
        <v>18</v>
      </c>
      <c r="L881" s="473">
        <v>0.78541666666666676</v>
      </c>
      <c r="M881" s="474">
        <f t="shared" si="100"/>
        <v>0.78541666666666676</v>
      </c>
      <c r="N881" s="519">
        <v>0.78611111111111109</v>
      </c>
      <c r="P881" s="29" t="str">
        <f t="shared" si="96"/>
        <v>2004F0</v>
      </c>
      <c r="Q881" s="29" t="str">
        <f t="shared" si="97"/>
        <v>F018</v>
      </c>
      <c r="R881" s="29" t="str">
        <f t="shared" si="98"/>
        <v>JuneF0</v>
      </c>
    </row>
    <row r="882" spans="1:18">
      <c r="A882" s="483">
        <f t="shared" si="99"/>
        <v>878</v>
      </c>
      <c r="B882" s="484">
        <v>12</v>
      </c>
      <c r="C882" s="485">
        <v>38159</v>
      </c>
      <c r="D882" s="763" t="str">
        <f t="shared" si="95"/>
        <v>June</v>
      </c>
      <c r="E882" s="486">
        <v>21</v>
      </c>
      <c r="F882" s="472">
        <v>2004</v>
      </c>
      <c r="G882" s="484" t="s">
        <v>118</v>
      </c>
      <c r="H882" s="472" t="s">
        <v>122</v>
      </c>
      <c r="I882" s="486">
        <v>25</v>
      </c>
      <c r="J882" s="486">
        <v>0.1</v>
      </c>
      <c r="K882" s="472">
        <f t="shared" si="94"/>
        <v>19</v>
      </c>
      <c r="L882" s="473">
        <v>0.79374999999999996</v>
      </c>
      <c r="M882" s="474">
        <f t="shared" si="100"/>
        <v>0.79374999999999996</v>
      </c>
      <c r="N882" s="519">
        <v>0.79513888888888884</v>
      </c>
      <c r="P882" s="29" t="str">
        <f t="shared" si="96"/>
        <v>2004F0</v>
      </c>
      <c r="Q882" s="29" t="str">
        <f t="shared" si="97"/>
        <v>F019</v>
      </c>
      <c r="R882" s="29" t="str">
        <f t="shared" si="98"/>
        <v>JuneF0</v>
      </c>
    </row>
    <row r="883" spans="1:18">
      <c r="A883" s="483">
        <f t="shared" si="99"/>
        <v>879</v>
      </c>
      <c r="B883" s="484">
        <v>13</v>
      </c>
      <c r="C883" s="485">
        <v>38159</v>
      </c>
      <c r="D883" s="763" t="str">
        <f t="shared" si="95"/>
        <v>June</v>
      </c>
      <c r="E883" s="486">
        <v>21</v>
      </c>
      <c r="F883" s="472">
        <v>2004</v>
      </c>
      <c r="G883" s="484" t="s">
        <v>118</v>
      </c>
      <c r="H883" s="472" t="s">
        <v>122</v>
      </c>
      <c r="I883" s="486">
        <v>25</v>
      </c>
      <c r="J883" s="486">
        <v>0.1</v>
      </c>
      <c r="K883" s="472">
        <f t="shared" si="94"/>
        <v>19</v>
      </c>
      <c r="L883" s="473">
        <v>0.80347222222222225</v>
      </c>
      <c r="M883" s="474">
        <f t="shared" si="100"/>
        <v>0.80347222222222225</v>
      </c>
      <c r="N883" s="519">
        <v>0.8041666666666667</v>
      </c>
      <c r="P883" s="29" t="str">
        <f t="shared" si="96"/>
        <v>2004F0</v>
      </c>
      <c r="Q883" s="29" t="str">
        <f t="shared" si="97"/>
        <v>F019</v>
      </c>
      <c r="R883" s="29" t="str">
        <f t="shared" si="98"/>
        <v>JuneF0</v>
      </c>
    </row>
    <row r="884" spans="1:18">
      <c r="A884" s="483">
        <f t="shared" si="99"/>
        <v>880</v>
      </c>
      <c r="B884" s="484">
        <v>14</v>
      </c>
      <c r="C884" s="485">
        <v>38159</v>
      </c>
      <c r="D884" s="763" t="str">
        <f t="shared" si="95"/>
        <v>June</v>
      </c>
      <c r="E884" s="486">
        <v>21</v>
      </c>
      <c r="F884" s="472">
        <v>2004</v>
      </c>
      <c r="G884" s="484" t="s">
        <v>118</v>
      </c>
      <c r="H884" s="472" t="s">
        <v>123</v>
      </c>
      <c r="I884" s="486">
        <v>50</v>
      </c>
      <c r="J884" s="486">
        <v>0.4</v>
      </c>
      <c r="K884" s="472">
        <f t="shared" si="94"/>
        <v>19</v>
      </c>
      <c r="L884" s="473">
        <v>0.80347222222222225</v>
      </c>
      <c r="M884" s="474">
        <f t="shared" si="100"/>
        <v>0.80347222222222225</v>
      </c>
      <c r="N884" s="519">
        <v>0.80486111111111114</v>
      </c>
      <c r="P884" s="29" t="str">
        <f t="shared" si="96"/>
        <v>2004F1</v>
      </c>
      <c r="Q884" s="29" t="str">
        <f t="shared" si="97"/>
        <v>F119</v>
      </c>
      <c r="R884" s="29" t="str">
        <f t="shared" si="98"/>
        <v>JuneF1</v>
      </c>
    </row>
    <row r="885" spans="1:18">
      <c r="A885" s="483">
        <f t="shared" si="99"/>
        <v>881</v>
      </c>
      <c r="B885" s="484">
        <v>1</v>
      </c>
      <c r="C885" s="485">
        <v>38460</v>
      </c>
      <c r="D885" s="763" t="str">
        <f t="shared" si="95"/>
        <v>April</v>
      </c>
      <c r="E885" s="486">
        <v>18</v>
      </c>
      <c r="F885" s="472">
        <v>2005</v>
      </c>
      <c r="G885" s="484" t="s">
        <v>120</v>
      </c>
      <c r="H885" s="472" t="s">
        <v>122</v>
      </c>
      <c r="I885" s="486">
        <v>25</v>
      </c>
      <c r="J885" s="486">
        <v>0.1</v>
      </c>
      <c r="K885" s="472">
        <f t="shared" si="94"/>
        <v>18</v>
      </c>
      <c r="L885" s="473">
        <v>0.76736111111111116</v>
      </c>
      <c r="M885" s="474">
        <f t="shared" si="100"/>
        <v>0.76736111111111116</v>
      </c>
      <c r="N885" s="519">
        <v>0.76736111111111116</v>
      </c>
      <c r="P885" s="29" t="str">
        <f t="shared" si="96"/>
        <v>2005F0</v>
      </c>
      <c r="Q885" s="29" t="str">
        <f t="shared" si="97"/>
        <v>F018</v>
      </c>
      <c r="R885" s="29" t="str">
        <f t="shared" si="98"/>
        <v>AprilF0</v>
      </c>
    </row>
    <row r="886" spans="1:18">
      <c r="A886" s="483">
        <f t="shared" si="99"/>
        <v>882</v>
      </c>
      <c r="B886" s="484">
        <v>2</v>
      </c>
      <c r="C886" s="485">
        <v>38484</v>
      </c>
      <c r="D886" s="763" t="str">
        <f t="shared" si="95"/>
        <v>May</v>
      </c>
      <c r="E886" s="486">
        <v>12</v>
      </c>
      <c r="F886" s="472">
        <v>2005</v>
      </c>
      <c r="G886" s="484" t="s">
        <v>118</v>
      </c>
      <c r="H886" s="472" t="s">
        <v>122</v>
      </c>
      <c r="I886" s="486">
        <v>25</v>
      </c>
      <c r="J886" s="486">
        <v>0.1</v>
      </c>
      <c r="K886" s="472">
        <f t="shared" si="94"/>
        <v>17</v>
      </c>
      <c r="L886" s="473">
        <v>0.72777777777777775</v>
      </c>
      <c r="M886" s="474">
        <f t="shared" si="100"/>
        <v>0.72777777777777775</v>
      </c>
      <c r="N886" s="519">
        <v>0.72777777777777775</v>
      </c>
      <c r="P886" s="29" t="str">
        <f t="shared" si="96"/>
        <v>2005F0</v>
      </c>
      <c r="Q886" s="29" t="str">
        <f t="shared" si="97"/>
        <v>F017</v>
      </c>
      <c r="R886" s="29" t="str">
        <f t="shared" si="98"/>
        <v>MayF0</v>
      </c>
    </row>
    <row r="887" spans="1:18">
      <c r="A887" s="483">
        <f t="shared" si="99"/>
        <v>883</v>
      </c>
      <c r="B887" s="484">
        <v>3</v>
      </c>
      <c r="C887" s="485">
        <v>38485</v>
      </c>
      <c r="D887" s="763" t="str">
        <f t="shared" si="95"/>
        <v>May</v>
      </c>
      <c r="E887" s="486">
        <v>13</v>
      </c>
      <c r="F887" s="472">
        <v>2005</v>
      </c>
      <c r="G887" s="484" t="s">
        <v>111</v>
      </c>
      <c r="H887" s="472" t="s">
        <v>122</v>
      </c>
      <c r="I887" s="486">
        <v>25</v>
      </c>
      <c r="J887" s="486">
        <v>0.3</v>
      </c>
      <c r="K887" s="472">
        <f t="shared" si="94"/>
        <v>18</v>
      </c>
      <c r="L887" s="473">
        <v>0.78819444444444453</v>
      </c>
      <c r="M887" s="474">
        <f t="shared" si="100"/>
        <v>0.78819444444444453</v>
      </c>
      <c r="N887" s="519">
        <v>0.78819444444444453</v>
      </c>
      <c r="P887" s="29" t="str">
        <f t="shared" si="96"/>
        <v>2005F0</v>
      </c>
      <c r="Q887" s="29" t="str">
        <f t="shared" si="97"/>
        <v>F018</v>
      </c>
      <c r="R887" s="29" t="str">
        <f t="shared" si="98"/>
        <v>MayF0</v>
      </c>
    </row>
    <row r="888" spans="1:18">
      <c r="A888" s="483">
        <f t="shared" si="99"/>
        <v>884</v>
      </c>
      <c r="B888" s="484">
        <v>4</v>
      </c>
      <c r="C888" s="485">
        <v>38503</v>
      </c>
      <c r="D888" s="763" t="str">
        <f t="shared" si="95"/>
        <v>May</v>
      </c>
      <c r="E888" s="486">
        <v>31</v>
      </c>
      <c r="F888" s="472">
        <v>2005</v>
      </c>
      <c r="G888" s="484" t="s">
        <v>118</v>
      </c>
      <c r="H888" s="472" t="s">
        <v>122</v>
      </c>
      <c r="I888" s="486">
        <v>25</v>
      </c>
      <c r="J888" s="486">
        <v>0.1</v>
      </c>
      <c r="K888" s="472">
        <f t="shared" si="94"/>
        <v>14</v>
      </c>
      <c r="L888" s="473">
        <v>0.58680555555555558</v>
      </c>
      <c r="M888" s="474">
        <f t="shared" si="100"/>
        <v>0.58680555555555558</v>
      </c>
      <c r="N888" s="519">
        <v>0.59027777777777779</v>
      </c>
      <c r="P888" s="29" t="str">
        <f t="shared" si="96"/>
        <v>2005F0</v>
      </c>
      <c r="Q888" s="29" t="str">
        <f t="shared" si="97"/>
        <v>F014</v>
      </c>
      <c r="R888" s="29" t="str">
        <f t="shared" si="98"/>
        <v>MayF0</v>
      </c>
    </row>
    <row r="889" spans="1:18">
      <c r="A889" s="483">
        <f t="shared" si="99"/>
        <v>885</v>
      </c>
      <c r="B889" s="484">
        <v>5</v>
      </c>
      <c r="C889" s="485">
        <v>38512</v>
      </c>
      <c r="D889" s="763" t="str">
        <f t="shared" si="95"/>
        <v>June</v>
      </c>
      <c r="E889" s="486">
        <v>9</v>
      </c>
      <c r="F889" s="472">
        <v>2005</v>
      </c>
      <c r="G889" s="484" t="s">
        <v>114</v>
      </c>
      <c r="H889" s="472" t="s">
        <v>122</v>
      </c>
      <c r="I889" s="486">
        <v>25</v>
      </c>
      <c r="J889" s="486">
        <v>0.1</v>
      </c>
      <c r="K889" s="472">
        <f t="shared" si="94"/>
        <v>18</v>
      </c>
      <c r="L889" s="473">
        <v>0.75138888888888899</v>
      </c>
      <c r="M889" s="474">
        <f t="shared" si="100"/>
        <v>0.75138888888888899</v>
      </c>
      <c r="N889" s="519">
        <v>0.75347222222222221</v>
      </c>
      <c r="P889" s="29" t="str">
        <f t="shared" si="96"/>
        <v>2005F0</v>
      </c>
      <c r="Q889" s="29" t="str">
        <f t="shared" si="97"/>
        <v>F018</v>
      </c>
      <c r="R889" s="29" t="str">
        <f t="shared" si="98"/>
        <v>JuneF0</v>
      </c>
    </row>
    <row r="890" spans="1:18">
      <c r="A890" s="483">
        <f t="shared" si="99"/>
        <v>886</v>
      </c>
      <c r="B890" s="484">
        <v>6</v>
      </c>
      <c r="C890" s="485">
        <v>38512</v>
      </c>
      <c r="D890" s="763" t="str">
        <f t="shared" si="95"/>
        <v>June</v>
      </c>
      <c r="E890" s="486">
        <v>9</v>
      </c>
      <c r="F890" s="472">
        <v>2005</v>
      </c>
      <c r="G890" s="484" t="s">
        <v>101</v>
      </c>
      <c r="H890" s="472" t="s">
        <v>122</v>
      </c>
      <c r="I890" s="486">
        <v>25</v>
      </c>
      <c r="J890" s="486">
        <v>0.1</v>
      </c>
      <c r="K890" s="472">
        <f t="shared" si="94"/>
        <v>19</v>
      </c>
      <c r="L890" s="473">
        <v>0.79583333333333339</v>
      </c>
      <c r="M890" s="474">
        <f t="shared" si="100"/>
        <v>0.79583333333333339</v>
      </c>
      <c r="N890" s="519">
        <v>0.79722222222222217</v>
      </c>
      <c r="P890" s="29" t="str">
        <f t="shared" si="96"/>
        <v>2005F0</v>
      </c>
      <c r="Q890" s="29" t="str">
        <f t="shared" si="97"/>
        <v>F019</v>
      </c>
      <c r="R890" s="29" t="str">
        <f t="shared" si="98"/>
        <v>JuneF0</v>
      </c>
    </row>
    <row r="891" spans="1:18">
      <c r="A891" s="483">
        <f t="shared" si="99"/>
        <v>887</v>
      </c>
      <c r="B891" s="484">
        <v>7</v>
      </c>
      <c r="C891" s="485">
        <v>38512</v>
      </c>
      <c r="D891" s="763" t="str">
        <f t="shared" si="95"/>
        <v>June</v>
      </c>
      <c r="E891" s="486">
        <v>9</v>
      </c>
      <c r="F891" s="472">
        <v>2005</v>
      </c>
      <c r="G891" s="484" t="s">
        <v>120</v>
      </c>
      <c r="H891" s="472" t="s">
        <v>122</v>
      </c>
      <c r="I891" s="486">
        <v>30</v>
      </c>
      <c r="J891" s="486">
        <v>0.2</v>
      </c>
      <c r="K891" s="472">
        <f t="shared" si="94"/>
        <v>19</v>
      </c>
      <c r="L891" s="473">
        <v>0.8125</v>
      </c>
      <c r="M891" s="474">
        <f t="shared" si="100"/>
        <v>0.8125</v>
      </c>
      <c r="N891" s="519">
        <v>0.81527777777777777</v>
      </c>
      <c r="P891" s="29" t="str">
        <f t="shared" si="96"/>
        <v>2005F0</v>
      </c>
      <c r="Q891" s="29" t="str">
        <f t="shared" si="97"/>
        <v>F019</v>
      </c>
      <c r="R891" s="29" t="str">
        <f t="shared" si="98"/>
        <v>JuneF0</v>
      </c>
    </row>
    <row r="892" spans="1:18">
      <c r="A892" s="483">
        <f t="shared" si="99"/>
        <v>888</v>
      </c>
      <c r="B892" s="484">
        <v>8</v>
      </c>
      <c r="C892" s="485">
        <v>38512</v>
      </c>
      <c r="D892" s="763" t="str">
        <f t="shared" si="95"/>
        <v>June</v>
      </c>
      <c r="E892" s="486">
        <v>9</v>
      </c>
      <c r="F892" s="472">
        <v>2005</v>
      </c>
      <c r="G892" s="484" t="s">
        <v>120</v>
      </c>
      <c r="H892" s="472" t="s">
        <v>122</v>
      </c>
      <c r="I892" s="486">
        <v>25</v>
      </c>
      <c r="J892" s="486">
        <v>0.1</v>
      </c>
      <c r="K892" s="472">
        <f t="shared" si="94"/>
        <v>19</v>
      </c>
      <c r="L892" s="473">
        <v>0.82430555555555562</v>
      </c>
      <c r="M892" s="474">
        <f t="shared" si="100"/>
        <v>0.82430555555555562</v>
      </c>
      <c r="N892" s="519">
        <v>0.82638888888888884</v>
      </c>
      <c r="P892" s="29" t="str">
        <f t="shared" si="96"/>
        <v>2005F0</v>
      </c>
      <c r="Q892" s="29" t="str">
        <f t="shared" si="97"/>
        <v>F019</v>
      </c>
      <c r="R892" s="29" t="str">
        <f t="shared" si="98"/>
        <v>JuneF0</v>
      </c>
    </row>
    <row r="893" spans="1:18">
      <c r="A893" s="483">
        <f t="shared" si="99"/>
        <v>889</v>
      </c>
      <c r="B893" s="484">
        <v>9</v>
      </c>
      <c r="C893" s="485">
        <v>38514</v>
      </c>
      <c r="D893" s="763" t="str">
        <f t="shared" si="95"/>
        <v>June</v>
      </c>
      <c r="E893" s="486">
        <v>11</v>
      </c>
      <c r="F893" s="472">
        <v>2005</v>
      </c>
      <c r="G893" s="484" t="s">
        <v>117</v>
      </c>
      <c r="H893" s="472" t="s">
        <v>122</v>
      </c>
      <c r="I893" s="486">
        <v>50</v>
      </c>
      <c r="J893" s="486">
        <v>0.5</v>
      </c>
      <c r="K893" s="472">
        <f t="shared" si="94"/>
        <v>17</v>
      </c>
      <c r="L893" s="473">
        <v>0.73611111111111116</v>
      </c>
      <c r="M893" s="474">
        <f t="shared" si="100"/>
        <v>0.73611111111111116</v>
      </c>
      <c r="N893" s="519">
        <v>0.74305555555555547</v>
      </c>
      <c r="P893" s="29" t="str">
        <f t="shared" si="96"/>
        <v>2005F0</v>
      </c>
      <c r="Q893" s="29" t="str">
        <f t="shared" si="97"/>
        <v>F017</v>
      </c>
      <c r="R893" s="29" t="str">
        <f t="shared" si="98"/>
        <v>JuneF0</v>
      </c>
    </row>
    <row r="894" spans="1:18">
      <c r="A894" s="483">
        <f t="shared" si="99"/>
        <v>890</v>
      </c>
      <c r="B894" s="484">
        <v>10</v>
      </c>
      <c r="C894" s="485">
        <v>38514</v>
      </c>
      <c r="D894" s="763" t="str">
        <f t="shared" si="95"/>
        <v>June</v>
      </c>
      <c r="E894" s="486">
        <v>11</v>
      </c>
      <c r="F894" s="472">
        <v>2005</v>
      </c>
      <c r="G894" s="484" t="s">
        <v>117</v>
      </c>
      <c r="H894" s="472" t="s">
        <v>122</v>
      </c>
      <c r="I894" s="486">
        <v>25</v>
      </c>
      <c r="J894" s="486">
        <v>0.1</v>
      </c>
      <c r="K894" s="472">
        <f t="shared" si="94"/>
        <v>18</v>
      </c>
      <c r="L894" s="473">
        <v>0.76944444444444438</v>
      </c>
      <c r="M894" s="474">
        <f t="shared" si="100"/>
        <v>0.76944444444444438</v>
      </c>
      <c r="N894" s="519">
        <v>0.77013888888888893</v>
      </c>
      <c r="P894" s="29" t="str">
        <f t="shared" si="96"/>
        <v>2005F0</v>
      </c>
      <c r="Q894" s="29" t="str">
        <f t="shared" si="97"/>
        <v>F018</v>
      </c>
      <c r="R894" s="29" t="str">
        <f t="shared" si="98"/>
        <v>JuneF0</v>
      </c>
    </row>
    <row r="895" spans="1:18">
      <c r="A895" s="483">
        <f t="shared" si="99"/>
        <v>891</v>
      </c>
      <c r="B895" s="484">
        <v>11</v>
      </c>
      <c r="C895" s="485">
        <v>38514</v>
      </c>
      <c r="D895" s="763" t="str">
        <f t="shared" si="95"/>
        <v>June</v>
      </c>
      <c r="E895" s="486">
        <v>11</v>
      </c>
      <c r="F895" s="472">
        <v>2005</v>
      </c>
      <c r="G895" s="484" t="s">
        <v>119</v>
      </c>
      <c r="H895" s="472" t="s">
        <v>122</v>
      </c>
      <c r="I895" s="486">
        <v>25</v>
      </c>
      <c r="J895" s="486">
        <v>0.2</v>
      </c>
      <c r="K895" s="472">
        <f t="shared" si="94"/>
        <v>18</v>
      </c>
      <c r="L895" s="473">
        <v>0.77083333333333337</v>
      </c>
      <c r="M895" s="474">
        <f t="shared" si="100"/>
        <v>0.77083333333333337</v>
      </c>
      <c r="N895" s="519">
        <v>0.77430555555555547</v>
      </c>
      <c r="P895" s="29" t="str">
        <f t="shared" si="96"/>
        <v>2005F0</v>
      </c>
      <c r="Q895" s="29" t="str">
        <f t="shared" si="97"/>
        <v>F018</v>
      </c>
      <c r="R895" s="29" t="str">
        <f t="shared" si="98"/>
        <v>JuneF0</v>
      </c>
    </row>
    <row r="896" spans="1:18">
      <c r="A896" s="483">
        <f t="shared" si="99"/>
        <v>892</v>
      </c>
      <c r="B896" s="484">
        <v>12</v>
      </c>
      <c r="C896" s="485">
        <v>38514</v>
      </c>
      <c r="D896" s="763" t="str">
        <f t="shared" si="95"/>
        <v>June</v>
      </c>
      <c r="E896" s="486">
        <v>11</v>
      </c>
      <c r="F896" s="472">
        <v>2005</v>
      </c>
      <c r="G896" s="484" t="s">
        <v>119</v>
      </c>
      <c r="H896" s="472" t="s">
        <v>122</v>
      </c>
      <c r="I896" s="486">
        <v>25</v>
      </c>
      <c r="J896" s="486">
        <v>0.1</v>
      </c>
      <c r="K896" s="472">
        <f t="shared" si="94"/>
        <v>18</v>
      </c>
      <c r="L896" s="473">
        <v>0.77500000000000002</v>
      </c>
      <c r="M896" s="474">
        <f t="shared" si="100"/>
        <v>0.77500000000000002</v>
      </c>
      <c r="N896" s="519">
        <v>0.77638888888888891</v>
      </c>
      <c r="P896" s="29" t="str">
        <f t="shared" si="96"/>
        <v>2005F0</v>
      </c>
      <c r="Q896" s="29" t="str">
        <f t="shared" si="97"/>
        <v>F018</v>
      </c>
      <c r="R896" s="29" t="str">
        <f t="shared" si="98"/>
        <v>JuneF0</v>
      </c>
    </row>
    <row r="897" spans="1:18">
      <c r="A897" s="483">
        <f t="shared" si="99"/>
        <v>893</v>
      </c>
      <c r="B897" s="484">
        <v>13</v>
      </c>
      <c r="C897" s="485">
        <v>38514</v>
      </c>
      <c r="D897" s="763" t="str">
        <f t="shared" si="95"/>
        <v>June</v>
      </c>
      <c r="E897" s="486">
        <v>11</v>
      </c>
      <c r="F897" s="472">
        <v>2005</v>
      </c>
      <c r="G897" s="484" t="s">
        <v>119</v>
      </c>
      <c r="H897" s="472" t="s">
        <v>122</v>
      </c>
      <c r="I897" s="486">
        <v>25</v>
      </c>
      <c r="J897" s="486">
        <v>0.1</v>
      </c>
      <c r="K897" s="472">
        <f t="shared" si="94"/>
        <v>18</v>
      </c>
      <c r="L897" s="473">
        <v>0.7895833333333333</v>
      </c>
      <c r="M897" s="474">
        <f t="shared" si="100"/>
        <v>0.7895833333333333</v>
      </c>
      <c r="N897" s="519">
        <v>0.79166666666666663</v>
      </c>
      <c r="P897" s="29" t="str">
        <f t="shared" si="96"/>
        <v>2005F0</v>
      </c>
      <c r="Q897" s="29" t="str">
        <f t="shared" si="97"/>
        <v>F018</v>
      </c>
      <c r="R897" s="29" t="str">
        <f t="shared" si="98"/>
        <v>JuneF0</v>
      </c>
    </row>
    <row r="898" spans="1:18">
      <c r="A898" s="483">
        <f t="shared" si="99"/>
        <v>894</v>
      </c>
      <c r="B898" s="484">
        <v>14</v>
      </c>
      <c r="C898" s="485">
        <v>38514</v>
      </c>
      <c r="D898" s="763" t="str">
        <f t="shared" si="95"/>
        <v>June</v>
      </c>
      <c r="E898" s="486">
        <v>11</v>
      </c>
      <c r="F898" s="472">
        <v>2005</v>
      </c>
      <c r="G898" s="484" t="s">
        <v>119</v>
      </c>
      <c r="H898" s="472" t="s">
        <v>122</v>
      </c>
      <c r="I898" s="486">
        <v>25</v>
      </c>
      <c r="J898" s="486">
        <v>0.2</v>
      </c>
      <c r="K898" s="472">
        <f t="shared" si="94"/>
        <v>19</v>
      </c>
      <c r="L898" s="473">
        <v>0.79305555555555562</v>
      </c>
      <c r="M898" s="474">
        <f t="shared" si="100"/>
        <v>0.79305555555555562</v>
      </c>
      <c r="N898" s="519">
        <v>0.7944444444444444</v>
      </c>
      <c r="P898" s="29" t="str">
        <f t="shared" si="96"/>
        <v>2005F0</v>
      </c>
      <c r="Q898" s="29" t="str">
        <f t="shared" si="97"/>
        <v>F019</v>
      </c>
      <c r="R898" s="29" t="str">
        <f t="shared" si="98"/>
        <v>JuneF0</v>
      </c>
    </row>
    <row r="899" spans="1:18">
      <c r="A899" s="483">
        <f t="shared" si="99"/>
        <v>895</v>
      </c>
      <c r="B899" s="484">
        <v>15</v>
      </c>
      <c r="C899" s="485">
        <v>38539</v>
      </c>
      <c r="D899" s="763" t="str">
        <f t="shared" si="95"/>
        <v>July</v>
      </c>
      <c r="E899" s="486">
        <v>6</v>
      </c>
      <c r="F899" s="472">
        <v>2005</v>
      </c>
      <c r="G899" s="484" t="s">
        <v>107</v>
      </c>
      <c r="H899" s="472" t="s">
        <v>122</v>
      </c>
      <c r="I899" s="486">
        <v>25</v>
      </c>
      <c r="J899" s="486">
        <v>0.1</v>
      </c>
      <c r="K899" s="472">
        <f t="shared" ref="K899:K955" si="101">HOUR(M899)</f>
        <v>19</v>
      </c>
      <c r="L899" s="473">
        <v>0.82777777777777783</v>
      </c>
      <c r="M899" s="474">
        <f t="shared" si="100"/>
        <v>0.82777777777777783</v>
      </c>
      <c r="N899" s="519">
        <v>0.82847222222222217</v>
      </c>
      <c r="P899" s="29" t="str">
        <f t="shared" si="96"/>
        <v>2005F0</v>
      </c>
      <c r="Q899" s="29" t="str">
        <f t="shared" si="97"/>
        <v>F019</v>
      </c>
      <c r="R899" s="29" t="str">
        <f t="shared" si="98"/>
        <v>JulyF0</v>
      </c>
    </row>
    <row r="900" spans="1:18">
      <c r="A900" s="483">
        <f t="shared" si="99"/>
        <v>896</v>
      </c>
      <c r="B900" s="484">
        <v>1</v>
      </c>
      <c r="C900" s="485">
        <v>38886</v>
      </c>
      <c r="D900" s="763" t="str">
        <f t="shared" si="95"/>
        <v>June</v>
      </c>
      <c r="E900" s="486">
        <v>18</v>
      </c>
      <c r="F900" s="472">
        <v>2006</v>
      </c>
      <c r="G900" s="484" t="s">
        <v>101</v>
      </c>
      <c r="H900" s="472" t="s">
        <v>122</v>
      </c>
      <c r="I900" s="486">
        <v>100</v>
      </c>
      <c r="J900" s="486">
        <v>1</v>
      </c>
      <c r="K900" s="472">
        <f t="shared" si="101"/>
        <v>19</v>
      </c>
      <c r="L900" s="473">
        <v>0.8125</v>
      </c>
      <c r="M900" s="474">
        <f t="shared" si="100"/>
        <v>0.8125</v>
      </c>
      <c r="N900" s="519">
        <v>0.81388888888888899</v>
      </c>
      <c r="P900" s="29" t="str">
        <f t="shared" si="96"/>
        <v>2006F0</v>
      </c>
      <c r="Q900" s="29" t="str">
        <f t="shared" si="97"/>
        <v>F019</v>
      </c>
      <c r="R900" s="29" t="str">
        <f t="shared" si="98"/>
        <v>JuneF0</v>
      </c>
    </row>
    <row r="901" spans="1:18">
      <c r="A901" s="483">
        <f t="shared" si="99"/>
        <v>897</v>
      </c>
      <c r="B901" s="484">
        <f t="shared" ref="B901:B912" si="102">+B900+1</f>
        <v>2</v>
      </c>
      <c r="C901" s="485">
        <v>38889</v>
      </c>
      <c r="D901" s="763" t="str">
        <f t="shared" ref="D901:D964" si="103">+TEXT(C901,"mmmm")</f>
        <v>June</v>
      </c>
      <c r="E901" s="486">
        <v>21</v>
      </c>
      <c r="F901" s="472">
        <v>2006</v>
      </c>
      <c r="G901" s="484" t="s">
        <v>117</v>
      </c>
      <c r="H901" s="472" t="s">
        <v>122</v>
      </c>
      <c r="I901" s="486">
        <v>25</v>
      </c>
      <c r="J901" s="486">
        <v>0.1</v>
      </c>
      <c r="K901" s="472">
        <f t="shared" si="101"/>
        <v>14</v>
      </c>
      <c r="L901" s="473">
        <v>0.61458333333333337</v>
      </c>
      <c r="M901" s="474">
        <f t="shared" si="100"/>
        <v>0.61458333333333337</v>
      </c>
      <c r="N901" s="519">
        <v>0.61805555555555558</v>
      </c>
      <c r="P901" s="29" t="str">
        <f t="shared" si="96"/>
        <v>2006F0</v>
      </c>
      <c r="Q901" s="29" t="str">
        <f t="shared" si="97"/>
        <v>F014</v>
      </c>
      <c r="R901" s="29" t="str">
        <f t="shared" si="98"/>
        <v>JuneF0</v>
      </c>
    </row>
    <row r="902" spans="1:18">
      <c r="A902" s="483">
        <f t="shared" si="99"/>
        <v>898</v>
      </c>
      <c r="B902" s="484">
        <f t="shared" si="102"/>
        <v>3</v>
      </c>
      <c r="C902" s="485">
        <v>38889</v>
      </c>
      <c r="D902" s="763" t="str">
        <f t="shared" si="103"/>
        <v>June</v>
      </c>
      <c r="E902" s="486">
        <v>21</v>
      </c>
      <c r="F902" s="472">
        <v>2006</v>
      </c>
      <c r="G902" s="484" t="s">
        <v>104</v>
      </c>
      <c r="H902" s="472" t="s">
        <v>122</v>
      </c>
      <c r="I902" s="486">
        <v>50</v>
      </c>
      <c r="J902" s="486">
        <v>0.2</v>
      </c>
      <c r="K902" s="472">
        <f t="shared" si="101"/>
        <v>16</v>
      </c>
      <c r="L902" s="473">
        <v>0.6875</v>
      </c>
      <c r="M902" s="474">
        <f t="shared" si="100"/>
        <v>0.6875</v>
      </c>
      <c r="N902" s="519">
        <v>0.69097222222222221</v>
      </c>
      <c r="P902" s="29" t="str">
        <f t="shared" ref="P902:P965" si="104">CONCATENATE(F902,H902)</f>
        <v>2006F0</v>
      </c>
      <c r="Q902" s="29" t="str">
        <f t="shared" ref="Q902:Q965" si="105">CONCATENATE(H902,K902)</f>
        <v>F016</v>
      </c>
      <c r="R902" s="29" t="str">
        <f t="shared" ref="R902:R965" si="106">CONCATENATE(D902,H902)</f>
        <v>JuneF0</v>
      </c>
    </row>
    <row r="903" spans="1:18">
      <c r="A903" s="483">
        <f t="shared" ref="A903:A966" si="107">+A902+1</f>
        <v>899</v>
      </c>
      <c r="B903" s="484">
        <f t="shared" si="102"/>
        <v>4</v>
      </c>
      <c r="C903" s="485">
        <v>38889</v>
      </c>
      <c r="D903" s="763" t="str">
        <f t="shared" si="103"/>
        <v>June</v>
      </c>
      <c r="E903" s="486">
        <v>21</v>
      </c>
      <c r="F903" s="472">
        <v>2006</v>
      </c>
      <c r="G903" s="484" t="s">
        <v>104</v>
      </c>
      <c r="H903" s="472" t="s">
        <v>122</v>
      </c>
      <c r="I903" s="486">
        <v>50</v>
      </c>
      <c r="J903" s="486">
        <v>0.2</v>
      </c>
      <c r="K903" s="472">
        <f t="shared" si="101"/>
        <v>16</v>
      </c>
      <c r="L903" s="473">
        <v>0.69305555555555554</v>
      </c>
      <c r="M903" s="474">
        <f t="shared" si="100"/>
        <v>0.69305555555555554</v>
      </c>
      <c r="N903" s="519">
        <v>0.69791666666666663</v>
      </c>
      <c r="P903" s="29" t="str">
        <f t="shared" si="104"/>
        <v>2006F0</v>
      </c>
      <c r="Q903" s="29" t="str">
        <f t="shared" si="105"/>
        <v>F016</v>
      </c>
      <c r="R903" s="29" t="str">
        <f t="shared" si="106"/>
        <v>JuneF0</v>
      </c>
    </row>
    <row r="904" spans="1:18">
      <c r="A904" s="483">
        <f t="shared" si="107"/>
        <v>900</v>
      </c>
      <c r="B904" s="484">
        <f t="shared" si="102"/>
        <v>5</v>
      </c>
      <c r="C904" s="485">
        <v>38889</v>
      </c>
      <c r="D904" s="763" t="str">
        <f t="shared" si="103"/>
        <v>June</v>
      </c>
      <c r="E904" s="486">
        <v>21</v>
      </c>
      <c r="F904" s="472">
        <v>2006</v>
      </c>
      <c r="G904" s="484" t="s">
        <v>100</v>
      </c>
      <c r="H904" s="472" t="s">
        <v>122</v>
      </c>
      <c r="I904" s="486">
        <v>50</v>
      </c>
      <c r="J904" s="486">
        <v>0.2</v>
      </c>
      <c r="K904" s="472">
        <f t="shared" si="101"/>
        <v>17</v>
      </c>
      <c r="L904" s="473">
        <v>0.72499999999999998</v>
      </c>
      <c r="M904" s="474">
        <f t="shared" si="100"/>
        <v>0.72499999999999998</v>
      </c>
      <c r="N904" s="519">
        <v>0.72986111111111107</v>
      </c>
      <c r="P904" s="29" t="str">
        <f t="shared" si="104"/>
        <v>2006F0</v>
      </c>
      <c r="Q904" s="29" t="str">
        <f t="shared" si="105"/>
        <v>F017</v>
      </c>
      <c r="R904" s="29" t="str">
        <f t="shared" si="106"/>
        <v>JuneF0</v>
      </c>
    </row>
    <row r="905" spans="1:18">
      <c r="A905" s="483">
        <f t="shared" si="107"/>
        <v>901</v>
      </c>
      <c r="B905" s="484">
        <f t="shared" si="102"/>
        <v>6</v>
      </c>
      <c r="C905" s="485">
        <v>38889</v>
      </c>
      <c r="D905" s="763" t="str">
        <f t="shared" si="103"/>
        <v>June</v>
      </c>
      <c r="E905" s="486">
        <v>21</v>
      </c>
      <c r="F905" s="472">
        <v>2006</v>
      </c>
      <c r="G905" s="484" t="s">
        <v>101</v>
      </c>
      <c r="H905" s="472" t="s">
        <v>122</v>
      </c>
      <c r="I905" s="486">
        <v>50</v>
      </c>
      <c r="J905" s="486">
        <v>0.1</v>
      </c>
      <c r="K905" s="472">
        <f t="shared" si="101"/>
        <v>17</v>
      </c>
      <c r="L905" s="473">
        <v>0.7270833333333333</v>
      </c>
      <c r="M905" s="474">
        <f t="shared" si="100"/>
        <v>0.7270833333333333</v>
      </c>
      <c r="N905" s="519">
        <v>0.73263888888888884</v>
      </c>
      <c r="P905" s="29" t="str">
        <f t="shared" si="104"/>
        <v>2006F0</v>
      </c>
      <c r="Q905" s="29" t="str">
        <f t="shared" si="105"/>
        <v>F017</v>
      </c>
      <c r="R905" s="29" t="str">
        <f t="shared" si="106"/>
        <v>JuneF0</v>
      </c>
    </row>
    <row r="906" spans="1:18">
      <c r="A906" s="483">
        <f t="shared" si="107"/>
        <v>902</v>
      </c>
      <c r="B906" s="484">
        <f t="shared" si="102"/>
        <v>7</v>
      </c>
      <c r="C906" s="485">
        <v>38889</v>
      </c>
      <c r="D906" s="763" t="str">
        <f t="shared" si="103"/>
        <v>June</v>
      </c>
      <c r="E906" s="486">
        <v>21</v>
      </c>
      <c r="F906" s="472">
        <v>2006</v>
      </c>
      <c r="G906" s="484" t="s">
        <v>101</v>
      </c>
      <c r="H906" s="472" t="s">
        <v>122</v>
      </c>
      <c r="I906" s="486">
        <v>50</v>
      </c>
      <c r="J906" s="486">
        <v>0.1</v>
      </c>
      <c r="K906" s="472">
        <f t="shared" si="101"/>
        <v>17</v>
      </c>
      <c r="L906" s="473">
        <v>0.7270833333333333</v>
      </c>
      <c r="M906" s="474">
        <f t="shared" si="100"/>
        <v>0.7270833333333333</v>
      </c>
      <c r="N906" s="519">
        <v>0.73263888888888884</v>
      </c>
      <c r="P906" s="29" t="str">
        <f t="shared" si="104"/>
        <v>2006F0</v>
      </c>
      <c r="Q906" s="29" t="str">
        <f t="shared" si="105"/>
        <v>F017</v>
      </c>
      <c r="R906" s="29" t="str">
        <f t="shared" si="106"/>
        <v>JuneF0</v>
      </c>
    </row>
    <row r="907" spans="1:18">
      <c r="A907" s="483">
        <f t="shared" si="107"/>
        <v>903</v>
      </c>
      <c r="B907" s="484">
        <f t="shared" si="102"/>
        <v>8</v>
      </c>
      <c r="C907" s="485">
        <v>38889</v>
      </c>
      <c r="D907" s="763" t="str">
        <f t="shared" si="103"/>
        <v>June</v>
      </c>
      <c r="E907" s="486">
        <v>21</v>
      </c>
      <c r="F907" s="472">
        <v>2006</v>
      </c>
      <c r="G907" s="484" t="s">
        <v>100</v>
      </c>
      <c r="H907" s="472" t="s">
        <v>123</v>
      </c>
      <c r="I907" s="486">
        <v>300</v>
      </c>
      <c r="J907" s="486">
        <v>2</v>
      </c>
      <c r="K907" s="472">
        <f t="shared" si="101"/>
        <v>17</v>
      </c>
      <c r="L907" s="473">
        <v>0.7402777777777777</v>
      </c>
      <c r="M907" s="474">
        <f t="shared" si="100"/>
        <v>0.7402777777777777</v>
      </c>
      <c r="N907" s="519">
        <v>0.74722222222222223</v>
      </c>
      <c r="P907" s="29" t="str">
        <f t="shared" si="104"/>
        <v>2006F1</v>
      </c>
      <c r="Q907" s="29" t="str">
        <f t="shared" si="105"/>
        <v>F117</v>
      </c>
      <c r="R907" s="29" t="str">
        <f t="shared" si="106"/>
        <v>JuneF1</v>
      </c>
    </row>
    <row r="908" spans="1:18">
      <c r="A908" s="483">
        <f t="shared" si="107"/>
        <v>904</v>
      </c>
      <c r="B908" s="484">
        <f t="shared" si="102"/>
        <v>9</v>
      </c>
      <c r="C908" s="485">
        <v>38889</v>
      </c>
      <c r="D908" s="763" t="str">
        <f t="shared" si="103"/>
        <v>June</v>
      </c>
      <c r="E908" s="486">
        <v>21</v>
      </c>
      <c r="F908" s="472">
        <v>2006</v>
      </c>
      <c r="G908" s="484" t="s">
        <v>103</v>
      </c>
      <c r="H908" s="472" t="s">
        <v>122</v>
      </c>
      <c r="I908" s="486">
        <v>25</v>
      </c>
      <c r="J908" s="486">
        <v>0.1</v>
      </c>
      <c r="K908" s="472">
        <f t="shared" si="101"/>
        <v>18</v>
      </c>
      <c r="L908" s="473">
        <v>0.75555555555555554</v>
      </c>
      <c r="M908" s="474">
        <f t="shared" si="100"/>
        <v>0.75555555555555554</v>
      </c>
      <c r="N908" s="519">
        <v>0.75694444444444453</v>
      </c>
      <c r="P908" s="29" t="str">
        <f t="shared" si="104"/>
        <v>2006F0</v>
      </c>
      <c r="Q908" s="29" t="str">
        <f t="shared" si="105"/>
        <v>F018</v>
      </c>
      <c r="R908" s="29" t="str">
        <f t="shared" si="106"/>
        <v>JuneF0</v>
      </c>
    </row>
    <row r="909" spans="1:18">
      <c r="A909" s="483">
        <f t="shared" si="107"/>
        <v>905</v>
      </c>
      <c r="B909" s="484">
        <f t="shared" si="102"/>
        <v>10</v>
      </c>
      <c r="C909" s="485">
        <v>38889</v>
      </c>
      <c r="D909" s="763" t="str">
        <f t="shared" si="103"/>
        <v>June</v>
      </c>
      <c r="E909" s="486">
        <v>21</v>
      </c>
      <c r="F909" s="472">
        <v>2006</v>
      </c>
      <c r="G909" s="484" t="s">
        <v>104</v>
      </c>
      <c r="H909" s="472" t="s">
        <v>122</v>
      </c>
      <c r="I909" s="486">
        <v>50</v>
      </c>
      <c r="J909" s="486">
        <v>0.2</v>
      </c>
      <c r="K909" s="472">
        <f t="shared" si="101"/>
        <v>18</v>
      </c>
      <c r="L909" s="473">
        <v>0.75694444444444453</v>
      </c>
      <c r="M909" s="474">
        <f t="shared" si="100"/>
        <v>0.75694444444444453</v>
      </c>
      <c r="N909" s="519">
        <v>0.76388888888888884</v>
      </c>
      <c r="P909" s="29" t="str">
        <f t="shared" si="104"/>
        <v>2006F0</v>
      </c>
      <c r="Q909" s="29" t="str">
        <f t="shared" si="105"/>
        <v>F018</v>
      </c>
      <c r="R909" s="29" t="str">
        <f t="shared" si="106"/>
        <v>JuneF0</v>
      </c>
    </row>
    <row r="910" spans="1:18">
      <c r="A910" s="483">
        <f t="shared" si="107"/>
        <v>906</v>
      </c>
      <c r="B910" s="484">
        <f t="shared" si="102"/>
        <v>11</v>
      </c>
      <c r="C910" s="485">
        <v>38893</v>
      </c>
      <c r="D910" s="763" t="str">
        <f t="shared" si="103"/>
        <v>June</v>
      </c>
      <c r="E910" s="486">
        <v>25</v>
      </c>
      <c r="F910" s="472">
        <v>2006</v>
      </c>
      <c r="G910" s="484" t="s">
        <v>102</v>
      </c>
      <c r="H910" s="472" t="s">
        <v>122</v>
      </c>
      <c r="I910" s="486">
        <v>25</v>
      </c>
      <c r="J910" s="486">
        <v>0.1</v>
      </c>
      <c r="K910" s="472">
        <f t="shared" si="101"/>
        <v>16</v>
      </c>
      <c r="L910" s="473">
        <v>0.7</v>
      </c>
      <c r="M910" s="474">
        <f t="shared" si="100"/>
        <v>0.7</v>
      </c>
      <c r="N910" s="519">
        <v>0.7</v>
      </c>
      <c r="P910" s="29" t="str">
        <f t="shared" si="104"/>
        <v>2006F0</v>
      </c>
      <c r="Q910" s="29" t="str">
        <f t="shared" si="105"/>
        <v>F016</v>
      </c>
      <c r="R910" s="29" t="str">
        <f t="shared" si="106"/>
        <v>JuneF0</v>
      </c>
    </row>
    <row r="911" spans="1:18">
      <c r="A911" s="483">
        <f t="shared" si="107"/>
        <v>907</v>
      </c>
      <c r="B911" s="484">
        <f t="shared" si="102"/>
        <v>12</v>
      </c>
      <c r="C911" s="485">
        <v>38926</v>
      </c>
      <c r="D911" s="763" t="str">
        <f t="shared" si="103"/>
        <v>July</v>
      </c>
      <c r="E911" s="486">
        <v>28</v>
      </c>
      <c r="F911" s="472">
        <v>2006</v>
      </c>
      <c r="G911" s="484" t="s">
        <v>117</v>
      </c>
      <c r="H911" s="472" t="s">
        <v>122</v>
      </c>
      <c r="I911" s="486">
        <v>25</v>
      </c>
      <c r="J911" s="486">
        <v>3</v>
      </c>
      <c r="K911" s="472">
        <f t="shared" si="101"/>
        <v>18</v>
      </c>
      <c r="L911" s="473">
        <v>0.77569444444444446</v>
      </c>
      <c r="M911" s="474">
        <f t="shared" si="100"/>
        <v>0.77569444444444446</v>
      </c>
      <c r="N911" s="519">
        <v>0.77777777777777779</v>
      </c>
      <c r="P911" s="29" t="str">
        <f t="shared" si="104"/>
        <v>2006F0</v>
      </c>
      <c r="Q911" s="29" t="str">
        <f t="shared" si="105"/>
        <v>F018</v>
      </c>
      <c r="R911" s="29" t="str">
        <f t="shared" si="106"/>
        <v>JulyF0</v>
      </c>
    </row>
    <row r="912" spans="1:18">
      <c r="A912" s="483">
        <f t="shared" si="107"/>
        <v>908</v>
      </c>
      <c r="B912" s="484">
        <f t="shared" si="102"/>
        <v>13</v>
      </c>
      <c r="C912" s="485">
        <v>38956</v>
      </c>
      <c r="D912" s="763" t="str">
        <f t="shared" si="103"/>
        <v>August</v>
      </c>
      <c r="E912" s="486">
        <v>27</v>
      </c>
      <c r="F912" s="472">
        <v>2006</v>
      </c>
      <c r="G912" s="484" t="s">
        <v>109</v>
      </c>
      <c r="H912" s="472" t="s">
        <v>122</v>
      </c>
      <c r="I912" s="486">
        <v>25</v>
      </c>
      <c r="J912" s="486">
        <v>1.5</v>
      </c>
      <c r="K912" s="472">
        <f t="shared" si="101"/>
        <v>19</v>
      </c>
      <c r="L912" s="473">
        <v>0.8208333333333333</v>
      </c>
      <c r="M912" s="474">
        <f t="shared" si="100"/>
        <v>0.8208333333333333</v>
      </c>
      <c r="N912" s="519">
        <v>0.82361111111111107</v>
      </c>
      <c r="P912" s="29" t="str">
        <f t="shared" si="104"/>
        <v>2006F0</v>
      </c>
      <c r="Q912" s="29" t="str">
        <f t="shared" si="105"/>
        <v>F019</v>
      </c>
      <c r="R912" s="29" t="str">
        <f t="shared" si="106"/>
        <v>AugustF0</v>
      </c>
    </row>
    <row r="913" spans="1:18">
      <c r="A913" s="483">
        <f t="shared" si="107"/>
        <v>909</v>
      </c>
      <c r="B913" s="484">
        <v>1</v>
      </c>
      <c r="C913" s="485">
        <v>39136</v>
      </c>
      <c r="D913" s="763" t="str">
        <f t="shared" si="103"/>
        <v>February</v>
      </c>
      <c r="E913" s="486">
        <v>23</v>
      </c>
      <c r="F913" s="472">
        <v>2007</v>
      </c>
      <c r="G913" s="484" t="s">
        <v>115</v>
      </c>
      <c r="H913" s="472" t="s">
        <v>161</v>
      </c>
      <c r="I913" s="486">
        <v>25</v>
      </c>
      <c r="J913" s="486">
        <v>0.1</v>
      </c>
      <c r="K913" s="472">
        <f t="shared" si="101"/>
        <v>18</v>
      </c>
      <c r="L913" s="473">
        <v>0.75694444444444453</v>
      </c>
      <c r="M913" s="474">
        <f t="shared" si="100"/>
        <v>0.75694444444444453</v>
      </c>
      <c r="N913" s="519">
        <v>0.75763888888888886</v>
      </c>
      <c r="P913" s="29" t="str">
        <f t="shared" si="104"/>
        <v>2007EF0</v>
      </c>
      <c r="Q913" s="29" t="str">
        <f t="shared" si="105"/>
        <v>EF018</v>
      </c>
      <c r="R913" s="29" t="str">
        <f t="shared" si="106"/>
        <v>FebruaryEF0</v>
      </c>
    </row>
    <row r="914" spans="1:18">
      <c r="A914" s="483">
        <f t="shared" si="107"/>
        <v>910</v>
      </c>
      <c r="B914" s="484">
        <f t="shared" ref="B914:B945" si="108">+B913+1</f>
        <v>2</v>
      </c>
      <c r="C914" s="485">
        <v>39164</v>
      </c>
      <c r="D914" s="763" t="str">
        <f t="shared" si="103"/>
        <v>March</v>
      </c>
      <c r="E914" s="486">
        <v>23</v>
      </c>
      <c r="F914" s="472">
        <v>2007</v>
      </c>
      <c r="G914" s="484" t="s">
        <v>100</v>
      </c>
      <c r="H914" s="472" t="s">
        <v>161</v>
      </c>
      <c r="I914" s="486">
        <v>440</v>
      </c>
      <c r="J914" s="486">
        <v>1.38</v>
      </c>
      <c r="K914" s="472">
        <f t="shared" si="101"/>
        <v>16</v>
      </c>
      <c r="L914" s="473">
        <v>0.6743055555555556</v>
      </c>
      <c r="M914" s="474">
        <f t="shared" si="100"/>
        <v>0.6743055555555556</v>
      </c>
      <c r="N914" s="519">
        <v>0.67638888888888893</v>
      </c>
      <c r="P914" s="29" t="str">
        <f t="shared" si="104"/>
        <v>2007EF0</v>
      </c>
      <c r="Q914" s="29" t="str">
        <f t="shared" si="105"/>
        <v>EF016</v>
      </c>
      <c r="R914" s="29" t="str">
        <f t="shared" si="106"/>
        <v>MarchEF0</v>
      </c>
    </row>
    <row r="915" spans="1:18">
      <c r="A915" s="483">
        <f t="shared" si="107"/>
        <v>911</v>
      </c>
      <c r="B915" s="484">
        <f t="shared" si="108"/>
        <v>3</v>
      </c>
      <c r="C915" s="485">
        <v>39165</v>
      </c>
      <c r="D915" s="763" t="str">
        <f t="shared" si="103"/>
        <v>March</v>
      </c>
      <c r="E915" s="486">
        <v>24</v>
      </c>
      <c r="F915" s="472">
        <v>2007</v>
      </c>
      <c r="G915" s="484" t="s">
        <v>115</v>
      </c>
      <c r="H915" s="472" t="s">
        <v>162</v>
      </c>
      <c r="I915" s="486">
        <v>50</v>
      </c>
      <c r="J915" s="486">
        <v>2</v>
      </c>
      <c r="K915" s="472">
        <f t="shared" si="101"/>
        <v>2</v>
      </c>
      <c r="L915" s="473">
        <v>0.12430555555555556</v>
      </c>
      <c r="M915" s="474">
        <f t="shared" si="100"/>
        <v>0.12430555555555556</v>
      </c>
      <c r="N915" s="519">
        <v>0.12638888888888888</v>
      </c>
      <c r="P915" s="29" t="str">
        <f t="shared" si="104"/>
        <v>2007EF1</v>
      </c>
      <c r="Q915" s="29" t="str">
        <f t="shared" si="105"/>
        <v>EF12</v>
      </c>
      <c r="R915" s="29" t="str">
        <f t="shared" si="106"/>
        <v>MarchEF1</v>
      </c>
    </row>
    <row r="916" spans="1:18">
      <c r="A916" s="483">
        <f t="shared" si="107"/>
        <v>912</v>
      </c>
      <c r="B916" s="484">
        <f t="shared" si="108"/>
        <v>4</v>
      </c>
      <c r="C916" s="485">
        <v>39169</v>
      </c>
      <c r="D916" s="763" t="str">
        <f t="shared" si="103"/>
        <v>March</v>
      </c>
      <c r="E916" s="486">
        <v>28</v>
      </c>
      <c r="F916" s="472">
        <v>2007</v>
      </c>
      <c r="G916" s="484" t="s">
        <v>120</v>
      </c>
      <c r="H916" s="472" t="s">
        <v>161</v>
      </c>
      <c r="I916" s="486">
        <v>100</v>
      </c>
      <c r="J916" s="486">
        <v>1</v>
      </c>
      <c r="K916" s="472">
        <f t="shared" si="101"/>
        <v>17</v>
      </c>
      <c r="L916" s="473">
        <v>0.73611111111111116</v>
      </c>
      <c r="M916" s="474">
        <f t="shared" si="100"/>
        <v>0.73611111111111116</v>
      </c>
      <c r="N916" s="519">
        <v>0.74305555555555547</v>
      </c>
      <c r="P916" s="29" t="str">
        <f t="shared" si="104"/>
        <v>2007EF0</v>
      </c>
      <c r="Q916" s="29" t="str">
        <f t="shared" si="105"/>
        <v>EF017</v>
      </c>
      <c r="R916" s="29" t="str">
        <f t="shared" si="106"/>
        <v>MarchEF0</v>
      </c>
    </row>
    <row r="917" spans="1:18">
      <c r="A917" s="483">
        <f t="shared" si="107"/>
        <v>913</v>
      </c>
      <c r="B917" s="484">
        <f t="shared" si="108"/>
        <v>5</v>
      </c>
      <c r="C917" s="485">
        <v>39169</v>
      </c>
      <c r="D917" s="763" t="str">
        <f t="shared" si="103"/>
        <v>March</v>
      </c>
      <c r="E917" s="486">
        <v>28</v>
      </c>
      <c r="F917" s="472">
        <v>2007</v>
      </c>
      <c r="G917" s="484" t="s">
        <v>120</v>
      </c>
      <c r="H917" s="472" t="s">
        <v>162</v>
      </c>
      <c r="I917" s="486">
        <v>150</v>
      </c>
      <c r="J917" s="486">
        <v>7.27</v>
      </c>
      <c r="K917" s="472">
        <f t="shared" si="101"/>
        <v>17</v>
      </c>
      <c r="L917" s="473">
        <v>0.74652777777777779</v>
      </c>
      <c r="M917" s="474">
        <f t="shared" si="100"/>
        <v>0.74652777777777779</v>
      </c>
      <c r="N917" s="519">
        <v>0.75763888888888886</v>
      </c>
      <c r="P917" s="29" t="str">
        <f t="shared" si="104"/>
        <v>2007EF1</v>
      </c>
      <c r="Q917" s="29" t="str">
        <f t="shared" si="105"/>
        <v>EF117</v>
      </c>
      <c r="R917" s="29" t="str">
        <f t="shared" si="106"/>
        <v>MarchEF1</v>
      </c>
    </row>
    <row r="918" spans="1:18">
      <c r="A918" s="483">
        <f t="shared" si="107"/>
        <v>914</v>
      </c>
      <c r="B918" s="484">
        <f t="shared" si="108"/>
        <v>6</v>
      </c>
      <c r="C918" s="485">
        <v>39169</v>
      </c>
      <c r="D918" s="763" t="str">
        <f t="shared" si="103"/>
        <v>March</v>
      </c>
      <c r="E918" s="486">
        <v>28</v>
      </c>
      <c r="F918" s="472">
        <v>2007</v>
      </c>
      <c r="G918" s="484" t="s">
        <v>120</v>
      </c>
      <c r="H918" s="472" t="s">
        <v>161</v>
      </c>
      <c r="I918" s="486">
        <v>200</v>
      </c>
      <c r="J918" s="486">
        <v>1</v>
      </c>
      <c r="K918" s="472">
        <f t="shared" si="101"/>
        <v>18</v>
      </c>
      <c r="L918" s="473">
        <v>0.75347222222222221</v>
      </c>
      <c r="M918" s="474">
        <f t="shared" si="100"/>
        <v>0.75347222222222221</v>
      </c>
      <c r="N918" s="519">
        <v>0.75624999999999998</v>
      </c>
      <c r="P918" s="29" t="str">
        <f t="shared" si="104"/>
        <v>2007EF0</v>
      </c>
      <c r="Q918" s="29" t="str">
        <f t="shared" si="105"/>
        <v>EF018</v>
      </c>
      <c r="R918" s="29" t="str">
        <f t="shared" si="106"/>
        <v>MarchEF0</v>
      </c>
    </row>
    <row r="919" spans="1:18">
      <c r="A919" s="483">
        <f t="shared" si="107"/>
        <v>915</v>
      </c>
      <c r="B919" s="484">
        <f t="shared" si="108"/>
        <v>7</v>
      </c>
      <c r="C919" s="485">
        <v>39169</v>
      </c>
      <c r="D919" s="763" t="str">
        <f t="shared" si="103"/>
        <v>March</v>
      </c>
      <c r="E919" s="486">
        <v>28</v>
      </c>
      <c r="F919" s="472">
        <v>2007</v>
      </c>
      <c r="G919" s="484" t="s">
        <v>106</v>
      </c>
      <c r="H919" s="472" t="s">
        <v>160</v>
      </c>
      <c r="I919" s="486">
        <v>150</v>
      </c>
      <c r="J919" s="486">
        <v>22</v>
      </c>
      <c r="K919" s="472">
        <f t="shared" si="101"/>
        <v>18</v>
      </c>
      <c r="L919" s="473">
        <v>0.76111111111111107</v>
      </c>
      <c r="M919" s="474">
        <f t="shared" si="100"/>
        <v>0.76111111111111107</v>
      </c>
      <c r="N919" s="519">
        <v>0.78749999999999998</v>
      </c>
      <c r="P919" s="29" t="str">
        <f t="shared" si="104"/>
        <v>2007EF2</v>
      </c>
      <c r="Q919" s="29" t="str">
        <f t="shared" si="105"/>
        <v>EF218</v>
      </c>
      <c r="R919" s="29" t="str">
        <f t="shared" si="106"/>
        <v>MarchEF2</v>
      </c>
    </row>
    <row r="920" spans="1:18">
      <c r="A920" s="483">
        <f t="shared" si="107"/>
        <v>916</v>
      </c>
      <c r="B920" s="484">
        <f t="shared" si="108"/>
        <v>8</v>
      </c>
      <c r="C920" s="485">
        <v>39169</v>
      </c>
      <c r="D920" s="763" t="str">
        <f t="shared" si="103"/>
        <v>March</v>
      </c>
      <c r="E920" s="486">
        <v>28</v>
      </c>
      <c r="F920" s="472">
        <v>2007</v>
      </c>
      <c r="G920" s="484" t="s">
        <v>120</v>
      </c>
      <c r="H920" s="472" t="s">
        <v>163</v>
      </c>
      <c r="I920" s="486">
        <v>600</v>
      </c>
      <c r="J920" s="486">
        <v>6.35</v>
      </c>
      <c r="K920" s="472">
        <f t="shared" si="101"/>
        <v>18</v>
      </c>
      <c r="L920" s="473">
        <v>0.77708333333333324</v>
      </c>
      <c r="M920" s="474">
        <f t="shared" si="100"/>
        <v>0.77708333333333324</v>
      </c>
      <c r="N920" s="519">
        <v>0.78749999999999998</v>
      </c>
      <c r="P920" s="29" t="str">
        <f t="shared" si="104"/>
        <v>2007EF3</v>
      </c>
      <c r="Q920" s="29" t="str">
        <f t="shared" si="105"/>
        <v>EF318</v>
      </c>
      <c r="R920" s="29" t="str">
        <f t="shared" si="106"/>
        <v>MarchEF3</v>
      </c>
    </row>
    <row r="921" spans="1:18">
      <c r="A921" s="483">
        <f t="shared" si="107"/>
        <v>917</v>
      </c>
      <c r="B921" s="484">
        <f t="shared" si="108"/>
        <v>9</v>
      </c>
      <c r="C921" s="485">
        <v>39169</v>
      </c>
      <c r="D921" s="763" t="str">
        <f t="shared" si="103"/>
        <v>March</v>
      </c>
      <c r="E921" s="486">
        <v>28</v>
      </c>
      <c r="F921" s="472">
        <v>2007</v>
      </c>
      <c r="G921" s="484" t="s">
        <v>120</v>
      </c>
      <c r="H921" s="472" t="s">
        <v>160</v>
      </c>
      <c r="I921" s="486">
        <v>528</v>
      </c>
      <c r="J921" s="486">
        <v>4.1500000000000004</v>
      </c>
      <c r="K921" s="472">
        <f t="shared" si="101"/>
        <v>18</v>
      </c>
      <c r="L921" s="473">
        <v>0.78194444444444444</v>
      </c>
      <c r="M921" s="474">
        <f t="shared" si="100"/>
        <v>0.78194444444444444</v>
      </c>
      <c r="N921" s="519">
        <v>0.78819444444444453</v>
      </c>
      <c r="P921" s="29" t="str">
        <f t="shared" si="104"/>
        <v>2007EF2</v>
      </c>
      <c r="Q921" s="29" t="str">
        <f t="shared" si="105"/>
        <v>EF218</v>
      </c>
      <c r="R921" s="29" t="str">
        <f t="shared" si="106"/>
        <v>MarchEF2</v>
      </c>
    </row>
    <row r="922" spans="1:18">
      <c r="A922" s="483">
        <f t="shared" si="107"/>
        <v>918</v>
      </c>
      <c r="B922" s="484">
        <f t="shared" si="108"/>
        <v>10</v>
      </c>
      <c r="C922" s="485">
        <v>39169</v>
      </c>
      <c r="D922" s="763" t="str">
        <f t="shared" si="103"/>
        <v>March</v>
      </c>
      <c r="E922" s="486">
        <v>28</v>
      </c>
      <c r="F922" s="472">
        <v>2007</v>
      </c>
      <c r="G922" s="484" t="s">
        <v>120</v>
      </c>
      <c r="H922" s="472" t="s">
        <v>161</v>
      </c>
      <c r="I922" s="486">
        <v>50</v>
      </c>
      <c r="J922" s="486">
        <v>0.25</v>
      </c>
      <c r="K922" s="472">
        <f t="shared" si="101"/>
        <v>19</v>
      </c>
      <c r="L922" s="473">
        <v>0.79305555555555562</v>
      </c>
      <c r="M922" s="474">
        <f t="shared" si="100"/>
        <v>0.79305555555555562</v>
      </c>
      <c r="N922" s="519">
        <v>0.7944444444444444</v>
      </c>
      <c r="P922" s="29" t="str">
        <f t="shared" si="104"/>
        <v>2007EF0</v>
      </c>
      <c r="Q922" s="29" t="str">
        <f t="shared" si="105"/>
        <v>EF019</v>
      </c>
      <c r="R922" s="29" t="str">
        <f t="shared" si="106"/>
        <v>MarchEF0</v>
      </c>
    </row>
    <row r="923" spans="1:18">
      <c r="A923" s="483">
        <f t="shared" si="107"/>
        <v>919</v>
      </c>
      <c r="B923" s="484">
        <f t="shared" si="108"/>
        <v>11</v>
      </c>
      <c r="C923" s="485">
        <v>39169</v>
      </c>
      <c r="D923" s="763" t="str">
        <f t="shared" si="103"/>
        <v>March</v>
      </c>
      <c r="E923" s="486">
        <v>28</v>
      </c>
      <c r="F923" s="472">
        <v>2007</v>
      </c>
      <c r="G923" s="484" t="s">
        <v>101</v>
      </c>
      <c r="H923" s="472" t="s">
        <v>160</v>
      </c>
      <c r="I923" s="486">
        <v>100</v>
      </c>
      <c r="J923" s="486">
        <v>6</v>
      </c>
      <c r="K923" s="472">
        <f t="shared" si="101"/>
        <v>19</v>
      </c>
      <c r="L923" s="473">
        <v>0.7944444444444444</v>
      </c>
      <c r="M923" s="474">
        <f t="shared" si="100"/>
        <v>0.7944444444444444</v>
      </c>
      <c r="N923" s="519">
        <v>0.80625000000000002</v>
      </c>
      <c r="P923" s="29" t="str">
        <f t="shared" si="104"/>
        <v>2007EF2</v>
      </c>
      <c r="Q923" s="29" t="str">
        <f t="shared" si="105"/>
        <v>EF219</v>
      </c>
      <c r="R923" s="29" t="str">
        <f t="shared" si="106"/>
        <v>MarchEF2</v>
      </c>
    </row>
    <row r="924" spans="1:18">
      <c r="A924" s="483">
        <f t="shared" si="107"/>
        <v>920</v>
      </c>
      <c r="B924" s="484">
        <f t="shared" si="108"/>
        <v>12</v>
      </c>
      <c r="C924" s="485">
        <v>39169</v>
      </c>
      <c r="D924" s="763" t="str">
        <f t="shared" si="103"/>
        <v>March</v>
      </c>
      <c r="E924" s="486">
        <v>28</v>
      </c>
      <c r="F924" s="472">
        <v>2007</v>
      </c>
      <c r="G924" s="484" t="s">
        <v>120</v>
      </c>
      <c r="H924" s="472" t="s">
        <v>160</v>
      </c>
      <c r="I924" s="486">
        <v>200</v>
      </c>
      <c r="J924" s="486">
        <v>4.53</v>
      </c>
      <c r="K924" s="472">
        <f t="shared" si="101"/>
        <v>19</v>
      </c>
      <c r="L924" s="473">
        <v>0.80069444444444438</v>
      </c>
      <c r="M924" s="474">
        <f t="shared" si="100"/>
        <v>0.80069444444444438</v>
      </c>
      <c r="N924" s="519">
        <v>0.80833333333333324</v>
      </c>
      <c r="P924" s="29" t="str">
        <f t="shared" si="104"/>
        <v>2007EF2</v>
      </c>
      <c r="Q924" s="29" t="str">
        <f t="shared" si="105"/>
        <v>EF219</v>
      </c>
      <c r="R924" s="29" t="str">
        <f t="shared" si="106"/>
        <v>MarchEF2</v>
      </c>
    </row>
    <row r="925" spans="1:18">
      <c r="A925" s="483">
        <f t="shared" si="107"/>
        <v>921</v>
      </c>
      <c r="B925" s="484">
        <f t="shared" si="108"/>
        <v>13</v>
      </c>
      <c r="C925" s="485">
        <v>39169</v>
      </c>
      <c r="D925" s="763" t="str">
        <f t="shared" si="103"/>
        <v>March</v>
      </c>
      <c r="E925" s="486">
        <v>28</v>
      </c>
      <c r="F925" s="472">
        <v>2007</v>
      </c>
      <c r="G925" s="484" t="s">
        <v>120</v>
      </c>
      <c r="H925" s="472" t="s">
        <v>161</v>
      </c>
      <c r="I925" s="486">
        <v>50</v>
      </c>
      <c r="J925" s="486">
        <v>1</v>
      </c>
      <c r="K925" s="472">
        <f t="shared" si="101"/>
        <v>19</v>
      </c>
      <c r="L925" s="473">
        <v>0.80208333333333337</v>
      </c>
      <c r="M925" s="474">
        <f t="shared" si="100"/>
        <v>0.80208333333333337</v>
      </c>
      <c r="N925" s="519">
        <v>0.8041666666666667</v>
      </c>
      <c r="P925" s="29" t="str">
        <f t="shared" si="104"/>
        <v>2007EF0</v>
      </c>
      <c r="Q925" s="29" t="str">
        <f t="shared" si="105"/>
        <v>EF019</v>
      </c>
      <c r="R925" s="29" t="str">
        <f t="shared" si="106"/>
        <v>MarchEF0</v>
      </c>
    </row>
    <row r="926" spans="1:18">
      <c r="A926" s="483">
        <f t="shared" si="107"/>
        <v>922</v>
      </c>
      <c r="B926" s="484">
        <f t="shared" si="108"/>
        <v>14</v>
      </c>
      <c r="C926" s="485">
        <v>39169</v>
      </c>
      <c r="D926" s="763" t="str">
        <f t="shared" si="103"/>
        <v>March</v>
      </c>
      <c r="E926" s="486">
        <v>28</v>
      </c>
      <c r="F926" s="472">
        <v>2007</v>
      </c>
      <c r="G926" s="484" t="s">
        <v>115</v>
      </c>
      <c r="H926" s="472" t="s">
        <v>160</v>
      </c>
      <c r="I926" s="486">
        <v>200</v>
      </c>
      <c r="J926" s="486">
        <v>3.61</v>
      </c>
      <c r="K926" s="472">
        <f t="shared" si="101"/>
        <v>19</v>
      </c>
      <c r="L926" s="473">
        <v>0.80763888888888891</v>
      </c>
      <c r="M926" s="474">
        <f t="shared" si="100"/>
        <v>0.80763888888888891</v>
      </c>
      <c r="N926" s="519">
        <v>0.81805555555555554</v>
      </c>
      <c r="P926" s="29" t="str">
        <f t="shared" si="104"/>
        <v>2007EF2</v>
      </c>
      <c r="Q926" s="29" t="str">
        <f t="shared" si="105"/>
        <v>EF219</v>
      </c>
      <c r="R926" s="29" t="str">
        <f t="shared" si="106"/>
        <v>MarchEF2</v>
      </c>
    </row>
    <row r="927" spans="1:18">
      <c r="A927" s="483">
        <f t="shared" si="107"/>
        <v>923</v>
      </c>
      <c r="B927" s="484">
        <f t="shared" si="108"/>
        <v>15</v>
      </c>
      <c r="C927" s="485">
        <v>39169</v>
      </c>
      <c r="D927" s="763" t="str">
        <f t="shared" si="103"/>
        <v>March</v>
      </c>
      <c r="E927" s="486">
        <v>28</v>
      </c>
      <c r="F927" s="472">
        <v>2007</v>
      </c>
      <c r="G927" s="484" t="s">
        <v>115</v>
      </c>
      <c r="H927" s="472" t="s">
        <v>161</v>
      </c>
      <c r="I927" s="486">
        <v>50</v>
      </c>
      <c r="J927" s="486">
        <v>0.25</v>
      </c>
      <c r="K927" s="472">
        <f t="shared" si="101"/>
        <v>19</v>
      </c>
      <c r="L927" s="473">
        <v>0.8125</v>
      </c>
      <c r="M927" s="474">
        <f t="shared" si="100"/>
        <v>0.8125</v>
      </c>
      <c r="N927" s="519">
        <v>0.8125</v>
      </c>
      <c r="P927" s="29" t="str">
        <f t="shared" si="104"/>
        <v>2007EF0</v>
      </c>
      <c r="Q927" s="29" t="str">
        <f t="shared" si="105"/>
        <v>EF019</v>
      </c>
      <c r="R927" s="29" t="str">
        <f t="shared" si="106"/>
        <v>MarchEF0</v>
      </c>
    </row>
    <row r="928" spans="1:18">
      <c r="A928" s="483">
        <f t="shared" si="107"/>
        <v>924</v>
      </c>
      <c r="B928" s="484">
        <f t="shared" si="108"/>
        <v>16</v>
      </c>
      <c r="C928" s="485">
        <v>39169</v>
      </c>
      <c r="D928" s="763" t="str">
        <f t="shared" si="103"/>
        <v>March</v>
      </c>
      <c r="E928" s="486">
        <v>28</v>
      </c>
      <c r="F928" s="472">
        <v>2007</v>
      </c>
      <c r="G928" s="484" t="s">
        <v>115</v>
      </c>
      <c r="H928" s="472" t="s">
        <v>162</v>
      </c>
      <c r="I928" s="486">
        <v>50</v>
      </c>
      <c r="J928" s="486">
        <v>0.25</v>
      </c>
      <c r="K928" s="472">
        <f t="shared" si="101"/>
        <v>19</v>
      </c>
      <c r="L928" s="473">
        <v>0.81666666666666676</v>
      </c>
      <c r="M928" s="474">
        <f t="shared" si="100"/>
        <v>0.81666666666666676</v>
      </c>
      <c r="N928" s="519">
        <v>0.81736111111111109</v>
      </c>
      <c r="P928" s="29" t="str">
        <f t="shared" si="104"/>
        <v>2007EF1</v>
      </c>
      <c r="Q928" s="29" t="str">
        <f t="shared" si="105"/>
        <v>EF119</v>
      </c>
      <c r="R928" s="29" t="str">
        <f t="shared" si="106"/>
        <v>MarchEF1</v>
      </c>
    </row>
    <row r="929" spans="1:18">
      <c r="A929" s="483">
        <f t="shared" si="107"/>
        <v>925</v>
      </c>
      <c r="B929" s="484">
        <f t="shared" si="108"/>
        <v>17</v>
      </c>
      <c r="C929" s="485">
        <v>39169</v>
      </c>
      <c r="D929" s="763" t="str">
        <f t="shared" si="103"/>
        <v>March</v>
      </c>
      <c r="E929" s="486">
        <v>28</v>
      </c>
      <c r="F929" s="472">
        <v>2007</v>
      </c>
      <c r="G929" s="484" t="s">
        <v>115</v>
      </c>
      <c r="H929" s="472" t="s">
        <v>163</v>
      </c>
      <c r="I929" s="486">
        <v>1760</v>
      </c>
      <c r="J929" s="486">
        <v>7.99</v>
      </c>
      <c r="K929" s="472">
        <f t="shared" si="101"/>
        <v>19</v>
      </c>
      <c r="L929" s="473">
        <v>0.82291666666666663</v>
      </c>
      <c r="M929" s="474">
        <f t="shared" si="100"/>
        <v>0.82291666666666663</v>
      </c>
      <c r="N929" s="519">
        <v>0.83333333333333337</v>
      </c>
      <c r="P929" s="29" t="str">
        <f t="shared" si="104"/>
        <v>2007EF3</v>
      </c>
      <c r="Q929" s="29" t="str">
        <f t="shared" si="105"/>
        <v>EF319</v>
      </c>
      <c r="R929" s="29" t="str">
        <f t="shared" si="106"/>
        <v>MarchEF3</v>
      </c>
    </row>
    <row r="930" spans="1:18">
      <c r="A930" s="483">
        <f t="shared" si="107"/>
        <v>926</v>
      </c>
      <c r="B930" s="484">
        <f t="shared" si="108"/>
        <v>18</v>
      </c>
      <c r="C930" s="485">
        <v>39169</v>
      </c>
      <c r="D930" s="763" t="str">
        <f t="shared" si="103"/>
        <v>March</v>
      </c>
      <c r="E930" s="486">
        <v>28</v>
      </c>
      <c r="F930" s="472">
        <v>2007</v>
      </c>
      <c r="G930" s="484" t="s">
        <v>111</v>
      </c>
      <c r="H930" s="472" t="s">
        <v>163</v>
      </c>
      <c r="I930" s="486">
        <v>1408</v>
      </c>
      <c r="J930" s="486">
        <v>7.77</v>
      </c>
      <c r="K930" s="472">
        <f t="shared" si="101"/>
        <v>20</v>
      </c>
      <c r="L930" s="473">
        <v>0.85416666666666663</v>
      </c>
      <c r="M930" s="474">
        <f t="shared" si="100"/>
        <v>0.85416666666666663</v>
      </c>
      <c r="N930" s="519">
        <v>0.87152777777777779</v>
      </c>
      <c r="P930" s="29" t="str">
        <f t="shared" si="104"/>
        <v>2007EF3</v>
      </c>
      <c r="Q930" s="29" t="str">
        <f t="shared" si="105"/>
        <v>EF320</v>
      </c>
      <c r="R930" s="29" t="str">
        <f t="shared" si="106"/>
        <v>MarchEF3</v>
      </c>
    </row>
    <row r="931" spans="1:18">
      <c r="A931" s="483">
        <f t="shared" si="107"/>
        <v>927</v>
      </c>
      <c r="B931" s="484">
        <f t="shared" si="108"/>
        <v>19</v>
      </c>
      <c r="C931" s="485">
        <v>39193</v>
      </c>
      <c r="D931" s="763" t="str">
        <f t="shared" si="103"/>
        <v>April</v>
      </c>
      <c r="E931" s="486">
        <v>21</v>
      </c>
      <c r="F931" s="472">
        <v>2007</v>
      </c>
      <c r="G931" s="484" t="s">
        <v>112</v>
      </c>
      <c r="H931" s="472" t="s">
        <v>162</v>
      </c>
      <c r="I931" s="486">
        <v>880</v>
      </c>
      <c r="J931" s="486">
        <v>17.13</v>
      </c>
      <c r="K931" s="472">
        <f t="shared" si="101"/>
        <v>17</v>
      </c>
      <c r="L931" s="473">
        <v>0.74375000000000002</v>
      </c>
      <c r="M931" s="474">
        <f t="shared" si="100"/>
        <v>0.74375000000000002</v>
      </c>
      <c r="N931" s="519">
        <v>0.76875000000000004</v>
      </c>
      <c r="P931" s="29" t="str">
        <f t="shared" si="104"/>
        <v>2007EF1</v>
      </c>
      <c r="Q931" s="29" t="str">
        <f t="shared" si="105"/>
        <v>EF117</v>
      </c>
      <c r="R931" s="29" t="str">
        <f t="shared" si="106"/>
        <v>AprilEF1</v>
      </c>
    </row>
    <row r="932" spans="1:18">
      <c r="A932" s="483">
        <f t="shared" si="107"/>
        <v>928</v>
      </c>
      <c r="B932" s="484">
        <f t="shared" si="108"/>
        <v>20</v>
      </c>
      <c r="C932" s="485">
        <v>39193</v>
      </c>
      <c r="D932" s="763" t="str">
        <f t="shared" si="103"/>
        <v>April</v>
      </c>
      <c r="E932" s="486">
        <v>21</v>
      </c>
      <c r="F932" s="472">
        <v>2007</v>
      </c>
      <c r="G932" s="484" t="s">
        <v>108</v>
      </c>
      <c r="H932" s="472" t="s">
        <v>160</v>
      </c>
      <c r="I932" s="486">
        <v>1320</v>
      </c>
      <c r="J932" s="486">
        <v>26.72</v>
      </c>
      <c r="K932" s="472">
        <f t="shared" si="101"/>
        <v>18</v>
      </c>
      <c r="L932" s="473">
        <v>0.76111111111111107</v>
      </c>
      <c r="M932" s="474">
        <f t="shared" si="100"/>
        <v>0.76111111111111107</v>
      </c>
      <c r="N932" s="519">
        <v>0.78611111111111109</v>
      </c>
      <c r="P932" s="29" t="str">
        <f t="shared" si="104"/>
        <v>2007EF2</v>
      </c>
      <c r="Q932" s="29" t="str">
        <f t="shared" si="105"/>
        <v>EF218</v>
      </c>
      <c r="R932" s="29" t="str">
        <f t="shared" si="106"/>
        <v>AprilEF2</v>
      </c>
    </row>
    <row r="933" spans="1:18">
      <c r="A933" s="483">
        <f t="shared" si="107"/>
        <v>929</v>
      </c>
      <c r="B933" s="484">
        <f t="shared" si="108"/>
        <v>21</v>
      </c>
      <c r="C933" s="485">
        <v>39193</v>
      </c>
      <c r="D933" s="763" t="str">
        <f t="shared" si="103"/>
        <v>April</v>
      </c>
      <c r="E933" s="486">
        <v>21</v>
      </c>
      <c r="F933" s="472">
        <v>2007</v>
      </c>
      <c r="G933" s="484" t="s">
        <v>108</v>
      </c>
      <c r="H933" s="472" t="s">
        <v>160</v>
      </c>
      <c r="I933" s="486">
        <v>704</v>
      </c>
      <c r="J933" s="486">
        <v>11.93</v>
      </c>
      <c r="K933" s="472">
        <f t="shared" si="101"/>
        <v>18</v>
      </c>
      <c r="L933" s="473">
        <v>0.78472222222222221</v>
      </c>
      <c r="M933" s="474">
        <f t="shared" si="100"/>
        <v>0.78472222222222221</v>
      </c>
      <c r="N933" s="519">
        <v>0.80208333333333337</v>
      </c>
      <c r="P933" s="29" t="str">
        <f t="shared" si="104"/>
        <v>2007EF2</v>
      </c>
      <c r="Q933" s="29" t="str">
        <f t="shared" si="105"/>
        <v>EF218</v>
      </c>
      <c r="R933" s="29" t="str">
        <f t="shared" si="106"/>
        <v>AprilEF2</v>
      </c>
    </row>
    <row r="934" spans="1:18">
      <c r="A934" s="483">
        <f t="shared" si="107"/>
        <v>930</v>
      </c>
      <c r="B934" s="484">
        <f t="shared" si="108"/>
        <v>22</v>
      </c>
      <c r="C934" s="485">
        <v>39193</v>
      </c>
      <c r="D934" s="763" t="str">
        <f t="shared" si="103"/>
        <v>April</v>
      </c>
      <c r="E934" s="486">
        <v>21</v>
      </c>
      <c r="F934" s="472">
        <v>2007</v>
      </c>
      <c r="G934" s="484" t="s">
        <v>108</v>
      </c>
      <c r="H934" s="472" t="s">
        <v>161</v>
      </c>
      <c r="I934" s="486">
        <v>50</v>
      </c>
      <c r="J934" s="486">
        <v>1</v>
      </c>
      <c r="K934" s="472">
        <f t="shared" si="101"/>
        <v>19</v>
      </c>
      <c r="L934" s="473">
        <v>0.79583333333333339</v>
      </c>
      <c r="M934" s="474">
        <f t="shared" si="100"/>
        <v>0.79583333333333339</v>
      </c>
      <c r="N934" s="519">
        <v>0.79722222222222217</v>
      </c>
      <c r="P934" s="29" t="str">
        <f t="shared" si="104"/>
        <v>2007EF0</v>
      </c>
      <c r="Q934" s="29" t="str">
        <f t="shared" si="105"/>
        <v>EF019</v>
      </c>
      <c r="R934" s="29" t="str">
        <f t="shared" si="106"/>
        <v>AprilEF0</v>
      </c>
    </row>
    <row r="935" spans="1:18">
      <c r="A935" s="483">
        <f t="shared" si="107"/>
        <v>931</v>
      </c>
      <c r="B935" s="484">
        <f t="shared" si="108"/>
        <v>23</v>
      </c>
      <c r="C935" s="485">
        <v>39193</v>
      </c>
      <c r="D935" s="763" t="str">
        <f t="shared" si="103"/>
        <v>April</v>
      </c>
      <c r="E935" s="486">
        <v>21</v>
      </c>
      <c r="F935" s="472">
        <v>2007</v>
      </c>
      <c r="G935" s="484" t="s">
        <v>108</v>
      </c>
      <c r="H935" s="472" t="s">
        <v>161</v>
      </c>
      <c r="I935" s="486">
        <v>100</v>
      </c>
      <c r="J935" s="486">
        <v>1.53</v>
      </c>
      <c r="K935" s="472">
        <f t="shared" si="101"/>
        <v>19</v>
      </c>
      <c r="L935" s="473">
        <v>0.80486111111111114</v>
      </c>
      <c r="M935" s="474">
        <f t="shared" si="100"/>
        <v>0.80486111111111114</v>
      </c>
      <c r="N935" s="519">
        <v>0.80763888888888891</v>
      </c>
      <c r="P935" s="29" t="str">
        <f t="shared" si="104"/>
        <v>2007EF0</v>
      </c>
      <c r="Q935" s="29" t="str">
        <f t="shared" si="105"/>
        <v>EF019</v>
      </c>
      <c r="R935" s="29" t="str">
        <f t="shared" si="106"/>
        <v>AprilEF0</v>
      </c>
    </row>
    <row r="936" spans="1:18">
      <c r="A936" s="483">
        <f t="shared" si="107"/>
        <v>932</v>
      </c>
      <c r="B936" s="484">
        <f t="shared" si="108"/>
        <v>24</v>
      </c>
      <c r="C936" s="485">
        <v>39193</v>
      </c>
      <c r="D936" s="763" t="str">
        <f t="shared" si="103"/>
        <v>April</v>
      </c>
      <c r="E936" s="486">
        <v>21</v>
      </c>
      <c r="F936" s="472">
        <v>2007</v>
      </c>
      <c r="G936" s="484" t="s">
        <v>108</v>
      </c>
      <c r="H936" s="472" t="s">
        <v>162</v>
      </c>
      <c r="I936" s="486">
        <v>1320</v>
      </c>
      <c r="J936" s="486">
        <v>9.31</v>
      </c>
      <c r="K936" s="472">
        <f t="shared" si="101"/>
        <v>19</v>
      </c>
      <c r="L936" s="473">
        <v>0.81666666666666676</v>
      </c>
      <c r="M936" s="474">
        <f t="shared" si="100"/>
        <v>0.81666666666666676</v>
      </c>
      <c r="N936" s="519">
        <v>0.82638888888888884</v>
      </c>
      <c r="P936" s="29" t="str">
        <f t="shared" si="104"/>
        <v>2007EF1</v>
      </c>
      <c r="Q936" s="29" t="str">
        <f t="shared" si="105"/>
        <v>EF119</v>
      </c>
      <c r="R936" s="29" t="str">
        <f t="shared" si="106"/>
        <v>AprilEF1</v>
      </c>
    </row>
    <row r="937" spans="1:18">
      <c r="A937" s="483">
        <f t="shared" si="107"/>
        <v>933</v>
      </c>
      <c r="B937" s="484">
        <f t="shared" si="108"/>
        <v>25</v>
      </c>
      <c r="C937" s="485">
        <v>39193</v>
      </c>
      <c r="D937" s="763" t="str">
        <f t="shared" si="103"/>
        <v>April</v>
      </c>
      <c r="E937" s="486">
        <v>21</v>
      </c>
      <c r="F937" s="472">
        <v>2007</v>
      </c>
      <c r="G937" s="484" t="s">
        <v>119</v>
      </c>
      <c r="H937" s="472" t="s">
        <v>162</v>
      </c>
      <c r="I937" s="486">
        <v>440</v>
      </c>
      <c r="J937" s="486">
        <v>3.33</v>
      </c>
      <c r="K937" s="472">
        <f t="shared" si="101"/>
        <v>19</v>
      </c>
      <c r="L937" s="473">
        <v>0.82291666666666663</v>
      </c>
      <c r="M937" s="474">
        <f t="shared" ref="M937:M994" si="109">+L937</f>
        <v>0.82291666666666663</v>
      </c>
      <c r="N937" s="519">
        <v>0.82986111111111116</v>
      </c>
      <c r="P937" s="29" t="str">
        <f t="shared" si="104"/>
        <v>2007EF1</v>
      </c>
      <c r="Q937" s="29" t="str">
        <f t="shared" si="105"/>
        <v>EF119</v>
      </c>
      <c r="R937" s="29" t="str">
        <f t="shared" si="106"/>
        <v>AprilEF1</v>
      </c>
    </row>
    <row r="938" spans="1:18">
      <c r="A938" s="483">
        <f t="shared" si="107"/>
        <v>934</v>
      </c>
      <c r="B938" s="484">
        <f t="shared" si="108"/>
        <v>26</v>
      </c>
      <c r="C938" s="485">
        <v>39193</v>
      </c>
      <c r="D938" s="763" t="str">
        <f t="shared" si="103"/>
        <v>April</v>
      </c>
      <c r="E938" s="486">
        <v>21</v>
      </c>
      <c r="F938" s="472">
        <v>2007</v>
      </c>
      <c r="G938" s="484" t="s">
        <v>108</v>
      </c>
      <c r="H938" s="472" t="s">
        <v>162</v>
      </c>
      <c r="I938" s="486">
        <v>440</v>
      </c>
      <c r="J938" s="486">
        <v>12.23</v>
      </c>
      <c r="K938" s="472">
        <f t="shared" si="101"/>
        <v>19</v>
      </c>
      <c r="L938" s="473">
        <v>0.82291666666666663</v>
      </c>
      <c r="M938" s="474">
        <f t="shared" si="109"/>
        <v>0.82291666666666663</v>
      </c>
      <c r="N938" s="519">
        <v>0.83333333333333337</v>
      </c>
      <c r="P938" s="29" t="str">
        <f t="shared" si="104"/>
        <v>2007EF1</v>
      </c>
      <c r="Q938" s="29" t="str">
        <f t="shared" si="105"/>
        <v>EF119</v>
      </c>
      <c r="R938" s="29" t="str">
        <f t="shared" si="106"/>
        <v>AprilEF1</v>
      </c>
    </row>
    <row r="939" spans="1:18">
      <c r="A939" s="483">
        <f t="shared" si="107"/>
        <v>935</v>
      </c>
      <c r="B939" s="484">
        <f t="shared" si="108"/>
        <v>27</v>
      </c>
      <c r="C939" s="485">
        <v>39193</v>
      </c>
      <c r="D939" s="763" t="str">
        <f t="shared" si="103"/>
        <v>April</v>
      </c>
      <c r="E939" s="486">
        <v>21</v>
      </c>
      <c r="F939" s="472">
        <v>2007</v>
      </c>
      <c r="G939" s="484" t="s">
        <v>103</v>
      </c>
      <c r="H939" s="472" t="s">
        <v>161</v>
      </c>
      <c r="I939" s="486">
        <v>700</v>
      </c>
      <c r="J939" s="486">
        <v>7.97</v>
      </c>
      <c r="K939" s="472">
        <f t="shared" si="101"/>
        <v>19</v>
      </c>
      <c r="L939" s="473">
        <v>0.83194444444444438</v>
      </c>
      <c r="M939" s="474">
        <f t="shared" si="109"/>
        <v>0.83194444444444438</v>
      </c>
      <c r="N939" s="519">
        <v>0.84166666666666667</v>
      </c>
      <c r="P939" s="29" t="str">
        <f t="shared" si="104"/>
        <v>2007EF0</v>
      </c>
      <c r="Q939" s="29" t="str">
        <f t="shared" si="105"/>
        <v>EF019</v>
      </c>
      <c r="R939" s="29" t="str">
        <f t="shared" si="106"/>
        <v>AprilEF0</v>
      </c>
    </row>
    <row r="940" spans="1:18">
      <c r="A940" s="483">
        <f t="shared" si="107"/>
        <v>936</v>
      </c>
      <c r="B940" s="484">
        <f t="shared" si="108"/>
        <v>28</v>
      </c>
      <c r="C940" s="485">
        <v>39193</v>
      </c>
      <c r="D940" s="763" t="str">
        <f t="shared" si="103"/>
        <v>April</v>
      </c>
      <c r="E940" s="486">
        <v>21</v>
      </c>
      <c r="F940" s="472">
        <v>2007</v>
      </c>
      <c r="G940" s="484" t="s">
        <v>108</v>
      </c>
      <c r="H940" s="472" t="s">
        <v>162</v>
      </c>
      <c r="I940" s="486">
        <v>704</v>
      </c>
      <c r="J940" s="486">
        <v>2</v>
      </c>
      <c r="K940" s="472">
        <f t="shared" si="101"/>
        <v>19</v>
      </c>
      <c r="L940" s="473">
        <v>0.83263888888888893</v>
      </c>
      <c r="M940" s="474">
        <f t="shared" si="109"/>
        <v>0.83263888888888893</v>
      </c>
      <c r="N940" s="519">
        <v>0.83472222222222225</v>
      </c>
      <c r="P940" s="29" t="str">
        <f t="shared" si="104"/>
        <v>2007EF1</v>
      </c>
      <c r="Q940" s="29" t="str">
        <f t="shared" si="105"/>
        <v>EF119</v>
      </c>
      <c r="R940" s="29" t="str">
        <f t="shared" si="106"/>
        <v>AprilEF1</v>
      </c>
    </row>
    <row r="941" spans="1:18">
      <c r="A941" s="483">
        <f t="shared" si="107"/>
        <v>937</v>
      </c>
      <c r="B941" s="484">
        <f t="shared" si="108"/>
        <v>29</v>
      </c>
      <c r="C941" s="485">
        <v>39193</v>
      </c>
      <c r="D941" s="763" t="str">
        <f t="shared" si="103"/>
        <v>April</v>
      </c>
      <c r="E941" s="486">
        <v>21</v>
      </c>
      <c r="F941" s="472">
        <v>2007</v>
      </c>
      <c r="G941" s="484" t="s">
        <v>118</v>
      </c>
      <c r="H941" s="472" t="s">
        <v>162</v>
      </c>
      <c r="I941" s="486">
        <v>880</v>
      </c>
      <c r="J941" s="486">
        <v>10.7</v>
      </c>
      <c r="K941" s="472">
        <f t="shared" si="101"/>
        <v>20</v>
      </c>
      <c r="L941" s="473">
        <v>0.83333333333333337</v>
      </c>
      <c r="M941" s="474">
        <f t="shared" si="109"/>
        <v>0.83333333333333337</v>
      </c>
      <c r="N941" s="519">
        <v>0.84375</v>
      </c>
      <c r="P941" s="29" t="str">
        <f t="shared" si="104"/>
        <v>2007EF1</v>
      </c>
      <c r="Q941" s="29" t="str">
        <f t="shared" si="105"/>
        <v>EF120</v>
      </c>
      <c r="R941" s="29" t="str">
        <f t="shared" si="106"/>
        <v>AprilEF1</v>
      </c>
    </row>
    <row r="942" spans="1:18">
      <c r="A942" s="483">
        <f t="shared" si="107"/>
        <v>938</v>
      </c>
      <c r="B942" s="484">
        <f t="shared" si="108"/>
        <v>30</v>
      </c>
      <c r="C942" s="485">
        <v>39193</v>
      </c>
      <c r="D942" s="763" t="str">
        <f t="shared" si="103"/>
        <v>April</v>
      </c>
      <c r="E942" s="486">
        <v>21</v>
      </c>
      <c r="F942" s="472">
        <v>2007</v>
      </c>
      <c r="G942" s="484" t="s">
        <v>119</v>
      </c>
      <c r="H942" s="472" t="s">
        <v>160</v>
      </c>
      <c r="I942" s="486">
        <v>440</v>
      </c>
      <c r="J942" s="486">
        <v>12.88</v>
      </c>
      <c r="K942" s="472">
        <f t="shared" si="101"/>
        <v>20</v>
      </c>
      <c r="L942" s="473">
        <v>0.85763888888888884</v>
      </c>
      <c r="M942" s="474">
        <f t="shared" si="109"/>
        <v>0.85763888888888884</v>
      </c>
      <c r="N942" s="519">
        <v>0.88194444444444453</v>
      </c>
      <c r="P942" s="29" t="str">
        <f t="shared" si="104"/>
        <v>2007EF2</v>
      </c>
      <c r="Q942" s="29" t="str">
        <f t="shared" si="105"/>
        <v>EF220</v>
      </c>
      <c r="R942" s="29" t="str">
        <f t="shared" si="106"/>
        <v>AprilEF2</v>
      </c>
    </row>
    <row r="943" spans="1:18">
      <c r="A943" s="483">
        <f t="shared" si="107"/>
        <v>939</v>
      </c>
      <c r="B943" s="484">
        <f t="shared" si="108"/>
        <v>31</v>
      </c>
      <c r="C943" s="485">
        <v>39193</v>
      </c>
      <c r="D943" s="763" t="str">
        <f t="shared" si="103"/>
        <v>April</v>
      </c>
      <c r="E943" s="486">
        <v>21</v>
      </c>
      <c r="F943" s="472">
        <v>2007</v>
      </c>
      <c r="G943" s="484" t="s">
        <v>119</v>
      </c>
      <c r="H943" s="472" t="s">
        <v>161</v>
      </c>
      <c r="I943" s="486">
        <v>50</v>
      </c>
      <c r="J943" s="486">
        <v>4.21</v>
      </c>
      <c r="K943" s="472">
        <f t="shared" si="101"/>
        <v>20</v>
      </c>
      <c r="L943" s="473">
        <v>0.86111111111111116</v>
      </c>
      <c r="M943" s="474">
        <f t="shared" si="109"/>
        <v>0.86111111111111116</v>
      </c>
      <c r="N943" s="519">
        <v>0.86458333333333337</v>
      </c>
      <c r="P943" s="29" t="str">
        <f t="shared" si="104"/>
        <v>2007EF0</v>
      </c>
      <c r="Q943" s="29" t="str">
        <f t="shared" si="105"/>
        <v>EF020</v>
      </c>
      <c r="R943" s="29" t="str">
        <f t="shared" si="106"/>
        <v>AprilEF0</v>
      </c>
    </row>
    <row r="944" spans="1:18">
      <c r="A944" s="483">
        <f t="shared" si="107"/>
        <v>940</v>
      </c>
      <c r="B944" s="484">
        <f t="shared" si="108"/>
        <v>32</v>
      </c>
      <c r="C944" s="485">
        <v>39193</v>
      </c>
      <c r="D944" s="763" t="str">
        <f t="shared" si="103"/>
        <v>April</v>
      </c>
      <c r="E944" s="486">
        <v>21</v>
      </c>
      <c r="F944" s="472">
        <v>2007</v>
      </c>
      <c r="G944" s="484" t="s">
        <v>115</v>
      </c>
      <c r="H944" s="472" t="s">
        <v>162</v>
      </c>
      <c r="I944" s="486">
        <v>50</v>
      </c>
      <c r="J944" s="486">
        <v>12.7</v>
      </c>
      <c r="K944" s="472">
        <f t="shared" si="101"/>
        <v>20</v>
      </c>
      <c r="L944" s="473">
        <v>0.86805555555555547</v>
      </c>
      <c r="M944" s="474">
        <f t="shared" si="109"/>
        <v>0.86805555555555547</v>
      </c>
      <c r="N944" s="519">
        <v>0.88194444444444453</v>
      </c>
      <c r="P944" s="29" t="str">
        <f t="shared" si="104"/>
        <v>2007EF1</v>
      </c>
      <c r="Q944" s="29" t="str">
        <f t="shared" si="105"/>
        <v>EF120</v>
      </c>
      <c r="R944" s="29" t="str">
        <f t="shared" si="106"/>
        <v>AprilEF1</v>
      </c>
    </row>
    <row r="945" spans="1:18">
      <c r="A945" s="483">
        <f t="shared" si="107"/>
        <v>941</v>
      </c>
      <c r="B945" s="484">
        <f t="shared" si="108"/>
        <v>33</v>
      </c>
      <c r="C945" s="501">
        <v>39207</v>
      </c>
      <c r="D945" s="763" t="str">
        <f t="shared" si="103"/>
        <v>May</v>
      </c>
      <c r="E945" s="486">
        <v>5</v>
      </c>
      <c r="F945" s="472">
        <v>2007</v>
      </c>
      <c r="G945" s="484" t="s">
        <v>121</v>
      </c>
      <c r="H945" s="472" t="s">
        <v>161</v>
      </c>
      <c r="I945" s="486">
        <v>100</v>
      </c>
      <c r="J945" s="486">
        <v>2.78</v>
      </c>
      <c r="K945" s="472">
        <f t="shared" si="101"/>
        <v>18</v>
      </c>
      <c r="L945" s="473">
        <v>0.76388888888888884</v>
      </c>
      <c r="M945" s="474">
        <f t="shared" si="109"/>
        <v>0.76388888888888884</v>
      </c>
      <c r="N945" s="519">
        <v>0.76597222222222217</v>
      </c>
      <c r="P945" s="29" t="str">
        <f t="shared" si="104"/>
        <v>2007EF0</v>
      </c>
      <c r="Q945" s="29" t="str">
        <f t="shared" si="105"/>
        <v>EF018</v>
      </c>
      <c r="R945" s="29" t="str">
        <f t="shared" si="106"/>
        <v>MayEF0</v>
      </c>
    </row>
    <row r="946" spans="1:18">
      <c r="A946" s="483">
        <f t="shared" si="107"/>
        <v>942</v>
      </c>
      <c r="B946" s="484">
        <f t="shared" ref="B946:B970" si="110">+B945+1</f>
        <v>34</v>
      </c>
      <c r="C946" s="501">
        <v>39207</v>
      </c>
      <c r="D946" s="763" t="str">
        <f t="shared" si="103"/>
        <v>May</v>
      </c>
      <c r="E946" s="486">
        <v>5</v>
      </c>
      <c r="F946" s="472">
        <v>2007</v>
      </c>
      <c r="G946" s="484" t="s">
        <v>121</v>
      </c>
      <c r="H946" s="472" t="s">
        <v>162</v>
      </c>
      <c r="I946" s="486">
        <v>200</v>
      </c>
      <c r="J946" s="486">
        <v>6.99</v>
      </c>
      <c r="K946" s="472">
        <f t="shared" si="101"/>
        <v>18</v>
      </c>
      <c r="L946" s="473">
        <v>0.76875000000000004</v>
      </c>
      <c r="M946" s="474">
        <f t="shared" si="109"/>
        <v>0.76875000000000004</v>
      </c>
      <c r="N946" s="519">
        <v>0.77500000000000002</v>
      </c>
      <c r="P946" s="29" t="str">
        <f t="shared" si="104"/>
        <v>2007EF1</v>
      </c>
      <c r="Q946" s="29" t="str">
        <f t="shared" si="105"/>
        <v>EF118</v>
      </c>
      <c r="R946" s="29" t="str">
        <f t="shared" si="106"/>
        <v>MayEF1</v>
      </c>
    </row>
    <row r="947" spans="1:18">
      <c r="A947" s="483">
        <f t="shared" si="107"/>
        <v>943</v>
      </c>
      <c r="B947" s="484">
        <f t="shared" si="110"/>
        <v>35</v>
      </c>
      <c r="C947" s="501">
        <v>39207</v>
      </c>
      <c r="D947" s="763" t="str">
        <f t="shared" si="103"/>
        <v>May</v>
      </c>
      <c r="E947" s="486">
        <v>5</v>
      </c>
      <c r="F947" s="472">
        <v>2007</v>
      </c>
      <c r="G947" s="484" t="s">
        <v>115</v>
      </c>
      <c r="H947" s="472" t="s">
        <v>161</v>
      </c>
      <c r="I947" s="486">
        <v>300</v>
      </c>
      <c r="J947" s="486">
        <v>2</v>
      </c>
      <c r="K947" s="472">
        <f t="shared" si="101"/>
        <v>22</v>
      </c>
      <c r="L947" s="473">
        <v>0.94444444444444453</v>
      </c>
      <c r="M947" s="474">
        <f t="shared" si="109"/>
        <v>0.94444444444444453</v>
      </c>
      <c r="N947" s="519">
        <v>0.94861111111111107</v>
      </c>
      <c r="P947" s="29" t="str">
        <f t="shared" si="104"/>
        <v>2007EF0</v>
      </c>
      <c r="Q947" s="29" t="str">
        <f t="shared" si="105"/>
        <v>EF022</v>
      </c>
      <c r="R947" s="29" t="str">
        <f t="shared" si="106"/>
        <v>MayEF0</v>
      </c>
    </row>
    <row r="948" spans="1:18">
      <c r="A948" s="483">
        <f t="shared" si="107"/>
        <v>944</v>
      </c>
      <c r="B948" s="484">
        <f t="shared" si="110"/>
        <v>36</v>
      </c>
      <c r="C948" s="485">
        <v>39225</v>
      </c>
      <c r="D948" s="763" t="str">
        <f t="shared" si="103"/>
        <v>May</v>
      </c>
      <c r="E948" s="486">
        <v>23</v>
      </c>
      <c r="F948" s="472">
        <v>2007</v>
      </c>
      <c r="G948" s="484" t="s">
        <v>110</v>
      </c>
      <c r="H948" s="472" t="s">
        <v>161</v>
      </c>
      <c r="I948" s="486">
        <v>25</v>
      </c>
      <c r="J948" s="486">
        <v>0.2</v>
      </c>
      <c r="K948" s="472">
        <f t="shared" si="101"/>
        <v>15</v>
      </c>
      <c r="L948" s="473">
        <v>0.64444444444444449</v>
      </c>
      <c r="M948" s="474">
        <f t="shared" si="109"/>
        <v>0.64444444444444449</v>
      </c>
      <c r="N948" s="519">
        <v>0.64444444444444449</v>
      </c>
      <c r="P948" s="29" t="str">
        <f t="shared" si="104"/>
        <v>2007EF0</v>
      </c>
      <c r="Q948" s="29" t="str">
        <f t="shared" si="105"/>
        <v>EF015</v>
      </c>
      <c r="R948" s="29" t="str">
        <f t="shared" si="106"/>
        <v>MayEF0</v>
      </c>
    </row>
    <row r="949" spans="1:18">
      <c r="A949" s="483">
        <f t="shared" si="107"/>
        <v>945</v>
      </c>
      <c r="B949" s="484">
        <f t="shared" si="110"/>
        <v>37</v>
      </c>
      <c r="C949" s="485">
        <v>39225</v>
      </c>
      <c r="D949" s="763" t="str">
        <f t="shared" si="103"/>
        <v>May</v>
      </c>
      <c r="E949" s="486">
        <v>23</v>
      </c>
      <c r="F949" s="472">
        <v>2007</v>
      </c>
      <c r="G949" s="484" t="s">
        <v>105</v>
      </c>
      <c r="H949" s="472" t="s">
        <v>161</v>
      </c>
      <c r="I949" s="486">
        <v>50</v>
      </c>
      <c r="J949" s="486">
        <v>1</v>
      </c>
      <c r="K949" s="472">
        <f t="shared" si="101"/>
        <v>16</v>
      </c>
      <c r="L949" s="473">
        <v>0.68402777777777779</v>
      </c>
      <c r="M949" s="474">
        <f t="shared" si="109"/>
        <v>0.68402777777777779</v>
      </c>
      <c r="N949" s="519">
        <v>0.68541666666666667</v>
      </c>
      <c r="P949" s="29" t="str">
        <f t="shared" si="104"/>
        <v>2007EF0</v>
      </c>
      <c r="Q949" s="29" t="str">
        <f t="shared" si="105"/>
        <v>EF016</v>
      </c>
      <c r="R949" s="29" t="str">
        <f t="shared" si="106"/>
        <v>MayEF0</v>
      </c>
    </row>
    <row r="950" spans="1:18">
      <c r="A950" s="483">
        <f t="shared" si="107"/>
        <v>946</v>
      </c>
      <c r="B950" s="484">
        <f t="shared" si="110"/>
        <v>38</v>
      </c>
      <c r="C950" s="485">
        <v>39225</v>
      </c>
      <c r="D950" s="763" t="str">
        <f t="shared" si="103"/>
        <v>May</v>
      </c>
      <c r="E950" s="486">
        <v>23</v>
      </c>
      <c r="F950" s="472">
        <v>2007</v>
      </c>
      <c r="G950" s="484" t="s">
        <v>105</v>
      </c>
      <c r="H950" s="472" t="s">
        <v>161</v>
      </c>
      <c r="I950" s="486">
        <v>50</v>
      </c>
      <c r="J950" s="486">
        <v>1</v>
      </c>
      <c r="K950" s="472">
        <f t="shared" si="101"/>
        <v>16</v>
      </c>
      <c r="L950" s="473">
        <v>0.69374999999999998</v>
      </c>
      <c r="M950" s="474">
        <f t="shared" si="109"/>
        <v>0.69374999999999998</v>
      </c>
      <c r="N950" s="519">
        <v>0.69513888888888886</v>
      </c>
      <c r="P950" s="29" t="str">
        <f t="shared" si="104"/>
        <v>2007EF0</v>
      </c>
      <c r="Q950" s="29" t="str">
        <f t="shared" si="105"/>
        <v>EF016</v>
      </c>
      <c r="R950" s="29" t="str">
        <f t="shared" si="106"/>
        <v>MayEF0</v>
      </c>
    </row>
    <row r="951" spans="1:18">
      <c r="A951" s="483">
        <f t="shared" si="107"/>
        <v>947</v>
      </c>
      <c r="B951" s="484">
        <f t="shared" si="110"/>
        <v>39</v>
      </c>
      <c r="C951" s="485">
        <v>39225</v>
      </c>
      <c r="D951" s="763" t="str">
        <f t="shared" si="103"/>
        <v>May</v>
      </c>
      <c r="E951" s="486">
        <v>23</v>
      </c>
      <c r="F951" s="472">
        <v>2007</v>
      </c>
      <c r="G951" s="484" t="s">
        <v>106</v>
      </c>
      <c r="H951" s="472" t="s">
        <v>161</v>
      </c>
      <c r="I951" s="486">
        <v>50</v>
      </c>
      <c r="J951" s="486">
        <v>1</v>
      </c>
      <c r="K951" s="472">
        <f t="shared" si="101"/>
        <v>16</v>
      </c>
      <c r="L951" s="473">
        <v>0.7055555555555556</v>
      </c>
      <c r="M951" s="474">
        <f t="shared" si="109"/>
        <v>0.7055555555555556</v>
      </c>
      <c r="N951" s="519">
        <v>0.70625000000000004</v>
      </c>
      <c r="P951" s="29" t="str">
        <f t="shared" si="104"/>
        <v>2007EF0</v>
      </c>
      <c r="Q951" s="29" t="str">
        <f t="shared" si="105"/>
        <v>EF016</v>
      </c>
      <c r="R951" s="29" t="str">
        <f t="shared" si="106"/>
        <v>MayEF0</v>
      </c>
    </row>
    <row r="952" spans="1:18">
      <c r="A952" s="483">
        <f t="shared" si="107"/>
        <v>948</v>
      </c>
      <c r="B952" s="484">
        <f t="shared" si="110"/>
        <v>40</v>
      </c>
      <c r="C952" s="485">
        <v>39225</v>
      </c>
      <c r="D952" s="763" t="str">
        <f t="shared" si="103"/>
        <v>May</v>
      </c>
      <c r="E952" s="486">
        <v>23</v>
      </c>
      <c r="F952" s="472">
        <v>2007</v>
      </c>
      <c r="G952" s="484" t="s">
        <v>105</v>
      </c>
      <c r="H952" s="472" t="s">
        <v>161</v>
      </c>
      <c r="I952" s="486">
        <v>50</v>
      </c>
      <c r="J952" s="486">
        <v>2</v>
      </c>
      <c r="K952" s="472">
        <f t="shared" si="101"/>
        <v>17</v>
      </c>
      <c r="L952" s="473">
        <v>0.71805555555555556</v>
      </c>
      <c r="M952" s="474">
        <f t="shared" si="109"/>
        <v>0.71805555555555556</v>
      </c>
      <c r="N952" s="519">
        <v>0.71875</v>
      </c>
      <c r="P952" s="29" t="str">
        <f t="shared" si="104"/>
        <v>2007EF0</v>
      </c>
      <c r="Q952" s="29" t="str">
        <f t="shared" si="105"/>
        <v>EF017</v>
      </c>
      <c r="R952" s="29" t="str">
        <f t="shared" si="106"/>
        <v>MayEF0</v>
      </c>
    </row>
    <row r="953" spans="1:18">
      <c r="A953" s="483">
        <f t="shared" si="107"/>
        <v>949</v>
      </c>
      <c r="B953" s="484">
        <f t="shared" si="110"/>
        <v>41</v>
      </c>
      <c r="C953" s="485">
        <v>39225</v>
      </c>
      <c r="D953" s="763" t="str">
        <f t="shared" si="103"/>
        <v>May</v>
      </c>
      <c r="E953" s="486">
        <v>23</v>
      </c>
      <c r="F953" s="472">
        <v>2007</v>
      </c>
      <c r="G953" s="484" t="s">
        <v>105</v>
      </c>
      <c r="H953" s="472" t="s">
        <v>161</v>
      </c>
      <c r="I953" s="486">
        <v>50</v>
      </c>
      <c r="J953" s="486">
        <v>2</v>
      </c>
      <c r="K953" s="472">
        <f t="shared" si="101"/>
        <v>17</v>
      </c>
      <c r="L953" s="473">
        <v>0.73611111111111116</v>
      </c>
      <c r="M953" s="474">
        <f t="shared" si="109"/>
        <v>0.73611111111111116</v>
      </c>
      <c r="N953" s="519">
        <v>0.74305555555555547</v>
      </c>
      <c r="P953" s="29" t="str">
        <f t="shared" si="104"/>
        <v>2007EF0</v>
      </c>
      <c r="Q953" s="29" t="str">
        <f t="shared" si="105"/>
        <v>EF017</v>
      </c>
      <c r="R953" s="29" t="str">
        <f t="shared" si="106"/>
        <v>MayEF0</v>
      </c>
    </row>
    <row r="954" spans="1:18">
      <c r="A954" s="483">
        <f t="shared" si="107"/>
        <v>950</v>
      </c>
      <c r="B954" s="484">
        <f t="shared" si="110"/>
        <v>42</v>
      </c>
      <c r="C954" s="485">
        <v>39225</v>
      </c>
      <c r="D954" s="763" t="str">
        <f t="shared" si="103"/>
        <v>May</v>
      </c>
      <c r="E954" s="486">
        <v>23</v>
      </c>
      <c r="F954" s="472">
        <v>2007</v>
      </c>
      <c r="G954" s="484" t="s">
        <v>106</v>
      </c>
      <c r="H954" s="472" t="s">
        <v>161</v>
      </c>
      <c r="I954" s="486">
        <v>50</v>
      </c>
      <c r="J954" s="486">
        <v>2</v>
      </c>
      <c r="K954" s="472">
        <f t="shared" si="101"/>
        <v>18</v>
      </c>
      <c r="L954" s="473">
        <v>0.77708333333333324</v>
      </c>
      <c r="M954" s="474">
        <f t="shared" si="109"/>
        <v>0.77708333333333324</v>
      </c>
      <c r="N954" s="519">
        <v>0.78125</v>
      </c>
      <c r="P954" s="29" t="str">
        <f t="shared" si="104"/>
        <v>2007EF0</v>
      </c>
      <c r="Q954" s="29" t="str">
        <f t="shared" si="105"/>
        <v>EF018</v>
      </c>
      <c r="R954" s="29" t="str">
        <f t="shared" si="106"/>
        <v>MayEF0</v>
      </c>
    </row>
    <row r="955" spans="1:18">
      <c r="A955" s="483">
        <f t="shared" si="107"/>
        <v>951</v>
      </c>
      <c r="B955" s="484">
        <f t="shared" si="110"/>
        <v>43</v>
      </c>
      <c r="C955" s="485">
        <v>39225</v>
      </c>
      <c r="D955" s="763" t="str">
        <f t="shared" si="103"/>
        <v>May</v>
      </c>
      <c r="E955" s="486">
        <v>23</v>
      </c>
      <c r="F955" s="472">
        <v>2007</v>
      </c>
      <c r="G955" s="484" t="s">
        <v>109</v>
      </c>
      <c r="H955" s="472" t="s">
        <v>161</v>
      </c>
      <c r="I955" s="486">
        <v>25</v>
      </c>
      <c r="J955" s="486">
        <v>0.1</v>
      </c>
      <c r="K955" s="472">
        <f t="shared" si="101"/>
        <v>19</v>
      </c>
      <c r="L955" s="473">
        <v>0.80208333333333337</v>
      </c>
      <c r="M955" s="474">
        <f t="shared" si="109"/>
        <v>0.80208333333333337</v>
      </c>
      <c r="N955" s="519">
        <v>0.80208333333333337</v>
      </c>
      <c r="P955" s="29" t="str">
        <f t="shared" si="104"/>
        <v>2007EF0</v>
      </c>
      <c r="Q955" s="29" t="str">
        <f t="shared" si="105"/>
        <v>EF019</v>
      </c>
      <c r="R955" s="29" t="str">
        <f t="shared" si="106"/>
        <v>MayEF0</v>
      </c>
    </row>
    <row r="956" spans="1:18">
      <c r="A956" s="483">
        <f t="shared" si="107"/>
        <v>952</v>
      </c>
      <c r="B956" s="484">
        <f t="shared" si="110"/>
        <v>44</v>
      </c>
      <c r="C956" s="485">
        <v>39225</v>
      </c>
      <c r="D956" s="763" t="str">
        <f t="shared" si="103"/>
        <v>May</v>
      </c>
      <c r="E956" s="486">
        <v>23</v>
      </c>
      <c r="F956" s="472">
        <v>2007</v>
      </c>
      <c r="G956" s="484" t="s">
        <v>109</v>
      </c>
      <c r="H956" s="472" t="s">
        <v>161</v>
      </c>
      <c r="I956" s="486">
        <v>50</v>
      </c>
      <c r="J956" s="486">
        <v>0.1</v>
      </c>
      <c r="K956" s="472">
        <f t="shared" ref="K956:K994" si="111">HOUR(M956)</f>
        <v>19</v>
      </c>
      <c r="L956" s="473">
        <v>0.80347222222222225</v>
      </c>
      <c r="M956" s="474">
        <f t="shared" si="109"/>
        <v>0.80347222222222225</v>
      </c>
      <c r="N956" s="519">
        <v>0.80347222222222225</v>
      </c>
      <c r="P956" s="29" t="str">
        <f t="shared" si="104"/>
        <v>2007EF0</v>
      </c>
      <c r="Q956" s="29" t="str">
        <f t="shared" si="105"/>
        <v>EF019</v>
      </c>
      <c r="R956" s="29" t="str">
        <f t="shared" si="106"/>
        <v>MayEF0</v>
      </c>
    </row>
    <row r="957" spans="1:18">
      <c r="A957" s="483">
        <f t="shared" si="107"/>
        <v>953</v>
      </c>
      <c r="B957" s="484">
        <f t="shared" si="110"/>
        <v>45</v>
      </c>
      <c r="C957" s="485">
        <v>39225</v>
      </c>
      <c r="D957" s="763" t="str">
        <f t="shared" si="103"/>
        <v>May</v>
      </c>
      <c r="E957" s="486">
        <v>23</v>
      </c>
      <c r="F957" s="472">
        <v>2007</v>
      </c>
      <c r="G957" s="484" t="s">
        <v>110</v>
      </c>
      <c r="H957" s="472" t="s">
        <v>161</v>
      </c>
      <c r="I957" s="486">
        <v>100</v>
      </c>
      <c r="J957" s="486">
        <v>2</v>
      </c>
      <c r="K957" s="472">
        <f t="shared" si="111"/>
        <v>20</v>
      </c>
      <c r="L957" s="473">
        <v>0.85277777777777775</v>
      </c>
      <c r="M957" s="474">
        <f t="shared" si="109"/>
        <v>0.85277777777777775</v>
      </c>
      <c r="N957" s="519">
        <v>0.85555555555555562</v>
      </c>
      <c r="P957" s="29" t="str">
        <f t="shared" si="104"/>
        <v>2007EF0</v>
      </c>
      <c r="Q957" s="29" t="str">
        <f t="shared" si="105"/>
        <v>EF020</v>
      </c>
      <c r="R957" s="29" t="str">
        <f t="shared" si="106"/>
        <v>MayEF0</v>
      </c>
    </row>
    <row r="958" spans="1:18">
      <c r="A958" s="483">
        <f t="shared" si="107"/>
        <v>954</v>
      </c>
      <c r="B958" s="484">
        <f t="shared" si="110"/>
        <v>46</v>
      </c>
      <c r="C958" s="485">
        <v>39225</v>
      </c>
      <c r="D958" s="763" t="str">
        <f t="shared" si="103"/>
        <v>May</v>
      </c>
      <c r="E958" s="486">
        <v>23</v>
      </c>
      <c r="F958" s="472">
        <v>2007</v>
      </c>
      <c r="G958" s="484" t="s">
        <v>105</v>
      </c>
      <c r="H958" s="472" t="s">
        <v>162</v>
      </c>
      <c r="I958" s="486">
        <v>880</v>
      </c>
      <c r="J958" s="486">
        <v>3</v>
      </c>
      <c r="K958" s="472">
        <f t="shared" si="111"/>
        <v>20</v>
      </c>
      <c r="L958" s="473">
        <v>0.86319444444444438</v>
      </c>
      <c r="M958" s="474">
        <f t="shared" si="109"/>
        <v>0.86319444444444438</v>
      </c>
      <c r="N958" s="519">
        <v>0.86805555555555547</v>
      </c>
      <c r="P958" s="29" t="str">
        <f t="shared" si="104"/>
        <v>2007EF1</v>
      </c>
      <c r="Q958" s="29" t="str">
        <f t="shared" si="105"/>
        <v>EF120</v>
      </c>
      <c r="R958" s="29" t="str">
        <f t="shared" si="106"/>
        <v>MayEF1</v>
      </c>
    </row>
    <row r="959" spans="1:18">
      <c r="A959" s="483">
        <f t="shared" si="107"/>
        <v>955</v>
      </c>
      <c r="B959" s="484">
        <f t="shared" si="110"/>
        <v>47</v>
      </c>
      <c r="C959" s="485">
        <v>39225</v>
      </c>
      <c r="D959" s="763" t="str">
        <f t="shared" si="103"/>
        <v>May</v>
      </c>
      <c r="E959" s="486">
        <v>23</v>
      </c>
      <c r="F959" s="472">
        <v>2007</v>
      </c>
      <c r="G959" s="484" t="s">
        <v>106</v>
      </c>
      <c r="H959" s="472" t="s">
        <v>160</v>
      </c>
      <c r="I959" s="486">
        <v>440</v>
      </c>
      <c r="J959" s="486">
        <v>7</v>
      </c>
      <c r="K959" s="472">
        <f t="shared" si="111"/>
        <v>21</v>
      </c>
      <c r="L959" s="473">
        <v>0.90277777777777779</v>
      </c>
      <c r="M959" s="474">
        <f t="shared" si="109"/>
        <v>0.90277777777777779</v>
      </c>
      <c r="N959" s="519">
        <v>0.90972222222222221</v>
      </c>
      <c r="P959" s="29" t="str">
        <f t="shared" si="104"/>
        <v>2007EF2</v>
      </c>
      <c r="Q959" s="29" t="str">
        <f t="shared" si="105"/>
        <v>EF221</v>
      </c>
      <c r="R959" s="29" t="str">
        <f t="shared" si="106"/>
        <v>MayEF2</v>
      </c>
    </row>
    <row r="960" spans="1:18">
      <c r="A960" s="483">
        <f t="shared" si="107"/>
        <v>956</v>
      </c>
      <c r="B960" s="484">
        <f t="shared" si="110"/>
        <v>48</v>
      </c>
      <c r="C960" s="485">
        <v>39225</v>
      </c>
      <c r="D960" s="763" t="str">
        <f t="shared" si="103"/>
        <v>May</v>
      </c>
      <c r="E960" s="486">
        <v>23</v>
      </c>
      <c r="F960" s="472">
        <v>2007</v>
      </c>
      <c r="G960" s="484" t="s">
        <v>106</v>
      </c>
      <c r="H960" s="472" t="s">
        <v>162</v>
      </c>
      <c r="I960" s="486">
        <v>150</v>
      </c>
      <c r="J960" s="486">
        <v>4</v>
      </c>
      <c r="K960" s="472">
        <f t="shared" si="111"/>
        <v>21</v>
      </c>
      <c r="L960" s="473">
        <v>0.91319444444444453</v>
      </c>
      <c r="M960" s="474">
        <f t="shared" si="109"/>
        <v>0.91319444444444453</v>
      </c>
      <c r="N960" s="519">
        <v>0.92013888888888884</v>
      </c>
      <c r="P960" s="29" t="str">
        <f t="shared" si="104"/>
        <v>2007EF1</v>
      </c>
      <c r="Q960" s="29" t="str">
        <f t="shared" si="105"/>
        <v>EF121</v>
      </c>
      <c r="R960" s="29" t="str">
        <f t="shared" si="106"/>
        <v>MayEF1</v>
      </c>
    </row>
    <row r="961" spans="1:18">
      <c r="A961" s="483">
        <f t="shared" si="107"/>
        <v>957</v>
      </c>
      <c r="B961" s="484">
        <f t="shared" si="110"/>
        <v>49</v>
      </c>
      <c r="C961" s="485">
        <v>39225</v>
      </c>
      <c r="D961" s="763" t="str">
        <f t="shared" si="103"/>
        <v>May</v>
      </c>
      <c r="E961" s="486">
        <v>23</v>
      </c>
      <c r="F961" s="472">
        <v>2007</v>
      </c>
      <c r="G961" s="484" t="s">
        <v>106</v>
      </c>
      <c r="H961" s="472" t="s">
        <v>160</v>
      </c>
      <c r="I961" s="486">
        <v>528</v>
      </c>
      <c r="J961" s="486">
        <v>8</v>
      </c>
      <c r="K961" s="472">
        <f t="shared" si="111"/>
        <v>22</v>
      </c>
      <c r="L961" s="473">
        <v>0.9243055555555556</v>
      </c>
      <c r="M961" s="474">
        <f t="shared" si="109"/>
        <v>0.9243055555555556</v>
      </c>
      <c r="N961" s="519">
        <v>0.93472222222222223</v>
      </c>
      <c r="P961" s="29" t="str">
        <f t="shared" si="104"/>
        <v>2007EF2</v>
      </c>
      <c r="Q961" s="29" t="str">
        <f t="shared" si="105"/>
        <v>EF222</v>
      </c>
      <c r="R961" s="29" t="str">
        <f t="shared" si="106"/>
        <v>MayEF2</v>
      </c>
    </row>
    <row r="962" spans="1:18">
      <c r="A962" s="483">
        <f t="shared" si="107"/>
        <v>958</v>
      </c>
      <c r="B962" s="484">
        <f t="shared" si="110"/>
        <v>50</v>
      </c>
      <c r="C962" s="485">
        <v>39233</v>
      </c>
      <c r="D962" s="763" t="str">
        <f t="shared" si="103"/>
        <v>May</v>
      </c>
      <c r="E962" s="486">
        <v>31</v>
      </c>
      <c r="F962" s="472">
        <v>2007</v>
      </c>
      <c r="G962" s="484" t="s">
        <v>99</v>
      </c>
      <c r="H962" s="472" t="s">
        <v>161</v>
      </c>
      <c r="I962" s="486">
        <v>100</v>
      </c>
      <c r="J962" s="486">
        <v>0.1</v>
      </c>
      <c r="K962" s="472">
        <f t="shared" si="111"/>
        <v>17</v>
      </c>
      <c r="L962" s="473">
        <v>0.74652777777777779</v>
      </c>
      <c r="M962" s="474">
        <f t="shared" si="109"/>
        <v>0.74652777777777779</v>
      </c>
      <c r="N962" s="519">
        <v>0.74652777777777779</v>
      </c>
      <c r="P962" s="29" t="str">
        <f t="shared" si="104"/>
        <v>2007EF0</v>
      </c>
      <c r="Q962" s="29" t="str">
        <f t="shared" si="105"/>
        <v>EF017</v>
      </c>
      <c r="R962" s="29" t="str">
        <f t="shared" si="106"/>
        <v>MayEF0</v>
      </c>
    </row>
    <row r="963" spans="1:18">
      <c r="A963" s="483">
        <f t="shared" si="107"/>
        <v>959</v>
      </c>
      <c r="B963" s="484">
        <f t="shared" si="110"/>
        <v>51</v>
      </c>
      <c r="C963" s="485">
        <v>39233</v>
      </c>
      <c r="D963" s="763" t="str">
        <f t="shared" si="103"/>
        <v>May</v>
      </c>
      <c r="E963" s="486">
        <v>31</v>
      </c>
      <c r="F963" s="472">
        <v>2007</v>
      </c>
      <c r="G963" s="484" t="s">
        <v>99</v>
      </c>
      <c r="H963" s="472" t="s">
        <v>161</v>
      </c>
      <c r="I963" s="486">
        <v>100</v>
      </c>
      <c r="J963" s="486">
        <v>0.3</v>
      </c>
      <c r="K963" s="472">
        <f t="shared" si="111"/>
        <v>18</v>
      </c>
      <c r="L963" s="473">
        <v>0.75763888888888886</v>
      </c>
      <c r="M963" s="474">
        <f t="shared" si="109"/>
        <v>0.75763888888888886</v>
      </c>
      <c r="N963" s="519">
        <v>0.7583333333333333</v>
      </c>
      <c r="P963" s="29" t="str">
        <f t="shared" si="104"/>
        <v>2007EF0</v>
      </c>
      <c r="Q963" s="29" t="str">
        <f t="shared" si="105"/>
        <v>EF018</v>
      </c>
      <c r="R963" s="29" t="str">
        <f t="shared" si="106"/>
        <v>MayEF0</v>
      </c>
    </row>
    <row r="964" spans="1:18">
      <c r="A964" s="483">
        <f t="shared" si="107"/>
        <v>960</v>
      </c>
      <c r="B964" s="484">
        <f t="shared" si="110"/>
        <v>52</v>
      </c>
      <c r="C964" s="485">
        <v>39233</v>
      </c>
      <c r="D964" s="763" t="str">
        <f t="shared" si="103"/>
        <v>May</v>
      </c>
      <c r="E964" s="486">
        <v>31</v>
      </c>
      <c r="F964" s="472">
        <v>2007</v>
      </c>
      <c r="G964" s="484" t="s">
        <v>100</v>
      </c>
      <c r="H964" s="472" t="s">
        <v>161</v>
      </c>
      <c r="I964" s="486">
        <v>50</v>
      </c>
      <c r="J964" s="486">
        <v>0.1</v>
      </c>
      <c r="K964" s="472">
        <f t="shared" si="111"/>
        <v>18</v>
      </c>
      <c r="L964" s="473">
        <v>0.77916666666666667</v>
      </c>
      <c r="M964" s="474">
        <f t="shared" si="109"/>
        <v>0.77916666666666667</v>
      </c>
      <c r="N964" s="519">
        <v>0.77916666666666667</v>
      </c>
      <c r="P964" s="29" t="str">
        <f t="shared" si="104"/>
        <v>2007EF0</v>
      </c>
      <c r="Q964" s="29" t="str">
        <f t="shared" si="105"/>
        <v>EF018</v>
      </c>
      <c r="R964" s="29" t="str">
        <f t="shared" si="106"/>
        <v>MayEF0</v>
      </c>
    </row>
    <row r="965" spans="1:18">
      <c r="A965" s="483">
        <f t="shared" si="107"/>
        <v>961</v>
      </c>
      <c r="B965" s="484">
        <f t="shared" si="110"/>
        <v>53</v>
      </c>
      <c r="C965" s="485">
        <v>39233</v>
      </c>
      <c r="D965" s="763" t="str">
        <f t="shared" ref="D965:D1028" si="112">+TEXT(C965,"mmmm")</f>
        <v>May</v>
      </c>
      <c r="E965" s="486">
        <v>31</v>
      </c>
      <c r="F965" s="472">
        <v>2007</v>
      </c>
      <c r="G965" s="484" t="s">
        <v>100</v>
      </c>
      <c r="H965" s="472" t="s">
        <v>161</v>
      </c>
      <c r="I965" s="486">
        <v>75</v>
      </c>
      <c r="J965" s="486">
        <v>0.1</v>
      </c>
      <c r="K965" s="472">
        <f t="shared" si="111"/>
        <v>18</v>
      </c>
      <c r="L965" s="473">
        <v>0.78402777777777777</v>
      </c>
      <c r="M965" s="474">
        <f t="shared" si="109"/>
        <v>0.78402777777777777</v>
      </c>
      <c r="N965" s="519">
        <v>0.78402777777777777</v>
      </c>
      <c r="P965" s="29" t="str">
        <f t="shared" si="104"/>
        <v>2007EF0</v>
      </c>
      <c r="Q965" s="29" t="str">
        <f t="shared" si="105"/>
        <v>EF018</v>
      </c>
      <c r="R965" s="29" t="str">
        <f t="shared" si="106"/>
        <v>MayEF0</v>
      </c>
    </row>
    <row r="966" spans="1:18">
      <c r="A966" s="483">
        <f t="shared" si="107"/>
        <v>962</v>
      </c>
      <c r="B966" s="484">
        <f t="shared" si="110"/>
        <v>54</v>
      </c>
      <c r="C966" s="485">
        <v>39233</v>
      </c>
      <c r="D966" s="763" t="str">
        <f t="shared" si="112"/>
        <v>May</v>
      </c>
      <c r="E966" s="486">
        <v>31</v>
      </c>
      <c r="F966" s="472">
        <v>2007</v>
      </c>
      <c r="G966" s="484" t="s">
        <v>100</v>
      </c>
      <c r="H966" s="472" t="s">
        <v>161</v>
      </c>
      <c r="I966" s="486">
        <v>150</v>
      </c>
      <c r="J966" s="486">
        <v>0.5</v>
      </c>
      <c r="K966" s="472">
        <f t="shared" si="111"/>
        <v>18</v>
      </c>
      <c r="L966" s="473">
        <v>0.79027777777777775</v>
      </c>
      <c r="M966" s="474">
        <f t="shared" si="109"/>
        <v>0.79027777777777775</v>
      </c>
      <c r="N966" s="519">
        <v>0.79166666666666663</v>
      </c>
      <c r="P966" s="29" t="str">
        <f t="shared" ref="P966:P1029" si="113">CONCATENATE(F966,H966)</f>
        <v>2007EF0</v>
      </c>
      <c r="Q966" s="29" t="str">
        <f t="shared" ref="Q966:Q1029" si="114">CONCATENATE(H966,K966)</f>
        <v>EF018</v>
      </c>
      <c r="R966" s="29" t="str">
        <f t="shared" ref="R966:R1029" si="115">CONCATENATE(D966,H966)</f>
        <v>MayEF0</v>
      </c>
    </row>
    <row r="967" spans="1:18">
      <c r="A967" s="483">
        <f t="shared" ref="A967:A1030" si="116">+A966+1</f>
        <v>963</v>
      </c>
      <c r="B967" s="484">
        <f t="shared" si="110"/>
        <v>55</v>
      </c>
      <c r="C967" s="485">
        <v>39233</v>
      </c>
      <c r="D967" s="763" t="str">
        <f t="shared" si="112"/>
        <v>May</v>
      </c>
      <c r="E967" s="486">
        <v>31</v>
      </c>
      <c r="F967" s="472">
        <v>2007</v>
      </c>
      <c r="G967" s="484" t="s">
        <v>100</v>
      </c>
      <c r="H967" s="472" t="s">
        <v>162</v>
      </c>
      <c r="I967" s="486">
        <v>300</v>
      </c>
      <c r="J967" s="486">
        <v>5.27</v>
      </c>
      <c r="K967" s="472">
        <f t="shared" si="111"/>
        <v>19</v>
      </c>
      <c r="L967" s="473">
        <v>0.79583333333333339</v>
      </c>
      <c r="M967" s="474">
        <f t="shared" si="109"/>
        <v>0.79583333333333339</v>
      </c>
      <c r="N967" s="519">
        <v>0.80347222222222225</v>
      </c>
      <c r="P967" s="29" t="str">
        <f t="shared" si="113"/>
        <v>2007EF1</v>
      </c>
      <c r="Q967" s="29" t="str">
        <f t="shared" si="114"/>
        <v>EF119</v>
      </c>
      <c r="R967" s="29" t="str">
        <f t="shared" si="115"/>
        <v>MayEF1</v>
      </c>
    </row>
    <row r="968" spans="1:18">
      <c r="A968" s="483">
        <f t="shared" si="116"/>
        <v>964</v>
      </c>
      <c r="B968" s="484">
        <f t="shared" si="110"/>
        <v>56</v>
      </c>
      <c r="C968" s="485">
        <v>39233</v>
      </c>
      <c r="D968" s="763" t="str">
        <f t="shared" si="112"/>
        <v>May</v>
      </c>
      <c r="E968" s="486">
        <v>31</v>
      </c>
      <c r="F968" s="472">
        <v>2007</v>
      </c>
      <c r="G968" s="484" t="s">
        <v>100</v>
      </c>
      <c r="H968" s="472" t="s">
        <v>161</v>
      </c>
      <c r="I968" s="486">
        <v>75</v>
      </c>
      <c r="J968" s="486">
        <v>0.1</v>
      </c>
      <c r="K968" s="472">
        <f t="shared" si="111"/>
        <v>19</v>
      </c>
      <c r="L968" s="473">
        <v>0.80833333333333324</v>
      </c>
      <c r="M968" s="474">
        <f t="shared" si="109"/>
        <v>0.80833333333333324</v>
      </c>
      <c r="N968" s="519">
        <v>0.80902777777777779</v>
      </c>
      <c r="P968" s="29" t="str">
        <f t="shared" si="113"/>
        <v>2007EF0</v>
      </c>
      <c r="Q968" s="29" t="str">
        <f t="shared" si="114"/>
        <v>EF019</v>
      </c>
      <c r="R968" s="29" t="str">
        <f t="shared" si="115"/>
        <v>MayEF0</v>
      </c>
    </row>
    <row r="969" spans="1:18">
      <c r="A969" s="483">
        <f t="shared" si="116"/>
        <v>965</v>
      </c>
      <c r="B969" s="484">
        <f t="shared" si="110"/>
        <v>57</v>
      </c>
      <c r="C969" s="485">
        <v>39252</v>
      </c>
      <c r="D969" s="763" t="str">
        <f t="shared" si="112"/>
        <v>June</v>
      </c>
      <c r="E969" s="486">
        <v>19</v>
      </c>
      <c r="F969" s="472">
        <v>2007</v>
      </c>
      <c r="G969" s="484" t="s">
        <v>100</v>
      </c>
      <c r="H969" s="472" t="s">
        <v>161</v>
      </c>
      <c r="I969" s="486">
        <v>50</v>
      </c>
      <c r="J969" s="486">
        <v>2.2400000000000002</v>
      </c>
      <c r="K969" s="472">
        <f t="shared" si="111"/>
        <v>20</v>
      </c>
      <c r="L969" s="473">
        <v>0.85972222222222217</v>
      </c>
      <c r="M969" s="474">
        <f t="shared" si="109"/>
        <v>0.85972222222222217</v>
      </c>
      <c r="N969" s="519">
        <v>0.86458333333333337</v>
      </c>
      <c r="P969" s="29" t="str">
        <f t="shared" si="113"/>
        <v>2007EF0</v>
      </c>
      <c r="Q969" s="29" t="str">
        <f t="shared" si="114"/>
        <v>EF020</v>
      </c>
      <c r="R969" s="29" t="str">
        <f t="shared" si="115"/>
        <v>JuneEF0</v>
      </c>
    </row>
    <row r="970" spans="1:18">
      <c r="A970" s="483">
        <f t="shared" si="116"/>
        <v>966</v>
      </c>
      <c r="B970" s="484">
        <f t="shared" si="110"/>
        <v>58</v>
      </c>
      <c r="C970" s="485">
        <v>39371</v>
      </c>
      <c r="D970" s="763" t="str">
        <f t="shared" si="112"/>
        <v>October</v>
      </c>
      <c r="E970" s="486">
        <v>16</v>
      </c>
      <c r="F970" s="472">
        <v>2007</v>
      </c>
      <c r="G970" s="484" t="s">
        <v>118</v>
      </c>
      <c r="H970" s="472" t="s">
        <v>162</v>
      </c>
      <c r="I970" s="486">
        <v>300</v>
      </c>
      <c r="J970" s="486">
        <v>11.46</v>
      </c>
      <c r="K970" s="472">
        <f t="shared" si="111"/>
        <v>23</v>
      </c>
      <c r="L970" s="473">
        <v>0.96944444444444444</v>
      </c>
      <c r="M970" s="474">
        <f t="shared" si="109"/>
        <v>0.96944444444444444</v>
      </c>
      <c r="N970" s="519">
        <v>0.98263888888888884</v>
      </c>
      <c r="P970" s="29" t="str">
        <f t="shared" si="113"/>
        <v>2007EF1</v>
      </c>
      <c r="Q970" s="29" t="str">
        <f t="shared" si="114"/>
        <v>EF123</v>
      </c>
      <c r="R970" s="29" t="str">
        <f t="shared" si="115"/>
        <v>OctoberEF1</v>
      </c>
    </row>
    <row r="971" spans="1:18">
      <c r="A971" s="483">
        <f t="shared" si="116"/>
        <v>967</v>
      </c>
      <c r="B971" s="484">
        <v>1</v>
      </c>
      <c r="C971" s="485">
        <v>39564</v>
      </c>
      <c r="D971" s="763" t="str">
        <f t="shared" si="112"/>
        <v>April</v>
      </c>
      <c r="E971" s="486">
        <v>26</v>
      </c>
      <c r="F971" s="472">
        <v>2008</v>
      </c>
      <c r="G971" s="484" t="s">
        <v>105</v>
      </c>
      <c r="H971" s="472" t="s">
        <v>161</v>
      </c>
      <c r="I971" s="486">
        <v>20</v>
      </c>
      <c r="J971" s="486">
        <v>0.1</v>
      </c>
      <c r="K971" s="472">
        <f t="shared" si="111"/>
        <v>13</v>
      </c>
      <c r="L971" s="473">
        <v>0.5625</v>
      </c>
      <c r="M971" s="474">
        <f t="shared" si="109"/>
        <v>0.5625</v>
      </c>
      <c r="N971" s="519">
        <v>0.56597222222222221</v>
      </c>
      <c r="P971" s="29" t="str">
        <f t="shared" si="113"/>
        <v>2008EF0</v>
      </c>
      <c r="Q971" s="29" t="str">
        <f t="shared" si="114"/>
        <v>EF013</v>
      </c>
      <c r="R971" s="29" t="str">
        <f t="shared" si="115"/>
        <v>AprilEF0</v>
      </c>
    </row>
    <row r="972" spans="1:18">
      <c r="A972" s="483">
        <f t="shared" si="116"/>
        <v>968</v>
      </c>
      <c r="B972" s="484">
        <v>2</v>
      </c>
      <c r="C972" s="485">
        <v>39593</v>
      </c>
      <c r="D972" s="763" t="str">
        <f t="shared" si="112"/>
        <v>May</v>
      </c>
      <c r="E972" s="486">
        <v>25</v>
      </c>
      <c r="F972" s="472">
        <v>2008</v>
      </c>
      <c r="G972" s="484" t="s">
        <v>107</v>
      </c>
      <c r="H972" s="472" t="s">
        <v>161</v>
      </c>
      <c r="I972" s="486">
        <v>50</v>
      </c>
      <c r="J972" s="486">
        <v>1.73</v>
      </c>
      <c r="K972" s="472">
        <f t="shared" si="111"/>
        <v>14</v>
      </c>
      <c r="L972" s="473">
        <v>0.60347222222222219</v>
      </c>
      <c r="M972" s="474">
        <f t="shared" si="109"/>
        <v>0.60347222222222219</v>
      </c>
      <c r="N972" s="519">
        <v>0.60763888888888895</v>
      </c>
      <c r="P972" s="29" t="str">
        <f t="shared" si="113"/>
        <v>2008EF0</v>
      </c>
      <c r="Q972" s="29" t="str">
        <f t="shared" si="114"/>
        <v>EF014</v>
      </c>
      <c r="R972" s="29" t="str">
        <f t="shared" si="115"/>
        <v>MayEF0</v>
      </c>
    </row>
    <row r="973" spans="1:18">
      <c r="A973" s="483">
        <f t="shared" si="116"/>
        <v>969</v>
      </c>
      <c r="B973" s="484">
        <v>3</v>
      </c>
      <c r="C973" s="485">
        <v>39593</v>
      </c>
      <c r="D973" s="763" t="str">
        <f t="shared" si="112"/>
        <v>May</v>
      </c>
      <c r="E973" s="486">
        <v>25</v>
      </c>
      <c r="F973" s="472">
        <v>2008</v>
      </c>
      <c r="G973" s="484" t="s">
        <v>107</v>
      </c>
      <c r="H973" s="472" t="s">
        <v>161</v>
      </c>
      <c r="I973" s="486">
        <v>75</v>
      </c>
      <c r="J973" s="486">
        <v>7.65</v>
      </c>
      <c r="K973" s="472">
        <f t="shared" si="111"/>
        <v>14</v>
      </c>
      <c r="L973" s="473">
        <v>0.60902777777777783</v>
      </c>
      <c r="M973" s="474">
        <f t="shared" si="109"/>
        <v>0.60902777777777783</v>
      </c>
      <c r="N973" s="519">
        <v>0.61736111111111114</v>
      </c>
      <c r="P973" s="29" t="str">
        <f t="shared" si="113"/>
        <v>2008EF0</v>
      </c>
      <c r="Q973" s="29" t="str">
        <f t="shared" si="114"/>
        <v>EF014</v>
      </c>
      <c r="R973" s="29" t="str">
        <f t="shared" si="115"/>
        <v>MayEF0</v>
      </c>
    </row>
    <row r="974" spans="1:18">
      <c r="A974" s="483">
        <f t="shared" si="116"/>
        <v>970</v>
      </c>
      <c r="B974" s="484">
        <v>4</v>
      </c>
      <c r="C974" s="485">
        <v>39593</v>
      </c>
      <c r="D974" s="763" t="str">
        <f t="shared" si="112"/>
        <v>May</v>
      </c>
      <c r="E974" s="486">
        <v>25</v>
      </c>
      <c r="F974" s="472">
        <v>2008</v>
      </c>
      <c r="G974" s="484" t="s">
        <v>109</v>
      </c>
      <c r="H974" s="472" t="s">
        <v>161</v>
      </c>
      <c r="I974" s="486">
        <v>50</v>
      </c>
      <c r="J974" s="486">
        <v>0.5</v>
      </c>
      <c r="K974" s="472">
        <f t="shared" si="111"/>
        <v>15</v>
      </c>
      <c r="L974" s="473">
        <v>0.66180555555555554</v>
      </c>
      <c r="M974" s="474">
        <f t="shared" si="109"/>
        <v>0.66180555555555554</v>
      </c>
      <c r="N974" s="519">
        <v>0.66249999999999998</v>
      </c>
      <c r="P974" s="29" t="str">
        <f t="shared" si="113"/>
        <v>2008EF0</v>
      </c>
      <c r="Q974" s="29" t="str">
        <f t="shared" si="114"/>
        <v>EF015</v>
      </c>
      <c r="R974" s="29" t="str">
        <f t="shared" si="115"/>
        <v>MayEF0</v>
      </c>
    </row>
    <row r="975" spans="1:18">
      <c r="A975" s="483">
        <f t="shared" si="116"/>
        <v>971</v>
      </c>
      <c r="B975" s="484">
        <v>5</v>
      </c>
      <c r="C975" s="485">
        <v>39594</v>
      </c>
      <c r="D975" s="763" t="str">
        <f t="shared" si="112"/>
        <v>May</v>
      </c>
      <c r="E975" s="486">
        <v>26</v>
      </c>
      <c r="F975" s="472">
        <v>2008</v>
      </c>
      <c r="G975" s="484" t="s">
        <v>121</v>
      </c>
      <c r="H975" s="472" t="s">
        <v>161</v>
      </c>
      <c r="I975" s="486">
        <v>25</v>
      </c>
      <c r="J975" s="486">
        <v>0.05</v>
      </c>
      <c r="K975" s="472">
        <f t="shared" si="111"/>
        <v>17</v>
      </c>
      <c r="L975" s="473">
        <v>0.72638888888888886</v>
      </c>
      <c r="M975" s="474">
        <f t="shared" si="109"/>
        <v>0.72638888888888886</v>
      </c>
      <c r="N975" s="519">
        <v>0.7270833333333333</v>
      </c>
      <c r="P975" s="29" t="str">
        <f t="shared" si="113"/>
        <v>2008EF0</v>
      </c>
      <c r="Q975" s="29" t="str">
        <f t="shared" si="114"/>
        <v>EF017</v>
      </c>
      <c r="R975" s="29" t="str">
        <f t="shared" si="115"/>
        <v>MayEF0</v>
      </c>
    </row>
    <row r="976" spans="1:18">
      <c r="A976" s="483">
        <f t="shared" si="116"/>
        <v>972</v>
      </c>
      <c r="B976" s="484">
        <v>6</v>
      </c>
      <c r="C976" s="485">
        <v>39594</v>
      </c>
      <c r="D976" s="763" t="str">
        <f t="shared" si="112"/>
        <v>May</v>
      </c>
      <c r="E976" s="486">
        <v>26</v>
      </c>
      <c r="F976" s="472">
        <v>2008</v>
      </c>
      <c r="G976" s="484" t="s">
        <v>121</v>
      </c>
      <c r="H976" s="472" t="s">
        <v>161</v>
      </c>
      <c r="I976" s="486">
        <v>25</v>
      </c>
      <c r="J976" s="486">
        <v>0.04</v>
      </c>
      <c r="K976" s="472">
        <f t="shared" si="111"/>
        <v>17</v>
      </c>
      <c r="L976" s="473">
        <v>0.73819444444444438</v>
      </c>
      <c r="M976" s="474">
        <f t="shared" si="109"/>
        <v>0.73819444444444438</v>
      </c>
      <c r="N976" s="519">
        <v>0.73888888888888893</v>
      </c>
      <c r="P976" s="29" t="str">
        <f t="shared" si="113"/>
        <v>2008EF0</v>
      </c>
      <c r="Q976" s="29" t="str">
        <f t="shared" si="114"/>
        <v>EF017</v>
      </c>
      <c r="R976" s="29" t="str">
        <f t="shared" si="115"/>
        <v>MayEF0</v>
      </c>
    </row>
    <row r="977" spans="1:18">
      <c r="A977" s="483">
        <f t="shared" si="116"/>
        <v>973</v>
      </c>
      <c r="B977" s="484">
        <v>7</v>
      </c>
      <c r="C977" s="502">
        <v>39613</v>
      </c>
      <c r="D977" s="763" t="str">
        <f t="shared" si="112"/>
        <v>June</v>
      </c>
      <c r="E977" s="486">
        <v>14</v>
      </c>
      <c r="F977" s="503">
        <v>2008</v>
      </c>
      <c r="G977" s="484" t="s">
        <v>119</v>
      </c>
      <c r="H977" s="503" t="s">
        <v>161</v>
      </c>
      <c r="I977" s="486">
        <v>20</v>
      </c>
      <c r="J977" s="486">
        <v>0.16</v>
      </c>
      <c r="K977" s="472">
        <f t="shared" si="111"/>
        <v>16</v>
      </c>
      <c r="L977" s="504">
        <v>0.69791666666666663</v>
      </c>
      <c r="M977" s="474">
        <f t="shared" si="109"/>
        <v>0.69791666666666663</v>
      </c>
      <c r="N977" s="519">
        <v>0.69861111111111107</v>
      </c>
      <c r="P977" s="29" t="str">
        <f t="shared" si="113"/>
        <v>2008EF0</v>
      </c>
      <c r="Q977" s="29" t="str">
        <f t="shared" si="114"/>
        <v>EF016</v>
      </c>
      <c r="R977" s="29" t="str">
        <f t="shared" si="115"/>
        <v>JuneEF0</v>
      </c>
    </row>
    <row r="978" spans="1:18">
      <c r="A978" s="483">
        <f t="shared" si="116"/>
        <v>974</v>
      </c>
      <c r="B978" s="484">
        <v>8</v>
      </c>
      <c r="C978" s="485">
        <v>39614</v>
      </c>
      <c r="D978" s="763" t="str">
        <f t="shared" si="112"/>
        <v>June</v>
      </c>
      <c r="E978" s="486">
        <v>15</v>
      </c>
      <c r="F978" s="472">
        <v>2008</v>
      </c>
      <c r="G978" s="484" t="s">
        <v>101</v>
      </c>
      <c r="H978" s="472" t="s">
        <v>161</v>
      </c>
      <c r="I978" s="486">
        <v>50</v>
      </c>
      <c r="J978" s="486">
        <v>3.2</v>
      </c>
      <c r="K978" s="472">
        <f t="shared" si="111"/>
        <v>17</v>
      </c>
      <c r="L978" s="473">
        <v>0.73402777777777783</v>
      </c>
      <c r="M978" s="474">
        <f t="shared" si="109"/>
        <v>0.73402777777777783</v>
      </c>
      <c r="N978" s="519">
        <v>0.74861111111111101</v>
      </c>
      <c r="P978" s="29" t="str">
        <f t="shared" si="113"/>
        <v>2008EF0</v>
      </c>
      <c r="Q978" s="29" t="str">
        <f t="shared" si="114"/>
        <v>EF017</v>
      </c>
      <c r="R978" s="29" t="str">
        <f t="shared" si="115"/>
        <v>JuneEF0</v>
      </c>
    </row>
    <row r="979" spans="1:18">
      <c r="A979" s="483">
        <f t="shared" si="116"/>
        <v>975</v>
      </c>
      <c r="B979" s="484">
        <v>9</v>
      </c>
      <c r="C979" s="485">
        <v>39614</v>
      </c>
      <c r="D979" s="763" t="str">
        <f t="shared" si="112"/>
        <v>June</v>
      </c>
      <c r="E979" s="486">
        <v>15</v>
      </c>
      <c r="F979" s="472">
        <v>2008</v>
      </c>
      <c r="G979" s="484" t="s">
        <v>105</v>
      </c>
      <c r="H979" s="472" t="s">
        <v>161</v>
      </c>
      <c r="I979" s="486">
        <v>50</v>
      </c>
      <c r="J979" s="486">
        <v>1.28</v>
      </c>
      <c r="K979" s="472">
        <f t="shared" si="111"/>
        <v>18</v>
      </c>
      <c r="L979" s="473">
        <v>0.75694444444444453</v>
      </c>
      <c r="M979" s="474">
        <f t="shared" si="109"/>
        <v>0.75694444444444453</v>
      </c>
      <c r="N979" s="519">
        <v>0.76041666666666663</v>
      </c>
      <c r="P979" s="29" t="str">
        <f t="shared" si="113"/>
        <v>2008EF0</v>
      </c>
      <c r="Q979" s="29" t="str">
        <f t="shared" si="114"/>
        <v>EF018</v>
      </c>
      <c r="R979" s="29" t="str">
        <f t="shared" si="115"/>
        <v>JuneEF0</v>
      </c>
    </row>
    <row r="980" spans="1:18">
      <c r="A980" s="483">
        <f t="shared" si="116"/>
        <v>976</v>
      </c>
      <c r="B980" s="484">
        <v>10</v>
      </c>
      <c r="C980" s="485">
        <v>39617</v>
      </c>
      <c r="D980" s="763" t="str">
        <f t="shared" si="112"/>
        <v>June</v>
      </c>
      <c r="E980" s="486">
        <v>18</v>
      </c>
      <c r="F980" s="472">
        <v>2008</v>
      </c>
      <c r="G980" s="484" t="s">
        <v>101</v>
      </c>
      <c r="H980" s="472" t="s">
        <v>160</v>
      </c>
      <c r="I980" s="486">
        <v>200</v>
      </c>
      <c r="J980" s="486">
        <v>12.02</v>
      </c>
      <c r="K980" s="472">
        <f t="shared" si="111"/>
        <v>20</v>
      </c>
      <c r="L980" s="473">
        <v>0.83333333333333337</v>
      </c>
      <c r="M980" s="474">
        <f t="shared" si="109"/>
        <v>0.83333333333333337</v>
      </c>
      <c r="N980" s="519">
        <v>0.84375</v>
      </c>
      <c r="P980" s="29" t="str">
        <f t="shared" si="113"/>
        <v>2008EF2</v>
      </c>
      <c r="Q980" s="29" t="str">
        <f t="shared" si="114"/>
        <v>EF220</v>
      </c>
      <c r="R980" s="29" t="str">
        <f t="shared" si="115"/>
        <v>JuneEF2</v>
      </c>
    </row>
    <row r="981" spans="1:18">
      <c r="A981" s="483">
        <f t="shared" si="116"/>
        <v>977</v>
      </c>
      <c r="B981" s="484">
        <v>11</v>
      </c>
      <c r="C981" s="485">
        <v>39618</v>
      </c>
      <c r="D981" s="763" t="str">
        <f t="shared" si="112"/>
        <v>June</v>
      </c>
      <c r="E981" s="486">
        <v>19</v>
      </c>
      <c r="F981" s="472">
        <v>2008</v>
      </c>
      <c r="G981" s="484" t="s">
        <v>99</v>
      </c>
      <c r="H981" s="472" t="s">
        <v>161</v>
      </c>
      <c r="I981" s="486">
        <v>25</v>
      </c>
      <c r="J981" s="486">
        <v>0.27</v>
      </c>
      <c r="K981" s="472">
        <f t="shared" si="111"/>
        <v>17</v>
      </c>
      <c r="L981" s="473">
        <v>0.72916666666666663</v>
      </c>
      <c r="M981" s="474">
        <f t="shared" si="109"/>
        <v>0.72916666666666663</v>
      </c>
      <c r="N981" s="519">
        <v>0.72986111111111107</v>
      </c>
      <c r="P981" s="29" t="str">
        <f t="shared" si="113"/>
        <v>2008EF0</v>
      </c>
      <c r="Q981" s="29" t="str">
        <f t="shared" si="114"/>
        <v>EF017</v>
      </c>
      <c r="R981" s="29" t="str">
        <f t="shared" si="115"/>
        <v>JuneEF0</v>
      </c>
    </row>
    <row r="982" spans="1:18">
      <c r="A982" s="483">
        <f t="shared" si="116"/>
        <v>978</v>
      </c>
      <c r="B982" s="484">
        <v>1</v>
      </c>
      <c r="C982" s="485">
        <v>39932</v>
      </c>
      <c r="D982" s="763" t="str">
        <f t="shared" si="112"/>
        <v>April</v>
      </c>
      <c r="E982" s="486">
        <v>29</v>
      </c>
      <c r="F982" s="472">
        <v>2009</v>
      </c>
      <c r="G982" s="484" t="s">
        <v>114</v>
      </c>
      <c r="H982" s="472" t="s">
        <v>162</v>
      </c>
      <c r="I982" s="486">
        <v>25</v>
      </c>
      <c r="J982" s="486">
        <v>0.9</v>
      </c>
      <c r="K982" s="472">
        <f t="shared" si="111"/>
        <v>17</v>
      </c>
      <c r="L982" s="473">
        <v>0.72916666666666663</v>
      </c>
      <c r="M982" s="474">
        <f t="shared" si="109"/>
        <v>0.72916666666666663</v>
      </c>
      <c r="N982" s="519">
        <v>0.72986111111111107</v>
      </c>
      <c r="P982" s="29" t="str">
        <f t="shared" si="113"/>
        <v>2009EF1</v>
      </c>
      <c r="Q982" s="29" t="str">
        <f t="shared" si="114"/>
        <v>EF117</v>
      </c>
      <c r="R982" s="29" t="str">
        <f t="shared" si="115"/>
        <v>AprilEF1</v>
      </c>
    </row>
    <row r="983" spans="1:18">
      <c r="A983" s="483">
        <f t="shared" si="116"/>
        <v>979</v>
      </c>
      <c r="B983" s="484">
        <v>2</v>
      </c>
      <c r="C983" s="485">
        <v>39932</v>
      </c>
      <c r="D983" s="763" t="str">
        <f t="shared" si="112"/>
        <v>April</v>
      </c>
      <c r="E983" s="486">
        <v>29</v>
      </c>
      <c r="F983" s="472">
        <v>2009</v>
      </c>
      <c r="G983" s="484" t="s">
        <v>114</v>
      </c>
      <c r="H983" s="472" t="s">
        <v>161</v>
      </c>
      <c r="I983" s="486">
        <v>25</v>
      </c>
      <c r="J983" s="486">
        <v>0.1</v>
      </c>
      <c r="K983" s="472">
        <f t="shared" si="111"/>
        <v>17</v>
      </c>
      <c r="L983" s="473">
        <v>0.73333333333333339</v>
      </c>
      <c r="M983" s="474">
        <f t="shared" si="109"/>
        <v>0.73333333333333339</v>
      </c>
      <c r="N983" s="519">
        <v>0.73333333333333339</v>
      </c>
      <c r="P983" s="29" t="str">
        <f t="shared" si="113"/>
        <v>2009EF0</v>
      </c>
      <c r="Q983" s="29" t="str">
        <f t="shared" si="114"/>
        <v>EF017</v>
      </c>
      <c r="R983" s="29" t="str">
        <f t="shared" si="115"/>
        <v>AprilEF0</v>
      </c>
    </row>
    <row r="984" spans="1:18">
      <c r="A984" s="483">
        <f t="shared" si="116"/>
        <v>980</v>
      </c>
      <c r="B984" s="484">
        <v>3</v>
      </c>
      <c r="C984" s="485">
        <v>39948</v>
      </c>
      <c r="D984" s="763" t="str">
        <f t="shared" si="112"/>
        <v>May</v>
      </c>
      <c r="E984" s="486">
        <v>15</v>
      </c>
      <c r="F984" s="472">
        <v>2009</v>
      </c>
      <c r="G984" s="484" t="s">
        <v>110</v>
      </c>
      <c r="H984" s="472" t="s">
        <v>161</v>
      </c>
      <c r="I984" s="486">
        <v>100</v>
      </c>
      <c r="J984" s="486">
        <v>0.25</v>
      </c>
      <c r="K984" s="472">
        <f t="shared" si="111"/>
        <v>15</v>
      </c>
      <c r="L984" s="473">
        <v>0.65625</v>
      </c>
      <c r="M984" s="474">
        <f t="shared" si="109"/>
        <v>0.65625</v>
      </c>
      <c r="N984" s="519">
        <v>0.65694444444444444</v>
      </c>
      <c r="P984" s="29" t="str">
        <f t="shared" si="113"/>
        <v>2009EF0</v>
      </c>
      <c r="Q984" s="29" t="str">
        <f t="shared" si="114"/>
        <v>EF015</v>
      </c>
      <c r="R984" s="29" t="str">
        <f t="shared" si="115"/>
        <v>MayEF0</v>
      </c>
    </row>
    <row r="985" spans="1:18">
      <c r="A985" s="483">
        <f t="shared" si="116"/>
        <v>981</v>
      </c>
      <c r="B985" s="484">
        <v>4</v>
      </c>
      <c r="C985" s="485">
        <v>39948</v>
      </c>
      <c r="D985" s="763" t="str">
        <f t="shared" si="112"/>
        <v>May</v>
      </c>
      <c r="E985" s="486">
        <v>15</v>
      </c>
      <c r="F985" s="472">
        <v>2009</v>
      </c>
      <c r="G985" s="484" t="s">
        <v>110</v>
      </c>
      <c r="H985" s="472" t="s">
        <v>161</v>
      </c>
      <c r="I985" s="486">
        <v>100</v>
      </c>
      <c r="J985" s="486">
        <v>0.5</v>
      </c>
      <c r="K985" s="472">
        <f t="shared" si="111"/>
        <v>15</v>
      </c>
      <c r="L985" s="473">
        <v>0.65763888888888888</v>
      </c>
      <c r="M985" s="474">
        <f t="shared" si="109"/>
        <v>0.65763888888888888</v>
      </c>
      <c r="N985" s="519">
        <v>0.65902777777777777</v>
      </c>
      <c r="P985" s="29" t="str">
        <f t="shared" si="113"/>
        <v>2009EF0</v>
      </c>
      <c r="Q985" s="29" t="str">
        <f t="shared" si="114"/>
        <v>EF015</v>
      </c>
      <c r="R985" s="29" t="str">
        <f t="shared" si="115"/>
        <v>MayEF0</v>
      </c>
    </row>
    <row r="986" spans="1:18">
      <c r="A986" s="483">
        <f t="shared" si="116"/>
        <v>982</v>
      </c>
      <c r="B986" s="484">
        <v>5</v>
      </c>
      <c r="C986" s="485">
        <v>39948</v>
      </c>
      <c r="D986" s="763" t="str">
        <f t="shared" si="112"/>
        <v>May</v>
      </c>
      <c r="E986" s="486">
        <v>15</v>
      </c>
      <c r="F986" s="472">
        <v>2009</v>
      </c>
      <c r="G986" s="484" t="s">
        <v>115</v>
      </c>
      <c r="H986" s="472" t="s">
        <v>161</v>
      </c>
      <c r="I986" s="486">
        <v>440</v>
      </c>
      <c r="J986" s="486">
        <v>1</v>
      </c>
      <c r="K986" s="472">
        <f t="shared" si="111"/>
        <v>16</v>
      </c>
      <c r="L986" s="473">
        <v>0.66805555555555562</v>
      </c>
      <c r="M986" s="474">
        <f t="shared" si="109"/>
        <v>0.66805555555555562</v>
      </c>
      <c r="N986" s="519">
        <v>0.67083333333333339</v>
      </c>
      <c r="P986" s="29" t="str">
        <f t="shared" si="113"/>
        <v>2009EF0</v>
      </c>
      <c r="Q986" s="29" t="str">
        <f t="shared" si="114"/>
        <v>EF016</v>
      </c>
      <c r="R986" s="29" t="str">
        <f t="shared" si="115"/>
        <v>MayEF0</v>
      </c>
    </row>
    <row r="987" spans="1:18">
      <c r="A987" s="483">
        <f t="shared" si="116"/>
        <v>983</v>
      </c>
      <c r="B987" s="484">
        <v>6</v>
      </c>
      <c r="C987" s="485">
        <v>39948</v>
      </c>
      <c r="D987" s="763" t="str">
        <f t="shared" si="112"/>
        <v>May</v>
      </c>
      <c r="E987" s="486">
        <v>15</v>
      </c>
      <c r="F987" s="472">
        <v>2009</v>
      </c>
      <c r="G987" s="484" t="s">
        <v>115</v>
      </c>
      <c r="H987" s="472" t="s">
        <v>160</v>
      </c>
      <c r="I987" s="486">
        <v>880</v>
      </c>
      <c r="J987" s="486">
        <v>3</v>
      </c>
      <c r="K987" s="472">
        <f t="shared" si="111"/>
        <v>16</v>
      </c>
      <c r="L987" s="473">
        <v>0.67291666666666661</v>
      </c>
      <c r="M987" s="474">
        <f t="shared" si="109"/>
        <v>0.67291666666666661</v>
      </c>
      <c r="N987" s="519">
        <v>0.67847222222222225</v>
      </c>
      <c r="P987" s="29" t="str">
        <f t="shared" si="113"/>
        <v>2009EF2</v>
      </c>
      <c r="Q987" s="29" t="str">
        <f t="shared" si="114"/>
        <v>EF216</v>
      </c>
      <c r="R987" s="29" t="str">
        <f t="shared" si="115"/>
        <v>MayEF2</v>
      </c>
    </row>
    <row r="988" spans="1:18">
      <c r="A988" s="483">
        <f t="shared" si="116"/>
        <v>984</v>
      </c>
      <c r="B988" s="484">
        <v>7</v>
      </c>
      <c r="C988" s="485">
        <v>39948</v>
      </c>
      <c r="D988" s="763" t="str">
        <f t="shared" si="112"/>
        <v>May</v>
      </c>
      <c r="E988" s="486">
        <v>15</v>
      </c>
      <c r="F988" s="472">
        <v>2009</v>
      </c>
      <c r="G988" s="484" t="s">
        <v>115</v>
      </c>
      <c r="H988" s="472" t="s">
        <v>162</v>
      </c>
      <c r="I988" s="486">
        <v>440</v>
      </c>
      <c r="J988" s="486">
        <v>6</v>
      </c>
      <c r="K988" s="472">
        <f t="shared" si="111"/>
        <v>16</v>
      </c>
      <c r="L988" s="473">
        <v>0.68402777777777779</v>
      </c>
      <c r="M988" s="474">
        <f t="shared" si="109"/>
        <v>0.68402777777777779</v>
      </c>
      <c r="N988" s="519">
        <v>0.69791666666666663</v>
      </c>
      <c r="P988" s="29" t="str">
        <f t="shared" si="113"/>
        <v>2009EF1</v>
      </c>
      <c r="Q988" s="29" t="str">
        <f t="shared" si="114"/>
        <v>EF116</v>
      </c>
      <c r="R988" s="29" t="str">
        <f t="shared" si="115"/>
        <v>MayEF1</v>
      </c>
    </row>
    <row r="989" spans="1:18">
      <c r="A989" s="483">
        <f t="shared" si="116"/>
        <v>985</v>
      </c>
      <c r="B989" s="484">
        <v>8</v>
      </c>
      <c r="C989" s="485">
        <v>39968</v>
      </c>
      <c r="D989" s="763" t="str">
        <f t="shared" si="112"/>
        <v>June</v>
      </c>
      <c r="E989" s="486">
        <v>4</v>
      </c>
      <c r="F989" s="472">
        <v>2009</v>
      </c>
      <c r="G989" s="484" t="s">
        <v>107</v>
      </c>
      <c r="H989" s="472" t="s">
        <v>161</v>
      </c>
      <c r="I989" s="486">
        <v>100</v>
      </c>
      <c r="J989" s="486">
        <v>0.52</v>
      </c>
      <c r="K989" s="472">
        <f t="shared" si="111"/>
        <v>15</v>
      </c>
      <c r="L989" s="473">
        <v>0.63680555555555551</v>
      </c>
      <c r="M989" s="474">
        <f t="shared" si="109"/>
        <v>0.63680555555555551</v>
      </c>
      <c r="N989" s="519">
        <v>0.6381944444444444</v>
      </c>
      <c r="P989" s="29" t="str">
        <f t="shared" si="113"/>
        <v>2009EF0</v>
      </c>
      <c r="Q989" s="29" t="str">
        <f t="shared" si="114"/>
        <v>EF015</v>
      </c>
      <c r="R989" s="29" t="str">
        <f t="shared" si="115"/>
        <v>JuneEF0</v>
      </c>
    </row>
    <row r="990" spans="1:18">
      <c r="A990" s="483">
        <f t="shared" si="116"/>
        <v>986</v>
      </c>
      <c r="B990" s="484">
        <v>9</v>
      </c>
      <c r="C990" s="485">
        <v>39968</v>
      </c>
      <c r="D990" s="763" t="str">
        <f t="shared" si="112"/>
        <v>June</v>
      </c>
      <c r="E990" s="486">
        <v>4</v>
      </c>
      <c r="F990" s="472">
        <v>2009</v>
      </c>
      <c r="G990" s="484" t="s">
        <v>112</v>
      </c>
      <c r="H990" s="472" t="s">
        <v>161</v>
      </c>
      <c r="I990" s="486">
        <v>100</v>
      </c>
      <c r="J990" s="486">
        <v>1</v>
      </c>
      <c r="K990" s="472">
        <f t="shared" si="111"/>
        <v>17</v>
      </c>
      <c r="L990" s="473">
        <v>0.71388888888888891</v>
      </c>
      <c r="M990" s="474">
        <f t="shared" si="109"/>
        <v>0.71388888888888891</v>
      </c>
      <c r="N990" s="519">
        <v>0.71597222222222223</v>
      </c>
      <c r="P990" s="29" t="str">
        <f t="shared" si="113"/>
        <v>2009EF0</v>
      </c>
      <c r="Q990" s="29" t="str">
        <f t="shared" si="114"/>
        <v>EF017</v>
      </c>
      <c r="R990" s="29" t="str">
        <f t="shared" si="115"/>
        <v>JuneEF0</v>
      </c>
    </row>
    <row r="991" spans="1:18">
      <c r="A991" s="483">
        <f t="shared" si="116"/>
        <v>987</v>
      </c>
      <c r="B991" s="484">
        <v>10</v>
      </c>
      <c r="C991" s="485">
        <v>39968</v>
      </c>
      <c r="D991" s="763" t="str">
        <f t="shared" si="112"/>
        <v>June</v>
      </c>
      <c r="E991" s="486">
        <v>4</v>
      </c>
      <c r="F991" s="472">
        <v>2009</v>
      </c>
      <c r="G991" s="484" t="s">
        <v>118</v>
      </c>
      <c r="H991" s="472" t="s">
        <v>161</v>
      </c>
      <c r="I991" s="486">
        <v>100</v>
      </c>
      <c r="J991" s="486">
        <v>0.13</v>
      </c>
      <c r="K991" s="472">
        <f t="shared" si="111"/>
        <v>17</v>
      </c>
      <c r="L991" s="473">
        <v>0.73125000000000007</v>
      </c>
      <c r="M991" s="474">
        <f t="shared" si="109"/>
        <v>0.73125000000000007</v>
      </c>
      <c r="N991" s="519">
        <v>0.73125000000000007</v>
      </c>
      <c r="P991" s="29" t="str">
        <f t="shared" si="113"/>
        <v>2009EF0</v>
      </c>
      <c r="Q991" s="29" t="str">
        <f t="shared" si="114"/>
        <v>EF017</v>
      </c>
      <c r="R991" s="29" t="str">
        <f t="shared" si="115"/>
        <v>JuneEF0</v>
      </c>
    </row>
    <row r="992" spans="1:18">
      <c r="A992" s="483">
        <f t="shared" si="116"/>
        <v>988</v>
      </c>
      <c r="B992" s="484">
        <v>11</v>
      </c>
      <c r="C992" s="485">
        <v>39968</v>
      </c>
      <c r="D992" s="763" t="str">
        <f t="shared" si="112"/>
        <v>June</v>
      </c>
      <c r="E992" s="486">
        <v>4</v>
      </c>
      <c r="F992" s="472">
        <v>2009</v>
      </c>
      <c r="G992" s="484" t="s">
        <v>118</v>
      </c>
      <c r="H992" s="472" t="s">
        <v>161</v>
      </c>
      <c r="I992" s="486">
        <v>100</v>
      </c>
      <c r="J992" s="486">
        <v>0.75</v>
      </c>
      <c r="K992" s="472">
        <f t="shared" si="111"/>
        <v>17</v>
      </c>
      <c r="L992" s="473">
        <v>0.73611111111111116</v>
      </c>
      <c r="M992" s="474">
        <f t="shared" si="109"/>
        <v>0.73611111111111116</v>
      </c>
      <c r="N992" s="519">
        <v>0.73749999999999993</v>
      </c>
      <c r="P992" s="29" t="str">
        <f t="shared" si="113"/>
        <v>2009EF0</v>
      </c>
      <c r="Q992" s="29" t="str">
        <f t="shared" si="114"/>
        <v>EF017</v>
      </c>
      <c r="R992" s="29" t="str">
        <f t="shared" si="115"/>
        <v>JuneEF0</v>
      </c>
    </row>
    <row r="993" spans="1:18">
      <c r="A993" s="483">
        <f t="shared" si="116"/>
        <v>989</v>
      </c>
      <c r="B993" s="484">
        <v>12</v>
      </c>
      <c r="C993" s="485">
        <v>39969</v>
      </c>
      <c r="D993" s="763" t="str">
        <f t="shared" si="112"/>
        <v>June</v>
      </c>
      <c r="E993" s="486">
        <v>5</v>
      </c>
      <c r="F993" s="472">
        <v>2009</v>
      </c>
      <c r="G993" s="484" t="s">
        <v>114</v>
      </c>
      <c r="H993" s="472" t="s">
        <v>161</v>
      </c>
      <c r="I993" s="486">
        <v>25</v>
      </c>
      <c r="J993" s="486">
        <v>1.29</v>
      </c>
      <c r="K993" s="472">
        <f t="shared" si="111"/>
        <v>20</v>
      </c>
      <c r="L993" s="473">
        <v>0.86041666666666661</v>
      </c>
      <c r="M993" s="474">
        <f t="shared" si="109"/>
        <v>0.86041666666666661</v>
      </c>
      <c r="N993" s="519">
        <v>0.8666666666666667</v>
      </c>
      <c r="P993" s="29" t="str">
        <f t="shared" si="113"/>
        <v>2009EF0</v>
      </c>
      <c r="Q993" s="29" t="str">
        <f t="shared" si="114"/>
        <v>EF020</v>
      </c>
      <c r="R993" s="29" t="str">
        <f t="shared" si="115"/>
        <v>JuneEF0</v>
      </c>
    </row>
    <row r="994" spans="1:18">
      <c r="A994" s="483">
        <f t="shared" si="116"/>
        <v>990</v>
      </c>
      <c r="B994" s="484">
        <v>13</v>
      </c>
      <c r="C994" s="485">
        <v>39979</v>
      </c>
      <c r="D994" s="763" t="str">
        <f t="shared" si="112"/>
        <v>June</v>
      </c>
      <c r="E994" s="486">
        <v>15</v>
      </c>
      <c r="F994" s="472">
        <v>2009</v>
      </c>
      <c r="G994" s="484" t="s">
        <v>105</v>
      </c>
      <c r="H994" s="472" t="s">
        <v>161</v>
      </c>
      <c r="I994" s="486">
        <v>50</v>
      </c>
      <c r="J994" s="486">
        <v>0.25</v>
      </c>
      <c r="K994" s="472">
        <f t="shared" si="111"/>
        <v>17</v>
      </c>
      <c r="L994" s="473">
        <v>0.72430555555555554</v>
      </c>
      <c r="M994" s="474">
        <f t="shared" si="109"/>
        <v>0.72430555555555554</v>
      </c>
      <c r="N994" s="519">
        <v>0.7284722222222223</v>
      </c>
      <c r="P994" s="29" t="str">
        <f t="shared" si="113"/>
        <v>2009EF0</v>
      </c>
      <c r="Q994" s="29" t="str">
        <f t="shared" si="114"/>
        <v>EF017</v>
      </c>
      <c r="R994" s="29" t="str">
        <f t="shared" si="115"/>
        <v>JuneEF0</v>
      </c>
    </row>
    <row r="995" spans="1:18">
      <c r="A995" s="483">
        <f t="shared" si="116"/>
        <v>991</v>
      </c>
      <c r="B995" s="484">
        <v>1</v>
      </c>
      <c r="C995" s="485">
        <v>40288</v>
      </c>
      <c r="D995" s="763" t="str">
        <f t="shared" si="112"/>
        <v>April</v>
      </c>
      <c r="E995" s="486">
        <v>20</v>
      </c>
      <c r="F995" s="472">
        <v>2010</v>
      </c>
      <c r="G995" s="495" t="s">
        <v>113</v>
      </c>
      <c r="H995" s="472" t="s">
        <v>161</v>
      </c>
      <c r="I995" s="486">
        <v>50</v>
      </c>
      <c r="J995" s="486">
        <v>1.05</v>
      </c>
      <c r="K995" s="472">
        <f t="shared" ref="K995:K1005" si="117">HOUR(M995)</f>
        <v>18</v>
      </c>
      <c r="L995" s="473">
        <v>0.75277777777777777</v>
      </c>
      <c r="M995" s="474">
        <f t="shared" ref="M995:M1003" si="118">+L995</f>
        <v>0.75277777777777777</v>
      </c>
      <c r="N995" s="519">
        <v>0.75624999999999998</v>
      </c>
      <c r="P995" s="29" t="str">
        <f t="shared" si="113"/>
        <v>2010EF0</v>
      </c>
      <c r="Q995" s="29" t="str">
        <f t="shared" si="114"/>
        <v>EF018</v>
      </c>
      <c r="R995" s="29" t="str">
        <f t="shared" si="115"/>
        <v>AprilEF0</v>
      </c>
    </row>
    <row r="996" spans="1:18">
      <c r="A996" s="483">
        <f t="shared" si="116"/>
        <v>992</v>
      </c>
      <c r="B996" s="484">
        <v>2</v>
      </c>
      <c r="C996" s="485">
        <v>40288</v>
      </c>
      <c r="D996" s="763" t="str">
        <f t="shared" si="112"/>
        <v>April</v>
      </c>
      <c r="E996" s="486">
        <v>20</v>
      </c>
      <c r="F996" s="472">
        <v>2010</v>
      </c>
      <c r="G996" s="495" t="s">
        <v>118</v>
      </c>
      <c r="H996" s="472" t="s">
        <v>161</v>
      </c>
      <c r="I996" s="486">
        <v>50</v>
      </c>
      <c r="J996" s="486">
        <v>0.9</v>
      </c>
      <c r="K996" s="472">
        <f t="shared" si="117"/>
        <v>18</v>
      </c>
      <c r="L996" s="473">
        <v>0.78263888888888899</v>
      </c>
      <c r="M996" s="474">
        <f t="shared" si="118"/>
        <v>0.78263888888888899</v>
      </c>
      <c r="N996" s="519">
        <v>0.78402777777777777</v>
      </c>
      <c r="P996" s="29" t="str">
        <f t="shared" si="113"/>
        <v>2010EF0</v>
      </c>
      <c r="Q996" s="29" t="str">
        <f t="shared" si="114"/>
        <v>EF018</v>
      </c>
      <c r="R996" s="29" t="str">
        <f t="shared" si="115"/>
        <v>AprilEF0</v>
      </c>
    </row>
    <row r="997" spans="1:18">
      <c r="A997" s="483">
        <f t="shared" si="116"/>
        <v>993</v>
      </c>
      <c r="B997" s="484">
        <v>3</v>
      </c>
      <c r="C997" s="485">
        <v>40290</v>
      </c>
      <c r="D997" s="763" t="str">
        <f t="shared" si="112"/>
        <v>April</v>
      </c>
      <c r="E997" s="486">
        <v>22</v>
      </c>
      <c r="F997" s="472">
        <v>2010</v>
      </c>
      <c r="G997" s="484" t="s">
        <v>119</v>
      </c>
      <c r="H997" s="472" t="s">
        <v>161</v>
      </c>
      <c r="I997" s="486">
        <v>50</v>
      </c>
      <c r="J997" s="486">
        <v>1.83</v>
      </c>
      <c r="K997" s="472">
        <f t="shared" si="117"/>
        <v>15</v>
      </c>
      <c r="L997" s="473">
        <v>0.66597222222222219</v>
      </c>
      <c r="M997" s="474">
        <f t="shared" si="118"/>
        <v>0.66597222222222219</v>
      </c>
      <c r="N997" s="519">
        <v>0.66805555555555562</v>
      </c>
      <c r="P997" s="29" t="str">
        <f t="shared" si="113"/>
        <v>2010EF0</v>
      </c>
      <c r="Q997" s="29" t="str">
        <f t="shared" si="114"/>
        <v>EF015</v>
      </c>
      <c r="R997" s="29" t="str">
        <f t="shared" si="115"/>
        <v>AprilEF0</v>
      </c>
    </row>
    <row r="998" spans="1:18">
      <c r="A998" s="483">
        <f t="shared" si="116"/>
        <v>994</v>
      </c>
      <c r="B998" s="563">
        <v>4</v>
      </c>
      <c r="C998" s="485">
        <v>40290</v>
      </c>
      <c r="D998" s="763" t="str">
        <f t="shared" si="112"/>
        <v>April</v>
      </c>
      <c r="E998" s="486">
        <v>22</v>
      </c>
      <c r="F998" s="472">
        <v>2010</v>
      </c>
      <c r="G998" s="563" t="s">
        <v>120</v>
      </c>
      <c r="H998" s="503" t="s">
        <v>161</v>
      </c>
      <c r="I998" s="563">
        <v>100</v>
      </c>
      <c r="J998" s="563">
        <v>5.24</v>
      </c>
      <c r="K998" s="472">
        <f t="shared" si="117"/>
        <v>16</v>
      </c>
      <c r="L998" s="504">
        <v>0.67361111111111116</v>
      </c>
      <c r="M998" s="474">
        <f t="shared" si="118"/>
        <v>0.67361111111111116</v>
      </c>
      <c r="N998" s="519">
        <v>0.68472222222222223</v>
      </c>
      <c r="P998" s="29" t="str">
        <f t="shared" si="113"/>
        <v>2010EF0</v>
      </c>
      <c r="Q998" s="29" t="str">
        <f t="shared" si="114"/>
        <v>EF016</v>
      </c>
      <c r="R998" s="29" t="str">
        <f t="shared" si="115"/>
        <v>AprilEF0</v>
      </c>
    </row>
    <row r="999" spans="1:18">
      <c r="A999" s="483">
        <f t="shared" si="116"/>
        <v>995</v>
      </c>
      <c r="B999" s="563">
        <v>5</v>
      </c>
      <c r="C999" s="485">
        <v>40290</v>
      </c>
      <c r="D999" s="763" t="str">
        <f t="shared" si="112"/>
        <v>April</v>
      </c>
      <c r="E999" s="486">
        <v>22</v>
      </c>
      <c r="F999" s="472">
        <v>2010</v>
      </c>
      <c r="G999" s="563" t="s">
        <v>119</v>
      </c>
      <c r="H999" s="503" t="s">
        <v>162</v>
      </c>
      <c r="I999" s="563">
        <v>100</v>
      </c>
      <c r="J999" s="563">
        <v>10.34</v>
      </c>
      <c r="K999" s="472">
        <f t="shared" si="117"/>
        <v>16</v>
      </c>
      <c r="L999" s="504">
        <v>0.68055555555555547</v>
      </c>
      <c r="M999" s="474">
        <f t="shared" si="118"/>
        <v>0.68055555555555547</v>
      </c>
      <c r="N999" s="519">
        <v>0.69652777777777775</v>
      </c>
      <c r="P999" s="29" t="str">
        <f t="shared" si="113"/>
        <v>2010EF1</v>
      </c>
      <c r="Q999" s="29" t="str">
        <f t="shared" si="114"/>
        <v>EF116</v>
      </c>
      <c r="R999" s="29" t="str">
        <f t="shared" si="115"/>
        <v>AprilEF1</v>
      </c>
    </row>
    <row r="1000" spans="1:18">
      <c r="A1000" s="483">
        <f t="shared" si="116"/>
        <v>996</v>
      </c>
      <c r="B1000" s="563">
        <v>6</v>
      </c>
      <c r="C1000" s="485">
        <v>40290</v>
      </c>
      <c r="D1000" s="763" t="str">
        <f t="shared" si="112"/>
        <v>April</v>
      </c>
      <c r="E1000" s="486">
        <v>22</v>
      </c>
      <c r="F1000" s="472">
        <v>2010</v>
      </c>
      <c r="G1000" s="563" t="s">
        <v>101</v>
      </c>
      <c r="H1000" s="503" t="s">
        <v>161</v>
      </c>
      <c r="I1000" s="563">
        <v>25</v>
      </c>
      <c r="J1000" s="563">
        <v>0.23</v>
      </c>
      <c r="K1000" s="472">
        <f t="shared" si="117"/>
        <v>16</v>
      </c>
      <c r="L1000" s="504">
        <v>0.70208333333333339</v>
      </c>
      <c r="M1000" s="474">
        <f t="shared" si="118"/>
        <v>0.70208333333333339</v>
      </c>
      <c r="N1000" s="519">
        <v>0.70277777777777783</v>
      </c>
      <c r="P1000" s="29" t="str">
        <f t="shared" si="113"/>
        <v>2010EF0</v>
      </c>
      <c r="Q1000" s="29" t="str">
        <f t="shared" si="114"/>
        <v>EF016</v>
      </c>
      <c r="R1000" s="29" t="str">
        <f t="shared" si="115"/>
        <v>AprilEF0</v>
      </c>
    </row>
    <row r="1001" spans="1:18">
      <c r="A1001" s="483">
        <f t="shared" si="116"/>
        <v>997</v>
      </c>
      <c r="B1001" s="565">
        <v>7</v>
      </c>
      <c r="C1001" s="485">
        <v>40290</v>
      </c>
      <c r="D1001" s="763" t="str">
        <f t="shared" si="112"/>
        <v>April</v>
      </c>
      <c r="E1001" s="486">
        <v>22</v>
      </c>
      <c r="F1001" s="472">
        <v>2010</v>
      </c>
      <c r="G1001" s="565" t="s">
        <v>115</v>
      </c>
      <c r="H1001" s="27" t="s">
        <v>161</v>
      </c>
      <c r="I1001" s="565">
        <v>25</v>
      </c>
      <c r="J1001" s="565">
        <v>0.49</v>
      </c>
      <c r="K1001" s="566">
        <f t="shared" si="117"/>
        <v>16</v>
      </c>
      <c r="L1001" s="29">
        <v>0.69305555555555554</v>
      </c>
      <c r="M1001" s="567">
        <f t="shared" si="118"/>
        <v>0.69305555555555554</v>
      </c>
      <c r="N1001" s="519">
        <v>0.69444444444444453</v>
      </c>
      <c r="P1001" s="29" t="str">
        <f t="shared" si="113"/>
        <v>2010EF0</v>
      </c>
      <c r="Q1001" s="29" t="str">
        <f t="shared" si="114"/>
        <v>EF016</v>
      </c>
      <c r="R1001" s="29" t="str">
        <f t="shared" si="115"/>
        <v>AprilEF0</v>
      </c>
    </row>
    <row r="1002" spans="1:18">
      <c r="A1002" s="483">
        <f t="shared" si="116"/>
        <v>998</v>
      </c>
      <c r="B1002" s="565">
        <v>8</v>
      </c>
      <c r="C1002" s="485">
        <v>40290</v>
      </c>
      <c r="D1002" s="763" t="str">
        <f t="shared" si="112"/>
        <v>April</v>
      </c>
      <c r="E1002" s="486">
        <v>22</v>
      </c>
      <c r="F1002" s="472">
        <v>2010</v>
      </c>
      <c r="G1002" s="565" t="s">
        <v>120</v>
      </c>
      <c r="H1002" s="27" t="s">
        <v>161</v>
      </c>
      <c r="I1002" s="565">
        <v>25</v>
      </c>
      <c r="J1002" s="565">
        <v>0.59</v>
      </c>
      <c r="K1002" s="566">
        <f t="shared" si="117"/>
        <v>17</v>
      </c>
      <c r="L1002" s="29">
        <v>0.71319444444444446</v>
      </c>
      <c r="M1002" s="567">
        <f t="shared" si="118"/>
        <v>0.71319444444444446</v>
      </c>
      <c r="N1002" s="519">
        <v>0.71458333333333324</v>
      </c>
      <c r="P1002" s="29" t="str">
        <f t="shared" si="113"/>
        <v>2010EF0</v>
      </c>
      <c r="Q1002" s="29" t="str">
        <f t="shared" si="114"/>
        <v>EF017</v>
      </c>
      <c r="R1002" s="29" t="str">
        <f t="shared" si="115"/>
        <v>AprilEF0</v>
      </c>
    </row>
    <row r="1003" spans="1:18">
      <c r="A1003" s="483">
        <f t="shared" si="116"/>
        <v>999</v>
      </c>
      <c r="B1003" s="563">
        <v>9</v>
      </c>
      <c r="C1003" s="485">
        <v>40290</v>
      </c>
      <c r="D1003" s="763" t="str">
        <f t="shared" si="112"/>
        <v>April</v>
      </c>
      <c r="E1003" s="486">
        <v>22</v>
      </c>
      <c r="F1003" s="472">
        <v>2010</v>
      </c>
      <c r="G1003" s="563" t="s">
        <v>115</v>
      </c>
      <c r="H1003" s="503" t="s">
        <v>161</v>
      </c>
      <c r="I1003" s="563">
        <v>440</v>
      </c>
      <c r="J1003" s="563">
        <v>4.01</v>
      </c>
      <c r="K1003" s="472">
        <f t="shared" si="117"/>
        <v>17</v>
      </c>
      <c r="L1003" s="504">
        <v>0.72916666666666663</v>
      </c>
      <c r="M1003" s="474">
        <f t="shared" si="118"/>
        <v>0.72916666666666663</v>
      </c>
      <c r="N1003" s="519">
        <v>0.74444444444444446</v>
      </c>
      <c r="P1003" s="29" t="str">
        <f t="shared" si="113"/>
        <v>2010EF0</v>
      </c>
      <c r="Q1003" s="29" t="str">
        <f t="shared" si="114"/>
        <v>EF017</v>
      </c>
      <c r="R1003" s="29" t="str">
        <f t="shared" si="115"/>
        <v>AprilEF0</v>
      </c>
    </row>
    <row r="1004" spans="1:18">
      <c r="A1004" s="483">
        <f t="shared" si="116"/>
        <v>1000</v>
      </c>
      <c r="B1004" s="484">
        <v>10</v>
      </c>
      <c r="C1004" s="485">
        <v>40290</v>
      </c>
      <c r="D1004" s="763" t="str">
        <f t="shared" si="112"/>
        <v>April</v>
      </c>
      <c r="E1004" s="486">
        <v>22</v>
      </c>
      <c r="F1004" s="472">
        <v>2010</v>
      </c>
      <c r="G1004" s="484" t="s">
        <v>115</v>
      </c>
      <c r="H1004" s="472" t="s">
        <v>161</v>
      </c>
      <c r="I1004" s="486">
        <v>100</v>
      </c>
      <c r="J1004" s="486">
        <v>4.47</v>
      </c>
      <c r="K1004" s="472">
        <f t="shared" si="117"/>
        <v>17</v>
      </c>
      <c r="L1004" s="473">
        <v>0.23611111111111113</v>
      </c>
      <c r="M1004" s="474">
        <v>0.73611111111111116</v>
      </c>
      <c r="N1004" s="519">
        <v>0.74305555555555547</v>
      </c>
      <c r="P1004" s="29" t="str">
        <f t="shared" si="113"/>
        <v>2010EF0</v>
      </c>
      <c r="Q1004" s="29" t="str">
        <f t="shared" si="114"/>
        <v>EF017</v>
      </c>
      <c r="R1004" s="29" t="str">
        <f t="shared" si="115"/>
        <v>AprilEF0</v>
      </c>
    </row>
    <row r="1005" spans="1:18">
      <c r="A1005" s="483">
        <f t="shared" si="116"/>
        <v>1001</v>
      </c>
      <c r="B1005" s="484">
        <v>11</v>
      </c>
      <c r="C1005" s="485">
        <v>40316</v>
      </c>
      <c r="D1005" s="763" t="str">
        <f t="shared" si="112"/>
        <v>May</v>
      </c>
      <c r="E1005" s="486">
        <v>18</v>
      </c>
      <c r="F1005" s="472">
        <v>2010</v>
      </c>
      <c r="G1005" s="484" t="s">
        <v>107</v>
      </c>
      <c r="H1005" s="472" t="s">
        <v>161</v>
      </c>
      <c r="I1005" s="486">
        <v>50</v>
      </c>
      <c r="J1005" s="486">
        <v>1.0900000000000001</v>
      </c>
      <c r="K1005" s="472">
        <f t="shared" si="117"/>
        <v>16</v>
      </c>
      <c r="L1005" s="473">
        <v>0.68888888888888899</v>
      </c>
      <c r="M1005" s="474">
        <f t="shared" ref="M1005:M1036" si="119">+L1005</f>
        <v>0.68888888888888899</v>
      </c>
      <c r="N1005" s="519">
        <v>0.69166666666666676</v>
      </c>
      <c r="P1005" s="29" t="str">
        <f t="shared" si="113"/>
        <v>2010EF0</v>
      </c>
      <c r="Q1005" s="29" t="str">
        <f t="shared" si="114"/>
        <v>EF016</v>
      </c>
      <c r="R1005" s="29" t="str">
        <f t="shared" si="115"/>
        <v>MayEF0</v>
      </c>
    </row>
    <row r="1006" spans="1:18">
      <c r="A1006" s="483">
        <f t="shared" si="116"/>
        <v>1002</v>
      </c>
      <c r="B1006" s="484">
        <v>12</v>
      </c>
      <c r="C1006" s="485">
        <v>40316</v>
      </c>
      <c r="D1006" s="763" t="str">
        <f t="shared" si="112"/>
        <v>May</v>
      </c>
      <c r="E1006" s="486">
        <v>18</v>
      </c>
      <c r="F1006" s="472">
        <v>2010</v>
      </c>
      <c r="G1006" s="484" t="s">
        <v>107</v>
      </c>
      <c r="H1006" s="472" t="s">
        <v>161</v>
      </c>
      <c r="I1006" s="486">
        <v>100</v>
      </c>
      <c r="J1006" s="486">
        <v>1.01</v>
      </c>
      <c r="K1006" s="472">
        <f t="shared" ref="K1006:K1036" si="120">HOUR(M1006)</f>
        <v>16</v>
      </c>
      <c r="L1006" s="473">
        <v>0.69513888888888886</v>
      </c>
      <c r="M1006" s="474">
        <f t="shared" si="119"/>
        <v>0.69513888888888886</v>
      </c>
      <c r="N1006" s="519">
        <v>0.6972222222222223</v>
      </c>
      <c r="P1006" s="29" t="str">
        <f t="shared" si="113"/>
        <v>2010EF0</v>
      </c>
      <c r="Q1006" s="29" t="str">
        <f t="shared" si="114"/>
        <v>EF016</v>
      </c>
      <c r="R1006" s="29" t="str">
        <f t="shared" si="115"/>
        <v>MayEF0</v>
      </c>
    </row>
    <row r="1007" spans="1:18">
      <c r="A1007" s="483">
        <f t="shared" si="116"/>
        <v>1003</v>
      </c>
      <c r="B1007" s="484">
        <v>13</v>
      </c>
      <c r="C1007" s="485">
        <v>40316</v>
      </c>
      <c r="D1007" s="763" t="str">
        <f t="shared" si="112"/>
        <v>May</v>
      </c>
      <c r="E1007" s="486">
        <v>18</v>
      </c>
      <c r="F1007" s="472">
        <v>2010</v>
      </c>
      <c r="G1007" s="484" t="s">
        <v>108</v>
      </c>
      <c r="H1007" s="472" t="s">
        <v>161</v>
      </c>
      <c r="I1007" s="486">
        <v>25</v>
      </c>
      <c r="J1007" s="486">
        <v>0.53</v>
      </c>
      <c r="K1007" s="472">
        <f t="shared" si="120"/>
        <v>16</v>
      </c>
      <c r="L1007" s="473">
        <v>0.70486111111111116</v>
      </c>
      <c r="M1007" s="474">
        <f t="shared" si="119"/>
        <v>0.70486111111111116</v>
      </c>
      <c r="N1007" s="519">
        <v>0.70624999999999993</v>
      </c>
      <c r="P1007" s="29" t="str">
        <f t="shared" si="113"/>
        <v>2010EF0</v>
      </c>
      <c r="Q1007" s="29" t="str">
        <f t="shared" si="114"/>
        <v>EF016</v>
      </c>
      <c r="R1007" s="29" t="str">
        <f t="shared" si="115"/>
        <v>MayEF0</v>
      </c>
    </row>
    <row r="1008" spans="1:18">
      <c r="A1008" s="483">
        <f t="shared" si="116"/>
        <v>1004</v>
      </c>
      <c r="B1008" s="484">
        <v>14</v>
      </c>
      <c r="C1008" s="485">
        <v>40316</v>
      </c>
      <c r="D1008" s="763" t="str">
        <f t="shared" si="112"/>
        <v>May</v>
      </c>
      <c r="E1008" s="486">
        <v>18</v>
      </c>
      <c r="F1008" s="472">
        <v>2010</v>
      </c>
      <c r="G1008" s="484" t="s">
        <v>108</v>
      </c>
      <c r="H1008" s="472" t="s">
        <v>161</v>
      </c>
      <c r="I1008" s="486">
        <v>25</v>
      </c>
      <c r="J1008" s="486">
        <v>2.2200000000000002</v>
      </c>
      <c r="K1008" s="472">
        <f t="shared" si="120"/>
        <v>17</v>
      </c>
      <c r="L1008" s="473">
        <v>0.72777777777777775</v>
      </c>
      <c r="M1008" s="474">
        <f t="shared" si="119"/>
        <v>0.72777777777777775</v>
      </c>
      <c r="N1008" s="519">
        <v>0.72916666666666663</v>
      </c>
      <c r="P1008" s="29" t="str">
        <f t="shared" si="113"/>
        <v>2010EF0</v>
      </c>
      <c r="Q1008" s="29" t="str">
        <f t="shared" si="114"/>
        <v>EF017</v>
      </c>
      <c r="R1008" s="29" t="str">
        <f t="shared" si="115"/>
        <v>MayEF0</v>
      </c>
    </row>
    <row r="1009" spans="1:18">
      <c r="A1009" s="483">
        <f t="shared" si="116"/>
        <v>1005</v>
      </c>
      <c r="B1009" s="484">
        <v>15</v>
      </c>
      <c r="C1009" s="485">
        <v>40316</v>
      </c>
      <c r="D1009" s="763" t="str">
        <f t="shared" si="112"/>
        <v>May</v>
      </c>
      <c r="E1009" s="486">
        <v>18</v>
      </c>
      <c r="F1009" s="472">
        <v>2010</v>
      </c>
      <c r="G1009" s="484" t="s">
        <v>108</v>
      </c>
      <c r="H1009" s="472" t="s">
        <v>161</v>
      </c>
      <c r="I1009" s="486">
        <v>200</v>
      </c>
      <c r="J1009" s="486">
        <v>1.23</v>
      </c>
      <c r="K1009" s="472">
        <f t="shared" si="120"/>
        <v>17</v>
      </c>
      <c r="L1009" s="473">
        <v>0.73749999999999993</v>
      </c>
      <c r="M1009" s="474">
        <f t="shared" si="119"/>
        <v>0.73749999999999993</v>
      </c>
      <c r="N1009" s="519">
        <v>0.73958333333333337</v>
      </c>
      <c r="P1009" s="29" t="str">
        <f t="shared" si="113"/>
        <v>2010EF0</v>
      </c>
      <c r="Q1009" s="29" t="str">
        <f t="shared" si="114"/>
        <v>EF017</v>
      </c>
      <c r="R1009" s="29" t="str">
        <f t="shared" si="115"/>
        <v>MayEF0</v>
      </c>
    </row>
    <row r="1010" spans="1:18">
      <c r="A1010" s="483">
        <f t="shared" si="116"/>
        <v>1006</v>
      </c>
      <c r="B1010" s="484">
        <v>16</v>
      </c>
      <c r="C1010" s="485">
        <v>40316</v>
      </c>
      <c r="D1010" s="763" t="str">
        <f t="shared" si="112"/>
        <v>May</v>
      </c>
      <c r="E1010" s="486">
        <v>18</v>
      </c>
      <c r="F1010" s="472">
        <v>2010</v>
      </c>
      <c r="G1010" s="484" t="s">
        <v>109</v>
      </c>
      <c r="H1010" s="472" t="s">
        <v>160</v>
      </c>
      <c r="I1010" s="486">
        <v>300</v>
      </c>
      <c r="J1010" s="486">
        <v>4.99</v>
      </c>
      <c r="K1010" s="472">
        <f t="shared" si="120"/>
        <v>18</v>
      </c>
      <c r="L1010" s="473">
        <v>0.78055555555555556</v>
      </c>
      <c r="M1010" s="474">
        <f t="shared" si="119"/>
        <v>0.78055555555555556</v>
      </c>
      <c r="N1010" s="519">
        <v>0.79166666666666663</v>
      </c>
      <c r="P1010" s="29" t="str">
        <f t="shared" si="113"/>
        <v>2010EF2</v>
      </c>
      <c r="Q1010" s="29" t="str">
        <f t="shared" si="114"/>
        <v>EF218</v>
      </c>
      <c r="R1010" s="29" t="str">
        <f t="shared" si="115"/>
        <v>MayEF2</v>
      </c>
    </row>
    <row r="1011" spans="1:18">
      <c r="A1011" s="483">
        <f t="shared" si="116"/>
        <v>1007</v>
      </c>
      <c r="B1011" s="484">
        <v>17</v>
      </c>
      <c r="C1011" s="485">
        <v>40316</v>
      </c>
      <c r="D1011" s="763" t="str">
        <f t="shared" si="112"/>
        <v>May</v>
      </c>
      <c r="E1011" s="486">
        <v>18</v>
      </c>
      <c r="F1011" s="472">
        <v>2010</v>
      </c>
      <c r="G1011" s="484" t="s">
        <v>100</v>
      </c>
      <c r="H1011" s="472" t="s">
        <v>161</v>
      </c>
      <c r="I1011" s="486">
        <v>25</v>
      </c>
      <c r="J1011" s="486">
        <v>0.55000000000000004</v>
      </c>
      <c r="K1011" s="472">
        <f t="shared" si="120"/>
        <v>18</v>
      </c>
      <c r="L1011" s="473">
        <v>0.78055555555555556</v>
      </c>
      <c r="M1011" s="474">
        <f t="shared" si="119"/>
        <v>0.78055555555555556</v>
      </c>
      <c r="N1011" s="519">
        <v>0.78194444444444444</v>
      </c>
      <c r="P1011" s="29" t="str">
        <f t="shared" si="113"/>
        <v>2010EF0</v>
      </c>
      <c r="Q1011" s="29" t="str">
        <f t="shared" si="114"/>
        <v>EF018</v>
      </c>
      <c r="R1011" s="29" t="str">
        <f t="shared" si="115"/>
        <v>MayEF0</v>
      </c>
    </row>
    <row r="1012" spans="1:18">
      <c r="A1012" s="483">
        <f t="shared" si="116"/>
        <v>1008</v>
      </c>
      <c r="B1012" s="484">
        <v>18</v>
      </c>
      <c r="C1012" s="485">
        <v>40316</v>
      </c>
      <c r="D1012" s="763" t="str">
        <f t="shared" si="112"/>
        <v>May</v>
      </c>
      <c r="E1012" s="486">
        <v>18</v>
      </c>
      <c r="F1012" s="472">
        <v>2010</v>
      </c>
      <c r="G1012" s="484" t="s">
        <v>102</v>
      </c>
      <c r="H1012" s="472" t="s">
        <v>161</v>
      </c>
      <c r="I1012" s="486">
        <v>25</v>
      </c>
      <c r="J1012" s="486">
        <v>0.52</v>
      </c>
      <c r="K1012" s="472">
        <f t="shared" si="120"/>
        <v>19</v>
      </c>
      <c r="L1012" s="473">
        <v>0.82777777777777783</v>
      </c>
      <c r="M1012" s="474">
        <f t="shared" si="119"/>
        <v>0.82777777777777783</v>
      </c>
      <c r="N1012" s="519">
        <v>0.82847222222222217</v>
      </c>
      <c r="P1012" s="29" t="str">
        <f t="shared" si="113"/>
        <v>2010EF0</v>
      </c>
      <c r="Q1012" s="29" t="str">
        <f t="shared" si="114"/>
        <v>EF019</v>
      </c>
      <c r="R1012" s="29" t="str">
        <f t="shared" si="115"/>
        <v>MayEF0</v>
      </c>
    </row>
    <row r="1013" spans="1:18">
      <c r="A1013" s="483">
        <f t="shared" si="116"/>
        <v>1009</v>
      </c>
      <c r="B1013" s="484">
        <v>19</v>
      </c>
      <c r="C1013" s="485">
        <v>40316</v>
      </c>
      <c r="D1013" s="763" t="str">
        <f t="shared" si="112"/>
        <v>May</v>
      </c>
      <c r="E1013" s="486">
        <v>18</v>
      </c>
      <c r="F1013" s="472">
        <v>2010</v>
      </c>
      <c r="G1013" s="484" t="s">
        <v>102</v>
      </c>
      <c r="H1013" s="472" t="s">
        <v>161</v>
      </c>
      <c r="I1013" s="486">
        <v>25</v>
      </c>
      <c r="J1013" s="486">
        <v>4.08</v>
      </c>
      <c r="K1013" s="472">
        <f t="shared" si="120"/>
        <v>20</v>
      </c>
      <c r="L1013" s="473">
        <v>0.85416666666666663</v>
      </c>
      <c r="M1013" s="474">
        <f t="shared" si="119"/>
        <v>0.85416666666666663</v>
      </c>
      <c r="N1013" s="519">
        <v>0.86249999999999993</v>
      </c>
      <c r="P1013" s="29" t="str">
        <f t="shared" si="113"/>
        <v>2010EF0</v>
      </c>
      <c r="Q1013" s="29" t="str">
        <f t="shared" si="114"/>
        <v>EF020</v>
      </c>
      <c r="R1013" s="29" t="str">
        <f t="shared" si="115"/>
        <v>MayEF0</v>
      </c>
    </row>
    <row r="1014" spans="1:18">
      <c r="A1014" s="483">
        <f t="shared" si="116"/>
        <v>1010</v>
      </c>
      <c r="B1014" s="484">
        <v>20</v>
      </c>
      <c r="C1014" s="485">
        <v>40316</v>
      </c>
      <c r="D1014" s="763" t="str">
        <f t="shared" si="112"/>
        <v>May</v>
      </c>
      <c r="E1014" s="486">
        <v>18</v>
      </c>
      <c r="F1014" s="472">
        <v>2010</v>
      </c>
      <c r="G1014" s="484" t="s">
        <v>103</v>
      </c>
      <c r="H1014" s="472" t="s">
        <v>161</v>
      </c>
      <c r="I1014" s="486">
        <v>50</v>
      </c>
      <c r="J1014" s="486">
        <v>1.06</v>
      </c>
      <c r="K1014" s="472">
        <f t="shared" si="120"/>
        <v>21</v>
      </c>
      <c r="L1014" s="473">
        <v>0.90277777777777779</v>
      </c>
      <c r="M1014" s="474">
        <f t="shared" si="119"/>
        <v>0.90277777777777779</v>
      </c>
      <c r="N1014" s="519">
        <v>0.90486111111111101</v>
      </c>
      <c r="P1014" s="29" t="str">
        <f t="shared" si="113"/>
        <v>2010EF0</v>
      </c>
      <c r="Q1014" s="29" t="str">
        <f t="shared" si="114"/>
        <v>EF021</v>
      </c>
      <c r="R1014" s="29" t="str">
        <f t="shared" si="115"/>
        <v>MayEF0</v>
      </c>
    </row>
    <row r="1015" spans="1:18">
      <c r="A1015" s="483">
        <f t="shared" si="116"/>
        <v>1011</v>
      </c>
      <c r="B1015" s="484">
        <v>21</v>
      </c>
      <c r="C1015" s="485">
        <v>40316</v>
      </c>
      <c r="D1015" s="763" t="str">
        <f t="shared" si="112"/>
        <v>May</v>
      </c>
      <c r="E1015" s="486">
        <v>18</v>
      </c>
      <c r="F1015" s="472">
        <v>2010</v>
      </c>
      <c r="G1015" s="484" t="s">
        <v>103</v>
      </c>
      <c r="H1015" s="472" t="s">
        <v>161</v>
      </c>
      <c r="I1015" s="486">
        <v>880</v>
      </c>
      <c r="J1015" s="486">
        <v>1.4</v>
      </c>
      <c r="K1015" s="472">
        <f t="shared" si="120"/>
        <v>22</v>
      </c>
      <c r="L1015" s="473">
        <v>0.93541666666666667</v>
      </c>
      <c r="M1015" s="474">
        <f t="shared" si="119"/>
        <v>0.93541666666666667</v>
      </c>
      <c r="N1015" s="519">
        <v>0.93819444444444444</v>
      </c>
      <c r="P1015" s="29" t="str">
        <f t="shared" si="113"/>
        <v>2010EF0</v>
      </c>
      <c r="Q1015" s="29" t="str">
        <f t="shared" si="114"/>
        <v>EF022</v>
      </c>
      <c r="R1015" s="29" t="str">
        <f t="shared" si="115"/>
        <v>MayEF0</v>
      </c>
    </row>
    <row r="1016" spans="1:18">
      <c r="A1016" s="483">
        <f t="shared" si="116"/>
        <v>1012</v>
      </c>
      <c r="B1016" s="484">
        <v>22</v>
      </c>
      <c r="C1016" s="485">
        <v>40316</v>
      </c>
      <c r="D1016" s="763" t="str">
        <f t="shared" si="112"/>
        <v>May</v>
      </c>
      <c r="E1016" s="486">
        <v>18</v>
      </c>
      <c r="F1016" s="472">
        <v>2010</v>
      </c>
      <c r="G1016" s="484" t="s">
        <v>104</v>
      </c>
      <c r="H1016" s="472" t="s">
        <v>161</v>
      </c>
      <c r="I1016" s="486">
        <v>25</v>
      </c>
      <c r="J1016" s="486">
        <v>0.55000000000000004</v>
      </c>
      <c r="K1016" s="472">
        <f t="shared" si="120"/>
        <v>23</v>
      </c>
      <c r="L1016" s="473">
        <v>0.96666666666666667</v>
      </c>
      <c r="M1016" s="474">
        <f t="shared" si="119"/>
        <v>0.96666666666666667</v>
      </c>
      <c r="N1016" s="519">
        <v>0.96805555555555556</v>
      </c>
      <c r="P1016" s="29" t="str">
        <f t="shared" si="113"/>
        <v>2010EF0</v>
      </c>
      <c r="Q1016" s="29" t="str">
        <f t="shared" si="114"/>
        <v>EF023</v>
      </c>
      <c r="R1016" s="29" t="str">
        <f t="shared" si="115"/>
        <v>MayEF0</v>
      </c>
    </row>
    <row r="1017" spans="1:18">
      <c r="A1017" s="483">
        <f t="shared" si="116"/>
        <v>1013</v>
      </c>
      <c r="B1017" s="484">
        <v>23</v>
      </c>
      <c r="C1017" s="485">
        <v>40317</v>
      </c>
      <c r="D1017" s="763" t="str">
        <f t="shared" si="112"/>
        <v>May</v>
      </c>
      <c r="E1017" s="486">
        <v>19</v>
      </c>
      <c r="F1017" s="472">
        <v>2010</v>
      </c>
      <c r="G1017" s="484" t="s">
        <v>109</v>
      </c>
      <c r="H1017" s="472" t="s">
        <v>162</v>
      </c>
      <c r="I1017" s="486">
        <v>100</v>
      </c>
      <c r="J1017" s="486">
        <v>0.44</v>
      </c>
      <c r="K1017" s="472">
        <f t="shared" si="120"/>
        <v>0</v>
      </c>
      <c r="L1017" s="473">
        <v>3.888888888888889E-2</v>
      </c>
      <c r="M1017" s="474">
        <f t="shared" si="119"/>
        <v>3.888888888888889E-2</v>
      </c>
      <c r="N1017" s="519">
        <v>3.9583333333333331E-2</v>
      </c>
      <c r="P1017" s="29" t="str">
        <f t="shared" si="113"/>
        <v>2010EF1</v>
      </c>
      <c r="Q1017" s="29" t="str">
        <f t="shared" si="114"/>
        <v>EF10</v>
      </c>
      <c r="R1017" s="29" t="str">
        <f t="shared" si="115"/>
        <v>MayEF1</v>
      </c>
    </row>
    <row r="1018" spans="1:18">
      <c r="A1018" s="483">
        <f t="shared" si="116"/>
        <v>1014</v>
      </c>
      <c r="B1018" s="484">
        <v>24</v>
      </c>
      <c r="C1018" s="485">
        <v>40317</v>
      </c>
      <c r="D1018" s="763" t="str">
        <f t="shared" si="112"/>
        <v>May</v>
      </c>
      <c r="E1018" s="486">
        <v>19</v>
      </c>
      <c r="F1018" s="472">
        <v>2010</v>
      </c>
      <c r="G1018" s="484" t="s">
        <v>105</v>
      </c>
      <c r="H1018" s="472" t="s">
        <v>161</v>
      </c>
      <c r="I1018" s="486">
        <v>50</v>
      </c>
      <c r="J1018" s="486">
        <v>1.1200000000000001</v>
      </c>
      <c r="K1018" s="472">
        <f t="shared" si="120"/>
        <v>2</v>
      </c>
      <c r="L1018" s="473">
        <v>0.10555555555555556</v>
      </c>
      <c r="M1018" s="474">
        <f t="shared" si="119"/>
        <v>0.10555555555555556</v>
      </c>
      <c r="N1018" s="519">
        <v>0.10694444444444444</v>
      </c>
      <c r="P1018" s="29" t="str">
        <f t="shared" si="113"/>
        <v>2010EF0</v>
      </c>
      <c r="Q1018" s="29" t="str">
        <f t="shared" si="114"/>
        <v>EF02</v>
      </c>
      <c r="R1018" s="29" t="str">
        <f t="shared" si="115"/>
        <v>MayEF0</v>
      </c>
    </row>
    <row r="1019" spans="1:18">
      <c r="A1019" s="483">
        <f t="shared" si="116"/>
        <v>1015</v>
      </c>
      <c r="B1019" s="484">
        <v>25</v>
      </c>
      <c r="C1019" s="485">
        <v>40321</v>
      </c>
      <c r="D1019" s="763" t="str">
        <f t="shared" si="112"/>
        <v>May</v>
      </c>
      <c r="E1019" s="486">
        <v>23</v>
      </c>
      <c r="F1019" s="472">
        <v>2010</v>
      </c>
      <c r="G1019" s="484" t="s">
        <v>99</v>
      </c>
      <c r="H1019" s="472" t="s">
        <v>161</v>
      </c>
      <c r="I1019" s="486">
        <v>25</v>
      </c>
      <c r="J1019" s="486">
        <v>2.0499999999999998</v>
      </c>
      <c r="K1019" s="472">
        <f>HOUR(M1019)</f>
        <v>19</v>
      </c>
      <c r="L1019" s="473">
        <v>0.8125</v>
      </c>
      <c r="M1019" s="474">
        <f>+L1019</f>
        <v>0.8125</v>
      </c>
      <c r="N1019" s="519">
        <v>0.81597222222222221</v>
      </c>
      <c r="P1019" s="29" t="str">
        <f t="shared" si="113"/>
        <v>2010EF0</v>
      </c>
      <c r="Q1019" s="29" t="str">
        <f t="shared" si="114"/>
        <v>EF019</v>
      </c>
      <c r="R1019" s="29" t="str">
        <f t="shared" si="115"/>
        <v>MayEF0</v>
      </c>
    </row>
    <row r="1020" spans="1:18">
      <c r="A1020" s="483">
        <f t="shared" si="116"/>
        <v>1016</v>
      </c>
      <c r="B1020" s="484">
        <v>26</v>
      </c>
      <c r="C1020" s="485">
        <v>40321</v>
      </c>
      <c r="D1020" s="763" t="str">
        <f t="shared" si="112"/>
        <v>May</v>
      </c>
      <c r="E1020" s="486">
        <v>23</v>
      </c>
      <c r="F1020" s="472">
        <v>2010</v>
      </c>
      <c r="G1020" s="484" t="s">
        <v>99</v>
      </c>
      <c r="H1020" s="472" t="s">
        <v>162</v>
      </c>
      <c r="I1020" s="486">
        <v>440</v>
      </c>
      <c r="J1020" s="486">
        <v>6.01</v>
      </c>
      <c r="K1020" s="472">
        <f t="shared" si="120"/>
        <v>20</v>
      </c>
      <c r="L1020" s="473">
        <v>0.85763888888888884</v>
      </c>
      <c r="M1020" s="474">
        <f t="shared" si="119"/>
        <v>0.85763888888888884</v>
      </c>
      <c r="N1020" s="519">
        <v>0.86597222222222225</v>
      </c>
      <c r="P1020" s="29" t="str">
        <f t="shared" si="113"/>
        <v>2010EF1</v>
      </c>
      <c r="Q1020" s="29" t="str">
        <f t="shared" si="114"/>
        <v>EF120</v>
      </c>
      <c r="R1020" s="29" t="str">
        <f t="shared" si="115"/>
        <v>MayEF1</v>
      </c>
    </row>
    <row r="1021" spans="1:18">
      <c r="A1021" s="483">
        <f t="shared" si="116"/>
        <v>1017</v>
      </c>
      <c r="B1021" s="484">
        <v>27</v>
      </c>
      <c r="C1021" s="485">
        <v>40322</v>
      </c>
      <c r="D1021" s="763" t="str">
        <f t="shared" si="112"/>
        <v>May</v>
      </c>
      <c r="E1021" s="486">
        <v>24</v>
      </c>
      <c r="F1021" s="472">
        <v>2010</v>
      </c>
      <c r="G1021" s="484" t="s">
        <v>104</v>
      </c>
      <c r="H1021" s="472" t="s">
        <v>161</v>
      </c>
      <c r="I1021" s="486">
        <v>100</v>
      </c>
      <c r="J1021" s="486">
        <v>3.06</v>
      </c>
      <c r="K1021" s="472">
        <f t="shared" si="120"/>
        <v>19</v>
      </c>
      <c r="L1021" s="473">
        <v>0.81180555555555556</v>
      </c>
      <c r="M1021" s="474">
        <f t="shared" si="119"/>
        <v>0.81180555555555556</v>
      </c>
      <c r="N1021" s="519">
        <v>0.8208333333333333</v>
      </c>
      <c r="P1021" s="29" t="str">
        <f t="shared" si="113"/>
        <v>2010EF0</v>
      </c>
      <c r="Q1021" s="29" t="str">
        <f t="shared" si="114"/>
        <v>EF019</v>
      </c>
      <c r="R1021" s="29" t="str">
        <f t="shared" si="115"/>
        <v>MayEF0</v>
      </c>
    </row>
    <row r="1022" spans="1:18">
      <c r="A1022" s="483">
        <f t="shared" si="116"/>
        <v>1018</v>
      </c>
      <c r="B1022" s="484">
        <v>28</v>
      </c>
      <c r="C1022" s="485">
        <v>40322</v>
      </c>
      <c r="D1022" s="763" t="str">
        <f t="shared" si="112"/>
        <v>May</v>
      </c>
      <c r="E1022" s="486">
        <v>24</v>
      </c>
      <c r="F1022" s="472">
        <v>2010</v>
      </c>
      <c r="G1022" s="484" t="s">
        <v>104</v>
      </c>
      <c r="H1022" s="472" t="s">
        <v>161</v>
      </c>
      <c r="I1022" s="486">
        <v>25</v>
      </c>
      <c r="J1022" s="486">
        <v>0.21</v>
      </c>
      <c r="K1022" s="472">
        <f t="shared" si="120"/>
        <v>19</v>
      </c>
      <c r="L1022" s="473">
        <v>0.81736111111111109</v>
      </c>
      <c r="M1022" s="474">
        <f t="shared" si="119"/>
        <v>0.81736111111111109</v>
      </c>
      <c r="N1022" s="519">
        <v>0.81805555555555554</v>
      </c>
      <c r="P1022" s="29" t="str">
        <f t="shared" si="113"/>
        <v>2010EF0</v>
      </c>
      <c r="Q1022" s="29" t="str">
        <f t="shared" si="114"/>
        <v>EF019</v>
      </c>
      <c r="R1022" s="29" t="str">
        <f t="shared" si="115"/>
        <v>MayEF0</v>
      </c>
    </row>
    <row r="1023" spans="1:18">
      <c r="A1023" s="483">
        <f t="shared" si="116"/>
        <v>1019</v>
      </c>
      <c r="B1023" s="484">
        <v>29</v>
      </c>
      <c r="C1023" s="485">
        <v>40322</v>
      </c>
      <c r="D1023" s="763" t="str">
        <f t="shared" si="112"/>
        <v>May</v>
      </c>
      <c r="E1023" s="486">
        <v>24</v>
      </c>
      <c r="F1023" s="472">
        <v>2010</v>
      </c>
      <c r="G1023" s="484" t="s">
        <v>104</v>
      </c>
      <c r="H1023" s="472" t="s">
        <v>161</v>
      </c>
      <c r="I1023" s="486">
        <v>25</v>
      </c>
      <c r="J1023" s="486">
        <v>0.38</v>
      </c>
      <c r="K1023" s="472">
        <f t="shared" si="120"/>
        <v>19</v>
      </c>
      <c r="L1023" s="473">
        <v>0.82430555555555562</v>
      </c>
      <c r="M1023" s="474">
        <f t="shared" si="119"/>
        <v>0.82430555555555562</v>
      </c>
      <c r="N1023" s="519">
        <v>0.8256944444444444</v>
      </c>
      <c r="P1023" s="29" t="str">
        <f t="shared" si="113"/>
        <v>2010EF0</v>
      </c>
      <c r="Q1023" s="29" t="str">
        <f t="shared" si="114"/>
        <v>EF019</v>
      </c>
      <c r="R1023" s="29" t="str">
        <f t="shared" si="115"/>
        <v>MayEF0</v>
      </c>
    </row>
    <row r="1024" spans="1:18">
      <c r="A1024" s="483">
        <f t="shared" si="116"/>
        <v>1020</v>
      </c>
      <c r="B1024" s="484">
        <v>30</v>
      </c>
      <c r="C1024" s="485">
        <v>40322</v>
      </c>
      <c r="D1024" s="763" t="str">
        <f t="shared" si="112"/>
        <v>May</v>
      </c>
      <c r="E1024" s="486">
        <v>24</v>
      </c>
      <c r="F1024" s="472">
        <v>2010</v>
      </c>
      <c r="G1024" s="484" t="s">
        <v>104</v>
      </c>
      <c r="H1024" s="472" t="s">
        <v>161</v>
      </c>
      <c r="I1024" s="486">
        <v>25</v>
      </c>
      <c r="J1024" s="486">
        <v>0.14000000000000001</v>
      </c>
      <c r="K1024" s="472">
        <f t="shared" si="120"/>
        <v>19</v>
      </c>
      <c r="L1024" s="473">
        <v>0.8305555555555556</v>
      </c>
      <c r="M1024" s="474">
        <f t="shared" si="119"/>
        <v>0.8305555555555556</v>
      </c>
      <c r="N1024" s="519">
        <v>0.83194444444444438</v>
      </c>
      <c r="P1024" s="29" t="str">
        <f t="shared" si="113"/>
        <v>2010EF0</v>
      </c>
      <c r="Q1024" s="29" t="str">
        <f t="shared" si="114"/>
        <v>EF019</v>
      </c>
      <c r="R1024" s="29" t="str">
        <f t="shared" si="115"/>
        <v>MayEF0</v>
      </c>
    </row>
    <row r="1025" spans="1:18">
      <c r="A1025" s="483">
        <f t="shared" si="116"/>
        <v>1021</v>
      </c>
      <c r="B1025" s="484">
        <v>31</v>
      </c>
      <c r="C1025" s="485">
        <v>40329</v>
      </c>
      <c r="D1025" s="763" t="str">
        <f t="shared" si="112"/>
        <v>May</v>
      </c>
      <c r="E1025" s="486">
        <v>31</v>
      </c>
      <c r="F1025" s="472">
        <v>2010</v>
      </c>
      <c r="G1025" s="484" t="s">
        <v>99</v>
      </c>
      <c r="H1025" s="472" t="s">
        <v>161</v>
      </c>
      <c r="I1025" s="486">
        <v>25</v>
      </c>
      <c r="J1025" s="486">
        <v>1.75</v>
      </c>
      <c r="K1025" s="472">
        <f t="shared" si="120"/>
        <v>18</v>
      </c>
      <c r="L1025" s="473">
        <v>0.79027777777777775</v>
      </c>
      <c r="M1025" s="474">
        <f t="shared" si="119"/>
        <v>0.79027777777777775</v>
      </c>
      <c r="N1025" s="519">
        <v>0.79166666666666663</v>
      </c>
      <c r="P1025" s="29" t="str">
        <f t="shared" si="113"/>
        <v>2010EF0</v>
      </c>
      <c r="Q1025" s="29" t="str">
        <f t="shared" si="114"/>
        <v>EF018</v>
      </c>
      <c r="R1025" s="29" t="str">
        <f t="shared" si="115"/>
        <v>MayEF0</v>
      </c>
    </row>
    <row r="1026" spans="1:18">
      <c r="A1026" s="483">
        <f t="shared" si="116"/>
        <v>1022</v>
      </c>
      <c r="B1026" s="484">
        <v>32</v>
      </c>
      <c r="C1026" s="485">
        <v>40329</v>
      </c>
      <c r="D1026" s="763" t="str">
        <f t="shared" si="112"/>
        <v>May</v>
      </c>
      <c r="E1026" s="486">
        <v>31</v>
      </c>
      <c r="F1026" s="472">
        <v>2010</v>
      </c>
      <c r="G1026" s="484" t="s">
        <v>100</v>
      </c>
      <c r="H1026" s="472" t="s">
        <v>161</v>
      </c>
      <c r="I1026" s="486">
        <v>25</v>
      </c>
      <c r="J1026" s="486">
        <v>1.7</v>
      </c>
      <c r="K1026" s="472">
        <f t="shared" si="120"/>
        <v>19</v>
      </c>
      <c r="L1026" s="473">
        <v>0.82708333333333339</v>
      </c>
      <c r="M1026" s="474">
        <f t="shared" si="119"/>
        <v>0.82708333333333339</v>
      </c>
      <c r="N1026" s="519">
        <v>0.82847222222222217</v>
      </c>
      <c r="P1026" s="29" t="str">
        <f t="shared" si="113"/>
        <v>2010EF0</v>
      </c>
      <c r="Q1026" s="29" t="str">
        <f t="shared" si="114"/>
        <v>EF019</v>
      </c>
      <c r="R1026" s="29" t="str">
        <f t="shared" si="115"/>
        <v>MayEF0</v>
      </c>
    </row>
    <row r="1027" spans="1:18">
      <c r="A1027" s="483">
        <f t="shared" si="116"/>
        <v>1023</v>
      </c>
      <c r="B1027" s="484">
        <v>33</v>
      </c>
      <c r="C1027" s="485">
        <v>40341</v>
      </c>
      <c r="D1027" s="763" t="str">
        <f t="shared" si="112"/>
        <v>June</v>
      </c>
      <c r="E1027" s="486">
        <v>12</v>
      </c>
      <c r="F1027" s="472">
        <v>2010</v>
      </c>
      <c r="G1027" s="484" t="s">
        <v>108</v>
      </c>
      <c r="H1027" s="472" t="s">
        <v>161</v>
      </c>
      <c r="I1027" s="486">
        <v>25</v>
      </c>
      <c r="J1027" s="486">
        <v>0.56000000000000005</v>
      </c>
      <c r="K1027" s="472">
        <f t="shared" si="120"/>
        <v>14</v>
      </c>
      <c r="L1027" s="473">
        <v>0.59305555555555556</v>
      </c>
      <c r="M1027" s="474">
        <f t="shared" si="119"/>
        <v>0.59305555555555556</v>
      </c>
      <c r="N1027" s="519">
        <v>0.59444444444444444</v>
      </c>
      <c r="P1027" s="29" t="str">
        <f t="shared" si="113"/>
        <v>2010EF0</v>
      </c>
      <c r="Q1027" s="29" t="str">
        <f t="shared" si="114"/>
        <v>EF014</v>
      </c>
      <c r="R1027" s="29" t="str">
        <f t="shared" si="115"/>
        <v>JuneEF0</v>
      </c>
    </row>
    <row r="1028" spans="1:18">
      <c r="A1028" s="483">
        <f t="shared" si="116"/>
        <v>1024</v>
      </c>
      <c r="B1028" s="484">
        <v>34</v>
      </c>
      <c r="C1028" s="485">
        <v>40342</v>
      </c>
      <c r="D1028" s="763" t="str">
        <f t="shared" si="112"/>
        <v>June</v>
      </c>
      <c r="E1028" s="486">
        <v>13</v>
      </c>
      <c r="F1028" s="472">
        <v>2010</v>
      </c>
      <c r="G1028" s="484" t="s">
        <v>101</v>
      </c>
      <c r="H1028" s="472" t="s">
        <v>161</v>
      </c>
      <c r="I1028" s="486">
        <v>25</v>
      </c>
      <c r="J1028" s="486">
        <v>5.1100000000000003</v>
      </c>
      <c r="K1028" s="472">
        <f t="shared" si="120"/>
        <v>14</v>
      </c>
      <c r="L1028" s="473">
        <v>0.61944444444444446</v>
      </c>
      <c r="M1028" s="474">
        <f t="shared" si="119"/>
        <v>0.61944444444444446</v>
      </c>
      <c r="N1028" s="519">
        <v>0.62361111111111112</v>
      </c>
      <c r="P1028" s="29" t="str">
        <f t="shared" si="113"/>
        <v>2010EF0</v>
      </c>
      <c r="Q1028" s="29" t="str">
        <f t="shared" si="114"/>
        <v>EF014</v>
      </c>
      <c r="R1028" s="29" t="str">
        <f t="shared" si="115"/>
        <v>JuneEF0</v>
      </c>
    </row>
    <row r="1029" spans="1:18">
      <c r="A1029" s="483">
        <f t="shared" si="116"/>
        <v>1025</v>
      </c>
      <c r="B1029" s="484">
        <v>35</v>
      </c>
      <c r="C1029" s="485">
        <v>40342</v>
      </c>
      <c r="D1029" s="763" t="str">
        <f t="shared" ref="D1029:D1092" si="121">+TEXT(C1029,"mmmm")</f>
        <v>June</v>
      </c>
      <c r="E1029" s="486">
        <v>13</v>
      </c>
      <c r="F1029" s="472">
        <v>2010</v>
      </c>
      <c r="G1029" s="484" t="s">
        <v>101</v>
      </c>
      <c r="H1029" s="472" t="s">
        <v>161</v>
      </c>
      <c r="I1029" s="486">
        <v>25</v>
      </c>
      <c r="J1029" s="486">
        <v>3.07</v>
      </c>
      <c r="K1029" s="472">
        <f t="shared" si="120"/>
        <v>15</v>
      </c>
      <c r="L1029" s="473">
        <v>0.63680555555555551</v>
      </c>
      <c r="M1029" s="474">
        <f t="shared" si="119"/>
        <v>0.63680555555555551</v>
      </c>
      <c r="N1029" s="519">
        <v>0.64027777777777783</v>
      </c>
      <c r="P1029" s="29" t="str">
        <f t="shared" si="113"/>
        <v>2010EF0</v>
      </c>
      <c r="Q1029" s="29" t="str">
        <f t="shared" si="114"/>
        <v>EF015</v>
      </c>
      <c r="R1029" s="29" t="str">
        <f t="shared" si="115"/>
        <v>JuneEF0</v>
      </c>
    </row>
    <row r="1030" spans="1:18">
      <c r="A1030" s="483">
        <f t="shared" si="116"/>
        <v>1026</v>
      </c>
      <c r="B1030" s="484">
        <v>36</v>
      </c>
      <c r="C1030" s="485">
        <v>40342</v>
      </c>
      <c r="D1030" s="763" t="str">
        <f t="shared" si="121"/>
        <v>June</v>
      </c>
      <c r="E1030" s="486">
        <v>13</v>
      </c>
      <c r="F1030" s="472">
        <v>2010</v>
      </c>
      <c r="G1030" s="484" t="s">
        <v>101</v>
      </c>
      <c r="H1030" s="472" t="s">
        <v>161</v>
      </c>
      <c r="I1030" s="486">
        <v>25</v>
      </c>
      <c r="J1030" s="486">
        <v>2.5099999999999998</v>
      </c>
      <c r="K1030" s="472">
        <f t="shared" si="120"/>
        <v>15</v>
      </c>
      <c r="L1030" s="473">
        <v>0.64027777777777783</v>
      </c>
      <c r="M1030" s="474">
        <f t="shared" si="119"/>
        <v>0.64027777777777783</v>
      </c>
      <c r="N1030" s="519">
        <v>0.64374999999999993</v>
      </c>
      <c r="P1030" s="29" t="str">
        <f t="shared" ref="P1030:P1090" si="122">CONCATENATE(F1030,H1030)</f>
        <v>2010EF0</v>
      </c>
      <c r="Q1030" s="29" t="str">
        <f>CONCATENATE(H1030,K1030)</f>
        <v>EF015</v>
      </c>
      <c r="R1030" s="29" t="str">
        <f t="shared" ref="R1030:R1090" si="123">CONCATENATE(D1030,H1030)</f>
        <v>JuneEF0</v>
      </c>
    </row>
    <row r="1031" spans="1:18">
      <c r="A1031" s="483">
        <f t="shared" ref="A1031:A1094" si="124">+A1030+1</f>
        <v>1027</v>
      </c>
      <c r="B1031" s="484">
        <v>37</v>
      </c>
      <c r="C1031" s="485">
        <v>40342</v>
      </c>
      <c r="D1031" s="763" t="str">
        <f t="shared" si="121"/>
        <v>June</v>
      </c>
      <c r="E1031" s="486">
        <v>13</v>
      </c>
      <c r="F1031" s="472">
        <v>2010</v>
      </c>
      <c r="G1031" s="484" t="s">
        <v>101</v>
      </c>
      <c r="H1031" s="472" t="s">
        <v>161</v>
      </c>
      <c r="I1031" s="486">
        <v>25</v>
      </c>
      <c r="J1031" s="486">
        <v>2.79</v>
      </c>
      <c r="K1031" s="472">
        <f t="shared" si="120"/>
        <v>15</v>
      </c>
      <c r="L1031" s="473">
        <v>0.65347222222222223</v>
      </c>
      <c r="M1031" s="474">
        <f t="shared" si="119"/>
        <v>0.65347222222222223</v>
      </c>
      <c r="N1031" s="519">
        <v>0.65694444444444444</v>
      </c>
      <c r="P1031" s="29" t="str">
        <f t="shared" si="122"/>
        <v>2010EF0</v>
      </c>
      <c r="Q1031" s="29" t="str">
        <f>CONCATENATE(H1031,K1031)</f>
        <v>EF015</v>
      </c>
      <c r="R1031" s="29" t="str">
        <f t="shared" si="123"/>
        <v>JuneEF0</v>
      </c>
    </row>
    <row r="1032" spans="1:18">
      <c r="A1032" s="483">
        <f t="shared" si="124"/>
        <v>1028</v>
      </c>
      <c r="B1032" s="484">
        <v>38</v>
      </c>
      <c r="C1032" s="485">
        <v>40342</v>
      </c>
      <c r="D1032" s="763" t="str">
        <f t="shared" si="121"/>
        <v>June</v>
      </c>
      <c r="E1032" s="486">
        <v>13</v>
      </c>
      <c r="F1032" s="472">
        <v>2010</v>
      </c>
      <c r="G1032" s="484" t="s">
        <v>106</v>
      </c>
      <c r="H1032" s="472" t="s">
        <v>161</v>
      </c>
      <c r="I1032" s="484">
        <v>25</v>
      </c>
      <c r="J1032" s="484">
        <v>0.32</v>
      </c>
      <c r="K1032" s="472">
        <f t="shared" si="120"/>
        <v>16</v>
      </c>
      <c r="L1032" s="473">
        <v>0.68333333333333324</v>
      </c>
      <c r="M1032" s="474">
        <f t="shared" si="119"/>
        <v>0.68333333333333324</v>
      </c>
      <c r="N1032" s="519">
        <v>0.68472222222222223</v>
      </c>
      <c r="P1032" s="29" t="str">
        <f t="shared" si="122"/>
        <v>2010EF0</v>
      </c>
      <c r="Q1032" s="29" t="str">
        <f>CONCATENATE(H1032,K1032)</f>
        <v>EF016</v>
      </c>
      <c r="R1032" s="29" t="str">
        <f t="shared" si="123"/>
        <v>JuneEF0</v>
      </c>
    </row>
    <row r="1033" spans="1:18">
      <c r="A1033" s="483">
        <f t="shared" si="124"/>
        <v>1029</v>
      </c>
      <c r="B1033" s="484">
        <v>1</v>
      </c>
      <c r="C1033" s="485">
        <v>40705</v>
      </c>
      <c r="D1033" s="763" t="str">
        <f t="shared" si="121"/>
        <v>June</v>
      </c>
      <c r="E1033" s="486">
        <v>11</v>
      </c>
      <c r="F1033" s="472">
        <v>2011</v>
      </c>
      <c r="G1033" s="484" t="s">
        <v>106</v>
      </c>
      <c r="H1033" s="472" t="s">
        <v>161</v>
      </c>
      <c r="I1033" s="484">
        <v>50</v>
      </c>
      <c r="J1033" s="484">
        <v>0.51</v>
      </c>
      <c r="K1033" s="472">
        <f t="shared" si="120"/>
        <v>17</v>
      </c>
      <c r="L1033" s="473">
        <v>0.74236111111111114</v>
      </c>
      <c r="M1033" s="474">
        <f t="shared" si="119"/>
        <v>0.74236111111111114</v>
      </c>
      <c r="N1033" s="519">
        <v>0.74375000000000002</v>
      </c>
      <c r="P1033" s="29" t="str">
        <f t="shared" si="122"/>
        <v>2011EF0</v>
      </c>
      <c r="Q1033" s="29" t="str">
        <f t="shared" ref="Q1033:Q1090" si="125">CONCATENATE(H1033,K1033)</f>
        <v>EF017</v>
      </c>
      <c r="R1033" s="29" t="str">
        <f t="shared" si="123"/>
        <v>JuneEF0</v>
      </c>
    </row>
    <row r="1034" spans="1:18">
      <c r="A1034" s="483">
        <f t="shared" si="124"/>
        <v>1030</v>
      </c>
      <c r="B1034" s="484">
        <v>2</v>
      </c>
      <c r="C1034" s="485">
        <v>40705</v>
      </c>
      <c r="D1034" s="763" t="str">
        <f t="shared" si="121"/>
        <v>June</v>
      </c>
      <c r="E1034" s="486">
        <v>11</v>
      </c>
      <c r="F1034" s="472">
        <v>2011</v>
      </c>
      <c r="G1034" s="484" t="s">
        <v>100</v>
      </c>
      <c r="H1034" s="472" t="s">
        <v>161</v>
      </c>
      <c r="I1034" s="484">
        <v>50</v>
      </c>
      <c r="J1034" s="484">
        <v>2.1</v>
      </c>
      <c r="K1034" s="472">
        <f t="shared" si="120"/>
        <v>18</v>
      </c>
      <c r="L1034" s="473">
        <v>0.75763888888888886</v>
      </c>
      <c r="M1034" s="474">
        <f t="shared" si="119"/>
        <v>0.75763888888888886</v>
      </c>
      <c r="N1034" s="519">
        <v>0.76736111111111116</v>
      </c>
      <c r="P1034" s="29" t="str">
        <f t="shared" si="122"/>
        <v>2011EF0</v>
      </c>
      <c r="Q1034" s="29" t="str">
        <f t="shared" si="125"/>
        <v>EF018</v>
      </c>
      <c r="R1034" s="29" t="str">
        <f t="shared" si="123"/>
        <v>JuneEF0</v>
      </c>
    </row>
    <row r="1035" spans="1:18">
      <c r="A1035" s="483">
        <f t="shared" si="124"/>
        <v>1031</v>
      </c>
      <c r="B1035" s="484">
        <v>3</v>
      </c>
      <c r="C1035" s="485">
        <v>40705</v>
      </c>
      <c r="D1035" s="763" t="str">
        <f t="shared" si="121"/>
        <v>June</v>
      </c>
      <c r="E1035" s="486">
        <v>11</v>
      </c>
      <c r="F1035" s="472">
        <v>2011</v>
      </c>
      <c r="G1035" s="484" t="s">
        <v>101</v>
      </c>
      <c r="H1035" s="472" t="s">
        <v>161</v>
      </c>
      <c r="I1035" s="484">
        <v>25</v>
      </c>
      <c r="J1035" s="484">
        <v>0.1</v>
      </c>
      <c r="K1035" s="472">
        <f t="shared" si="120"/>
        <v>18</v>
      </c>
      <c r="L1035" s="473">
        <v>0.78472222222222221</v>
      </c>
      <c r="M1035" s="474">
        <f t="shared" si="119"/>
        <v>0.78472222222222221</v>
      </c>
      <c r="N1035" s="519">
        <v>0.78611111111111109</v>
      </c>
      <c r="P1035" s="29" t="str">
        <f t="shared" si="122"/>
        <v>2011EF0</v>
      </c>
      <c r="Q1035" s="29" t="str">
        <f t="shared" si="125"/>
        <v>EF018</v>
      </c>
      <c r="R1035" s="29" t="str">
        <f t="shared" si="123"/>
        <v>JuneEF0</v>
      </c>
    </row>
    <row r="1036" spans="1:18">
      <c r="A1036" s="483">
        <f t="shared" si="124"/>
        <v>1032</v>
      </c>
      <c r="B1036" s="655">
        <v>4</v>
      </c>
      <c r="C1036" s="656">
        <v>40705</v>
      </c>
      <c r="D1036" s="763" t="str">
        <f t="shared" si="121"/>
        <v>June</v>
      </c>
      <c r="E1036" s="657">
        <v>11</v>
      </c>
      <c r="F1036" s="658">
        <v>2011</v>
      </c>
      <c r="G1036" s="655" t="s">
        <v>106</v>
      </c>
      <c r="H1036" s="658" t="s">
        <v>161</v>
      </c>
      <c r="I1036" s="655">
        <v>50</v>
      </c>
      <c r="J1036" s="655">
        <v>0.17</v>
      </c>
      <c r="K1036" s="658">
        <f t="shared" si="120"/>
        <v>18</v>
      </c>
      <c r="L1036" s="473">
        <v>0.78472222222222221</v>
      </c>
      <c r="M1036" s="474">
        <f t="shared" si="119"/>
        <v>0.78472222222222221</v>
      </c>
      <c r="N1036" s="519">
        <v>0.78611111111111109</v>
      </c>
      <c r="P1036" s="29" t="str">
        <f t="shared" si="122"/>
        <v>2011EF0</v>
      </c>
      <c r="Q1036" s="29" t="str">
        <f t="shared" si="125"/>
        <v>EF018</v>
      </c>
      <c r="R1036" s="29" t="str">
        <f t="shared" si="123"/>
        <v>JuneEF0</v>
      </c>
    </row>
    <row r="1037" spans="1:18">
      <c r="A1037" s="483">
        <f t="shared" si="124"/>
        <v>1033</v>
      </c>
      <c r="B1037" s="655">
        <v>1</v>
      </c>
      <c r="C1037" s="656">
        <v>40942</v>
      </c>
      <c r="D1037" s="763" t="str">
        <f t="shared" si="121"/>
        <v>February</v>
      </c>
      <c r="E1037" s="657">
        <v>3</v>
      </c>
      <c r="F1037" s="658">
        <v>2012</v>
      </c>
      <c r="G1037" s="655" t="s">
        <v>115</v>
      </c>
      <c r="H1037" s="658" t="s">
        <v>162</v>
      </c>
      <c r="I1037" s="655">
        <v>100</v>
      </c>
      <c r="J1037" s="655">
        <v>12.67</v>
      </c>
      <c r="K1037" s="658">
        <f t="shared" ref="K1037:K1100" si="126">HOUR(M1037)</f>
        <v>0</v>
      </c>
      <c r="L1037" s="659">
        <v>2.9166666666666664E-2</v>
      </c>
      <c r="M1037" s="474">
        <f t="shared" ref="M1037:M1098" si="127">+L1037</f>
        <v>2.9166666666666664E-2</v>
      </c>
      <c r="N1037" s="519">
        <v>4.3750000000000004E-2</v>
      </c>
      <c r="P1037" s="29" t="str">
        <f t="shared" si="122"/>
        <v>2012EF1</v>
      </c>
      <c r="Q1037" s="29" t="str">
        <f t="shared" si="125"/>
        <v>EF10</v>
      </c>
      <c r="R1037" s="29" t="str">
        <f t="shared" si="123"/>
        <v>FebruaryEF1</v>
      </c>
    </row>
    <row r="1038" spans="1:18">
      <c r="A1038" s="483">
        <f t="shared" si="124"/>
        <v>1034</v>
      </c>
      <c r="B1038" s="655">
        <v>2</v>
      </c>
      <c r="C1038" s="662">
        <v>41029</v>
      </c>
      <c r="D1038" s="763" t="str">
        <f t="shared" si="121"/>
        <v>April</v>
      </c>
      <c r="E1038" s="663">
        <v>30</v>
      </c>
      <c r="F1038" s="664">
        <v>2012</v>
      </c>
      <c r="G1038" s="661" t="s">
        <v>121</v>
      </c>
      <c r="H1038" s="664" t="s">
        <v>161</v>
      </c>
      <c r="I1038" s="661">
        <v>150</v>
      </c>
      <c r="J1038" s="661">
        <v>1.26</v>
      </c>
      <c r="K1038" s="658">
        <f t="shared" si="126"/>
        <v>19</v>
      </c>
      <c r="L1038" s="659">
        <v>0.8125</v>
      </c>
      <c r="M1038" s="474">
        <f t="shared" si="127"/>
        <v>0.8125</v>
      </c>
      <c r="N1038" s="519">
        <v>0.81458333333333333</v>
      </c>
      <c r="P1038" s="29" t="str">
        <f t="shared" si="122"/>
        <v>2012EF0</v>
      </c>
      <c r="Q1038" s="29" t="str">
        <f t="shared" si="125"/>
        <v>EF019</v>
      </c>
      <c r="R1038" s="29" t="str">
        <f t="shared" si="123"/>
        <v>AprilEF0</v>
      </c>
    </row>
    <row r="1039" spans="1:18">
      <c r="A1039" s="483">
        <f t="shared" si="124"/>
        <v>1035</v>
      </c>
      <c r="B1039" s="655">
        <v>3</v>
      </c>
      <c r="C1039" s="662">
        <v>41050</v>
      </c>
      <c r="D1039" s="763" t="str">
        <f t="shared" si="121"/>
        <v>May</v>
      </c>
      <c r="E1039" s="663">
        <v>21</v>
      </c>
      <c r="F1039" s="664">
        <v>2012</v>
      </c>
      <c r="G1039" s="661" t="s">
        <v>112</v>
      </c>
      <c r="H1039" s="664" t="s">
        <v>161</v>
      </c>
      <c r="I1039" s="661">
        <v>100</v>
      </c>
      <c r="J1039" s="661">
        <v>0.56999999999999995</v>
      </c>
      <c r="K1039" s="658">
        <f t="shared" si="126"/>
        <v>19</v>
      </c>
      <c r="L1039" s="659">
        <v>0.81736111111111109</v>
      </c>
      <c r="M1039" s="474">
        <f t="shared" si="127"/>
        <v>0.81736111111111109</v>
      </c>
      <c r="N1039" s="519">
        <v>0.81944444444444453</v>
      </c>
      <c r="P1039" s="29" t="str">
        <f t="shared" si="122"/>
        <v>2012EF0</v>
      </c>
      <c r="Q1039" s="29" t="str">
        <f t="shared" si="125"/>
        <v>EF019</v>
      </c>
      <c r="R1039" s="29" t="str">
        <f t="shared" si="123"/>
        <v>MayEF0</v>
      </c>
    </row>
    <row r="1040" spans="1:18">
      <c r="A1040" s="483">
        <f t="shared" si="124"/>
        <v>1036</v>
      </c>
      <c r="B1040" s="655">
        <v>4</v>
      </c>
      <c r="C1040" s="662">
        <v>41257</v>
      </c>
      <c r="D1040" s="763" t="str">
        <f t="shared" si="121"/>
        <v>December</v>
      </c>
      <c r="E1040" s="663">
        <v>14</v>
      </c>
      <c r="F1040" s="664">
        <v>2012</v>
      </c>
      <c r="G1040" s="661" t="s">
        <v>114</v>
      </c>
      <c r="H1040" s="664" t="s">
        <v>161</v>
      </c>
      <c r="I1040" s="661">
        <v>200</v>
      </c>
      <c r="J1040" s="661">
        <v>3</v>
      </c>
      <c r="K1040" s="658">
        <f t="shared" si="126"/>
        <v>16</v>
      </c>
      <c r="L1040" s="659">
        <v>0.67847222222222225</v>
      </c>
      <c r="M1040" s="474">
        <f t="shared" si="127"/>
        <v>0.67847222222222225</v>
      </c>
      <c r="N1040" s="519">
        <v>0.68194444444444446</v>
      </c>
      <c r="P1040" s="29" t="str">
        <f t="shared" si="122"/>
        <v>2012EF0</v>
      </c>
      <c r="Q1040" s="29" t="str">
        <f t="shared" si="125"/>
        <v>EF016</v>
      </c>
      <c r="R1040" s="29" t="str">
        <f t="shared" si="123"/>
        <v>DecemberEF0</v>
      </c>
    </row>
    <row r="1041" spans="1:18">
      <c r="A1041" s="483">
        <f t="shared" si="124"/>
        <v>1037</v>
      </c>
      <c r="B1041" s="661">
        <v>5</v>
      </c>
      <c r="C1041" s="662">
        <v>41257</v>
      </c>
      <c r="D1041" s="763" t="str">
        <f t="shared" si="121"/>
        <v>December</v>
      </c>
      <c r="E1041" s="663">
        <v>14</v>
      </c>
      <c r="F1041" s="664">
        <v>2012</v>
      </c>
      <c r="G1041" s="661" t="s">
        <v>120</v>
      </c>
      <c r="H1041" s="664" t="s">
        <v>161</v>
      </c>
      <c r="I1041" s="661">
        <v>50</v>
      </c>
      <c r="J1041" s="661">
        <v>0.75</v>
      </c>
      <c r="K1041" s="658">
        <f t="shared" si="126"/>
        <v>16</v>
      </c>
      <c r="L1041" s="659">
        <v>0.70347222222222217</v>
      </c>
      <c r="M1041" s="474">
        <f t="shared" si="127"/>
        <v>0.70347222222222217</v>
      </c>
      <c r="N1041" s="519">
        <v>0.70347222222222217</v>
      </c>
      <c r="P1041" s="29" t="str">
        <f t="shared" si="122"/>
        <v>2012EF0</v>
      </c>
      <c r="Q1041" s="29" t="str">
        <f t="shared" si="125"/>
        <v>EF016</v>
      </c>
      <c r="R1041" s="29" t="str">
        <f t="shared" si="123"/>
        <v>DecemberEF0</v>
      </c>
    </row>
    <row r="1042" spans="1:18">
      <c r="A1042" s="483">
        <f t="shared" si="124"/>
        <v>1038</v>
      </c>
      <c r="B1042" s="661">
        <v>6</v>
      </c>
      <c r="C1042" s="662">
        <v>41257</v>
      </c>
      <c r="D1042" s="763" t="str">
        <f t="shared" si="121"/>
        <v>December</v>
      </c>
      <c r="E1042" s="663">
        <v>14</v>
      </c>
      <c r="F1042" s="664">
        <v>2012</v>
      </c>
      <c r="G1042" s="661" t="s">
        <v>120</v>
      </c>
      <c r="H1042" s="664" t="s">
        <v>161</v>
      </c>
      <c r="I1042" s="661">
        <v>50</v>
      </c>
      <c r="J1042" s="661">
        <v>0.3</v>
      </c>
      <c r="K1042" s="658">
        <f t="shared" si="126"/>
        <v>16</v>
      </c>
      <c r="L1042" s="659">
        <v>0.70694444444444438</v>
      </c>
      <c r="M1042" s="474">
        <f t="shared" si="127"/>
        <v>0.70694444444444438</v>
      </c>
      <c r="N1042" s="519">
        <v>0.70763888888888893</v>
      </c>
      <c r="P1042" s="29" t="str">
        <f t="shared" si="122"/>
        <v>2012EF0</v>
      </c>
      <c r="Q1042" s="29" t="str">
        <f t="shared" si="125"/>
        <v>EF016</v>
      </c>
      <c r="R1042" s="29" t="str">
        <f t="shared" si="123"/>
        <v>DecemberEF0</v>
      </c>
    </row>
    <row r="1043" spans="1:18">
      <c r="A1043" s="483">
        <f t="shared" si="124"/>
        <v>1039</v>
      </c>
      <c r="B1043" s="563">
        <v>1</v>
      </c>
      <c r="C1043" s="694">
        <v>41422</v>
      </c>
      <c r="D1043" s="763" t="str">
        <f t="shared" si="121"/>
        <v>May</v>
      </c>
      <c r="E1043" s="695">
        <v>28</v>
      </c>
      <c r="F1043" s="503">
        <v>2013</v>
      </c>
      <c r="G1043" s="563" t="s">
        <v>101</v>
      </c>
      <c r="H1043" s="503" t="s">
        <v>161</v>
      </c>
      <c r="I1043" s="563">
        <v>25</v>
      </c>
      <c r="J1043" s="563">
        <v>0.82</v>
      </c>
      <c r="K1043" s="472">
        <f t="shared" si="126"/>
        <v>14</v>
      </c>
      <c r="L1043" s="473">
        <v>0.58888888888888891</v>
      </c>
      <c r="M1043" s="474">
        <f t="shared" si="127"/>
        <v>0.58888888888888891</v>
      </c>
      <c r="N1043" s="519">
        <v>0.59097222222222223</v>
      </c>
      <c r="P1043" s="29" t="str">
        <f t="shared" si="122"/>
        <v>2013EF0</v>
      </c>
      <c r="Q1043" s="29" t="str">
        <f t="shared" si="125"/>
        <v>EF014</v>
      </c>
      <c r="R1043" s="29" t="str">
        <f t="shared" si="123"/>
        <v>MayEF0</v>
      </c>
    </row>
    <row r="1044" spans="1:18">
      <c r="A1044" s="483">
        <f t="shared" si="124"/>
        <v>1040</v>
      </c>
      <c r="B1044" s="563">
        <v>2</v>
      </c>
      <c r="C1044" s="694">
        <v>41422</v>
      </c>
      <c r="D1044" s="763" t="str">
        <f t="shared" si="121"/>
        <v>May</v>
      </c>
      <c r="E1044" s="695">
        <v>28</v>
      </c>
      <c r="F1044" s="503">
        <v>2013</v>
      </c>
      <c r="G1044" s="563" t="s">
        <v>101</v>
      </c>
      <c r="H1044" s="503" t="s">
        <v>161</v>
      </c>
      <c r="I1044" s="563">
        <v>25</v>
      </c>
      <c r="J1044" s="563">
        <v>1.77</v>
      </c>
      <c r="K1044" s="472">
        <f t="shared" si="126"/>
        <v>14</v>
      </c>
      <c r="L1044" s="473">
        <v>0.60347222222222219</v>
      </c>
      <c r="M1044" s="474">
        <f t="shared" si="127"/>
        <v>0.60347222222222219</v>
      </c>
      <c r="N1044" s="519">
        <v>0.61111111111111105</v>
      </c>
      <c r="P1044" s="29" t="str">
        <f t="shared" si="122"/>
        <v>2013EF0</v>
      </c>
      <c r="Q1044" s="29" t="str">
        <f t="shared" si="125"/>
        <v>EF014</v>
      </c>
      <c r="R1044" s="29" t="str">
        <f t="shared" si="123"/>
        <v>MayEF0</v>
      </c>
    </row>
    <row r="1045" spans="1:18">
      <c r="A1045" s="483">
        <f t="shared" si="124"/>
        <v>1041</v>
      </c>
      <c r="B1045" s="563">
        <v>3</v>
      </c>
      <c r="C1045" s="694">
        <v>41422</v>
      </c>
      <c r="D1045" s="763" t="str">
        <f t="shared" si="121"/>
        <v>May</v>
      </c>
      <c r="E1045" s="695">
        <v>28</v>
      </c>
      <c r="F1045" s="503">
        <v>2013</v>
      </c>
      <c r="G1045" s="563" t="s">
        <v>117</v>
      </c>
      <c r="H1045" s="503" t="s">
        <v>161</v>
      </c>
      <c r="I1045" s="563">
        <v>75</v>
      </c>
      <c r="J1045" s="563">
        <v>2.14</v>
      </c>
      <c r="K1045" s="472">
        <f t="shared" si="126"/>
        <v>17</v>
      </c>
      <c r="L1045" s="473">
        <v>0.73958333333333337</v>
      </c>
      <c r="M1045" s="474">
        <f t="shared" si="127"/>
        <v>0.73958333333333337</v>
      </c>
      <c r="N1045" s="519">
        <v>0.74305555555555547</v>
      </c>
      <c r="P1045" s="29" t="str">
        <f t="shared" si="122"/>
        <v>2013EF0</v>
      </c>
      <c r="Q1045" s="29" t="str">
        <f t="shared" si="125"/>
        <v>EF017</v>
      </c>
      <c r="R1045" s="29" t="str">
        <f t="shared" si="123"/>
        <v>MayEF0</v>
      </c>
    </row>
    <row r="1046" spans="1:18">
      <c r="A1046" s="483">
        <f t="shared" si="124"/>
        <v>1042</v>
      </c>
      <c r="B1046" s="563">
        <v>4</v>
      </c>
      <c r="C1046" s="694">
        <v>41422</v>
      </c>
      <c r="D1046" s="763" t="str">
        <f t="shared" si="121"/>
        <v>May</v>
      </c>
      <c r="E1046" s="695">
        <v>28</v>
      </c>
      <c r="F1046" s="503">
        <v>2013</v>
      </c>
      <c r="G1046" s="563" t="s">
        <v>117</v>
      </c>
      <c r="H1046" s="503" t="s">
        <v>161</v>
      </c>
      <c r="I1046" s="563">
        <v>150</v>
      </c>
      <c r="J1046" s="563">
        <v>2.06</v>
      </c>
      <c r="K1046" s="472">
        <f t="shared" si="126"/>
        <v>20</v>
      </c>
      <c r="L1046" s="473">
        <v>0.83750000000000002</v>
      </c>
      <c r="M1046" s="474">
        <f t="shared" si="127"/>
        <v>0.83750000000000002</v>
      </c>
      <c r="N1046" s="519">
        <v>0.84097222222222223</v>
      </c>
      <c r="P1046" s="29" t="str">
        <f t="shared" si="122"/>
        <v>2013EF0</v>
      </c>
      <c r="Q1046" s="29" t="str">
        <f t="shared" si="125"/>
        <v>EF020</v>
      </c>
      <c r="R1046" s="29" t="str">
        <f t="shared" si="123"/>
        <v>MayEF0</v>
      </c>
    </row>
    <row r="1047" spans="1:18">
      <c r="A1047" s="483">
        <f t="shared" si="124"/>
        <v>1043</v>
      </c>
      <c r="B1047" s="563">
        <v>5</v>
      </c>
      <c r="C1047" s="694">
        <v>41493</v>
      </c>
      <c r="D1047" s="763" t="str">
        <f t="shared" si="121"/>
        <v>August</v>
      </c>
      <c r="E1047" s="695">
        <v>7</v>
      </c>
      <c r="F1047" s="503">
        <v>2013</v>
      </c>
      <c r="G1047" s="563" t="s">
        <v>101</v>
      </c>
      <c r="H1047" s="503" t="s">
        <v>161</v>
      </c>
      <c r="I1047" s="563">
        <v>25</v>
      </c>
      <c r="J1047" s="563">
        <v>0.11</v>
      </c>
      <c r="K1047" s="472">
        <f t="shared" si="126"/>
        <v>18</v>
      </c>
      <c r="L1047" s="473">
        <v>0.77500000000000002</v>
      </c>
      <c r="M1047" s="474">
        <f t="shared" si="127"/>
        <v>0.77500000000000002</v>
      </c>
      <c r="N1047" s="519">
        <v>0.77916666666666667</v>
      </c>
      <c r="P1047" s="29" t="str">
        <f t="shared" si="122"/>
        <v>2013EF0</v>
      </c>
      <c r="Q1047" s="29" t="str">
        <f t="shared" si="125"/>
        <v>EF018</v>
      </c>
      <c r="R1047" s="29" t="str">
        <f t="shared" si="123"/>
        <v>AugustEF0</v>
      </c>
    </row>
    <row r="1048" spans="1:18">
      <c r="A1048" s="483">
        <f t="shared" si="124"/>
        <v>1044</v>
      </c>
      <c r="B1048" s="563">
        <v>6</v>
      </c>
      <c r="C1048" s="694">
        <v>41500</v>
      </c>
      <c r="D1048" s="763" t="str">
        <f t="shared" si="121"/>
        <v>August</v>
      </c>
      <c r="E1048" s="695">
        <v>14</v>
      </c>
      <c r="F1048" s="503">
        <v>2013</v>
      </c>
      <c r="G1048" s="563" t="s">
        <v>103</v>
      </c>
      <c r="H1048" s="503" t="s">
        <v>161</v>
      </c>
      <c r="I1048" s="563">
        <v>50</v>
      </c>
      <c r="J1048" s="563">
        <v>1</v>
      </c>
      <c r="K1048" s="472">
        <f t="shared" si="126"/>
        <v>16</v>
      </c>
      <c r="L1048" s="473">
        <v>0.69791666666666663</v>
      </c>
      <c r="M1048" s="474">
        <f t="shared" si="127"/>
        <v>0.69791666666666663</v>
      </c>
      <c r="N1048" s="519">
        <v>0.70000000000000007</v>
      </c>
      <c r="P1048" s="29" t="str">
        <f t="shared" si="122"/>
        <v>2013EF0</v>
      </c>
      <c r="Q1048" s="29" t="str">
        <f t="shared" si="125"/>
        <v>EF016</v>
      </c>
      <c r="R1048" s="29" t="str">
        <f t="shared" si="123"/>
        <v>AugustEF0</v>
      </c>
    </row>
    <row r="1049" spans="1:18">
      <c r="A1049" s="483">
        <f t="shared" si="124"/>
        <v>1045</v>
      </c>
      <c r="B1049" s="563">
        <v>7</v>
      </c>
      <c r="C1049" s="694">
        <v>41500</v>
      </c>
      <c r="D1049" s="763" t="str">
        <f t="shared" si="121"/>
        <v>August</v>
      </c>
      <c r="E1049" s="695">
        <v>14</v>
      </c>
      <c r="F1049" s="503">
        <v>2013</v>
      </c>
      <c r="G1049" s="563" t="s">
        <v>109</v>
      </c>
      <c r="H1049" s="503" t="s">
        <v>161</v>
      </c>
      <c r="I1049" s="563">
        <v>40</v>
      </c>
      <c r="J1049" s="563">
        <v>0.11</v>
      </c>
      <c r="K1049" s="472">
        <f t="shared" si="126"/>
        <v>17</v>
      </c>
      <c r="L1049" s="473">
        <v>0.73611111111111116</v>
      </c>
      <c r="M1049" s="474">
        <f t="shared" si="127"/>
        <v>0.73611111111111116</v>
      </c>
      <c r="N1049" s="519">
        <v>0.7368055555555556</v>
      </c>
      <c r="P1049" s="29" t="str">
        <f t="shared" si="122"/>
        <v>2013EF0</v>
      </c>
      <c r="Q1049" s="29" t="str">
        <f t="shared" si="125"/>
        <v>EF017</v>
      </c>
      <c r="R1049" s="29" t="str">
        <f t="shared" si="123"/>
        <v>AugustEF0</v>
      </c>
    </row>
    <row r="1050" spans="1:18">
      <c r="A1050" s="483">
        <f t="shared" si="124"/>
        <v>1046</v>
      </c>
      <c r="B1050" s="563">
        <v>1</v>
      </c>
      <c r="C1050" s="694">
        <v>41796</v>
      </c>
      <c r="D1050" s="763" t="str">
        <f t="shared" si="121"/>
        <v>June</v>
      </c>
      <c r="E1050" s="695">
        <v>6</v>
      </c>
      <c r="F1050" s="503">
        <v>2014</v>
      </c>
      <c r="G1050" s="563" t="s">
        <v>107</v>
      </c>
      <c r="H1050" s="503" t="s">
        <v>161</v>
      </c>
      <c r="I1050" s="563">
        <v>25</v>
      </c>
      <c r="J1050" s="563">
        <v>2.46</v>
      </c>
      <c r="K1050" s="472">
        <f t="shared" si="126"/>
        <v>18</v>
      </c>
      <c r="L1050" s="473">
        <v>0.76041666666666663</v>
      </c>
      <c r="M1050" s="474">
        <f t="shared" si="127"/>
        <v>0.76041666666666663</v>
      </c>
      <c r="N1050" s="519">
        <v>0.76388888888888884</v>
      </c>
      <c r="P1050" s="29" t="str">
        <f t="shared" si="122"/>
        <v>2014EF0</v>
      </c>
      <c r="Q1050" s="29" t="str">
        <f t="shared" si="125"/>
        <v>EF018</v>
      </c>
      <c r="R1050" s="29" t="str">
        <f t="shared" si="123"/>
        <v>JuneEF0</v>
      </c>
    </row>
    <row r="1051" spans="1:18">
      <c r="A1051" s="483">
        <f t="shared" si="124"/>
        <v>1047</v>
      </c>
      <c r="B1051" s="563">
        <v>2</v>
      </c>
      <c r="C1051" s="694">
        <v>41796</v>
      </c>
      <c r="D1051" s="763" t="str">
        <f t="shared" si="121"/>
        <v>June</v>
      </c>
      <c r="E1051" s="695">
        <v>6</v>
      </c>
      <c r="F1051" s="503">
        <v>2014</v>
      </c>
      <c r="G1051" s="563" t="s">
        <v>105</v>
      </c>
      <c r="H1051" s="503" t="s">
        <v>161</v>
      </c>
      <c r="I1051" s="563">
        <v>70</v>
      </c>
      <c r="J1051" s="563">
        <v>1.65</v>
      </c>
      <c r="K1051" s="472">
        <f t="shared" si="126"/>
        <v>18</v>
      </c>
      <c r="L1051" s="473">
        <v>0.78611111111111109</v>
      </c>
      <c r="M1051" s="474">
        <f t="shared" si="127"/>
        <v>0.78611111111111109</v>
      </c>
      <c r="N1051" s="519">
        <v>0.79166666666666663</v>
      </c>
      <c r="P1051" s="29" t="str">
        <f t="shared" si="122"/>
        <v>2014EF0</v>
      </c>
      <c r="Q1051" s="29" t="str">
        <f t="shared" si="125"/>
        <v>EF018</v>
      </c>
      <c r="R1051" s="29" t="str">
        <f t="shared" si="123"/>
        <v>JuneEF0</v>
      </c>
    </row>
    <row r="1052" spans="1:18">
      <c r="A1052" s="483">
        <f t="shared" si="124"/>
        <v>1048</v>
      </c>
      <c r="B1052" s="563">
        <v>3</v>
      </c>
      <c r="C1052" s="694">
        <v>41812</v>
      </c>
      <c r="D1052" s="763" t="str">
        <f t="shared" si="121"/>
        <v>June</v>
      </c>
      <c r="E1052" s="695">
        <v>22</v>
      </c>
      <c r="F1052" s="503">
        <v>2014</v>
      </c>
      <c r="G1052" s="563" t="s">
        <v>101</v>
      </c>
      <c r="H1052" s="503" t="s">
        <v>161</v>
      </c>
      <c r="I1052" s="563">
        <v>100</v>
      </c>
      <c r="J1052" s="563">
        <v>2.0099999999999998</v>
      </c>
      <c r="K1052" s="472">
        <f t="shared" si="126"/>
        <v>16</v>
      </c>
      <c r="L1052" s="473">
        <v>0.6958333333333333</v>
      </c>
      <c r="M1052" s="474">
        <f t="shared" si="127"/>
        <v>0.6958333333333333</v>
      </c>
      <c r="N1052" s="519">
        <v>0.70138888888888884</v>
      </c>
      <c r="P1052" s="29" t="str">
        <f t="shared" si="122"/>
        <v>2014EF0</v>
      </c>
      <c r="Q1052" s="29" t="str">
        <f t="shared" si="125"/>
        <v>EF016</v>
      </c>
      <c r="R1052" s="29" t="str">
        <f t="shared" si="123"/>
        <v>JuneEF0</v>
      </c>
    </row>
    <row r="1053" spans="1:18">
      <c r="A1053" s="483">
        <f t="shared" si="124"/>
        <v>1049</v>
      </c>
      <c r="B1053" s="563">
        <v>4</v>
      </c>
      <c r="C1053" s="694">
        <v>41812</v>
      </c>
      <c r="D1053" s="763" t="str">
        <f t="shared" si="121"/>
        <v>June</v>
      </c>
      <c r="E1053" s="695">
        <v>22</v>
      </c>
      <c r="F1053" s="503">
        <v>2014</v>
      </c>
      <c r="G1053" s="563" t="s">
        <v>101</v>
      </c>
      <c r="H1053" s="503" t="s">
        <v>162</v>
      </c>
      <c r="I1053" s="563">
        <v>150</v>
      </c>
      <c r="J1053" s="563">
        <v>3.77</v>
      </c>
      <c r="K1053" s="472">
        <f t="shared" si="126"/>
        <v>17</v>
      </c>
      <c r="L1053" s="473">
        <v>0.7104166666666667</v>
      </c>
      <c r="M1053" s="474">
        <v>0.7104166666666667</v>
      </c>
      <c r="N1053" s="519">
        <v>0.71736111111111101</v>
      </c>
      <c r="P1053" s="29" t="str">
        <f t="shared" si="122"/>
        <v>2014EF1</v>
      </c>
      <c r="Q1053" s="29" t="str">
        <f t="shared" si="125"/>
        <v>EF117</v>
      </c>
      <c r="R1053" s="29" t="str">
        <f t="shared" si="123"/>
        <v>JuneEF1</v>
      </c>
    </row>
    <row r="1054" spans="1:18">
      <c r="A1054" s="483">
        <f t="shared" si="124"/>
        <v>1050</v>
      </c>
      <c r="B1054" s="563">
        <v>5</v>
      </c>
      <c r="C1054" s="694">
        <v>41812</v>
      </c>
      <c r="D1054" s="763" t="str">
        <f t="shared" si="121"/>
        <v>June</v>
      </c>
      <c r="E1054" s="695">
        <v>22</v>
      </c>
      <c r="F1054" s="503">
        <v>2014</v>
      </c>
      <c r="G1054" s="563" t="s">
        <v>101</v>
      </c>
      <c r="H1054" s="503" t="s">
        <v>161</v>
      </c>
      <c r="I1054" s="563">
        <v>50</v>
      </c>
      <c r="J1054" s="563">
        <v>0.44</v>
      </c>
      <c r="K1054" s="472">
        <f t="shared" si="126"/>
        <v>17</v>
      </c>
      <c r="L1054" s="473">
        <v>0.72986111111111107</v>
      </c>
      <c r="M1054" s="474">
        <f t="shared" si="127"/>
        <v>0.72986111111111107</v>
      </c>
      <c r="N1054" s="519">
        <v>0.73055555555555562</v>
      </c>
      <c r="P1054" s="29" t="str">
        <f t="shared" si="122"/>
        <v>2014EF0</v>
      </c>
      <c r="Q1054" s="29" t="str">
        <f t="shared" si="125"/>
        <v>EF017</v>
      </c>
      <c r="R1054" s="29" t="str">
        <f t="shared" si="123"/>
        <v>JuneEF0</v>
      </c>
    </row>
    <row r="1055" spans="1:18">
      <c r="A1055" s="483">
        <f t="shared" si="124"/>
        <v>1051</v>
      </c>
      <c r="B1055" s="563">
        <v>6</v>
      </c>
      <c r="C1055" s="694">
        <v>41812</v>
      </c>
      <c r="D1055" s="763" t="str">
        <f t="shared" si="121"/>
        <v>June</v>
      </c>
      <c r="E1055" s="695">
        <v>22</v>
      </c>
      <c r="F1055" s="503">
        <v>2014</v>
      </c>
      <c r="G1055" s="563" t="s">
        <v>106</v>
      </c>
      <c r="H1055" s="503" t="s">
        <v>161</v>
      </c>
      <c r="I1055" s="563">
        <v>50</v>
      </c>
      <c r="J1055" s="563">
        <v>2</v>
      </c>
      <c r="K1055" s="472">
        <f t="shared" si="126"/>
        <v>17</v>
      </c>
      <c r="L1055" s="473">
        <v>0.74791666666666667</v>
      </c>
      <c r="M1055" s="474">
        <f t="shared" si="127"/>
        <v>0.74791666666666667</v>
      </c>
      <c r="N1055" s="519">
        <v>0.75208333333333333</v>
      </c>
      <c r="P1055" s="29" t="str">
        <f t="shared" si="122"/>
        <v>2014EF0</v>
      </c>
      <c r="Q1055" s="29" t="str">
        <f t="shared" si="125"/>
        <v>EF017</v>
      </c>
      <c r="R1055" s="29" t="str">
        <f t="shared" si="123"/>
        <v>JuneEF0</v>
      </c>
    </row>
    <row r="1056" spans="1:18">
      <c r="A1056" s="483">
        <f t="shared" si="124"/>
        <v>1052</v>
      </c>
      <c r="B1056" s="563">
        <v>7</v>
      </c>
      <c r="C1056" s="694">
        <v>41812</v>
      </c>
      <c r="D1056" s="763" t="str">
        <f t="shared" si="121"/>
        <v>June</v>
      </c>
      <c r="E1056" s="695">
        <v>22</v>
      </c>
      <c r="F1056" s="503">
        <v>2014</v>
      </c>
      <c r="G1056" s="563" t="s">
        <v>106</v>
      </c>
      <c r="H1056" s="503" t="s">
        <v>161</v>
      </c>
      <c r="I1056" s="563">
        <v>75</v>
      </c>
      <c r="J1056" s="563">
        <v>1</v>
      </c>
      <c r="K1056" s="472">
        <f t="shared" si="126"/>
        <v>18</v>
      </c>
      <c r="L1056" s="473">
        <v>0.76527777777777783</v>
      </c>
      <c r="M1056" s="474">
        <f t="shared" si="127"/>
        <v>0.76527777777777783</v>
      </c>
      <c r="N1056" s="519">
        <v>0.76597222222222217</v>
      </c>
      <c r="P1056" s="29" t="str">
        <f t="shared" si="122"/>
        <v>2014EF0</v>
      </c>
      <c r="Q1056" s="29" t="str">
        <f t="shared" si="125"/>
        <v>EF018</v>
      </c>
      <c r="R1056" s="29" t="str">
        <f t="shared" si="123"/>
        <v>JuneEF0</v>
      </c>
    </row>
    <row r="1057" spans="1:18">
      <c r="A1057" s="483">
        <f t="shared" si="124"/>
        <v>1053</v>
      </c>
      <c r="B1057" s="563">
        <v>8</v>
      </c>
      <c r="C1057" s="694">
        <v>41812</v>
      </c>
      <c r="D1057" s="763" t="str">
        <f t="shared" si="121"/>
        <v>June</v>
      </c>
      <c r="E1057" s="695">
        <v>22</v>
      </c>
      <c r="F1057" s="503">
        <v>2014</v>
      </c>
      <c r="G1057" s="563" t="s">
        <v>111</v>
      </c>
      <c r="H1057" s="503" t="s">
        <v>162</v>
      </c>
      <c r="I1057" s="563">
        <v>100</v>
      </c>
      <c r="J1057" s="563">
        <v>1.86</v>
      </c>
      <c r="K1057" s="472">
        <f t="shared" si="126"/>
        <v>20</v>
      </c>
      <c r="L1057" s="473">
        <v>0.86805555555555547</v>
      </c>
      <c r="M1057" s="474">
        <f t="shared" si="127"/>
        <v>0.86805555555555547</v>
      </c>
      <c r="N1057" s="519">
        <v>0.87152777777777779</v>
      </c>
      <c r="P1057" s="29" t="str">
        <f t="shared" si="122"/>
        <v>2014EF1</v>
      </c>
      <c r="Q1057" s="29" t="str">
        <f t="shared" si="125"/>
        <v>EF120</v>
      </c>
      <c r="R1057" s="29" t="str">
        <f t="shared" si="123"/>
        <v>JuneEF1</v>
      </c>
    </row>
    <row r="1058" spans="1:18">
      <c r="A1058" s="483">
        <f t="shared" si="124"/>
        <v>1054</v>
      </c>
      <c r="B1058" s="563">
        <v>9</v>
      </c>
      <c r="C1058" s="694">
        <v>41836</v>
      </c>
      <c r="D1058" s="763" t="str">
        <f t="shared" si="121"/>
        <v>July</v>
      </c>
      <c r="E1058" s="695">
        <v>16</v>
      </c>
      <c r="F1058" s="503">
        <v>2014</v>
      </c>
      <c r="G1058" s="563" t="s">
        <v>103</v>
      </c>
      <c r="H1058" s="503" t="s">
        <v>161</v>
      </c>
      <c r="I1058" s="563">
        <v>50</v>
      </c>
      <c r="J1058" s="563">
        <v>0.01</v>
      </c>
      <c r="K1058" s="472">
        <f t="shared" si="126"/>
        <v>18</v>
      </c>
      <c r="L1058" s="473">
        <v>0.75555555555555554</v>
      </c>
      <c r="M1058" s="474">
        <f t="shared" si="127"/>
        <v>0.75555555555555554</v>
      </c>
      <c r="N1058" s="519">
        <v>0.75624999999999998</v>
      </c>
      <c r="P1058" s="29" t="str">
        <f t="shared" si="122"/>
        <v>2014EF0</v>
      </c>
      <c r="Q1058" s="29" t="str">
        <f t="shared" si="125"/>
        <v>EF018</v>
      </c>
      <c r="R1058" s="29" t="str">
        <f t="shared" si="123"/>
        <v>JulyEF0</v>
      </c>
    </row>
    <row r="1059" spans="1:18">
      <c r="A1059" s="483">
        <f t="shared" si="124"/>
        <v>1055</v>
      </c>
      <c r="B1059" s="563">
        <v>10</v>
      </c>
      <c r="C1059" s="694">
        <v>41836</v>
      </c>
      <c r="D1059" s="763" t="str">
        <f t="shared" si="121"/>
        <v>July</v>
      </c>
      <c r="E1059" s="695">
        <v>16</v>
      </c>
      <c r="F1059" s="503">
        <v>2014</v>
      </c>
      <c r="G1059" s="563" t="s">
        <v>103</v>
      </c>
      <c r="H1059" s="503" t="s">
        <v>161</v>
      </c>
      <c r="I1059" s="563">
        <v>100</v>
      </c>
      <c r="J1059" s="563">
        <v>1.34</v>
      </c>
      <c r="K1059" s="472">
        <f t="shared" si="126"/>
        <v>18</v>
      </c>
      <c r="L1059" s="473">
        <v>0.7680555555555556</v>
      </c>
      <c r="M1059" s="474">
        <f t="shared" si="127"/>
        <v>0.7680555555555556</v>
      </c>
      <c r="N1059" s="519">
        <v>0.7729166666666667</v>
      </c>
      <c r="P1059" s="29" t="str">
        <f t="shared" si="122"/>
        <v>2014EF0</v>
      </c>
      <c r="Q1059" s="29" t="str">
        <f t="shared" si="125"/>
        <v>EF018</v>
      </c>
      <c r="R1059" s="29" t="str">
        <f t="shared" si="123"/>
        <v>JulyEF0</v>
      </c>
    </row>
    <row r="1060" spans="1:18">
      <c r="A1060" s="483">
        <f t="shared" si="124"/>
        <v>1056</v>
      </c>
      <c r="B1060" s="563">
        <v>11</v>
      </c>
      <c r="C1060" s="694">
        <v>41836</v>
      </c>
      <c r="D1060" s="763" t="str">
        <f t="shared" si="121"/>
        <v>July</v>
      </c>
      <c r="E1060" s="695">
        <v>16</v>
      </c>
      <c r="F1060" s="503">
        <v>2014</v>
      </c>
      <c r="G1060" s="563" t="s">
        <v>108</v>
      </c>
      <c r="H1060" s="503" t="s">
        <v>161</v>
      </c>
      <c r="I1060" s="563">
        <v>100</v>
      </c>
      <c r="J1060" s="563">
        <v>3.07</v>
      </c>
      <c r="K1060" s="472">
        <f t="shared" si="126"/>
        <v>19</v>
      </c>
      <c r="L1060" s="473">
        <v>0.80763888888888891</v>
      </c>
      <c r="M1060" s="474">
        <f t="shared" si="127"/>
        <v>0.80763888888888891</v>
      </c>
      <c r="N1060" s="519">
        <v>0.8125</v>
      </c>
      <c r="P1060" s="29" t="str">
        <f t="shared" si="122"/>
        <v>2014EF0</v>
      </c>
      <c r="Q1060" s="29" t="str">
        <f t="shared" si="125"/>
        <v>EF019</v>
      </c>
      <c r="R1060" s="29" t="str">
        <f t="shared" si="123"/>
        <v>JulyEF0</v>
      </c>
    </row>
    <row r="1061" spans="1:18">
      <c r="A1061" s="483">
        <f t="shared" si="124"/>
        <v>1057</v>
      </c>
      <c r="B1061" s="563">
        <v>12</v>
      </c>
      <c r="C1061" s="694">
        <v>41921</v>
      </c>
      <c r="D1061" s="763" t="str">
        <f t="shared" si="121"/>
        <v>October</v>
      </c>
      <c r="E1061" s="695">
        <v>9</v>
      </c>
      <c r="F1061" s="503">
        <v>2014</v>
      </c>
      <c r="G1061" s="563" t="s">
        <v>115</v>
      </c>
      <c r="H1061" s="503" t="s">
        <v>162</v>
      </c>
      <c r="I1061" s="563">
        <v>125</v>
      </c>
      <c r="J1061" s="563">
        <v>7.03</v>
      </c>
      <c r="K1061" s="472">
        <f t="shared" si="126"/>
        <v>20</v>
      </c>
      <c r="L1061" s="473">
        <v>0.84027777777777779</v>
      </c>
      <c r="M1061" s="474">
        <f t="shared" si="127"/>
        <v>0.84027777777777779</v>
      </c>
      <c r="N1061" s="519">
        <v>0.84861111111111109</v>
      </c>
      <c r="P1061" s="29" t="str">
        <f t="shared" si="122"/>
        <v>2014EF1</v>
      </c>
      <c r="Q1061" s="29" t="str">
        <f t="shared" si="125"/>
        <v>EF120</v>
      </c>
      <c r="R1061" s="29" t="str">
        <f t="shared" si="123"/>
        <v>OctoberEF1</v>
      </c>
    </row>
    <row r="1062" spans="1:18">
      <c r="A1062" s="483">
        <f t="shared" si="124"/>
        <v>1058</v>
      </c>
      <c r="B1062" s="563">
        <v>1</v>
      </c>
      <c r="C1062" s="694">
        <v>42105</v>
      </c>
      <c r="D1062" s="763" t="str">
        <f t="shared" si="121"/>
        <v>April</v>
      </c>
      <c r="E1062" s="695">
        <v>11</v>
      </c>
      <c r="F1062" s="503">
        <v>2015</v>
      </c>
      <c r="G1062" s="707" t="s">
        <v>113</v>
      </c>
      <c r="H1062" s="736" t="s">
        <v>161</v>
      </c>
      <c r="I1062" s="563">
        <v>30</v>
      </c>
      <c r="J1062" s="563">
        <v>2.84</v>
      </c>
      <c r="K1062" s="472">
        <f t="shared" si="126"/>
        <v>17</v>
      </c>
      <c r="L1062" s="504">
        <v>0.73333333333333339</v>
      </c>
      <c r="M1062" s="474">
        <f t="shared" si="127"/>
        <v>0.73333333333333339</v>
      </c>
      <c r="N1062" s="519">
        <v>0.73749999999999993</v>
      </c>
      <c r="P1062" s="29" t="str">
        <f t="shared" si="122"/>
        <v>2015EF0</v>
      </c>
      <c r="Q1062" s="29" t="str">
        <f t="shared" si="125"/>
        <v>EF017</v>
      </c>
      <c r="R1062" s="29" t="str">
        <f t="shared" si="123"/>
        <v>AprilEF0</v>
      </c>
    </row>
    <row r="1063" spans="1:18">
      <c r="A1063" s="483">
        <f t="shared" si="124"/>
        <v>1059</v>
      </c>
      <c r="B1063" s="563">
        <v>2</v>
      </c>
      <c r="C1063" s="694">
        <v>42110</v>
      </c>
      <c r="D1063" s="763" t="str">
        <f t="shared" si="121"/>
        <v>April</v>
      </c>
      <c r="E1063" s="695">
        <v>16</v>
      </c>
      <c r="F1063" s="503">
        <v>2015</v>
      </c>
      <c r="G1063" s="563" t="s">
        <v>114</v>
      </c>
      <c r="H1063" s="503" t="s">
        <v>161</v>
      </c>
      <c r="I1063" s="563">
        <v>50</v>
      </c>
      <c r="J1063" s="563">
        <v>2.25</v>
      </c>
      <c r="K1063" s="472">
        <f t="shared" si="126"/>
        <v>14</v>
      </c>
      <c r="L1063" s="504">
        <v>0.62361111111111112</v>
      </c>
      <c r="M1063" s="474">
        <f t="shared" si="127"/>
        <v>0.62361111111111112</v>
      </c>
      <c r="N1063" s="519">
        <v>0.62708333333333333</v>
      </c>
      <c r="P1063" s="29" t="str">
        <f t="shared" si="122"/>
        <v>2015EF0</v>
      </c>
      <c r="Q1063" s="29" t="str">
        <f t="shared" si="125"/>
        <v>EF014</v>
      </c>
      <c r="R1063" s="29" t="str">
        <f t="shared" si="123"/>
        <v>AprilEF0</v>
      </c>
    </row>
    <row r="1064" spans="1:18">
      <c r="A1064" s="483">
        <f t="shared" si="124"/>
        <v>1060</v>
      </c>
      <c r="B1064" s="563">
        <v>3</v>
      </c>
      <c r="C1064" s="694">
        <v>42110</v>
      </c>
      <c r="D1064" s="763" t="str">
        <f t="shared" si="121"/>
        <v>April</v>
      </c>
      <c r="E1064" s="695">
        <v>16</v>
      </c>
      <c r="F1064" s="503">
        <v>2015</v>
      </c>
      <c r="G1064" s="563" t="s">
        <v>115</v>
      </c>
      <c r="H1064" s="503" t="s">
        <v>161</v>
      </c>
      <c r="I1064" s="563">
        <v>30</v>
      </c>
      <c r="J1064" s="563">
        <v>2.34</v>
      </c>
      <c r="K1064" s="472">
        <f t="shared" si="126"/>
        <v>15</v>
      </c>
      <c r="L1064" s="504">
        <v>0.66527777777777775</v>
      </c>
      <c r="M1064" s="474">
        <f t="shared" si="127"/>
        <v>0.66527777777777775</v>
      </c>
      <c r="N1064" s="519">
        <v>0.6694444444444444</v>
      </c>
      <c r="P1064" s="29" t="str">
        <f t="shared" si="122"/>
        <v>2015EF0</v>
      </c>
      <c r="Q1064" s="29" t="str">
        <f t="shared" si="125"/>
        <v>EF015</v>
      </c>
      <c r="R1064" s="29" t="str">
        <f t="shared" si="123"/>
        <v>AprilEF0</v>
      </c>
    </row>
    <row r="1065" spans="1:18">
      <c r="A1065" s="483">
        <f t="shared" si="124"/>
        <v>1061</v>
      </c>
      <c r="B1065" s="563">
        <v>4</v>
      </c>
      <c r="C1065" s="694">
        <v>42110</v>
      </c>
      <c r="D1065" s="763" t="str">
        <f t="shared" si="121"/>
        <v>April</v>
      </c>
      <c r="E1065" s="695">
        <v>16</v>
      </c>
      <c r="F1065" s="503">
        <v>2015</v>
      </c>
      <c r="G1065" s="563" t="s">
        <v>111</v>
      </c>
      <c r="H1065" s="503" t="s">
        <v>161</v>
      </c>
      <c r="I1065" s="563">
        <v>75</v>
      </c>
      <c r="J1065" s="563">
        <v>7.17</v>
      </c>
      <c r="K1065" s="472">
        <f t="shared" si="126"/>
        <v>16</v>
      </c>
      <c r="L1065" s="504">
        <v>0.68055555555555547</v>
      </c>
      <c r="M1065" s="474">
        <f t="shared" si="127"/>
        <v>0.68055555555555547</v>
      </c>
      <c r="N1065" s="519">
        <v>0.70208333333333339</v>
      </c>
      <c r="P1065" s="29" t="str">
        <f t="shared" si="122"/>
        <v>2015EF0</v>
      </c>
      <c r="Q1065" s="29" t="str">
        <f t="shared" si="125"/>
        <v>EF016</v>
      </c>
      <c r="R1065" s="29" t="str">
        <f t="shared" si="123"/>
        <v>AprilEF0</v>
      </c>
    </row>
    <row r="1066" spans="1:18">
      <c r="A1066" s="483">
        <f t="shared" si="124"/>
        <v>1062</v>
      </c>
      <c r="B1066" s="563">
        <v>5</v>
      </c>
      <c r="C1066" s="694">
        <v>42110</v>
      </c>
      <c r="D1066" s="763" t="str">
        <f t="shared" si="121"/>
        <v>April</v>
      </c>
      <c r="E1066" s="695">
        <v>16</v>
      </c>
      <c r="F1066" s="503">
        <v>2015</v>
      </c>
      <c r="G1066" s="563" t="s">
        <v>110</v>
      </c>
      <c r="H1066" s="503" t="s">
        <v>161</v>
      </c>
      <c r="I1066" s="563">
        <v>50</v>
      </c>
      <c r="J1066" s="563">
        <v>4.38</v>
      </c>
      <c r="K1066" s="472">
        <f t="shared" si="126"/>
        <v>16</v>
      </c>
      <c r="L1066" s="504">
        <v>0.69097222222222221</v>
      </c>
      <c r="M1066" s="474">
        <f t="shared" si="127"/>
        <v>0.69097222222222221</v>
      </c>
      <c r="N1066" s="519">
        <v>0.6972222222222223</v>
      </c>
      <c r="P1066" s="29" t="str">
        <f t="shared" si="122"/>
        <v>2015EF0</v>
      </c>
      <c r="Q1066" s="29" t="str">
        <f t="shared" si="125"/>
        <v>EF016</v>
      </c>
      <c r="R1066" s="29" t="str">
        <f t="shared" si="123"/>
        <v>AprilEF0</v>
      </c>
    </row>
    <row r="1067" spans="1:18">
      <c r="A1067" s="483">
        <f t="shared" si="124"/>
        <v>1063</v>
      </c>
      <c r="B1067" s="563">
        <v>6</v>
      </c>
      <c r="C1067" s="694">
        <v>42110</v>
      </c>
      <c r="D1067" s="763" t="str">
        <f t="shared" si="121"/>
        <v>April</v>
      </c>
      <c r="E1067" s="695">
        <v>16</v>
      </c>
      <c r="F1067" s="503">
        <v>2015</v>
      </c>
      <c r="G1067" s="563" t="s">
        <v>116</v>
      </c>
      <c r="H1067" s="503" t="s">
        <v>161</v>
      </c>
      <c r="I1067" s="563">
        <v>50</v>
      </c>
      <c r="J1067" s="563">
        <v>14.05</v>
      </c>
      <c r="K1067" s="472">
        <f t="shared" si="126"/>
        <v>17</v>
      </c>
      <c r="L1067" s="504">
        <v>0.72222222222222221</v>
      </c>
      <c r="M1067" s="474">
        <f t="shared" si="127"/>
        <v>0.72222222222222221</v>
      </c>
      <c r="N1067" s="519">
        <v>0.74652777777777779</v>
      </c>
      <c r="P1067" s="29" t="str">
        <f t="shared" si="122"/>
        <v>2015EF0</v>
      </c>
      <c r="Q1067" s="29" t="str">
        <f t="shared" si="125"/>
        <v>EF017</v>
      </c>
      <c r="R1067" s="29" t="str">
        <f t="shared" si="123"/>
        <v>AprilEF0</v>
      </c>
    </row>
    <row r="1068" spans="1:18">
      <c r="A1068" s="483">
        <f t="shared" si="124"/>
        <v>1064</v>
      </c>
      <c r="B1068" s="563">
        <v>7</v>
      </c>
      <c r="C1068" s="694">
        <v>42110</v>
      </c>
      <c r="D1068" s="763" t="str">
        <f t="shared" si="121"/>
        <v>April</v>
      </c>
      <c r="E1068" s="695">
        <v>16</v>
      </c>
      <c r="F1068" s="503">
        <v>2015</v>
      </c>
      <c r="G1068" s="563" t="s">
        <v>116</v>
      </c>
      <c r="H1068" s="503" t="s">
        <v>161</v>
      </c>
      <c r="I1068" s="563">
        <v>70</v>
      </c>
      <c r="J1068" s="563">
        <v>4.92</v>
      </c>
      <c r="K1068" s="472">
        <f t="shared" si="126"/>
        <v>17</v>
      </c>
      <c r="L1068" s="504">
        <v>0.72361111111111109</v>
      </c>
      <c r="M1068" s="474">
        <f t="shared" si="127"/>
        <v>0.72361111111111109</v>
      </c>
      <c r="N1068" s="519">
        <v>0.73263888888888884</v>
      </c>
      <c r="P1068" s="29" t="str">
        <f t="shared" si="122"/>
        <v>2015EF0</v>
      </c>
      <c r="Q1068" s="29" t="str">
        <f t="shared" si="125"/>
        <v>EF017</v>
      </c>
      <c r="R1068" s="29" t="str">
        <f t="shared" si="123"/>
        <v>AprilEF0</v>
      </c>
    </row>
    <row r="1069" spans="1:18">
      <c r="A1069" s="483">
        <f t="shared" si="124"/>
        <v>1065</v>
      </c>
      <c r="B1069" s="563">
        <v>8</v>
      </c>
      <c r="C1069" s="694">
        <v>42140</v>
      </c>
      <c r="D1069" s="763" t="str">
        <f t="shared" si="121"/>
        <v>May</v>
      </c>
      <c r="E1069" s="695">
        <v>16</v>
      </c>
      <c r="F1069" s="503">
        <v>2015</v>
      </c>
      <c r="G1069" s="563" t="s">
        <v>120</v>
      </c>
      <c r="H1069" s="503" t="s">
        <v>162</v>
      </c>
      <c r="I1069" s="563">
        <v>150</v>
      </c>
      <c r="J1069" s="563">
        <v>8.59</v>
      </c>
      <c r="K1069" s="472">
        <f t="shared" si="126"/>
        <v>13</v>
      </c>
      <c r="L1069" s="504">
        <v>0.55555555555555558</v>
      </c>
      <c r="M1069" s="474">
        <f t="shared" si="127"/>
        <v>0.55555555555555558</v>
      </c>
      <c r="N1069" s="519">
        <v>0.56805555555555554</v>
      </c>
      <c r="P1069" s="29" t="str">
        <f t="shared" si="122"/>
        <v>2015EF1</v>
      </c>
      <c r="Q1069" s="29" t="str">
        <f t="shared" si="125"/>
        <v>EF113</v>
      </c>
      <c r="R1069" s="29" t="str">
        <f t="shared" si="123"/>
        <v>MayEF1</v>
      </c>
    </row>
    <row r="1070" spans="1:18">
      <c r="A1070" s="483">
        <f t="shared" si="124"/>
        <v>1066</v>
      </c>
      <c r="B1070" s="765">
        <v>9</v>
      </c>
      <c r="C1070" s="694">
        <v>42140</v>
      </c>
      <c r="D1070" s="763" t="str">
        <f t="shared" si="121"/>
        <v>May</v>
      </c>
      <c r="E1070" s="695">
        <v>16</v>
      </c>
      <c r="F1070" s="503">
        <v>2015</v>
      </c>
      <c r="G1070" s="563" t="s">
        <v>120</v>
      </c>
      <c r="H1070" s="503" t="s">
        <v>162</v>
      </c>
      <c r="I1070" s="563">
        <v>100</v>
      </c>
      <c r="J1070" s="563">
        <v>22.48</v>
      </c>
      <c r="K1070" s="472">
        <f t="shared" si="126"/>
        <v>13</v>
      </c>
      <c r="L1070" s="504">
        <v>0.56944444444444442</v>
      </c>
      <c r="M1070" s="474">
        <f t="shared" si="127"/>
        <v>0.56944444444444442</v>
      </c>
      <c r="N1070" s="519">
        <v>0.58819444444444446</v>
      </c>
      <c r="P1070" s="29" t="str">
        <f t="shared" si="122"/>
        <v>2015EF1</v>
      </c>
      <c r="Q1070" s="29" t="str">
        <f t="shared" si="125"/>
        <v>EF113</v>
      </c>
      <c r="R1070" s="29" t="str">
        <f t="shared" si="123"/>
        <v>MayEF1</v>
      </c>
    </row>
    <row r="1071" spans="1:18">
      <c r="A1071" s="483">
        <f t="shared" si="124"/>
        <v>1067</v>
      </c>
      <c r="B1071" s="765">
        <v>10</v>
      </c>
      <c r="C1071" s="694">
        <v>42140</v>
      </c>
      <c r="D1071" s="763" t="str">
        <f t="shared" si="121"/>
        <v>May</v>
      </c>
      <c r="E1071" s="695">
        <v>16</v>
      </c>
      <c r="F1071" s="503">
        <v>2015</v>
      </c>
      <c r="G1071" s="563" t="s">
        <v>116</v>
      </c>
      <c r="H1071" s="503" t="s">
        <v>161</v>
      </c>
      <c r="I1071" s="563">
        <v>30</v>
      </c>
      <c r="J1071" s="563">
        <v>5.49</v>
      </c>
      <c r="K1071" s="472">
        <f t="shared" si="126"/>
        <v>14</v>
      </c>
      <c r="L1071" s="504">
        <v>0.59305555555555556</v>
      </c>
      <c r="M1071" s="474">
        <f t="shared" si="127"/>
        <v>0.59305555555555556</v>
      </c>
      <c r="N1071" s="519">
        <v>0.60069444444444442</v>
      </c>
      <c r="O1071" s="564"/>
      <c r="P1071" s="29" t="str">
        <f t="shared" si="122"/>
        <v>2015EF0</v>
      </c>
      <c r="Q1071" s="29" t="str">
        <f t="shared" si="125"/>
        <v>EF014</v>
      </c>
      <c r="R1071" s="29" t="str">
        <f t="shared" si="123"/>
        <v>MayEF0</v>
      </c>
    </row>
    <row r="1072" spans="1:18">
      <c r="A1072" s="483">
        <f t="shared" si="124"/>
        <v>1068</v>
      </c>
      <c r="B1072" s="765">
        <v>11</v>
      </c>
      <c r="C1072" s="694">
        <v>42151</v>
      </c>
      <c r="D1072" s="763" t="str">
        <f t="shared" si="121"/>
        <v>May</v>
      </c>
      <c r="E1072" s="695">
        <v>27</v>
      </c>
      <c r="F1072" s="503">
        <v>2015</v>
      </c>
      <c r="G1072" s="563" t="s">
        <v>111</v>
      </c>
      <c r="H1072" s="503" t="s">
        <v>160</v>
      </c>
      <c r="I1072" s="563">
        <v>1200</v>
      </c>
      <c r="J1072" s="563">
        <v>1.39</v>
      </c>
      <c r="K1072" s="472">
        <f t="shared" si="126"/>
        <v>15</v>
      </c>
      <c r="L1072" s="504">
        <v>0.66527777777777775</v>
      </c>
      <c r="M1072" s="474">
        <f t="shared" si="127"/>
        <v>0.66527777777777775</v>
      </c>
      <c r="N1072" s="519">
        <v>0.67499999999999993</v>
      </c>
      <c r="O1072" s="564"/>
      <c r="P1072" s="29" t="str">
        <f t="shared" si="122"/>
        <v>2015EF2</v>
      </c>
      <c r="Q1072" s="29" t="str">
        <f t="shared" si="125"/>
        <v>EF215</v>
      </c>
      <c r="R1072" s="29" t="str">
        <f t="shared" si="123"/>
        <v>MayEF2</v>
      </c>
    </row>
    <row r="1073" spans="1:18">
      <c r="A1073" s="483">
        <f t="shared" si="124"/>
        <v>1069</v>
      </c>
      <c r="B1073" s="765">
        <v>12</v>
      </c>
      <c r="C1073" s="694">
        <v>42151</v>
      </c>
      <c r="D1073" s="763" t="str">
        <f t="shared" si="121"/>
        <v>May</v>
      </c>
      <c r="E1073" s="695">
        <v>27</v>
      </c>
      <c r="F1073" s="503">
        <v>2015</v>
      </c>
      <c r="G1073" s="563" t="s">
        <v>111</v>
      </c>
      <c r="H1073" s="762" t="s">
        <v>162</v>
      </c>
      <c r="I1073" s="763">
        <v>600</v>
      </c>
      <c r="J1073" s="763">
        <v>1.1200000000000001</v>
      </c>
      <c r="K1073" s="472">
        <f t="shared" si="126"/>
        <v>17</v>
      </c>
      <c r="L1073" s="764">
        <v>0.70972222222222225</v>
      </c>
      <c r="M1073" s="474">
        <f t="shared" si="127"/>
        <v>0.70972222222222225</v>
      </c>
      <c r="N1073" s="519">
        <v>0.7104166666666667</v>
      </c>
      <c r="O1073" s="739"/>
      <c r="P1073" s="29" t="str">
        <f t="shared" si="122"/>
        <v>2015EF1</v>
      </c>
      <c r="Q1073" s="29" t="str">
        <f t="shared" si="125"/>
        <v>EF117</v>
      </c>
      <c r="R1073" s="29" t="str">
        <f t="shared" si="123"/>
        <v>MayEF1</v>
      </c>
    </row>
    <row r="1074" spans="1:18">
      <c r="A1074" s="483">
        <f t="shared" si="124"/>
        <v>1070</v>
      </c>
      <c r="B1074" s="765">
        <v>13</v>
      </c>
      <c r="C1074" s="694">
        <v>42151</v>
      </c>
      <c r="D1074" s="763" t="str">
        <f t="shared" si="121"/>
        <v>May</v>
      </c>
      <c r="E1074" s="737">
        <v>27</v>
      </c>
      <c r="F1074" s="736">
        <v>2015</v>
      </c>
      <c r="G1074" s="707" t="s">
        <v>111</v>
      </c>
      <c r="H1074" s="762" t="s">
        <v>161</v>
      </c>
      <c r="I1074" s="763">
        <v>400</v>
      </c>
      <c r="J1074" s="763">
        <v>0.53</v>
      </c>
      <c r="K1074" s="472">
        <f t="shared" si="126"/>
        <v>17</v>
      </c>
      <c r="L1074" s="764">
        <v>0.71180555555555547</v>
      </c>
      <c r="M1074" s="474">
        <f t="shared" si="127"/>
        <v>0.71180555555555547</v>
      </c>
      <c r="N1074" s="519">
        <v>0.71388888888888891</v>
      </c>
      <c r="O1074" s="739"/>
      <c r="P1074" s="29" t="str">
        <f t="shared" si="122"/>
        <v>2015EF0</v>
      </c>
      <c r="Q1074" s="29" t="str">
        <f t="shared" si="125"/>
        <v>EF017</v>
      </c>
      <c r="R1074" s="29" t="str">
        <f t="shared" si="123"/>
        <v>MayEF0</v>
      </c>
    </row>
    <row r="1075" spans="1:18">
      <c r="A1075" s="483">
        <f t="shared" si="124"/>
        <v>1071</v>
      </c>
      <c r="B1075" s="765">
        <v>14</v>
      </c>
      <c r="C1075" s="694">
        <v>42151</v>
      </c>
      <c r="D1075" s="763" t="str">
        <f t="shared" si="121"/>
        <v>May</v>
      </c>
      <c r="E1075" s="737">
        <v>27</v>
      </c>
      <c r="F1075" s="736">
        <v>2015</v>
      </c>
      <c r="G1075" s="707" t="s">
        <v>111</v>
      </c>
      <c r="H1075" s="762" t="s">
        <v>161</v>
      </c>
      <c r="I1075" s="763">
        <v>400</v>
      </c>
      <c r="J1075" s="763">
        <v>0.9</v>
      </c>
      <c r="K1075" s="472">
        <f t="shared" si="126"/>
        <v>18</v>
      </c>
      <c r="L1075" s="764">
        <v>0.77638888888888891</v>
      </c>
      <c r="M1075" s="474">
        <f t="shared" si="127"/>
        <v>0.77638888888888891</v>
      </c>
      <c r="N1075" s="519">
        <v>0.77916666666666667</v>
      </c>
      <c r="O1075" s="739"/>
      <c r="P1075" s="29" t="str">
        <f t="shared" si="122"/>
        <v>2015EF0</v>
      </c>
      <c r="Q1075" s="29" t="str">
        <f t="shared" si="125"/>
        <v>EF018</v>
      </c>
      <c r="R1075" s="29" t="str">
        <f t="shared" si="123"/>
        <v>MayEF0</v>
      </c>
    </row>
    <row r="1076" spans="1:18">
      <c r="A1076" s="483">
        <f t="shared" si="124"/>
        <v>1072</v>
      </c>
      <c r="B1076" s="765">
        <v>15</v>
      </c>
      <c r="C1076" s="694">
        <v>42167</v>
      </c>
      <c r="D1076" s="763" t="str">
        <f t="shared" si="121"/>
        <v>June</v>
      </c>
      <c r="E1076" s="763">
        <v>12</v>
      </c>
      <c r="F1076" s="736">
        <v>2015</v>
      </c>
      <c r="G1076" s="763" t="s">
        <v>117</v>
      </c>
      <c r="H1076" s="762" t="s">
        <v>161</v>
      </c>
      <c r="I1076" s="763">
        <v>50</v>
      </c>
      <c r="J1076" s="763">
        <v>0.2</v>
      </c>
      <c r="K1076" s="472">
        <f t="shared" si="126"/>
        <v>14</v>
      </c>
      <c r="L1076" s="764">
        <v>0.59583333333333333</v>
      </c>
      <c r="M1076" s="474">
        <f t="shared" si="127"/>
        <v>0.59583333333333333</v>
      </c>
      <c r="N1076" s="519">
        <v>0.59791666666666665</v>
      </c>
      <c r="O1076" s="739"/>
      <c r="P1076" s="29" t="str">
        <f t="shared" si="122"/>
        <v>2015EF0</v>
      </c>
      <c r="Q1076" s="29" t="str">
        <f t="shared" si="125"/>
        <v>EF014</v>
      </c>
      <c r="R1076" s="29" t="str">
        <f t="shared" si="123"/>
        <v>JuneEF0</v>
      </c>
    </row>
    <row r="1077" spans="1:18">
      <c r="A1077" s="483">
        <f t="shared" si="124"/>
        <v>1073</v>
      </c>
      <c r="B1077" s="765">
        <v>16</v>
      </c>
      <c r="C1077" s="694">
        <v>42324</v>
      </c>
      <c r="D1077" s="763" t="str">
        <f t="shared" si="121"/>
        <v>November</v>
      </c>
      <c r="E1077" s="763">
        <v>16</v>
      </c>
      <c r="F1077" s="736">
        <v>2015</v>
      </c>
      <c r="G1077" s="763" t="s">
        <v>119</v>
      </c>
      <c r="H1077" s="762" t="s">
        <v>161</v>
      </c>
      <c r="I1077" s="763">
        <v>50</v>
      </c>
      <c r="J1077" s="763">
        <v>0.4</v>
      </c>
      <c r="K1077" s="472">
        <f t="shared" si="126"/>
        <v>17</v>
      </c>
      <c r="L1077" s="764">
        <v>0.73888888888888893</v>
      </c>
      <c r="M1077" s="474">
        <f t="shared" si="127"/>
        <v>0.73888888888888893</v>
      </c>
      <c r="N1077" s="519">
        <v>0.73958333333333337</v>
      </c>
      <c r="O1077" s="739"/>
      <c r="P1077" s="29" t="str">
        <f t="shared" si="122"/>
        <v>2015EF0</v>
      </c>
      <c r="Q1077" s="29" t="str">
        <f t="shared" si="125"/>
        <v>EF017</v>
      </c>
      <c r="R1077" s="29" t="str">
        <f t="shared" si="123"/>
        <v>NovemberEF0</v>
      </c>
    </row>
    <row r="1078" spans="1:18">
      <c r="A1078" s="483">
        <f t="shared" si="124"/>
        <v>1074</v>
      </c>
      <c r="B1078" s="765">
        <v>17</v>
      </c>
      <c r="C1078" s="694">
        <v>42324</v>
      </c>
      <c r="D1078" s="763" t="str">
        <f t="shared" si="121"/>
        <v>November</v>
      </c>
      <c r="E1078" s="763">
        <v>16</v>
      </c>
      <c r="F1078" s="736">
        <v>2015</v>
      </c>
      <c r="G1078" s="763" t="s">
        <v>110</v>
      </c>
      <c r="H1078" s="762" t="s">
        <v>161</v>
      </c>
      <c r="I1078" s="763">
        <v>50</v>
      </c>
      <c r="J1078" s="763">
        <v>0.11</v>
      </c>
      <c r="K1078" s="472">
        <f t="shared" si="126"/>
        <v>17</v>
      </c>
      <c r="L1078" s="764">
        <v>0.73888888888888893</v>
      </c>
      <c r="M1078" s="474">
        <f t="shared" si="127"/>
        <v>0.73888888888888893</v>
      </c>
      <c r="N1078" s="519">
        <v>0.73958333333333337</v>
      </c>
      <c r="O1078" s="739"/>
      <c r="P1078" s="29" t="str">
        <f t="shared" si="122"/>
        <v>2015EF0</v>
      </c>
      <c r="Q1078" s="29" t="str">
        <f t="shared" si="125"/>
        <v>EF017</v>
      </c>
      <c r="R1078" s="29" t="str">
        <f t="shared" si="123"/>
        <v>NovemberEF0</v>
      </c>
    </row>
    <row r="1079" spans="1:18">
      <c r="A1079" s="483">
        <f t="shared" si="124"/>
        <v>1075</v>
      </c>
      <c r="B1079" s="765">
        <v>18</v>
      </c>
      <c r="C1079" s="694">
        <v>42324</v>
      </c>
      <c r="D1079" s="763" t="str">
        <f t="shared" si="121"/>
        <v>November</v>
      </c>
      <c r="E1079" s="763">
        <v>16</v>
      </c>
      <c r="F1079" s="736">
        <v>2015</v>
      </c>
      <c r="G1079" s="763" t="s">
        <v>110</v>
      </c>
      <c r="H1079" s="762" t="s">
        <v>161</v>
      </c>
      <c r="I1079" s="763">
        <v>50</v>
      </c>
      <c r="J1079" s="763">
        <v>0.26</v>
      </c>
      <c r="K1079" s="472">
        <f t="shared" si="126"/>
        <v>18</v>
      </c>
      <c r="L1079" s="764">
        <v>0.75347222222222221</v>
      </c>
      <c r="M1079" s="474">
        <f t="shared" si="127"/>
        <v>0.75347222222222221</v>
      </c>
      <c r="N1079" s="519">
        <v>0.76041666666666663</v>
      </c>
      <c r="O1079" s="739"/>
      <c r="P1079" s="29" t="str">
        <f t="shared" si="122"/>
        <v>2015EF0</v>
      </c>
      <c r="Q1079" s="29" t="str">
        <f t="shared" si="125"/>
        <v>EF018</v>
      </c>
      <c r="R1079" s="29" t="str">
        <f t="shared" si="123"/>
        <v>NovemberEF0</v>
      </c>
    </row>
    <row r="1080" spans="1:18">
      <c r="A1080" s="483">
        <f t="shared" si="124"/>
        <v>1076</v>
      </c>
      <c r="B1080" s="765">
        <v>19</v>
      </c>
      <c r="C1080" s="694">
        <v>42324</v>
      </c>
      <c r="D1080" s="763" t="str">
        <f t="shared" si="121"/>
        <v>November</v>
      </c>
      <c r="E1080" s="763">
        <v>16</v>
      </c>
      <c r="F1080" s="736">
        <v>2015</v>
      </c>
      <c r="G1080" s="763" t="s">
        <v>114</v>
      </c>
      <c r="H1080" s="762" t="s">
        <v>161</v>
      </c>
      <c r="I1080" s="763">
        <v>50</v>
      </c>
      <c r="J1080" s="763">
        <v>0.22</v>
      </c>
      <c r="K1080" s="472">
        <f t="shared" si="126"/>
        <v>18</v>
      </c>
      <c r="L1080" s="764">
        <v>0.75624999999999998</v>
      </c>
      <c r="M1080" s="474">
        <f t="shared" si="127"/>
        <v>0.75624999999999998</v>
      </c>
      <c r="N1080" s="519">
        <v>0.75694444444444453</v>
      </c>
      <c r="O1080" s="739"/>
      <c r="P1080" s="29" t="str">
        <f t="shared" si="122"/>
        <v>2015EF0</v>
      </c>
      <c r="Q1080" s="29" t="str">
        <f t="shared" si="125"/>
        <v>EF018</v>
      </c>
      <c r="R1080" s="29" t="str">
        <f t="shared" si="123"/>
        <v>NovemberEF0</v>
      </c>
    </row>
    <row r="1081" spans="1:18">
      <c r="A1081" s="483">
        <f t="shared" si="124"/>
        <v>1077</v>
      </c>
      <c r="B1081" s="765">
        <v>20</v>
      </c>
      <c r="C1081" s="694">
        <v>42324</v>
      </c>
      <c r="D1081" s="763" t="str">
        <f t="shared" si="121"/>
        <v>November</v>
      </c>
      <c r="E1081" s="763">
        <v>16</v>
      </c>
      <c r="F1081" s="736">
        <v>2015</v>
      </c>
      <c r="G1081" s="763" t="s">
        <v>115</v>
      </c>
      <c r="H1081" s="762" t="s">
        <v>163</v>
      </c>
      <c r="I1081" s="763">
        <v>750</v>
      </c>
      <c r="J1081" s="763">
        <v>31.86</v>
      </c>
      <c r="K1081" s="472">
        <f t="shared" si="126"/>
        <v>18</v>
      </c>
      <c r="L1081" s="764">
        <v>0.76388888888888884</v>
      </c>
      <c r="M1081" s="474">
        <f t="shared" si="127"/>
        <v>0.76388888888888884</v>
      </c>
      <c r="N1081" s="519">
        <v>0.80555555555555547</v>
      </c>
      <c r="O1081" s="739"/>
      <c r="P1081" s="29" t="str">
        <f t="shared" si="122"/>
        <v>2015EF3</v>
      </c>
      <c r="Q1081" s="29" t="str">
        <f t="shared" si="125"/>
        <v>EF318</v>
      </c>
      <c r="R1081" s="29" t="str">
        <f t="shared" si="123"/>
        <v>NovemberEF3</v>
      </c>
    </row>
    <row r="1082" spans="1:18">
      <c r="A1082" s="483">
        <f t="shared" si="124"/>
        <v>1078</v>
      </c>
      <c r="B1082" s="765">
        <v>21</v>
      </c>
      <c r="C1082" s="694">
        <v>42324</v>
      </c>
      <c r="D1082" s="763" t="str">
        <f t="shared" si="121"/>
        <v>November</v>
      </c>
      <c r="E1082" s="763">
        <v>16</v>
      </c>
      <c r="F1082" s="736">
        <v>2015</v>
      </c>
      <c r="G1082" s="763" t="s">
        <v>114</v>
      </c>
      <c r="H1082" s="762" t="s">
        <v>160</v>
      </c>
      <c r="I1082" s="763">
        <v>175</v>
      </c>
      <c r="J1082" s="763">
        <v>10.42</v>
      </c>
      <c r="K1082" s="472">
        <f t="shared" si="126"/>
        <v>18</v>
      </c>
      <c r="L1082" s="764">
        <v>0.77916666666666667</v>
      </c>
      <c r="M1082" s="474">
        <f t="shared" si="127"/>
        <v>0.77916666666666667</v>
      </c>
      <c r="N1082" s="519">
        <v>0.78819444444444453</v>
      </c>
      <c r="O1082" s="739"/>
      <c r="P1082" s="29" t="str">
        <f t="shared" si="122"/>
        <v>2015EF2</v>
      </c>
      <c r="Q1082" s="29" t="str">
        <f t="shared" si="125"/>
        <v>EF218</v>
      </c>
      <c r="R1082" s="29" t="str">
        <f t="shared" si="123"/>
        <v>NovemberEF2</v>
      </c>
    </row>
    <row r="1083" spans="1:18">
      <c r="A1083" s="483">
        <f t="shared" si="124"/>
        <v>1079</v>
      </c>
      <c r="B1083" s="765">
        <v>22</v>
      </c>
      <c r="C1083" s="694">
        <v>42324</v>
      </c>
      <c r="D1083" s="763" t="str">
        <f t="shared" si="121"/>
        <v>November</v>
      </c>
      <c r="E1083" s="763">
        <v>16</v>
      </c>
      <c r="F1083" s="736">
        <v>2015</v>
      </c>
      <c r="G1083" s="763" t="s">
        <v>105</v>
      </c>
      <c r="H1083" s="762" t="s">
        <v>161</v>
      </c>
      <c r="I1083" s="763">
        <v>100</v>
      </c>
      <c r="J1083" s="763">
        <v>3.66</v>
      </c>
      <c r="K1083" s="472">
        <f t="shared" si="126"/>
        <v>18</v>
      </c>
      <c r="L1083" s="764">
        <v>0.78055555555555556</v>
      </c>
      <c r="M1083" s="474">
        <f t="shared" si="127"/>
        <v>0.78055555555555556</v>
      </c>
      <c r="N1083" s="519">
        <v>0.78472222222222221</v>
      </c>
      <c r="O1083" s="739"/>
      <c r="P1083" s="29" t="str">
        <f t="shared" si="122"/>
        <v>2015EF0</v>
      </c>
      <c r="Q1083" s="29" t="str">
        <f t="shared" si="125"/>
        <v>EF018</v>
      </c>
      <c r="R1083" s="29" t="str">
        <f t="shared" si="123"/>
        <v>NovemberEF0</v>
      </c>
    </row>
    <row r="1084" spans="1:18">
      <c r="A1084" s="483">
        <f t="shared" si="124"/>
        <v>1080</v>
      </c>
      <c r="B1084" s="765">
        <v>23</v>
      </c>
      <c r="C1084" s="694">
        <v>42324</v>
      </c>
      <c r="D1084" s="763" t="str">
        <f t="shared" si="121"/>
        <v>November</v>
      </c>
      <c r="E1084" s="763">
        <v>16</v>
      </c>
      <c r="F1084" s="736">
        <v>2015</v>
      </c>
      <c r="G1084" s="763" t="s">
        <v>105</v>
      </c>
      <c r="H1084" s="762" t="s">
        <v>162</v>
      </c>
      <c r="I1084" s="763">
        <v>200</v>
      </c>
      <c r="J1084" s="763">
        <v>5.78</v>
      </c>
      <c r="K1084" s="472">
        <f t="shared" si="126"/>
        <v>18</v>
      </c>
      <c r="L1084" s="764">
        <v>0.78611111111111109</v>
      </c>
      <c r="M1084" s="474">
        <f t="shared" si="127"/>
        <v>0.78611111111111109</v>
      </c>
      <c r="N1084" s="519">
        <v>0.7909722222222223</v>
      </c>
      <c r="O1084" s="739"/>
      <c r="P1084" s="29" t="str">
        <f t="shared" si="122"/>
        <v>2015EF1</v>
      </c>
      <c r="Q1084" s="29" t="str">
        <f t="shared" si="125"/>
        <v>EF118</v>
      </c>
      <c r="R1084" s="29" t="str">
        <f t="shared" si="123"/>
        <v>NovemberEF1</v>
      </c>
    </row>
    <row r="1085" spans="1:18">
      <c r="A1085" s="483">
        <f t="shared" si="124"/>
        <v>1081</v>
      </c>
      <c r="B1085" s="765">
        <v>24</v>
      </c>
      <c r="C1085" s="694">
        <v>42324</v>
      </c>
      <c r="D1085" s="763" t="str">
        <f t="shared" si="121"/>
        <v>November</v>
      </c>
      <c r="E1085" s="763">
        <v>16</v>
      </c>
      <c r="F1085" s="736">
        <v>2015</v>
      </c>
      <c r="G1085" s="763" t="s">
        <v>105</v>
      </c>
      <c r="H1085" s="762" t="s">
        <v>162</v>
      </c>
      <c r="I1085" s="763">
        <v>400</v>
      </c>
      <c r="J1085" s="763">
        <v>5.18</v>
      </c>
      <c r="K1085" s="472">
        <f t="shared" si="126"/>
        <v>19</v>
      </c>
      <c r="L1085" s="764">
        <v>0.79166666666666663</v>
      </c>
      <c r="M1085" s="474">
        <f t="shared" si="127"/>
        <v>0.79166666666666663</v>
      </c>
      <c r="N1085" s="519">
        <v>0.79722222222222217</v>
      </c>
      <c r="O1085" s="739"/>
      <c r="P1085" s="29" t="str">
        <f t="shared" si="122"/>
        <v>2015EF1</v>
      </c>
      <c r="Q1085" s="29" t="str">
        <f t="shared" si="125"/>
        <v>EF119</v>
      </c>
      <c r="R1085" s="29" t="str">
        <f t="shared" si="123"/>
        <v>NovemberEF1</v>
      </c>
    </row>
    <row r="1086" spans="1:18">
      <c r="A1086" s="483">
        <f t="shared" si="124"/>
        <v>1082</v>
      </c>
      <c r="B1086" s="765">
        <v>25</v>
      </c>
      <c r="C1086" s="694">
        <v>42324</v>
      </c>
      <c r="D1086" s="763" t="str">
        <f t="shared" si="121"/>
        <v>November</v>
      </c>
      <c r="E1086" s="763">
        <v>16</v>
      </c>
      <c r="F1086" s="736">
        <v>2015</v>
      </c>
      <c r="G1086" s="763" t="s">
        <v>115</v>
      </c>
      <c r="H1086" s="762" t="s">
        <v>163</v>
      </c>
      <c r="I1086" s="763">
        <v>500</v>
      </c>
      <c r="J1086" s="763">
        <v>10.92</v>
      </c>
      <c r="K1086" s="472">
        <f t="shared" si="126"/>
        <v>19</v>
      </c>
      <c r="L1086" s="764">
        <v>0.79583333333333339</v>
      </c>
      <c r="M1086" s="474">
        <f t="shared" si="127"/>
        <v>0.79583333333333339</v>
      </c>
      <c r="N1086" s="519">
        <v>0.80486111111111114</v>
      </c>
      <c r="O1086" s="739"/>
      <c r="P1086" s="29" t="str">
        <f t="shared" si="122"/>
        <v>2015EF3</v>
      </c>
      <c r="Q1086" s="29" t="str">
        <f t="shared" si="125"/>
        <v>EF319</v>
      </c>
      <c r="R1086" s="29" t="str">
        <f t="shared" si="123"/>
        <v>NovemberEF3</v>
      </c>
    </row>
    <row r="1087" spans="1:18">
      <c r="A1087" s="483">
        <f t="shared" si="124"/>
        <v>1083</v>
      </c>
      <c r="B1087" s="765">
        <v>26</v>
      </c>
      <c r="C1087" s="694">
        <v>42324</v>
      </c>
      <c r="D1087" s="763" t="str">
        <f t="shared" si="121"/>
        <v>November</v>
      </c>
      <c r="E1087" s="763">
        <v>16</v>
      </c>
      <c r="F1087" s="736">
        <v>2015</v>
      </c>
      <c r="G1087" s="763" t="s">
        <v>101</v>
      </c>
      <c r="H1087" s="762" t="s">
        <v>161</v>
      </c>
      <c r="I1087" s="763">
        <v>100</v>
      </c>
      <c r="J1087" s="763">
        <v>4.22</v>
      </c>
      <c r="K1087" s="472">
        <f t="shared" si="126"/>
        <v>19</v>
      </c>
      <c r="L1087" s="764">
        <v>0.79861111111111116</v>
      </c>
      <c r="M1087" s="474">
        <f t="shared" si="127"/>
        <v>0.79861111111111116</v>
      </c>
      <c r="N1087" s="519">
        <v>0.8041666666666667</v>
      </c>
      <c r="P1087" s="29" t="str">
        <f t="shared" si="122"/>
        <v>2015EF0</v>
      </c>
      <c r="Q1087" s="29" t="str">
        <f t="shared" si="125"/>
        <v>EF019</v>
      </c>
      <c r="R1087" s="29" t="str">
        <f t="shared" si="123"/>
        <v>NovemberEF0</v>
      </c>
    </row>
    <row r="1088" spans="1:18">
      <c r="A1088" s="483">
        <f t="shared" si="124"/>
        <v>1084</v>
      </c>
      <c r="B1088" s="765">
        <v>27</v>
      </c>
      <c r="C1088" s="694">
        <v>42324</v>
      </c>
      <c r="D1088" s="763" t="str">
        <f t="shared" si="121"/>
        <v>November</v>
      </c>
      <c r="E1088" s="763">
        <v>16</v>
      </c>
      <c r="F1088" s="736">
        <v>2015</v>
      </c>
      <c r="G1088" s="763" t="s">
        <v>115</v>
      </c>
      <c r="H1088" s="762" t="s">
        <v>162</v>
      </c>
      <c r="I1088" s="763">
        <v>300</v>
      </c>
      <c r="J1088" s="763">
        <v>16</v>
      </c>
      <c r="K1088" s="472">
        <f t="shared" si="126"/>
        <v>19</v>
      </c>
      <c r="L1088" s="767">
        <v>0.80694444444444446</v>
      </c>
      <c r="M1088" s="474">
        <f t="shared" si="127"/>
        <v>0.80694444444444446</v>
      </c>
      <c r="N1088" s="519">
        <v>0.8222222222222223</v>
      </c>
      <c r="P1088" s="29" t="str">
        <f t="shared" si="122"/>
        <v>2015EF1</v>
      </c>
      <c r="Q1088" s="29" t="str">
        <f t="shared" si="125"/>
        <v>EF119</v>
      </c>
      <c r="R1088" s="29" t="str">
        <f t="shared" si="123"/>
        <v>NovemberEF1</v>
      </c>
    </row>
    <row r="1089" spans="1:18">
      <c r="A1089" s="483">
        <f t="shared" si="124"/>
        <v>1085</v>
      </c>
      <c r="B1089" s="765">
        <v>28</v>
      </c>
      <c r="C1089" s="694">
        <v>42324</v>
      </c>
      <c r="D1089" s="763" t="str">
        <f t="shared" si="121"/>
        <v>November</v>
      </c>
      <c r="E1089" s="763">
        <v>16</v>
      </c>
      <c r="F1089" s="736">
        <v>2015</v>
      </c>
      <c r="G1089" s="763" t="s">
        <v>109</v>
      </c>
      <c r="H1089" s="762" t="s">
        <v>161</v>
      </c>
      <c r="I1089" s="763">
        <v>50</v>
      </c>
      <c r="J1089" s="763">
        <v>0.56000000000000005</v>
      </c>
      <c r="K1089" s="472">
        <f t="shared" si="126"/>
        <v>19</v>
      </c>
      <c r="L1089" s="764">
        <v>0.82152777777777775</v>
      </c>
      <c r="M1089" s="474">
        <f t="shared" si="127"/>
        <v>0.82152777777777775</v>
      </c>
      <c r="N1089" s="519">
        <v>0.8222222222222223</v>
      </c>
      <c r="P1089" s="29" t="str">
        <f t="shared" si="122"/>
        <v>2015EF0</v>
      </c>
      <c r="Q1089" s="29" t="str">
        <f t="shared" si="125"/>
        <v>EF019</v>
      </c>
      <c r="R1089" s="29" t="str">
        <f t="shared" si="123"/>
        <v>NovemberEF0</v>
      </c>
    </row>
    <row r="1090" spans="1:18">
      <c r="A1090" s="483">
        <f t="shared" si="124"/>
        <v>1086</v>
      </c>
      <c r="B1090" s="765">
        <v>29</v>
      </c>
      <c r="C1090" s="694">
        <v>42324</v>
      </c>
      <c r="D1090" s="763" t="str">
        <f t="shared" si="121"/>
        <v>November</v>
      </c>
      <c r="E1090" s="763">
        <v>16</v>
      </c>
      <c r="F1090" s="736">
        <v>2015</v>
      </c>
      <c r="G1090" s="763" t="s">
        <v>110</v>
      </c>
      <c r="H1090" s="762" t="s">
        <v>161</v>
      </c>
      <c r="I1090" s="763">
        <v>50</v>
      </c>
      <c r="J1090" s="763">
        <v>7.21</v>
      </c>
      <c r="K1090" s="472">
        <f t="shared" si="126"/>
        <v>19</v>
      </c>
      <c r="L1090" s="764">
        <v>0.82291666666666663</v>
      </c>
      <c r="M1090" s="474">
        <f t="shared" si="127"/>
        <v>0.82291666666666663</v>
      </c>
      <c r="N1090" s="519">
        <v>0.82986111111111116</v>
      </c>
      <c r="P1090" s="29" t="str">
        <f t="shared" si="122"/>
        <v>2015EF0</v>
      </c>
      <c r="Q1090" s="29" t="str">
        <f t="shared" si="125"/>
        <v>EF019</v>
      </c>
      <c r="R1090" s="29" t="str">
        <f t="shared" si="123"/>
        <v>NovemberEF0</v>
      </c>
    </row>
    <row r="1091" spans="1:18">
      <c r="A1091" s="483">
        <f t="shared" si="124"/>
        <v>1087</v>
      </c>
      <c r="B1091" s="765">
        <v>30</v>
      </c>
      <c r="C1091" s="694">
        <v>42324</v>
      </c>
      <c r="D1091" s="763" t="str">
        <f t="shared" si="121"/>
        <v>November</v>
      </c>
      <c r="E1091" s="763">
        <v>16</v>
      </c>
      <c r="F1091" s="736">
        <v>2015</v>
      </c>
      <c r="G1091" s="763" t="s">
        <v>113</v>
      </c>
      <c r="H1091" s="762" t="s">
        <v>161</v>
      </c>
      <c r="I1091" s="763">
        <v>50</v>
      </c>
      <c r="J1091" s="763">
        <v>0.38</v>
      </c>
      <c r="K1091" s="472">
        <f t="shared" si="126"/>
        <v>19</v>
      </c>
      <c r="L1091" s="764">
        <v>0.83194444444444438</v>
      </c>
      <c r="M1091" s="474">
        <f t="shared" si="127"/>
        <v>0.83194444444444438</v>
      </c>
      <c r="N1091" s="519">
        <v>0.83263888888888893</v>
      </c>
      <c r="P1091" s="29" t="str">
        <f t="shared" ref="P1091:P1154" si="128">CONCATENATE(F1091,H1091)</f>
        <v>2015EF0</v>
      </c>
      <c r="Q1091" s="29" t="str">
        <f t="shared" ref="Q1091:Q1154" si="129">CONCATENATE(H1091,K1091)</f>
        <v>EF019</v>
      </c>
      <c r="R1091" s="29" t="str">
        <f t="shared" ref="R1091:R1154" si="130">CONCATENATE(D1091,H1091)</f>
        <v>NovemberEF0</v>
      </c>
    </row>
    <row r="1092" spans="1:18">
      <c r="A1092" s="483">
        <f t="shared" si="124"/>
        <v>1088</v>
      </c>
      <c r="B1092" s="765">
        <v>31</v>
      </c>
      <c r="C1092" s="694">
        <v>42324</v>
      </c>
      <c r="D1092" s="763" t="str">
        <f t="shared" si="121"/>
        <v>November</v>
      </c>
      <c r="E1092" s="763">
        <v>16</v>
      </c>
      <c r="F1092" s="736">
        <v>2015</v>
      </c>
      <c r="G1092" s="763" t="s">
        <v>111</v>
      </c>
      <c r="H1092" s="762" t="s">
        <v>162</v>
      </c>
      <c r="I1092" s="763">
        <v>50</v>
      </c>
      <c r="J1092" s="763">
        <v>26.03</v>
      </c>
      <c r="K1092" s="472">
        <f t="shared" si="126"/>
        <v>20</v>
      </c>
      <c r="L1092" s="764">
        <v>0.84722222222222221</v>
      </c>
      <c r="M1092" s="474">
        <f t="shared" si="127"/>
        <v>0.84722222222222221</v>
      </c>
      <c r="N1092" s="519">
        <v>0.86875000000000002</v>
      </c>
      <c r="P1092" s="29" t="str">
        <f t="shared" si="128"/>
        <v>2015EF1</v>
      </c>
      <c r="Q1092" s="29" t="str">
        <f t="shared" si="129"/>
        <v>EF120</v>
      </c>
      <c r="R1092" s="29" t="str">
        <f t="shared" si="130"/>
        <v>NovemberEF1</v>
      </c>
    </row>
    <row r="1093" spans="1:18">
      <c r="A1093" s="483">
        <f t="shared" si="124"/>
        <v>1089</v>
      </c>
      <c r="B1093" s="765">
        <v>32</v>
      </c>
      <c r="C1093" s="694">
        <v>42324</v>
      </c>
      <c r="D1093" s="763" t="str">
        <f t="shared" ref="D1093:D1155" si="131">+TEXT(C1093,"mmmm")</f>
        <v>November</v>
      </c>
      <c r="E1093" s="763">
        <v>16</v>
      </c>
      <c r="F1093" s="736">
        <v>2015</v>
      </c>
      <c r="G1093" s="763" t="s">
        <v>105</v>
      </c>
      <c r="H1093" s="762" t="s">
        <v>162</v>
      </c>
      <c r="I1093" s="763">
        <v>70</v>
      </c>
      <c r="J1093" s="763">
        <v>14.59</v>
      </c>
      <c r="K1093" s="472">
        <f t="shared" si="126"/>
        <v>20</v>
      </c>
      <c r="L1093" s="764">
        <v>0.85138888888888886</v>
      </c>
      <c r="M1093" s="474">
        <f t="shared" si="127"/>
        <v>0.85138888888888886</v>
      </c>
      <c r="N1093" s="519">
        <v>0.86875000000000002</v>
      </c>
      <c r="O1093" s="739"/>
      <c r="P1093" s="29" t="str">
        <f t="shared" si="128"/>
        <v>2015EF1</v>
      </c>
      <c r="Q1093" s="29" t="str">
        <f t="shared" si="129"/>
        <v>EF120</v>
      </c>
      <c r="R1093" s="29" t="str">
        <f t="shared" si="130"/>
        <v>NovemberEF1</v>
      </c>
    </row>
    <row r="1094" spans="1:18">
      <c r="A1094" s="483">
        <f t="shared" si="124"/>
        <v>1090</v>
      </c>
      <c r="B1094" s="765">
        <v>33</v>
      </c>
      <c r="C1094" s="694">
        <v>42324</v>
      </c>
      <c r="D1094" s="763" t="str">
        <f t="shared" si="131"/>
        <v>November</v>
      </c>
      <c r="E1094" s="763">
        <v>16</v>
      </c>
      <c r="F1094" s="736">
        <v>2015</v>
      </c>
      <c r="G1094" s="763" t="s">
        <v>106</v>
      </c>
      <c r="H1094" s="762" t="s">
        <v>161</v>
      </c>
      <c r="I1094" s="763">
        <v>100</v>
      </c>
      <c r="J1094" s="763">
        <v>4.6900000000000004</v>
      </c>
      <c r="K1094" s="472">
        <f t="shared" si="126"/>
        <v>20</v>
      </c>
      <c r="L1094" s="764">
        <v>0.87430555555555556</v>
      </c>
      <c r="M1094" s="474">
        <f t="shared" si="127"/>
        <v>0.87430555555555556</v>
      </c>
      <c r="N1094" s="519">
        <v>0.87986111111111109</v>
      </c>
      <c r="O1094" s="739"/>
      <c r="P1094" s="29" t="str">
        <f t="shared" si="128"/>
        <v>2015EF0</v>
      </c>
      <c r="Q1094" s="29" t="str">
        <f t="shared" si="129"/>
        <v>EF020</v>
      </c>
      <c r="R1094" s="29" t="str">
        <f t="shared" si="130"/>
        <v>NovemberEF0</v>
      </c>
    </row>
    <row r="1095" spans="1:18">
      <c r="A1095" s="483">
        <f t="shared" ref="A1095:B1158" si="132">+A1094+1</f>
        <v>1091</v>
      </c>
      <c r="B1095" s="765">
        <v>34</v>
      </c>
      <c r="C1095" s="694">
        <v>42324</v>
      </c>
      <c r="D1095" s="763" t="str">
        <f t="shared" si="131"/>
        <v>November</v>
      </c>
      <c r="E1095" s="763">
        <v>16</v>
      </c>
      <c r="F1095" s="736">
        <v>2015</v>
      </c>
      <c r="G1095" s="763" t="s">
        <v>101</v>
      </c>
      <c r="H1095" s="762" t="s">
        <v>162</v>
      </c>
      <c r="I1095" s="763">
        <v>500</v>
      </c>
      <c r="J1095" s="763">
        <v>8.93</v>
      </c>
      <c r="K1095" s="472">
        <f t="shared" si="126"/>
        <v>21</v>
      </c>
      <c r="L1095" s="764">
        <v>0.89166666666666661</v>
      </c>
      <c r="M1095" s="474">
        <f t="shared" si="127"/>
        <v>0.89166666666666661</v>
      </c>
      <c r="N1095" s="519">
        <v>0.90069444444444446</v>
      </c>
      <c r="O1095" s="739"/>
      <c r="P1095" s="29" t="str">
        <f t="shared" si="128"/>
        <v>2015EF1</v>
      </c>
      <c r="Q1095" s="29" t="str">
        <f t="shared" si="129"/>
        <v>EF121</v>
      </c>
      <c r="R1095" s="29" t="str">
        <f t="shared" si="130"/>
        <v>NovemberEF1</v>
      </c>
    </row>
    <row r="1096" spans="1:18">
      <c r="A1096" s="483">
        <f t="shared" si="132"/>
        <v>1092</v>
      </c>
      <c r="B1096" s="765">
        <v>35</v>
      </c>
      <c r="C1096" s="694">
        <v>42350</v>
      </c>
      <c r="D1096" s="763" t="str">
        <f t="shared" si="131"/>
        <v>December</v>
      </c>
      <c r="E1096" s="763">
        <v>12</v>
      </c>
      <c r="F1096" s="736">
        <v>2015</v>
      </c>
      <c r="G1096" s="763" t="s">
        <v>115</v>
      </c>
      <c r="H1096" s="762" t="s">
        <v>161</v>
      </c>
      <c r="I1096" s="763">
        <v>50</v>
      </c>
      <c r="J1096" s="763">
        <v>0.04</v>
      </c>
      <c r="K1096" s="472">
        <f t="shared" si="126"/>
        <v>17</v>
      </c>
      <c r="L1096" s="764">
        <v>0.74513888888888891</v>
      </c>
      <c r="M1096" s="474">
        <f t="shared" si="127"/>
        <v>0.74513888888888891</v>
      </c>
      <c r="N1096" s="519">
        <v>0.74583333333333324</v>
      </c>
      <c r="O1096" s="739"/>
      <c r="P1096" s="29" t="str">
        <f t="shared" si="128"/>
        <v>2015EF0</v>
      </c>
      <c r="Q1096" s="29" t="str">
        <f t="shared" si="129"/>
        <v>EF017</v>
      </c>
      <c r="R1096" s="29" t="str">
        <f t="shared" si="130"/>
        <v>DecemberEF0</v>
      </c>
    </row>
    <row r="1097" spans="1:18">
      <c r="A1097" s="483">
        <f t="shared" si="132"/>
        <v>1093</v>
      </c>
      <c r="B1097" s="765">
        <v>1</v>
      </c>
      <c r="C1097" s="694">
        <v>42475</v>
      </c>
      <c r="D1097" s="763" t="str">
        <f t="shared" si="131"/>
        <v>April</v>
      </c>
      <c r="E1097" s="763">
        <v>15</v>
      </c>
      <c r="F1097" s="762">
        <v>2016</v>
      </c>
      <c r="G1097" s="763" t="s">
        <v>100</v>
      </c>
      <c r="H1097" s="762" t="s">
        <v>161</v>
      </c>
      <c r="I1097" s="763">
        <v>50</v>
      </c>
      <c r="J1097" s="763">
        <v>1.07</v>
      </c>
      <c r="K1097" s="472">
        <f t="shared" si="126"/>
        <v>18</v>
      </c>
      <c r="L1097" s="764">
        <v>0.78472222222222221</v>
      </c>
      <c r="M1097" s="474">
        <f t="shared" si="127"/>
        <v>0.78472222222222221</v>
      </c>
      <c r="N1097" s="519">
        <v>0.78541666666666676</v>
      </c>
      <c r="P1097" s="29" t="str">
        <f t="shared" si="128"/>
        <v>2016EF0</v>
      </c>
      <c r="Q1097" s="29" t="str">
        <f t="shared" si="129"/>
        <v>EF018</v>
      </c>
      <c r="R1097" s="29" t="str">
        <f t="shared" si="130"/>
        <v>AprilEF0</v>
      </c>
    </row>
    <row r="1098" spans="1:18">
      <c r="A1098" s="483">
        <f t="shared" si="132"/>
        <v>1094</v>
      </c>
      <c r="B1098" s="765">
        <f>+B1097+1</f>
        <v>2</v>
      </c>
      <c r="C1098" s="694">
        <v>42475</v>
      </c>
      <c r="D1098" s="763" t="str">
        <f t="shared" si="131"/>
        <v>April</v>
      </c>
      <c r="E1098" s="763">
        <v>15</v>
      </c>
      <c r="F1098" s="762">
        <v>2016</v>
      </c>
      <c r="G1098" s="763" t="s">
        <v>100</v>
      </c>
      <c r="H1098" s="762" t="s">
        <v>162</v>
      </c>
      <c r="I1098" s="763">
        <v>60</v>
      </c>
      <c r="J1098" s="763">
        <v>1.07</v>
      </c>
      <c r="K1098" s="472">
        <f t="shared" si="126"/>
        <v>18</v>
      </c>
      <c r="L1098" s="764">
        <v>0.78888888888888886</v>
      </c>
      <c r="M1098" s="474">
        <f t="shared" si="127"/>
        <v>0.78888888888888886</v>
      </c>
      <c r="N1098" s="519">
        <v>0.7909722222222223</v>
      </c>
      <c r="P1098" s="29" t="str">
        <f t="shared" si="128"/>
        <v>2016EF1</v>
      </c>
      <c r="Q1098" s="29" t="str">
        <f t="shared" si="129"/>
        <v>EF118</v>
      </c>
      <c r="R1098" s="29" t="str">
        <f t="shared" si="130"/>
        <v>AprilEF1</v>
      </c>
    </row>
    <row r="1099" spans="1:18">
      <c r="A1099" s="483">
        <f t="shared" si="132"/>
        <v>1095</v>
      </c>
      <c r="B1099" s="765">
        <f t="shared" si="132"/>
        <v>3</v>
      </c>
      <c r="C1099" s="694">
        <v>42475</v>
      </c>
      <c r="D1099" s="763" t="str">
        <f t="shared" si="131"/>
        <v>April</v>
      </c>
      <c r="E1099" s="763">
        <v>15</v>
      </c>
      <c r="F1099" s="762">
        <v>2016</v>
      </c>
      <c r="G1099" s="763" t="s">
        <v>100</v>
      </c>
      <c r="H1099" s="762" t="s">
        <v>161</v>
      </c>
      <c r="I1099" s="763">
        <v>50</v>
      </c>
      <c r="J1099" s="763">
        <v>0.91</v>
      </c>
      <c r="K1099" s="472">
        <f t="shared" si="126"/>
        <v>19</v>
      </c>
      <c r="L1099" s="764">
        <v>0.79305555555555562</v>
      </c>
      <c r="M1099" s="474">
        <f t="shared" ref="M1099:M1157" si="133">+L1099</f>
        <v>0.79305555555555562</v>
      </c>
      <c r="N1099" s="519">
        <v>0.7944444444444444</v>
      </c>
      <c r="P1099" s="29" t="str">
        <f t="shared" si="128"/>
        <v>2016EF0</v>
      </c>
      <c r="Q1099" s="29" t="str">
        <f t="shared" si="129"/>
        <v>EF019</v>
      </c>
      <c r="R1099" s="29" t="str">
        <f t="shared" si="130"/>
        <v>AprilEF0</v>
      </c>
    </row>
    <row r="1100" spans="1:18">
      <c r="A1100" s="483">
        <f t="shared" si="132"/>
        <v>1096</v>
      </c>
      <c r="B1100" s="765">
        <f t="shared" si="132"/>
        <v>4</v>
      </c>
      <c r="C1100" s="694">
        <v>42475</v>
      </c>
      <c r="D1100" s="763" t="str">
        <f t="shared" si="131"/>
        <v>April</v>
      </c>
      <c r="E1100" s="763">
        <v>15</v>
      </c>
      <c r="F1100" s="762">
        <v>2016</v>
      </c>
      <c r="G1100" s="763" t="s">
        <v>100</v>
      </c>
      <c r="H1100" s="762" t="s">
        <v>161</v>
      </c>
      <c r="I1100" s="763">
        <v>50</v>
      </c>
      <c r="J1100" s="763">
        <v>1</v>
      </c>
      <c r="K1100" s="472">
        <f t="shared" si="126"/>
        <v>19</v>
      </c>
      <c r="L1100" s="764">
        <v>0.8027777777777777</v>
      </c>
      <c r="M1100" s="474">
        <f t="shared" si="133"/>
        <v>0.8027777777777777</v>
      </c>
      <c r="N1100" s="519">
        <v>0.80555555555555547</v>
      </c>
      <c r="P1100" s="29" t="str">
        <f t="shared" si="128"/>
        <v>2016EF0</v>
      </c>
      <c r="Q1100" s="29" t="str">
        <f t="shared" si="129"/>
        <v>EF019</v>
      </c>
      <c r="R1100" s="29" t="str">
        <f t="shared" si="130"/>
        <v>AprilEF0</v>
      </c>
    </row>
    <row r="1101" spans="1:18">
      <c r="A1101" s="483">
        <f t="shared" si="132"/>
        <v>1097</v>
      </c>
      <c r="B1101" s="765">
        <f t="shared" si="132"/>
        <v>5</v>
      </c>
      <c r="C1101" s="694">
        <v>42475</v>
      </c>
      <c r="D1101" s="763" t="str">
        <f t="shared" si="131"/>
        <v>April</v>
      </c>
      <c r="E1101" s="763">
        <v>15</v>
      </c>
      <c r="F1101" s="762">
        <v>2016</v>
      </c>
      <c r="G1101" s="763" t="s">
        <v>100</v>
      </c>
      <c r="H1101" s="762" t="s">
        <v>161</v>
      </c>
      <c r="I1101" s="763">
        <v>25</v>
      </c>
      <c r="J1101" s="763">
        <v>0.78</v>
      </c>
      <c r="K1101" s="472">
        <f t="shared" ref="K1101:K1157" si="134">HOUR(M1101)</f>
        <v>19</v>
      </c>
      <c r="L1101" s="764">
        <v>0.80486111111111114</v>
      </c>
      <c r="M1101" s="474">
        <f t="shared" si="133"/>
        <v>0.80486111111111114</v>
      </c>
      <c r="N1101" s="519">
        <v>0.80625000000000002</v>
      </c>
      <c r="P1101" s="29" t="str">
        <f t="shared" si="128"/>
        <v>2016EF0</v>
      </c>
      <c r="Q1101" s="29" t="str">
        <f t="shared" si="129"/>
        <v>EF019</v>
      </c>
      <c r="R1101" s="29" t="str">
        <f t="shared" si="130"/>
        <v>AprilEF0</v>
      </c>
    </row>
    <row r="1102" spans="1:18">
      <c r="A1102" s="483">
        <f t="shared" si="132"/>
        <v>1098</v>
      </c>
      <c r="B1102" s="765">
        <f t="shared" si="132"/>
        <v>6</v>
      </c>
      <c r="C1102" s="694">
        <v>42475</v>
      </c>
      <c r="D1102" s="763" t="str">
        <f t="shared" si="131"/>
        <v>April</v>
      </c>
      <c r="E1102" s="763">
        <v>15</v>
      </c>
      <c r="F1102" s="762">
        <v>2016</v>
      </c>
      <c r="G1102" s="763" t="s">
        <v>112</v>
      </c>
      <c r="H1102" s="762" t="s">
        <v>161</v>
      </c>
      <c r="I1102" s="763">
        <v>50</v>
      </c>
      <c r="J1102" s="763">
        <v>0.8</v>
      </c>
      <c r="K1102" s="472">
        <f t="shared" si="134"/>
        <v>20</v>
      </c>
      <c r="L1102" s="764">
        <v>0.86805555555555547</v>
      </c>
      <c r="M1102" s="474">
        <f t="shared" si="133"/>
        <v>0.86805555555555547</v>
      </c>
      <c r="N1102" s="519">
        <v>0.86875000000000002</v>
      </c>
      <c r="P1102" s="29" t="str">
        <f t="shared" si="128"/>
        <v>2016EF0</v>
      </c>
      <c r="Q1102" s="29" t="str">
        <f t="shared" si="129"/>
        <v>EF020</v>
      </c>
      <c r="R1102" s="29" t="str">
        <f t="shared" si="130"/>
        <v>AprilEF0</v>
      </c>
    </row>
    <row r="1103" spans="1:18">
      <c r="A1103" s="483">
        <f t="shared" si="132"/>
        <v>1099</v>
      </c>
      <c r="B1103" s="765">
        <f t="shared" si="132"/>
        <v>7</v>
      </c>
      <c r="C1103" s="694">
        <v>42506</v>
      </c>
      <c r="D1103" s="763" t="str">
        <f t="shared" si="131"/>
        <v>May</v>
      </c>
      <c r="E1103" s="763">
        <v>16</v>
      </c>
      <c r="F1103" s="762">
        <v>2016</v>
      </c>
      <c r="G1103" s="763" t="s">
        <v>99</v>
      </c>
      <c r="H1103" s="762" t="s">
        <v>161</v>
      </c>
      <c r="I1103" s="763">
        <v>25</v>
      </c>
      <c r="J1103" s="763">
        <v>0.52</v>
      </c>
      <c r="K1103" s="472">
        <f t="shared" si="134"/>
        <v>15</v>
      </c>
      <c r="L1103" s="764">
        <v>0.65208333333333335</v>
      </c>
      <c r="M1103" s="474">
        <f t="shared" si="133"/>
        <v>0.65208333333333335</v>
      </c>
      <c r="N1103" s="519">
        <v>0.65277777777777779</v>
      </c>
      <c r="P1103" s="29" t="str">
        <f t="shared" si="128"/>
        <v>2016EF0</v>
      </c>
      <c r="Q1103" s="29" t="str">
        <f t="shared" si="129"/>
        <v>EF015</v>
      </c>
      <c r="R1103" s="29" t="str">
        <f t="shared" si="130"/>
        <v>MayEF0</v>
      </c>
    </row>
    <row r="1104" spans="1:18">
      <c r="A1104" s="483">
        <f t="shared" si="132"/>
        <v>1100</v>
      </c>
      <c r="B1104" s="765">
        <f t="shared" si="132"/>
        <v>8</v>
      </c>
      <c r="C1104" s="694">
        <v>42506</v>
      </c>
      <c r="D1104" s="763" t="str">
        <f t="shared" si="131"/>
        <v>May</v>
      </c>
      <c r="E1104" s="763">
        <v>16</v>
      </c>
      <c r="F1104" s="762">
        <v>2016</v>
      </c>
      <c r="G1104" s="763" t="s">
        <v>99</v>
      </c>
      <c r="H1104" s="762" t="s">
        <v>161</v>
      </c>
      <c r="I1104" s="763">
        <v>25</v>
      </c>
      <c r="J1104" s="763">
        <v>0.31</v>
      </c>
      <c r="K1104" s="472">
        <f t="shared" si="134"/>
        <v>15</v>
      </c>
      <c r="L1104" s="764">
        <v>0.6645833333333333</v>
      </c>
      <c r="M1104" s="474">
        <f t="shared" si="133"/>
        <v>0.6645833333333333</v>
      </c>
      <c r="N1104" s="519">
        <v>0.66527777777777775</v>
      </c>
      <c r="P1104" s="29" t="str">
        <f t="shared" si="128"/>
        <v>2016EF0</v>
      </c>
      <c r="Q1104" s="29" t="str">
        <f t="shared" si="129"/>
        <v>EF015</v>
      </c>
      <c r="R1104" s="29" t="str">
        <f t="shared" si="130"/>
        <v>MayEF0</v>
      </c>
    </row>
    <row r="1105" spans="1:18">
      <c r="A1105" s="483">
        <f t="shared" si="132"/>
        <v>1101</v>
      </c>
      <c r="B1105" s="765">
        <f t="shared" si="132"/>
        <v>9</v>
      </c>
      <c r="C1105" s="694">
        <v>42506</v>
      </c>
      <c r="D1105" s="763" t="str">
        <f t="shared" si="131"/>
        <v>May</v>
      </c>
      <c r="E1105" s="763">
        <v>16</v>
      </c>
      <c r="F1105" s="762">
        <v>2016</v>
      </c>
      <c r="G1105" s="763" t="s">
        <v>102</v>
      </c>
      <c r="H1105" s="762" t="s">
        <v>162</v>
      </c>
      <c r="I1105" s="763">
        <v>25</v>
      </c>
      <c r="J1105" s="763">
        <v>0.87</v>
      </c>
      <c r="K1105" s="472">
        <f t="shared" si="134"/>
        <v>16</v>
      </c>
      <c r="L1105" s="764">
        <v>0.69444444444444453</v>
      </c>
      <c r="M1105" s="474">
        <f t="shared" si="133"/>
        <v>0.69444444444444453</v>
      </c>
      <c r="N1105" s="519">
        <v>0.6958333333333333</v>
      </c>
      <c r="P1105" s="29" t="str">
        <f t="shared" si="128"/>
        <v>2016EF1</v>
      </c>
      <c r="Q1105" s="29" t="str">
        <f t="shared" si="129"/>
        <v>EF116</v>
      </c>
      <c r="R1105" s="29" t="str">
        <f t="shared" si="130"/>
        <v>MayEF1</v>
      </c>
    </row>
    <row r="1106" spans="1:18">
      <c r="A1106" s="483">
        <f t="shared" si="132"/>
        <v>1102</v>
      </c>
      <c r="B1106" s="765">
        <f t="shared" si="132"/>
        <v>10</v>
      </c>
      <c r="C1106" s="694">
        <v>42506</v>
      </c>
      <c r="D1106" s="763" t="str">
        <f t="shared" si="131"/>
        <v>May</v>
      </c>
      <c r="E1106" s="763">
        <v>16</v>
      </c>
      <c r="F1106" s="762">
        <v>2016</v>
      </c>
      <c r="G1106" s="763" t="s">
        <v>102</v>
      </c>
      <c r="H1106" s="762" t="s">
        <v>161</v>
      </c>
      <c r="I1106" s="763">
        <v>50</v>
      </c>
      <c r="J1106" s="763">
        <v>0.2</v>
      </c>
      <c r="K1106" s="472">
        <f t="shared" si="134"/>
        <v>17</v>
      </c>
      <c r="L1106" s="764">
        <v>0.71250000000000002</v>
      </c>
      <c r="M1106" s="474">
        <f t="shared" si="133"/>
        <v>0.71250000000000002</v>
      </c>
      <c r="N1106" s="519">
        <v>0.71319444444444446</v>
      </c>
      <c r="P1106" s="29" t="str">
        <f t="shared" si="128"/>
        <v>2016EF0</v>
      </c>
      <c r="Q1106" s="29" t="str">
        <f t="shared" si="129"/>
        <v>EF017</v>
      </c>
      <c r="R1106" s="29" t="str">
        <f t="shared" si="130"/>
        <v>MayEF0</v>
      </c>
    </row>
    <row r="1107" spans="1:18">
      <c r="A1107" s="483">
        <f t="shared" si="132"/>
        <v>1103</v>
      </c>
      <c r="B1107" s="765">
        <f t="shared" si="132"/>
        <v>11</v>
      </c>
      <c r="C1107" s="694">
        <v>42506</v>
      </c>
      <c r="D1107" s="763" t="str">
        <f t="shared" si="131"/>
        <v>May</v>
      </c>
      <c r="E1107" s="763">
        <v>16</v>
      </c>
      <c r="F1107" s="762">
        <v>2016</v>
      </c>
      <c r="G1107" s="763" t="s">
        <v>111</v>
      </c>
      <c r="H1107" s="762" t="s">
        <v>161</v>
      </c>
      <c r="I1107" s="763">
        <v>25</v>
      </c>
      <c r="J1107" s="763">
        <v>0.1</v>
      </c>
      <c r="K1107" s="472">
        <f t="shared" si="134"/>
        <v>19</v>
      </c>
      <c r="L1107" s="764">
        <v>0.82777777777777783</v>
      </c>
      <c r="M1107" s="474">
        <f t="shared" si="133"/>
        <v>0.82777777777777783</v>
      </c>
      <c r="N1107" s="519">
        <v>0.82847222222222217</v>
      </c>
      <c r="P1107" s="29" t="str">
        <f t="shared" si="128"/>
        <v>2016EF0</v>
      </c>
      <c r="Q1107" s="29" t="str">
        <f t="shared" si="129"/>
        <v>EF019</v>
      </c>
      <c r="R1107" s="29" t="str">
        <f t="shared" si="130"/>
        <v>MayEF0</v>
      </c>
    </row>
    <row r="1108" spans="1:18">
      <c r="A1108" s="483">
        <f t="shared" si="132"/>
        <v>1104</v>
      </c>
      <c r="B1108" s="765">
        <f t="shared" si="132"/>
        <v>12</v>
      </c>
      <c r="C1108" s="694">
        <v>42506</v>
      </c>
      <c r="D1108" s="763" t="str">
        <f t="shared" si="131"/>
        <v>May</v>
      </c>
      <c r="E1108" s="763">
        <v>16</v>
      </c>
      <c r="F1108" s="762">
        <v>2016</v>
      </c>
      <c r="G1108" s="763" t="s">
        <v>111</v>
      </c>
      <c r="H1108" s="762" t="s">
        <v>161</v>
      </c>
      <c r="I1108" s="763">
        <v>25</v>
      </c>
      <c r="J1108" s="763">
        <v>9.42</v>
      </c>
      <c r="K1108" s="472">
        <f t="shared" si="134"/>
        <v>20</v>
      </c>
      <c r="L1108" s="764">
        <v>0.83750000000000002</v>
      </c>
      <c r="M1108" s="474">
        <f t="shared" si="133"/>
        <v>0.83750000000000002</v>
      </c>
      <c r="N1108" s="519">
        <v>0.85069444444444453</v>
      </c>
      <c r="P1108" s="29" t="str">
        <f t="shared" si="128"/>
        <v>2016EF0</v>
      </c>
      <c r="Q1108" s="29" t="str">
        <f t="shared" si="129"/>
        <v>EF020</v>
      </c>
      <c r="R1108" s="29" t="str">
        <f t="shared" si="130"/>
        <v>MayEF0</v>
      </c>
    </row>
    <row r="1109" spans="1:18">
      <c r="A1109" s="483">
        <f t="shared" si="132"/>
        <v>1105</v>
      </c>
      <c r="B1109" s="765">
        <f t="shared" si="132"/>
        <v>13</v>
      </c>
      <c r="C1109" s="694">
        <v>42506</v>
      </c>
      <c r="D1109" s="763" t="str">
        <f t="shared" si="131"/>
        <v>May</v>
      </c>
      <c r="E1109" s="763">
        <v>16</v>
      </c>
      <c r="F1109" s="762">
        <v>2016</v>
      </c>
      <c r="G1109" s="763" t="s">
        <v>111</v>
      </c>
      <c r="H1109" s="762" t="s">
        <v>161</v>
      </c>
      <c r="I1109" s="763">
        <v>50</v>
      </c>
      <c r="J1109" s="763">
        <v>0.15</v>
      </c>
      <c r="K1109" s="472">
        <f t="shared" si="134"/>
        <v>20</v>
      </c>
      <c r="L1109" s="764">
        <v>0.85763888888888884</v>
      </c>
      <c r="M1109" s="474">
        <f t="shared" si="133"/>
        <v>0.85763888888888884</v>
      </c>
      <c r="N1109" s="519">
        <v>0.85833333333333339</v>
      </c>
      <c r="P1109" s="29" t="str">
        <f t="shared" si="128"/>
        <v>2016EF0</v>
      </c>
      <c r="Q1109" s="29" t="str">
        <f t="shared" si="129"/>
        <v>EF020</v>
      </c>
      <c r="R1109" s="29" t="str">
        <f t="shared" si="130"/>
        <v>MayEF0</v>
      </c>
    </row>
    <row r="1110" spans="1:18">
      <c r="A1110" s="483">
        <f t="shared" si="132"/>
        <v>1106</v>
      </c>
      <c r="B1110" s="765">
        <f t="shared" si="132"/>
        <v>14</v>
      </c>
      <c r="C1110" s="694">
        <v>42512</v>
      </c>
      <c r="D1110" s="763" t="str">
        <f t="shared" si="131"/>
        <v>May</v>
      </c>
      <c r="E1110" s="763">
        <v>22</v>
      </c>
      <c r="F1110" s="762">
        <v>2016</v>
      </c>
      <c r="G1110" s="763" t="s">
        <v>120</v>
      </c>
      <c r="H1110" s="762" t="s">
        <v>161</v>
      </c>
      <c r="I1110" s="763">
        <v>25</v>
      </c>
      <c r="J1110" s="763">
        <v>0.36</v>
      </c>
      <c r="K1110" s="472">
        <f t="shared" si="134"/>
        <v>16</v>
      </c>
      <c r="L1110" s="764">
        <v>0.6875</v>
      </c>
      <c r="M1110" s="474">
        <f t="shared" si="133"/>
        <v>0.6875</v>
      </c>
      <c r="N1110" s="519">
        <v>0.68819444444444444</v>
      </c>
      <c r="P1110" s="29" t="str">
        <f t="shared" si="128"/>
        <v>2016EF0</v>
      </c>
      <c r="Q1110" s="29" t="str">
        <f t="shared" si="129"/>
        <v>EF016</v>
      </c>
      <c r="R1110" s="29" t="str">
        <f t="shared" si="130"/>
        <v>MayEF0</v>
      </c>
    </row>
    <row r="1111" spans="1:18">
      <c r="A1111" s="483">
        <f t="shared" si="132"/>
        <v>1107</v>
      </c>
      <c r="B1111" s="765">
        <f t="shared" si="132"/>
        <v>15</v>
      </c>
      <c r="C1111" s="694">
        <v>42512</v>
      </c>
      <c r="D1111" s="763" t="str">
        <f t="shared" si="131"/>
        <v>May</v>
      </c>
      <c r="E1111" s="763">
        <v>22</v>
      </c>
      <c r="F1111" s="762">
        <v>2016</v>
      </c>
      <c r="G1111" s="763" t="s">
        <v>120</v>
      </c>
      <c r="H1111" s="762" t="s">
        <v>162</v>
      </c>
      <c r="I1111" s="763">
        <v>75</v>
      </c>
      <c r="J1111" s="763">
        <v>1.05</v>
      </c>
      <c r="K1111" s="472">
        <f t="shared" si="134"/>
        <v>16</v>
      </c>
      <c r="L1111" s="764">
        <v>0.69374999999999998</v>
      </c>
      <c r="M1111" s="474">
        <f t="shared" si="133"/>
        <v>0.69374999999999998</v>
      </c>
      <c r="N1111" s="519">
        <v>0.70000000000000007</v>
      </c>
      <c r="P1111" s="29" t="str">
        <f t="shared" si="128"/>
        <v>2016EF1</v>
      </c>
      <c r="Q1111" s="29" t="str">
        <f t="shared" si="129"/>
        <v>EF116</v>
      </c>
      <c r="R1111" s="29" t="str">
        <f t="shared" si="130"/>
        <v>MayEF1</v>
      </c>
    </row>
    <row r="1112" spans="1:18">
      <c r="A1112" s="483">
        <f t="shared" si="132"/>
        <v>1108</v>
      </c>
      <c r="B1112" s="765">
        <f t="shared" si="132"/>
        <v>16</v>
      </c>
      <c r="C1112" s="694">
        <v>42512</v>
      </c>
      <c r="D1112" s="763" t="str">
        <f t="shared" si="131"/>
        <v>May</v>
      </c>
      <c r="E1112" s="763">
        <v>22</v>
      </c>
      <c r="F1112" s="762">
        <v>2016</v>
      </c>
      <c r="G1112" s="763" t="s">
        <v>105</v>
      </c>
      <c r="H1112" s="762" t="s">
        <v>161</v>
      </c>
      <c r="I1112" s="763">
        <v>75</v>
      </c>
      <c r="J1112" s="763">
        <v>2.5</v>
      </c>
      <c r="K1112" s="472">
        <f t="shared" si="134"/>
        <v>17</v>
      </c>
      <c r="L1112" s="764">
        <v>0.73888888888888893</v>
      </c>
      <c r="M1112" s="474">
        <f t="shared" si="133"/>
        <v>0.73888888888888893</v>
      </c>
      <c r="N1112" s="519">
        <v>0.74375000000000002</v>
      </c>
      <c r="P1112" s="29" t="str">
        <f t="shared" si="128"/>
        <v>2016EF0</v>
      </c>
      <c r="Q1112" s="29" t="str">
        <f t="shared" si="129"/>
        <v>EF017</v>
      </c>
      <c r="R1112" s="29" t="str">
        <f t="shared" si="130"/>
        <v>MayEF0</v>
      </c>
    </row>
    <row r="1113" spans="1:18">
      <c r="A1113" s="483">
        <f t="shared" si="132"/>
        <v>1109</v>
      </c>
      <c r="B1113" s="765">
        <f t="shared" si="132"/>
        <v>17</v>
      </c>
      <c r="C1113" s="694">
        <v>42512</v>
      </c>
      <c r="D1113" s="763" t="str">
        <f t="shared" si="131"/>
        <v>May</v>
      </c>
      <c r="E1113" s="763">
        <v>22</v>
      </c>
      <c r="F1113" s="762">
        <v>2016</v>
      </c>
      <c r="G1113" s="763" t="s">
        <v>105</v>
      </c>
      <c r="H1113" s="762" t="s">
        <v>162</v>
      </c>
      <c r="I1113" s="763">
        <v>500</v>
      </c>
      <c r="J1113" s="763">
        <v>1.5</v>
      </c>
      <c r="K1113" s="472">
        <f t="shared" si="134"/>
        <v>17</v>
      </c>
      <c r="L1113" s="764">
        <v>0.74791666666666667</v>
      </c>
      <c r="M1113" s="474">
        <f t="shared" si="133"/>
        <v>0.74791666666666667</v>
      </c>
      <c r="N1113" s="519">
        <v>0.75347222222222221</v>
      </c>
      <c r="P1113" s="29" t="str">
        <f t="shared" si="128"/>
        <v>2016EF1</v>
      </c>
      <c r="Q1113" s="29" t="str">
        <f t="shared" si="129"/>
        <v>EF117</v>
      </c>
      <c r="R1113" s="29" t="str">
        <f t="shared" si="130"/>
        <v>MayEF1</v>
      </c>
    </row>
    <row r="1114" spans="1:18">
      <c r="A1114" s="483">
        <f t="shared" si="132"/>
        <v>1110</v>
      </c>
      <c r="B1114" s="765">
        <f t="shared" si="132"/>
        <v>18</v>
      </c>
      <c r="C1114" s="694">
        <v>42512</v>
      </c>
      <c r="D1114" s="763" t="str">
        <f t="shared" si="131"/>
        <v>May</v>
      </c>
      <c r="E1114" s="763">
        <v>22</v>
      </c>
      <c r="F1114" s="762">
        <v>2016</v>
      </c>
      <c r="G1114" s="763" t="s">
        <v>105</v>
      </c>
      <c r="H1114" s="762" t="s">
        <v>162</v>
      </c>
      <c r="I1114" s="763">
        <v>400</v>
      </c>
      <c r="J1114" s="763">
        <v>1.5</v>
      </c>
      <c r="K1114" s="472">
        <f t="shared" si="134"/>
        <v>18</v>
      </c>
      <c r="L1114" s="764">
        <v>0.75277777777777777</v>
      </c>
      <c r="M1114" s="474">
        <f t="shared" si="133"/>
        <v>0.75277777777777777</v>
      </c>
      <c r="N1114" s="519">
        <v>0.75486111111111109</v>
      </c>
      <c r="P1114" s="29" t="str">
        <f t="shared" si="128"/>
        <v>2016EF1</v>
      </c>
      <c r="Q1114" s="29" t="str">
        <f t="shared" si="129"/>
        <v>EF118</v>
      </c>
      <c r="R1114" s="29" t="str">
        <f t="shared" si="130"/>
        <v>MayEF1</v>
      </c>
    </row>
    <row r="1115" spans="1:18">
      <c r="A1115" s="483">
        <f t="shared" si="132"/>
        <v>1111</v>
      </c>
      <c r="B1115" s="765">
        <f t="shared" si="132"/>
        <v>19</v>
      </c>
      <c r="C1115" s="694">
        <v>42512</v>
      </c>
      <c r="D1115" s="763" t="str">
        <f t="shared" si="131"/>
        <v>May</v>
      </c>
      <c r="E1115" s="763">
        <v>22</v>
      </c>
      <c r="F1115" s="762">
        <v>2016</v>
      </c>
      <c r="G1115" s="763" t="s">
        <v>105</v>
      </c>
      <c r="H1115" s="762" t="s">
        <v>162</v>
      </c>
      <c r="I1115" s="763">
        <v>75</v>
      </c>
      <c r="J1115" s="763">
        <v>2.4</v>
      </c>
      <c r="K1115" s="472">
        <f t="shared" si="134"/>
        <v>18</v>
      </c>
      <c r="L1115" s="764">
        <v>0.76041666666666663</v>
      </c>
      <c r="M1115" s="474">
        <f t="shared" si="133"/>
        <v>0.76041666666666663</v>
      </c>
      <c r="N1115" s="519">
        <v>0.76388888888888884</v>
      </c>
      <c r="P1115" s="29" t="str">
        <f t="shared" si="128"/>
        <v>2016EF1</v>
      </c>
      <c r="Q1115" s="29" t="str">
        <f t="shared" si="129"/>
        <v>EF118</v>
      </c>
      <c r="R1115" s="29" t="str">
        <f t="shared" si="130"/>
        <v>MayEF1</v>
      </c>
    </row>
    <row r="1116" spans="1:18">
      <c r="A1116" s="483">
        <f t="shared" si="132"/>
        <v>1112</v>
      </c>
      <c r="B1116" s="765">
        <f t="shared" si="132"/>
        <v>20</v>
      </c>
      <c r="C1116" s="694">
        <v>42512</v>
      </c>
      <c r="D1116" s="763" t="str">
        <f t="shared" si="131"/>
        <v>May</v>
      </c>
      <c r="E1116" s="763">
        <v>22</v>
      </c>
      <c r="F1116" s="762">
        <v>2016</v>
      </c>
      <c r="G1116" s="763" t="s">
        <v>105</v>
      </c>
      <c r="H1116" s="906" t="s">
        <v>161</v>
      </c>
      <c r="I1116" s="763">
        <v>50</v>
      </c>
      <c r="J1116" s="763">
        <v>0.25</v>
      </c>
      <c r="K1116" s="472">
        <f t="shared" si="134"/>
        <v>18</v>
      </c>
      <c r="L1116" s="764">
        <v>0.78402777777777777</v>
      </c>
      <c r="M1116" s="474">
        <f t="shared" si="133"/>
        <v>0.78402777777777777</v>
      </c>
      <c r="N1116" s="519">
        <v>0.78541666666666676</v>
      </c>
      <c r="P1116" s="29" t="str">
        <f t="shared" si="128"/>
        <v>2016EF0</v>
      </c>
      <c r="Q1116" s="29" t="str">
        <f t="shared" si="129"/>
        <v>EF018</v>
      </c>
      <c r="R1116" s="29" t="str">
        <f t="shared" si="130"/>
        <v>MayEF0</v>
      </c>
    </row>
    <row r="1117" spans="1:18">
      <c r="A1117" s="483">
        <f t="shared" si="132"/>
        <v>1113</v>
      </c>
      <c r="B1117" s="765">
        <f t="shared" si="132"/>
        <v>21</v>
      </c>
      <c r="C1117" s="694">
        <v>42512</v>
      </c>
      <c r="D1117" s="763" t="str">
        <f t="shared" si="131"/>
        <v>May</v>
      </c>
      <c r="E1117" s="763">
        <v>22</v>
      </c>
      <c r="F1117" s="762">
        <v>2016</v>
      </c>
      <c r="G1117" s="763" t="s">
        <v>105</v>
      </c>
      <c r="H1117" s="762" t="s">
        <v>161</v>
      </c>
      <c r="I1117" s="763">
        <v>50</v>
      </c>
      <c r="J1117" s="763">
        <v>0.1</v>
      </c>
      <c r="K1117" s="472">
        <f t="shared" si="134"/>
        <v>19</v>
      </c>
      <c r="L1117" s="764">
        <v>0.82291666666666663</v>
      </c>
      <c r="M1117" s="474">
        <f t="shared" si="133"/>
        <v>0.82291666666666663</v>
      </c>
      <c r="N1117" s="519">
        <v>0.82361111111111107</v>
      </c>
      <c r="P1117" s="29" t="str">
        <f t="shared" si="128"/>
        <v>2016EF0</v>
      </c>
      <c r="Q1117" s="29" t="str">
        <f t="shared" si="129"/>
        <v>EF019</v>
      </c>
      <c r="R1117" s="29" t="str">
        <f t="shared" si="130"/>
        <v>MayEF0</v>
      </c>
    </row>
    <row r="1118" spans="1:18">
      <c r="A1118" s="483">
        <f t="shared" si="132"/>
        <v>1114</v>
      </c>
      <c r="B1118" s="765">
        <f t="shared" si="132"/>
        <v>22</v>
      </c>
      <c r="C1118" s="694">
        <v>42514</v>
      </c>
      <c r="D1118" s="763" t="str">
        <f t="shared" si="131"/>
        <v>May</v>
      </c>
      <c r="E1118" s="763">
        <v>24</v>
      </c>
      <c r="F1118" s="762">
        <v>2016</v>
      </c>
      <c r="G1118" s="763" t="s">
        <v>109</v>
      </c>
      <c r="H1118" s="906" t="s">
        <v>161</v>
      </c>
      <c r="I1118" s="763">
        <v>25</v>
      </c>
      <c r="J1118" s="763">
        <v>0.36</v>
      </c>
      <c r="K1118" s="472">
        <f t="shared" si="134"/>
        <v>17</v>
      </c>
      <c r="L1118" s="764">
        <v>0.73888888888888893</v>
      </c>
      <c r="M1118" s="474">
        <f t="shared" si="133"/>
        <v>0.73888888888888893</v>
      </c>
      <c r="N1118" s="519">
        <v>0.73958333333333337</v>
      </c>
      <c r="P1118" s="29" t="str">
        <f t="shared" si="128"/>
        <v>2016EF0</v>
      </c>
      <c r="Q1118" s="29" t="str">
        <f t="shared" si="129"/>
        <v>EF017</v>
      </c>
      <c r="R1118" s="29" t="str">
        <f t="shared" si="130"/>
        <v>MayEF0</v>
      </c>
    </row>
    <row r="1119" spans="1:18">
      <c r="A1119" s="483">
        <f t="shared" si="132"/>
        <v>1115</v>
      </c>
      <c r="B1119" s="765">
        <f t="shared" si="132"/>
        <v>23</v>
      </c>
      <c r="C1119" s="694">
        <v>42516</v>
      </c>
      <c r="D1119" s="763" t="str">
        <f t="shared" si="131"/>
        <v>May</v>
      </c>
      <c r="E1119" s="763">
        <v>26</v>
      </c>
      <c r="F1119" s="762">
        <v>2016</v>
      </c>
      <c r="G1119" s="763" t="s">
        <v>111</v>
      </c>
      <c r="H1119" s="906" t="s">
        <v>161</v>
      </c>
      <c r="I1119" s="763">
        <v>25</v>
      </c>
      <c r="J1119" s="763">
        <v>0.11</v>
      </c>
      <c r="K1119" s="472">
        <f t="shared" si="134"/>
        <v>19</v>
      </c>
      <c r="L1119" s="764">
        <v>0.79861111111111116</v>
      </c>
      <c r="M1119" s="474">
        <f t="shared" si="133"/>
        <v>0.79861111111111116</v>
      </c>
      <c r="N1119" s="519">
        <v>0.80069444444444438</v>
      </c>
      <c r="P1119" s="29" t="str">
        <f t="shared" si="128"/>
        <v>2016EF0</v>
      </c>
      <c r="Q1119" s="29" t="str">
        <f t="shared" si="129"/>
        <v>EF019</v>
      </c>
      <c r="R1119" s="29" t="str">
        <f t="shared" si="130"/>
        <v>MayEF0</v>
      </c>
    </row>
    <row r="1120" spans="1:18">
      <c r="A1120" s="483">
        <f t="shared" si="132"/>
        <v>1116</v>
      </c>
      <c r="B1120" s="765">
        <f t="shared" si="132"/>
        <v>24</v>
      </c>
      <c r="C1120" s="694">
        <v>42534</v>
      </c>
      <c r="D1120" s="763" t="str">
        <f t="shared" si="131"/>
        <v>June</v>
      </c>
      <c r="E1120" s="763">
        <v>13</v>
      </c>
      <c r="F1120" s="762">
        <v>2016</v>
      </c>
      <c r="G1120" s="763" t="s">
        <v>108</v>
      </c>
      <c r="H1120" s="762" t="s">
        <v>161</v>
      </c>
      <c r="I1120" s="763">
        <v>50</v>
      </c>
      <c r="J1120" s="763">
        <v>0.3</v>
      </c>
      <c r="K1120" s="472">
        <f t="shared" si="134"/>
        <v>19</v>
      </c>
      <c r="L1120" s="764">
        <v>0.79583333333333339</v>
      </c>
      <c r="M1120" s="474">
        <f t="shared" si="133"/>
        <v>0.79583333333333339</v>
      </c>
      <c r="N1120" s="519">
        <v>0.7993055555555556</v>
      </c>
      <c r="P1120" s="29" t="str">
        <f t="shared" si="128"/>
        <v>2016EF0</v>
      </c>
      <c r="Q1120" s="29" t="str">
        <f t="shared" si="129"/>
        <v>EF019</v>
      </c>
      <c r="R1120" s="29" t="str">
        <f t="shared" si="130"/>
        <v>JuneEF0</v>
      </c>
    </row>
    <row r="1121" spans="1:18">
      <c r="A1121" s="483">
        <f t="shared" si="132"/>
        <v>1117</v>
      </c>
      <c r="B1121" s="765">
        <f t="shared" si="132"/>
        <v>25</v>
      </c>
      <c r="C1121" s="694">
        <v>42534</v>
      </c>
      <c r="D1121" s="763" t="str">
        <f t="shared" si="131"/>
        <v>June</v>
      </c>
      <c r="E1121" s="763">
        <v>13</v>
      </c>
      <c r="F1121" s="762">
        <v>2016</v>
      </c>
      <c r="G1121" s="763" t="s">
        <v>113</v>
      </c>
      <c r="H1121" s="762" t="s">
        <v>162</v>
      </c>
      <c r="I1121" s="763">
        <v>100</v>
      </c>
      <c r="J1121" s="763">
        <v>4.17</v>
      </c>
      <c r="K1121" s="472">
        <f t="shared" si="134"/>
        <v>19</v>
      </c>
      <c r="L1121" s="764">
        <v>0.80902777777777779</v>
      </c>
      <c r="M1121" s="474">
        <f t="shared" si="133"/>
        <v>0.80902777777777779</v>
      </c>
      <c r="N1121" s="519">
        <v>0.81736111111111109</v>
      </c>
      <c r="P1121" s="29" t="str">
        <f t="shared" si="128"/>
        <v>2016EF1</v>
      </c>
      <c r="Q1121" s="29" t="str">
        <f t="shared" si="129"/>
        <v>EF119</v>
      </c>
      <c r="R1121" s="29" t="str">
        <f t="shared" si="130"/>
        <v>JuneEF1</v>
      </c>
    </row>
    <row r="1122" spans="1:18">
      <c r="A1122" s="483">
        <f t="shared" si="132"/>
        <v>1118</v>
      </c>
      <c r="B1122" s="765">
        <f t="shared" si="132"/>
        <v>26</v>
      </c>
      <c r="C1122" s="694">
        <v>42622</v>
      </c>
      <c r="D1122" s="763" t="str">
        <f t="shared" si="131"/>
        <v>September</v>
      </c>
      <c r="E1122" s="763">
        <v>9</v>
      </c>
      <c r="F1122" s="762">
        <v>2016</v>
      </c>
      <c r="G1122" s="763" t="s">
        <v>104</v>
      </c>
      <c r="H1122" s="762" t="s">
        <v>161</v>
      </c>
      <c r="I1122" s="763">
        <v>15</v>
      </c>
      <c r="J1122" s="763">
        <v>0.28000000000000003</v>
      </c>
      <c r="K1122" s="472">
        <f t="shared" si="134"/>
        <v>17</v>
      </c>
      <c r="L1122" s="764">
        <v>0.72222222222222221</v>
      </c>
      <c r="M1122" s="474">
        <f t="shared" si="133"/>
        <v>0.72222222222222221</v>
      </c>
      <c r="N1122" s="519">
        <v>0.72291666666666676</v>
      </c>
      <c r="P1122" s="29" t="str">
        <f t="shared" si="128"/>
        <v>2016EF0</v>
      </c>
      <c r="Q1122" s="29" t="str">
        <f t="shared" si="129"/>
        <v>EF017</v>
      </c>
      <c r="R1122" s="29" t="str">
        <f t="shared" si="130"/>
        <v>SeptemberEF0</v>
      </c>
    </row>
    <row r="1123" spans="1:18">
      <c r="A1123" s="483">
        <f t="shared" si="132"/>
        <v>1119</v>
      </c>
      <c r="B1123" s="765">
        <f t="shared" si="132"/>
        <v>27</v>
      </c>
      <c r="C1123" s="694">
        <v>42630</v>
      </c>
      <c r="D1123" s="763" t="str">
        <f t="shared" si="131"/>
        <v>September</v>
      </c>
      <c r="E1123" s="763">
        <v>17</v>
      </c>
      <c r="F1123" s="762">
        <v>2016</v>
      </c>
      <c r="G1123" s="763" t="s">
        <v>108</v>
      </c>
      <c r="H1123" s="762" t="s">
        <v>161</v>
      </c>
      <c r="I1123" s="763">
        <v>15</v>
      </c>
      <c r="J1123" s="763">
        <v>0.01</v>
      </c>
      <c r="K1123" s="472">
        <f t="shared" si="134"/>
        <v>20</v>
      </c>
      <c r="L1123" s="764">
        <v>0.8618055555555556</v>
      </c>
      <c r="M1123" s="474">
        <f t="shared" si="133"/>
        <v>0.8618055555555556</v>
      </c>
      <c r="N1123" s="519">
        <v>0.86249999999999993</v>
      </c>
      <c r="P1123" s="29" t="str">
        <f t="shared" si="128"/>
        <v>2016EF0</v>
      </c>
      <c r="Q1123" s="29" t="str">
        <f t="shared" si="129"/>
        <v>EF020</v>
      </c>
      <c r="R1123" s="29" t="str">
        <f t="shared" si="130"/>
        <v>SeptemberEF0</v>
      </c>
    </row>
    <row r="1124" spans="1:18">
      <c r="A1124" s="483">
        <f t="shared" si="132"/>
        <v>1120</v>
      </c>
      <c r="B1124" s="765">
        <f t="shared" si="132"/>
        <v>28</v>
      </c>
      <c r="C1124" s="694">
        <v>42630</v>
      </c>
      <c r="D1124" s="763" t="str">
        <f t="shared" si="131"/>
        <v>September</v>
      </c>
      <c r="E1124" s="763">
        <v>17</v>
      </c>
      <c r="F1124" s="762">
        <v>2016</v>
      </c>
      <c r="G1124" s="763" t="s">
        <v>108</v>
      </c>
      <c r="H1124" s="762" t="s">
        <v>161</v>
      </c>
      <c r="I1124" s="763">
        <v>150</v>
      </c>
      <c r="J1124" s="763">
        <v>1.17</v>
      </c>
      <c r="K1124" s="472">
        <f t="shared" si="134"/>
        <v>20</v>
      </c>
      <c r="L1124" s="764">
        <v>0.86597222222222225</v>
      </c>
      <c r="M1124" s="474">
        <f t="shared" si="133"/>
        <v>0.86597222222222225</v>
      </c>
      <c r="N1124" s="519">
        <v>0.87083333333333324</v>
      </c>
      <c r="P1124" s="29" t="str">
        <f t="shared" si="128"/>
        <v>2016EF0</v>
      </c>
      <c r="Q1124" s="29" t="str">
        <f t="shared" si="129"/>
        <v>EF020</v>
      </c>
      <c r="R1124" s="29" t="str">
        <f t="shared" si="130"/>
        <v>SeptemberEF0</v>
      </c>
    </row>
    <row r="1125" spans="1:18">
      <c r="A1125" s="483">
        <f t="shared" si="132"/>
        <v>1121</v>
      </c>
      <c r="B1125" s="765">
        <v>1</v>
      </c>
      <c r="C1125" s="694">
        <v>42822</v>
      </c>
      <c r="D1125" s="763" t="str">
        <f t="shared" si="131"/>
        <v>March</v>
      </c>
      <c r="E1125" s="763">
        <v>28</v>
      </c>
      <c r="F1125" s="762">
        <v>2017</v>
      </c>
      <c r="G1125" s="763" t="s">
        <v>121</v>
      </c>
      <c r="H1125" s="762" t="s">
        <v>161</v>
      </c>
      <c r="I1125" s="763">
        <v>50</v>
      </c>
      <c r="J1125" s="763">
        <v>3.1</v>
      </c>
      <c r="K1125" s="472">
        <f t="shared" si="134"/>
        <v>16</v>
      </c>
      <c r="L1125" s="764">
        <v>0.70624999999999993</v>
      </c>
      <c r="M1125" s="474">
        <f t="shared" si="133"/>
        <v>0.70624999999999993</v>
      </c>
      <c r="N1125" s="519">
        <v>0.7090277777777777</v>
      </c>
      <c r="P1125" s="29" t="str">
        <f t="shared" si="128"/>
        <v>2017EF0</v>
      </c>
      <c r="Q1125" s="29" t="str">
        <f t="shared" si="129"/>
        <v>EF016</v>
      </c>
      <c r="R1125" s="29" t="str">
        <f t="shared" si="130"/>
        <v>MarchEF0</v>
      </c>
    </row>
    <row r="1126" spans="1:18">
      <c r="A1126" s="483">
        <f t="shared" si="132"/>
        <v>1122</v>
      </c>
      <c r="B1126" s="765">
        <f t="shared" ref="B1126" si="135">+B1125+1</f>
        <v>2</v>
      </c>
      <c r="C1126" s="694">
        <v>42865</v>
      </c>
      <c r="D1126" s="763" t="str">
        <f t="shared" si="131"/>
        <v>May</v>
      </c>
      <c r="E1126" s="763">
        <v>10</v>
      </c>
      <c r="F1126" s="762">
        <v>2017</v>
      </c>
      <c r="G1126" s="763" t="s">
        <v>119</v>
      </c>
      <c r="H1126" s="762" t="s">
        <v>162</v>
      </c>
      <c r="I1126" s="763">
        <v>180</v>
      </c>
      <c r="J1126" s="763">
        <v>2.8</v>
      </c>
      <c r="K1126" s="472">
        <f t="shared" si="134"/>
        <v>2</v>
      </c>
      <c r="L1126" s="764">
        <v>0.10208333333333335</v>
      </c>
      <c r="M1126" s="474">
        <f t="shared" si="133"/>
        <v>0.10208333333333335</v>
      </c>
      <c r="N1126" s="519">
        <v>0.10833333333333334</v>
      </c>
      <c r="P1126" s="29" t="str">
        <f t="shared" si="128"/>
        <v>2017EF1</v>
      </c>
      <c r="Q1126" s="29" t="str">
        <f t="shared" si="129"/>
        <v>EF12</v>
      </c>
      <c r="R1126" s="29" t="str">
        <f t="shared" si="130"/>
        <v>MayEF1</v>
      </c>
    </row>
    <row r="1127" spans="1:18">
      <c r="A1127" s="483">
        <f t="shared" si="132"/>
        <v>1123</v>
      </c>
      <c r="B1127" s="765">
        <f t="shared" ref="B1127" si="136">+B1126+1</f>
        <v>3</v>
      </c>
      <c r="C1127" s="694">
        <v>42865</v>
      </c>
      <c r="D1127" s="763" t="str">
        <f t="shared" si="131"/>
        <v>May</v>
      </c>
      <c r="E1127" s="763">
        <v>10</v>
      </c>
      <c r="F1127" s="762">
        <v>2017</v>
      </c>
      <c r="G1127" s="763" t="s">
        <v>115</v>
      </c>
      <c r="H1127" s="762" t="s">
        <v>162</v>
      </c>
      <c r="I1127" s="763">
        <v>50</v>
      </c>
      <c r="J1127" s="763">
        <v>2.65</v>
      </c>
      <c r="K1127" s="472">
        <f t="shared" si="134"/>
        <v>3</v>
      </c>
      <c r="L1127" s="764">
        <v>0.12569444444444444</v>
      </c>
      <c r="M1127" s="474">
        <f t="shared" si="133"/>
        <v>0.12569444444444444</v>
      </c>
      <c r="N1127" s="519">
        <v>0.13125000000000001</v>
      </c>
      <c r="P1127" s="29" t="str">
        <f t="shared" si="128"/>
        <v>2017EF1</v>
      </c>
      <c r="Q1127" s="29" t="str">
        <f t="shared" si="129"/>
        <v>EF13</v>
      </c>
      <c r="R1127" s="29" t="str">
        <f t="shared" si="130"/>
        <v>MayEF1</v>
      </c>
    </row>
    <row r="1128" spans="1:18">
      <c r="A1128" s="483">
        <f t="shared" si="132"/>
        <v>1124</v>
      </c>
      <c r="B1128" s="765">
        <f t="shared" ref="B1128" si="137">+B1127+1</f>
        <v>4</v>
      </c>
      <c r="C1128" s="694">
        <v>42871</v>
      </c>
      <c r="D1128" s="763" t="str">
        <f t="shared" si="131"/>
        <v>May</v>
      </c>
      <c r="E1128" s="763">
        <v>16</v>
      </c>
      <c r="F1128" s="762">
        <v>2017</v>
      </c>
      <c r="G1128" s="763" t="s">
        <v>101</v>
      </c>
      <c r="H1128" s="762" t="s">
        <v>161</v>
      </c>
      <c r="I1128" s="763">
        <v>25</v>
      </c>
      <c r="J1128" s="763">
        <v>0.09</v>
      </c>
      <c r="K1128" s="472">
        <f t="shared" si="134"/>
        <v>13</v>
      </c>
      <c r="L1128" s="764">
        <v>0.57291666666666663</v>
      </c>
      <c r="M1128" s="474">
        <f t="shared" si="133"/>
        <v>0.57291666666666663</v>
      </c>
      <c r="N1128" s="519">
        <v>0.57361111111111118</v>
      </c>
      <c r="P1128" s="29" t="str">
        <f t="shared" si="128"/>
        <v>2017EF0</v>
      </c>
      <c r="Q1128" s="29" t="str">
        <f t="shared" si="129"/>
        <v>EF013</v>
      </c>
      <c r="R1128" s="29" t="str">
        <f t="shared" si="130"/>
        <v>MayEF0</v>
      </c>
    </row>
    <row r="1129" spans="1:18">
      <c r="A1129" s="483">
        <f t="shared" si="132"/>
        <v>1125</v>
      </c>
      <c r="B1129" s="765">
        <f t="shared" ref="B1129" si="138">+B1128+1</f>
        <v>5</v>
      </c>
      <c r="C1129" s="694">
        <v>42871</v>
      </c>
      <c r="D1129" s="763" t="str">
        <f t="shared" si="131"/>
        <v>May</v>
      </c>
      <c r="E1129" s="763">
        <v>16</v>
      </c>
      <c r="F1129" s="762">
        <v>2017</v>
      </c>
      <c r="G1129" s="763" t="s">
        <v>104</v>
      </c>
      <c r="H1129" s="762" t="s">
        <v>161</v>
      </c>
      <c r="I1129" s="763">
        <v>25</v>
      </c>
      <c r="J1129" s="763">
        <v>0.09</v>
      </c>
      <c r="K1129" s="472">
        <f t="shared" si="134"/>
        <v>14</v>
      </c>
      <c r="L1129" s="764">
        <v>0.58611111111111114</v>
      </c>
      <c r="M1129" s="474">
        <f t="shared" si="133"/>
        <v>0.58611111111111114</v>
      </c>
      <c r="N1129" s="519">
        <v>0.58680555555555558</v>
      </c>
      <c r="P1129" s="29" t="str">
        <f t="shared" si="128"/>
        <v>2017EF0</v>
      </c>
      <c r="Q1129" s="29" t="str">
        <f t="shared" si="129"/>
        <v>EF014</v>
      </c>
      <c r="R1129" s="29" t="str">
        <f t="shared" si="130"/>
        <v>MayEF0</v>
      </c>
    </row>
    <row r="1130" spans="1:18">
      <c r="A1130" s="483">
        <f t="shared" si="132"/>
        <v>1126</v>
      </c>
      <c r="B1130" s="765">
        <f t="shared" ref="B1130" si="139">+B1129+1</f>
        <v>6</v>
      </c>
      <c r="C1130" s="694">
        <v>42871</v>
      </c>
      <c r="D1130" s="763" t="str">
        <f t="shared" si="131"/>
        <v>May</v>
      </c>
      <c r="E1130" s="763">
        <v>16</v>
      </c>
      <c r="F1130" s="762">
        <v>2017</v>
      </c>
      <c r="G1130" s="763" t="s">
        <v>120</v>
      </c>
      <c r="H1130" s="762" t="s">
        <v>161</v>
      </c>
      <c r="I1130" s="763">
        <v>50</v>
      </c>
      <c r="J1130" s="763">
        <v>1.39</v>
      </c>
      <c r="K1130" s="472">
        <f t="shared" si="134"/>
        <v>15</v>
      </c>
      <c r="L1130" s="764">
        <v>0.65208333333333335</v>
      </c>
      <c r="M1130" s="474">
        <f t="shared" si="133"/>
        <v>0.65208333333333335</v>
      </c>
      <c r="N1130" s="519">
        <v>0.65972222222222221</v>
      </c>
      <c r="P1130" s="29" t="str">
        <f t="shared" si="128"/>
        <v>2017EF0</v>
      </c>
      <c r="Q1130" s="29" t="str">
        <f t="shared" si="129"/>
        <v>EF015</v>
      </c>
      <c r="R1130" s="29" t="str">
        <f t="shared" si="130"/>
        <v>MayEF0</v>
      </c>
    </row>
    <row r="1131" spans="1:18">
      <c r="A1131" s="483">
        <f t="shared" si="132"/>
        <v>1127</v>
      </c>
      <c r="B1131" s="765">
        <f t="shared" ref="B1131" si="140">+B1130+1</f>
        <v>7</v>
      </c>
      <c r="C1131" s="694">
        <v>42871</v>
      </c>
      <c r="D1131" s="763" t="str">
        <f t="shared" si="131"/>
        <v>May</v>
      </c>
      <c r="E1131" s="763">
        <v>16</v>
      </c>
      <c r="F1131" s="762">
        <v>2017</v>
      </c>
      <c r="G1131" s="763" t="s">
        <v>116</v>
      </c>
      <c r="H1131" s="762" t="s">
        <v>161</v>
      </c>
      <c r="I1131" s="763">
        <v>25</v>
      </c>
      <c r="J1131" s="763">
        <v>0.06</v>
      </c>
      <c r="K1131" s="472">
        <f t="shared" si="134"/>
        <v>15</v>
      </c>
      <c r="L1131" s="764">
        <v>0.66180555555555554</v>
      </c>
      <c r="M1131" s="474">
        <f t="shared" si="133"/>
        <v>0.66180555555555554</v>
      </c>
      <c r="N1131" s="519">
        <v>0.66249999999999998</v>
      </c>
      <c r="P1131" s="29" t="str">
        <f t="shared" si="128"/>
        <v>2017EF0</v>
      </c>
      <c r="Q1131" s="29" t="str">
        <f t="shared" si="129"/>
        <v>EF015</v>
      </c>
      <c r="R1131" s="29" t="str">
        <f t="shared" si="130"/>
        <v>MayEF0</v>
      </c>
    </row>
    <row r="1132" spans="1:18">
      <c r="A1132" s="483">
        <f t="shared" si="132"/>
        <v>1128</v>
      </c>
      <c r="B1132" s="765">
        <f t="shared" ref="B1132" si="141">+B1131+1</f>
        <v>8</v>
      </c>
      <c r="C1132" s="694">
        <v>42871</v>
      </c>
      <c r="D1132" s="763" t="str">
        <f t="shared" si="131"/>
        <v>May</v>
      </c>
      <c r="E1132" s="763">
        <v>16</v>
      </c>
      <c r="F1132" s="762">
        <v>2017</v>
      </c>
      <c r="G1132" s="763" t="s">
        <v>116</v>
      </c>
      <c r="H1132" s="762" t="s">
        <v>162</v>
      </c>
      <c r="I1132" s="763">
        <v>25</v>
      </c>
      <c r="J1132" s="763">
        <v>0.09</v>
      </c>
      <c r="K1132" s="472">
        <f t="shared" si="134"/>
        <v>16</v>
      </c>
      <c r="L1132" s="764">
        <v>0.6777777777777777</v>
      </c>
      <c r="M1132" s="474">
        <f t="shared" si="133"/>
        <v>0.6777777777777777</v>
      </c>
      <c r="N1132" s="519">
        <v>0.67847222222222225</v>
      </c>
      <c r="P1132" s="29" t="str">
        <f t="shared" si="128"/>
        <v>2017EF1</v>
      </c>
      <c r="Q1132" s="29" t="str">
        <f t="shared" si="129"/>
        <v>EF116</v>
      </c>
      <c r="R1132" s="29" t="str">
        <f t="shared" si="130"/>
        <v>MayEF1</v>
      </c>
    </row>
    <row r="1133" spans="1:18">
      <c r="A1133" s="483">
        <f t="shared" si="132"/>
        <v>1129</v>
      </c>
      <c r="B1133" s="765">
        <f t="shared" ref="B1133" si="142">+B1132+1</f>
        <v>9</v>
      </c>
      <c r="C1133" s="694">
        <v>42871</v>
      </c>
      <c r="D1133" s="763" t="str">
        <f t="shared" si="131"/>
        <v>May</v>
      </c>
      <c r="E1133" s="763">
        <v>16</v>
      </c>
      <c r="F1133" s="762">
        <v>2017</v>
      </c>
      <c r="G1133" s="763" t="s">
        <v>116</v>
      </c>
      <c r="H1133" s="762" t="s">
        <v>160</v>
      </c>
      <c r="I1133" s="763">
        <v>1250</v>
      </c>
      <c r="J1133" s="763">
        <v>9.18</v>
      </c>
      <c r="K1133" s="472">
        <f t="shared" si="134"/>
        <v>16</v>
      </c>
      <c r="L1133" s="764">
        <v>0.68402777777777779</v>
      </c>
      <c r="M1133" s="474">
        <f t="shared" si="133"/>
        <v>0.68402777777777779</v>
      </c>
      <c r="N1133" s="519">
        <v>0.6972222222222223</v>
      </c>
      <c r="P1133" s="29" t="str">
        <f t="shared" si="128"/>
        <v>2017EF2</v>
      </c>
      <c r="Q1133" s="29" t="str">
        <f t="shared" si="129"/>
        <v>EF216</v>
      </c>
      <c r="R1133" s="29" t="str">
        <f t="shared" si="130"/>
        <v>MayEF2</v>
      </c>
    </row>
    <row r="1134" spans="1:18">
      <c r="A1134" s="483">
        <f t="shared" si="132"/>
        <v>1130</v>
      </c>
      <c r="B1134" s="765">
        <f t="shared" ref="B1134" si="143">+B1133+1</f>
        <v>10</v>
      </c>
      <c r="C1134" s="694">
        <v>42871</v>
      </c>
      <c r="D1134" s="763" t="str">
        <f t="shared" si="131"/>
        <v>May</v>
      </c>
      <c r="E1134" s="763">
        <v>16</v>
      </c>
      <c r="F1134" s="762">
        <v>2017</v>
      </c>
      <c r="G1134" s="763" t="s">
        <v>121</v>
      </c>
      <c r="H1134" s="762" t="s">
        <v>161</v>
      </c>
      <c r="I1134" s="763">
        <v>25</v>
      </c>
      <c r="J1134" s="763">
        <v>0.28999999999999998</v>
      </c>
      <c r="K1134" s="472">
        <f t="shared" si="134"/>
        <v>16</v>
      </c>
      <c r="L1134" s="764">
        <v>0.69791666666666663</v>
      </c>
      <c r="M1134" s="474">
        <f t="shared" si="133"/>
        <v>0.69791666666666663</v>
      </c>
      <c r="N1134" s="519">
        <v>0.69861111111111107</v>
      </c>
      <c r="P1134" s="29" t="str">
        <f t="shared" si="128"/>
        <v>2017EF0</v>
      </c>
      <c r="Q1134" s="29" t="str">
        <f t="shared" si="129"/>
        <v>EF016</v>
      </c>
      <c r="R1134" s="29" t="str">
        <f t="shared" si="130"/>
        <v>MayEF0</v>
      </c>
    </row>
    <row r="1135" spans="1:18">
      <c r="A1135" s="483">
        <f t="shared" si="132"/>
        <v>1131</v>
      </c>
      <c r="B1135" s="765">
        <f t="shared" ref="B1135" si="144">+B1134+1</f>
        <v>11</v>
      </c>
      <c r="C1135" s="694">
        <v>42871</v>
      </c>
      <c r="D1135" s="763" t="str">
        <f t="shared" si="131"/>
        <v>May</v>
      </c>
      <c r="E1135" s="763">
        <v>16</v>
      </c>
      <c r="F1135" s="762">
        <v>2017</v>
      </c>
      <c r="G1135" s="763" t="s">
        <v>121</v>
      </c>
      <c r="H1135" s="762" t="s">
        <v>161</v>
      </c>
      <c r="I1135" s="763">
        <v>25</v>
      </c>
      <c r="J1135" s="763">
        <v>2.2599999999999998</v>
      </c>
      <c r="K1135" s="472">
        <f t="shared" si="134"/>
        <v>16</v>
      </c>
      <c r="L1135" s="764">
        <v>0.70138888888888884</v>
      </c>
      <c r="M1135" s="474">
        <f t="shared" si="133"/>
        <v>0.70138888888888884</v>
      </c>
      <c r="N1135" s="519">
        <v>0.70208333333333339</v>
      </c>
      <c r="P1135" s="29" t="str">
        <f t="shared" si="128"/>
        <v>2017EF0</v>
      </c>
      <c r="Q1135" s="29" t="str">
        <f t="shared" si="129"/>
        <v>EF016</v>
      </c>
      <c r="R1135" s="29" t="str">
        <f t="shared" si="130"/>
        <v>MayEF0</v>
      </c>
    </row>
    <row r="1136" spans="1:18">
      <c r="A1136" s="483">
        <f t="shared" si="132"/>
        <v>1132</v>
      </c>
      <c r="B1136" s="765">
        <f t="shared" ref="B1136" si="145">+B1135+1</f>
        <v>12</v>
      </c>
      <c r="C1136" s="694">
        <v>42911</v>
      </c>
      <c r="D1136" s="763" t="str">
        <f t="shared" si="131"/>
        <v>June</v>
      </c>
      <c r="E1136" s="763">
        <v>25</v>
      </c>
      <c r="F1136" s="762">
        <v>2017</v>
      </c>
      <c r="G1136" s="763" t="s">
        <v>99</v>
      </c>
      <c r="H1136" s="762" t="s">
        <v>161</v>
      </c>
      <c r="I1136" s="763">
        <v>10</v>
      </c>
      <c r="J1136" s="763">
        <v>0.1</v>
      </c>
      <c r="K1136" s="472">
        <f t="shared" si="134"/>
        <v>17</v>
      </c>
      <c r="L1136" s="764">
        <v>0.73125000000000007</v>
      </c>
      <c r="M1136" s="474">
        <f t="shared" si="133"/>
        <v>0.73125000000000007</v>
      </c>
      <c r="N1136" s="519">
        <v>0.73125000000000007</v>
      </c>
      <c r="P1136" s="29" t="str">
        <f t="shared" si="128"/>
        <v>2017EF0</v>
      </c>
      <c r="Q1136" s="29" t="str">
        <f t="shared" si="129"/>
        <v>EF017</v>
      </c>
      <c r="R1136" s="29" t="str">
        <f t="shared" si="130"/>
        <v>JuneEF0</v>
      </c>
    </row>
    <row r="1137" spans="1:18">
      <c r="A1137" s="483">
        <f t="shared" si="132"/>
        <v>1133</v>
      </c>
      <c r="B1137" s="765">
        <f t="shared" ref="B1137" si="146">+B1136+1</f>
        <v>13</v>
      </c>
      <c r="C1137" s="694">
        <v>42960</v>
      </c>
      <c r="D1137" s="763" t="str">
        <f t="shared" si="131"/>
        <v>August</v>
      </c>
      <c r="E1137" s="763">
        <v>13</v>
      </c>
      <c r="F1137" s="762">
        <v>2017</v>
      </c>
      <c r="G1137" s="763" t="s">
        <v>113</v>
      </c>
      <c r="H1137" s="762" t="s">
        <v>161</v>
      </c>
      <c r="I1137" s="763">
        <v>20</v>
      </c>
      <c r="J1137" s="763">
        <v>0.09</v>
      </c>
      <c r="K1137" s="472">
        <f t="shared" si="134"/>
        <v>19</v>
      </c>
      <c r="L1137" s="764">
        <v>0.79166666666666663</v>
      </c>
      <c r="M1137" s="474">
        <f t="shared" si="133"/>
        <v>0.79166666666666663</v>
      </c>
      <c r="N1137" s="519">
        <v>0.79236111111111107</v>
      </c>
      <c r="P1137" s="29" t="str">
        <f t="shared" si="128"/>
        <v>2017EF0</v>
      </c>
      <c r="Q1137" s="29" t="str">
        <f t="shared" si="129"/>
        <v>EF019</v>
      </c>
      <c r="R1137" s="29" t="str">
        <f t="shared" si="130"/>
        <v>AugustEF0</v>
      </c>
    </row>
    <row r="1138" spans="1:18">
      <c r="A1138" s="483">
        <f t="shared" si="132"/>
        <v>1134</v>
      </c>
      <c r="B1138" s="765">
        <v>1</v>
      </c>
      <c r="C1138" s="694">
        <v>43177</v>
      </c>
      <c r="D1138" s="763" t="str">
        <f t="shared" si="131"/>
        <v>March</v>
      </c>
      <c r="E1138" s="763">
        <f>DAY(C1138)</f>
        <v>18</v>
      </c>
      <c r="F1138" s="762">
        <f>YEAR(C1138)</f>
        <v>2018</v>
      </c>
      <c r="G1138" s="763" t="s">
        <v>104</v>
      </c>
      <c r="H1138" s="762" t="s">
        <v>161</v>
      </c>
      <c r="I1138" s="763">
        <v>25</v>
      </c>
      <c r="J1138" s="763">
        <v>0.06</v>
      </c>
      <c r="K1138" s="472">
        <f t="shared" si="134"/>
        <v>18</v>
      </c>
      <c r="L1138" s="764">
        <v>0.77013888888888893</v>
      </c>
      <c r="M1138" s="474">
        <f t="shared" si="133"/>
        <v>0.77013888888888893</v>
      </c>
      <c r="N1138" s="519">
        <v>0.77361111111111114</v>
      </c>
      <c r="P1138" s="29" t="str">
        <f t="shared" si="128"/>
        <v>2018EF0</v>
      </c>
      <c r="Q1138" s="29" t="str">
        <f t="shared" si="129"/>
        <v>EF018</v>
      </c>
      <c r="R1138" s="29" t="str">
        <f t="shared" si="130"/>
        <v>MarchEF0</v>
      </c>
    </row>
    <row r="1139" spans="1:18">
      <c r="A1139" s="483">
        <f t="shared" si="132"/>
        <v>1135</v>
      </c>
      <c r="B1139" s="765">
        <v>2</v>
      </c>
      <c r="C1139" s="694">
        <v>43177</v>
      </c>
      <c r="D1139" s="763" t="str">
        <f t="shared" si="131"/>
        <v>March</v>
      </c>
      <c r="E1139" s="763">
        <f t="shared" ref="E1139:E1147" si="147">DAY(C1139)</f>
        <v>18</v>
      </c>
      <c r="F1139" s="762">
        <f t="shared" ref="F1139:F1147" si="148">YEAR(C1139)</f>
        <v>2018</v>
      </c>
      <c r="G1139" s="763" t="s">
        <v>106</v>
      </c>
      <c r="H1139" s="762" t="s">
        <v>162</v>
      </c>
      <c r="I1139" s="763">
        <v>70</v>
      </c>
      <c r="J1139" s="763">
        <v>2.88</v>
      </c>
      <c r="K1139" s="472">
        <f t="shared" si="134"/>
        <v>20</v>
      </c>
      <c r="L1139" s="764">
        <v>0.84583333333333333</v>
      </c>
      <c r="M1139" s="474">
        <f t="shared" si="133"/>
        <v>0.84583333333333333</v>
      </c>
      <c r="N1139" s="519">
        <v>0.85</v>
      </c>
      <c r="P1139" s="29" t="str">
        <f t="shared" si="128"/>
        <v>2018EF1</v>
      </c>
      <c r="Q1139" s="29" t="str">
        <f t="shared" si="129"/>
        <v>EF120</v>
      </c>
      <c r="R1139" s="29" t="str">
        <f t="shared" si="130"/>
        <v>MarchEF1</v>
      </c>
    </row>
    <row r="1140" spans="1:18">
      <c r="A1140" s="483">
        <f t="shared" si="132"/>
        <v>1136</v>
      </c>
      <c r="B1140" s="765">
        <v>3</v>
      </c>
      <c r="C1140" s="694">
        <v>43248</v>
      </c>
      <c r="D1140" s="763" t="str">
        <f t="shared" si="131"/>
        <v>May</v>
      </c>
      <c r="E1140" s="763">
        <f t="shared" si="147"/>
        <v>28</v>
      </c>
      <c r="F1140" s="762">
        <f t="shared" si="148"/>
        <v>2018</v>
      </c>
      <c r="G1140" s="763" t="s">
        <v>100</v>
      </c>
      <c r="H1140" s="762" t="s">
        <v>161</v>
      </c>
      <c r="I1140" s="763">
        <v>50</v>
      </c>
      <c r="J1140" s="763">
        <v>0.26</v>
      </c>
      <c r="K1140" s="472">
        <f t="shared" si="134"/>
        <v>18</v>
      </c>
      <c r="L1140" s="764">
        <v>0.77847222222222223</v>
      </c>
      <c r="M1140" s="474">
        <f t="shared" si="133"/>
        <v>0.77847222222222223</v>
      </c>
      <c r="N1140" s="519">
        <v>0.77916666666666667</v>
      </c>
      <c r="P1140" s="29" t="str">
        <f t="shared" si="128"/>
        <v>2018EF0</v>
      </c>
      <c r="Q1140" s="29" t="str">
        <f t="shared" si="129"/>
        <v>EF018</v>
      </c>
      <c r="R1140" s="29" t="str">
        <f t="shared" si="130"/>
        <v>MayEF0</v>
      </c>
    </row>
    <row r="1141" spans="1:18">
      <c r="A1141" s="483">
        <f t="shared" si="132"/>
        <v>1137</v>
      </c>
      <c r="B1141" s="765">
        <v>4</v>
      </c>
      <c r="C1141" s="694">
        <v>43248</v>
      </c>
      <c r="D1141" s="763" t="str">
        <f t="shared" si="131"/>
        <v>May</v>
      </c>
      <c r="E1141" s="763">
        <f t="shared" si="147"/>
        <v>28</v>
      </c>
      <c r="F1141" s="762">
        <f t="shared" si="148"/>
        <v>2018</v>
      </c>
      <c r="G1141" s="763" t="s">
        <v>100</v>
      </c>
      <c r="H1141" s="762" t="s">
        <v>162</v>
      </c>
      <c r="I1141" s="763">
        <v>200</v>
      </c>
      <c r="J1141" s="763">
        <v>2.02</v>
      </c>
      <c r="K1141" s="472">
        <f t="shared" si="134"/>
        <v>19</v>
      </c>
      <c r="L1141" s="764">
        <v>0.80625000000000002</v>
      </c>
      <c r="M1141" s="474">
        <f t="shared" si="133"/>
        <v>0.80625000000000002</v>
      </c>
      <c r="N1141" s="519">
        <v>0.80833333333333324</v>
      </c>
      <c r="P1141" s="29" t="str">
        <f t="shared" si="128"/>
        <v>2018EF1</v>
      </c>
      <c r="Q1141" s="29" t="str">
        <f t="shared" si="129"/>
        <v>EF119</v>
      </c>
      <c r="R1141" s="29" t="str">
        <f t="shared" si="130"/>
        <v>MayEF1</v>
      </c>
    </row>
    <row r="1142" spans="1:18">
      <c r="A1142" s="483">
        <f t="shared" si="132"/>
        <v>1138</v>
      </c>
      <c r="B1142" s="765">
        <v>5</v>
      </c>
      <c r="C1142" s="694">
        <v>43249</v>
      </c>
      <c r="D1142" s="763" t="str">
        <f t="shared" si="131"/>
        <v>May</v>
      </c>
      <c r="E1142" s="763">
        <f t="shared" si="147"/>
        <v>29</v>
      </c>
      <c r="F1142" s="762">
        <f t="shared" si="148"/>
        <v>2018</v>
      </c>
      <c r="G1142" s="763" t="s">
        <v>115</v>
      </c>
      <c r="H1142" s="762" t="s">
        <v>161</v>
      </c>
      <c r="I1142" s="763">
        <v>50</v>
      </c>
      <c r="J1142" s="763">
        <v>0.1</v>
      </c>
      <c r="K1142" s="472">
        <f t="shared" si="134"/>
        <v>16</v>
      </c>
      <c r="L1142" s="764">
        <v>0.69166666666666676</v>
      </c>
      <c r="M1142" s="474">
        <f t="shared" si="133"/>
        <v>0.69166666666666676</v>
      </c>
      <c r="N1142" s="519">
        <v>0.69236111111111109</v>
      </c>
      <c r="P1142" s="29" t="str">
        <f t="shared" si="128"/>
        <v>2018EF0</v>
      </c>
      <c r="Q1142" s="29" t="str">
        <f t="shared" si="129"/>
        <v>EF016</v>
      </c>
      <c r="R1142" s="29" t="str">
        <f t="shared" si="130"/>
        <v>MayEF0</v>
      </c>
    </row>
    <row r="1143" spans="1:18">
      <c r="A1143" s="483">
        <f t="shared" si="132"/>
        <v>1139</v>
      </c>
      <c r="B1143" s="765">
        <v>6</v>
      </c>
      <c r="C1143" s="694">
        <v>43249</v>
      </c>
      <c r="D1143" s="763" t="str">
        <f t="shared" si="131"/>
        <v>May</v>
      </c>
      <c r="E1143" s="763">
        <f t="shared" si="147"/>
        <v>29</v>
      </c>
      <c r="F1143" s="762">
        <f t="shared" si="148"/>
        <v>2018</v>
      </c>
      <c r="G1143" s="763" t="s">
        <v>116</v>
      </c>
      <c r="H1143" s="762" t="s">
        <v>161</v>
      </c>
      <c r="I1143" s="763">
        <v>50</v>
      </c>
      <c r="J1143" s="763">
        <v>0.1</v>
      </c>
      <c r="K1143" s="472">
        <f t="shared" si="134"/>
        <v>17</v>
      </c>
      <c r="L1143" s="764">
        <v>0.71458333333333324</v>
      </c>
      <c r="M1143" s="474">
        <f t="shared" si="133"/>
        <v>0.71458333333333324</v>
      </c>
      <c r="N1143" s="519">
        <v>0.71527777777777779</v>
      </c>
      <c r="P1143" s="29" t="str">
        <f t="shared" si="128"/>
        <v>2018EF0</v>
      </c>
      <c r="Q1143" s="29" t="str">
        <f t="shared" si="129"/>
        <v>EF017</v>
      </c>
      <c r="R1143" s="29" t="str">
        <f t="shared" si="130"/>
        <v>MayEF0</v>
      </c>
    </row>
    <row r="1144" spans="1:18">
      <c r="A1144" s="483">
        <f t="shared" si="132"/>
        <v>1140</v>
      </c>
      <c r="B1144" s="765">
        <v>7</v>
      </c>
      <c r="C1144" s="694">
        <v>43263</v>
      </c>
      <c r="D1144" s="763" t="str">
        <f t="shared" si="131"/>
        <v>June</v>
      </c>
      <c r="E1144" s="763">
        <f t="shared" si="147"/>
        <v>12</v>
      </c>
      <c r="F1144" s="762">
        <f t="shared" si="148"/>
        <v>2018</v>
      </c>
      <c r="G1144" s="763" t="s">
        <v>114</v>
      </c>
      <c r="H1144" s="762" t="s">
        <v>161</v>
      </c>
      <c r="I1144" s="763">
        <v>10</v>
      </c>
      <c r="J1144" s="763">
        <v>0.1</v>
      </c>
      <c r="K1144" s="472">
        <f t="shared" si="134"/>
        <v>17</v>
      </c>
      <c r="L1144" s="764">
        <v>0.7402777777777777</v>
      </c>
      <c r="M1144" s="474">
        <f t="shared" si="133"/>
        <v>0.7402777777777777</v>
      </c>
      <c r="N1144" s="519">
        <v>0.7402777777777777</v>
      </c>
      <c r="P1144" s="29" t="str">
        <f t="shared" si="128"/>
        <v>2018EF0</v>
      </c>
      <c r="Q1144" s="29" t="str">
        <f t="shared" si="129"/>
        <v>EF017</v>
      </c>
      <c r="R1144" s="29" t="str">
        <f t="shared" si="130"/>
        <v>JuneEF0</v>
      </c>
    </row>
    <row r="1145" spans="1:18">
      <c r="A1145" s="483">
        <f t="shared" si="132"/>
        <v>1141</v>
      </c>
      <c r="B1145" s="765">
        <v>8</v>
      </c>
      <c r="C1145" s="694">
        <v>43273</v>
      </c>
      <c r="D1145" s="763" t="str">
        <f t="shared" si="131"/>
        <v>June</v>
      </c>
      <c r="E1145" s="763">
        <f t="shared" si="147"/>
        <v>22</v>
      </c>
      <c r="F1145" s="762">
        <f t="shared" si="148"/>
        <v>2018</v>
      </c>
      <c r="G1145" s="763" t="s">
        <v>101</v>
      </c>
      <c r="H1145" s="762" t="s">
        <v>161</v>
      </c>
      <c r="I1145" s="763">
        <v>10</v>
      </c>
      <c r="J1145" s="763">
        <v>0.06</v>
      </c>
      <c r="K1145" s="472">
        <f t="shared" si="134"/>
        <v>18</v>
      </c>
      <c r="L1145" s="764">
        <v>0.76180555555555562</v>
      </c>
      <c r="M1145" s="474">
        <f t="shared" si="133"/>
        <v>0.76180555555555562</v>
      </c>
      <c r="N1145" s="519">
        <v>0.76180555555555562</v>
      </c>
      <c r="P1145" s="29" t="str">
        <f t="shared" si="128"/>
        <v>2018EF0</v>
      </c>
      <c r="Q1145" s="29" t="str">
        <f t="shared" si="129"/>
        <v>EF018</v>
      </c>
      <c r="R1145" s="29" t="str">
        <f t="shared" si="130"/>
        <v>JuneEF0</v>
      </c>
    </row>
    <row r="1146" spans="1:18">
      <c r="A1146" s="483">
        <f t="shared" si="132"/>
        <v>1142</v>
      </c>
      <c r="B1146" s="765">
        <v>9</v>
      </c>
      <c r="C1146" s="694">
        <v>43273</v>
      </c>
      <c r="D1146" s="763" t="str">
        <f t="shared" si="131"/>
        <v>June</v>
      </c>
      <c r="E1146" s="763">
        <f t="shared" si="147"/>
        <v>22</v>
      </c>
      <c r="F1146" s="762">
        <f t="shared" si="148"/>
        <v>2018</v>
      </c>
      <c r="G1146" s="763" t="s">
        <v>116</v>
      </c>
      <c r="H1146" s="762" t="s">
        <v>161</v>
      </c>
      <c r="I1146" s="763">
        <v>50</v>
      </c>
      <c r="J1146" s="763">
        <v>0.53</v>
      </c>
      <c r="K1146" s="472">
        <f t="shared" si="134"/>
        <v>21</v>
      </c>
      <c r="L1146" s="764">
        <v>0.88958333333333339</v>
      </c>
      <c r="M1146" s="474">
        <f t="shared" si="133"/>
        <v>0.88958333333333339</v>
      </c>
      <c r="N1146" s="519">
        <v>0.89027777777777783</v>
      </c>
      <c r="P1146" s="29" t="str">
        <f t="shared" si="128"/>
        <v>2018EF0</v>
      </c>
      <c r="Q1146" s="29" t="str">
        <f t="shared" si="129"/>
        <v>EF021</v>
      </c>
      <c r="R1146" s="29" t="str">
        <f t="shared" si="130"/>
        <v>JuneEF0</v>
      </c>
    </row>
    <row r="1147" spans="1:18">
      <c r="A1147" s="483">
        <f t="shared" si="132"/>
        <v>1143</v>
      </c>
      <c r="B1147" s="765">
        <v>10</v>
      </c>
      <c r="C1147" s="694">
        <v>43460</v>
      </c>
      <c r="D1147" s="763" t="str">
        <f t="shared" si="131"/>
        <v>December</v>
      </c>
      <c r="E1147" s="763">
        <f t="shared" si="147"/>
        <v>26</v>
      </c>
      <c r="F1147" s="762">
        <f t="shared" si="148"/>
        <v>2018</v>
      </c>
      <c r="G1147" s="763" t="s">
        <v>120</v>
      </c>
      <c r="H1147" s="762" t="s">
        <v>161</v>
      </c>
      <c r="I1147" s="763">
        <v>100</v>
      </c>
      <c r="J1147" s="763">
        <v>0.6</v>
      </c>
      <c r="K1147" s="472">
        <f t="shared" si="134"/>
        <v>16</v>
      </c>
      <c r="L1147" s="764">
        <v>0.68333333333333324</v>
      </c>
      <c r="M1147" s="474">
        <f t="shared" si="133"/>
        <v>0.68333333333333324</v>
      </c>
      <c r="N1147" s="519">
        <v>0.68402777777777779</v>
      </c>
      <c r="P1147" s="29" t="str">
        <f t="shared" si="128"/>
        <v>2018EF0</v>
      </c>
      <c r="Q1147" s="29" t="str">
        <f t="shared" si="129"/>
        <v>EF016</v>
      </c>
      <c r="R1147" s="29" t="str">
        <f t="shared" si="130"/>
        <v>DecemberEF0</v>
      </c>
    </row>
    <row r="1148" spans="1:18">
      <c r="A1148" s="483">
        <f t="shared" si="132"/>
        <v>1144</v>
      </c>
      <c r="B1148" s="765">
        <v>1</v>
      </c>
      <c r="C1148" s="694">
        <v>43546</v>
      </c>
      <c r="D1148" s="763" t="str">
        <f t="shared" si="131"/>
        <v>March</v>
      </c>
      <c r="E1148" s="763">
        <f t="shared" ref="E1148:E1198" si="149">DAY(C1148)</f>
        <v>22</v>
      </c>
      <c r="F1148" s="762">
        <f t="shared" ref="F1148:F1198" si="150">YEAR(C1148)</f>
        <v>2019</v>
      </c>
      <c r="G1148" s="763" t="s">
        <v>108</v>
      </c>
      <c r="H1148" s="906" t="s">
        <v>161</v>
      </c>
      <c r="I1148" s="763">
        <v>200</v>
      </c>
      <c r="J1148" s="763">
        <v>1.48</v>
      </c>
      <c r="K1148" s="472">
        <f t="shared" si="134"/>
        <v>16</v>
      </c>
      <c r="L1148" s="764">
        <v>0.67499999999999993</v>
      </c>
      <c r="M1148" s="474">
        <f t="shared" si="133"/>
        <v>0.67499999999999993</v>
      </c>
      <c r="N1148" s="519">
        <v>0.67638888888888893</v>
      </c>
      <c r="P1148" s="29" t="str">
        <f t="shared" si="128"/>
        <v>2019EF0</v>
      </c>
      <c r="Q1148" s="29" t="str">
        <f t="shared" si="129"/>
        <v>EF016</v>
      </c>
      <c r="R1148" s="29" t="str">
        <f t="shared" si="130"/>
        <v>MarchEF0</v>
      </c>
    </row>
    <row r="1149" spans="1:18">
      <c r="A1149" s="483">
        <f t="shared" si="132"/>
        <v>1145</v>
      </c>
      <c r="B1149" s="765">
        <v>2</v>
      </c>
      <c r="C1149" s="694">
        <v>43546</v>
      </c>
      <c r="D1149" s="763" t="str">
        <f t="shared" si="131"/>
        <v>March</v>
      </c>
      <c r="E1149" s="763">
        <f t="shared" si="149"/>
        <v>22</v>
      </c>
      <c r="F1149" s="762">
        <f t="shared" si="150"/>
        <v>2019</v>
      </c>
      <c r="G1149" s="763" t="s">
        <v>112</v>
      </c>
      <c r="H1149" s="906" t="s">
        <v>161</v>
      </c>
      <c r="I1149" s="763">
        <v>40</v>
      </c>
      <c r="J1149" s="763">
        <v>0.64</v>
      </c>
      <c r="K1149" s="472">
        <f t="shared" si="134"/>
        <v>16</v>
      </c>
      <c r="L1149" s="764">
        <v>0.69652777777777775</v>
      </c>
      <c r="M1149" s="474">
        <f t="shared" si="133"/>
        <v>0.69652777777777775</v>
      </c>
      <c r="N1149" s="519">
        <v>0.6972222222222223</v>
      </c>
      <c r="P1149" s="29" t="str">
        <f t="shared" si="128"/>
        <v>2019EF0</v>
      </c>
      <c r="Q1149" s="29" t="str">
        <f t="shared" si="129"/>
        <v>EF016</v>
      </c>
      <c r="R1149" s="29" t="str">
        <f t="shared" si="130"/>
        <v>MarchEF0</v>
      </c>
    </row>
    <row r="1150" spans="1:18">
      <c r="A1150" s="483">
        <f t="shared" si="132"/>
        <v>1146</v>
      </c>
      <c r="B1150" s="765">
        <v>3</v>
      </c>
      <c r="C1150" s="694">
        <v>43546</v>
      </c>
      <c r="D1150" s="763" t="str">
        <f t="shared" si="131"/>
        <v>March</v>
      </c>
      <c r="E1150" s="763">
        <f t="shared" si="149"/>
        <v>22</v>
      </c>
      <c r="F1150" s="762">
        <f t="shared" si="150"/>
        <v>2019</v>
      </c>
      <c r="G1150" s="763" t="s">
        <v>118</v>
      </c>
      <c r="H1150" s="906" t="s">
        <v>161</v>
      </c>
      <c r="I1150" s="763">
        <v>50</v>
      </c>
      <c r="J1150" s="763">
        <v>2.08</v>
      </c>
      <c r="K1150" s="472">
        <f t="shared" si="134"/>
        <v>18</v>
      </c>
      <c r="L1150" s="764">
        <v>0.7895833333333333</v>
      </c>
      <c r="M1150" s="474">
        <f t="shared" si="133"/>
        <v>0.7895833333333333</v>
      </c>
      <c r="N1150" s="519">
        <v>0.79236111111111107</v>
      </c>
      <c r="P1150" s="29" t="str">
        <f t="shared" si="128"/>
        <v>2019EF0</v>
      </c>
      <c r="Q1150" s="29" t="str">
        <f t="shared" si="129"/>
        <v>EF018</v>
      </c>
      <c r="R1150" s="29" t="str">
        <f t="shared" si="130"/>
        <v>MarchEF0</v>
      </c>
    </row>
    <row r="1151" spans="1:18">
      <c r="A1151" s="483">
        <f t="shared" si="132"/>
        <v>1147</v>
      </c>
      <c r="B1151" s="765">
        <v>4</v>
      </c>
      <c r="C1151" s="694">
        <v>43572</v>
      </c>
      <c r="D1151" s="763" t="str">
        <f t="shared" si="131"/>
        <v>April</v>
      </c>
      <c r="E1151" s="763">
        <f t="shared" si="149"/>
        <v>17</v>
      </c>
      <c r="F1151" s="762">
        <f t="shared" si="150"/>
        <v>2019</v>
      </c>
      <c r="G1151" s="763" t="s">
        <v>111</v>
      </c>
      <c r="H1151" s="906" t="s">
        <v>161</v>
      </c>
      <c r="I1151" s="763">
        <v>30</v>
      </c>
      <c r="J1151" s="763">
        <v>2.4300000000000002</v>
      </c>
      <c r="K1151" s="472">
        <f t="shared" si="134"/>
        <v>14</v>
      </c>
      <c r="L1151" s="764">
        <v>0.61041666666666672</v>
      </c>
      <c r="M1151" s="474">
        <f t="shared" si="133"/>
        <v>0.61041666666666672</v>
      </c>
      <c r="N1151" s="519">
        <v>0.62083333333333335</v>
      </c>
      <c r="P1151" s="29" t="str">
        <f t="shared" si="128"/>
        <v>2019EF0</v>
      </c>
      <c r="Q1151" s="29" t="str">
        <f t="shared" si="129"/>
        <v>EF014</v>
      </c>
      <c r="R1151" s="29" t="str">
        <f t="shared" si="130"/>
        <v>AprilEF0</v>
      </c>
    </row>
    <row r="1152" spans="1:18">
      <c r="A1152" s="483">
        <f t="shared" si="132"/>
        <v>1148</v>
      </c>
      <c r="B1152" s="765">
        <v>5</v>
      </c>
      <c r="C1152" s="694">
        <v>43572</v>
      </c>
      <c r="D1152" s="763" t="str">
        <f t="shared" si="131"/>
        <v>April</v>
      </c>
      <c r="E1152" s="763">
        <f t="shared" si="149"/>
        <v>17</v>
      </c>
      <c r="F1152" s="762">
        <f t="shared" si="150"/>
        <v>2019</v>
      </c>
      <c r="G1152" s="763" t="s">
        <v>111</v>
      </c>
      <c r="H1152" s="762" t="s">
        <v>161</v>
      </c>
      <c r="I1152" s="763">
        <v>40</v>
      </c>
      <c r="J1152" s="763">
        <v>4.13</v>
      </c>
      <c r="K1152" s="472">
        <f t="shared" si="134"/>
        <v>14</v>
      </c>
      <c r="L1152" s="764">
        <v>0.62083333333333335</v>
      </c>
      <c r="M1152" s="474">
        <f t="shared" si="133"/>
        <v>0.62083333333333335</v>
      </c>
      <c r="N1152" s="519">
        <v>0.63958333333333328</v>
      </c>
      <c r="P1152" s="29" t="str">
        <f t="shared" si="128"/>
        <v>2019EF0</v>
      </c>
      <c r="Q1152" s="29" t="str">
        <f t="shared" si="129"/>
        <v>EF014</v>
      </c>
      <c r="R1152" s="29" t="str">
        <f t="shared" si="130"/>
        <v>AprilEF0</v>
      </c>
    </row>
    <row r="1153" spans="1:18">
      <c r="A1153" s="483">
        <f t="shared" si="132"/>
        <v>1149</v>
      </c>
      <c r="B1153" s="765">
        <v>6</v>
      </c>
      <c r="C1153" s="694">
        <v>43572</v>
      </c>
      <c r="D1153" s="763" t="str">
        <f t="shared" si="131"/>
        <v>April</v>
      </c>
      <c r="E1153" s="763">
        <f t="shared" si="149"/>
        <v>17</v>
      </c>
      <c r="F1153" s="762">
        <f t="shared" si="150"/>
        <v>2019</v>
      </c>
      <c r="G1153" s="763" t="s">
        <v>106</v>
      </c>
      <c r="H1153" s="906" t="s">
        <v>161</v>
      </c>
      <c r="I1153" s="763">
        <v>30</v>
      </c>
      <c r="J1153" s="763">
        <v>1.06</v>
      </c>
      <c r="K1153" s="472">
        <f t="shared" si="134"/>
        <v>15</v>
      </c>
      <c r="L1153" s="764">
        <v>0.64513888888888882</v>
      </c>
      <c r="M1153" s="474">
        <f t="shared" si="133"/>
        <v>0.64513888888888882</v>
      </c>
      <c r="N1153" s="519">
        <v>0.64722222222222225</v>
      </c>
      <c r="P1153" s="29" t="str">
        <f t="shared" si="128"/>
        <v>2019EF0</v>
      </c>
      <c r="Q1153" s="29" t="str">
        <f t="shared" si="129"/>
        <v>EF015</v>
      </c>
      <c r="R1153" s="29" t="str">
        <f t="shared" si="130"/>
        <v>AprilEF0</v>
      </c>
    </row>
    <row r="1154" spans="1:18">
      <c r="A1154" s="483">
        <f t="shared" si="132"/>
        <v>1150</v>
      </c>
      <c r="B1154" s="765">
        <v>7</v>
      </c>
      <c r="C1154" s="694">
        <v>43572</v>
      </c>
      <c r="D1154" s="763" t="str">
        <f t="shared" si="131"/>
        <v>April</v>
      </c>
      <c r="E1154" s="763">
        <f t="shared" si="149"/>
        <v>17</v>
      </c>
      <c r="F1154" s="762">
        <f t="shared" si="150"/>
        <v>2019</v>
      </c>
      <c r="G1154" s="763" t="s">
        <v>114</v>
      </c>
      <c r="H1154" s="906" t="s">
        <v>161</v>
      </c>
      <c r="I1154" s="763">
        <v>20</v>
      </c>
      <c r="J1154" s="763">
        <v>1.97</v>
      </c>
      <c r="K1154" s="472">
        <f t="shared" si="134"/>
        <v>16</v>
      </c>
      <c r="L1154" s="764">
        <v>0.67013888888888884</v>
      </c>
      <c r="M1154" s="474">
        <f t="shared" si="133"/>
        <v>0.67013888888888884</v>
      </c>
      <c r="N1154" s="519">
        <v>0.67986111111111114</v>
      </c>
      <c r="P1154" s="29" t="str">
        <f t="shared" si="128"/>
        <v>2019EF0</v>
      </c>
      <c r="Q1154" s="29" t="str">
        <f t="shared" si="129"/>
        <v>EF016</v>
      </c>
      <c r="R1154" s="29" t="str">
        <f t="shared" si="130"/>
        <v>AprilEF0</v>
      </c>
    </row>
    <row r="1155" spans="1:18">
      <c r="A1155" s="483">
        <f t="shared" si="132"/>
        <v>1151</v>
      </c>
      <c r="B1155" s="765">
        <v>8</v>
      </c>
      <c r="C1155" s="694">
        <v>43589</v>
      </c>
      <c r="D1155" s="763" t="str">
        <f t="shared" si="131"/>
        <v>May</v>
      </c>
      <c r="E1155" s="763">
        <f t="shared" si="149"/>
        <v>4</v>
      </c>
      <c r="F1155" s="762">
        <f t="shared" si="150"/>
        <v>2019</v>
      </c>
      <c r="G1155" s="763" t="s">
        <v>112</v>
      </c>
      <c r="H1155" s="906" t="s">
        <v>161</v>
      </c>
      <c r="I1155" s="763">
        <v>10</v>
      </c>
      <c r="J1155" s="763">
        <v>0.09</v>
      </c>
      <c r="K1155" s="472">
        <f t="shared" si="134"/>
        <v>18</v>
      </c>
      <c r="L1155" s="764">
        <v>0.76944444444444438</v>
      </c>
      <c r="M1155" s="474">
        <f t="shared" si="133"/>
        <v>0.76944444444444438</v>
      </c>
      <c r="N1155" s="519">
        <v>0.77013888888888893</v>
      </c>
      <c r="P1155" s="29" t="str">
        <f t="shared" ref="P1155:P1198" si="151">CONCATENATE(F1155,H1155)</f>
        <v>2019EF0</v>
      </c>
      <c r="Q1155" s="29" t="str">
        <f t="shared" ref="Q1155:Q1198" si="152">CONCATENATE(H1155,K1155)</f>
        <v>EF018</v>
      </c>
      <c r="R1155" s="29" t="str">
        <f t="shared" ref="R1155:R1198" si="153">CONCATENATE(D1155,H1155)</f>
        <v>MayEF0</v>
      </c>
    </row>
    <row r="1156" spans="1:18">
      <c r="A1156" s="483">
        <f t="shared" si="132"/>
        <v>1152</v>
      </c>
      <c r="B1156" s="765">
        <v>9</v>
      </c>
      <c r="C1156" s="694">
        <v>43590</v>
      </c>
      <c r="D1156" s="763" t="str">
        <f t="shared" ref="D1156" si="154">+TEXT(C1156,"mmmm")</f>
        <v>May</v>
      </c>
      <c r="E1156" s="763">
        <f t="shared" si="149"/>
        <v>5</v>
      </c>
      <c r="F1156" s="762">
        <f t="shared" si="150"/>
        <v>2019</v>
      </c>
      <c r="G1156" s="763" t="s">
        <v>110</v>
      </c>
      <c r="H1156" s="906" t="s">
        <v>161</v>
      </c>
      <c r="I1156" s="763">
        <v>500</v>
      </c>
      <c r="J1156" s="763">
        <v>6.4</v>
      </c>
      <c r="K1156" s="472">
        <f t="shared" si="134"/>
        <v>19</v>
      </c>
      <c r="L1156" s="764">
        <v>0.8256944444444444</v>
      </c>
      <c r="M1156" s="474">
        <f t="shared" si="133"/>
        <v>0.8256944444444444</v>
      </c>
      <c r="N1156" s="519">
        <v>0.8354166666666667</v>
      </c>
      <c r="P1156" s="29" t="str">
        <f t="shared" si="151"/>
        <v>2019EF0</v>
      </c>
      <c r="Q1156" s="29" t="str">
        <f t="shared" si="152"/>
        <v>EF019</v>
      </c>
      <c r="R1156" s="29" t="str">
        <f t="shared" si="153"/>
        <v>MayEF0</v>
      </c>
    </row>
    <row r="1157" spans="1:18">
      <c r="A1157" s="483">
        <f t="shared" si="132"/>
        <v>1153</v>
      </c>
      <c r="B1157" s="765">
        <v>10</v>
      </c>
      <c r="C1157" s="694">
        <v>43592</v>
      </c>
      <c r="D1157" s="763" t="str">
        <f t="shared" ref="D1157:D1220" si="155">+TEXT(C1157,"mmmm")</f>
        <v>May</v>
      </c>
      <c r="E1157" s="763">
        <f t="shared" si="149"/>
        <v>7</v>
      </c>
      <c r="F1157" s="762">
        <f t="shared" si="150"/>
        <v>2019</v>
      </c>
      <c r="G1157" s="763" t="s">
        <v>109</v>
      </c>
      <c r="H1157" s="906" t="s">
        <v>161</v>
      </c>
      <c r="I1157" s="763">
        <v>100</v>
      </c>
      <c r="J1157" s="763">
        <v>2.91</v>
      </c>
      <c r="K1157" s="472">
        <f t="shared" si="134"/>
        <v>14</v>
      </c>
      <c r="L1157" s="764">
        <v>0.60833333333333328</v>
      </c>
      <c r="M1157" s="474">
        <f t="shared" si="133"/>
        <v>0.60833333333333328</v>
      </c>
      <c r="N1157" s="519">
        <v>0.61736111111111114</v>
      </c>
      <c r="P1157" s="29" t="str">
        <f t="shared" si="151"/>
        <v>2019EF0</v>
      </c>
      <c r="Q1157" s="29" t="str">
        <f t="shared" si="152"/>
        <v>EF014</v>
      </c>
      <c r="R1157" s="29" t="str">
        <f t="shared" si="153"/>
        <v>MayEF0</v>
      </c>
    </row>
    <row r="1158" spans="1:18">
      <c r="A1158" s="483">
        <f t="shared" si="132"/>
        <v>1154</v>
      </c>
      <c r="B1158" s="765">
        <v>11</v>
      </c>
      <c r="C1158" s="694">
        <v>43592</v>
      </c>
      <c r="D1158" s="763" t="str">
        <f t="shared" si="155"/>
        <v>May</v>
      </c>
      <c r="E1158" s="763">
        <f t="shared" ref="E1158:E1175" si="156">DAY(C1158)</f>
        <v>7</v>
      </c>
      <c r="F1158" s="762">
        <f t="shared" ref="F1158:F1175" si="157">YEAR(C1158)</f>
        <v>2019</v>
      </c>
      <c r="G1158" s="763" t="s">
        <v>109</v>
      </c>
      <c r="H1158" s="762" t="s">
        <v>161</v>
      </c>
      <c r="I1158" s="763">
        <v>30</v>
      </c>
      <c r="J1158" s="763">
        <v>7.0000000000000007E-2</v>
      </c>
      <c r="K1158" s="472">
        <f t="shared" ref="K1158:K1174" si="158">HOUR(M1158)</f>
        <v>15</v>
      </c>
      <c r="L1158" s="764">
        <v>0.65902777777777777</v>
      </c>
      <c r="M1158" s="474">
        <f t="shared" ref="M1158:M1174" si="159">+L1158</f>
        <v>0.65902777777777777</v>
      </c>
      <c r="N1158" s="519">
        <v>0.65972222222222221</v>
      </c>
      <c r="P1158" s="29" t="str">
        <f t="shared" ref="P1158" si="160">CONCATENATE(F1158,H1158)</f>
        <v>2019EF0</v>
      </c>
      <c r="Q1158" s="29" t="str">
        <f t="shared" ref="Q1158" si="161">CONCATENATE(H1158,K1158)</f>
        <v>EF015</v>
      </c>
      <c r="R1158" s="29" t="str">
        <f t="shared" ref="R1158" si="162">CONCATENATE(D1158,H1158)</f>
        <v>MayEF0</v>
      </c>
    </row>
    <row r="1159" spans="1:18">
      <c r="A1159" s="483">
        <f t="shared" ref="A1159:A1223" si="163">+A1158+1</f>
        <v>1155</v>
      </c>
      <c r="B1159" s="765">
        <v>12</v>
      </c>
      <c r="C1159" s="694">
        <v>43592</v>
      </c>
      <c r="D1159" s="763" t="str">
        <f t="shared" si="155"/>
        <v>May</v>
      </c>
      <c r="E1159" s="763">
        <f t="shared" si="156"/>
        <v>7</v>
      </c>
      <c r="F1159" s="762">
        <f t="shared" si="157"/>
        <v>2019</v>
      </c>
      <c r="G1159" s="763" t="s">
        <v>105</v>
      </c>
      <c r="H1159" s="762" t="s">
        <v>161</v>
      </c>
      <c r="I1159" s="763">
        <v>20</v>
      </c>
      <c r="J1159" s="763">
        <v>0.03</v>
      </c>
      <c r="K1159" s="472">
        <f t="shared" si="158"/>
        <v>15</v>
      </c>
      <c r="L1159" s="764">
        <v>0.65972222222222221</v>
      </c>
      <c r="M1159" s="474">
        <f t="shared" si="159"/>
        <v>0.65972222222222221</v>
      </c>
      <c r="N1159" s="519">
        <v>0.66041666666666665</v>
      </c>
      <c r="P1159" s="29" t="str">
        <f t="shared" ref="P1159:P1173" si="164">CONCATENATE(F1158,H1158)</f>
        <v>2019EF0</v>
      </c>
      <c r="Q1159" s="29" t="str">
        <f t="shared" ref="Q1159:Q1173" si="165">CONCATENATE(H1158,K1158)</f>
        <v>EF015</v>
      </c>
      <c r="R1159" s="29" t="str">
        <f t="shared" ref="R1159:R1173" si="166">CONCATENATE(D1158,H1158)</f>
        <v>MayEF0</v>
      </c>
    </row>
    <row r="1160" spans="1:18">
      <c r="A1160" s="483">
        <f t="shared" si="163"/>
        <v>1156</v>
      </c>
      <c r="B1160" s="765">
        <v>13</v>
      </c>
      <c r="C1160" s="694">
        <v>43592</v>
      </c>
      <c r="D1160" s="763" t="str">
        <f t="shared" si="155"/>
        <v>May</v>
      </c>
      <c r="E1160" s="763">
        <f t="shared" si="156"/>
        <v>7</v>
      </c>
      <c r="F1160" s="762">
        <f t="shared" si="157"/>
        <v>2019</v>
      </c>
      <c r="G1160" s="761" t="s">
        <v>109</v>
      </c>
      <c r="H1160" s="886" t="s">
        <v>161</v>
      </c>
      <c r="I1160" s="763">
        <v>50</v>
      </c>
      <c r="J1160" s="763">
        <v>5.39</v>
      </c>
      <c r="K1160" s="472">
        <f t="shared" si="158"/>
        <v>16</v>
      </c>
      <c r="L1160" s="764">
        <v>0.6777777777777777</v>
      </c>
      <c r="M1160" s="474">
        <f t="shared" si="159"/>
        <v>0.6777777777777777</v>
      </c>
      <c r="N1160" s="519">
        <v>0.67986111111111114</v>
      </c>
      <c r="P1160" s="29" t="str">
        <f t="shared" si="164"/>
        <v>2019EF0</v>
      </c>
      <c r="Q1160" s="29" t="str">
        <f t="shared" si="165"/>
        <v>EF015</v>
      </c>
      <c r="R1160" s="29" t="str">
        <f t="shared" si="166"/>
        <v>MayEF0</v>
      </c>
    </row>
    <row r="1161" spans="1:18">
      <c r="A1161" s="483">
        <f t="shared" si="163"/>
        <v>1157</v>
      </c>
      <c r="B1161" s="765">
        <v>14</v>
      </c>
      <c r="C1161" s="694">
        <v>43592</v>
      </c>
      <c r="D1161" s="763" t="str">
        <f t="shared" si="155"/>
        <v>May</v>
      </c>
      <c r="E1161" s="763">
        <f t="shared" si="156"/>
        <v>7</v>
      </c>
      <c r="F1161" s="762">
        <f t="shared" si="157"/>
        <v>2019</v>
      </c>
      <c r="G1161" s="761" t="s">
        <v>119</v>
      </c>
      <c r="H1161" s="886" t="s">
        <v>161</v>
      </c>
      <c r="I1161" s="763">
        <v>100</v>
      </c>
      <c r="J1161" s="763">
        <v>11.49</v>
      </c>
      <c r="K1161" s="472">
        <f t="shared" si="158"/>
        <v>17</v>
      </c>
      <c r="L1161" s="764">
        <v>0.7270833333333333</v>
      </c>
      <c r="M1161" s="474">
        <f t="shared" si="159"/>
        <v>0.7270833333333333</v>
      </c>
      <c r="N1161" s="519">
        <v>0.73263888888888884</v>
      </c>
      <c r="P1161" s="29" t="str">
        <f t="shared" si="164"/>
        <v>2019EF0</v>
      </c>
      <c r="Q1161" s="29" t="str">
        <f t="shared" si="165"/>
        <v>EF016</v>
      </c>
      <c r="R1161" s="29" t="str">
        <f t="shared" si="166"/>
        <v>MayEF0</v>
      </c>
    </row>
    <row r="1162" spans="1:18">
      <c r="A1162" s="483">
        <f t="shared" si="163"/>
        <v>1158</v>
      </c>
      <c r="B1162" s="765">
        <v>15</v>
      </c>
      <c r="C1162" s="694">
        <v>43592</v>
      </c>
      <c r="D1162" s="763" t="str">
        <f t="shared" si="155"/>
        <v>May</v>
      </c>
      <c r="E1162" s="763">
        <f t="shared" si="156"/>
        <v>7</v>
      </c>
      <c r="F1162" s="762">
        <f t="shared" si="157"/>
        <v>2019</v>
      </c>
      <c r="G1162" s="761" t="s">
        <v>106</v>
      </c>
      <c r="H1162" s="886" t="s">
        <v>161</v>
      </c>
      <c r="I1162" s="763">
        <v>20</v>
      </c>
      <c r="J1162" s="763">
        <v>0.06</v>
      </c>
      <c r="K1162" s="472">
        <f t="shared" si="158"/>
        <v>17</v>
      </c>
      <c r="L1162" s="764">
        <v>0.74722222222222223</v>
      </c>
      <c r="M1162" s="474">
        <f t="shared" si="159"/>
        <v>0.74722222222222223</v>
      </c>
      <c r="N1162" s="519">
        <v>0.74722222222222223</v>
      </c>
      <c r="P1162" s="29" t="str">
        <f t="shared" si="164"/>
        <v>2019EF0</v>
      </c>
      <c r="Q1162" s="29" t="str">
        <f t="shared" si="165"/>
        <v>EF017</v>
      </c>
      <c r="R1162" s="29" t="str">
        <f t="shared" si="166"/>
        <v>MayEF0</v>
      </c>
    </row>
    <row r="1163" spans="1:18">
      <c r="A1163" s="483">
        <f t="shared" si="163"/>
        <v>1159</v>
      </c>
      <c r="B1163" s="765">
        <v>16</v>
      </c>
      <c r="C1163" s="694">
        <v>43592</v>
      </c>
      <c r="D1163" s="763" t="str">
        <f t="shared" si="155"/>
        <v>May</v>
      </c>
      <c r="E1163" s="763">
        <f t="shared" si="156"/>
        <v>7</v>
      </c>
      <c r="F1163" s="762">
        <f t="shared" si="157"/>
        <v>2019</v>
      </c>
      <c r="G1163" s="761" t="s">
        <v>120</v>
      </c>
      <c r="H1163" s="886" t="s">
        <v>161</v>
      </c>
      <c r="I1163" s="763">
        <v>73</v>
      </c>
      <c r="J1163" s="763">
        <v>1.1000000000000001</v>
      </c>
      <c r="K1163" s="472">
        <f t="shared" si="158"/>
        <v>18</v>
      </c>
      <c r="L1163" s="764">
        <v>0.76736111111111116</v>
      </c>
      <c r="M1163" s="474">
        <f t="shared" si="159"/>
        <v>0.76736111111111116</v>
      </c>
      <c r="N1163" s="519">
        <v>0.76944444444444438</v>
      </c>
      <c r="P1163" s="29" t="str">
        <f t="shared" si="164"/>
        <v>2019EF0</v>
      </c>
      <c r="Q1163" s="29" t="str">
        <f t="shared" si="165"/>
        <v>EF017</v>
      </c>
      <c r="R1163" s="29" t="str">
        <f t="shared" si="166"/>
        <v>MayEF0</v>
      </c>
    </row>
    <row r="1164" spans="1:18">
      <c r="A1164" s="483">
        <f t="shared" si="163"/>
        <v>1160</v>
      </c>
      <c r="B1164" s="765">
        <v>17</v>
      </c>
      <c r="C1164" s="694">
        <v>43592</v>
      </c>
      <c r="D1164" s="763" t="str">
        <f t="shared" si="155"/>
        <v>May</v>
      </c>
      <c r="E1164" s="763">
        <f t="shared" si="156"/>
        <v>7</v>
      </c>
      <c r="F1164" s="762">
        <f t="shared" si="157"/>
        <v>2019</v>
      </c>
      <c r="G1164" s="761" t="s">
        <v>120</v>
      </c>
      <c r="H1164" s="886" t="s">
        <v>161</v>
      </c>
      <c r="I1164" s="763">
        <v>500</v>
      </c>
      <c r="J1164" s="763">
        <v>4.24</v>
      </c>
      <c r="K1164" s="472">
        <f t="shared" si="158"/>
        <v>18</v>
      </c>
      <c r="L1164" s="764">
        <v>0.78333333333333333</v>
      </c>
      <c r="M1164" s="474">
        <f t="shared" si="159"/>
        <v>0.78333333333333333</v>
      </c>
      <c r="N1164" s="519">
        <v>0.78611111111111109</v>
      </c>
      <c r="P1164" s="29" t="str">
        <f t="shared" si="164"/>
        <v>2019EF0</v>
      </c>
      <c r="Q1164" s="29" t="str">
        <f t="shared" si="165"/>
        <v>EF018</v>
      </c>
      <c r="R1164" s="29" t="str">
        <f t="shared" si="166"/>
        <v>MayEF0</v>
      </c>
    </row>
    <row r="1165" spans="1:18">
      <c r="A1165" s="483">
        <f t="shared" si="163"/>
        <v>1161</v>
      </c>
      <c r="B1165" s="765">
        <v>18</v>
      </c>
      <c r="C1165" s="694">
        <v>43602</v>
      </c>
      <c r="D1165" s="763" t="str">
        <f t="shared" si="155"/>
        <v>May</v>
      </c>
      <c r="E1165" s="763">
        <f t="shared" si="156"/>
        <v>17</v>
      </c>
      <c r="F1165" s="762">
        <f t="shared" si="157"/>
        <v>2019</v>
      </c>
      <c r="G1165" s="761" t="s">
        <v>101</v>
      </c>
      <c r="H1165" s="907" t="s">
        <v>161</v>
      </c>
      <c r="I1165" s="763">
        <v>50</v>
      </c>
      <c r="J1165" s="763">
        <v>2.88</v>
      </c>
      <c r="K1165" s="472">
        <f t="shared" si="158"/>
        <v>18</v>
      </c>
      <c r="L1165" s="764">
        <v>0.77222222222222225</v>
      </c>
      <c r="M1165" s="474">
        <f t="shared" si="159"/>
        <v>0.77222222222222225</v>
      </c>
      <c r="N1165" s="519">
        <v>0.77708333333333324</v>
      </c>
      <c r="P1165" s="29" t="str">
        <f t="shared" si="164"/>
        <v>2019EF0</v>
      </c>
      <c r="Q1165" s="29" t="str">
        <f t="shared" si="165"/>
        <v>EF018</v>
      </c>
      <c r="R1165" s="29" t="str">
        <f t="shared" si="166"/>
        <v>MayEF0</v>
      </c>
    </row>
    <row r="1166" spans="1:18">
      <c r="A1166" s="483">
        <f t="shared" si="163"/>
        <v>1162</v>
      </c>
      <c r="B1166" s="765">
        <v>19</v>
      </c>
      <c r="C1166" s="694">
        <v>43605</v>
      </c>
      <c r="D1166" s="763" t="str">
        <f t="shared" si="155"/>
        <v>May</v>
      </c>
      <c r="E1166" s="763">
        <f t="shared" si="156"/>
        <v>20</v>
      </c>
      <c r="F1166" s="762">
        <f t="shared" si="157"/>
        <v>2019</v>
      </c>
      <c r="G1166" s="761" t="s">
        <v>121</v>
      </c>
      <c r="H1166" s="886" t="s">
        <v>161</v>
      </c>
      <c r="I1166" s="763">
        <v>50</v>
      </c>
      <c r="J1166" s="763">
        <v>0.35</v>
      </c>
      <c r="K1166" s="472">
        <f t="shared" si="158"/>
        <v>14</v>
      </c>
      <c r="L1166" s="764">
        <v>0.60347222222222219</v>
      </c>
      <c r="M1166" s="474">
        <f t="shared" si="159"/>
        <v>0.60347222222222219</v>
      </c>
      <c r="N1166" s="519">
        <v>0.60416666666666663</v>
      </c>
      <c r="P1166" s="29" t="str">
        <f t="shared" si="164"/>
        <v>2019EF0</v>
      </c>
      <c r="Q1166" s="29" t="str">
        <f t="shared" si="165"/>
        <v>EF018</v>
      </c>
      <c r="R1166" s="29" t="str">
        <f t="shared" si="166"/>
        <v>MayEF0</v>
      </c>
    </row>
    <row r="1167" spans="1:18">
      <c r="A1167" s="483">
        <f t="shared" si="163"/>
        <v>1163</v>
      </c>
      <c r="B1167" s="765">
        <v>20</v>
      </c>
      <c r="C1167" s="694">
        <v>43608</v>
      </c>
      <c r="D1167" s="763" t="str">
        <f t="shared" si="155"/>
        <v>May</v>
      </c>
      <c r="E1167" s="763">
        <f t="shared" si="156"/>
        <v>23</v>
      </c>
      <c r="F1167" s="762">
        <f t="shared" si="157"/>
        <v>2019</v>
      </c>
      <c r="G1167" s="761" t="s">
        <v>118</v>
      </c>
      <c r="H1167" s="886" t="s">
        <v>161</v>
      </c>
      <c r="I1167" s="763">
        <v>50</v>
      </c>
      <c r="J1167" s="763">
        <v>0.59</v>
      </c>
      <c r="K1167" s="472">
        <f t="shared" si="158"/>
        <v>16</v>
      </c>
      <c r="L1167" s="764">
        <v>0.66736111111111107</v>
      </c>
      <c r="M1167" s="474">
        <f t="shared" si="159"/>
        <v>0.66736111111111107</v>
      </c>
      <c r="N1167" s="519">
        <v>0.6694444444444444</v>
      </c>
      <c r="P1167" s="29" t="str">
        <f t="shared" si="164"/>
        <v>2019EF0</v>
      </c>
      <c r="Q1167" s="29" t="str">
        <f t="shared" si="165"/>
        <v>EF014</v>
      </c>
      <c r="R1167" s="29" t="str">
        <f t="shared" si="166"/>
        <v>MayEF0</v>
      </c>
    </row>
    <row r="1168" spans="1:18">
      <c r="A1168" s="483">
        <f t="shared" si="163"/>
        <v>1164</v>
      </c>
      <c r="B1168" s="765">
        <v>21</v>
      </c>
      <c r="C1168" s="694">
        <v>43608</v>
      </c>
      <c r="D1168" s="763" t="str">
        <f t="shared" si="155"/>
        <v>May</v>
      </c>
      <c r="E1168" s="763">
        <f t="shared" si="156"/>
        <v>23</v>
      </c>
      <c r="F1168" s="762">
        <f t="shared" si="157"/>
        <v>2019</v>
      </c>
      <c r="G1168" s="761" t="s">
        <v>119</v>
      </c>
      <c r="H1168" s="886" t="s">
        <v>161</v>
      </c>
      <c r="I1168" s="763">
        <v>50</v>
      </c>
      <c r="J1168" s="763">
        <v>0.71</v>
      </c>
      <c r="K1168" s="472">
        <f t="shared" si="158"/>
        <v>16</v>
      </c>
      <c r="L1168" s="764">
        <v>0.67569444444444438</v>
      </c>
      <c r="M1168" s="474">
        <f t="shared" si="159"/>
        <v>0.67569444444444438</v>
      </c>
      <c r="N1168" s="519">
        <v>0.6777777777777777</v>
      </c>
      <c r="P1168" s="29" t="str">
        <f t="shared" si="164"/>
        <v>2019EF0</v>
      </c>
      <c r="Q1168" s="29" t="str">
        <f t="shared" si="165"/>
        <v>EF016</v>
      </c>
      <c r="R1168" s="29" t="str">
        <f t="shared" si="166"/>
        <v>MayEF0</v>
      </c>
    </row>
    <row r="1169" spans="1:18">
      <c r="A1169" s="483">
        <f t="shared" si="163"/>
        <v>1165</v>
      </c>
      <c r="B1169" s="765">
        <v>22</v>
      </c>
      <c r="C1169" s="694">
        <v>43608</v>
      </c>
      <c r="D1169" s="763" t="str">
        <f t="shared" si="155"/>
        <v>May</v>
      </c>
      <c r="E1169" s="763">
        <f t="shared" si="156"/>
        <v>23</v>
      </c>
      <c r="F1169" s="762">
        <f t="shared" si="157"/>
        <v>2019</v>
      </c>
      <c r="G1169" s="761" t="s">
        <v>118</v>
      </c>
      <c r="H1169" s="886" t="s">
        <v>161</v>
      </c>
      <c r="I1169" s="763">
        <v>50</v>
      </c>
      <c r="J1169" s="763">
        <v>0.28999999999999998</v>
      </c>
      <c r="K1169" s="472">
        <f t="shared" si="158"/>
        <v>16</v>
      </c>
      <c r="L1169" s="764">
        <v>0.67708333333333337</v>
      </c>
      <c r="M1169" s="474">
        <f t="shared" si="159"/>
        <v>0.67708333333333337</v>
      </c>
      <c r="N1169" s="519">
        <v>0.67847222222222225</v>
      </c>
      <c r="P1169" s="29" t="str">
        <f t="shared" si="164"/>
        <v>2019EF0</v>
      </c>
      <c r="Q1169" s="29" t="str">
        <f t="shared" si="165"/>
        <v>EF016</v>
      </c>
      <c r="R1169" s="29" t="str">
        <f t="shared" si="166"/>
        <v>MayEF0</v>
      </c>
    </row>
    <row r="1170" spans="1:18">
      <c r="A1170" s="483">
        <f t="shared" si="163"/>
        <v>1166</v>
      </c>
      <c r="B1170" s="765">
        <v>23</v>
      </c>
      <c r="C1170" s="694">
        <v>43608</v>
      </c>
      <c r="D1170" s="763" t="str">
        <f t="shared" si="155"/>
        <v>May</v>
      </c>
      <c r="E1170" s="763">
        <f t="shared" si="156"/>
        <v>23</v>
      </c>
      <c r="F1170" s="762">
        <f t="shared" si="157"/>
        <v>2019</v>
      </c>
      <c r="G1170" s="761" t="s">
        <v>110</v>
      </c>
      <c r="H1170" s="886" t="s">
        <v>162</v>
      </c>
      <c r="I1170" s="763">
        <v>50</v>
      </c>
      <c r="J1170" s="763">
        <v>9.11</v>
      </c>
      <c r="K1170" s="472">
        <f t="shared" si="158"/>
        <v>17</v>
      </c>
      <c r="L1170" s="764">
        <v>0.71805555555555556</v>
      </c>
      <c r="M1170" s="474">
        <f t="shared" si="159"/>
        <v>0.71805555555555556</v>
      </c>
      <c r="N1170" s="519">
        <v>0.72777777777777775</v>
      </c>
      <c r="P1170" s="29" t="str">
        <f t="shared" si="164"/>
        <v>2019EF0</v>
      </c>
      <c r="Q1170" s="29" t="str">
        <f t="shared" si="165"/>
        <v>EF016</v>
      </c>
      <c r="R1170" s="29" t="str">
        <f t="shared" si="166"/>
        <v>MayEF0</v>
      </c>
    </row>
    <row r="1171" spans="1:18">
      <c r="A1171" s="483">
        <f t="shared" si="163"/>
        <v>1167</v>
      </c>
      <c r="B1171" s="765">
        <v>24</v>
      </c>
      <c r="C1171" s="694">
        <v>43608</v>
      </c>
      <c r="D1171" s="763" t="str">
        <f t="shared" si="155"/>
        <v>May</v>
      </c>
      <c r="E1171" s="763">
        <f t="shared" si="156"/>
        <v>23</v>
      </c>
      <c r="F1171" s="762">
        <f t="shared" si="157"/>
        <v>2019</v>
      </c>
      <c r="G1171" s="761" t="s">
        <v>110</v>
      </c>
      <c r="H1171" s="886" t="s">
        <v>160</v>
      </c>
      <c r="I1171" s="763">
        <v>900</v>
      </c>
      <c r="J1171" s="763">
        <v>17.510000000000002</v>
      </c>
      <c r="K1171" s="472">
        <f t="shared" si="158"/>
        <v>17</v>
      </c>
      <c r="L1171" s="764">
        <v>0.74930555555555556</v>
      </c>
      <c r="M1171" s="474">
        <f t="shared" si="159"/>
        <v>0.74930555555555556</v>
      </c>
      <c r="N1171" s="519">
        <v>0.7729166666666667</v>
      </c>
      <c r="P1171" s="29" t="str">
        <f t="shared" si="164"/>
        <v>2019EF1</v>
      </c>
      <c r="Q1171" s="29" t="str">
        <f t="shared" si="165"/>
        <v>EF117</v>
      </c>
      <c r="R1171" s="29" t="str">
        <f t="shared" si="166"/>
        <v>MayEF1</v>
      </c>
    </row>
    <row r="1172" spans="1:18">
      <c r="A1172" s="483">
        <f t="shared" si="163"/>
        <v>1168</v>
      </c>
      <c r="B1172" s="765">
        <v>25</v>
      </c>
      <c r="C1172" s="694">
        <v>43608</v>
      </c>
      <c r="D1172" s="763" t="str">
        <f t="shared" si="155"/>
        <v>May</v>
      </c>
      <c r="E1172" s="763">
        <f t="shared" si="156"/>
        <v>23</v>
      </c>
      <c r="F1172" s="762">
        <f t="shared" si="157"/>
        <v>2019</v>
      </c>
      <c r="G1172" s="761" t="s">
        <v>110</v>
      </c>
      <c r="H1172" s="886" t="s">
        <v>161</v>
      </c>
      <c r="I1172" s="763">
        <v>20</v>
      </c>
      <c r="J1172" s="763">
        <v>0.04</v>
      </c>
      <c r="K1172" s="472">
        <f t="shared" si="158"/>
        <v>18</v>
      </c>
      <c r="L1172" s="767">
        <v>0.75486111111111109</v>
      </c>
      <c r="M1172" s="474">
        <f t="shared" si="159"/>
        <v>0.75486111111111109</v>
      </c>
      <c r="N1172" s="519">
        <v>0.75555555555555554</v>
      </c>
      <c r="P1172" s="29" t="str">
        <f t="shared" si="164"/>
        <v>2019EF2</v>
      </c>
      <c r="Q1172" s="29" t="str">
        <f t="shared" si="165"/>
        <v>EF217</v>
      </c>
      <c r="R1172" s="29" t="str">
        <f t="shared" si="166"/>
        <v>MayEF2</v>
      </c>
    </row>
    <row r="1173" spans="1:18">
      <c r="A1173" s="483">
        <f t="shared" si="163"/>
        <v>1169</v>
      </c>
      <c r="B1173" s="765">
        <v>26</v>
      </c>
      <c r="C1173" s="694">
        <v>43608</v>
      </c>
      <c r="D1173" s="763" t="str">
        <f t="shared" si="155"/>
        <v>May</v>
      </c>
      <c r="E1173" s="763">
        <f t="shared" si="156"/>
        <v>23</v>
      </c>
      <c r="F1173" s="762">
        <f t="shared" si="157"/>
        <v>2019</v>
      </c>
      <c r="G1173" s="694" t="s">
        <v>106</v>
      </c>
      <c r="H1173" s="885" t="s">
        <v>160</v>
      </c>
      <c r="I1173" s="763">
        <v>1400</v>
      </c>
      <c r="J1173" s="765">
        <v>10.23</v>
      </c>
      <c r="K1173" s="472">
        <f t="shared" si="158"/>
        <v>19</v>
      </c>
      <c r="L1173" s="767">
        <v>0.80972222222222223</v>
      </c>
      <c r="M1173" s="474">
        <f t="shared" si="159"/>
        <v>0.80972222222222223</v>
      </c>
      <c r="N1173" s="519">
        <v>0.82430555555555562</v>
      </c>
      <c r="P1173" s="29" t="str">
        <f t="shared" si="164"/>
        <v>2019EF0</v>
      </c>
      <c r="Q1173" s="29" t="str">
        <f t="shared" si="165"/>
        <v>EF018</v>
      </c>
      <c r="R1173" s="29" t="str">
        <f t="shared" si="166"/>
        <v>MayEF0</v>
      </c>
    </row>
    <row r="1174" spans="1:18">
      <c r="A1174" s="483">
        <f t="shared" si="163"/>
        <v>1170</v>
      </c>
      <c r="B1174" s="910">
        <v>27</v>
      </c>
      <c r="C1174" s="694">
        <v>43608</v>
      </c>
      <c r="D1174" s="763" t="str">
        <f t="shared" si="155"/>
        <v>May</v>
      </c>
      <c r="E1174" s="763">
        <f t="shared" ref="E1174" si="167">DAY(C1174)</f>
        <v>23</v>
      </c>
      <c r="F1174" s="762">
        <f t="shared" ref="F1174" si="168">YEAR(C1174)</f>
        <v>2019</v>
      </c>
      <c r="G1174" s="694" t="s">
        <v>106</v>
      </c>
      <c r="H1174" s="913" t="s">
        <v>161</v>
      </c>
      <c r="I1174" s="912">
        <v>75</v>
      </c>
      <c r="J1174" s="910">
        <v>4.47</v>
      </c>
      <c r="K1174" s="916">
        <f t="shared" si="158"/>
        <v>19</v>
      </c>
      <c r="L1174" s="917">
        <v>0.82152777777777775</v>
      </c>
      <c r="M1174" s="918">
        <f t="shared" si="159"/>
        <v>0.82152777777777775</v>
      </c>
      <c r="N1174" s="919">
        <v>0.82500000000000007</v>
      </c>
      <c r="P1174" s="29" t="str">
        <f t="shared" ref="P1174" si="169">CONCATENATE(F1173,H1173)</f>
        <v>2019EF2</v>
      </c>
      <c r="Q1174" s="29" t="str">
        <f t="shared" ref="Q1174" si="170">CONCATENATE(H1173,K1173)</f>
        <v>EF219</v>
      </c>
      <c r="R1174" s="29" t="str">
        <f t="shared" ref="R1174" si="171">CONCATENATE(D1173,H1173)</f>
        <v>MayEF2</v>
      </c>
    </row>
    <row r="1175" spans="1:18">
      <c r="A1175" s="483">
        <f t="shared" si="163"/>
        <v>1171</v>
      </c>
      <c r="B1175" s="765">
        <v>28</v>
      </c>
      <c r="C1175" s="694">
        <v>43611</v>
      </c>
      <c r="D1175" s="763" t="str">
        <f t="shared" si="155"/>
        <v>May</v>
      </c>
      <c r="E1175" s="763">
        <f t="shared" si="156"/>
        <v>26</v>
      </c>
      <c r="F1175" s="762">
        <f t="shared" si="157"/>
        <v>2019</v>
      </c>
      <c r="G1175" s="694" t="s">
        <v>112</v>
      </c>
      <c r="H1175" s="885" t="s">
        <v>161</v>
      </c>
      <c r="I1175" s="763">
        <v>50</v>
      </c>
      <c r="J1175" s="763">
        <v>0.34</v>
      </c>
      <c r="K1175" s="472">
        <f t="shared" ref="K1175:K1222" si="172">HOUR(M1175)</f>
        <v>18</v>
      </c>
      <c r="L1175" s="764">
        <v>0.76736111111111116</v>
      </c>
      <c r="M1175" s="474">
        <f t="shared" ref="M1175:M1227" si="173">+L1175</f>
        <v>0.76736111111111116</v>
      </c>
      <c r="N1175" s="519">
        <v>0.7680555555555556</v>
      </c>
      <c r="P1175" s="29" t="str">
        <f>CONCATENATE(F1173,H1173)</f>
        <v>2019EF2</v>
      </c>
      <c r="Q1175" s="29" t="str">
        <f>CONCATENATE(H1173,K1173)</f>
        <v>EF219</v>
      </c>
      <c r="R1175" s="29" t="str">
        <f>CONCATENATE(D1173,H1173)</f>
        <v>MayEF2</v>
      </c>
    </row>
    <row r="1176" spans="1:18">
      <c r="A1176" s="483">
        <f t="shared" si="163"/>
        <v>1172</v>
      </c>
      <c r="B1176" s="765">
        <v>29</v>
      </c>
      <c r="C1176" s="694">
        <v>43611</v>
      </c>
      <c r="D1176" s="763" t="str">
        <f t="shared" si="155"/>
        <v>May</v>
      </c>
      <c r="E1176" s="763">
        <f t="shared" si="149"/>
        <v>26</v>
      </c>
      <c r="F1176" s="762">
        <f t="shared" si="150"/>
        <v>2019</v>
      </c>
      <c r="G1176" s="694" t="s">
        <v>107</v>
      </c>
      <c r="H1176" s="885" t="s">
        <v>161</v>
      </c>
      <c r="I1176" s="763">
        <v>50</v>
      </c>
      <c r="J1176" s="763">
        <v>2</v>
      </c>
      <c r="K1176" s="472">
        <f t="shared" si="172"/>
        <v>19</v>
      </c>
      <c r="L1176" s="764">
        <v>0.79305555555555562</v>
      </c>
      <c r="M1176" s="474">
        <f t="shared" si="173"/>
        <v>0.79305555555555562</v>
      </c>
      <c r="N1176" s="519">
        <v>0.79513888888888884</v>
      </c>
      <c r="P1176" s="29" t="str">
        <f t="shared" si="151"/>
        <v>2019EF0</v>
      </c>
      <c r="Q1176" s="29" t="str">
        <f t="shared" si="152"/>
        <v>EF019</v>
      </c>
      <c r="R1176" s="29" t="str">
        <f t="shared" si="153"/>
        <v>MayEF0</v>
      </c>
    </row>
    <row r="1177" spans="1:18">
      <c r="A1177" s="483">
        <f t="shared" si="163"/>
        <v>1173</v>
      </c>
      <c r="B1177" s="765">
        <v>30</v>
      </c>
      <c r="C1177" s="694">
        <v>43611</v>
      </c>
      <c r="D1177" s="763" t="str">
        <f t="shared" si="155"/>
        <v>May</v>
      </c>
      <c r="E1177" s="763">
        <f t="shared" si="149"/>
        <v>26</v>
      </c>
      <c r="F1177" s="762">
        <f t="shared" si="150"/>
        <v>2019</v>
      </c>
      <c r="G1177" s="694" t="s">
        <v>107</v>
      </c>
      <c r="H1177" s="885" t="s">
        <v>161</v>
      </c>
      <c r="I1177" s="763">
        <v>75</v>
      </c>
      <c r="J1177" s="763">
        <v>5.2</v>
      </c>
      <c r="K1177" s="472">
        <f t="shared" si="172"/>
        <v>19</v>
      </c>
      <c r="L1177" s="764">
        <v>0.80138888888888893</v>
      </c>
      <c r="M1177" s="474">
        <f t="shared" si="173"/>
        <v>0.80138888888888893</v>
      </c>
      <c r="N1177" s="519">
        <v>0.80555555555555547</v>
      </c>
      <c r="P1177" s="29" t="str">
        <f t="shared" si="151"/>
        <v>2019EF0</v>
      </c>
      <c r="Q1177" s="29" t="str">
        <f t="shared" si="152"/>
        <v>EF019</v>
      </c>
      <c r="R1177" s="29" t="str">
        <f t="shared" si="153"/>
        <v>MayEF0</v>
      </c>
    </row>
    <row r="1178" spans="1:18">
      <c r="A1178" s="483">
        <f t="shared" si="163"/>
        <v>1174</v>
      </c>
      <c r="B1178" s="765">
        <v>31</v>
      </c>
      <c r="C1178" s="694">
        <v>43611</v>
      </c>
      <c r="D1178" s="763" t="str">
        <f t="shared" si="155"/>
        <v>May</v>
      </c>
      <c r="E1178" s="763">
        <f t="shared" si="149"/>
        <v>26</v>
      </c>
      <c r="F1178" s="762">
        <f t="shared" si="150"/>
        <v>2019</v>
      </c>
      <c r="G1178" s="694" t="s">
        <v>112</v>
      </c>
      <c r="H1178" s="885" t="s">
        <v>161</v>
      </c>
      <c r="I1178" s="763">
        <v>50</v>
      </c>
      <c r="J1178" s="763">
        <v>1.51</v>
      </c>
      <c r="K1178" s="472">
        <f t="shared" si="172"/>
        <v>23</v>
      </c>
      <c r="L1178" s="764">
        <v>0.97569444444444453</v>
      </c>
      <c r="M1178" s="474">
        <f t="shared" si="173"/>
        <v>0.97569444444444453</v>
      </c>
      <c r="N1178" s="519">
        <v>0.97638888888888886</v>
      </c>
      <c r="P1178" s="29" t="str">
        <f t="shared" si="151"/>
        <v>2019EF0</v>
      </c>
      <c r="Q1178" s="29" t="str">
        <f t="shared" si="152"/>
        <v>EF023</v>
      </c>
      <c r="R1178" s="29" t="str">
        <f t="shared" si="153"/>
        <v>MayEF0</v>
      </c>
    </row>
    <row r="1179" spans="1:18">
      <c r="A1179" s="483">
        <f t="shared" si="163"/>
        <v>1175</v>
      </c>
      <c r="B1179" s="765">
        <v>32</v>
      </c>
      <c r="C1179" s="694">
        <v>43612</v>
      </c>
      <c r="D1179" s="763" t="str">
        <f t="shared" si="155"/>
        <v>May</v>
      </c>
      <c r="E1179" s="763">
        <f t="shared" si="149"/>
        <v>27</v>
      </c>
      <c r="F1179" s="762">
        <f t="shared" si="150"/>
        <v>2019</v>
      </c>
      <c r="G1179" s="694" t="s">
        <v>113</v>
      </c>
      <c r="H1179" s="885" t="s">
        <v>161</v>
      </c>
      <c r="I1179" s="763">
        <v>50</v>
      </c>
      <c r="J1179" s="763">
        <v>1.58</v>
      </c>
      <c r="K1179" s="472">
        <f t="shared" si="172"/>
        <v>0</v>
      </c>
      <c r="L1179" s="764">
        <v>6.9444444444444441E-3</v>
      </c>
      <c r="M1179" s="474">
        <f t="shared" si="173"/>
        <v>6.9444444444444441E-3</v>
      </c>
      <c r="N1179" s="519">
        <v>7.6388888888888886E-3</v>
      </c>
      <c r="P1179" s="29" t="str">
        <f t="shared" si="151"/>
        <v>2019EF0</v>
      </c>
      <c r="Q1179" s="29" t="str">
        <f t="shared" si="152"/>
        <v>EF00</v>
      </c>
      <c r="R1179" s="29" t="str">
        <f t="shared" si="153"/>
        <v>MayEF0</v>
      </c>
    </row>
    <row r="1180" spans="1:18">
      <c r="A1180" s="483">
        <f t="shared" si="163"/>
        <v>1176</v>
      </c>
      <c r="B1180" s="765">
        <v>33</v>
      </c>
      <c r="C1180" s="694">
        <v>43618</v>
      </c>
      <c r="D1180" s="763" t="str">
        <f t="shared" si="155"/>
        <v>June</v>
      </c>
      <c r="E1180" s="763">
        <f t="shared" si="149"/>
        <v>2</v>
      </c>
      <c r="F1180" s="762">
        <f t="shared" si="150"/>
        <v>2019</v>
      </c>
      <c r="G1180" s="694" t="s">
        <v>99</v>
      </c>
      <c r="H1180" s="885" t="s">
        <v>161</v>
      </c>
      <c r="I1180" s="763">
        <v>20</v>
      </c>
      <c r="J1180" s="763">
        <v>0.01</v>
      </c>
      <c r="K1180" s="472">
        <f t="shared" si="172"/>
        <v>19</v>
      </c>
      <c r="L1180" s="764">
        <v>0.8041666666666667</v>
      </c>
      <c r="M1180" s="474">
        <f t="shared" si="173"/>
        <v>0.8041666666666667</v>
      </c>
      <c r="N1180" s="519">
        <v>0.8041666666666667</v>
      </c>
      <c r="P1180" s="29" t="str">
        <f t="shared" si="151"/>
        <v>2019EF0</v>
      </c>
      <c r="Q1180" s="29" t="str">
        <f t="shared" si="152"/>
        <v>EF019</v>
      </c>
      <c r="R1180" s="29" t="str">
        <f t="shared" si="153"/>
        <v>JuneEF0</v>
      </c>
    </row>
    <row r="1181" spans="1:18">
      <c r="A1181" s="483">
        <f t="shared" si="163"/>
        <v>1177</v>
      </c>
      <c r="B1181" s="765">
        <v>34</v>
      </c>
      <c r="C1181" s="694">
        <v>43634</v>
      </c>
      <c r="D1181" s="763" t="str">
        <f t="shared" si="155"/>
        <v>June</v>
      </c>
      <c r="E1181" s="763">
        <f t="shared" si="149"/>
        <v>18</v>
      </c>
      <c r="F1181" s="762">
        <f t="shared" si="150"/>
        <v>2019</v>
      </c>
      <c r="G1181" s="694" t="s">
        <v>115</v>
      </c>
      <c r="H1181" s="885" t="s">
        <v>161</v>
      </c>
      <c r="I1181" s="763">
        <v>20</v>
      </c>
      <c r="J1181" s="763">
        <v>0.96</v>
      </c>
      <c r="K1181" s="472">
        <f t="shared" si="172"/>
        <v>19</v>
      </c>
      <c r="L1181" s="764">
        <v>0.79861111111111116</v>
      </c>
      <c r="M1181" s="474">
        <f t="shared" si="173"/>
        <v>0.79861111111111116</v>
      </c>
      <c r="N1181" s="519">
        <v>0.79999999999999993</v>
      </c>
      <c r="P1181" s="29" t="str">
        <f t="shared" si="151"/>
        <v>2019EF0</v>
      </c>
      <c r="Q1181" s="29" t="str">
        <f t="shared" si="152"/>
        <v>EF019</v>
      </c>
      <c r="R1181" s="29" t="str">
        <f t="shared" si="153"/>
        <v>JuneEF0</v>
      </c>
    </row>
    <row r="1182" spans="1:18">
      <c r="A1182" s="483">
        <f t="shared" si="163"/>
        <v>1178</v>
      </c>
      <c r="B1182" s="765">
        <v>35</v>
      </c>
      <c r="C1182" s="694">
        <v>43638</v>
      </c>
      <c r="D1182" s="763" t="str">
        <f t="shared" si="155"/>
        <v>June</v>
      </c>
      <c r="E1182" s="763">
        <f t="shared" si="149"/>
        <v>22</v>
      </c>
      <c r="F1182" s="762">
        <f t="shared" si="150"/>
        <v>2019</v>
      </c>
      <c r="G1182" s="694" t="s">
        <v>119</v>
      </c>
      <c r="H1182" s="885" t="s">
        <v>161</v>
      </c>
      <c r="I1182" s="763">
        <v>50</v>
      </c>
      <c r="J1182" s="763">
        <v>2.4500000000000002</v>
      </c>
      <c r="K1182" s="472">
        <f t="shared" si="172"/>
        <v>21</v>
      </c>
      <c r="L1182" s="764">
        <v>0.90486111111111101</v>
      </c>
      <c r="M1182" s="474">
        <f t="shared" si="173"/>
        <v>0.90486111111111101</v>
      </c>
      <c r="N1182" s="519">
        <v>0.90902777777777777</v>
      </c>
      <c r="P1182" s="29" t="str">
        <f t="shared" si="151"/>
        <v>2019EF0</v>
      </c>
      <c r="Q1182" s="29" t="str">
        <f t="shared" si="152"/>
        <v>EF021</v>
      </c>
      <c r="R1182" s="29" t="str">
        <f t="shared" si="153"/>
        <v>JuneEF0</v>
      </c>
    </row>
    <row r="1183" spans="1:18">
      <c r="A1183" s="483">
        <f t="shared" si="163"/>
        <v>1179</v>
      </c>
      <c r="B1183" s="765">
        <v>36</v>
      </c>
      <c r="C1183" s="694">
        <v>43638</v>
      </c>
      <c r="D1183" s="763" t="str">
        <f t="shared" si="155"/>
        <v>June</v>
      </c>
      <c r="E1183" s="763">
        <f t="shared" si="149"/>
        <v>22</v>
      </c>
      <c r="F1183" s="762">
        <f t="shared" si="150"/>
        <v>2019</v>
      </c>
      <c r="G1183" s="694" t="s">
        <v>119</v>
      </c>
      <c r="H1183" s="885" t="s">
        <v>161</v>
      </c>
      <c r="I1183" s="763">
        <v>200</v>
      </c>
      <c r="J1183" s="763">
        <v>2.08</v>
      </c>
      <c r="K1183" s="472">
        <f t="shared" si="172"/>
        <v>21</v>
      </c>
      <c r="L1183" s="764">
        <v>0.91319444444444453</v>
      </c>
      <c r="M1183" s="474">
        <f t="shared" si="173"/>
        <v>0.91319444444444453</v>
      </c>
      <c r="N1183" s="519">
        <v>0.9194444444444444</v>
      </c>
      <c r="P1183" s="29" t="str">
        <f t="shared" si="151"/>
        <v>2019EF0</v>
      </c>
      <c r="Q1183" s="29" t="str">
        <f t="shared" si="152"/>
        <v>EF021</v>
      </c>
      <c r="R1183" s="29" t="str">
        <f t="shared" si="153"/>
        <v>JuneEF0</v>
      </c>
    </row>
    <row r="1184" spans="1:18">
      <c r="A1184" s="483">
        <f t="shared" si="163"/>
        <v>1180</v>
      </c>
      <c r="B1184" s="765">
        <v>37</v>
      </c>
      <c r="C1184" s="694">
        <v>43700</v>
      </c>
      <c r="D1184" s="763" t="str">
        <f t="shared" si="155"/>
        <v>August</v>
      </c>
      <c r="E1184" s="763">
        <f t="shared" si="149"/>
        <v>23</v>
      </c>
      <c r="F1184" s="762">
        <f t="shared" si="150"/>
        <v>2019</v>
      </c>
      <c r="G1184" s="694" t="s">
        <v>101</v>
      </c>
      <c r="H1184" s="885" t="s">
        <v>161</v>
      </c>
      <c r="I1184" s="763">
        <v>50</v>
      </c>
      <c r="J1184" s="763">
        <v>1.93</v>
      </c>
      <c r="K1184" s="472">
        <f t="shared" si="172"/>
        <v>19</v>
      </c>
      <c r="L1184" s="764">
        <v>0.79861111111111116</v>
      </c>
      <c r="M1184" s="474">
        <f t="shared" si="173"/>
        <v>0.79861111111111116</v>
      </c>
      <c r="N1184" s="519">
        <v>0.80555555555555547</v>
      </c>
      <c r="P1184" s="29" t="str">
        <f t="shared" si="151"/>
        <v>2019EF0</v>
      </c>
      <c r="Q1184" s="29" t="str">
        <f t="shared" si="152"/>
        <v>EF019</v>
      </c>
      <c r="R1184" s="29" t="str">
        <f t="shared" si="153"/>
        <v>AugustEF0</v>
      </c>
    </row>
    <row r="1185" spans="1:18">
      <c r="A1185" s="483">
        <f t="shared" si="163"/>
        <v>1181</v>
      </c>
      <c r="B1185" s="923">
        <v>1</v>
      </c>
      <c r="C1185" s="662">
        <v>43920</v>
      </c>
      <c r="D1185" s="924" t="str">
        <f t="shared" si="155"/>
        <v>March</v>
      </c>
      <c r="E1185" s="924">
        <f t="shared" ref="E1185:E1192" si="174">DAY(C1185)</f>
        <v>30</v>
      </c>
      <c r="F1185" s="925">
        <f t="shared" ref="F1185:F1192" si="175">YEAR(C1185)</f>
        <v>2020</v>
      </c>
      <c r="G1185" s="923" t="s">
        <v>114</v>
      </c>
      <c r="H1185" s="906" t="s">
        <v>161</v>
      </c>
      <c r="I1185" s="923">
        <v>50</v>
      </c>
      <c r="J1185" s="923">
        <v>3.55</v>
      </c>
      <c r="K1185" s="658">
        <f t="shared" si="172"/>
        <v>16</v>
      </c>
      <c r="L1185" s="926">
        <v>0.68194444444444446</v>
      </c>
      <c r="M1185" s="927">
        <f t="shared" si="173"/>
        <v>0.68194444444444446</v>
      </c>
      <c r="N1185" s="928">
        <v>0.68958333333333333</v>
      </c>
      <c r="P1185" s="29" t="str">
        <f t="shared" si="151"/>
        <v>2020EF0</v>
      </c>
      <c r="Q1185" s="29" t="str">
        <f t="shared" si="152"/>
        <v>EF016</v>
      </c>
      <c r="R1185" s="29" t="str">
        <f t="shared" si="153"/>
        <v>MarchEF0</v>
      </c>
    </row>
    <row r="1186" spans="1:18">
      <c r="A1186" s="483">
        <f t="shared" si="163"/>
        <v>1182</v>
      </c>
      <c r="B1186" s="923">
        <v>2</v>
      </c>
      <c r="C1186" s="662">
        <v>43920</v>
      </c>
      <c r="D1186" s="924" t="str">
        <f t="shared" si="155"/>
        <v>March</v>
      </c>
      <c r="E1186" s="924">
        <f t="shared" si="174"/>
        <v>30</v>
      </c>
      <c r="F1186" s="925">
        <f t="shared" si="175"/>
        <v>2020</v>
      </c>
      <c r="G1186" s="923" t="s">
        <v>103</v>
      </c>
      <c r="H1186" s="929" t="s">
        <v>161</v>
      </c>
      <c r="I1186" s="923">
        <v>20</v>
      </c>
      <c r="J1186" s="923">
        <v>0.21</v>
      </c>
      <c r="K1186" s="658">
        <f t="shared" si="172"/>
        <v>16</v>
      </c>
      <c r="L1186" s="926">
        <v>0.70138888888888884</v>
      </c>
      <c r="M1186" s="927">
        <f t="shared" si="173"/>
        <v>0.70138888888888884</v>
      </c>
      <c r="N1186" s="928">
        <v>0.70694444444444438</v>
      </c>
      <c r="P1186" s="29" t="str">
        <f t="shared" si="151"/>
        <v>2020EF0</v>
      </c>
      <c r="Q1186" s="29" t="str">
        <f t="shared" si="152"/>
        <v>EF016</v>
      </c>
      <c r="R1186" s="29" t="str">
        <f t="shared" si="153"/>
        <v>MarchEF0</v>
      </c>
    </row>
    <row r="1187" spans="1:18">
      <c r="A1187" s="483">
        <f t="shared" si="163"/>
        <v>1183</v>
      </c>
      <c r="B1187" s="923">
        <v>3</v>
      </c>
      <c r="C1187" s="662">
        <v>44001</v>
      </c>
      <c r="D1187" s="924" t="str">
        <f t="shared" si="155"/>
        <v>June</v>
      </c>
      <c r="E1187" s="924">
        <f t="shared" si="174"/>
        <v>19</v>
      </c>
      <c r="F1187" s="925">
        <f t="shared" si="175"/>
        <v>2020</v>
      </c>
      <c r="G1187" s="662" t="s">
        <v>114</v>
      </c>
      <c r="H1187" s="929" t="s">
        <v>161</v>
      </c>
      <c r="I1187" s="924">
        <v>50</v>
      </c>
      <c r="J1187" s="924">
        <v>0.71</v>
      </c>
      <c r="K1187" s="658">
        <f t="shared" si="172"/>
        <v>16</v>
      </c>
      <c r="L1187" s="926">
        <v>0.69444444444444453</v>
      </c>
      <c r="M1187" s="927">
        <f t="shared" si="173"/>
        <v>0.69444444444444453</v>
      </c>
      <c r="N1187" s="928">
        <v>0.6958333333333333</v>
      </c>
      <c r="P1187" s="29" t="str">
        <f t="shared" si="151"/>
        <v>2020EF0</v>
      </c>
      <c r="Q1187" s="29" t="str">
        <f t="shared" si="152"/>
        <v>EF016</v>
      </c>
      <c r="R1187" s="29" t="str">
        <f t="shared" si="153"/>
        <v>JuneEF0</v>
      </c>
    </row>
    <row r="1188" spans="1:18">
      <c r="A1188" s="483">
        <f t="shared" si="163"/>
        <v>1184</v>
      </c>
      <c r="B1188" s="923">
        <v>4</v>
      </c>
      <c r="C1188" s="662">
        <v>44001</v>
      </c>
      <c r="D1188" s="924" t="str">
        <f t="shared" si="155"/>
        <v>June</v>
      </c>
      <c r="E1188" s="924">
        <f t="shared" si="174"/>
        <v>19</v>
      </c>
      <c r="F1188" s="925">
        <f t="shared" si="175"/>
        <v>2020</v>
      </c>
      <c r="G1188" s="662" t="s">
        <v>114</v>
      </c>
      <c r="H1188" s="929" t="s">
        <v>161</v>
      </c>
      <c r="I1188" s="924">
        <v>50</v>
      </c>
      <c r="J1188" s="924">
        <v>0.43</v>
      </c>
      <c r="K1188" s="658">
        <f t="shared" si="172"/>
        <v>16</v>
      </c>
      <c r="L1188" s="926">
        <v>0.6958333333333333</v>
      </c>
      <c r="M1188" s="927">
        <f t="shared" si="173"/>
        <v>0.6958333333333333</v>
      </c>
      <c r="N1188" s="928">
        <v>0.69652777777777775</v>
      </c>
      <c r="P1188" s="29" t="str">
        <f t="shared" si="151"/>
        <v>2020EF0</v>
      </c>
      <c r="Q1188" s="29" t="str">
        <f t="shared" si="152"/>
        <v>EF016</v>
      </c>
      <c r="R1188" s="29" t="str">
        <f t="shared" si="153"/>
        <v>JuneEF0</v>
      </c>
    </row>
    <row r="1189" spans="1:18">
      <c r="A1189" s="483">
        <f t="shared" si="163"/>
        <v>1185</v>
      </c>
      <c r="B1189" s="923">
        <v>5</v>
      </c>
      <c r="C1189" s="662">
        <v>44004</v>
      </c>
      <c r="D1189" s="924" t="str">
        <f t="shared" si="155"/>
        <v>June</v>
      </c>
      <c r="E1189" s="924">
        <f t="shared" si="174"/>
        <v>22</v>
      </c>
      <c r="F1189" s="925">
        <f t="shared" si="175"/>
        <v>2020</v>
      </c>
      <c r="G1189" s="662" t="s">
        <v>117</v>
      </c>
      <c r="H1189" s="929" t="s">
        <v>161</v>
      </c>
      <c r="I1189" s="924">
        <v>25</v>
      </c>
      <c r="J1189" s="924">
        <v>1.29</v>
      </c>
      <c r="K1189" s="658">
        <f t="shared" si="172"/>
        <v>19</v>
      </c>
      <c r="L1189" s="926">
        <v>0.8125</v>
      </c>
      <c r="M1189" s="927">
        <f t="shared" si="173"/>
        <v>0.8125</v>
      </c>
      <c r="N1189" s="928">
        <v>0.81597222222222221</v>
      </c>
      <c r="P1189" s="29" t="str">
        <f t="shared" si="151"/>
        <v>2020EF0</v>
      </c>
      <c r="Q1189" s="29" t="str">
        <f t="shared" si="152"/>
        <v>EF019</v>
      </c>
      <c r="R1189" s="29" t="str">
        <f t="shared" si="153"/>
        <v>JuneEF0</v>
      </c>
    </row>
    <row r="1190" spans="1:18">
      <c r="A1190" s="483">
        <f t="shared" si="163"/>
        <v>1186</v>
      </c>
      <c r="B1190" s="923">
        <v>6</v>
      </c>
      <c r="C1190" s="662">
        <v>44023</v>
      </c>
      <c r="D1190" s="924" t="str">
        <f t="shared" si="155"/>
        <v>July</v>
      </c>
      <c r="E1190" s="924">
        <f t="shared" si="174"/>
        <v>11</v>
      </c>
      <c r="F1190" s="925">
        <f t="shared" si="175"/>
        <v>2020</v>
      </c>
      <c r="G1190" s="662" t="s">
        <v>118</v>
      </c>
      <c r="H1190" s="929" t="s">
        <v>161</v>
      </c>
      <c r="I1190" s="924">
        <v>45</v>
      </c>
      <c r="J1190" s="763">
        <v>0.14000000000000001</v>
      </c>
      <c r="K1190" s="472">
        <f t="shared" si="172"/>
        <v>18</v>
      </c>
      <c r="L1190" s="764">
        <v>0.7909722222222223</v>
      </c>
      <c r="M1190" s="474">
        <f t="shared" si="173"/>
        <v>0.7909722222222223</v>
      </c>
      <c r="N1190" s="928">
        <v>0.79166666666666663</v>
      </c>
      <c r="P1190" s="29" t="str">
        <f t="shared" si="151"/>
        <v>2020EF0</v>
      </c>
      <c r="Q1190" s="29" t="str">
        <f t="shared" si="152"/>
        <v>EF018</v>
      </c>
      <c r="R1190" s="29" t="str">
        <f t="shared" si="153"/>
        <v>JulyEF0</v>
      </c>
    </row>
    <row r="1191" spans="1:18">
      <c r="A1191" s="483">
        <f t="shared" si="163"/>
        <v>1187</v>
      </c>
      <c r="B1191" s="923">
        <v>7</v>
      </c>
      <c r="C1191" s="662">
        <v>44026</v>
      </c>
      <c r="D1191" s="924" t="str">
        <f t="shared" si="155"/>
        <v>July</v>
      </c>
      <c r="E1191" s="924">
        <f t="shared" si="174"/>
        <v>14</v>
      </c>
      <c r="F1191" s="925">
        <f t="shared" si="175"/>
        <v>2020</v>
      </c>
      <c r="G1191" s="662" t="s">
        <v>104</v>
      </c>
      <c r="H1191" s="906" t="s">
        <v>161</v>
      </c>
      <c r="I1191" s="924">
        <v>50</v>
      </c>
      <c r="J1191" s="763">
        <v>1.34</v>
      </c>
      <c r="K1191" s="472">
        <f t="shared" si="172"/>
        <v>19</v>
      </c>
      <c r="L1191" s="764">
        <v>0.79305555555555562</v>
      </c>
      <c r="M1191" s="474">
        <f t="shared" si="173"/>
        <v>0.79305555555555562</v>
      </c>
      <c r="N1191" s="519">
        <v>0.79583333333333339</v>
      </c>
      <c r="P1191" s="29" t="str">
        <f t="shared" si="151"/>
        <v>2020EF0</v>
      </c>
      <c r="Q1191" s="29" t="str">
        <f t="shared" si="152"/>
        <v>EF019</v>
      </c>
      <c r="R1191" s="29" t="str">
        <f t="shared" si="153"/>
        <v>JulyEF0</v>
      </c>
    </row>
    <row r="1192" spans="1:18">
      <c r="A1192" s="483">
        <f t="shared" si="163"/>
        <v>1188</v>
      </c>
      <c r="B1192" s="923">
        <v>8</v>
      </c>
      <c r="C1192" s="662">
        <v>44059</v>
      </c>
      <c r="D1192" s="924" t="str">
        <f t="shared" si="155"/>
        <v>August</v>
      </c>
      <c r="E1192" s="924">
        <f t="shared" si="174"/>
        <v>16</v>
      </c>
      <c r="F1192" s="925">
        <f t="shared" si="175"/>
        <v>2020</v>
      </c>
      <c r="G1192" s="662" t="s">
        <v>115</v>
      </c>
      <c r="H1192" s="929" t="s">
        <v>162</v>
      </c>
      <c r="I1192" s="924">
        <v>200</v>
      </c>
      <c r="J1192" s="763">
        <v>1.83</v>
      </c>
      <c r="K1192" s="472">
        <f t="shared" si="172"/>
        <v>13</v>
      </c>
      <c r="L1192" s="764">
        <v>0.57361111111111118</v>
      </c>
      <c r="M1192" s="474">
        <f t="shared" si="173"/>
        <v>0.57361111111111118</v>
      </c>
      <c r="N1192" s="519">
        <v>0.57777777777777783</v>
      </c>
      <c r="P1192" s="29" t="str">
        <f t="shared" si="151"/>
        <v>2020EF1</v>
      </c>
      <c r="Q1192" s="29" t="str">
        <f t="shared" si="152"/>
        <v>EF113</v>
      </c>
      <c r="R1192" s="29" t="str">
        <f t="shared" si="153"/>
        <v>AugustEF1</v>
      </c>
    </row>
    <row r="1193" spans="1:18">
      <c r="A1193" s="483">
        <f t="shared" si="163"/>
        <v>1189</v>
      </c>
      <c r="B1193" s="765">
        <v>1</v>
      </c>
      <c r="C1193" s="694">
        <v>44268</v>
      </c>
      <c r="D1193" s="763" t="str">
        <f t="shared" si="155"/>
        <v>March</v>
      </c>
      <c r="E1193" s="763">
        <f t="shared" si="149"/>
        <v>13</v>
      </c>
      <c r="F1193" s="762">
        <f t="shared" si="150"/>
        <v>2021</v>
      </c>
      <c r="G1193" s="765" t="s">
        <v>118</v>
      </c>
      <c r="H1193" s="905" t="s">
        <v>160</v>
      </c>
      <c r="I1193" s="763">
        <v>1000</v>
      </c>
      <c r="J1193" s="765">
        <v>17.2</v>
      </c>
      <c r="K1193" s="472">
        <f t="shared" si="172"/>
        <v>15</v>
      </c>
      <c r="L1193" s="764">
        <v>0.6430555555555556</v>
      </c>
      <c r="M1193" s="474">
        <f t="shared" si="173"/>
        <v>0.6430555555555556</v>
      </c>
      <c r="N1193" s="519">
        <v>0.66666666666666663</v>
      </c>
      <c r="P1193" s="29" t="str">
        <f t="shared" si="151"/>
        <v>2021EF2</v>
      </c>
      <c r="Q1193" s="29" t="str">
        <f t="shared" si="152"/>
        <v>EF215</v>
      </c>
      <c r="R1193" s="29" t="str">
        <f t="shared" si="153"/>
        <v>MarchEF2</v>
      </c>
    </row>
    <row r="1194" spans="1:18">
      <c r="A1194" s="483">
        <f t="shared" si="163"/>
        <v>1190</v>
      </c>
      <c r="B1194" s="765">
        <v>2</v>
      </c>
      <c r="C1194" s="694">
        <v>44268</v>
      </c>
      <c r="D1194" s="763" t="str">
        <f t="shared" si="155"/>
        <v>March</v>
      </c>
      <c r="E1194" s="763">
        <f t="shared" si="149"/>
        <v>13</v>
      </c>
      <c r="F1194" s="762">
        <f t="shared" si="150"/>
        <v>2021</v>
      </c>
      <c r="G1194" s="765" t="s">
        <v>118</v>
      </c>
      <c r="H1194" s="905" t="s">
        <v>162</v>
      </c>
      <c r="I1194" s="763">
        <v>500</v>
      </c>
      <c r="J1194" s="763">
        <v>2.5</v>
      </c>
      <c r="K1194" s="472">
        <f t="shared" si="172"/>
        <v>15</v>
      </c>
      <c r="L1194" s="764">
        <v>0.64652777777777781</v>
      </c>
      <c r="M1194" s="474">
        <f t="shared" si="173"/>
        <v>0.64652777777777781</v>
      </c>
      <c r="N1194" s="519">
        <v>0.65</v>
      </c>
      <c r="P1194" s="29" t="str">
        <f t="shared" si="151"/>
        <v>2021EF1</v>
      </c>
      <c r="Q1194" s="29" t="str">
        <f t="shared" si="152"/>
        <v>EF115</v>
      </c>
      <c r="R1194" s="29" t="str">
        <f t="shared" si="153"/>
        <v>MarchEF1</v>
      </c>
    </row>
    <row r="1195" spans="1:18">
      <c r="A1195" s="483">
        <f t="shared" si="163"/>
        <v>1191</v>
      </c>
      <c r="B1195" s="765">
        <v>3</v>
      </c>
      <c r="C1195" s="694">
        <v>44268</v>
      </c>
      <c r="D1195" s="763" t="str">
        <f t="shared" si="155"/>
        <v>March</v>
      </c>
      <c r="E1195" s="763">
        <f t="shared" si="149"/>
        <v>13</v>
      </c>
      <c r="F1195" s="762">
        <f t="shared" si="150"/>
        <v>2021</v>
      </c>
      <c r="G1195" s="765" t="s">
        <v>118</v>
      </c>
      <c r="H1195" s="905" t="s">
        <v>162</v>
      </c>
      <c r="I1195" s="763">
        <v>100</v>
      </c>
      <c r="J1195" s="763">
        <v>3.54</v>
      </c>
      <c r="K1195" s="472">
        <f t="shared" si="172"/>
        <v>15</v>
      </c>
      <c r="L1195" s="764">
        <v>0.65069444444444446</v>
      </c>
      <c r="M1195" s="474">
        <f t="shared" si="173"/>
        <v>0.65069444444444446</v>
      </c>
      <c r="N1195" s="519">
        <v>0.65416666666666667</v>
      </c>
      <c r="P1195" s="29" t="str">
        <f t="shared" si="151"/>
        <v>2021EF1</v>
      </c>
      <c r="Q1195" s="29" t="str">
        <f t="shared" si="152"/>
        <v>EF115</v>
      </c>
      <c r="R1195" s="29" t="str">
        <f t="shared" si="153"/>
        <v>MarchEF1</v>
      </c>
    </row>
    <row r="1196" spans="1:18">
      <c r="A1196" s="483">
        <f t="shared" si="163"/>
        <v>1192</v>
      </c>
      <c r="B1196" s="765">
        <v>4</v>
      </c>
      <c r="C1196" s="694">
        <v>44268</v>
      </c>
      <c r="D1196" s="763" t="str">
        <f t="shared" si="155"/>
        <v>March</v>
      </c>
      <c r="E1196" s="763">
        <f t="shared" si="149"/>
        <v>13</v>
      </c>
      <c r="F1196" s="762">
        <f t="shared" si="150"/>
        <v>2021</v>
      </c>
      <c r="G1196" s="765" t="s">
        <v>118</v>
      </c>
      <c r="H1196" s="905" t="s">
        <v>162</v>
      </c>
      <c r="I1196" s="763">
        <v>800</v>
      </c>
      <c r="J1196" s="765">
        <v>8.16</v>
      </c>
      <c r="K1196" s="472">
        <f t="shared" si="172"/>
        <v>15</v>
      </c>
      <c r="L1196" s="764">
        <v>0.65694444444444444</v>
      </c>
      <c r="M1196" s="474">
        <f t="shared" si="173"/>
        <v>0.65694444444444444</v>
      </c>
      <c r="N1196" s="519">
        <v>0.67638888888888893</v>
      </c>
      <c r="P1196" s="29" t="str">
        <f t="shared" si="151"/>
        <v>2021EF1</v>
      </c>
      <c r="Q1196" s="29" t="str">
        <f t="shared" si="152"/>
        <v>EF115</v>
      </c>
      <c r="R1196" s="29" t="str">
        <f t="shared" si="153"/>
        <v>MarchEF1</v>
      </c>
    </row>
    <row r="1197" spans="1:18">
      <c r="A1197" s="483">
        <f t="shared" si="163"/>
        <v>1193</v>
      </c>
      <c r="B1197" s="765">
        <v>5</v>
      </c>
      <c r="C1197" s="694">
        <v>44268</v>
      </c>
      <c r="D1197" s="763" t="str">
        <f t="shared" si="155"/>
        <v>March</v>
      </c>
      <c r="E1197" s="763">
        <f t="shared" si="149"/>
        <v>13</v>
      </c>
      <c r="F1197" s="762">
        <f t="shared" si="150"/>
        <v>2021</v>
      </c>
      <c r="G1197" s="694" t="s">
        <v>118</v>
      </c>
      <c r="H1197" s="886" t="s">
        <v>161</v>
      </c>
      <c r="I1197" s="763">
        <v>1000</v>
      </c>
      <c r="J1197" s="763">
        <v>12.96</v>
      </c>
      <c r="K1197" s="472">
        <f t="shared" si="172"/>
        <v>16</v>
      </c>
      <c r="L1197" s="767">
        <v>0.67083333333333339</v>
      </c>
      <c r="M1197" s="474">
        <f t="shared" si="173"/>
        <v>0.67083333333333339</v>
      </c>
      <c r="N1197" s="519">
        <v>0.69027777777777777</v>
      </c>
      <c r="P1197" s="29" t="str">
        <f t="shared" si="151"/>
        <v>2021EF0</v>
      </c>
      <c r="Q1197" s="29" t="str">
        <f t="shared" si="152"/>
        <v>EF016</v>
      </c>
      <c r="R1197" s="29" t="str">
        <f t="shared" si="153"/>
        <v>MarchEF0</v>
      </c>
    </row>
    <row r="1198" spans="1:18">
      <c r="A1198" s="483">
        <f t="shared" si="163"/>
        <v>1194</v>
      </c>
      <c r="B1198" s="765">
        <v>6</v>
      </c>
      <c r="C1198" s="694">
        <v>44268</v>
      </c>
      <c r="D1198" s="763" t="str">
        <f t="shared" si="155"/>
        <v>March</v>
      </c>
      <c r="E1198" s="763">
        <f t="shared" si="149"/>
        <v>13</v>
      </c>
      <c r="F1198" s="762">
        <f t="shared" si="150"/>
        <v>2021</v>
      </c>
      <c r="G1198" s="694" t="s">
        <v>118</v>
      </c>
      <c r="H1198" s="886" t="s">
        <v>161</v>
      </c>
      <c r="I1198" s="763">
        <v>50</v>
      </c>
      <c r="J1198" s="763">
        <v>1.66</v>
      </c>
      <c r="K1198" s="472">
        <f t="shared" si="172"/>
        <v>16</v>
      </c>
      <c r="L1198" s="767">
        <v>0.67222222222222217</v>
      </c>
      <c r="M1198" s="474">
        <f t="shared" si="173"/>
        <v>0.67222222222222217</v>
      </c>
      <c r="N1198" s="519">
        <v>0.6743055555555556</v>
      </c>
      <c r="P1198" s="29" t="str">
        <f t="shared" si="151"/>
        <v>2021EF0</v>
      </c>
      <c r="Q1198" s="29" t="str">
        <f t="shared" si="152"/>
        <v>EF016</v>
      </c>
      <c r="R1198" s="29" t="str">
        <f t="shared" si="153"/>
        <v>MarchEF0</v>
      </c>
    </row>
    <row r="1199" spans="1:18">
      <c r="A1199" s="483">
        <f t="shared" si="163"/>
        <v>1195</v>
      </c>
      <c r="B1199" s="765">
        <v>7</v>
      </c>
      <c r="C1199" s="694">
        <v>44268</v>
      </c>
      <c r="D1199" s="763" t="str">
        <f t="shared" si="155"/>
        <v>March</v>
      </c>
      <c r="E1199" s="763">
        <f t="shared" ref="E1199:E1262" si="176">DAY(C1199)</f>
        <v>13</v>
      </c>
      <c r="F1199" s="762">
        <f t="shared" ref="F1199:F1262" si="177">YEAR(C1199)</f>
        <v>2021</v>
      </c>
      <c r="G1199" s="761" t="s">
        <v>119</v>
      </c>
      <c r="H1199" s="906" t="s">
        <v>161</v>
      </c>
      <c r="I1199" s="763">
        <v>800</v>
      </c>
      <c r="J1199" s="763">
        <v>3.11</v>
      </c>
      <c r="K1199" s="472">
        <f t="shared" si="172"/>
        <v>17</v>
      </c>
      <c r="L1199" s="764">
        <v>0.70972222222222225</v>
      </c>
      <c r="M1199" s="474">
        <f t="shared" si="173"/>
        <v>0.70972222222222225</v>
      </c>
      <c r="N1199" s="519">
        <v>0.71597222222222223</v>
      </c>
      <c r="P1199" s="29" t="str">
        <f t="shared" ref="P1199:P1262" si="178">CONCATENATE(F1199,H1199)</f>
        <v>2021EF0</v>
      </c>
      <c r="Q1199" s="29" t="str">
        <f t="shared" ref="Q1199:Q1262" si="179">CONCATENATE(H1199,K1199)</f>
        <v>EF017</v>
      </c>
      <c r="R1199" s="29" t="str">
        <f t="shared" ref="R1199:R1262" si="180">CONCATENATE(D1199,H1199)</f>
        <v>MarchEF0</v>
      </c>
    </row>
    <row r="1200" spans="1:18">
      <c r="A1200" s="483">
        <f t="shared" si="163"/>
        <v>1196</v>
      </c>
      <c r="B1200" s="765">
        <v>8</v>
      </c>
      <c r="C1200" s="694">
        <v>44268</v>
      </c>
      <c r="D1200" s="763" t="str">
        <f t="shared" si="155"/>
        <v>March</v>
      </c>
      <c r="E1200" s="763">
        <f t="shared" si="176"/>
        <v>13</v>
      </c>
      <c r="F1200" s="762">
        <f t="shared" si="177"/>
        <v>2021</v>
      </c>
      <c r="G1200" s="761" t="s">
        <v>120</v>
      </c>
      <c r="H1200" s="886" t="s">
        <v>160</v>
      </c>
      <c r="I1200" s="763">
        <v>1200</v>
      </c>
      <c r="J1200" s="763">
        <v>13.22</v>
      </c>
      <c r="K1200" s="472">
        <f t="shared" si="172"/>
        <v>17</v>
      </c>
      <c r="L1200" s="764">
        <v>0.7416666666666667</v>
      </c>
      <c r="M1200" s="474">
        <f t="shared" si="173"/>
        <v>0.7416666666666667</v>
      </c>
      <c r="N1200" s="519">
        <v>0.7583333333333333</v>
      </c>
      <c r="P1200" s="29" t="str">
        <f t="shared" si="178"/>
        <v>2021EF2</v>
      </c>
      <c r="Q1200" s="29" t="str">
        <f t="shared" si="179"/>
        <v>EF217</v>
      </c>
      <c r="R1200" s="29" t="str">
        <f t="shared" si="180"/>
        <v>MarchEF2</v>
      </c>
    </row>
    <row r="1201" spans="1:18">
      <c r="A1201" s="483">
        <f t="shared" si="163"/>
        <v>1197</v>
      </c>
      <c r="B1201" s="765">
        <v>9</v>
      </c>
      <c r="C1201" s="694">
        <v>44268</v>
      </c>
      <c r="D1201" s="763" t="str">
        <f t="shared" si="155"/>
        <v>March</v>
      </c>
      <c r="E1201" s="763">
        <f t="shared" si="176"/>
        <v>13</v>
      </c>
      <c r="F1201" s="762">
        <f t="shared" si="177"/>
        <v>2021</v>
      </c>
      <c r="G1201" s="761" t="s">
        <v>120</v>
      </c>
      <c r="H1201" s="886" t="s">
        <v>161</v>
      </c>
      <c r="I1201" s="763">
        <v>40</v>
      </c>
      <c r="J1201" s="763">
        <v>0.95</v>
      </c>
      <c r="K1201" s="472">
        <f t="shared" si="172"/>
        <v>17</v>
      </c>
      <c r="L1201" s="764">
        <v>0.74375000000000002</v>
      </c>
      <c r="M1201" s="474">
        <f t="shared" si="173"/>
        <v>0.74375000000000002</v>
      </c>
      <c r="N1201" s="519">
        <v>0.74444444444444446</v>
      </c>
      <c r="P1201" s="29" t="str">
        <f t="shared" si="178"/>
        <v>2021EF0</v>
      </c>
      <c r="Q1201" s="29" t="str">
        <f t="shared" si="179"/>
        <v>EF017</v>
      </c>
      <c r="R1201" s="29" t="str">
        <f t="shared" si="180"/>
        <v>MarchEF0</v>
      </c>
    </row>
    <row r="1202" spans="1:18">
      <c r="A1202" s="483">
        <f t="shared" si="163"/>
        <v>1198</v>
      </c>
      <c r="B1202" s="765">
        <v>10</v>
      </c>
      <c r="C1202" s="694">
        <v>44323</v>
      </c>
      <c r="D1202" s="763" t="str">
        <f t="shared" si="155"/>
        <v>May</v>
      </c>
      <c r="E1202" s="763">
        <f t="shared" si="176"/>
        <v>7</v>
      </c>
      <c r="F1202" s="762">
        <f t="shared" si="177"/>
        <v>2021</v>
      </c>
      <c r="G1202" s="761" t="s">
        <v>115</v>
      </c>
      <c r="H1202" s="886" t="s">
        <v>161</v>
      </c>
      <c r="I1202" s="763">
        <v>25</v>
      </c>
      <c r="J1202" s="763">
        <v>3.28</v>
      </c>
      <c r="K1202" s="472">
        <f t="shared" si="172"/>
        <v>17</v>
      </c>
      <c r="L1202" s="767">
        <v>0.73611111111111116</v>
      </c>
      <c r="M1202" s="474">
        <f t="shared" si="173"/>
        <v>0.73611111111111116</v>
      </c>
      <c r="N1202" s="519">
        <v>0.7402777777777777</v>
      </c>
      <c r="P1202" s="29" t="str">
        <f t="shared" si="178"/>
        <v>2021EF0</v>
      </c>
      <c r="Q1202" s="29" t="str">
        <f t="shared" si="179"/>
        <v>EF017</v>
      </c>
      <c r="R1202" s="29" t="str">
        <f t="shared" si="180"/>
        <v>MayEF0</v>
      </c>
    </row>
    <row r="1203" spans="1:18">
      <c r="A1203" s="483">
        <f t="shared" si="163"/>
        <v>1199</v>
      </c>
      <c r="B1203" s="765">
        <v>11</v>
      </c>
      <c r="C1203" s="694">
        <v>44333</v>
      </c>
      <c r="D1203" s="763" t="str">
        <f t="shared" si="155"/>
        <v>May</v>
      </c>
      <c r="E1203" s="763">
        <f t="shared" si="176"/>
        <v>17</v>
      </c>
      <c r="F1203" s="762">
        <f t="shared" si="177"/>
        <v>2021</v>
      </c>
      <c r="G1203" s="761" t="s">
        <v>112</v>
      </c>
      <c r="H1203" s="906" t="s">
        <v>161</v>
      </c>
      <c r="I1203" s="763">
        <v>20</v>
      </c>
      <c r="J1203" s="763">
        <v>0.86</v>
      </c>
      <c r="K1203" s="472">
        <f t="shared" si="172"/>
        <v>17</v>
      </c>
      <c r="L1203" s="767">
        <v>0.73263888888888884</v>
      </c>
      <c r="M1203" s="474">
        <f t="shared" si="173"/>
        <v>0.73263888888888884</v>
      </c>
      <c r="N1203" s="519">
        <v>0.73541666666666661</v>
      </c>
      <c r="P1203" s="29" t="str">
        <f t="shared" si="178"/>
        <v>2021EF0</v>
      </c>
      <c r="Q1203" s="29" t="str">
        <f t="shared" si="179"/>
        <v>EF017</v>
      </c>
      <c r="R1203" s="29" t="str">
        <f t="shared" si="180"/>
        <v>MayEF0</v>
      </c>
    </row>
    <row r="1204" spans="1:18">
      <c r="A1204" s="483">
        <f t="shared" si="163"/>
        <v>1200</v>
      </c>
      <c r="B1204" s="765">
        <v>12</v>
      </c>
      <c r="C1204" s="694">
        <v>44342</v>
      </c>
      <c r="D1204" s="763" t="str">
        <f t="shared" si="155"/>
        <v>May</v>
      </c>
      <c r="E1204" s="763">
        <f t="shared" si="176"/>
        <v>26</v>
      </c>
      <c r="F1204" s="762">
        <f t="shared" si="177"/>
        <v>2021</v>
      </c>
      <c r="G1204" s="761" t="s">
        <v>104</v>
      </c>
      <c r="H1204" s="906" t="s">
        <v>161</v>
      </c>
      <c r="I1204" s="763">
        <v>20</v>
      </c>
      <c r="J1204" s="763">
        <v>1.93</v>
      </c>
      <c r="K1204" s="472">
        <f t="shared" si="172"/>
        <v>16</v>
      </c>
      <c r="L1204" s="764">
        <v>0.7055555555555556</v>
      </c>
      <c r="M1204" s="474">
        <f t="shared" si="173"/>
        <v>0.7055555555555556</v>
      </c>
      <c r="N1204" s="519">
        <v>0.70833333333333337</v>
      </c>
      <c r="P1204" s="29" t="str">
        <f t="shared" si="178"/>
        <v>2021EF0</v>
      </c>
      <c r="Q1204" s="29" t="str">
        <f t="shared" si="179"/>
        <v>EF016</v>
      </c>
      <c r="R1204" s="29" t="str">
        <f t="shared" si="180"/>
        <v>MayEF0</v>
      </c>
    </row>
    <row r="1205" spans="1:18">
      <c r="A1205" s="483">
        <f t="shared" si="163"/>
        <v>1201</v>
      </c>
      <c r="B1205" s="765">
        <v>13</v>
      </c>
      <c r="C1205" s="694">
        <v>44342</v>
      </c>
      <c r="D1205" s="763" t="str">
        <f t="shared" si="155"/>
        <v>May</v>
      </c>
      <c r="E1205" s="763">
        <f t="shared" si="176"/>
        <v>26</v>
      </c>
      <c r="F1205" s="762">
        <f t="shared" si="177"/>
        <v>2021</v>
      </c>
      <c r="G1205" s="761" t="s">
        <v>104</v>
      </c>
      <c r="H1205" s="906" t="s">
        <v>161</v>
      </c>
      <c r="I1205" s="763">
        <v>20</v>
      </c>
      <c r="J1205" s="763">
        <v>0.83</v>
      </c>
      <c r="K1205" s="472">
        <f t="shared" si="172"/>
        <v>17</v>
      </c>
      <c r="L1205" s="764">
        <v>0.71805555555555556</v>
      </c>
      <c r="M1205" s="474">
        <f t="shared" si="173"/>
        <v>0.71805555555555556</v>
      </c>
      <c r="N1205" s="519">
        <v>0.71875</v>
      </c>
      <c r="P1205" s="29" t="str">
        <f t="shared" si="178"/>
        <v>2021EF0</v>
      </c>
      <c r="Q1205" s="29" t="str">
        <f t="shared" si="179"/>
        <v>EF017</v>
      </c>
      <c r="R1205" s="29" t="str">
        <f t="shared" si="180"/>
        <v>MayEF0</v>
      </c>
    </row>
    <row r="1206" spans="1:18">
      <c r="A1206" s="483">
        <f t="shared" si="163"/>
        <v>1202</v>
      </c>
      <c r="B1206" s="765">
        <v>14</v>
      </c>
      <c r="C1206" s="694">
        <v>44342</v>
      </c>
      <c r="D1206" s="763" t="str">
        <f t="shared" si="155"/>
        <v>May</v>
      </c>
      <c r="E1206" s="763">
        <f t="shared" si="176"/>
        <v>26</v>
      </c>
      <c r="F1206" s="762">
        <f t="shared" si="177"/>
        <v>2021</v>
      </c>
      <c r="G1206" s="761" t="s">
        <v>105</v>
      </c>
      <c r="H1206" s="906" t="s">
        <v>161</v>
      </c>
      <c r="I1206" s="763">
        <v>20</v>
      </c>
      <c r="J1206" s="763">
        <v>1.34</v>
      </c>
      <c r="K1206" s="472">
        <f t="shared" si="172"/>
        <v>18</v>
      </c>
      <c r="L1206" s="764">
        <v>0.77361111111111114</v>
      </c>
      <c r="M1206" s="474">
        <f t="shared" si="173"/>
        <v>0.77361111111111114</v>
      </c>
      <c r="N1206" s="519">
        <v>0.77500000000000002</v>
      </c>
      <c r="P1206" s="29" t="str">
        <f t="shared" si="178"/>
        <v>2021EF0</v>
      </c>
      <c r="Q1206" s="29" t="str">
        <f t="shared" si="179"/>
        <v>EF018</v>
      </c>
      <c r="R1206" s="29" t="str">
        <f t="shared" si="180"/>
        <v>MayEF0</v>
      </c>
    </row>
    <row r="1207" spans="1:18">
      <c r="A1207" s="483">
        <f t="shared" si="163"/>
        <v>1203</v>
      </c>
      <c r="B1207" s="765">
        <v>15</v>
      </c>
      <c r="C1207" s="694">
        <v>44342</v>
      </c>
      <c r="D1207" s="763" t="str">
        <f t="shared" si="155"/>
        <v>May</v>
      </c>
      <c r="E1207" s="763">
        <f t="shared" si="176"/>
        <v>26</v>
      </c>
      <c r="F1207" s="762">
        <f t="shared" si="177"/>
        <v>2021</v>
      </c>
      <c r="G1207" s="761" t="s">
        <v>105</v>
      </c>
      <c r="H1207" s="885" t="s">
        <v>161</v>
      </c>
      <c r="I1207" s="763">
        <v>20</v>
      </c>
      <c r="J1207" s="763">
        <v>0.95</v>
      </c>
      <c r="K1207" s="472">
        <f t="shared" si="172"/>
        <v>19</v>
      </c>
      <c r="L1207" s="764">
        <v>0.80138888888888893</v>
      </c>
      <c r="M1207" s="474">
        <f t="shared" si="173"/>
        <v>0.80138888888888893</v>
      </c>
      <c r="N1207" s="519">
        <v>0.8027777777777777</v>
      </c>
      <c r="P1207" s="29" t="str">
        <f t="shared" si="178"/>
        <v>2021EF0</v>
      </c>
      <c r="Q1207" s="29" t="str">
        <f t="shared" si="179"/>
        <v>EF019</v>
      </c>
      <c r="R1207" s="29" t="str">
        <f t="shared" si="180"/>
        <v>MayEF0</v>
      </c>
    </row>
    <row r="1208" spans="1:18">
      <c r="A1208" s="483">
        <f t="shared" si="163"/>
        <v>1204</v>
      </c>
      <c r="B1208" s="765">
        <v>16</v>
      </c>
      <c r="C1208" s="694">
        <v>44346</v>
      </c>
      <c r="D1208" s="763" t="str">
        <f t="shared" si="155"/>
        <v>May</v>
      </c>
      <c r="E1208" s="763">
        <f t="shared" si="176"/>
        <v>30</v>
      </c>
      <c r="F1208" s="762">
        <f t="shared" si="177"/>
        <v>2021</v>
      </c>
      <c r="G1208" s="761" t="s">
        <v>99</v>
      </c>
      <c r="H1208" s="906" t="s">
        <v>161</v>
      </c>
      <c r="I1208" s="763">
        <v>20</v>
      </c>
      <c r="J1208" s="763">
        <v>0.12</v>
      </c>
      <c r="K1208" s="472">
        <f t="shared" si="172"/>
        <v>16</v>
      </c>
      <c r="L1208" s="764">
        <v>0.69027777777777777</v>
      </c>
      <c r="M1208" s="474">
        <f t="shared" si="173"/>
        <v>0.69027777777777777</v>
      </c>
      <c r="N1208" s="519">
        <v>0.69097222222222221</v>
      </c>
      <c r="P1208" s="29" t="str">
        <f t="shared" si="178"/>
        <v>2021EF0</v>
      </c>
      <c r="Q1208" s="29" t="str">
        <f t="shared" si="179"/>
        <v>EF016</v>
      </c>
      <c r="R1208" s="29" t="str">
        <f t="shared" si="180"/>
        <v>MayEF0</v>
      </c>
    </row>
    <row r="1209" spans="1:18">
      <c r="A1209" s="483">
        <f t="shared" si="163"/>
        <v>1205</v>
      </c>
      <c r="B1209" s="765">
        <v>17</v>
      </c>
      <c r="C1209" s="694">
        <v>44346</v>
      </c>
      <c r="D1209" s="763" t="str">
        <f t="shared" si="155"/>
        <v>May</v>
      </c>
      <c r="E1209" s="763">
        <f t="shared" si="176"/>
        <v>30</v>
      </c>
      <c r="F1209" s="762">
        <f t="shared" si="177"/>
        <v>2021</v>
      </c>
      <c r="G1209" s="761" t="s">
        <v>99</v>
      </c>
      <c r="H1209" s="906" t="s">
        <v>161</v>
      </c>
      <c r="I1209" s="763">
        <v>10</v>
      </c>
      <c r="J1209" s="763">
        <v>0.11</v>
      </c>
      <c r="K1209" s="472">
        <f t="shared" si="172"/>
        <v>16</v>
      </c>
      <c r="L1209" s="764">
        <v>0.69374999999999998</v>
      </c>
      <c r="M1209" s="474">
        <f t="shared" si="173"/>
        <v>0.69374999999999998</v>
      </c>
      <c r="N1209" s="519">
        <v>0.69444444444444453</v>
      </c>
      <c r="P1209" s="29" t="str">
        <f t="shared" si="178"/>
        <v>2021EF0</v>
      </c>
      <c r="Q1209" s="29" t="str">
        <f t="shared" si="179"/>
        <v>EF016</v>
      </c>
      <c r="R1209" s="29" t="str">
        <f t="shared" si="180"/>
        <v>MayEF0</v>
      </c>
    </row>
    <row r="1210" spans="1:18">
      <c r="A1210" s="483">
        <f t="shared" si="163"/>
        <v>1206</v>
      </c>
      <c r="B1210" s="765">
        <v>18</v>
      </c>
      <c r="C1210" s="694">
        <v>44346</v>
      </c>
      <c r="D1210" s="763" t="str">
        <f t="shared" si="155"/>
        <v>May</v>
      </c>
      <c r="E1210" s="763">
        <f t="shared" si="176"/>
        <v>30</v>
      </c>
      <c r="F1210" s="762">
        <f t="shared" si="177"/>
        <v>2021</v>
      </c>
      <c r="G1210" s="761" t="s">
        <v>99</v>
      </c>
      <c r="H1210" s="906" t="s">
        <v>161</v>
      </c>
      <c r="I1210" s="763">
        <v>10</v>
      </c>
      <c r="J1210" s="763">
        <v>0.12</v>
      </c>
      <c r="K1210" s="472">
        <f t="shared" si="172"/>
        <v>16</v>
      </c>
      <c r="L1210" s="764">
        <v>0.69652777777777775</v>
      </c>
      <c r="M1210" s="474">
        <f t="shared" si="173"/>
        <v>0.69652777777777775</v>
      </c>
      <c r="N1210" s="519">
        <v>0.6972222222222223</v>
      </c>
      <c r="P1210" s="29" t="str">
        <f t="shared" si="178"/>
        <v>2021EF0</v>
      </c>
      <c r="Q1210" s="29" t="str">
        <f t="shared" si="179"/>
        <v>EF016</v>
      </c>
      <c r="R1210" s="29" t="str">
        <f t="shared" si="180"/>
        <v>MayEF0</v>
      </c>
    </row>
    <row r="1211" spans="1:18">
      <c r="A1211" s="483">
        <f t="shared" si="163"/>
        <v>1207</v>
      </c>
      <c r="B1211" s="765">
        <v>19</v>
      </c>
      <c r="C1211" s="694">
        <v>44346</v>
      </c>
      <c r="D1211" s="763" t="str">
        <f t="shared" si="155"/>
        <v>May</v>
      </c>
      <c r="E1211" s="763">
        <f t="shared" si="176"/>
        <v>30</v>
      </c>
      <c r="F1211" s="762">
        <f t="shared" si="177"/>
        <v>2021</v>
      </c>
      <c r="G1211" s="761" t="s">
        <v>99</v>
      </c>
      <c r="H1211" s="906" t="s">
        <v>161</v>
      </c>
      <c r="I1211" s="763">
        <v>10</v>
      </c>
      <c r="J1211" s="763">
        <v>0.44</v>
      </c>
      <c r="K1211" s="472">
        <f t="shared" si="172"/>
        <v>16</v>
      </c>
      <c r="L1211" s="764">
        <v>0.7055555555555556</v>
      </c>
      <c r="M1211" s="474">
        <f t="shared" si="173"/>
        <v>0.7055555555555556</v>
      </c>
      <c r="N1211" s="519">
        <v>0.70694444444444438</v>
      </c>
      <c r="P1211" s="29" t="str">
        <f t="shared" si="178"/>
        <v>2021EF0</v>
      </c>
      <c r="Q1211" s="29" t="str">
        <f t="shared" si="179"/>
        <v>EF016</v>
      </c>
      <c r="R1211" s="29" t="str">
        <f t="shared" si="180"/>
        <v>MayEF0</v>
      </c>
    </row>
    <row r="1212" spans="1:18">
      <c r="A1212" s="483">
        <f t="shared" si="163"/>
        <v>1208</v>
      </c>
      <c r="B1212" s="765">
        <v>20</v>
      </c>
      <c r="C1212" s="694">
        <v>44346</v>
      </c>
      <c r="D1212" s="763" t="str">
        <f t="shared" si="155"/>
        <v>May</v>
      </c>
      <c r="E1212" s="763">
        <f t="shared" si="176"/>
        <v>30</v>
      </c>
      <c r="F1212" s="762">
        <f t="shared" si="177"/>
        <v>2021</v>
      </c>
      <c r="G1212" s="761" t="s">
        <v>99</v>
      </c>
      <c r="H1212" s="906" t="s">
        <v>161</v>
      </c>
      <c r="I1212" s="763">
        <v>10</v>
      </c>
      <c r="J1212" s="763">
        <v>0.31</v>
      </c>
      <c r="K1212" s="472">
        <f t="shared" si="172"/>
        <v>17</v>
      </c>
      <c r="L1212" s="764">
        <v>0.70972222222222225</v>
      </c>
      <c r="M1212" s="474">
        <f t="shared" si="173"/>
        <v>0.70972222222222225</v>
      </c>
      <c r="N1212" s="519">
        <v>0.7104166666666667</v>
      </c>
      <c r="P1212" s="29" t="str">
        <f t="shared" si="178"/>
        <v>2021EF0</v>
      </c>
      <c r="Q1212" s="29" t="str">
        <f t="shared" si="179"/>
        <v>EF017</v>
      </c>
      <c r="R1212" s="29" t="str">
        <f t="shared" si="180"/>
        <v>MayEF0</v>
      </c>
    </row>
    <row r="1213" spans="1:18">
      <c r="A1213" s="483">
        <f t="shared" si="163"/>
        <v>1209</v>
      </c>
      <c r="B1213" s="765">
        <v>21</v>
      </c>
      <c r="C1213" s="694">
        <v>44346</v>
      </c>
      <c r="D1213" s="763" t="str">
        <f t="shared" si="155"/>
        <v>May</v>
      </c>
      <c r="E1213" s="763">
        <f t="shared" si="176"/>
        <v>30</v>
      </c>
      <c r="F1213" s="762">
        <f t="shared" si="177"/>
        <v>2021</v>
      </c>
      <c r="G1213" s="761" t="s">
        <v>99</v>
      </c>
      <c r="H1213" s="906" t="s">
        <v>161</v>
      </c>
      <c r="I1213" s="763">
        <v>50</v>
      </c>
      <c r="J1213" s="763">
        <v>2.87</v>
      </c>
      <c r="K1213" s="472">
        <f t="shared" si="172"/>
        <v>17</v>
      </c>
      <c r="L1213" s="764">
        <v>0.70972222222222225</v>
      </c>
      <c r="M1213" s="474">
        <f t="shared" si="173"/>
        <v>0.70972222222222225</v>
      </c>
      <c r="N1213" s="519">
        <v>0.71875</v>
      </c>
      <c r="P1213" s="29" t="str">
        <f t="shared" si="178"/>
        <v>2021EF0</v>
      </c>
      <c r="Q1213" s="29" t="str">
        <f t="shared" si="179"/>
        <v>EF017</v>
      </c>
      <c r="R1213" s="29" t="str">
        <f t="shared" si="180"/>
        <v>MayEF0</v>
      </c>
    </row>
    <row r="1214" spans="1:18">
      <c r="A1214" s="483">
        <f t="shared" si="163"/>
        <v>1210</v>
      </c>
      <c r="B1214" s="765">
        <v>22</v>
      </c>
      <c r="C1214" s="694">
        <v>44346</v>
      </c>
      <c r="D1214" s="763" t="str">
        <f t="shared" si="155"/>
        <v>May</v>
      </c>
      <c r="E1214" s="763">
        <f t="shared" si="176"/>
        <v>30</v>
      </c>
      <c r="F1214" s="762">
        <f t="shared" si="177"/>
        <v>2021</v>
      </c>
      <c r="G1214" s="761" t="s">
        <v>102</v>
      </c>
      <c r="H1214" s="906" t="s">
        <v>161</v>
      </c>
      <c r="I1214" s="763">
        <v>100</v>
      </c>
      <c r="J1214" s="763">
        <v>0.82</v>
      </c>
      <c r="K1214" s="472">
        <f t="shared" si="172"/>
        <v>17</v>
      </c>
      <c r="L1214" s="764">
        <v>0.71736111111111101</v>
      </c>
      <c r="M1214" s="474">
        <f t="shared" si="173"/>
        <v>0.71736111111111101</v>
      </c>
      <c r="N1214" s="519">
        <v>0.71944444444444444</v>
      </c>
      <c r="P1214" s="29" t="str">
        <f t="shared" si="178"/>
        <v>2021EF0</v>
      </c>
      <c r="Q1214" s="29" t="str">
        <f t="shared" si="179"/>
        <v>EF017</v>
      </c>
      <c r="R1214" s="29" t="str">
        <f t="shared" si="180"/>
        <v>MayEF0</v>
      </c>
    </row>
    <row r="1215" spans="1:18">
      <c r="A1215" s="483">
        <f t="shared" si="163"/>
        <v>1211</v>
      </c>
      <c r="B1215" s="765">
        <v>23</v>
      </c>
      <c r="C1215" s="694">
        <v>44346</v>
      </c>
      <c r="D1215" s="763" t="str">
        <f t="shared" si="155"/>
        <v>May</v>
      </c>
      <c r="E1215" s="763">
        <f t="shared" si="176"/>
        <v>30</v>
      </c>
      <c r="F1215" s="762">
        <f t="shared" si="177"/>
        <v>2021</v>
      </c>
      <c r="G1215" s="761" t="s">
        <v>102</v>
      </c>
      <c r="H1215" s="906" t="s">
        <v>161</v>
      </c>
      <c r="I1215" s="763">
        <v>50</v>
      </c>
      <c r="J1215" s="763">
        <v>0.3</v>
      </c>
      <c r="K1215" s="472">
        <f t="shared" si="172"/>
        <v>17</v>
      </c>
      <c r="L1215" s="764">
        <v>0.72152777777777777</v>
      </c>
      <c r="M1215" s="474">
        <f t="shared" si="173"/>
        <v>0.72152777777777777</v>
      </c>
      <c r="N1215" s="519">
        <v>0.72222222222222221</v>
      </c>
      <c r="P1215" s="29" t="str">
        <f t="shared" si="178"/>
        <v>2021EF0</v>
      </c>
      <c r="Q1215" s="29" t="str">
        <f t="shared" si="179"/>
        <v>EF017</v>
      </c>
      <c r="R1215" s="29" t="str">
        <f t="shared" si="180"/>
        <v>MayEF0</v>
      </c>
    </row>
    <row r="1216" spans="1:18">
      <c r="A1216" s="483">
        <f t="shared" si="163"/>
        <v>1212</v>
      </c>
      <c r="B1216" s="765">
        <v>24</v>
      </c>
      <c r="C1216" s="694">
        <v>44346</v>
      </c>
      <c r="D1216" s="763" t="str">
        <f t="shared" si="155"/>
        <v>May</v>
      </c>
      <c r="E1216" s="763">
        <f t="shared" si="176"/>
        <v>30</v>
      </c>
      <c r="F1216" s="762">
        <f t="shared" si="177"/>
        <v>2021</v>
      </c>
      <c r="G1216" s="761" t="s">
        <v>102</v>
      </c>
      <c r="H1216" s="906" t="s">
        <v>161</v>
      </c>
      <c r="I1216" s="763">
        <v>25</v>
      </c>
      <c r="J1216" s="763">
        <v>0.32</v>
      </c>
      <c r="K1216" s="472">
        <f t="shared" si="172"/>
        <v>17</v>
      </c>
      <c r="L1216" s="764">
        <v>0.72291666666666676</v>
      </c>
      <c r="M1216" s="474">
        <f t="shared" si="173"/>
        <v>0.72291666666666676</v>
      </c>
      <c r="N1216" s="519">
        <v>0.72361111111111109</v>
      </c>
      <c r="P1216" s="29" t="str">
        <f t="shared" si="178"/>
        <v>2021EF0</v>
      </c>
      <c r="Q1216" s="29" t="str">
        <f t="shared" si="179"/>
        <v>EF017</v>
      </c>
      <c r="R1216" s="29" t="str">
        <f t="shared" si="180"/>
        <v>MayEF0</v>
      </c>
    </row>
    <row r="1217" spans="1:18">
      <c r="A1217" s="483">
        <f t="shared" si="163"/>
        <v>1213</v>
      </c>
      <c r="B1217" s="765">
        <v>25</v>
      </c>
      <c r="C1217" s="694">
        <v>44346</v>
      </c>
      <c r="D1217" s="763" t="str">
        <f t="shared" si="155"/>
        <v>May</v>
      </c>
      <c r="E1217" s="763">
        <f t="shared" si="176"/>
        <v>30</v>
      </c>
      <c r="F1217" s="762">
        <f t="shared" si="177"/>
        <v>2021</v>
      </c>
      <c r="G1217" s="761" t="s">
        <v>99</v>
      </c>
      <c r="H1217" s="906" t="s">
        <v>161</v>
      </c>
      <c r="I1217" s="763">
        <v>30</v>
      </c>
      <c r="J1217" s="763">
        <v>0.47</v>
      </c>
      <c r="K1217" s="472">
        <f t="shared" si="172"/>
        <v>17</v>
      </c>
      <c r="L1217" s="764">
        <v>0.73888888888888893</v>
      </c>
      <c r="M1217" s="474">
        <f t="shared" si="173"/>
        <v>0.73888888888888893</v>
      </c>
      <c r="N1217" s="519">
        <v>0.73958333333333337</v>
      </c>
      <c r="P1217" s="29" t="str">
        <f t="shared" si="178"/>
        <v>2021EF0</v>
      </c>
      <c r="Q1217" s="29" t="str">
        <f t="shared" si="179"/>
        <v>EF017</v>
      </c>
      <c r="R1217" s="29" t="str">
        <f t="shared" si="180"/>
        <v>MayEF0</v>
      </c>
    </row>
    <row r="1218" spans="1:18">
      <c r="A1218" s="483">
        <f t="shared" si="163"/>
        <v>1214</v>
      </c>
      <c r="B1218" s="765">
        <v>26</v>
      </c>
      <c r="C1218" s="694">
        <v>44346</v>
      </c>
      <c r="D1218" s="763" t="str">
        <f t="shared" si="155"/>
        <v>May</v>
      </c>
      <c r="E1218" s="763">
        <f t="shared" si="176"/>
        <v>30</v>
      </c>
      <c r="F1218" s="762">
        <f t="shared" si="177"/>
        <v>2021</v>
      </c>
      <c r="G1218" s="761" t="s">
        <v>102</v>
      </c>
      <c r="H1218" s="906" t="s">
        <v>161</v>
      </c>
      <c r="I1218" s="763">
        <v>100</v>
      </c>
      <c r="J1218" s="763">
        <v>0.51</v>
      </c>
      <c r="K1218" s="658">
        <f t="shared" si="172"/>
        <v>17</v>
      </c>
      <c r="L1218" s="764">
        <v>0.7402777777777777</v>
      </c>
      <c r="M1218" s="474">
        <f t="shared" si="173"/>
        <v>0.7402777777777777</v>
      </c>
      <c r="N1218" s="519">
        <v>0.7416666666666667</v>
      </c>
      <c r="P1218" s="29" t="str">
        <f t="shared" si="178"/>
        <v>2021EF0</v>
      </c>
      <c r="Q1218" s="29" t="str">
        <f t="shared" si="179"/>
        <v>EF017</v>
      </c>
      <c r="R1218" s="29" t="str">
        <f t="shared" si="180"/>
        <v>MayEF0</v>
      </c>
    </row>
    <row r="1219" spans="1:18">
      <c r="A1219" s="483">
        <f t="shared" si="163"/>
        <v>1215</v>
      </c>
      <c r="B1219" s="765">
        <v>27</v>
      </c>
      <c r="C1219" s="694">
        <v>44346</v>
      </c>
      <c r="D1219" s="763" t="str">
        <f t="shared" si="155"/>
        <v>May</v>
      </c>
      <c r="E1219" s="763">
        <f t="shared" si="176"/>
        <v>30</v>
      </c>
      <c r="F1219" s="762">
        <f t="shared" si="177"/>
        <v>2021</v>
      </c>
      <c r="G1219" s="761" t="s">
        <v>103</v>
      </c>
      <c r="H1219" s="906" t="s">
        <v>161</v>
      </c>
      <c r="I1219" s="763">
        <v>100</v>
      </c>
      <c r="J1219" s="763">
        <v>1.22</v>
      </c>
      <c r="K1219" s="658">
        <f t="shared" si="172"/>
        <v>18</v>
      </c>
      <c r="L1219" s="764">
        <v>0.77083333333333337</v>
      </c>
      <c r="M1219" s="474">
        <f t="shared" si="173"/>
        <v>0.77083333333333337</v>
      </c>
      <c r="N1219" s="519">
        <v>0.77361111111111114</v>
      </c>
      <c r="P1219" s="29" t="str">
        <f t="shared" si="178"/>
        <v>2021EF0</v>
      </c>
      <c r="Q1219" s="29" t="str">
        <f t="shared" si="179"/>
        <v>EF018</v>
      </c>
      <c r="R1219" s="29" t="str">
        <f t="shared" si="180"/>
        <v>MayEF0</v>
      </c>
    </row>
    <row r="1220" spans="1:18">
      <c r="A1220" s="483">
        <f t="shared" si="163"/>
        <v>1216</v>
      </c>
      <c r="B1220" s="765">
        <v>28</v>
      </c>
      <c r="C1220" s="694">
        <v>44346</v>
      </c>
      <c r="D1220" s="763" t="str">
        <f t="shared" si="155"/>
        <v>May</v>
      </c>
      <c r="E1220" s="763">
        <f t="shared" si="176"/>
        <v>30</v>
      </c>
      <c r="F1220" s="762">
        <f t="shared" si="177"/>
        <v>2021</v>
      </c>
      <c r="G1220" s="761" t="s">
        <v>103</v>
      </c>
      <c r="H1220" s="885" t="s">
        <v>161</v>
      </c>
      <c r="I1220" s="763">
        <v>150</v>
      </c>
      <c r="J1220" s="763">
        <v>4.6100000000000003</v>
      </c>
      <c r="K1220" s="658">
        <f t="shared" si="172"/>
        <v>18</v>
      </c>
      <c r="L1220" s="764">
        <v>0.77986111111111101</v>
      </c>
      <c r="M1220" s="474">
        <f t="shared" si="173"/>
        <v>0.77986111111111101</v>
      </c>
      <c r="N1220" s="519">
        <v>0.78680555555555554</v>
      </c>
      <c r="P1220" s="29" t="str">
        <f t="shared" si="178"/>
        <v>2021EF0</v>
      </c>
      <c r="Q1220" s="29" t="str">
        <f t="shared" si="179"/>
        <v>EF018</v>
      </c>
      <c r="R1220" s="29" t="str">
        <f t="shared" si="180"/>
        <v>MayEF0</v>
      </c>
    </row>
    <row r="1221" spans="1:18">
      <c r="A1221" s="483">
        <f t="shared" si="163"/>
        <v>1217</v>
      </c>
      <c r="B1221" s="765">
        <v>29</v>
      </c>
      <c r="C1221" s="694">
        <v>44372</v>
      </c>
      <c r="D1221" s="763" t="str">
        <f t="shared" ref="D1221:D1222" si="181">+TEXT(C1221,"mmmm")</f>
        <v>June</v>
      </c>
      <c r="E1221" s="763">
        <f t="shared" si="176"/>
        <v>25</v>
      </c>
      <c r="F1221" s="762">
        <f t="shared" si="177"/>
        <v>2021</v>
      </c>
      <c r="G1221" s="761" t="s">
        <v>115</v>
      </c>
      <c r="H1221" s="886" t="s">
        <v>162</v>
      </c>
      <c r="I1221" s="763">
        <v>40</v>
      </c>
      <c r="J1221" s="763">
        <v>2.2000000000000002</v>
      </c>
      <c r="K1221" s="658">
        <f t="shared" si="172"/>
        <v>18</v>
      </c>
      <c r="L1221" s="764">
        <v>0.75069444444444444</v>
      </c>
      <c r="M1221" s="474">
        <f t="shared" si="173"/>
        <v>0.75069444444444444</v>
      </c>
      <c r="N1221" s="519">
        <v>0.75416666666666676</v>
      </c>
      <c r="P1221" s="29" t="str">
        <f t="shared" si="178"/>
        <v>2021EF1</v>
      </c>
      <c r="Q1221" s="29" t="str">
        <f t="shared" si="179"/>
        <v>EF118</v>
      </c>
      <c r="R1221" s="29" t="str">
        <f t="shared" si="180"/>
        <v>JuneEF1</v>
      </c>
    </row>
    <row r="1222" spans="1:18">
      <c r="A1222" s="483">
        <f t="shared" si="163"/>
        <v>1218</v>
      </c>
      <c r="B1222" s="765">
        <v>1</v>
      </c>
      <c r="C1222" s="694">
        <v>44682</v>
      </c>
      <c r="D1222" s="763" t="str">
        <f t="shared" si="181"/>
        <v>May</v>
      </c>
      <c r="E1222" s="763">
        <f t="shared" si="176"/>
        <v>1</v>
      </c>
      <c r="F1222" s="762">
        <f t="shared" si="177"/>
        <v>2022</v>
      </c>
      <c r="G1222" s="765" t="s">
        <v>109</v>
      </c>
      <c r="H1222" s="905" t="s">
        <v>161</v>
      </c>
      <c r="I1222" s="763">
        <v>25</v>
      </c>
      <c r="J1222" s="763">
        <v>0.02</v>
      </c>
      <c r="K1222" s="658">
        <f t="shared" si="172"/>
        <v>18</v>
      </c>
      <c r="L1222" s="764">
        <v>0.78819444444444453</v>
      </c>
      <c r="M1222" s="474">
        <f t="shared" si="173"/>
        <v>0.78819444444444453</v>
      </c>
      <c r="N1222" s="519">
        <v>0.78888888888888886</v>
      </c>
      <c r="P1222" s="29" t="str">
        <f t="shared" si="178"/>
        <v>2022EF0</v>
      </c>
      <c r="Q1222" s="29" t="str">
        <f t="shared" si="179"/>
        <v>EF018</v>
      </c>
      <c r="R1222" s="29" t="str">
        <f t="shared" si="180"/>
        <v>MayEF0</v>
      </c>
    </row>
    <row r="1223" spans="1:18">
      <c r="A1223" s="483">
        <f t="shared" si="163"/>
        <v>1219</v>
      </c>
      <c r="B1223" s="765">
        <v>2</v>
      </c>
      <c r="C1223" s="694">
        <v>44712</v>
      </c>
      <c r="D1223" s="763" t="str">
        <f t="shared" ref="D1223:D1227" si="182">+TEXT(C1223,"mmmm")</f>
        <v>May</v>
      </c>
      <c r="E1223" s="763">
        <f t="shared" ref="E1223:E1225" si="183">DAY(C1223)</f>
        <v>31</v>
      </c>
      <c r="F1223" s="762">
        <f t="shared" ref="F1223:F1225" si="184">YEAR(C1223)</f>
        <v>2022</v>
      </c>
      <c r="G1223" s="765" t="s">
        <v>121</v>
      </c>
      <c r="H1223" s="905" t="s">
        <v>161</v>
      </c>
      <c r="I1223" s="763">
        <v>125</v>
      </c>
      <c r="J1223" s="763">
        <v>1.75</v>
      </c>
      <c r="K1223" s="658">
        <f t="shared" ref="K1223:K1227" si="185">HOUR(M1223)</f>
        <v>16</v>
      </c>
      <c r="L1223" s="764">
        <v>0.6958333333333333</v>
      </c>
      <c r="M1223" s="474">
        <f t="shared" ref="M1223:M1225" si="186">+L1223</f>
        <v>0.6958333333333333</v>
      </c>
      <c r="N1223" s="519">
        <v>0.70000000000000007</v>
      </c>
      <c r="P1223" s="29" t="str">
        <f t="shared" ref="P1223:P1225" si="187">CONCATENATE(F1223,H1223)</f>
        <v>2022EF0</v>
      </c>
      <c r="Q1223" s="29" t="str">
        <f t="shared" ref="Q1223:Q1225" si="188">CONCATENATE(H1223,K1223)</f>
        <v>EF016</v>
      </c>
      <c r="R1223" s="29" t="str">
        <f t="shared" ref="R1223:R1225" si="189">CONCATENATE(D1223,H1223)</f>
        <v>MayEF0</v>
      </c>
    </row>
    <row r="1224" spans="1:18">
      <c r="A1224" s="483">
        <f t="shared" ref="A1224:A1287" si="190">+A1223+1</f>
        <v>1220</v>
      </c>
      <c r="B1224" s="765">
        <v>3</v>
      </c>
      <c r="C1224" s="694">
        <v>44712</v>
      </c>
      <c r="D1224" s="763" t="str">
        <f t="shared" si="182"/>
        <v>May</v>
      </c>
      <c r="E1224" s="763">
        <f t="shared" si="183"/>
        <v>31</v>
      </c>
      <c r="F1224" s="762">
        <f t="shared" si="184"/>
        <v>2022</v>
      </c>
      <c r="G1224" s="765" t="s">
        <v>121</v>
      </c>
      <c r="H1224" s="905" t="s">
        <v>161</v>
      </c>
      <c r="I1224" s="763">
        <v>180</v>
      </c>
      <c r="J1224" s="763">
        <v>1.92</v>
      </c>
      <c r="K1224" s="658">
        <f t="shared" si="185"/>
        <v>16</v>
      </c>
      <c r="L1224" s="764">
        <v>0.70416666666666661</v>
      </c>
      <c r="M1224" s="474">
        <f t="shared" si="186"/>
        <v>0.70416666666666661</v>
      </c>
      <c r="N1224" s="519">
        <v>0.7090277777777777</v>
      </c>
      <c r="P1224" s="29" t="str">
        <f t="shared" si="187"/>
        <v>2022EF0</v>
      </c>
      <c r="Q1224" s="29" t="str">
        <f t="shared" si="188"/>
        <v>EF016</v>
      </c>
      <c r="R1224" s="29" t="str">
        <f t="shared" si="189"/>
        <v>MayEF0</v>
      </c>
    </row>
    <row r="1225" spans="1:18">
      <c r="A1225" s="483">
        <f t="shared" si="190"/>
        <v>1221</v>
      </c>
      <c r="B1225" s="765">
        <v>4</v>
      </c>
      <c r="C1225" s="694">
        <v>44781</v>
      </c>
      <c r="D1225" s="763" t="str">
        <f t="shared" si="182"/>
        <v>August</v>
      </c>
      <c r="E1225" s="763">
        <f t="shared" si="183"/>
        <v>8</v>
      </c>
      <c r="F1225" s="762">
        <f t="shared" si="184"/>
        <v>2022</v>
      </c>
      <c r="G1225" s="765" t="s">
        <v>108</v>
      </c>
      <c r="H1225" s="905" t="s">
        <v>161</v>
      </c>
      <c r="I1225" s="763">
        <v>40</v>
      </c>
      <c r="J1225" s="763">
        <v>1.38</v>
      </c>
      <c r="K1225" s="658">
        <f t="shared" si="185"/>
        <v>17</v>
      </c>
      <c r="L1225" s="764">
        <v>0.74236111111111114</v>
      </c>
      <c r="M1225" s="474">
        <f t="shared" si="186"/>
        <v>0.74236111111111114</v>
      </c>
      <c r="N1225" s="519">
        <v>0.74652777777777779</v>
      </c>
      <c r="P1225" s="29" t="str">
        <f t="shared" si="187"/>
        <v>2022EF0</v>
      </c>
      <c r="Q1225" s="29" t="str">
        <f t="shared" si="188"/>
        <v>EF017</v>
      </c>
      <c r="R1225" s="29" t="str">
        <f t="shared" si="189"/>
        <v>AugustEF0</v>
      </c>
    </row>
    <row r="1226" spans="1:18" s="1211" customFormat="1">
      <c r="A1226" s="1212">
        <f t="shared" si="190"/>
        <v>1222</v>
      </c>
      <c r="B1226" s="1192">
        <v>5</v>
      </c>
      <c r="C1226" s="694">
        <v>44907</v>
      </c>
      <c r="D1226" s="1194" t="str">
        <f t="shared" si="182"/>
        <v>December</v>
      </c>
      <c r="E1226" s="1194">
        <f t="shared" si="176"/>
        <v>12</v>
      </c>
      <c r="F1226" s="1195">
        <f t="shared" si="177"/>
        <v>2022</v>
      </c>
      <c r="G1226" s="1192" t="s">
        <v>101</v>
      </c>
      <c r="H1226" s="1213" t="s">
        <v>161</v>
      </c>
      <c r="I1226" s="1194">
        <v>50</v>
      </c>
      <c r="J1226" s="1194">
        <v>1.2</v>
      </c>
      <c r="K1226" s="658">
        <f t="shared" si="185"/>
        <v>21</v>
      </c>
      <c r="L1226" s="764">
        <v>0.88958333333333339</v>
      </c>
      <c r="M1226" s="474">
        <f t="shared" si="173"/>
        <v>0.88958333333333339</v>
      </c>
      <c r="N1226" s="519">
        <v>0.89097222222222217</v>
      </c>
      <c r="P1226" s="1215" t="str">
        <f t="shared" si="178"/>
        <v>2022EF0</v>
      </c>
      <c r="Q1226" s="1215" t="str">
        <f t="shared" si="179"/>
        <v>EF021</v>
      </c>
      <c r="R1226" s="1215" t="str">
        <f t="shared" si="180"/>
        <v>DecemberEF0</v>
      </c>
    </row>
    <row r="1227" spans="1:18" s="1211" customFormat="1">
      <c r="A1227" s="1212">
        <f t="shared" si="190"/>
        <v>1223</v>
      </c>
      <c r="B1227" s="1192">
        <v>6</v>
      </c>
      <c r="C1227" s="694">
        <v>44907</v>
      </c>
      <c r="D1227" s="1194" t="str">
        <f t="shared" si="182"/>
        <v>December</v>
      </c>
      <c r="E1227" s="1194">
        <f t="shared" si="176"/>
        <v>12</v>
      </c>
      <c r="F1227" s="1195">
        <f t="shared" si="177"/>
        <v>2022</v>
      </c>
      <c r="G1227" s="1192" t="s">
        <v>101</v>
      </c>
      <c r="H1227" s="1213" t="s">
        <v>161</v>
      </c>
      <c r="I1227" s="1194">
        <v>50</v>
      </c>
      <c r="J1227" s="1194">
        <v>0.7</v>
      </c>
      <c r="K1227" s="658">
        <f t="shared" si="185"/>
        <v>21</v>
      </c>
      <c r="L1227" s="764">
        <v>0.90138888888888891</v>
      </c>
      <c r="M1227" s="474">
        <f t="shared" si="173"/>
        <v>0.90138888888888891</v>
      </c>
      <c r="N1227" s="519">
        <v>0.90208333333333324</v>
      </c>
      <c r="P1227" s="1215" t="str">
        <f t="shared" si="178"/>
        <v>2022EF0</v>
      </c>
      <c r="Q1227" s="1215" t="str">
        <f t="shared" si="179"/>
        <v>EF021</v>
      </c>
      <c r="R1227" s="1215" t="str">
        <f t="shared" si="180"/>
        <v>DecemberEF0</v>
      </c>
    </row>
    <row r="1228" spans="1:18">
      <c r="A1228" s="483">
        <f t="shared" si="190"/>
        <v>1224</v>
      </c>
      <c r="B1228" s="77"/>
      <c r="C1228" s="77"/>
      <c r="D1228" s="858"/>
      <c r="E1228" s="858">
        <f t="shared" si="176"/>
        <v>0</v>
      </c>
      <c r="F1228" s="887">
        <f t="shared" si="177"/>
        <v>1900</v>
      </c>
      <c r="G1228" s="888"/>
      <c r="H1228" s="889"/>
      <c r="I1228" s="888"/>
      <c r="J1228" s="888"/>
      <c r="K1228" s="980"/>
      <c r="L1228" s="77"/>
      <c r="M1228" s="78">
        <f t="shared" ref="M1228:M1291" si="191">+L1228</f>
        <v>0</v>
      </c>
      <c r="N1228" s="748"/>
      <c r="P1228" s="29" t="str">
        <f t="shared" si="178"/>
        <v>1900</v>
      </c>
      <c r="Q1228" s="29" t="str">
        <f t="shared" si="179"/>
        <v/>
      </c>
      <c r="R1228" s="29" t="str">
        <f t="shared" si="180"/>
        <v/>
      </c>
    </row>
    <row r="1229" spans="1:18">
      <c r="A1229" s="483">
        <f t="shared" si="190"/>
        <v>1225</v>
      </c>
      <c r="B1229" s="77"/>
      <c r="C1229" s="77"/>
      <c r="D1229" s="858"/>
      <c r="E1229" s="858">
        <f t="shared" si="176"/>
        <v>0</v>
      </c>
      <c r="F1229" s="887">
        <f t="shared" si="177"/>
        <v>1900</v>
      </c>
      <c r="G1229" s="888"/>
      <c r="H1229" s="889"/>
      <c r="I1229" s="888"/>
      <c r="J1229" s="888"/>
      <c r="K1229" s="980"/>
      <c r="L1229" s="77"/>
      <c r="M1229" s="78">
        <f t="shared" si="191"/>
        <v>0</v>
      </c>
      <c r="N1229" s="748"/>
      <c r="P1229" s="29" t="str">
        <f t="shared" si="178"/>
        <v>1900</v>
      </c>
      <c r="Q1229" s="29" t="str">
        <f t="shared" si="179"/>
        <v/>
      </c>
      <c r="R1229" s="29" t="str">
        <f t="shared" si="180"/>
        <v/>
      </c>
    </row>
    <row r="1230" spans="1:18">
      <c r="A1230" s="483">
        <f t="shared" si="190"/>
        <v>1226</v>
      </c>
      <c r="B1230" s="77"/>
      <c r="C1230" s="77"/>
      <c r="D1230" s="858"/>
      <c r="E1230" s="858">
        <f t="shared" si="176"/>
        <v>0</v>
      </c>
      <c r="F1230" s="887">
        <f t="shared" si="177"/>
        <v>1900</v>
      </c>
      <c r="G1230" s="888"/>
      <c r="H1230" s="889"/>
      <c r="I1230" s="888"/>
      <c r="J1230" s="888"/>
      <c r="K1230" s="980"/>
      <c r="L1230" s="77"/>
      <c r="M1230" s="78">
        <f t="shared" si="191"/>
        <v>0</v>
      </c>
      <c r="N1230" s="748"/>
      <c r="P1230" s="29" t="str">
        <f t="shared" si="178"/>
        <v>1900</v>
      </c>
      <c r="Q1230" s="29" t="str">
        <f t="shared" si="179"/>
        <v/>
      </c>
      <c r="R1230" s="29" t="str">
        <f t="shared" si="180"/>
        <v/>
      </c>
    </row>
    <row r="1231" spans="1:18">
      <c r="A1231" s="483">
        <f t="shared" si="190"/>
        <v>1227</v>
      </c>
      <c r="B1231" s="77"/>
      <c r="C1231" s="77"/>
      <c r="D1231" s="858"/>
      <c r="E1231" s="858">
        <f t="shared" si="176"/>
        <v>0</v>
      </c>
      <c r="F1231" s="887">
        <f t="shared" si="177"/>
        <v>1900</v>
      </c>
      <c r="G1231" s="888"/>
      <c r="H1231" s="889"/>
      <c r="I1231" s="888"/>
      <c r="J1231" s="888"/>
      <c r="K1231" s="980"/>
      <c r="L1231" s="77"/>
      <c r="M1231" s="78">
        <f t="shared" si="191"/>
        <v>0</v>
      </c>
      <c r="N1231" s="748"/>
      <c r="P1231" s="29" t="str">
        <f t="shared" si="178"/>
        <v>1900</v>
      </c>
      <c r="Q1231" s="29" t="str">
        <f t="shared" si="179"/>
        <v/>
      </c>
      <c r="R1231" s="29" t="str">
        <f t="shared" si="180"/>
        <v/>
      </c>
    </row>
    <row r="1232" spans="1:18">
      <c r="A1232" s="483">
        <f t="shared" si="190"/>
        <v>1228</v>
      </c>
      <c r="B1232" s="77"/>
      <c r="C1232" s="77"/>
      <c r="D1232" s="858"/>
      <c r="E1232" s="858">
        <f t="shared" si="176"/>
        <v>0</v>
      </c>
      <c r="F1232" s="887">
        <f t="shared" si="177"/>
        <v>1900</v>
      </c>
      <c r="G1232" s="888"/>
      <c r="H1232" s="889"/>
      <c r="I1232" s="888"/>
      <c r="J1232" s="888"/>
      <c r="K1232" s="980"/>
      <c r="L1232" s="77"/>
      <c r="M1232" s="78">
        <f t="shared" si="191"/>
        <v>0</v>
      </c>
      <c r="N1232" s="748"/>
      <c r="P1232" s="29" t="str">
        <f t="shared" si="178"/>
        <v>1900</v>
      </c>
      <c r="Q1232" s="29" t="str">
        <f t="shared" si="179"/>
        <v/>
      </c>
      <c r="R1232" s="29" t="str">
        <f t="shared" si="180"/>
        <v/>
      </c>
    </row>
    <row r="1233" spans="1:18">
      <c r="A1233" s="483">
        <f t="shared" si="190"/>
        <v>1229</v>
      </c>
      <c r="B1233" s="77"/>
      <c r="C1233" s="77"/>
      <c r="D1233" s="858"/>
      <c r="E1233" s="858">
        <f t="shared" si="176"/>
        <v>0</v>
      </c>
      <c r="F1233" s="887">
        <f t="shared" si="177"/>
        <v>1900</v>
      </c>
      <c r="G1233" s="888"/>
      <c r="H1233" s="889"/>
      <c r="I1233" s="888"/>
      <c r="J1233" s="888"/>
      <c r="K1233" s="980"/>
      <c r="L1233" s="77"/>
      <c r="M1233" s="78">
        <f t="shared" si="191"/>
        <v>0</v>
      </c>
      <c r="N1233" s="748"/>
      <c r="P1233" s="29" t="str">
        <f t="shared" si="178"/>
        <v>1900</v>
      </c>
      <c r="Q1233" s="29" t="str">
        <f t="shared" si="179"/>
        <v/>
      </c>
      <c r="R1233" s="29" t="str">
        <f t="shared" si="180"/>
        <v/>
      </c>
    </row>
    <row r="1234" spans="1:18">
      <c r="A1234" s="483">
        <f t="shared" si="190"/>
        <v>1230</v>
      </c>
      <c r="B1234" s="77"/>
      <c r="C1234" s="77"/>
      <c r="D1234" s="858"/>
      <c r="E1234" s="858">
        <f t="shared" si="176"/>
        <v>0</v>
      </c>
      <c r="F1234" s="887">
        <f t="shared" si="177"/>
        <v>1900</v>
      </c>
      <c r="G1234" s="888"/>
      <c r="H1234" s="889"/>
      <c r="I1234" s="888"/>
      <c r="J1234" s="888"/>
      <c r="K1234" s="980"/>
      <c r="L1234" s="77"/>
      <c r="M1234" s="78">
        <f t="shared" si="191"/>
        <v>0</v>
      </c>
      <c r="N1234" s="748"/>
      <c r="P1234" s="29" t="str">
        <f t="shared" si="178"/>
        <v>1900</v>
      </c>
      <c r="Q1234" s="29" t="str">
        <f t="shared" si="179"/>
        <v/>
      </c>
      <c r="R1234" s="29" t="str">
        <f t="shared" si="180"/>
        <v/>
      </c>
    </row>
    <row r="1235" spans="1:18">
      <c r="A1235" s="483">
        <f t="shared" si="190"/>
        <v>1231</v>
      </c>
      <c r="B1235" s="77"/>
      <c r="C1235" s="77"/>
      <c r="D1235" s="858"/>
      <c r="E1235" s="858">
        <f t="shared" si="176"/>
        <v>0</v>
      </c>
      <c r="F1235" s="887">
        <f t="shared" si="177"/>
        <v>1900</v>
      </c>
      <c r="G1235" s="888"/>
      <c r="H1235" s="889"/>
      <c r="I1235" s="888"/>
      <c r="J1235" s="888"/>
      <c r="K1235" s="980"/>
      <c r="L1235" s="77"/>
      <c r="M1235" s="78">
        <f t="shared" si="191"/>
        <v>0</v>
      </c>
      <c r="N1235" s="748"/>
      <c r="P1235" s="29" t="str">
        <f t="shared" si="178"/>
        <v>1900</v>
      </c>
      <c r="Q1235" s="29" t="str">
        <f t="shared" si="179"/>
        <v/>
      </c>
      <c r="R1235" s="29" t="str">
        <f t="shared" si="180"/>
        <v/>
      </c>
    </row>
    <row r="1236" spans="1:18">
      <c r="A1236" s="483">
        <f t="shared" si="190"/>
        <v>1232</v>
      </c>
      <c r="B1236" s="77"/>
      <c r="C1236" s="77"/>
      <c r="D1236" s="858"/>
      <c r="E1236" s="858">
        <f t="shared" si="176"/>
        <v>0</v>
      </c>
      <c r="F1236" s="887">
        <f t="shared" si="177"/>
        <v>1900</v>
      </c>
      <c r="G1236" s="888"/>
      <c r="H1236" s="889"/>
      <c r="I1236" s="888"/>
      <c r="J1236" s="888"/>
      <c r="K1236" s="980"/>
      <c r="L1236" s="77"/>
      <c r="M1236" s="78">
        <f t="shared" si="191"/>
        <v>0</v>
      </c>
      <c r="N1236" s="748"/>
      <c r="P1236" s="29" t="str">
        <f t="shared" si="178"/>
        <v>1900</v>
      </c>
      <c r="Q1236" s="29" t="str">
        <f t="shared" si="179"/>
        <v/>
      </c>
      <c r="R1236" s="29" t="str">
        <f t="shared" si="180"/>
        <v/>
      </c>
    </row>
    <row r="1237" spans="1:18">
      <c r="A1237" s="483">
        <f t="shared" si="190"/>
        <v>1233</v>
      </c>
      <c r="B1237" s="77"/>
      <c r="C1237" s="77"/>
      <c r="D1237" s="858"/>
      <c r="E1237" s="858">
        <f t="shared" si="176"/>
        <v>0</v>
      </c>
      <c r="F1237" s="887">
        <f t="shared" si="177"/>
        <v>1900</v>
      </c>
      <c r="G1237" s="888"/>
      <c r="H1237" s="889"/>
      <c r="I1237" s="888"/>
      <c r="J1237" s="888"/>
      <c r="K1237" s="980"/>
      <c r="L1237" s="77"/>
      <c r="M1237" s="78">
        <f t="shared" si="191"/>
        <v>0</v>
      </c>
      <c r="N1237" s="748"/>
      <c r="P1237" s="29" t="str">
        <f t="shared" si="178"/>
        <v>1900</v>
      </c>
      <c r="Q1237" s="29" t="str">
        <f t="shared" si="179"/>
        <v/>
      </c>
      <c r="R1237" s="29" t="str">
        <f t="shared" si="180"/>
        <v/>
      </c>
    </row>
    <row r="1238" spans="1:18">
      <c r="A1238" s="483">
        <f t="shared" si="190"/>
        <v>1234</v>
      </c>
      <c r="B1238" s="77"/>
      <c r="C1238" s="77"/>
      <c r="D1238" s="858"/>
      <c r="E1238" s="858">
        <f t="shared" si="176"/>
        <v>0</v>
      </c>
      <c r="F1238" s="887">
        <f t="shared" si="177"/>
        <v>1900</v>
      </c>
      <c r="G1238" s="888"/>
      <c r="H1238" s="889"/>
      <c r="I1238" s="888"/>
      <c r="J1238" s="888"/>
      <c r="K1238" s="980"/>
      <c r="L1238" s="77"/>
      <c r="M1238" s="78">
        <f t="shared" si="191"/>
        <v>0</v>
      </c>
      <c r="N1238" s="748"/>
      <c r="P1238" s="29" t="str">
        <f t="shared" si="178"/>
        <v>1900</v>
      </c>
      <c r="Q1238" s="29" t="str">
        <f t="shared" si="179"/>
        <v/>
      </c>
      <c r="R1238" s="29" t="str">
        <f t="shared" si="180"/>
        <v/>
      </c>
    </row>
    <row r="1239" spans="1:18">
      <c r="A1239" s="483">
        <f t="shared" si="190"/>
        <v>1235</v>
      </c>
      <c r="B1239" s="77"/>
      <c r="C1239" s="77"/>
      <c r="D1239" s="858"/>
      <c r="E1239" s="858">
        <f t="shared" si="176"/>
        <v>0</v>
      </c>
      <c r="F1239" s="887">
        <f t="shared" si="177"/>
        <v>1900</v>
      </c>
      <c r="G1239" s="888"/>
      <c r="H1239" s="889"/>
      <c r="I1239" s="888"/>
      <c r="J1239" s="888"/>
      <c r="K1239" s="980"/>
      <c r="L1239" s="77"/>
      <c r="M1239" s="78">
        <f t="shared" si="191"/>
        <v>0</v>
      </c>
      <c r="N1239" s="748"/>
      <c r="P1239" s="29" t="str">
        <f t="shared" si="178"/>
        <v>1900</v>
      </c>
      <c r="Q1239" s="29" t="str">
        <f t="shared" si="179"/>
        <v/>
      </c>
      <c r="R1239" s="29" t="str">
        <f t="shared" si="180"/>
        <v/>
      </c>
    </row>
    <row r="1240" spans="1:18">
      <c r="A1240" s="483">
        <f t="shared" si="190"/>
        <v>1236</v>
      </c>
      <c r="B1240" s="77"/>
      <c r="C1240" s="77"/>
      <c r="D1240" s="858"/>
      <c r="E1240" s="858">
        <f t="shared" si="176"/>
        <v>0</v>
      </c>
      <c r="F1240" s="887">
        <f t="shared" si="177"/>
        <v>1900</v>
      </c>
      <c r="G1240" s="888"/>
      <c r="H1240" s="889"/>
      <c r="I1240" s="888"/>
      <c r="J1240" s="888"/>
      <c r="K1240" s="980"/>
      <c r="L1240" s="77"/>
      <c r="M1240" s="78">
        <f t="shared" si="191"/>
        <v>0</v>
      </c>
      <c r="N1240" s="748"/>
      <c r="P1240" s="29" t="str">
        <f t="shared" si="178"/>
        <v>1900</v>
      </c>
      <c r="Q1240" s="29" t="str">
        <f t="shared" si="179"/>
        <v/>
      </c>
      <c r="R1240" s="29" t="str">
        <f t="shared" si="180"/>
        <v/>
      </c>
    </row>
    <row r="1241" spans="1:18">
      <c r="A1241" s="483">
        <f t="shared" si="190"/>
        <v>1237</v>
      </c>
      <c r="B1241" s="77"/>
      <c r="C1241" s="77"/>
      <c r="D1241" s="858"/>
      <c r="E1241" s="858">
        <f t="shared" si="176"/>
        <v>0</v>
      </c>
      <c r="F1241" s="887">
        <f t="shared" si="177"/>
        <v>1900</v>
      </c>
      <c r="G1241" s="888"/>
      <c r="H1241" s="889"/>
      <c r="I1241" s="888"/>
      <c r="J1241" s="888"/>
      <c r="K1241" s="980"/>
      <c r="L1241" s="77"/>
      <c r="M1241" s="78">
        <f t="shared" si="191"/>
        <v>0</v>
      </c>
      <c r="N1241" s="748"/>
      <c r="P1241" s="29" t="str">
        <f t="shared" si="178"/>
        <v>1900</v>
      </c>
      <c r="Q1241" s="29" t="str">
        <f t="shared" si="179"/>
        <v/>
      </c>
      <c r="R1241" s="29" t="str">
        <f t="shared" si="180"/>
        <v/>
      </c>
    </row>
    <row r="1242" spans="1:18">
      <c r="A1242" s="483">
        <f t="shared" si="190"/>
        <v>1238</v>
      </c>
      <c r="B1242" s="77"/>
      <c r="C1242" s="77"/>
      <c r="D1242" s="858"/>
      <c r="E1242" s="858">
        <f t="shared" si="176"/>
        <v>0</v>
      </c>
      <c r="F1242" s="887">
        <f t="shared" si="177"/>
        <v>1900</v>
      </c>
      <c r="G1242" s="888"/>
      <c r="H1242" s="889"/>
      <c r="I1242" s="888"/>
      <c r="J1242" s="888"/>
      <c r="K1242" s="980"/>
      <c r="L1242" s="77"/>
      <c r="M1242" s="78">
        <f t="shared" si="191"/>
        <v>0</v>
      </c>
      <c r="N1242" s="748"/>
      <c r="P1242" s="29" t="str">
        <f t="shared" si="178"/>
        <v>1900</v>
      </c>
      <c r="Q1242" s="29" t="str">
        <f t="shared" si="179"/>
        <v/>
      </c>
      <c r="R1242" s="29" t="str">
        <f t="shared" si="180"/>
        <v/>
      </c>
    </row>
    <row r="1243" spans="1:18">
      <c r="A1243" s="483">
        <f t="shared" si="190"/>
        <v>1239</v>
      </c>
      <c r="B1243" s="77"/>
      <c r="C1243" s="77"/>
      <c r="D1243" s="858"/>
      <c r="E1243" s="858">
        <f t="shared" si="176"/>
        <v>0</v>
      </c>
      <c r="F1243" s="887">
        <f t="shared" si="177"/>
        <v>1900</v>
      </c>
      <c r="G1243" s="888"/>
      <c r="H1243" s="889"/>
      <c r="I1243" s="888"/>
      <c r="J1243" s="888"/>
      <c r="K1243" s="980"/>
      <c r="L1243" s="77"/>
      <c r="M1243" s="78">
        <f t="shared" si="191"/>
        <v>0</v>
      </c>
      <c r="N1243" s="748"/>
      <c r="P1243" s="29" t="str">
        <f t="shared" si="178"/>
        <v>1900</v>
      </c>
      <c r="Q1243" s="29" t="str">
        <f t="shared" si="179"/>
        <v/>
      </c>
      <c r="R1243" s="29" t="str">
        <f t="shared" si="180"/>
        <v/>
      </c>
    </row>
    <row r="1244" spans="1:18">
      <c r="A1244" s="483">
        <f t="shared" si="190"/>
        <v>1240</v>
      </c>
      <c r="B1244" s="77"/>
      <c r="C1244" s="77"/>
      <c r="D1244" s="858"/>
      <c r="E1244" s="858">
        <f t="shared" si="176"/>
        <v>0</v>
      </c>
      <c r="F1244" s="887">
        <f t="shared" si="177"/>
        <v>1900</v>
      </c>
      <c r="G1244" s="888"/>
      <c r="H1244" s="889"/>
      <c r="I1244" s="888"/>
      <c r="J1244" s="888"/>
      <c r="K1244" s="980"/>
      <c r="L1244" s="77"/>
      <c r="M1244" s="78">
        <f t="shared" si="191"/>
        <v>0</v>
      </c>
      <c r="N1244" s="748"/>
      <c r="P1244" s="29" t="str">
        <f t="shared" si="178"/>
        <v>1900</v>
      </c>
      <c r="Q1244" s="29" t="str">
        <f t="shared" si="179"/>
        <v/>
      </c>
      <c r="R1244" s="29" t="str">
        <f t="shared" si="180"/>
        <v/>
      </c>
    </row>
    <row r="1245" spans="1:18">
      <c r="A1245" s="483">
        <f t="shared" si="190"/>
        <v>1241</v>
      </c>
      <c r="B1245" s="77"/>
      <c r="C1245" s="77"/>
      <c r="D1245" s="858"/>
      <c r="E1245" s="858">
        <f t="shared" si="176"/>
        <v>0</v>
      </c>
      <c r="F1245" s="887">
        <f t="shared" si="177"/>
        <v>1900</v>
      </c>
      <c r="G1245" s="888"/>
      <c r="H1245" s="889"/>
      <c r="I1245" s="888"/>
      <c r="J1245" s="888"/>
      <c r="K1245" s="980"/>
      <c r="L1245" s="77"/>
      <c r="M1245" s="78">
        <f t="shared" si="191"/>
        <v>0</v>
      </c>
      <c r="N1245" s="748"/>
      <c r="P1245" s="29" t="str">
        <f t="shared" si="178"/>
        <v>1900</v>
      </c>
      <c r="Q1245" s="29" t="str">
        <f t="shared" si="179"/>
        <v/>
      </c>
      <c r="R1245" s="29" t="str">
        <f t="shared" si="180"/>
        <v/>
      </c>
    </row>
    <row r="1246" spans="1:18">
      <c r="A1246" s="483">
        <f t="shared" si="190"/>
        <v>1242</v>
      </c>
      <c r="B1246" s="77"/>
      <c r="C1246" s="77"/>
      <c r="D1246" s="858"/>
      <c r="E1246" s="858">
        <f t="shared" si="176"/>
        <v>0</v>
      </c>
      <c r="F1246" s="887">
        <f t="shared" si="177"/>
        <v>1900</v>
      </c>
      <c r="G1246" s="888"/>
      <c r="H1246" s="889"/>
      <c r="I1246" s="888"/>
      <c r="J1246" s="888"/>
      <c r="K1246" s="980"/>
      <c r="L1246" s="77"/>
      <c r="M1246" s="78">
        <f t="shared" si="191"/>
        <v>0</v>
      </c>
      <c r="N1246" s="748"/>
      <c r="P1246" s="29" t="str">
        <f t="shared" si="178"/>
        <v>1900</v>
      </c>
      <c r="Q1246" s="29" t="str">
        <f t="shared" si="179"/>
        <v/>
      </c>
      <c r="R1246" s="29" t="str">
        <f t="shared" si="180"/>
        <v/>
      </c>
    </row>
    <row r="1247" spans="1:18">
      <c r="A1247" s="483">
        <f t="shared" si="190"/>
        <v>1243</v>
      </c>
      <c r="B1247" s="77"/>
      <c r="C1247" s="77"/>
      <c r="D1247" s="858"/>
      <c r="E1247" s="858">
        <f t="shared" si="176"/>
        <v>0</v>
      </c>
      <c r="F1247" s="887">
        <f t="shared" si="177"/>
        <v>1900</v>
      </c>
      <c r="G1247" s="888"/>
      <c r="H1247" s="889"/>
      <c r="I1247" s="888"/>
      <c r="J1247" s="888"/>
      <c r="K1247" s="980"/>
      <c r="L1247" s="77"/>
      <c r="M1247" s="78">
        <f t="shared" si="191"/>
        <v>0</v>
      </c>
      <c r="N1247" s="748"/>
      <c r="P1247" s="29" t="str">
        <f t="shared" si="178"/>
        <v>1900</v>
      </c>
      <c r="Q1247" s="29" t="str">
        <f t="shared" si="179"/>
        <v/>
      </c>
      <c r="R1247" s="29" t="str">
        <f t="shared" si="180"/>
        <v/>
      </c>
    </row>
    <row r="1248" spans="1:18">
      <c r="A1248" s="483">
        <f t="shared" si="190"/>
        <v>1244</v>
      </c>
      <c r="B1248" s="77"/>
      <c r="C1248" s="77"/>
      <c r="D1248" s="858"/>
      <c r="E1248" s="858">
        <f t="shared" si="176"/>
        <v>0</v>
      </c>
      <c r="F1248" s="887">
        <f t="shared" si="177"/>
        <v>1900</v>
      </c>
      <c r="G1248" s="888"/>
      <c r="H1248" s="889"/>
      <c r="I1248" s="888"/>
      <c r="J1248" s="888"/>
      <c r="K1248" s="980"/>
      <c r="L1248" s="77"/>
      <c r="M1248" s="78">
        <f t="shared" si="191"/>
        <v>0</v>
      </c>
      <c r="N1248" s="748"/>
      <c r="P1248" s="29" t="str">
        <f t="shared" si="178"/>
        <v>1900</v>
      </c>
      <c r="Q1248" s="29" t="str">
        <f t="shared" si="179"/>
        <v/>
      </c>
      <c r="R1248" s="29" t="str">
        <f t="shared" si="180"/>
        <v/>
      </c>
    </row>
    <row r="1249" spans="1:18">
      <c r="A1249" s="483">
        <f t="shared" si="190"/>
        <v>1245</v>
      </c>
      <c r="B1249" s="77"/>
      <c r="C1249" s="77"/>
      <c r="D1249" s="858"/>
      <c r="E1249" s="858">
        <f t="shared" si="176"/>
        <v>0</v>
      </c>
      <c r="F1249" s="887">
        <f t="shared" si="177"/>
        <v>1900</v>
      </c>
      <c r="G1249" s="888"/>
      <c r="H1249" s="889"/>
      <c r="I1249" s="888"/>
      <c r="J1249" s="888"/>
      <c r="K1249" s="980"/>
      <c r="L1249" s="77"/>
      <c r="M1249" s="78">
        <f t="shared" si="191"/>
        <v>0</v>
      </c>
      <c r="N1249" s="748"/>
      <c r="P1249" s="29" t="str">
        <f t="shared" si="178"/>
        <v>1900</v>
      </c>
      <c r="Q1249" s="29" t="str">
        <f t="shared" si="179"/>
        <v/>
      </c>
      <c r="R1249" s="29" t="str">
        <f t="shared" si="180"/>
        <v/>
      </c>
    </row>
    <row r="1250" spans="1:18">
      <c r="A1250" s="483">
        <f t="shared" si="190"/>
        <v>1246</v>
      </c>
      <c r="B1250" s="77"/>
      <c r="C1250" s="77"/>
      <c r="D1250" s="858"/>
      <c r="E1250" s="858">
        <f t="shared" si="176"/>
        <v>0</v>
      </c>
      <c r="F1250" s="887">
        <f t="shared" si="177"/>
        <v>1900</v>
      </c>
      <c r="G1250" s="888"/>
      <c r="H1250" s="889"/>
      <c r="I1250" s="888"/>
      <c r="J1250" s="888"/>
      <c r="K1250" s="980"/>
      <c r="L1250" s="77"/>
      <c r="M1250" s="78">
        <f t="shared" si="191"/>
        <v>0</v>
      </c>
      <c r="N1250" s="748"/>
      <c r="P1250" s="29" t="str">
        <f t="shared" si="178"/>
        <v>1900</v>
      </c>
      <c r="Q1250" s="29" t="str">
        <f t="shared" si="179"/>
        <v/>
      </c>
      <c r="R1250" s="29" t="str">
        <f t="shared" si="180"/>
        <v/>
      </c>
    </row>
    <row r="1251" spans="1:18">
      <c r="A1251" s="483">
        <f t="shared" si="190"/>
        <v>1247</v>
      </c>
      <c r="B1251" s="77"/>
      <c r="C1251" s="77"/>
      <c r="D1251" s="858"/>
      <c r="E1251" s="858">
        <f t="shared" si="176"/>
        <v>0</v>
      </c>
      <c r="F1251" s="887">
        <f t="shared" si="177"/>
        <v>1900</v>
      </c>
      <c r="G1251" s="888"/>
      <c r="H1251" s="889"/>
      <c r="I1251" s="888"/>
      <c r="J1251" s="888"/>
      <c r="K1251" s="980"/>
      <c r="L1251" s="77"/>
      <c r="M1251" s="78">
        <f t="shared" si="191"/>
        <v>0</v>
      </c>
      <c r="N1251" s="748"/>
      <c r="P1251" s="29" t="str">
        <f t="shared" si="178"/>
        <v>1900</v>
      </c>
      <c r="Q1251" s="29" t="str">
        <f t="shared" si="179"/>
        <v/>
      </c>
      <c r="R1251" s="29" t="str">
        <f t="shared" si="180"/>
        <v/>
      </c>
    </row>
    <row r="1252" spans="1:18">
      <c r="A1252" s="483">
        <f t="shared" si="190"/>
        <v>1248</v>
      </c>
      <c r="B1252" s="77"/>
      <c r="C1252" s="77"/>
      <c r="D1252" s="858"/>
      <c r="E1252" s="858">
        <f t="shared" si="176"/>
        <v>0</v>
      </c>
      <c r="F1252" s="887">
        <f t="shared" si="177"/>
        <v>1900</v>
      </c>
      <c r="G1252" s="888"/>
      <c r="H1252" s="889"/>
      <c r="I1252" s="888"/>
      <c r="J1252" s="888"/>
      <c r="K1252" s="980"/>
      <c r="L1252" s="77"/>
      <c r="M1252" s="78">
        <f t="shared" si="191"/>
        <v>0</v>
      </c>
      <c r="N1252" s="748"/>
      <c r="P1252" s="29" t="str">
        <f t="shared" si="178"/>
        <v>1900</v>
      </c>
      <c r="Q1252" s="29" t="str">
        <f t="shared" si="179"/>
        <v/>
      </c>
      <c r="R1252" s="29" t="str">
        <f t="shared" si="180"/>
        <v/>
      </c>
    </row>
    <row r="1253" spans="1:18">
      <c r="A1253" s="483">
        <f t="shared" si="190"/>
        <v>1249</v>
      </c>
      <c r="B1253" s="77"/>
      <c r="C1253" s="77"/>
      <c r="D1253" s="858"/>
      <c r="E1253" s="858">
        <f t="shared" si="176"/>
        <v>0</v>
      </c>
      <c r="F1253" s="887">
        <f t="shared" si="177"/>
        <v>1900</v>
      </c>
      <c r="G1253" s="888"/>
      <c r="H1253" s="889"/>
      <c r="I1253" s="888"/>
      <c r="J1253" s="888"/>
      <c r="K1253" s="980"/>
      <c r="L1253" s="77"/>
      <c r="M1253" s="78">
        <f t="shared" si="191"/>
        <v>0</v>
      </c>
      <c r="N1253" s="748"/>
      <c r="P1253" s="29" t="str">
        <f t="shared" si="178"/>
        <v>1900</v>
      </c>
      <c r="Q1253" s="29" t="str">
        <f t="shared" si="179"/>
        <v/>
      </c>
      <c r="R1253" s="29" t="str">
        <f t="shared" si="180"/>
        <v/>
      </c>
    </row>
    <row r="1254" spans="1:18">
      <c r="A1254" s="483">
        <f t="shared" si="190"/>
        <v>1250</v>
      </c>
      <c r="B1254" s="77"/>
      <c r="C1254" s="77"/>
      <c r="D1254" s="858"/>
      <c r="E1254" s="858">
        <f t="shared" si="176"/>
        <v>0</v>
      </c>
      <c r="F1254" s="887">
        <f t="shared" si="177"/>
        <v>1900</v>
      </c>
      <c r="G1254" s="888"/>
      <c r="H1254" s="889"/>
      <c r="I1254" s="888"/>
      <c r="J1254" s="888"/>
      <c r="K1254" s="980"/>
      <c r="L1254" s="77"/>
      <c r="M1254" s="78">
        <f t="shared" si="191"/>
        <v>0</v>
      </c>
      <c r="N1254" s="748"/>
      <c r="P1254" s="29" t="str">
        <f t="shared" si="178"/>
        <v>1900</v>
      </c>
      <c r="Q1254" s="29" t="str">
        <f t="shared" si="179"/>
        <v/>
      </c>
      <c r="R1254" s="29" t="str">
        <f t="shared" si="180"/>
        <v/>
      </c>
    </row>
    <row r="1255" spans="1:18">
      <c r="A1255" s="483">
        <f t="shared" si="190"/>
        <v>1251</v>
      </c>
      <c r="B1255" s="77"/>
      <c r="C1255" s="77"/>
      <c r="D1255" s="858"/>
      <c r="E1255" s="858">
        <f t="shared" si="176"/>
        <v>0</v>
      </c>
      <c r="F1255" s="887">
        <f t="shared" si="177"/>
        <v>1900</v>
      </c>
      <c r="G1255" s="888"/>
      <c r="H1255" s="889"/>
      <c r="I1255" s="888"/>
      <c r="J1255" s="888"/>
      <c r="K1255" s="980"/>
      <c r="L1255" s="77"/>
      <c r="M1255" s="78">
        <f t="shared" si="191"/>
        <v>0</v>
      </c>
      <c r="N1255" s="748"/>
      <c r="P1255" s="29" t="str">
        <f t="shared" si="178"/>
        <v>1900</v>
      </c>
      <c r="Q1255" s="29" t="str">
        <f t="shared" si="179"/>
        <v/>
      </c>
      <c r="R1255" s="29" t="str">
        <f t="shared" si="180"/>
        <v/>
      </c>
    </row>
    <row r="1256" spans="1:18">
      <c r="A1256" s="483">
        <f t="shared" si="190"/>
        <v>1252</v>
      </c>
      <c r="B1256" s="77"/>
      <c r="C1256" s="77"/>
      <c r="D1256" s="858"/>
      <c r="E1256" s="858">
        <f t="shared" si="176"/>
        <v>0</v>
      </c>
      <c r="F1256" s="887">
        <f t="shared" si="177"/>
        <v>1900</v>
      </c>
      <c r="G1256" s="888"/>
      <c r="H1256" s="889"/>
      <c r="I1256" s="888"/>
      <c r="J1256" s="888"/>
      <c r="K1256" s="980"/>
      <c r="L1256" s="77"/>
      <c r="M1256" s="78">
        <f t="shared" si="191"/>
        <v>0</v>
      </c>
      <c r="N1256" s="748"/>
      <c r="P1256" s="29" t="str">
        <f t="shared" si="178"/>
        <v>1900</v>
      </c>
      <c r="Q1256" s="29" t="str">
        <f t="shared" si="179"/>
        <v/>
      </c>
      <c r="R1256" s="29" t="str">
        <f t="shared" si="180"/>
        <v/>
      </c>
    </row>
    <row r="1257" spans="1:18">
      <c r="A1257" s="483">
        <f t="shared" si="190"/>
        <v>1253</v>
      </c>
      <c r="B1257" s="77"/>
      <c r="C1257" s="77"/>
      <c r="D1257" s="858"/>
      <c r="E1257" s="858">
        <f t="shared" si="176"/>
        <v>0</v>
      </c>
      <c r="F1257" s="887">
        <f t="shared" si="177"/>
        <v>1900</v>
      </c>
      <c r="G1257" s="888"/>
      <c r="H1257" s="889"/>
      <c r="I1257" s="888"/>
      <c r="J1257" s="888"/>
      <c r="K1257" s="980"/>
      <c r="L1257" s="77"/>
      <c r="M1257" s="78">
        <f t="shared" si="191"/>
        <v>0</v>
      </c>
      <c r="N1257" s="748"/>
      <c r="P1257" s="29" t="str">
        <f t="shared" si="178"/>
        <v>1900</v>
      </c>
      <c r="Q1257" s="29" t="str">
        <f t="shared" si="179"/>
        <v/>
      </c>
      <c r="R1257" s="29" t="str">
        <f t="shared" si="180"/>
        <v/>
      </c>
    </row>
    <row r="1258" spans="1:18">
      <c r="A1258" s="483">
        <f t="shared" si="190"/>
        <v>1254</v>
      </c>
      <c r="B1258" s="77"/>
      <c r="C1258" s="77"/>
      <c r="D1258" s="858"/>
      <c r="E1258" s="858">
        <f t="shared" si="176"/>
        <v>0</v>
      </c>
      <c r="F1258" s="887">
        <f t="shared" si="177"/>
        <v>1900</v>
      </c>
      <c r="G1258" s="888"/>
      <c r="H1258" s="889"/>
      <c r="I1258" s="888"/>
      <c r="J1258" s="888"/>
      <c r="K1258" s="980"/>
      <c r="L1258" s="77"/>
      <c r="M1258" s="78">
        <f t="shared" si="191"/>
        <v>0</v>
      </c>
      <c r="N1258" s="748"/>
      <c r="P1258" s="29" t="str">
        <f t="shared" si="178"/>
        <v>1900</v>
      </c>
      <c r="Q1258" s="29" t="str">
        <f t="shared" si="179"/>
        <v/>
      </c>
      <c r="R1258" s="29" t="str">
        <f t="shared" si="180"/>
        <v/>
      </c>
    </row>
    <row r="1259" spans="1:18">
      <c r="A1259" s="483">
        <f t="shared" si="190"/>
        <v>1255</v>
      </c>
      <c r="B1259" s="77"/>
      <c r="C1259" s="77"/>
      <c r="D1259" s="858"/>
      <c r="E1259" s="858">
        <f t="shared" si="176"/>
        <v>0</v>
      </c>
      <c r="F1259" s="887">
        <f t="shared" si="177"/>
        <v>1900</v>
      </c>
      <c r="G1259" s="888"/>
      <c r="H1259" s="889"/>
      <c r="I1259" s="888"/>
      <c r="J1259" s="888"/>
      <c r="K1259" s="980"/>
      <c r="L1259" s="77"/>
      <c r="M1259" s="78">
        <f t="shared" si="191"/>
        <v>0</v>
      </c>
      <c r="N1259" s="748"/>
      <c r="P1259" s="29" t="str">
        <f t="shared" si="178"/>
        <v>1900</v>
      </c>
      <c r="Q1259" s="29" t="str">
        <f t="shared" si="179"/>
        <v/>
      </c>
      <c r="R1259" s="29" t="str">
        <f t="shared" si="180"/>
        <v/>
      </c>
    </row>
    <row r="1260" spans="1:18">
      <c r="A1260" s="483">
        <f t="shared" si="190"/>
        <v>1256</v>
      </c>
      <c r="B1260" s="77"/>
      <c r="C1260" s="77"/>
      <c r="D1260" s="858"/>
      <c r="E1260" s="858">
        <f t="shared" si="176"/>
        <v>0</v>
      </c>
      <c r="F1260" s="887">
        <f t="shared" si="177"/>
        <v>1900</v>
      </c>
      <c r="G1260" s="888"/>
      <c r="H1260" s="889"/>
      <c r="I1260" s="888"/>
      <c r="J1260" s="888"/>
      <c r="K1260" s="980"/>
      <c r="L1260" s="77"/>
      <c r="M1260" s="78">
        <f t="shared" si="191"/>
        <v>0</v>
      </c>
      <c r="N1260" s="748"/>
      <c r="P1260" s="29" t="str">
        <f t="shared" si="178"/>
        <v>1900</v>
      </c>
      <c r="Q1260" s="29" t="str">
        <f t="shared" si="179"/>
        <v/>
      </c>
      <c r="R1260" s="29" t="str">
        <f t="shared" si="180"/>
        <v/>
      </c>
    </row>
    <row r="1261" spans="1:18">
      <c r="A1261" s="483">
        <f t="shared" si="190"/>
        <v>1257</v>
      </c>
      <c r="B1261" s="77"/>
      <c r="C1261" s="77"/>
      <c r="D1261" s="858"/>
      <c r="E1261" s="858">
        <f t="shared" si="176"/>
        <v>0</v>
      </c>
      <c r="F1261" s="887">
        <f t="shared" si="177"/>
        <v>1900</v>
      </c>
      <c r="G1261" s="888"/>
      <c r="H1261" s="889"/>
      <c r="I1261" s="888"/>
      <c r="J1261" s="888"/>
      <c r="K1261" s="980"/>
      <c r="L1261" s="77"/>
      <c r="M1261" s="78">
        <f t="shared" si="191"/>
        <v>0</v>
      </c>
      <c r="N1261" s="748"/>
      <c r="P1261" s="29" t="str">
        <f t="shared" si="178"/>
        <v>1900</v>
      </c>
      <c r="Q1261" s="29" t="str">
        <f t="shared" si="179"/>
        <v/>
      </c>
      <c r="R1261" s="29" t="str">
        <f t="shared" si="180"/>
        <v/>
      </c>
    </row>
    <row r="1262" spans="1:18">
      <c r="A1262" s="483">
        <f t="shared" si="190"/>
        <v>1258</v>
      </c>
      <c r="B1262" s="77"/>
      <c r="C1262" s="77"/>
      <c r="D1262" s="858"/>
      <c r="E1262" s="858">
        <f t="shared" si="176"/>
        <v>0</v>
      </c>
      <c r="F1262" s="887">
        <f t="shared" si="177"/>
        <v>1900</v>
      </c>
      <c r="G1262" s="888"/>
      <c r="H1262" s="889"/>
      <c r="I1262" s="888"/>
      <c r="J1262" s="888"/>
      <c r="K1262" s="980"/>
      <c r="L1262" s="77"/>
      <c r="M1262" s="78">
        <f t="shared" si="191"/>
        <v>0</v>
      </c>
      <c r="N1262" s="748"/>
      <c r="P1262" s="29" t="str">
        <f t="shared" si="178"/>
        <v>1900</v>
      </c>
      <c r="Q1262" s="29" t="str">
        <f t="shared" si="179"/>
        <v/>
      </c>
      <c r="R1262" s="29" t="str">
        <f t="shared" si="180"/>
        <v/>
      </c>
    </row>
    <row r="1263" spans="1:18">
      <c r="A1263" s="483">
        <f t="shared" si="190"/>
        <v>1259</v>
      </c>
      <c r="B1263" s="77"/>
      <c r="C1263" s="77"/>
      <c r="D1263" s="858"/>
      <c r="E1263" s="858">
        <f t="shared" ref="E1263:E1326" si="192">DAY(C1263)</f>
        <v>0</v>
      </c>
      <c r="F1263" s="887">
        <f t="shared" ref="F1263:F1326" si="193">YEAR(C1263)</f>
        <v>1900</v>
      </c>
      <c r="G1263" s="888"/>
      <c r="H1263" s="889"/>
      <c r="I1263" s="888"/>
      <c r="J1263" s="888"/>
      <c r="K1263" s="980"/>
      <c r="L1263" s="77"/>
      <c r="M1263" s="78">
        <f t="shared" si="191"/>
        <v>0</v>
      </c>
      <c r="N1263" s="748"/>
      <c r="P1263" s="29" t="str">
        <f t="shared" ref="P1263:P1326" si="194">CONCATENATE(F1263,H1263)</f>
        <v>1900</v>
      </c>
      <c r="Q1263" s="29" t="str">
        <f t="shared" ref="Q1263:Q1326" si="195">CONCATENATE(H1263,K1263)</f>
        <v/>
      </c>
      <c r="R1263" s="29" t="str">
        <f t="shared" ref="R1263:R1326" si="196">CONCATENATE(D1263,H1263)</f>
        <v/>
      </c>
    </row>
    <row r="1264" spans="1:18">
      <c r="A1264" s="483">
        <f t="shared" si="190"/>
        <v>1260</v>
      </c>
      <c r="B1264" s="77"/>
      <c r="C1264" s="77"/>
      <c r="D1264" s="858"/>
      <c r="E1264" s="858">
        <f t="shared" si="192"/>
        <v>0</v>
      </c>
      <c r="F1264" s="887">
        <f t="shared" si="193"/>
        <v>1900</v>
      </c>
      <c r="G1264" s="888"/>
      <c r="H1264" s="889"/>
      <c r="I1264" s="888"/>
      <c r="J1264" s="888"/>
      <c r="K1264" s="980"/>
      <c r="L1264" s="77"/>
      <c r="M1264" s="78">
        <f t="shared" si="191"/>
        <v>0</v>
      </c>
      <c r="N1264" s="748"/>
      <c r="P1264" s="29" t="str">
        <f t="shared" si="194"/>
        <v>1900</v>
      </c>
      <c r="Q1264" s="29" t="str">
        <f t="shared" si="195"/>
        <v/>
      </c>
      <c r="R1264" s="29" t="str">
        <f t="shared" si="196"/>
        <v/>
      </c>
    </row>
    <row r="1265" spans="1:18">
      <c r="A1265" s="483">
        <f t="shared" si="190"/>
        <v>1261</v>
      </c>
      <c r="B1265" s="77"/>
      <c r="C1265" s="77"/>
      <c r="D1265" s="858"/>
      <c r="E1265" s="858">
        <f t="shared" si="192"/>
        <v>0</v>
      </c>
      <c r="F1265" s="887">
        <f t="shared" si="193"/>
        <v>1900</v>
      </c>
      <c r="G1265" s="888"/>
      <c r="H1265" s="889"/>
      <c r="I1265" s="888"/>
      <c r="J1265" s="888"/>
      <c r="K1265" s="980"/>
      <c r="L1265" s="77"/>
      <c r="M1265" s="78">
        <f t="shared" si="191"/>
        <v>0</v>
      </c>
      <c r="N1265" s="748"/>
      <c r="P1265" s="29" t="str">
        <f t="shared" si="194"/>
        <v>1900</v>
      </c>
      <c r="Q1265" s="29" t="str">
        <f t="shared" si="195"/>
        <v/>
      </c>
      <c r="R1265" s="29" t="str">
        <f t="shared" si="196"/>
        <v/>
      </c>
    </row>
    <row r="1266" spans="1:18">
      <c r="A1266" s="483">
        <f t="shared" si="190"/>
        <v>1262</v>
      </c>
      <c r="B1266" s="77"/>
      <c r="C1266" s="77"/>
      <c r="D1266" s="858"/>
      <c r="E1266" s="858">
        <f t="shared" si="192"/>
        <v>0</v>
      </c>
      <c r="F1266" s="887">
        <f t="shared" si="193"/>
        <v>1900</v>
      </c>
      <c r="G1266" s="888"/>
      <c r="H1266" s="889"/>
      <c r="I1266" s="888"/>
      <c r="J1266" s="888"/>
      <c r="K1266" s="980"/>
      <c r="L1266" s="77"/>
      <c r="M1266" s="78">
        <f t="shared" si="191"/>
        <v>0</v>
      </c>
      <c r="N1266" s="748"/>
      <c r="P1266" s="29" t="str">
        <f t="shared" si="194"/>
        <v>1900</v>
      </c>
      <c r="Q1266" s="29" t="str">
        <f t="shared" si="195"/>
        <v/>
      </c>
      <c r="R1266" s="29" t="str">
        <f t="shared" si="196"/>
        <v/>
      </c>
    </row>
    <row r="1267" spans="1:18">
      <c r="A1267" s="483">
        <f t="shared" si="190"/>
        <v>1263</v>
      </c>
      <c r="B1267" s="77"/>
      <c r="C1267" s="77"/>
      <c r="D1267" s="858"/>
      <c r="E1267" s="858">
        <f t="shared" si="192"/>
        <v>0</v>
      </c>
      <c r="F1267" s="887">
        <f t="shared" si="193"/>
        <v>1900</v>
      </c>
      <c r="G1267" s="888"/>
      <c r="H1267" s="889"/>
      <c r="I1267" s="888"/>
      <c r="J1267" s="888"/>
      <c r="K1267" s="980"/>
      <c r="L1267" s="77"/>
      <c r="M1267" s="78">
        <f t="shared" si="191"/>
        <v>0</v>
      </c>
      <c r="N1267" s="748"/>
      <c r="P1267" s="29" t="str">
        <f t="shared" si="194"/>
        <v>1900</v>
      </c>
      <c r="Q1267" s="29" t="str">
        <f t="shared" si="195"/>
        <v/>
      </c>
      <c r="R1267" s="29" t="str">
        <f t="shared" si="196"/>
        <v/>
      </c>
    </row>
    <row r="1268" spans="1:18">
      <c r="A1268" s="483">
        <f t="shared" si="190"/>
        <v>1264</v>
      </c>
      <c r="B1268" s="77"/>
      <c r="C1268" s="77"/>
      <c r="D1268" s="858"/>
      <c r="E1268" s="858">
        <f t="shared" si="192"/>
        <v>0</v>
      </c>
      <c r="F1268" s="887">
        <f t="shared" si="193"/>
        <v>1900</v>
      </c>
      <c r="G1268" s="888"/>
      <c r="H1268" s="889"/>
      <c r="I1268" s="888"/>
      <c r="J1268" s="888"/>
      <c r="K1268" s="980"/>
      <c r="L1268" s="77"/>
      <c r="M1268" s="78">
        <f t="shared" si="191"/>
        <v>0</v>
      </c>
      <c r="N1268" s="748"/>
      <c r="P1268" s="29" t="str">
        <f t="shared" si="194"/>
        <v>1900</v>
      </c>
      <c r="Q1268" s="29" t="str">
        <f t="shared" si="195"/>
        <v/>
      </c>
      <c r="R1268" s="29" t="str">
        <f t="shared" si="196"/>
        <v/>
      </c>
    </row>
    <row r="1269" spans="1:18">
      <c r="A1269" s="483">
        <f t="shared" si="190"/>
        <v>1265</v>
      </c>
      <c r="B1269" s="77"/>
      <c r="C1269" s="77"/>
      <c r="D1269" s="858"/>
      <c r="E1269" s="858">
        <f t="shared" si="192"/>
        <v>0</v>
      </c>
      <c r="F1269" s="887">
        <f t="shared" si="193"/>
        <v>1900</v>
      </c>
      <c r="G1269" s="888"/>
      <c r="H1269" s="889"/>
      <c r="I1269" s="888"/>
      <c r="J1269" s="888"/>
      <c r="K1269" s="980"/>
      <c r="L1269" s="77"/>
      <c r="M1269" s="78">
        <f t="shared" si="191"/>
        <v>0</v>
      </c>
      <c r="N1269" s="748"/>
      <c r="P1269" s="29" t="str">
        <f t="shared" si="194"/>
        <v>1900</v>
      </c>
      <c r="Q1269" s="29" t="str">
        <f t="shared" si="195"/>
        <v/>
      </c>
      <c r="R1269" s="29" t="str">
        <f t="shared" si="196"/>
        <v/>
      </c>
    </row>
    <row r="1270" spans="1:18">
      <c r="A1270" s="483">
        <f t="shared" si="190"/>
        <v>1266</v>
      </c>
      <c r="B1270" s="77"/>
      <c r="C1270" s="77"/>
      <c r="D1270" s="858"/>
      <c r="E1270" s="858">
        <f t="shared" si="192"/>
        <v>0</v>
      </c>
      <c r="F1270" s="887">
        <f t="shared" si="193"/>
        <v>1900</v>
      </c>
      <c r="G1270" s="888"/>
      <c r="H1270" s="889"/>
      <c r="I1270" s="888"/>
      <c r="J1270" s="888"/>
      <c r="K1270" s="980"/>
      <c r="L1270" s="77"/>
      <c r="M1270" s="78">
        <f t="shared" si="191"/>
        <v>0</v>
      </c>
      <c r="N1270" s="748"/>
      <c r="P1270" s="29" t="str">
        <f t="shared" si="194"/>
        <v>1900</v>
      </c>
      <c r="Q1270" s="29" t="str">
        <f t="shared" si="195"/>
        <v/>
      </c>
      <c r="R1270" s="29" t="str">
        <f t="shared" si="196"/>
        <v/>
      </c>
    </row>
    <row r="1271" spans="1:18">
      <c r="A1271" s="483">
        <f t="shared" si="190"/>
        <v>1267</v>
      </c>
      <c r="B1271" s="77"/>
      <c r="C1271" s="77"/>
      <c r="D1271" s="858"/>
      <c r="E1271" s="858">
        <f t="shared" si="192"/>
        <v>0</v>
      </c>
      <c r="F1271" s="887">
        <f t="shared" si="193"/>
        <v>1900</v>
      </c>
      <c r="G1271" s="888"/>
      <c r="H1271" s="889"/>
      <c r="I1271" s="888"/>
      <c r="J1271" s="888"/>
      <c r="K1271" s="980"/>
      <c r="L1271" s="77"/>
      <c r="M1271" s="78">
        <f t="shared" si="191"/>
        <v>0</v>
      </c>
      <c r="N1271" s="748"/>
      <c r="P1271" s="29" t="str">
        <f t="shared" si="194"/>
        <v>1900</v>
      </c>
      <c r="Q1271" s="29" t="str">
        <f t="shared" si="195"/>
        <v/>
      </c>
      <c r="R1271" s="29" t="str">
        <f t="shared" si="196"/>
        <v/>
      </c>
    </row>
    <row r="1272" spans="1:18">
      <c r="A1272" s="483">
        <f t="shared" si="190"/>
        <v>1268</v>
      </c>
      <c r="B1272" s="77"/>
      <c r="C1272" s="77"/>
      <c r="D1272" s="858"/>
      <c r="E1272" s="858">
        <f t="shared" si="192"/>
        <v>0</v>
      </c>
      <c r="F1272" s="887">
        <f t="shared" si="193"/>
        <v>1900</v>
      </c>
      <c r="G1272" s="888"/>
      <c r="H1272" s="889"/>
      <c r="I1272" s="888"/>
      <c r="J1272" s="888"/>
      <c r="K1272" s="980"/>
      <c r="L1272" s="77"/>
      <c r="M1272" s="78">
        <f t="shared" si="191"/>
        <v>0</v>
      </c>
      <c r="N1272" s="748"/>
      <c r="P1272" s="29" t="str">
        <f t="shared" si="194"/>
        <v>1900</v>
      </c>
      <c r="Q1272" s="29" t="str">
        <f t="shared" si="195"/>
        <v/>
      </c>
      <c r="R1272" s="29" t="str">
        <f t="shared" si="196"/>
        <v/>
      </c>
    </row>
    <row r="1273" spans="1:18">
      <c r="A1273" s="483">
        <f t="shared" si="190"/>
        <v>1269</v>
      </c>
      <c r="B1273" s="77"/>
      <c r="C1273" s="77"/>
      <c r="D1273" s="858"/>
      <c r="E1273" s="858">
        <f t="shared" si="192"/>
        <v>0</v>
      </c>
      <c r="F1273" s="887">
        <f t="shared" si="193"/>
        <v>1900</v>
      </c>
      <c r="G1273" s="888"/>
      <c r="H1273" s="889"/>
      <c r="I1273" s="888"/>
      <c r="J1273" s="888"/>
      <c r="K1273" s="980"/>
      <c r="L1273" s="77"/>
      <c r="M1273" s="78">
        <f t="shared" si="191"/>
        <v>0</v>
      </c>
      <c r="N1273" s="748"/>
      <c r="P1273" s="29" t="str">
        <f t="shared" si="194"/>
        <v>1900</v>
      </c>
      <c r="Q1273" s="29" t="str">
        <f t="shared" si="195"/>
        <v/>
      </c>
      <c r="R1273" s="29" t="str">
        <f t="shared" si="196"/>
        <v/>
      </c>
    </row>
    <row r="1274" spans="1:18">
      <c r="A1274" s="483">
        <f t="shared" si="190"/>
        <v>1270</v>
      </c>
      <c r="B1274" s="77"/>
      <c r="C1274" s="77"/>
      <c r="D1274" s="858"/>
      <c r="E1274" s="858">
        <f t="shared" si="192"/>
        <v>0</v>
      </c>
      <c r="F1274" s="887">
        <f t="shared" si="193"/>
        <v>1900</v>
      </c>
      <c r="G1274" s="888"/>
      <c r="H1274" s="889"/>
      <c r="I1274" s="888"/>
      <c r="J1274" s="888"/>
      <c r="K1274" s="980"/>
      <c r="L1274" s="77"/>
      <c r="M1274" s="78">
        <f t="shared" si="191"/>
        <v>0</v>
      </c>
      <c r="N1274" s="748"/>
      <c r="P1274" s="29" t="str">
        <f t="shared" si="194"/>
        <v>1900</v>
      </c>
      <c r="Q1274" s="29" t="str">
        <f t="shared" si="195"/>
        <v/>
      </c>
      <c r="R1274" s="29" t="str">
        <f t="shared" si="196"/>
        <v/>
      </c>
    </row>
    <row r="1275" spans="1:18">
      <c r="A1275" s="483">
        <f t="shared" si="190"/>
        <v>1271</v>
      </c>
      <c r="B1275" s="77"/>
      <c r="C1275" s="77"/>
      <c r="D1275" s="858"/>
      <c r="E1275" s="858">
        <f t="shared" si="192"/>
        <v>0</v>
      </c>
      <c r="F1275" s="887">
        <f t="shared" si="193"/>
        <v>1900</v>
      </c>
      <c r="G1275" s="888"/>
      <c r="H1275" s="889"/>
      <c r="I1275" s="888"/>
      <c r="J1275" s="888"/>
      <c r="K1275" s="980"/>
      <c r="L1275" s="77"/>
      <c r="M1275" s="78">
        <f t="shared" si="191"/>
        <v>0</v>
      </c>
      <c r="N1275" s="748"/>
      <c r="P1275" s="29" t="str">
        <f t="shared" si="194"/>
        <v>1900</v>
      </c>
      <c r="Q1275" s="29" t="str">
        <f t="shared" si="195"/>
        <v/>
      </c>
      <c r="R1275" s="29" t="str">
        <f t="shared" si="196"/>
        <v/>
      </c>
    </row>
    <row r="1276" spans="1:18">
      <c r="A1276" s="483">
        <f t="shared" si="190"/>
        <v>1272</v>
      </c>
      <c r="B1276" s="77"/>
      <c r="C1276" s="77"/>
      <c r="D1276" s="858"/>
      <c r="E1276" s="858">
        <f t="shared" si="192"/>
        <v>0</v>
      </c>
      <c r="F1276" s="887">
        <f t="shared" si="193"/>
        <v>1900</v>
      </c>
      <c r="G1276" s="888"/>
      <c r="H1276" s="889"/>
      <c r="I1276" s="888"/>
      <c r="J1276" s="888"/>
      <c r="K1276" s="980"/>
      <c r="L1276" s="77"/>
      <c r="M1276" s="78">
        <f t="shared" si="191"/>
        <v>0</v>
      </c>
      <c r="N1276" s="748"/>
      <c r="P1276" s="29" t="str">
        <f t="shared" si="194"/>
        <v>1900</v>
      </c>
      <c r="Q1276" s="29" t="str">
        <f t="shared" si="195"/>
        <v/>
      </c>
      <c r="R1276" s="29" t="str">
        <f t="shared" si="196"/>
        <v/>
      </c>
    </row>
    <row r="1277" spans="1:18">
      <c r="A1277" s="483">
        <f t="shared" si="190"/>
        <v>1273</v>
      </c>
      <c r="B1277" s="77"/>
      <c r="C1277" s="77"/>
      <c r="D1277" s="858"/>
      <c r="E1277" s="858">
        <f t="shared" si="192"/>
        <v>0</v>
      </c>
      <c r="F1277" s="887">
        <f t="shared" si="193"/>
        <v>1900</v>
      </c>
      <c r="G1277" s="888"/>
      <c r="H1277" s="889"/>
      <c r="I1277" s="888"/>
      <c r="J1277" s="888"/>
      <c r="K1277" s="980"/>
      <c r="L1277" s="77"/>
      <c r="M1277" s="78">
        <f t="shared" si="191"/>
        <v>0</v>
      </c>
      <c r="N1277" s="748"/>
      <c r="P1277" s="29" t="str">
        <f t="shared" si="194"/>
        <v>1900</v>
      </c>
      <c r="Q1277" s="29" t="str">
        <f t="shared" si="195"/>
        <v/>
      </c>
      <c r="R1277" s="29" t="str">
        <f t="shared" si="196"/>
        <v/>
      </c>
    </row>
    <row r="1278" spans="1:18">
      <c r="A1278" s="483">
        <f t="shared" si="190"/>
        <v>1274</v>
      </c>
      <c r="B1278" s="77"/>
      <c r="C1278" s="77"/>
      <c r="D1278" s="858"/>
      <c r="E1278" s="858">
        <f t="shared" si="192"/>
        <v>0</v>
      </c>
      <c r="F1278" s="887">
        <f t="shared" si="193"/>
        <v>1900</v>
      </c>
      <c r="G1278" s="888"/>
      <c r="H1278" s="889"/>
      <c r="I1278" s="888"/>
      <c r="J1278" s="888"/>
      <c r="K1278" s="980"/>
      <c r="L1278" s="77"/>
      <c r="M1278" s="78">
        <f t="shared" si="191"/>
        <v>0</v>
      </c>
      <c r="N1278" s="748"/>
      <c r="P1278" s="29" t="str">
        <f t="shared" si="194"/>
        <v>1900</v>
      </c>
      <c r="Q1278" s="29" t="str">
        <f t="shared" si="195"/>
        <v/>
      </c>
      <c r="R1278" s="29" t="str">
        <f t="shared" si="196"/>
        <v/>
      </c>
    </row>
    <row r="1279" spans="1:18">
      <c r="A1279" s="483">
        <f t="shared" si="190"/>
        <v>1275</v>
      </c>
      <c r="B1279" s="77"/>
      <c r="C1279" s="77"/>
      <c r="D1279" s="858"/>
      <c r="E1279" s="858">
        <f t="shared" si="192"/>
        <v>0</v>
      </c>
      <c r="F1279" s="887">
        <f t="shared" si="193"/>
        <v>1900</v>
      </c>
      <c r="G1279" s="888"/>
      <c r="H1279" s="889"/>
      <c r="I1279" s="888"/>
      <c r="J1279" s="888"/>
      <c r="K1279" s="980"/>
      <c r="L1279" s="77"/>
      <c r="M1279" s="78">
        <f t="shared" si="191"/>
        <v>0</v>
      </c>
      <c r="N1279" s="748"/>
      <c r="P1279" s="29" t="str">
        <f t="shared" si="194"/>
        <v>1900</v>
      </c>
      <c r="Q1279" s="29" t="str">
        <f t="shared" si="195"/>
        <v/>
      </c>
      <c r="R1279" s="29" t="str">
        <f t="shared" si="196"/>
        <v/>
      </c>
    </row>
    <row r="1280" spans="1:18">
      <c r="A1280" s="483">
        <f t="shared" si="190"/>
        <v>1276</v>
      </c>
      <c r="B1280" s="77"/>
      <c r="C1280" s="77"/>
      <c r="D1280" s="858"/>
      <c r="E1280" s="858">
        <f t="shared" si="192"/>
        <v>0</v>
      </c>
      <c r="F1280" s="887">
        <f t="shared" si="193"/>
        <v>1900</v>
      </c>
      <c r="G1280" s="888"/>
      <c r="H1280" s="889"/>
      <c r="I1280" s="888"/>
      <c r="J1280" s="888"/>
      <c r="K1280" s="980"/>
      <c r="L1280" s="77"/>
      <c r="M1280" s="78">
        <f t="shared" si="191"/>
        <v>0</v>
      </c>
      <c r="N1280" s="748"/>
      <c r="P1280" s="29" t="str">
        <f t="shared" si="194"/>
        <v>1900</v>
      </c>
      <c r="Q1280" s="29" t="str">
        <f t="shared" si="195"/>
        <v/>
      </c>
      <c r="R1280" s="29" t="str">
        <f t="shared" si="196"/>
        <v/>
      </c>
    </row>
    <row r="1281" spans="1:18">
      <c r="A1281" s="483">
        <f t="shared" si="190"/>
        <v>1277</v>
      </c>
      <c r="B1281" s="77"/>
      <c r="C1281" s="77"/>
      <c r="D1281" s="858"/>
      <c r="E1281" s="858">
        <f t="shared" si="192"/>
        <v>0</v>
      </c>
      <c r="F1281" s="887">
        <f t="shared" si="193"/>
        <v>1900</v>
      </c>
      <c r="G1281" s="888"/>
      <c r="H1281" s="889"/>
      <c r="I1281" s="888"/>
      <c r="J1281" s="888"/>
      <c r="K1281" s="980"/>
      <c r="L1281" s="77"/>
      <c r="M1281" s="78">
        <f t="shared" si="191"/>
        <v>0</v>
      </c>
      <c r="N1281" s="748"/>
      <c r="P1281" s="29" t="str">
        <f t="shared" si="194"/>
        <v>1900</v>
      </c>
      <c r="Q1281" s="29" t="str">
        <f t="shared" si="195"/>
        <v/>
      </c>
      <c r="R1281" s="29" t="str">
        <f t="shared" si="196"/>
        <v/>
      </c>
    </row>
    <row r="1282" spans="1:18">
      <c r="A1282" s="483">
        <f t="shared" si="190"/>
        <v>1278</v>
      </c>
      <c r="B1282" s="77"/>
      <c r="C1282" s="77"/>
      <c r="D1282" s="858"/>
      <c r="E1282" s="858">
        <f t="shared" si="192"/>
        <v>0</v>
      </c>
      <c r="F1282" s="887">
        <f t="shared" si="193"/>
        <v>1900</v>
      </c>
      <c r="G1282" s="888"/>
      <c r="H1282" s="889"/>
      <c r="I1282" s="888"/>
      <c r="J1282" s="888"/>
      <c r="K1282" s="980"/>
      <c r="L1282" s="77"/>
      <c r="M1282" s="78">
        <f t="shared" si="191"/>
        <v>0</v>
      </c>
      <c r="N1282" s="748"/>
      <c r="P1282" s="29" t="str">
        <f t="shared" si="194"/>
        <v>1900</v>
      </c>
      <c r="Q1282" s="29" t="str">
        <f t="shared" si="195"/>
        <v/>
      </c>
      <c r="R1282" s="29" t="str">
        <f t="shared" si="196"/>
        <v/>
      </c>
    </row>
    <row r="1283" spans="1:18">
      <c r="A1283" s="483">
        <f t="shared" si="190"/>
        <v>1279</v>
      </c>
      <c r="B1283" s="77"/>
      <c r="C1283" s="77"/>
      <c r="D1283" s="858"/>
      <c r="E1283" s="858">
        <f t="shared" si="192"/>
        <v>0</v>
      </c>
      <c r="F1283" s="887">
        <f t="shared" si="193"/>
        <v>1900</v>
      </c>
      <c r="G1283" s="888"/>
      <c r="H1283" s="889"/>
      <c r="I1283" s="888"/>
      <c r="J1283" s="888"/>
      <c r="K1283" s="980"/>
      <c r="L1283" s="77"/>
      <c r="M1283" s="78">
        <f t="shared" si="191"/>
        <v>0</v>
      </c>
      <c r="N1283" s="748"/>
      <c r="P1283" s="29" t="str">
        <f t="shared" si="194"/>
        <v>1900</v>
      </c>
      <c r="Q1283" s="29" t="str">
        <f t="shared" si="195"/>
        <v/>
      </c>
      <c r="R1283" s="29" t="str">
        <f t="shared" si="196"/>
        <v/>
      </c>
    </row>
    <row r="1284" spans="1:18">
      <c r="A1284" s="483">
        <f t="shared" si="190"/>
        <v>1280</v>
      </c>
      <c r="B1284" s="77"/>
      <c r="C1284" s="77"/>
      <c r="D1284" s="858"/>
      <c r="E1284" s="858">
        <f t="shared" si="192"/>
        <v>0</v>
      </c>
      <c r="F1284" s="887">
        <f t="shared" si="193"/>
        <v>1900</v>
      </c>
      <c r="G1284" s="888"/>
      <c r="H1284" s="889"/>
      <c r="I1284" s="888"/>
      <c r="J1284" s="888"/>
      <c r="K1284" s="980"/>
      <c r="L1284" s="77"/>
      <c r="M1284" s="78">
        <f t="shared" si="191"/>
        <v>0</v>
      </c>
      <c r="N1284" s="748"/>
      <c r="P1284" s="29" t="str">
        <f t="shared" si="194"/>
        <v>1900</v>
      </c>
      <c r="Q1284" s="29" t="str">
        <f t="shared" si="195"/>
        <v/>
      </c>
      <c r="R1284" s="29" t="str">
        <f t="shared" si="196"/>
        <v/>
      </c>
    </row>
    <row r="1285" spans="1:18">
      <c r="A1285" s="483">
        <f t="shared" si="190"/>
        <v>1281</v>
      </c>
      <c r="B1285" s="77"/>
      <c r="C1285" s="77"/>
      <c r="D1285" s="858"/>
      <c r="E1285" s="858">
        <f t="shared" si="192"/>
        <v>0</v>
      </c>
      <c r="F1285" s="887">
        <f t="shared" si="193"/>
        <v>1900</v>
      </c>
      <c r="G1285" s="888"/>
      <c r="H1285" s="889"/>
      <c r="I1285" s="888"/>
      <c r="J1285" s="888"/>
      <c r="K1285" s="980"/>
      <c r="L1285" s="77"/>
      <c r="M1285" s="78">
        <f t="shared" si="191"/>
        <v>0</v>
      </c>
      <c r="N1285" s="748"/>
      <c r="P1285" s="29" t="str">
        <f t="shared" si="194"/>
        <v>1900</v>
      </c>
      <c r="Q1285" s="29" t="str">
        <f t="shared" si="195"/>
        <v/>
      </c>
      <c r="R1285" s="29" t="str">
        <f t="shared" si="196"/>
        <v/>
      </c>
    </row>
    <row r="1286" spans="1:18">
      <c r="A1286" s="483">
        <f t="shared" si="190"/>
        <v>1282</v>
      </c>
      <c r="B1286" s="77"/>
      <c r="C1286" s="77"/>
      <c r="D1286" s="858"/>
      <c r="E1286" s="858">
        <f t="shared" si="192"/>
        <v>0</v>
      </c>
      <c r="F1286" s="887">
        <f t="shared" si="193"/>
        <v>1900</v>
      </c>
      <c r="G1286" s="888"/>
      <c r="H1286" s="889"/>
      <c r="I1286" s="888"/>
      <c r="J1286" s="888"/>
      <c r="K1286" s="980"/>
      <c r="L1286" s="77"/>
      <c r="M1286" s="78">
        <f t="shared" si="191"/>
        <v>0</v>
      </c>
      <c r="N1286" s="748"/>
      <c r="P1286" s="29" t="str">
        <f t="shared" si="194"/>
        <v>1900</v>
      </c>
      <c r="Q1286" s="29" t="str">
        <f t="shared" si="195"/>
        <v/>
      </c>
      <c r="R1286" s="29" t="str">
        <f t="shared" si="196"/>
        <v/>
      </c>
    </row>
    <row r="1287" spans="1:18">
      <c r="A1287" s="483">
        <f t="shared" si="190"/>
        <v>1283</v>
      </c>
      <c r="B1287" s="77"/>
      <c r="C1287" s="77"/>
      <c r="D1287" s="858"/>
      <c r="E1287" s="858">
        <f t="shared" si="192"/>
        <v>0</v>
      </c>
      <c r="F1287" s="887">
        <f t="shared" si="193"/>
        <v>1900</v>
      </c>
      <c r="G1287" s="888"/>
      <c r="H1287" s="889"/>
      <c r="I1287" s="888"/>
      <c r="J1287" s="888"/>
      <c r="K1287" s="980"/>
      <c r="L1287" s="77"/>
      <c r="M1287" s="78">
        <f t="shared" si="191"/>
        <v>0</v>
      </c>
      <c r="N1287" s="748"/>
      <c r="P1287" s="29" t="str">
        <f t="shared" si="194"/>
        <v>1900</v>
      </c>
      <c r="Q1287" s="29" t="str">
        <f t="shared" si="195"/>
        <v/>
      </c>
      <c r="R1287" s="29" t="str">
        <f t="shared" si="196"/>
        <v/>
      </c>
    </row>
    <row r="1288" spans="1:18">
      <c r="A1288" s="483">
        <f t="shared" ref="A1288:A1351" si="197">+A1287+1</f>
        <v>1284</v>
      </c>
      <c r="B1288" s="77"/>
      <c r="C1288" s="77"/>
      <c r="D1288" s="858"/>
      <c r="E1288" s="858">
        <f t="shared" si="192"/>
        <v>0</v>
      </c>
      <c r="F1288" s="887">
        <f t="shared" si="193"/>
        <v>1900</v>
      </c>
      <c r="G1288" s="888"/>
      <c r="H1288" s="889"/>
      <c r="I1288" s="888"/>
      <c r="J1288" s="888"/>
      <c r="K1288" s="980"/>
      <c r="L1288" s="77"/>
      <c r="M1288" s="78">
        <f t="shared" si="191"/>
        <v>0</v>
      </c>
      <c r="N1288" s="748"/>
      <c r="P1288" s="29" t="str">
        <f t="shared" si="194"/>
        <v>1900</v>
      </c>
      <c r="Q1288" s="29" t="str">
        <f t="shared" si="195"/>
        <v/>
      </c>
      <c r="R1288" s="29" t="str">
        <f t="shared" si="196"/>
        <v/>
      </c>
    </row>
    <row r="1289" spans="1:18">
      <c r="A1289" s="483">
        <f t="shared" si="197"/>
        <v>1285</v>
      </c>
      <c r="B1289" s="77"/>
      <c r="C1289" s="77"/>
      <c r="D1289" s="858"/>
      <c r="E1289" s="858">
        <f t="shared" si="192"/>
        <v>0</v>
      </c>
      <c r="F1289" s="887">
        <f t="shared" si="193"/>
        <v>1900</v>
      </c>
      <c r="G1289" s="888"/>
      <c r="H1289" s="889"/>
      <c r="I1289" s="888"/>
      <c r="J1289" s="888"/>
      <c r="K1289" s="980"/>
      <c r="L1289" s="77"/>
      <c r="M1289" s="78">
        <f t="shared" si="191"/>
        <v>0</v>
      </c>
      <c r="N1289" s="748"/>
      <c r="P1289" s="29" t="str">
        <f t="shared" si="194"/>
        <v>1900</v>
      </c>
      <c r="Q1289" s="29" t="str">
        <f t="shared" si="195"/>
        <v/>
      </c>
      <c r="R1289" s="29" t="str">
        <f t="shared" si="196"/>
        <v/>
      </c>
    </row>
    <row r="1290" spans="1:18">
      <c r="A1290" s="483">
        <f t="shared" si="197"/>
        <v>1286</v>
      </c>
      <c r="B1290" s="77"/>
      <c r="C1290" s="77"/>
      <c r="D1290" s="858"/>
      <c r="E1290" s="858">
        <f t="shared" si="192"/>
        <v>0</v>
      </c>
      <c r="F1290" s="887">
        <f t="shared" si="193"/>
        <v>1900</v>
      </c>
      <c r="G1290" s="888"/>
      <c r="H1290" s="889"/>
      <c r="I1290" s="888"/>
      <c r="J1290" s="888"/>
      <c r="K1290" s="980"/>
      <c r="L1290" s="77"/>
      <c r="M1290" s="78">
        <f t="shared" si="191"/>
        <v>0</v>
      </c>
      <c r="N1290" s="748"/>
      <c r="P1290" s="29" t="str">
        <f t="shared" si="194"/>
        <v>1900</v>
      </c>
      <c r="Q1290" s="29" t="str">
        <f t="shared" si="195"/>
        <v/>
      </c>
      <c r="R1290" s="29" t="str">
        <f t="shared" si="196"/>
        <v/>
      </c>
    </row>
    <row r="1291" spans="1:18">
      <c r="A1291" s="483">
        <f t="shared" si="197"/>
        <v>1287</v>
      </c>
      <c r="B1291" s="77"/>
      <c r="C1291" s="77"/>
      <c r="D1291" s="858"/>
      <c r="E1291" s="858">
        <f t="shared" si="192"/>
        <v>0</v>
      </c>
      <c r="F1291" s="887">
        <f t="shared" si="193"/>
        <v>1900</v>
      </c>
      <c r="G1291" s="888"/>
      <c r="H1291" s="889"/>
      <c r="I1291" s="888"/>
      <c r="J1291" s="888"/>
      <c r="K1291" s="980"/>
      <c r="L1291" s="77"/>
      <c r="M1291" s="78">
        <f t="shared" si="191"/>
        <v>0</v>
      </c>
      <c r="N1291" s="748"/>
      <c r="P1291" s="29" t="str">
        <f t="shared" si="194"/>
        <v>1900</v>
      </c>
      <c r="Q1291" s="29" t="str">
        <f t="shared" si="195"/>
        <v/>
      </c>
      <c r="R1291" s="29" t="str">
        <f t="shared" si="196"/>
        <v/>
      </c>
    </row>
    <row r="1292" spans="1:18">
      <c r="A1292" s="483">
        <f t="shared" si="197"/>
        <v>1288</v>
      </c>
      <c r="B1292" s="77"/>
      <c r="C1292" s="77"/>
      <c r="D1292" s="858"/>
      <c r="E1292" s="858">
        <f t="shared" si="192"/>
        <v>0</v>
      </c>
      <c r="F1292" s="887">
        <f t="shared" si="193"/>
        <v>1900</v>
      </c>
      <c r="G1292" s="888"/>
      <c r="H1292" s="889"/>
      <c r="I1292" s="888"/>
      <c r="J1292" s="888"/>
      <c r="K1292" s="980"/>
      <c r="L1292" s="77"/>
      <c r="M1292" s="78">
        <f t="shared" ref="M1292:M1355" si="198">+L1292</f>
        <v>0</v>
      </c>
      <c r="N1292" s="748"/>
      <c r="P1292" s="29" t="str">
        <f t="shared" si="194"/>
        <v>1900</v>
      </c>
      <c r="Q1292" s="29" t="str">
        <f t="shared" si="195"/>
        <v/>
      </c>
      <c r="R1292" s="29" t="str">
        <f t="shared" si="196"/>
        <v/>
      </c>
    </row>
    <row r="1293" spans="1:18">
      <c r="A1293" s="483">
        <f t="shared" si="197"/>
        <v>1289</v>
      </c>
      <c r="B1293" s="77"/>
      <c r="C1293" s="77"/>
      <c r="D1293" s="858"/>
      <c r="E1293" s="858">
        <f t="shared" si="192"/>
        <v>0</v>
      </c>
      <c r="F1293" s="887">
        <f t="shared" si="193"/>
        <v>1900</v>
      </c>
      <c r="G1293" s="888"/>
      <c r="H1293" s="889"/>
      <c r="I1293" s="888"/>
      <c r="J1293" s="888"/>
      <c r="K1293" s="980"/>
      <c r="L1293" s="77"/>
      <c r="M1293" s="78">
        <f t="shared" si="198"/>
        <v>0</v>
      </c>
      <c r="N1293" s="748"/>
      <c r="P1293" s="29" t="str">
        <f t="shared" si="194"/>
        <v>1900</v>
      </c>
      <c r="Q1293" s="29" t="str">
        <f t="shared" si="195"/>
        <v/>
      </c>
      <c r="R1293" s="29" t="str">
        <f t="shared" si="196"/>
        <v/>
      </c>
    </row>
    <row r="1294" spans="1:18">
      <c r="A1294" s="483">
        <f t="shared" si="197"/>
        <v>1290</v>
      </c>
      <c r="B1294" s="77"/>
      <c r="C1294" s="77"/>
      <c r="D1294" s="858"/>
      <c r="E1294" s="858">
        <f t="shared" si="192"/>
        <v>0</v>
      </c>
      <c r="F1294" s="887">
        <f t="shared" si="193"/>
        <v>1900</v>
      </c>
      <c r="G1294" s="888"/>
      <c r="H1294" s="889"/>
      <c r="I1294" s="888"/>
      <c r="J1294" s="888"/>
      <c r="K1294" s="980"/>
      <c r="L1294" s="77"/>
      <c r="M1294" s="78">
        <f t="shared" si="198"/>
        <v>0</v>
      </c>
      <c r="N1294" s="748"/>
      <c r="P1294" s="29" t="str">
        <f t="shared" si="194"/>
        <v>1900</v>
      </c>
      <c r="Q1294" s="29" t="str">
        <f t="shared" si="195"/>
        <v/>
      </c>
      <c r="R1294" s="29" t="str">
        <f t="shared" si="196"/>
        <v/>
      </c>
    </row>
    <row r="1295" spans="1:18">
      <c r="A1295" s="483">
        <f t="shared" si="197"/>
        <v>1291</v>
      </c>
      <c r="B1295" s="77"/>
      <c r="C1295" s="77"/>
      <c r="D1295" s="858"/>
      <c r="E1295" s="858">
        <f t="shared" si="192"/>
        <v>0</v>
      </c>
      <c r="F1295" s="887">
        <f t="shared" si="193"/>
        <v>1900</v>
      </c>
      <c r="G1295" s="888"/>
      <c r="H1295" s="889"/>
      <c r="I1295" s="888"/>
      <c r="J1295" s="888"/>
      <c r="K1295" s="980"/>
      <c r="L1295" s="77"/>
      <c r="M1295" s="78">
        <f t="shared" si="198"/>
        <v>0</v>
      </c>
      <c r="N1295" s="748"/>
      <c r="P1295" s="29" t="str">
        <f t="shared" si="194"/>
        <v>1900</v>
      </c>
      <c r="Q1295" s="29" t="str">
        <f t="shared" si="195"/>
        <v/>
      </c>
      <c r="R1295" s="29" t="str">
        <f t="shared" si="196"/>
        <v/>
      </c>
    </row>
    <row r="1296" spans="1:18">
      <c r="A1296" s="483">
        <f t="shared" si="197"/>
        <v>1292</v>
      </c>
      <c r="B1296" s="77"/>
      <c r="C1296" s="77"/>
      <c r="D1296" s="858"/>
      <c r="E1296" s="858">
        <f t="shared" si="192"/>
        <v>0</v>
      </c>
      <c r="F1296" s="887">
        <f t="shared" si="193"/>
        <v>1900</v>
      </c>
      <c r="G1296" s="888"/>
      <c r="H1296" s="889"/>
      <c r="I1296" s="888"/>
      <c r="J1296" s="888"/>
      <c r="K1296" s="980"/>
      <c r="L1296" s="77"/>
      <c r="M1296" s="78">
        <f t="shared" si="198"/>
        <v>0</v>
      </c>
      <c r="N1296" s="748"/>
      <c r="P1296" s="29" t="str">
        <f t="shared" si="194"/>
        <v>1900</v>
      </c>
      <c r="Q1296" s="29" t="str">
        <f t="shared" si="195"/>
        <v/>
      </c>
      <c r="R1296" s="29" t="str">
        <f t="shared" si="196"/>
        <v/>
      </c>
    </row>
    <row r="1297" spans="1:18">
      <c r="A1297" s="483">
        <f t="shared" si="197"/>
        <v>1293</v>
      </c>
      <c r="B1297" s="77"/>
      <c r="C1297" s="77"/>
      <c r="D1297" s="858"/>
      <c r="E1297" s="858">
        <f t="shared" si="192"/>
        <v>0</v>
      </c>
      <c r="F1297" s="887">
        <f t="shared" si="193"/>
        <v>1900</v>
      </c>
      <c r="G1297" s="888"/>
      <c r="H1297" s="889"/>
      <c r="I1297" s="888"/>
      <c r="J1297" s="888"/>
      <c r="K1297" s="980"/>
      <c r="L1297" s="77"/>
      <c r="M1297" s="78">
        <f t="shared" si="198"/>
        <v>0</v>
      </c>
      <c r="N1297" s="748"/>
      <c r="P1297" s="29" t="str">
        <f t="shared" si="194"/>
        <v>1900</v>
      </c>
      <c r="Q1297" s="29" t="str">
        <f t="shared" si="195"/>
        <v/>
      </c>
      <c r="R1297" s="29" t="str">
        <f t="shared" si="196"/>
        <v/>
      </c>
    </row>
    <row r="1298" spans="1:18">
      <c r="A1298" s="483">
        <f t="shared" si="197"/>
        <v>1294</v>
      </c>
      <c r="B1298" s="77"/>
      <c r="C1298" s="77"/>
      <c r="D1298" s="858"/>
      <c r="E1298" s="858">
        <f t="shared" si="192"/>
        <v>0</v>
      </c>
      <c r="F1298" s="887">
        <f t="shared" si="193"/>
        <v>1900</v>
      </c>
      <c r="G1298" s="888"/>
      <c r="H1298" s="889"/>
      <c r="I1298" s="888"/>
      <c r="J1298" s="888"/>
      <c r="K1298" s="980"/>
      <c r="L1298" s="77"/>
      <c r="M1298" s="78">
        <f t="shared" si="198"/>
        <v>0</v>
      </c>
      <c r="N1298" s="748"/>
      <c r="P1298" s="29" t="str">
        <f t="shared" si="194"/>
        <v>1900</v>
      </c>
      <c r="Q1298" s="29" t="str">
        <f t="shared" si="195"/>
        <v/>
      </c>
      <c r="R1298" s="29" t="str">
        <f t="shared" si="196"/>
        <v/>
      </c>
    </row>
    <row r="1299" spans="1:18">
      <c r="A1299" s="483">
        <f t="shared" si="197"/>
        <v>1295</v>
      </c>
      <c r="B1299" s="77"/>
      <c r="C1299" s="77"/>
      <c r="D1299" s="858"/>
      <c r="E1299" s="858">
        <f t="shared" si="192"/>
        <v>0</v>
      </c>
      <c r="F1299" s="887">
        <f t="shared" si="193"/>
        <v>1900</v>
      </c>
      <c r="G1299" s="888"/>
      <c r="H1299" s="889"/>
      <c r="I1299" s="888"/>
      <c r="J1299" s="888"/>
      <c r="K1299" s="980"/>
      <c r="L1299" s="77"/>
      <c r="M1299" s="78">
        <f t="shared" si="198"/>
        <v>0</v>
      </c>
      <c r="N1299" s="748"/>
      <c r="P1299" s="29" t="str">
        <f t="shared" si="194"/>
        <v>1900</v>
      </c>
      <c r="Q1299" s="29" t="str">
        <f t="shared" si="195"/>
        <v/>
      </c>
      <c r="R1299" s="29" t="str">
        <f t="shared" si="196"/>
        <v/>
      </c>
    </row>
    <row r="1300" spans="1:18">
      <c r="A1300" s="483">
        <f t="shared" si="197"/>
        <v>1296</v>
      </c>
      <c r="B1300" s="77"/>
      <c r="C1300" s="77"/>
      <c r="D1300" s="858"/>
      <c r="E1300" s="858">
        <f t="shared" si="192"/>
        <v>0</v>
      </c>
      <c r="F1300" s="887">
        <f t="shared" si="193"/>
        <v>1900</v>
      </c>
      <c r="G1300" s="888"/>
      <c r="H1300" s="889"/>
      <c r="I1300" s="888"/>
      <c r="J1300" s="888"/>
      <c r="K1300" s="980"/>
      <c r="L1300" s="77"/>
      <c r="M1300" s="78">
        <f t="shared" si="198"/>
        <v>0</v>
      </c>
      <c r="N1300" s="748"/>
      <c r="P1300" s="29" t="str">
        <f t="shared" si="194"/>
        <v>1900</v>
      </c>
      <c r="Q1300" s="29" t="str">
        <f t="shared" si="195"/>
        <v/>
      </c>
      <c r="R1300" s="29" t="str">
        <f t="shared" si="196"/>
        <v/>
      </c>
    </row>
    <row r="1301" spans="1:18">
      <c r="A1301" s="483">
        <f t="shared" si="197"/>
        <v>1297</v>
      </c>
      <c r="B1301" s="77"/>
      <c r="C1301" s="77"/>
      <c r="D1301" s="858"/>
      <c r="E1301" s="858">
        <f t="shared" si="192"/>
        <v>0</v>
      </c>
      <c r="F1301" s="887">
        <f t="shared" si="193"/>
        <v>1900</v>
      </c>
      <c r="G1301" s="888"/>
      <c r="H1301" s="889"/>
      <c r="I1301" s="888"/>
      <c r="J1301" s="888"/>
      <c r="K1301" s="980"/>
      <c r="L1301" s="77"/>
      <c r="M1301" s="78">
        <f t="shared" si="198"/>
        <v>0</v>
      </c>
      <c r="N1301" s="748"/>
      <c r="P1301" s="29" t="str">
        <f t="shared" si="194"/>
        <v>1900</v>
      </c>
      <c r="Q1301" s="29" t="str">
        <f t="shared" si="195"/>
        <v/>
      </c>
      <c r="R1301" s="29" t="str">
        <f t="shared" si="196"/>
        <v/>
      </c>
    </row>
    <row r="1302" spans="1:18">
      <c r="A1302" s="483">
        <f t="shared" si="197"/>
        <v>1298</v>
      </c>
      <c r="B1302" s="77"/>
      <c r="C1302" s="77"/>
      <c r="D1302" s="858"/>
      <c r="E1302" s="858">
        <f t="shared" si="192"/>
        <v>0</v>
      </c>
      <c r="F1302" s="887">
        <f t="shared" si="193"/>
        <v>1900</v>
      </c>
      <c r="G1302" s="888"/>
      <c r="H1302" s="889"/>
      <c r="I1302" s="888"/>
      <c r="J1302" s="888"/>
      <c r="K1302" s="980"/>
      <c r="L1302" s="77"/>
      <c r="M1302" s="78">
        <f t="shared" si="198"/>
        <v>0</v>
      </c>
      <c r="N1302" s="748"/>
      <c r="P1302" s="29" t="str">
        <f t="shared" si="194"/>
        <v>1900</v>
      </c>
      <c r="Q1302" s="29" t="str">
        <f t="shared" si="195"/>
        <v/>
      </c>
      <c r="R1302" s="29" t="str">
        <f t="shared" si="196"/>
        <v/>
      </c>
    </row>
    <row r="1303" spans="1:18">
      <c r="A1303" s="483">
        <f t="shared" si="197"/>
        <v>1299</v>
      </c>
      <c r="B1303" s="77"/>
      <c r="C1303" s="77"/>
      <c r="D1303" s="858"/>
      <c r="E1303" s="858">
        <f t="shared" si="192"/>
        <v>0</v>
      </c>
      <c r="F1303" s="887">
        <f t="shared" si="193"/>
        <v>1900</v>
      </c>
      <c r="G1303" s="888"/>
      <c r="H1303" s="889"/>
      <c r="I1303" s="888"/>
      <c r="J1303" s="888"/>
      <c r="K1303" s="980"/>
      <c r="L1303" s="77"/>
      <c r="M1303" s="78">
        <f t="shared" si="198"/>
        <v>0</v>
      </c>
      <c r="N1303" s="748"/>
      <c r="P1303" s="29" t="str">
        <f t="shared" si="194"/>
        <v>1900</v>
      </c>
      <c r="Q1303" s="29" t="str">
        <f t="shared" si="195"/>
        <v/>
      </c>
      <c r="R1303" s="29" t="str">
        <f t="shared" si="196"/>
        <v/>
      </c>
    </row>
    <row r="1304" spans="1:18">
      <c r="A1304" s="483">
        <f t="shared" si="197"/>
        <v>1300</v>
      </c>
      <c r="B1304" s="77"/>
      <c r="C1304" s="77"/>
      <c r="D1304" s="858"/>
      <c r="E1304" s="858">
        <f t="shared" si="192"/>
        <v>0</v>
      </c>
      <c r="F1304" s="887">
        <f t="shared" si="193"/>
        <v>1900</v>
      </c>
      <c r="G1304" s="888"/>
      <c r="H1304" s="889"/>
      <c r="I1304" s="888"/>
      <c r="J1304" s="888"/>
      <c r="K1304" s="980"/>
      <c r="L1304" s="77"/>
      <c r="M1304" s="78">
        <f t="shared" si="198"/>
        <v>0</v>
      </c>
      <c r="N1304" s="748"/>
      <c r="P1304" s="29" t="str">
        <f t="shared" si="194"/>
        <v>1900</v>
      </c>
      <c r="Q1304" s="29" t="str">
        <f t="shared" si="195"/>
        <v/>
      </c>
      <c r="R1304" s="29" t="str">
        <f t="shared" si="196"/>
        <v/>
      </c>
    </row>
    <row r="1305" spans="1:18">
      <c r="A1305" s="483">
        <f t="shared" si="197"/>
        <v>1301</v>
      </c>
      <c r="B1305" s="77"/>
      <c r="C1305" s="77"/>
      <c r="D1305" s="858"/>
      <c r="E1305" s="858">
        <f t="shared" si="192"/>
        <v>0</v>
      </c>
      <c r="F1305" s="887">
        <f t="shared" si="193"/>
        <v>1900</v>
      </c>
      <c r="G1305" s="888"/>
      <c r="H1305" s="889"/>
      <c r="I1305" s="888"/>
      <c r="J1305" s="888"/>
      <c r="K1305" s="980"/>
      <c r="L1305" s="77"/>
      <c r="M1305" s="78">
        <f t="shared" si="198"/>
        <v>0</v>
      </c>
      <c r="N1305" s="748"/>
      <c r="P1305" s="29" t="str">
        <f t="shared" si="194"/>
        <v>1900</v>
      </c>
      <c r="Q1305" s="29" t="str">
        <f t="shared" si="195"/>
        <v/>
      </c>
      <c r="R1305" s="29" t="str">
        <f t="shared" si="196"/>
        <v/>
      </c>
    </row>
    <row r="1306" spans="1:18">
      <c r="A1306" s="483">
        <f t="shared" si="197"/>
        <v>1302</v>
      </c>
      <c r="B1306" s="77"/>
      <c r="C1306" s="77"/>
      <c r="D1306" s="858"/>
      <c r="E1306" s="858">
        <f t="shared" si="192"/>
        <v>0</v>
      </c>
      <c r="F1306" s="887">
        <f t="shared" si="193"/>
        <v>1900</v>
      </c>
      <c r="G1306" s="888"/>
      <c r="H1306" s="889"/>
      <c r="I1306" s="888"/>
      <c r="J1306" s="888"/>
      <c r="K1306" s="980"/>
      <c r="L1306" s="77"/>
      <c r="M1306" s="78">
        <f t="shared" si="198"/>
        <v>0</v>
      </c>
      <c r="N1306" s="748"/>
      <c r="P1306" s="29" t="str">
        <f t="shared" si="194"/>
        <v>1900</v>
      </c>
      <c r="Q1306" s="29" t="str">
        <f t="shared" si="195"/>
        <v/>
      </c>
      <c r="R1306" s="29" t="str">
        <f t="shared" si="196"/>
        <v/>
      </c>
    </row>
    <row r="1307" spans="1:18">
      <c r="A1307" s="483">
        <f t="shared" si="197"/>
        <v>1303</v>
      </c>
      <c r="B1307" s="77"/>
      <c r="C1307" s="77"/>
      <c r="D1307" s="858"/>
      <c r="E1307" s="858">
        <f t="shared" si="192"/>
        <v>0</v>
      </c>
      <c r="F1307" s="887">
        <f t="shared" si="193"/>
        <v>1900</v>
      </c>
      <c r="G1307" s="888"/>
      <c r="H1307" s="889"/>
      <c r="I1307" s="888"/>
      <c r="J1307" s="888"/>
      <c r="K1307" s="980"/>
      <c r="L1307" s="77"/>
      <c r="M1307" s="78">
        <f t="shared" si="198"/>
        <v>0</v>
      </c>
      <c r="N1307" s="748"/>
      <c r="P1307" s="29" t="str">
        <f t="shared" si="194"/>
        <v>1900</v>
      </c>
      <c r="Q1307" s="29" t="str">
        <f t="shared" si="195"/>
        <v/>
      </c>
      <c r="R1307" s="29" t="str">
        <f t="shared" si="196"/>
        <v/>
      </c>
    </row>
    <row r="1308" spans="1:18">
      <c r="A1308" s="483">
        <f t="shared" si="197"/>
        <v>1304</v>
      </c>
      <c r="B1308" s="77"/>
      <c r="C1308" s="77"/>
      <c r="D1308" s="858"/>
      <c r="E1308" s="858">
        <f t="shared" si="192"/>
        <v>0</v>
      </c>
      <c r="F1308" s="887">
        <f t="shared" si="193"/>
        <v>1900</v>
      </c>
      <c r="G1308" s="888"/>
      <c r="H1308" s="889"/>
      <c r="I1308" s="888"/>
      <c r="J1308" s="888"/>
      <c r="K1308" s="980"/>
      <c r="L1308" s="77"/>
      <c r="M1308" s="78">
        <f t="shared" si="198"/>
        <v>0</v>
      </c>
      <c r="N1308" s="748"/>
      <c r="P1308" s="29" t="str">
        <f t="shared" si="194"/>
        <v>1900</v>
      </c>
      <c r="Q1308" s="29" t="str">
        <f t="shared" si="195"/>
        <v/>
      </c>
      <c r="R1308" s="29" t="str">
        <f t="shared" si="196"/>
        <v/>
      </c>
    </row>
    <row r="1309" spans="1:18">
      <c r="A1309" s="483">
        <f t="shared" si="197"/>
        <v>1305</v>
      </c>
      <c r="B1309" s="77"/>
      <c r="C1309" s="77"/>
      <c r="D1309" s="858"/>
      <c r="E1309" s="858">
        <f t="shared" si="192"/>
        <v>0</v>
      </c>
      <c r="F1309" s="887">
        <f t="shared" si="193"/>
        <v>1900</v>
      </c>
      <c r="G1309" s="888"/>
      <c r="H1309" s="889"/>
      <c r="I1309" s="888"/>
      <c r="J1309" s="888"/>
      <c r="K1309" s="980"/>
      <c r="L1309" s="77"/>
      <c r="M1309" s="78">
        <f t="shared" si="198"/>
        <v>0</v>
      </c>
      <c r="N1309" s="748"/>
      <c r="P1309" s="29" t="str">
        <f t="shared" si="194"/>
        <v>1900</v>
      </c>
      <c r="Q1309" s="29" t="str">
        <f t="shared" si="195"/>
        <v/>
      </c>
      <c r="R1309" s="29" t="str">
        <f t="shared" si="196"/>
        <v/>
      </c>
    </row>
    <row r="1310" spans="1:18">
      <c r="A1310" s="483">
        <f t="shared" si="197"/>
        <v>1306</v>
      </c>
      <c r="B1310" s="77"/>
      <c r="C1310" s="77"/>
      <c r="D1310" s="858"/>
      <c r="E1310" s="858">
        <f t="shared" si="192"/>
        <v>0</v>
      </c>
      <c r="F1310" s="887">
        <f t="shared" si="193"/>
        <v>1900</v>
      </c>
      <c r="G1310" s="888"/>
      <c r="H1310" s="889"/>
      <c r="I1310" s="888"/>
      <c r="J1310" s="888"/>
      <c r="K1310" s="980"/>
      <c r="L1310" s="77"/>
      <c r="M1310" s="78">
        <f t="shared" si="198"/>
        <v>0</v>
      </c>
      <c r="N1310" s="748"/>
      <c r="P1310" s="29" t="str">
        <f t="shared" si="194"/>
        <v>1900</v>
      </c>
      <c r="Q1310" s="29" t="str">
        <f t="shared" si="195"/>
        <v/>
      </c>
      <c r="R1310" s="29" t="str">
        <f t="shared" si="196"/>
        <v/>
      </c>
    </row>
    <row r="1311" spans="1:18">
      <c r="A1311" s="483">
        <f t="shared" si="197"/>
        <v>1307</v>
      </c>
      <c r="B1311" s="77"/>
      <c r="C1311" s="77"/>
      <c r="D1311" s="858"/>
      <c r="E1311" s="858">
        <f t="shared" si="192"/>
        <v>0</v>
      </c>
      <c r="F1311" s="887">
        <f t="shared" si="193"/>
        <v>1900</v>
      </c>
      <c r="G1311" s="888"/>
      <c r="H1311" s="889"/>
      <c r="I1311" s="888"/>
      <c r="J1311" s="888"/>
      <c r="K1311" s="980"/>
      <c r="L1311" s="77"/>
      <c r="M1311" s="78">
        <f t="shared" si="198"/>
        <v>0</v>
      </c>
      <c r="N1311" s="748"/>
      <c r="P1311" s="29" t="str">
        <f t="shared" si="194"/>
        <v>1900</v>
      </c>
      <c r="Q1311" s="29" t="str">
        <f t="shared" si="195"/>
        <v/>
      </c>
      <c r="R1311" s="29" t="str">
        <f t="shared" si="196"/>
        <v/>
      </c>
    </row>
    <row r="1312" spans="1:18">
      <c r="A1312" s="483">
        <f t="shared" si="197"/>
        <v>1308</v>
      </c>
      <c r="B1312" s="77"/>
      <c r="C1312" s="77"/>
      <c r="D1312" s="858"/>
      <c r="E1312" s="858">
        <f t="shared" si="192"/>
        <v>0</v>
      </c>
      <c r="F1312" s="887">
        <f t="shared" si="193"/>
        <v>1900</v>
      </c>
      <c r="G1312" s="888"/>
      <c r="H1312" s="889"/>
      <c r="I1312" s="888"/>
      <c r="J1312" s="888"/>
      <c r="K1312" s="980"/>
      <c r="L1312" s="77"/>
      <c r="M1312" s="78">
        <f t="shared" si="198"/>
        <v>0</v>
      </c>
      <c r="N1312" s="748"/>
      <c r="P1312" s="29" t="str">
        <f t="shared" si="194"/>
        <v>1900</v>
      </c>
      <c r="Q1312" s="29" t="str">
        <f t="shared" si="195"/>
        <v/>
      </c>
      <c r="R1312" s="29" t="str">
        <f t="shared" si="196"/>
        <v/>
      </c>
    </row>
    <row r="1313" spans="1:18">
      <c r="A1313" s="483">
        <f t="shared" si="197"/>
        <v>1309</v>
      </c>
      <c r="B1313" s="77"/>
      <c r="C1313" s="77"/>
      <c r="D1313" s="858"/>
      <c r="E1313" s="858">
        <f t="shared" si="192"/>
        <v>0</v>
      </c>
      <c r="F1313" s="887">
        <f t="shared" si="193"/>
        <v>1900</v>
      </c>
      <c r="G1313" s="888"/>
      <c r="H1313" s="889"/>
      <c r="I1313" s="888"/>
      <c r="J1313" s="888"/>
      <c r="K1313" s="980"/>
      <c r="L1313" s="77"/>
      <c r="M1313" s="78">
        <f t="shared" si="198"/>
        <v>0</v>
      </c>
      <c r="N1313" s="748"/>
      <c r="P1313" s="29" t="str">
        <f t="shared" si="194"/>
        <v>1900</v>
      </c>
      <c r="Q1313" s="29" t="str">
        <f t="shared" si="195"/>
        <v/>
      </c>
      <c r="R1313" s="29" t="str">
        <f t="shared" si="196"/>
        <v/>
      </c>
    </row>
    <row r="1314" spans="1:18">
      <c r="A1314" s="483">
        <f t="shared" si="197"/>
        <v>1310</v>
      </c>
      <c r="B1314" s="77"/>
      <c r="C1314" s="77"/>
      <c r="D1314" s="858"/>
      <c r="E1314" s="858">
        <f t="shared" si="192"/>
        <v>0</v>
      </c>
      <c r="F1314" s="887">
        <f t="shared" si="193"/>
        <v>1900</v>
      </c>
      <c r="G1314" s="888"/>
      <c r="H1314" s="889"/>
      <c r="I1314" s="888"/>
      <c r="J1314" s="888"/>
      <c r="K1314" s="980"/>
      <c r="L1314" s="77"/>
      <c r="M1314" s="78">
        <f t="shared" si="198"/>
        <v>0</v>
      </c>
      <c r="N1314" s="748"/>
      <c r="P1314" s="29" t="str">
        <f t="shared" si="194"/>
        <v>1900</v>
      </c>
      <c r="Q1314" s="29" t="str">
        <f t="shared" si="195"/>
        <v/>
      </c>
      <c r="R1314" s="29" t="str">
        <f t="shared" si="196"/>
        <v/>
      </c>
    </row>
    <row r="1315" spans="1:18">
      <c r="A1315" s="483">
        <f t="shared" si="197"/>
        <v>1311</v>
      </c>
      <c r="B1315" s="77"/>
      <c r="C1315" s="77"/>
      <c r="D1315" s="858"/>
      <c r="E1315" s="858">
        <f t="shared" si="192"/>
        <v>0</v>
      </c>
      <c r="F1315" s="887">
        <f t="shared" si="193"/>
        <v>1900</v>
      </c>
      <c r="G1315" s="888"/>
      <c r="H1315" s="889"/>
      <c r="I1315" s="888"/>
      <c r="J1315" s="888"/>
      <c r="K1315" s="980"/>
      <c r="L1315" s="77"/>
      <c r="M1315" s="78">
        <f t="shared" si="198"/>
        <v>0</v>
      </c>
      <c r="N1315" s="748"/>
      <c r="P1315" s="29" t="str">
        <f t="shared" si="194"/>
        <v>1900</v>
      </c>
      <c r="Q1315" s="29" t="str">
        <f t="shared" si="195"/>
        <v/>
      </c>
      <c r="R1315" s="29" t="str">
        <f t="shared" si="196"/>
        <v/>
      </c>
    </row>
    <row r="1316" spans="1:18">
      <c r="A1316" s="483">
        <f t="shared" si="197"/>
        <v>1312</v>
      </c>
      <c r="B1316" s="77"/>
      <c r="C1316" s="77"/>
      <c r="D1316" s="858"/>
      <c r="E1316" s="858">
        <f t="shared" si="192"/>
        <v>0</v>
      </c>
      <c r="F1316" s="887">
        <f t="shared" si="193"/>
        <v>1900</v>
      </c>
      <c r="G1316" s="888"/>
      <c r="H1316" s="889"/>
      <c r="I1316" s="888"/>
      <c r="J1316" s="888"/>
      <c r="K1316" s="980"/>
      <c r="L1316" s="77"/>
      <c r="M1316" s="78">
        <f t="shared" si="198"/>
        <v>0</v>
      </c>
      <c r="N1316" s="748"/>
      <c r="P1316" s="29" t="str">
        <f t="shared" si="194"/>
        <v>1900</v>
      </c>
      <c r="Q1316" s="29" t="str">
        <f t="shared" si="195"/>
        <v/>
      </c>
      <c r="R1316" s="29" t="str">
        <f t="shared" si="196"/>
        <v/>
      </c>
    </row>
    <row r="1317" spans="1:18">
      <c r="A1317" s="483">
        <f t="shared" si="197"/>
        <v>1313</v>
      </c>
      <c r="B1317" s="77"/>
      <c r="C1317" s="77"/>
      <c r="D1317" s="858"/>
      <c r="E1317" s="858">
        <f t="shared" si="192"/>
        <v>0</v>
      </c>
      <c r="F1317" s="887">
        <f t="shared" si="193"/>
        <v>1900</v>
      </c>
      <c r="G1317" s="888"/>
      <c r="H1317" s="889"/>
      <c r="I1317" s="888"/>
      <c r="J1317" s="888"/>
      <c r="K1317" s="980"/>
      <c r="L1317" s="77"/>
      <c r="M1317" s="78">
        <f t="shared" si="198"/>
        <v>0</v>
      </c>
      <c r="N1317" s="748"/>
      <c r="P1317" s="29" t="str">
        <f t="shared" si="194"/>
        <v>1900</v>
      </c>
      <c r="Q1317" s="29" t="str">
        <f t="shared" si="195"/>
        <v/>
      </c>
      <c r="R1317" s="29" t="str">
        <f t="shared" si="196"/>
        <v/>
      </c>
    </row>
    <row r="1318" spans="1:18">
      <c r="A1318" s="483">
        <f t="shared" si="197"/>
        <v>1314</v>
      </c>
      <c r="B1318" s="77"/>
      <c r="C1318" s="77"/>
      <c r="D1318" s="858"/>
      <c r="E1318" s="858">
        <f t="shared" si="192"/>
        <v>0</v>
      </c>
      <c r="F1318" s="887">
        <f t="shared" si="193"/>
        <v>1900</v>
      </c>
      <c r="G1318" s="888"/>
      <c r="H1318" s="889"/>
      <c r="I1318" s="888"/>
      <c r="J1318" s="888"/>
      <c r="K1318" s="980"/>
      <c r="L1318" s="77"/>
      <c r="M1318" s="78">
        <f t="shared" si="198"/>
        <v>0</v>
      </c>
      <c r="N1318" s="748"/>
      <c r="P1318" s="29" t="str">
        <f t="shared" si="194"/>
        <v>1900</v>
      </c>
      <c r="Q1318" s="29" t="str">
        <f t="shared" si="195"/>
        <v/>
      </c>
      <c r="R1318" s="29" t="str">
        <f t="shared" si="196"/>
        <v/>
      </c>
    </row>
    <row r="1319" spans="1:18">
      <c r="A1319" s="483">
        <f t="shared" si="197"/>
        <v>1315</v>
      </c>
      <c r="B1319" s="77"/>
      <c r="C1319" s="77"/>
      <c r="D1319" s="858"/>
      <c r="E1319" s="858">
        <f t="shared" si="192"/>
        <v>0</v>
      </c>
      <c r="F1319" s="887">
        <f t="shared" si="193"/>
        <v>1900</v>
      </c>
      <c r="G1319" s="888"/>
      <c r="H1319" s="889"/>
      <c r="I1319" s="888"/>
      <c r="J1319" s="888"/>
      <c r="K1319" s="980"/>
      <c r="L1319" s="77"/>
      <c r="M1319" s="78">
        <f t="shared" si="198"/>
        <v>0</v>
      </c>
      <c r="N1319" s="748"/>
      <c r="P1319" s="29" t="str">
        <f t="shared" si="194"/>
        <v>1900</v>
      </c>
      <c r="Q1319" s="29" t="str">
        <f t="shared" si="195"/>
        <v/>
      </c>
      <c r="R1319" s="29" t="str">
        <f t="shared" si="196"/>
        <v/>
      </c>
    </row>
    <row r="1320" spans="1:18">
      <c r="A1320" s="483">
        <f t="shared" si="197"/>
        <v>1316</v>
      </c>
      <c r="B1320" s="77"/>
      <c r="C1320" s="77"/>
      <c r="D1320" s="858"/>
      <c r="E1320" s="858">
        <f t="shared" si="192"/>
        <v>0</v>
      </c>
      <c r="F1320" s="887">
        <f t="shared" si="193"/>
        <v>1900</v>
      </c>
      <c r="G1320" s="888"/>
      <c r="H1320" s="889"/>
      <c r="I1320" s="888"/>
      <c r="J1320" s="888"/>
      <c r="K1320" s="980"/>
      <c r="L1320" s="77"/>
      <c r="M1320" s="78">
        <f t="shared" si="198"/>
        <v>0</v>
      </c>
      <c r="N1320" s="748"/>
      <c r="P1320" s="29" t="str">
        <f t="shared" si="194"/>
        <v>1900</v>
      </c>
      <c r="Q1320" s="29" t="str">
        <f t="shared" si="195"/>
        <v/>
      </c>
      <c r="R1320" s="29" t="str">
        <f t="shared" si="196"/>
        <v/>
      </c>
    </row>
    <row r="1321" spans="1:18">
      <c r="A1321" s="483">
        <f t="shared" si="197"/>
        <v>1317</v>
      </c>
      <c r="B1321" s="77"/>
      <c r="C1321" s="77"/>
      <c r="D1321" s="858"/>
      <c r="E1321" s="858">
        <f t="shared" si="192"/>
        <v>0</v>
      </c>
      <c r="F1321" s="887">
        <f t="shared" si="193"/>
        <v>1900</v>
      </c>
      <c r="G1321" s="888"/>
      <c r="H1321" s="889"/>
      <c r="I1321" s="888"/>
      <c r="J1321" s="888"/>
      <c r="K1321" s="980"/>
      <c r="L1321" s="77"/>
      <c r="M1321" s="78">
        <f t="shared" si="198"/>
        <v>0</v>
      </c>
      <c r="N1321" s="748"/>
      <c r="P1321" s="29" t="str">
        <f t="shared" si="194"/>
        <v>1900</v>
      </c>
      <c r="Q1321" s="29" t="str">
        <f t="shared" si="195"/>
        <v/>
      </c>
      <c r="R1321" s="29" t="str">
        <f t="shared" si="196"/>
        <v/>
      </c>
    </row>
    <row r="1322" spans="1:18">
      <c r="A1322" s="483">
        <f t="shared" si="197"/>
        <v>1318</v>
      </c>
      <c r="B1322" s="77"/>
      <c r="C1322" s="77"/>
      <c r="D1322" s="858"/>
      <c r="E1322" s="858">
        <f t="shared" si="192"/>
        <v>0</v>
      </c>
      <c r="F1322" s="887">
        <f t="shared" si="193"/>
        <v>1900</v>
      </c>
      <c r="G1322" s="888"/>
      <c r="H1322" s="889"/>
      <c r="I1322" s="888"/>
      <c r="J1322" s="888"/>
      <c r="K1322" s="980"/>
      <c r="L1322" s="77"/>
      <c r="M1322" s="78">
        <f t="shared" si="198"/>
        <v>0</v>
      </c>
      <c r="N1322" s="748"/>
      <c r="P1322" s="29" t="str">
        <f t="shared" si="194"/>
        <v>1900</v>
      </c>
      <c r="Q1322" s="29" t="str">
        <f t="shared" si="195"/>
        <v/>
      </c>
      <c r="R1322" s="29" t="str">
        <f t="shared" si="196"/>
        <v/>
      </c>
    </row>
    <row r="1323" spans="1:18">
      <c r="A1323" s="483">
        <f t="shared" si="197"/>
        <v>1319</v>
      </c>
      <c r="B1323" s="77"/>
      <c r="C1323" s="77"/>
      <c r="D1323" s="858"/>
      <c r="E1323" s="858">
        <f t="shared" si="192"/>
        <v>0</v>
      </c>
      <c r="F1323" s="887">
        <f t="shared" si="193"/>
        <v>1900</v>
      </c>
      <c r="G1323" s="888"/>
      <c r="H1323" s="889"/>
      <c r="I1323" s="888"/>
      <c r="J1323" s="888"/>
      <c r="K1323" s="980"/>
      <c r="L1323" s="77"/>
      <c r="M1323" s="78">
        <f t="shared" si="198"/>
        <v>0</v>
      </c>
      <c r="N1323" s="748"/>
      <c r="P1323" s="29" t="str">
        <f t="shared" si="194"/>
        <v>1900</v>
      </c>
      <c r="Q1323" s="29" t="str">
        <f t="shared" si="195"/>
        <v/>
      </c>
      <c r="R1323" s="29" t="str">
        <f t="shared" si="196"/>
        <v/>
      </c>
    </row>
    <row r="1324" spans="1:18">
      <c r="A1324" s="483">
        <f t="shared" si="197"/>
        <v>1320</v>
      </c>
      <c r="B1324" s="77"/>
      <c r="C1324" s="77"/>
      <c r="D1324" s="858"/>
      <c r="E1324" s="858">
        <f t="shared" si="192"/>
        <v>0</v>
      </c>
      <c r="F1324" s="887">
        <f t="shared" si="193"/>
        <v>1900</v>
      </c>
      <c r="G1324" s="888"/>
      <c r="H1324" s="889"/>
      <c r="I1324" s="888"/>
      <c r="J1324" s="888"/>
      <c r="K1324" s="980"/>
      <c r="L1324" s="77"/>
      <c r="M1324" s="78">
        <f t="shared" si="198"/>
        <v>0</v>
      </c>
      <c r="N1324" s="748"/>
      <c r="P1324" s="29" t="str">
        <f t="shared" si="194"/>
        <v>1900</v>
      </c>
      <c r="Q1324" s="29" t="str">
        <f t="shared" si="195"/>
        <v/>
      </c>
      <c r="R1324" s="29" t="str">
        <f t="shared" si="196"/>
        <v/>
      </c>
    </row>
    <row r="1325" spans="1:18">
      <c r="A1325" s="483">
        <f t="shared" si="197"/>
        <v>1321</v>
      </c>
      <c r="B1325" s="77"/>
      <c r="C1325" s="77"/>
      <c r="D1325" s="858"/>
      <c r="E1325" s="858">
        <f t="shared" si="192"/>
        <v>0</v>
      </c>
      <c r="F1325" s="887">
        <f t="shared" si="193"/>
        <v>1900</v>
      </c>
      <c r="G1325" s="888"/>
      <c r="H1325" s="889"/>
      <c r="I1325" s="888"/>
      <c r="J1325" s="888"/>
      <c r="K1325" s="980"/>
      <c r="L1325" s="77"/>
      <c r="M1325" s="78">
        <f t="shared" si="198"/>
        <v>0</v>
      </c>
      <c r="N1325" s="748"/>
      <c r="P1325" s="29" t="str">
        <f t="shared" si="194"/>
        <v>1900</v>
      </c>
      <c r="Q1325" s="29" t="str">
        <f t="shared" si="195"/>
        <v/>
      </c>
      <c r="R1325" s="29" t="str">
        <f t="shared" si="196"/>
        <v/>
      </c>
    </row>
    <row r="1326" spans="1:18">
      <c r="A1326" s="483">
        <f t="shared" si="197"/>
        <v>1322</v>
      </c>
      <c r="B1326" s="77"/>
      <c r="C1326" s="77"/>
      <c r="D1326" s="858"/>
      <c r="E1326" s="858">
        <f t="shared" si="192"/>
        <v>0</v>
      </c>
      <c r="F1326" s="887">
        <f t="shared" si="193"/>
        <v>1900</v>
      </c>
      <c r="G1326" s="888"/>
      <c r="H1326" s="889"/>
      <c r="I1326" s="888"/>
      <c r="J1326" s="888"/>
      <c r="K1326" s="980"/>
      <c r="L1326" s="77"/>
      <c r="M1326" s="78">
        <f t="shared" si="198"/>
        <v>0</v>
      </c>
      <c r="N1326" s="748"/>
      <c r="P1326" s="29" t="str">
        <f t="shared" si="194"/>
        <v>1900</v>
      </c>
      <c r="Q1326" s="29" t="str">
        <f t="shared" si="195"/>
        <v/>
      </c>
      <c r="R1326" s="29" t="str">
        <f t="shared" si="196"/>
        <v/>
      </c>
    </row>
    <row r="1327" spans="1:18">
      <c r="A1327" s="483">
        <f t="shared" si="197"/>
        <v>1323</v>
      </c>
      <c r="B1327" s="77"/>
      <c r="C1327" s="77"/>
      <c r="D1327" s="858"/>
      <c r="E1327" s="858">
        <f t="shared" ref="E1327:E1390" si="199">DAY(C1327)</f>
        <v>0</v>
      </c>
      <c r="F1327" s="887">
        <f t="shared" ref="F1327:F1390" si="200">YEAR(C1327)</f>
        <v>1900</v>
      </c>
      <c r="G1327" s="888"/>
      <c r="H1327" s="889"/>
      <c r="I1327" s="888"/>
      <c r="J1327" s="888"/>
      <c r="K1327" s="980"/>
      <c r="L1327" s="77"/>
      <c r="M1327" s="78">
        <f t="shared" si="198"/>
        <v>0</v>
      </c>
      <c r="N1327" s="748"/>
      <c r="P1327" s="29" t="str">
        <f t="shared" ref="P1327:P1390" si="201">CONCATENATE(F1327,H1327)</f>
        <v>1900</v>
      </c>
      <c r="Q1327" s="29" t="str">
        <f t="shared" ref="Q1327:Q1390" si="202">CONCATENATE(H1327,K1327)</f>
        <v/>
      </c>
      <c r="R1327" s="29" t="str">
        <f t="shared" ref="R1327:R1390" si="203">CONCATENATE(D1327,H1327)</f>
        <v/>
      </c>
    </row>
    <row r="1328" spans="1:18">
      <c r="A1328" s="483">
        <f t="shared" si="197"/>
        <v>1324</v>
      </c>
      <c r="B1328" s="77"/>
      <c r="C1328" s="77"/>
      <c r="D1328" s="858"/>
      <c r="E1328" s="858">
        <f t="shared" si="199"/>
        <v>0</v>
      </c>
      <c r="F1328" s="887">
        <f t="shared" si="200"/>
        <v>1900</v>
      </c>
      <c r="G1328" s="888"/>
      <c r="H1328" s="889"/>
      <c r="I1328" s="888"/>
      <c r="J1328" s="888"/>
      <c r="K1328" s="980"/>
      <c r="L1328" s="77"/>
      <c r="M1328" s="78">
        <f t="shared" si="198"/>
        <v>0</v>
      </c>
      <c r="N1328" s="748"/>
      <c r="P1328" s="29" t="str">
        <f t="shared" si="201"/>
        <v>1900</v>
      </c>
      <c r="Q1328" s="29" t="str">
        <f t="shared" si="202"/>
        <v/>
      </c>
      <c r="R1328" s="29" t="str">
        <f t="shared" si="203"/>
        <v/>
      </c>
    </row>
    <row r="1329" spans="1:18">
      <c r="A1329" s="483">
        <f t="shared" si="197"/>
        <v>1325</v>
      </c>
      <c r="B1329" s="77"/>
      <c r="C1329" s="77"/>
      <c r="D1329" s="858"/>
      <c r="E1329" s="858">
        <f t="shared" si="199"/>
        <v>0</v>
      </c>
      <c r="F1329" s="887">
        <f t="shared" si="200"/>
        <v>1900</v>
      </c>
      <c r="G1329" s="888"/>
      <c r="H1329" s="889"/>
      <c r="I1329" s="888"/>
      <c r="J1329" s="888"/>
      <c r="K1329" s="980"/>
      <c r="L1329" s="77"/>
      <c r="M1329" s="78">
        <f t="shared" si="198"/>
        <v>0</v>
      </c>
      <c r="N1329" s="748"/>
      <c r="P1329" s="29" t="str">
        <f t="shared" si="201"/>
        <v>1900</v>
      </c>
      <c r="Q1329" s="29" t="str">
        <f t="shared" si="202"/>
        <v/>
      </c>
      <c r="R1329" s="29" t="str">
        <f t="shared" si="203"/>
        <v/>
      </c>
    </row>
    <row r="1330" spans="1:18">
      <c r="A1330" s="483">
        <f t="shared" si="197"/>
        <v>1326</v>
      </c>
      <c r="B1330" s="77"/>
      <c r="C1330" s="77"/>
      <c r="D1330" s="858"/>
      <c r="E1330" s="858">
        <f t="shared" si="199"/>
        <v>0</v>
      </c>
      <c r="F1330" s="887">
        <f t="shared" si="200"/>
        <v>1900</v>
      </c>
      <c r="G1330" s="888"/>
      <c r="H1330" s="889"/>
      <c r="I1330" s="888"/>
      <c r="J1330" s="888"/>
      <c r="K1330" s="980"/>
      <c r="L1330" s="77"/>
      <c r="M1330" s="78">
        <f t="shared" si="198"/>
        <v>0</v>
      </c>
      <c r="N1330" s="748"/>
      <c r="P1330" s="29" t="str">
        <f t="shared" si="201"/>
        <v>1900</v>
      </c>
      <c r="Q1330" s="29" t="str">
        <f t="shared" si="202"/>
        <v/>
      </c>
      <c r="R1330" s="29" t="str">
        <f t="shared" si="203"/>
        <v/>
      </c>
    </row>
    <row r="1331" spans="1:18">
      <c r="A1331" s="483">
        <f t="shared" si="197"/>
        <v>1327</v>
      </c>
      <c r="B1331" s="77"/>
      <c r="C1331" s="77"/>
      <c r="D1331" s="858"/>
      <c r="E1331" s="858">
        <f t="shared" si="199"/>
        <v>0</v>
      </c>
      <c r="F1331" s="887">
        <f t="shared" si="200"/>
        <v>1900</v>
      </c>
      <c r="G1331" s="888"/>
      <c r="H1331" s="889"/>
      <c r="I1331" s="888"/>
      <c r="J1331" s="888"/>
      <c r="K1331" s="980"/>
      <c r="L1331" s="77"/>
      <c r="M1331" s="78">
        <f t="shared" si="198"/>
        <v>0</v>
      </c>
      <c r="N1331" s="748"/>
      <c r="P1331" s="29" t="str">
        <f t="shared" si="201"/>
        <v>1900</v>
      </c>
      <c r="Q1331" s="29" t="str">
        <f t="shared" si="202"/>
        <v/>
      </c>
      <c r="R1331" s="29" t="str">
        <f t="shared" si="203"/>
        <v/>
      </c>
    </row>
    <row r="1332" spans="1:18">
      <c r="A1332" s="483">
        <f t="shared" si="197"/>
        <v>1328</v>
      </c>
      <c r="B1332" s="77"/>
      <c r="C1332" s="77"/>
      <c r="D1332" s="858"/>
      <c r="E1332" s="858">
        <f t="shared" si="199"/>
        <v>0</v>
      </c>
      <c r="F1332" s="887">
        <f t="shared" si="200"/>
        <v>1900</v>
      </c>
      <c r="G1332" s="888"/>
      <c r="H1332" s="889"/>
      <c r="I1332" s="888"/>
      <c r="J1332" s="888"/>
      <c r="K1332" s="980"/>
      <c r="L1332" s="77"/>
      <c r="M1332" s="78">
        <f t="shared" si="198"/>
        <v>0</v>
      </c>
      <c r="N1332" s="748"/>
      <c r="P1332" s="29" t="str">
        <f t="shared" si="201"/>
        <v>1900</v>
      </c>
      <c r="Q1332" s="29" t="str">
        <f t="shared" si="202"/>
        <v/>
      </c>
      <c r="R1332" s="29" t="str">
        <f t="shared" si="203"/>
        <v/>
      </c>
    </row>
    <row r="1333" spans="1:18">
      <c r="A1333" s="483">
        <f t="shared" si="197"/>
        <v>1329</v>
      </c>
      <c r="B1333" s="77"/>
      <c r="C1333" s="77"/>
      <c r="D1333" s="858"/>
      <c r="E1333" s="858">
        <f t="shared" si="199"/>
        <v>0</v>
      </c>
      <c r="F1333" s="887">
        <f t="shared" si="200"/>
        <v>1900</v>
      </c>
      <c r="G1333" s="888"/>
      <c r="H1333" s="889"/>
      <c r="I1333" s="888"/>
      <c r="J1333" s="888"/>
      <c r="K1333" s="980"/>
      <c r="L1333" s="77"/>
      <c r="M1333" s="78">
        <f t="shared" si="198"/>
        <v>0</v>
      </c>
      <c r="N1333" s="748"/>
      <c r="P1333" s="29" t="str">
        <f t="shared" si="201"/>
        <v>1900</v>
      </c>
      <c r="Q1333" s="29" t="str">
        <f t="shared" si="202"/>
        <v/>
      </c>
      <c r="R1333" s="29" t="str">
        <f t="shared" si="203"/>
        <v/>
      </c>
    </row>
    <row r="1334" spans="1:18">
      <c r="A1334" s="483">
        <f t="shared" si="197"/>
        <v>1330</v>
      </c>
      <c r="B1334" s="77"/>
      <c r="C1334" s="77"/>
      <c r="D1334" s="858"/>
      <c r="E1334" s="858">
        <f t="shared" si="199"/>
        <v>0</v>
      </c>
      <c r="F1334" s="887">
        <f t="shared" si="200"/>
        <v>1900</v>
      </c>
      <c r="G1334" s="888"/>
      <c r="H1334" s="889"/>
      <c r="I1334" s="888"/>
      <c r="J1334" s="888"/>
      <c r="K1334" s="980"/>
      <c r="L1334" s="77"/>
      <c r="M1334" s="78">
        <f t="shared" si="198"/>
        <v>0</v>
      </c>
      <c r="N1334" s="748"/>
      <c r="P1334" s="29" t="str">
        <f t="shared" si="201"/>
        <v>1900</v>
      </c>
      <c r="Q1334" s="29" t="str">
        <f t="shared" si="202"/>
        <v/>
      </c>
      <c r="R1334" s="29" t="str">
        <f t="shared" si="203"/>
        <v/>
      </c>
    </row>
    <row r="1335" spans="1:18">
      <c r="A1335" s="483">
        <f t="shared" si="197"/>
        <v>1331</v>
      </c>
      <c r="B1335" s="77"/>
      <c r="C1335" s="77"/>
      <c r="D1335" s="858"/>
      <c r="E1335" s="858">
        <f t="shared" si="199"/>
        <v>0</v>
      </c>
      <c r="F1335" s="887">
        <f t="shared" si="200"/>
        <v>1900</v>
      </c>
      <c r="G1335" s="888"/>
      <c r="H1335" s="889"/>
      <c r="I1335" s="888"/>
      <c r="J1335" s="888"/>
      <c r="K1335" s="980"/>
      <c r="L1335" s="77"/>
      <c r="M1335" s="78">
        <f t="shared" si="198"/>
        <v>0</v>
      </c>
      <c r="N1335" s="748"/>
      <c r="P1335" s="29" t="str">
        <f t="shared" si="201"/>
        <v>1900</v>
      </c>
      <c r="Q1335" s="29" t="str">
        <f t="shared" si="202"/>
        <v/>
      </c>
      <c r="R1335" s="29" t="str">
        <f t="shared" si="203"/>
        <v/>
      </c>
    </row>
    <row r="1336" spans="1:18">
      <c r="A1336" s="483">
        <f t="shared" si="197"/>
        <v>1332</v>
      </c>
      <c r="B1336" s="77"/>
      <c r="C1336" s="77"/>
      <c r="D1336" s="858"/>
      <c r="E1336" s="858">
        <f t="shared" si="199"/>
        <v>0</v>
      </c>
      <c r="F1336" s="887">
        <f t="shared" si="200"/>
        <v>1900</v>
      </c>
      <c r="G1336" s="888"/>
      <c r="H1336" s="889"/>
      <c r="I1336" s="888"/>
      <c r="J1336" s="888"/>
      <c r="K1336" s="980"/>
      <c r="L1336" s="77"/>
      <c r="M1336" s="78">
        <f t="shared" si="198"/>
        <v>0</v>
      </c>
      <c r="N1336" s="748"/>
      <c r="P1336" s="29" t="str">
        <f t="shared" si="201"/>
        <v>1900</v>
      </c>
      <c r="Q1336" s="29" t="str">
        <f t="shared" si="202"/>
        <v/>
      </c>
      <c r="R1336" s="29" t="str">
        <f t="shared" si="203"/>
        <v/>
      </c>
    </row>
    <row r="1337" spans="1:18">
      <c r="A1337" s="483">
        <f t="shared" si="197"/>
        <v>1333</v>
      </c>
      <c r="B1337" s="77"/>
      <c r="C1337" s="77"/>
      <c r="D1337" s="858"/>
      <c r="E1337" s="858">
        <f t="shared" si="199"/>
        <v>0</v>
      </c>
      <c r="F1337" s="887">
        <f t="shared" si="200"/>
        <v>1900</v>
      </c>
      <c r="G1337" s="888"/>
      <c r="H1337" s="889"/>
      <c r="I1337" s="888"/>
      <c r="J1337" s="888"/>
      <c r="K1337" s="980"/>
      <c r="L1337" s="77"/>
      <c r="M1337" s="78">
        <f t="shared" si="198"/>
        <v>0</v>
      </c>
      <c r="N1337" s="748"/>
      <c r="P1337" s="29" t="str">
        <f t="shared" si="201"/>
        <v>1900</v>
      </c>
      <c r="Q1337" s="29" t="str">
        <f t="shared" si="202"/>
        <v/>
      </c>
      <c r="R1337" s="29" t="str">
        <f t="shared" si="203"/>
        <v/>
      </c>
    </row>
    <row r="1338" spans="1:18">
      <c r="A1338" s="483">
        <f t="shared" si="197"/>
        <v>1334</v>
      </c>
      <c r="B1338" s="77"/>
      <c r="C1338" s="77"/>
      <c r="D1338" s="858"/>
      <c r="E1338" s="858">
        <f t="shared" si="199"/>
        <v>0</v>
      </c>
      <c r="F1338" s="887">
        <f t="shared" si="200"/>
        <v>1900</v>
      </c>
      <c r="G1338" s="888"/>
      <c r="H1338" s="889"/>
      <c r="I1338" s="888"/>
      <c r="J1338" s="888"/>
      <c r="K1338" s="980"/>
      <c r="L1338" s="77"/>
      <c r="M1338" s="78">
        <f t="shared" si="198"/>
        <v>0</v>
      </c>
      <c r="N1338" s="748"/>
      <c r="P1338" s="29" t="str">
        <f t="shared" si="201"/>
        <v>1900</v>
      </c>
      <c r="Q1338" s="29" t="str">
        <f t="shared" si="202"/>
        <v/>
      </c>
      <c r="R1338" s="29" t="str">
        <f t="shared" si="203"/>
        <v/>
      </c>
    </row>
    <row r="1339" spans="1:18">
      <c r="A1339" s="483">
        <f t="shared" si="197"/>
        <v>1335</v>
      </c>
      <c r="B1339" s="77"/>
      <c r="C1339" s="77"/>
      <c r="D1339" s="858"/>
      <c r="E1339" s="858">
        <f t="shared" si="199"/>
        <v>0</v>
      </c>
      <c r="F1339" s="887">
        <f t="shared" si="200"/>
        <v>1900</v>
      </c>
      <c r="G1339" s="888"/>
      <c r="H1339" s="889"/>
      <c r="I1339" s="888"/>
      <c r="J1339" s="888"/>
      <c r="K1339" s="980"/>
      <c r="L1339" s="77"/>
      <c r="M1339" s="78">
        <f t="shared" si="198"/>
        <v>0</v>
      </c>
      <c r="N1339" s="748"/>
      <c r="P1339" s="29" t="str">
        <f t="shared" si="201"/>
        <v>1900</v>
      </c>
      <c r="Q1339" s="29" t="str">
        <f t="shared" si="202"/>
        <v/>
      </c>
      <c r="R1339" s="29" t="str">
        <f t="shared" si="203"/>
        <v/>
      </c>
    </row>
    <row r="1340" spans="1:18">
      <c r="A1340" s="483">
        <f t="shared" si="197"/>
        <v>1336</v>
      </c>
      <c r="B1340" s="77"/>
      <c r="C1340" s="77"/>
      <c r="D1340" s="858"/>
      <c r="E1340" s="858">
        <f t="shared" si="199"/>
        <v>0</v>
      </c>
      <c r="F1340" s="887">
        <f t="shared" si="200"/>
        <v>1900</v>
      </c>
      <c r="G1340" s="888"/>
      <c r="H1340" s="889"/>
      <c r="I1340" s="888"/>
      <c r="J1340" s="888"/>
      <c r="K1340" s="980"/>
      <c r="L1340" s="77"/>
      <c r="M1340" s="78">
        <f t="shared" si="198"/>
        <v>0</v>
      </c>
      <c r="N1340" s="748"/>
      <c r="P1340" s="29" t="str">
        <f t="shared" si="201"/>
        <v>1900</v>
      </c>
      <c r="Q1340" s="29" t="str">
        <f t="shared" si="202"/>
        <v/>
      </c>
      <c r="R1340" s="29" t="str">
        <f t="shared" si="203"/>
        <v/>
      </c>
    </row>
    <row r="1341" spans="1:18">
      <c r="A1341" s="483">
        <f t="shared" si="197"/>
        <v>1337</v>
      </c>
      <c r="B1341" s="77"/>
      <c r="C1341" s="77"/>
      <c r="D1341" s="858"/>
      <c r="E1341" s="858">
        <f t="shared" si="199"/>
        <v>0</v>
      </c>
      <c r="F1341" s="887">
        <f t="shared" si="200"/>
        <v>1900</v>
      </c>
      <c r="G1341" s="888"/>
      <c r="H1341" s="889"/>
      <c r="I1341" s="888"/>
      <c r="J1341" s="888"/>
      <c r="K1341" s="980"/>
      <c r="L1341" s="77"/>
      <c r="M1341" s="78">
        <f t="shared" si="198"/>
        <v>0</v>
      </c>
      <c r="N1341" s="748"/>
      <c r="P1341" s="29" t="str">
        <f t="shared" si="201"/>
        <v>1900</v>
      </c>
      <c r="Q1341" s="29" t="str">
        <f t="shared" si="202"/>
        <v/>
      </c>
      <c r="R1341" s="29" t="str">
        <f t="shared" si="203"/>
        <v/>
      </c>
    </row>
    <row r="1342" spans="1:18">
      <c r="A1342" s="483">
        <f t="shared" si="197"/>
        <v>1338</v>
      </c>
      <c r="B1342" s="77"/>
      <c r="C1342" s="77"/>
      <c r="D1342" s="858"/>
      <c r="E1342" s="858">
        <f t="shared" si="199"/>
        <v>0</v>
      </c>
      <c r="F1342" s="887">
        <f t="shared" si="200"/>
        <v>1900</v>
      </c>
      <c r="G1342" s="888"/>
      <c r="H1342" s="889"/>
      <c r="I1342" s="888"/>
      <c r="J1342" s="888"/>
      <c r="K1342" s="980"/>
      <c r="L1342" s="77"/>
      <c r="M1342" s="78">
        <f t="shared" si="198"/>
        <v>0</v>
      </c>
      <c r="N1342" s="748"/>
      <c r="P1342" s="29" t="str">
        <f t="shared" si="201"/>
        <v>1900</v>
      </c>
      <c r="Q1342" s="29" t="str">
        <f t="shared" si="202"/>
        <v/>
      </c>
      <c r="R1342" s="29" t="str">
        <f t="shared" si="203"/>
        <v/>
      </c>
    </row>
    <row r="1343" spans="1:18">
      <c r="A1343" s="483">
        <f t="shared" si="197"/>
        <v>1339</v>
      </c>
      <c r="B1343" s="77"/>
      <c r="C1343" s="77"/>
      <c r="D1343" s="858"/>
      <c r="E1343" s="858">
        <f t="shared" si="199"/>
        <v>0</v>
      </c>
      <c r="F1343" s="887">
        <f t="shared" si="200"/>
        <v>1900</v>
      </c>
      <c r="G1343" s="888"/>
      <c r="H1343" s="889"/>
      <c r="I1343" s="888"/>
      <c r="J1343" s="888"/>
      <c r="K1343" s="980"/>
      <c r="L1343" s="77"/>
      <c r="M1343" s="78">
        <f t="shared" si="198"/>
        <v>0</v>
      </c>
      <c r="N1343" s="748"/>
      <c r="P1343" s="29" t="str">
        <f t="shared" si="201"/>
        <v>1900</v>
      </c>
      <c r="Q1343" s="29" t="str">
        <f t="shared" si="202"/>
        <v/>
      </c>
      <c r="R1343" s="29" t="str">
        <f t="shared" si="203"/>
        <v/>
      </c>
    </row>
    <row r="1344" spans="1:18">
      <c r="A1344" s="483">
        <f t="shared" si="197"/>
        <v>1340</v>
      </c>
      <c r="B1344" s="77"/>
      <c r="C1344" s="77"/>
      <c r="D1344" s="858"/>
      <c r="E1344" s="858">
        <f t="shared" si="199"/>
        <v>0</v>
      </c>
      <c r="F1344" s="887">
        <f t="shared" si="200"/>
        <v>1900</v>
      </c>
      <c r="G1344" s="888"/>
      <c r="H1344" s="889"/>
      <c r="I1344" s="888"/>
      <c r="J1344" s="888"/>
      <c r="K1344" s="980"/>
      <c r="L1344" s="77"/>
      <c r="M1344" s="78">
        <f t="shared" si="198"/>
        <v>0</v>
      </c>
      <c r="N1344" s="748"/>
      <c r="P1344" s="29" t="str">
        <f t="shared" si="201"/>
        <v>1900</v>
      </c>
      <c r="Q1344" s="29" t="str">
        <f t="shared" si="202"/>
        <v/>
      </c>
      <c r="R1344" s="29" t="str">
        <f t="shared" si="203"/>
        <v/>
      </c>
    </row>
    <row r="1345" spans="1:18">
      <c r="A1345" s="483">
        <f t="shared" si="197"/>
        <v>1341</v>
      </c>
      <c r="B1345" s="77"/>
      <c r="C1345" s="77"/>
      <c r="D1345" s="858"/>
      <c r="E1345" s="858">
        <f t="shared" si="199"/>
        <v>0</v>
      </c>
      <c r="F1345" s="887">
        <f t="shared" si="200"/>
        <v>1900</v>
      </c>
      <c r="G1345" s="888"/>
      <c r="H1345" s="889"/>
      <c r="I1345" s="888"/>
      <c r="J1345" s="888"/>
      <c r="K1345" s="980"/>
      <c r="L1345" s="77"/>
      <c r="M1345" s="78">
        <f t="shared" si="198"/>
        <v>0</v>
      </c>
      <c r="N1345" s="748"/>
      <c r="P1345" s="29" t="str">
        <f t="shared" si="201"/>
        <v>1900</v>
      </c>
      <c r="Q1345" s="29" t="str">
        <f t="shared" si="202"/>
        <v/>
      </c>
      <c r="R1345" s="29" t="str">
        <f t="shared" si="203"/>
        <v/>
      </c>
    </row>
    <row r="1346" spans="1:18">
      <c r="A1346" s="483">
        <f t="shared" si="197"/>
        <v>1342</v>
      </c>
      <c r="B1346" s="77"/>
      <c r="C1346" s="77"/>
      <c r="D1346" s="858"/>
      <c r="E1346" s="858">
        <f t="shared" si="199"/>
        <v>0</v>
      </c>
      <c r="F1346" s="887">
        <f t="shared" si="200"/>
        <v>1900</v>
      </c>
      <c r="G1346" s="888"/>
      <c r="H1346" s="889"/>
      <c r="I1346" s="888"/>
      <c r="J1346" s="888"/>
      <c r="K1346" s="980"/>
      <c r="L1346" s="77"/>
      <c r="M1346" s="78">
        <f t="shared" si="198"/>
        <v>0</v>
      </c>
      <c r="N1346" s="748"/>
      <c r="P1346" s="29" t="str">
        <f t="shared" si="201"/>
        <v>1900</v>
      </c>
      <c r="Q1346" s="29" t="str">
        <f t="shared" si="202"/>
        <v/>
      </c>
      <c r="R1346" s="29" t="str">
        <f t="shared" si="203"/>
        <v/>
      </c>
    </row>
    <row r="1347" spans="1:18">
      <c r="A1347" s="483">
        <f t="shared" si="197"/>
        <v>1343</v>
      </c>
      <c r="B1347" s="77"/>
      <c r="C1347" s="77"/>
      <c r="D1347" s="858"/>
      <c r="E1347" s="858">
        <f t="shared" si="199"/>
        <v>0</v>
      </c>
      <c r="F1347" s="887">
        <f t="shared" si="200"/>
        <v>1900</v>
      </c>
      <c r="G1347" s="888"/>
      <c r="H1347" s="889"/>
      <c r="I1347" s="888"/>
      <c r="J1347" s="888"/>
      <c r="K1347" s="980"/>
      <c r="L1347" s="77"/>
      <c r="M1347" s="78">
        <f t="shared" si="198"/>
        <v>0</v>
      </c>
      <c r="N1347" s="748"/>
      <c r="P1347" s="29" t="str">
        <f t="shared" si="201"/>
        <v>1900</v>
      </c>
      <c r="Q1347" s="29" t="str">
        <f t="shared" si="202"/>
        <v/>
      </c>
      <c r="R1347" s="29" t="str">
        <f t="shared" si="203"/>
        <v/>
      </c>
    </row>
    <row r="1348" spans="1:18">
      <c r="A1348" s="483">
        <f t="shared" si="197"/>
        <v>1344</v>
      </c>
      <c r="B1348" s="77"/>
      <c r="C1348" s="77"/>
      <c r="D1348" s="858"/>
      <c r="E1348" s="858">
        <f t="shared" si="199"/>
        <v>0</v>
      </c>
      <c r="F1348" s="887">
        <f t="shared" si="200"/>
        <v>1900</v>
      </c>
      <c r="G1348" s="888"/>
      <c r="H1348" s="889"/>
      <c r="I1348" s="888"/>
      <c r="J1348" s="888"/>
      <c r="K1348" s="980"/>
      <c r="L1348" s="77"/>
      <c r="M1348" s="78">
        <f t="shared" si="198"/>
        <v>0</v>
      </c>
      <c r="N1348" s="748"/>
      <c r="P1348" s="29" t="str">
        <f t="shared" si="201"/>
        <v>1900</v>
      </c>
      <c r="Q1348" s="29" t="str">
        <f t="shared" si="202"/>
        <v/>
      </c>
      <c r="R1348" s="29" t="str">
        <f t="shared" si="203"/>
        <v/>
      </c>
    </row>
    <row r="1349" spans="1:18">
      <c r="A1349" s="483">
        <f t="shared" si="197"/>
        <v>1345</v>
      </c>
      <c r="B1349" s="77"/>
      <c r="C1349" s="77"/>
      <c r="D1349" s="858"/>
      <c r="E1349" s="858">
        <f t="shared" si="199"/>
        <v>0</v>
      </c>
      <c r="F1349" s="887">
        <f t="shared" si="200"/>
        <v>1900</v>
      </c>
      <c r="G1349" s="888"/>
      <c r="H1349" s="889"/>
      <c r="I1349" s="888"/>
      <c r="J1349" s="888"/>
      <c r="K1349" s="980"/>
      <c r="L1349" s="77"/>
      <c r="M1349" s="78">
        <f t="shared" si="198"/>
        <v>0</v>
      </c>
      <c r="N1349" s="748"/>
      <c r="P1349" s="29" t="str">
        <f t="shared" si="201"/>
        <v>1900</v>
      </c>
      <c r="Q1349" s="29" t="str">
        <f t="shared" si="202"/>
        <v/>
      </c>
      <c r="R1349" s="29" t="str">
        <f t="shared" si="203"/>
        <v/>
      </c>
    </row>
    <row r="1350" spans="1:18">
      <c r="A1350" s="483">
        <f t="shared" si="197"/>
        <v>1346</v>
      </c>
      <c r="B1350" s="77"/>
      <c r="C1350" s="77"/>
      <c r="D1350" s="858"/>
      <c r="E1350" s="858">
        <f t="shared" si="199"/>
        <v>0</v>
      </c>
      <c r="F1350" s="887">
        <f t="shared" si="200"/>
        <v>1900</v>
      </c>
      <c r="G1350" s="888"/>
      <c r="H1350" s="889"/>
      <c r="I1350" s="888"/>
      <c r="J1350" s="888"/>
      <c r="K1350" s="980"/>
      <c r="L1350" s="77"/>
      <c r="M1350" s="78">
        <f t="shared" si="198"/>
        <v>0</v>
      </c>
      <c r="N1350" s="748"/>
      <c r="P1350" s="29" t="str">
        <f t="shared" si="201"/>
        <v>1900</v>
      </c>
      <c r="Q1350" s="29" t="str">
        <f t="shared" si="202"/>
        <v/>
      </c>
      <c r="R1350" s="29" t="str">
        <f t="shared" si="203"/>
        <v/>
      </c>
    </row>
    <row r="1351" spans="1:18">
      <c r="A1351" s="483">
        <f t="shared" si="197"/>
        <v>1347</v>
      </c>
      <c r="B1351" s="77"/>
      <c r="C1351" s="77"/>
      <c r="D1351" s="858"/>
      <c r="E1351" s="858">
        <f t="shared" si="199"/>
        <v>0</v>
      </c>
      <c r="F1351" s="887">
        <f t="shared" si="200"/>
        <v>1900</v>
      </c>
      <c r="G1351" s="888"/>
      <c r="H1351" s="889"/>
      <c r="I1351" s="888"/>
      <c r="J1351" s="888"/>
      <c r="K1351" s="980"/>
      <c r="L1351" s="77"/>
      <c r="M1351" s="78">
        <f t="shared" si="198"/>
        <v>0</v>
      </c>
      <c r="N1351" s="748"/>
      <c r="P1351" s="29" t="str">
        <f t="shared" si="201"/>
        <v>1900</v>
      </c>
      <c r="Q1351" s="29" t="str">
        <f t="shared" si="202"/>
        <v/>
      </c>
      <c r="R1351" s="29" t="str">
        <f t="shared" si="203"/>
        <v/>
      </c>
    </row>
    <row r="1352" spans="1:18">
      <c r="A1352" s="483">
        <f t="shared" ref="A1352:A1415" si="204">+A1351+1</f>
        <v>1348</v>
      </c>
      <c r="B1352" s="77"/>
      <c r="C1352" s="77"/>
      <c r="D1352" s="858"/>
      <c r="E1352" s="858">
        <f t="shared" si="199"/>
        <v>0</v>
      </c>
      <c r="F1352" s="887">
        <f t="shared" si="200"/>
        <v>1900</v>
      </c>
      <c r="G1352" s="888"/>
      <c r="H1352" s="889"/>
      <c r="I1352" s="888"/>
      <c r="J1352" s="888"/>
      <c r="K1352" s="980"/>
      <c r="L1352" s="77"/>
      <c r="M1352" s="78">
        <f t="shared" si="198"/>
        <v>0</v>
      </c>
      <c r="N1352" s="748"/>
      <c r="P1352" s="29" t="str">
        <f t="shared" si="201"/>
        <v>1900</v>
      </c>
      <c r="Q1352" s="29" t="str">
        <f t="shared" si="202"/>
        <v/>
      </c>
      <c r="R1352" s="29" t="str">
        <f t="shared" si="203"/>
        <v/>
      </c>
    </row>
    <row r="1353" spans="1:18">
      <c r="A1353" s="483">
        <f t="shared" si="204"/>
        <v>1349</v>
      </c>
      <c r="B1353" s="77"/>
      <c r="C1353" s="77"/>
      <c r="D1353" s="858"/>
      <c r="E1353" s="858">
        <f t="shared" si="199"/>
        <v>0</v>
      </c>
      <c r="F1353" s="887">
        <f t="shared" si="200"/>
        <v>1900</v>
      </c>
      <c r="G1353" s="888"/>
      <c r="H1353" s="889"/>
      <c r="I1353" s="888"/>
      <c r="J1353" s="888"/>
      <c r="K1353" s="980"/>
      <c r="L1353" s="77"/>
      <c r="M1353" s="78">
        <f t="shared" si="198"/>
        <v>0</v>
      </c>
      <c r="N1353" s="748"/>
      <c r="P1353" s="29" t="str">
        <f t="shared" si="201"/>
        <v>1900</v>
      </c>
      <c r="Q1353" s="29" t="str">
        <f t="shared" si="202"/>
        <v/>
      </c>
      <c r="R1353" s="29" t="str">
        <f t="shared" si="203"/>
        <v/>
      </c>
    </row>
    <row r="1354" spans="1:18">
      <c r="A1354" s="483">
        <f t="shared" si="204"/>
        <v>1350</v>
      </c>
      <c r="B1354" s="77"/>
      <c r="C1354" s="77"/>
      <c r="D1354" s="858"/>
      <c r="E1354" s="858">
        <f t="shared" si="199"/>
        <v>0</v>
      </c>
      <c r="F1354" s="887">
        <f t="shared" si="200"/>
        <v>1900</v>
      </c>
      <c r="G1354" s="888"/>
      <c r="H1354" s="889"/>
      <c r="I1354" s="888"/>
      <c r="J1354" s="888"/>
      <c r="K1354" s="980"/>
      <c r="L1354" s="77"/>
      <c r="M1354" s="78">
        <f t="shared" si="198"/>
        <v>0</v>
      </c>
      <c r="N1354" s="748"/>
      <c r="P1354" s="29" t="str">
        <f t="shared" si="201"/>
        <v>1900</v>
      </c>
      <c r="Q1354" s="29" t="str">
        <f t="shared" si="202"/>
        <v/>
      </c>
      <c r="R1354" s="29" t="str">
        <f t="shared" si="203"/>
        <v/>
      </c>
    </row>
    <row r="1355" spans="1:18">
      <c r="A1355" s="483">
        <f t="shared" si="204"/>
        <v>1351</v>
      </c>
      <c r="B1355" s="77"/>
      <c r="C1355" s="77"/>
      <c r="D1355" s="858"/>
      <c r="E1355" s="858">
        <f t="shared" si="199"/>
        <v>0</v>
      </c>
      <c r="F1355" s="887">
        <f t="shared" si="200"/>
        <v>1900</v>
      </c>
      <c r="G1355" s="888"/>
      <c r="H1355" s="889"/>
      <c r="I1355" s="888"/>
      <c r="J1355" s="888"/>
      <c r="K1355" s="980"/>
      <c r="L1355" s="77"/>
      <c r="M1355" s="78">
        <f t="shared" si="198"/>
        <v>0</v>
      </c>
      <c r="N1355" s="748"/>
      <c r="P1355" s="29" t="str">
        <f t="shared" si="201"/>
        <v>1900</v>
      </c>
      <c r="Q1355" s="29" t="str">
        <f t="shared" si="202"/>
        <v/>
      </c>
      <c r="R1355" s="29" t="str">
        <f t="shared" si="203"/>
        <v/>
      </c>
    </row>
    <row r="1356" spans="1:18">
      <c r="A1356" s="483">
        <f t="shared" si="204"/>
        <v>1352</v>
      </c>
      <c r="B1356" s="77"/>
      <c r="C1356" s="77"/>
      <c r="D1356" s="858"/>
      <c r="E1356" s="858">
        <f t="shared" si="199"/>
        <v>0</v>
      </c>
      <c r="F1356" s="887">
        <f t="shared" si="200"/>
        <v>1900</v>
      </c>
      <c r="G1356" s="888"/>
      <c r="H1356" s="889"/>
      <c r="I1356" s="888"/>
      <c r="J1356" s="888"/>
      <c r="K1356" s="980"/>
      <c r="L1356" s="77"/>
      <c r="M1356" s="78">
        <f t="shared" ref="M1356:M1419" si="205">+L1356</f>
        <v>0</v>
      </c>
      <c r="N1356" s="748"/>
      <c r="P1356" s="29" t="str">
        <f t="shared" si="201"/>
        <v>1900</v>
      </c>
      <c r="Q1356" s="29" t="str">
        <f t="shared" si="202"/>
        <v/>
      </c>
      <c r="R1356" s="29" t="str">
        <f t="shared" si="203"/>
        <v/>
      </c>
    </row>
    <row r="1357" spans="1:18">
      <c r="A1357" s="483">
        <f t="shared" si="204"/>
        <v>1353</v>
      </c>
      <c r="B1357" s="77"/>
      <c r="C1357" s="77"/>
      <c r="D1357" s="858"/>
      <c r="E1357" s="858">
        <f t="shared" si="199"/>
        <v>0</v>
      </c>
      <c r="F1357" s="887">
        <f t="shared" si="200"/>
        <v>1900</v>
      </c>
      <c r="G1357" s="888"/>
      <c r="H1357" s="889"/>
      <c r="I1357" s="888"/>
      <c r="J1357" s="888"/>
      <c r="K1357" s="980"/>
      <c r="L1357" s="77"/>
      <c r="M1357" s="78">
        <f t="shared" si="205"/>
        <v>0</v>
      </c>
      <c r="N1357" s="748"/>
      <c r="P1357" s="29" t="str">
        <f t="shared" si="201"/>
        <v>1900</v>
      </c>
      <c r="Q1357" s="29" t="str">
        <f t="shared" si="202"/>
        <v/>
      </c>
      <c r="R1357" s="29" t="str">
        <f t="shared" si="203"/>
        <v/>
      </c>
    </row>
    <row r="1358" spans="1:18">
      <c r="A1358" s="483">
        <f t="shared" si="204"/>
        <v>1354</v>
      </c>
      <c r="B1358" s="77"/>
      <c r="C1358" s="77"/>
      <c r="D1358" s="858"/>
      <c r="E1358" s="858">
        <f t="shared" si="199"/>
        <v>0</v>
      </c>
      <c r="F1358" s="887">
        <f t="shared" si="200"/>
        <v>1900</v>
      </c>
      <c r="G1358" s="888"/>
      <c r="H1358" s="889"/>
      <c r="I1358" s="888"/>
      <c r="J1358" s="888"/>
      <c r="K1358" s="980"/>
      <c r="L1358" s="77"/>
      <c r="M1358" s="78">
        <f t="shared" si="205"/>
        <v>0</v>
      </c>
      <c r="N1358" s="748"/>
      <c r="P1358" s="29" t="str">
        <f t="shared" si="201"/>
        <v>1900</v>
      </c>
      <c r="Q1358" s="29" t="str">
        <f t="shared" si="202"/>
        <v/>
      </c>
      <c r="R1358" s="29" t="str">
        <f t="shared" si="203"/>
        <v/>
      </c>
    </row>
    <row r="1359" spans="1:18">
      <c r="A1359" s="483">
        <f t="shared" si="204"/>
        <v>1355</v>
      </c>
      <c r="B1359" s="77"/>
      <c r="C1359" s="77"/>
      <c r="D1359" s="858"/>
      <c r="E1359" s="858">
        <f t="shared" si="199"/>
        <v>0</v>
      </c>
      <c r="F1359" s="887">
        <f t="shared" si="200"/>
        <v>1900</v>
      </c>
      <c r="G1359" s="888"/>
      <c r="H1359" s="889"/>
      <c r="I1359" s="888"/>
      <c r="J1359" s="888"/>
      <c r="K1359" s="980"/>
      <c r="L1359" s="77"/>
      <c r="M1359" s="78">
        <f t="shared" si="205"/>
        <v>0</v>
      </c>
      <c r="N1359" s="748"/>
      <c r="P1359" s="29" t="str">
        <f t="shared" si="201"/>
        <v>1900</v>
      </c>
      <c r="Q1359" s="29" t="str">
        <f t="shared" si="202"/>
        <v/>
      </c>
      <c r="R1359" s="29" t="str">
        <f t="shared" si="203"/>
        <v/>
      </c>
    </row>
    <row r="1360" spans="1:18">
      <c r="A1360" s="483">
        <f t="shared" si="204"/>
        <v>1356</v>
      </c>
      <c r="B1360" s="77"/>
      <c r="C1360" s="77"/>
      <c r="D1360" s="858"/>
      <c r="E1360" s="858">
        <f t="shared" si="199"/>
        <v>0</v>
      </c>
      <c r="F1360" s="887">
        <f t="shared" si="200"/>
        <v>1900</v>
      </c>
      <c r="G1360" s="888"/>
      <c r="H1360" s="889"/>
      <c r="I1360" s="888"/>
      <c r="J1360" s="888"/>
      <c r="K1360" s="980"/>
      <c r="L1360" s="77"/>
      <c r="M1360" s="78">
        <f t="shared" si="205"/>
        <v>0</v>
      </c>
      <c r="N1360" s="748"/>
      <c r="P1360" s="29" t="str">
        <f t="shared" si="201"/>
        <v>1900</v>
      </c>
      <c r="Q1360" s="29" t="str">
        <f t="shared" si="202"/>
        <v/>
      </c>
      <c r="R1360" s="29" t="str">
        <f t="shared" si="203"/>
        <v/>
      </c>
    </row>
    <row r="1361" spans="1:18">
      <c r="A1361" s="483">
        <f t="shared" si="204"/>
        <v>1357</v>
      </c>
      <c r="B1361" s="77"/>
      <c r="C1361" s="77"/>
      <c r="D1361" s="858"/>
      <c r="E1361" s="858">
        <f t="shared" si="199"/>
        <v>0</v>
      </c>
      <c r="F1361" s="887">
        <f t="shared" si="200"/>
        <v>1900</v>
      </c>
      <c r="G1361" s="888"/>
      <c r="H1361" s="889"/>
      <c r="I1361" s="888"/>
      <c r="J1361" s="888"/>
      <c r="K1361" s="980"/>
      <c r="L1361" s="77"/>
      <c r="M1361" s="78">
        <f t="shared" si="205"/>
        <v>0</v>
      </c>
      <c r="N1361" s="748"/>
      <c r="P1361" s="29" t="str">
        <f t="shared" si="201"/>
        <v>1900</v>
      </c>
      <c r="Q1361" s="29" t="str">
        <f t="shared" si="202"/>
        <v/>
      </c>
      <c r="R1361" s="29" t="str">
        <f t="shared" si="203"/>
        <v/>
      </c>
    </row>
    <row r="1362" spans="1:18">
      <c r="A1362" s="483">
        <f t="shared" si="204"/>
        <v>1358</v>
      </c>
      <c r="B1362" s="77"/>
      <c r="C1362" s="77"/>
      <c r="D1362" s="858"/>
      <c r="E1362" s="858">
        <f t="shared" si="199"/>
        <v>0</v>
      </c>
      <c r="F1362" s="887">
        <f t="shared" si="200"/>
        <v>1900</v>
      </c>
      <c r="G1362" s="888"/>
      <c r="H1362" s="889"/>
      <c r="I1362" s="888"/>
      <c r="J1362" s="888"/>
      <c r="K1362" s="980"/>
      <c r="L1362" s="77"/>
      <c r="M1362" s="78">
        <f t="shared" si="205"/>
        <v>0</v>
      </c>
      <c r="N1362" s="748"/>
      <c r="P1362" s="29" t="str">
        <f t="shared" si="201"/>
        <v>1900</v>
      </c>
      <c r="Q1362" s="29" t="str">
        <f t="shared" si="202"/>
        <v/>
      </c>
      <c r="R1362" s="29" t="str">
        <f t="shared" si="203"/>
        <v/>
      </c>
    </row>
    <row r="1363" spans="1:18">
      <c r="A1363" s="483">
        <f t="shared" si="204"/>
        <v>1359</v>
      </c>
      <c r="B1363" s="77"/>
      <c r="C1363" s="77"/>
      <c r="D1363" s="858"/>
      <c r="E1363" s="858">
        <f t="shared" si="199"/>
        <v>0</v>
      </c>
      <c r="F1363" s="887">
        <f t="shared" si="200"/>
        <v>1900</v>
      </c>
      <c r="G1363" s="888"/>
      <c r="H1363" s="889"/>
      <c r="I1363" s="888"/>
      <c r="J1363" s="888"/>
      <c r="K1363" s="980"/>
      <c r="L1363" s="77"/>
      <c r="M1363" s="78">
        <f t="shared" si="205"/>
        <v>0</v>
      </c>
      <c r="N1363" s="748"/>
      <c r="P1363" s="29" t="str">
        <f t="shared" si="201"/>
        <v>1900</v>
      </c>
      <c r="Q1363" s="29" t="str">
        <f t="shared" si="202"/>
        <v/>
      </c>
      <c r="R1363" s="29" t="str">
        <f t="shared" si="203"/>
        <v/>
      </c>
    </row>
    <row r="1364" spans="1:18">
      <c r="A1364" s="483">
        <f t="shared" si="204"/>
        <v>1360</v>
      </c>
      <c r="B1364" s="77"/>
      <c r="C1364" s="77"/>
      <c r="D1364" s="858"/>
      <c r="E1364" s="858">
        <f t="shared" si="199"/>
        <v>0</v>
      </c>
      <c r="F1364" s="887">
        <f t="shared" si="200"/>
        <v>1900</v>
      </c>
      <c r="G1364" s="888"/>
      <c r="H1364" s="889"/>
      <c r="I1364" s="888"/>
      <c r="J1364" s="888"/>
      <c r="K1364" s="980"/>
      <c r="L1364" s="77"/>
      <c r="M1364" s="78">
        <f t="shared" si="205"/>
        <v>0</v>
      </c>
      <c r="N1364" s="748"/>
      <c r="P1364" s="29" t="str">
        <f t="shared" si="201"/>
        <v>1900</v>
      </c>
      <c r="Q1364" s="29" t="str">
        <f t="shared" si="202"/>
        <v/>
      </c>
      <c r="R1364" s="29" t="str">
        <f t="shared" si="203"/>
        <v/>
      </c>
    </row>
    <row r="1365" spans="1:18">
      <c r="A1365" s="483">
        <f t="shared" si="204"/>
        <v>1361</v>
      </c>
      <c r="B1365" s="77"/>
      <c r="C1365" s="77"/>
      <c r="D1365" s="858"/>
      <c r="E1365" s="858">
        <f t="shared" si="199"/>
        <v>0</v>
      </c>
      <c r="F1365" s="887">
        <f t="shared" si="200"/>
        <v>1900</v>
      </c>
      <c r="G1365" s="888"/>
      <c r="H1365" s="889"/>
      <c r="I1365" s="888"/>
      <c r="J1365" s="888"/>
      <c r="K1365" s="980"/>
      <c r="L1365" s="77"/>
      <c r="M1365" s="78">
        <f t="shared" si="205"/>
        <v>0</v>
      </c>
      <c r="N1365" s="748"/>
      <c r="P1365" s="29" t="str">
        <f t="shared" si="201"/>
        <v>1900</v>
      </c>
      <c r="Q1365" s="29" t="str">
        <f t="shared" si="202"/>
        <v/>
      </c>
      <c r="R1365" s="29" t="str">
        <f t="shared" si="203"/>
        <v/>
      </c>
    </row>
    <row r="1366" spans="1:18">
      <c r="A1366" s="483">
        <f t="shared" si="204"/>
        <v>1362</v>
      </c>
      <c r="B1366" s="77"/>
      <c r="C1366" s="77"/>
      <c r="D1366" s="858"/>
      <c r="E1366" s="858">
        <f t="shared" si="199"/>
        <v>0</v>
      </c>
      <c r="F1366" s="887">
        <f t="shared" si="200"/>
        <v>1900</v>
      </c>
      <c r="G1366" s="888"/>
      <c r="H1366" s="889"/>
      <c r="I1366" s="888"/>
      <c r="J1366" s="888"/>
      <c r="K1366" s="980"/>
      <c r="L1366" s="77"/>
      <c r="M1366" s="78">
        <f t="shared" si="205"/>
        <v>0</v>
      </c>
      <c r="N1366" s="748"/>
      <c r="P1366" s="29" t="str">
        <f t="shared" si="201"/>
        <v>1900</v>
      </c>
      <c r="Q1366" s="29" t="str">
        <f t="shared" si="202"/>
        <v/>
      </c>
      <c r="R1366" s="29" t="str">
        <f t="shared" si="203"/>
        <v/>
      </c>
    </row>
    <row r="1367" spans="1:18">
      <c r="A1367" s="483">
        <f t="shared" si="204"/>
        <v>1363</v>
      </c>
      <c r="B1367" s="77"/>
      <c r="C1367" s="77"/>
      <c r="D1367" s="858"/>
      <c r="E1367" s="858">
        <f t="shared" si="199"/>
        <v>0</v>
      </c>
      <c r="F1367" s="887">
        <f t="shared" si="200"/>
        <v>1900</v>
      </c>
      <c r="G1367" s="888"/>
      <c r="H1367" s="889"/>
      <c r="I1367" s="888"/>
      <c r="J1367" s="888"/>
      <c r="K1367" s="980"/>
      <c r="L1367" s="77"/>
      <c r="M1367" s="78">
        <f t="shared" si="205"/>
        <v>0</v>
      </c>
      <c r="N1367" s="748"/>
      <c r="P1367" s="29" t="str">
        <f t="shared" si="201"/>
        <v>1900</v>
      </c>
      <c r="Q1367" s="29" t="str">
        <f t="shared" si="202"/>
        <v/>
      </c>
      <c r="R1367" s="29" t="str">
        <f t="shared" si="203"/>
        <v/>
      </c>
    </row>
    <row r="1368" spans="1:18">
      <c r="A1368" s="483">
        <f t="shared" si="204"/>
        <v>1364</v>
      </c>
      <c r="B1368" s="77"/>
      <c r="C1368" s="77"/>
      <c r="D1368" s="858"/>
      <c r="E1368" s="858">
        <f t="shared" si="199"/>
        <v>0</v>
      </c>
      <c r="F1368" s="887">
        <f t="shared" si="200"/>
        <v>1900</v>
      </c>
      <c r="G1368" s="888"/>
      <c r="H1368" s="889"/>
      <c r="I1368" s="888"/>
      <c r="J1368" s="888"/>
      <c r="K1368" s="980"/>
      <c r="L1368" s="77"/>
      <c r="M1368" s="78">
        <f t="shared" si="205"/>
        <v>0</v>
      </c>
      <c r="N1368" s="748"/>
      <c r="P1368" s="29" t="str">
        <f t="shared" si="201"/>
        <v>1900</v>
      </c>
      <c r="Q1368" s="29" t="str">
        <f t="shared" si="202"/>
        <v/>
      </c>
      <c r="R1368" s="29" t="str">
        <f t="shared" si="203"/>
        <v/>
      </c>
    </row>
    <row r="1369" spans="1:18">
      <c r="A1369" s="483">
        <f t="shared" si="204"/>
        <v>1365</v>
      </c>
      <c r="B1369" s="77"/>
      <c r="C1369" s="77"/>
      <c r="D1369" s="858"/>
      <c r="E1369" s="858">
        <f t="shared" si="199"/>
        <v>0</v>
      </c>
      <c r="F1369" s="887">
        <f t="shared" si="200"/>
        <v>1900</v>
      </c>
      <c r="G1369" s="888"/>
      <c r="H1369" s="889"/>
      <c r="I1369" s="888"/>
      <c r="J1369" s="888"/>
      <c r="K1369" s="980"/>
      <c r="L1369" s="77"/>
      <c r="M1369" s="78">
        <f t="shared" si="205"/>
        <v>0</v>
      </c>
      <c r="N1369" s="748"/>
      <c r="P1369" s="29" t="str">
        <f t="shared" si="201"/>
        <v>1900</v>
      </c>
      <c r="Q1369" s="29" t="str">
        <f t="shared" si="202"/>
        <v/>
      </c>
      <c r="R1369" s="29" t="str">
        <f t="shared" si="203"/>
        <v/>
      </c>
    </row>
    <row r="1370" spans="1:18">
      <c r="A1370" s="483">
        <f t="shared" si="204"/>
        <v>1366</v>
      </c>
      <c r="B1370" s="77"/>
      <c r="C1370" s="77"/>
      <c r="D1370" s="858"/>
      <c r="E1370" s="858">
        <f t="shared" si="199"/>
        <v>0</v>
      </c>
      <c r="F1370" s="887">
        <f t="shared" si="200"/>
        <v>1900</v>
      </c>
      <c r="G1370" s="888"/>
      <c r="H1370" s="889"/>
      <c r="I1370" s="888"/>
      <c r="J1370" s="888"/>
      <c r="K1370" s="980"/>
      <c r="L1370" s="77"/>
      <c r="M1370" s="78">
        <f t="shared" si="205"/>
        <v>0</v>
      </c>
      <c r="N1370" s="748"/>
      <c r="P1370" s="29" t="str">
        <f t="shared" si="201"/>
        <v>1900</v>
      </c>
      <c r="Q1370" s="29" t="str">
        <f t="shared" si="202"/>
        <v/>
      </c>
      <c r="R1370" s="29" t="str">
        <f t="shared" si="203"/>
        <v/>
      </c>
    </row>
    <row r="1371" spans="1:18">
      <c r="A1371" s="483">
        <f t="shared" si="204"/>
        <v>1367</v>
      </c>
      <c r="B1371" s="77"/>
      <c r="C1371" s="77"/>
      <c r="D1371" s="858"/>
      <c r="E1371" s="858">
        <f t="shared" si="199"/>
        <v>0</v>
      </c>
      <c r="F1371" s="887">
        <f t="shared" si="200"/>
        <v>1900</v>
      </c>
      <c r="G1371" s="888"/>
      <c r="H1371" s="889"/>
      <c r="I1371" s="888"/>
      <c r="J1371" s="888"/>
      <c r="K1371" s="980"/>
      <c r="L1371" s="77"/>
      <c r="M1371" s="78">
        <f t="shared" si="205"/>
        <v>0</v>
      </c>
      <c r="N1371" s="748"/>
      <c r="P1371" s="29" t="str">
        <f t="shared" si="201"/>
        <v>1900</v>
      </c>
      <c r="Q1371" s="29" t="str">
        <f t="shared" si="202"/>
        <v/>
      </c>
      <c r="R1371" s="29" t="str">
        <f t="shared" si="203"/>
        <v/>
      </c>
    </row>
    <row r="1372" spans="1:18">
      <c r="A1372" s="483">
        <f t="shared" si="204"/>
        <v>1368</v>
      </c>
      <c r="B1372" s="77"/>
      <c r="C1372" s="77"/>
      <c r="D1372" s="858"/>
      <c r="E1372" s="858">
        <f t="shared" si="199"/>
        <v>0</v>
      </c>
      <c r="F1372" s="887">
        <f t="shared" si="200"/>
        <v>1900</v>
      </c>
      <c r="G1372" s="888"/>
      <c r="H1372" s="889"/>
      <c r="I1372" s="888"/>
      <c r="J1372" s="888"/>
      <c r="K1372" s="980"/>
      <c r="L1372" s="77"/>
      <c r="M1372" s="78">
        <f t="shared" si="205"/>
        <v>0</v>
      </c>
      <c r="N1372" s="748"/>
      <c r="P1372" s="29" t="str">
        <f t="shared" si="201"/>
        <v>1900</v>
      </c>
      <c r="Q1372" s="29" t="str">
        <f t="shared" si="202"/>
        <v/>
      </c>
      <c r="R1372" s="29" t="str">
        <f t="shared" si="203"/>
        <v/>
      </c>
    </row>
    <row r="1373" spans="1:18">
      <c r="A1373" s="483">
        <f t="shared" si="204"/>
        <v>1369</v>
      </c>
      <c r="B1373" s="77"/>
      <c r="C1373" s="77"/>
      <c r="D1373" s="858"/>
      <c r="E1373" s="858">
        <f t="shared" si="199"/>
        <v>0</v>
      </c>
      <c r="F1373" s="887">
        <f t="shared" si="200"/>
        <v>1900</v>
      </c>
      <c r="G1373" s="888"/>
      <c r="H1373" s="889"/>
      <c r="I1373" s="888"/>
      <c r="J1373" s="888"/>
      <c r="K1373" s="980"/>
      <c r="L1373" s="77"/>
      <c r="M1373" s="78">
        <f t="shared" si="205"/>
        <v>0</v>
      </c>
      <c r="N1373" s="748"/>
      <c r="P1373" s="29" t="str">
        <f t="shared" si="201"/>
        <v>1900</v>
      </c>
      <c r="Q1373" s="29" t="str">
        <f t="shared" si="202"/>
        <v/>
      </c>
      <c r="R1373" s="29" t="str">
        <f t="shared" si="203"/>
        <v/>
      </c>
    </row>
    <row r="1374" spans="1:18">
      <c r="A1374" s="483">
        <f t="shared" si="204"/>
        <v>1370</v>
      </c>
      <c r="B1374" s="77"/>
      <c r="C1374" s="77"/>
      <c r="D1374" s="858"/>
      <c r="E1374" s="858">
        <f t="shared" si="199"/>
        <v>0</v>
      </c>
      <c r="F1374" s="887">
        <f t="shared" si="200"/>
        <v>1900</v>
      </c>
      <c r="G1374" s="888"/>
      <c r="H1374" s="889"/>
      <c r="I1374" s="888"/>
      <c r="J1374" s="888"/>
      <c r="K1374" s="980"/>
      <c r="L1374" s="77"/>
      <c r="M1374" s="78">
        <f t="shared" si="205"/>
        <v>0</v>
      </c>
      <c r="N1374" s="748"/>
      <c r="P1374" s="29" t="str">
        <f t="shared" si="201"/>
        <v>1900</v>
      </c>
      <c r="Q1374" s="29" t="str">
        <f t="shared" si="202"/>
        <v/>
      </c>
      <c r="R1374" s="29" t="str">
        <f t="shared" si="203"/>
        <v/>
      </c>
    </row>
    <row r="1375" spans="1:18">
      <c r="A1375" s="483">
        <f t="shared" si="204"/>
        <v>1371</v>
      </c>
      <c r="B1375" s="77"/>
      <c r="C1375" s="77"/>
      <c r="D1375" s="858"/>
      <c r="E1375" s="858">
        <f t="shared" si="199"/>
        <v>0</v>
      </c>
      <c r="F1375" s="887">
        <f t="shared" si="200"/>
        <v>1900</v>
      </c>
      <c r="G1375" s="888"/>
      <c r="H1375" s="889"/>
      <c r="I1375" s="888"/>
      <c r="J1375" s="888"/>
      <c r="K1375" s="980"/>
      <c r="L1375" s="77"/>
      <c r="M1375" s="78">
        <f t="shared" si="205"/>
        <v>0</v>
      </c>
      <c r="N1375" s="748"/>
      <c r="P1375" s="29" t="str">
        <f t="shared" si="201"/>
        <v>1900</v>
      </c>
      <c r="Q1375" s="29" t="str">
        <f t="shared" si="202"/>
        <v/>
      </c>
      <c r="R1375" s="29" t="str">
        <f t="shared" si="203"/>
        <v/>
      </c>
    </row>
    <row r="1376" spans="1:18">
      <c r="A1376" s="483">
        <f t="shared" si="204"/>
        <v>1372</v>
      </c>
      <c r="B1376" s="77"/>
      <c r="C1376" s="77"/>
      <c r="D1376" s="858"/>
      <c r="E1376" s="858">
        <f t="shared" si="199"/>
        <v>0</v>
      </c>
      <c r="F1376" s="887">
        <f t="shared" si="200"/>
        <v>1900</v>
      </c>
      <c r="G1376" s="888"/>
      <c r="H1376" s="889"/>
      <c r="I1376" s="888"/>
      <c r="J1376" s="888"/>
      <c r="K1376" s="980"/>
      <c r="L1376" s="77"/>
      <c r="M1376" s="78">
        <f t="shared" si="205"/>
        <v>0</v>
      </c>
      <c r="N1376" s="748"/>
      <c r="P1376" s="29" t="str">
        <f t="shared" si="201"/>
        <v>1900</v>
      </c>
      <c r="Q1376" s="29" t="str">
        <f t="shared" si="202"/>
        <v/>
      </c>
      <c r="R1376" s="29" t="str">
        <f t="shared" si="203"/>
        <v/>
      </c>
    </row>
    <row r="1377" spans="1:18">
      <c r="A1377" s="483">
        <f t="shared" si="204"/>
        <v>1373</v>
      </c>
      <c r="B1377" s="77"/>
      <c r="C1377" s="77"/>
      <c r="D1377" s="858"/>
      <c r="E1377" s="858">
        <f t="shared" si="199"/>
        <v>0</v>
      </c>
      <c r="F1377" s="887">
        <f t="shared" si="200"/>
        <v>1900</v>
      </c>
      <c r="G1377" s="888"/>
      <c r="H1377" s="889"/>
      <c r="I1377" s="888"/>
      <c r="J1377" s="888"/>
      <c r="K1377" s="980"/>
      <c r="L1377" s="77"/>
      <c r="M1377" s="78">
        <f t="shared" si="205"/>
        <v>0</v>
      </c>
      <c r="N1377" s="748"/>
      <c r="P1377" s="29" t="str">
        <f t="shared" si="201"/>
        <v>1900</v>
      </c>
      <c r="Q1377" s="29" t="str">
        <f t="shared" si="202"/>
        <v/>
      </c>
      <c r="R1377" s="29" t="str">
        <f t="shared" si="203"/>
        <v/>
      </c>
    </row>
    <row r="1378" spans="1:18">
      <c r="A1378" s="483">
        <f t="shared" si="204"/>
        <v>1374</v>
      </c>
      <c r="B1378" s="77"/>
      <c r="C1378" s="77"/>
      <c r="D1378" s="858"/>
      <c r="E1378" s="858">
        <f t="shared" si="199"/>
        <v>0</v>
      </c>
      <c r="F1378" s="887">
        <f t="shared" si="200"/>
        <v>1900</v>
      </c>
      <c r="G1378" s="888"/>
      <c r="H1378" s="889"/>
      <c r="I1378" s="888"/>
      <c r="J1378" s="888"/>
      <c r="K1378" s="980"/>
      <c r="L1378" s="77"/>
      <c r="M1378" s="78">
        <f t="shared" si="205"/>
        <v>0</v>
      </c>
      <c r="N1378" s="748"/>
      <c r="P1378" s="29" t="str">
        <f t="shared" si="201"/>
        <v>1900</v>
      </c>
      <c r="Q1378" s="29" t="str">
        <f t="shared" si="202"/>
        <v/>
      </c>
      <c r="R1378" s="29" t="str">
        <f t="shared" si="203"/>
        <v/>
      </c>
    </row>
    <row r="1379" spans="1:18">
      <c r="A1379" s="483">
        <f t="shared" si="204"/>
        <v>1375</v>
      </c>
      <c r="B1379" s="77"/>
      <c r="C1379" s="77"/>
      <c r="D1379" s="858"/>
      <c r="E1379" s="858">
        <f t="shared" si="199"/>
        <v>0</v>
      </c>
      <c r="F1379" s="887">
        <f t="shared" si="200"/>
        <v>1900</v>
      </c>
      <c r="G1379" s="888"/>
      <c r="H1379" s="889"/>
      <c r="I1379" s="888"/>
      <c r="J1379" s="888"/>
      <c r="K1379" s="980"/>
      <c r="L1379" s="77"/>
      <c r="M1379" s="78">
        <f t="shared" si="205"/>
        <v>0</v>
      </c>
      <c r="N1379" s="748"/>
      <c r="P1379" s="29" t="str">
        <f t="shared" si="201"/>
        <v>1900</v>
      </c>
      <c r="Q1379" s="29" t="str">
        <f t="shared" si="202"/>
        <v/>
      </c>
      <c r="R1379" s="29" t="str">
        <f t="shared" si="203"/>
        <v/>
      </c>
    </row>
    <row r="1380" spans="1:18">
      <c r="A1380" s="483">
        <f t="shared" si="204"/>
        <v>1376</v>
      </c>
      <c r="B1380" s="77"/>
      <c r="C1380" s="77"/>
      <c r="D1380" s="858"/>
      <c r="E1380" s="858">
        <f t="shared" si="199"/>
        <v>0</v>
      </c>
      <c r="F1380" s="887">
        <f t="shared" si="200"/>
        <v>1900</v>
      </c>
      <c r="G1380" s="888"/>
      <c r="H1380" s="889"/>
      <c r="I1380" s="888"/>
      <c r="J1380" s="888"/>
      <c r="K1380" s="980"/>
      <c r="L1380" s="77"/>
      <c r="M1380" s="78">
        <f t="shared" si="205"/>
        <v>0</v>
      </c>
      <c r="N1380" s="748"/>
      <c r="P1380" s="29" t="str">
        <f t="shared" si="201"/>
        <v>1900</v>
      </c>
      <c r="Q1380" s="29" t="str">
        <f t="shared" si="202"/>
        <v/>
      </c>
      <c r="R1380" s="29" t="str">
        <f t="shared" si="203"/>
        <v/>
      </c>
    </row>
    <row r="1381" spans="1:18">
      <c r="A1381" s="483">
        <f t="shared" si="204"/>
        <v>1377</v>
      </c>
      <c r="B1381" s="77"/>
      <c r="C1381" s="77"/>
      <c r="D1381" s="858"/>
      <c r="E1381" s="858">
        <f t="shared" si="199"/>
        <v>0</v>
      </c>
      <c r="F1381" s="887">
        <f t="shared" si="200"/>
        <v>1900</v>
      </c>
      <c r="G1381" s="888"/>
      <c r="H1381" s="889"/>
      <c r="I1381" s="888"/>
      <c r="J1381" s="888"/>
      <c r="K1381" s="980"/>
      <c r="L1381" s="77"/>
      <c r="M1381" s="78">
        <f t="shared" si="205"/>
        <v>0</v>
      </c>
      <c r="N1381" s="748"/>
      <c r="P1381" s="29" t="str">
        <f t="shared" si="201"/>
        <v>1900</v>
      </c>
      <c r="Q1381" s="29" t="str">
        <f t="shared" si="202"/>
        <v/>
      </c>
      <c r="R1381" s="29" t="str">
        <f t="shared" si="203"/>
        <v/>
      </c>
    </row>
    <row r="1382" spans="1:18">
      <c r="A1382" s="483">
        <f t="shared" si="204"/>
        <v>1378</v>
      </c>
      <c r="B1382" s="77"/>
      <c r="C1382" s="77"/>
      <c r="D1382" s="858"/>
      <c r="E1382" s="858">
        <f t="shared" si="199"/>
        <v>0</v>
      </c>
      <c r="F1382" s="887">
        <f t="shared" si="200"/>
        <v>1900</v>
      </c>
      <c r="G1382" s="888"/>
      <c r="H1382" s="889"/>
      <c r="I1382" s="888"/>
      <c r="J1382" s="888"/>
      <c r="K1382" s="980"/>
      <c r="L1382" s="77"/>
      <c r="M1382" s="78">
        <f t="shared" si="205"/>
        <v>0</v>
      </c>
      <c r="N1382" s="748"/>
      <c r="P1382" s="29" t="str">
        <f t="shared" si="201"/>
        <v>1900</v>
      </c>
      <c r="Q1382" s="29" t="str">
        <f t="shared" si="202"/>
        <v/>
      </c>
      <c r="R1382" s="29" t="str">
        <f t="shared" si="203"/>
        <v/>
      </c>
    </row>
    <row r="1383" spans="1:18">
      <c r="A1383" s="483">
        <f t="shared" si="204"/>
        <v>1379</v>
      </c>
      <c r="B1383" s="77"/>
      <c r="C1383" s="77"/>
      <c r="D1383" s="858"/>
      <c r="E1383" s="858">
        <f t="shared" si="199"/>
        <v>0</v>
      </c>
      <c r="F1383" s="887">
        <f t="shared" si="200"/>
        <v>1900</v>
      </c>
      <c r="G1383" s="888"/>
      <c r="H1383" s="889"/>
      <c r="I1383" s="888"/>
      <c r="J1383" s="888"/>
      <c r="K1383" s="980"/>
      <c r="L1383" s="77"/>
      <c r="M1383" s="78">
        <f t="shared" si="205"/>
        <v>0</v>
      </c>
      <c r="N1383" s="748"/>
      <c r="P1383" s="29" t="str">
        <f t="shared" si="201"/>
        <v>1900</v>
      </c>
      <c r="Q1383" s="29" t="str">
        <f t="shared" si="202"/>
        <v/>
      </c>
      <c r="R1383" s="29" t="str">
        <f t="shared" si="203"/>
        <v/>
      </c>
    </row>
    <row r="1384" spans="1:18">
      <c r="A1384" s="483">
        <f t="shared" si="204"/>
        <v>1380</v>
      </c>
      <c r="B1384" s="77"/>
      <c r="C1384" s="77"/>
      <c r="D1384" s="858"/>
      <c r="E1384" s="858">
        <f t="shared" si="199"/>
        <v>0</v>
      </c>
      <c r="F1384" s="887">
        <f t="shared" si="200"/>
        <v>1900</v>
      </c>
      <c r="G1384" s="888"/>
      <c r="H1384" s="889"/>
      <c r="I1384" s="888"/>
      <c r="J1384" s="888"/>
      <c r="K1384" s="980"/>
      <c r="L1384" s="77"/>
      <c r="M1384" s="78">
        <f t="shared" si="205"/>
        <v>0</v>
      </c>
      <c r="N1384" s="748"/>
      <c r="P1384" s="29" t="str">
        <f t="shared" si="201"/>
        <v>1900</v>
      </c>
      <c r="Q1384" s="29" t="str">
        <f t="shared" si="202"/>
        <v/>
      </c>
      <c r="R1384" s="29" t="str">
        <f t="shared" si="203"/>
        <v/>
      </c>
    </row>
    <row r="1385" spans="1:18">
      <c r="A1385" s="483">
        <f t="shared" si="204"/>
        <v>1381</v>
      </c>
      <c r="B1385" s="77"/>
      <c r="C1385" s="77"/>
      <c r="D1385" s="858"/>
      <c r="E1385" s="858">
        <f t="shared" si="199"/>
        <v>0</v>
      </c>
      <c r="F1385" s="887">
        <f t="shared" si="200"/>
        <v>1900</v>
      </c>
      <c r="G1385" s="888"/>
      <c r="H1385" s="889"/>
      <c r="I1385" s="888"/>
      <c r="J1385" s="888"/>
      <c r="K1385" s="980"/>
      <c r="L1385" s="77"/>
      <c r="M1385" s="78">
        <f t="shared" si="205"/>
        <v>0</v>
      </c>
      <c r="N1385" s="748"/>
      <c r="P1385" s="29" t="str">
        <f t="shared" si="201"/>
        <v>1900</v>
      </c>
      <c r="Q1385" s="29" t="str">
        <f t="shared" si="202"/>
        <v/>
      </c>
      <c r="R1385" s="29" t="str">
        <f t="shared" si="203"/>
        <v/>
      </c>
    </row>
    <row r="1386" spans="1:18">
      <c r="A1386" s="483">
        <f t="shared" si="204"/>
        <v>1382</v>
      </c>
      <c r="B1386" s="77"/>
      <c r="C1386" s="77"/>
      <c r="D1386" s="858"/>
      <c r="E1386" s="858">
        <f t="shared" si="199"/>
        <v>0</v>
      </c>
      <c r="F1386" s="887">
        <f t="shared" si="200"/>
        <v>1900</v>
      </c>
      <c r="G1386" s="888"/>
      <c r="H1386" s="889"/>
      <c r="I1386" s="888"/>
      <c r="J1386" s="888"/>
      <c r="K1386" s="980"/>
      <c r="L1386" s="77"/>
      <c r="M1386" s="78">
        <f t="shared" si="205"/>
        <v>0</v>
      </c>
      <c r="N1386" s="748"/>
      <c r="P1386" s="29" t="str">
        <f t="shared" si="201"/>
        <v>1900</v>
      </c>
      <c r="Q1386" s="29" t="str">
        <f t="shared" si="202"/>
        <v/>
      </c>
      <c r="R1386" s="29" t="str">
        <f t="shared" si="203"/>
        <v/>
      </c>
    </row>
    <row r="1387" spans="1:18">
      <c r="A1387" s="483">
        <f t="shared" si="204"/>
        <v>1383</v>
      </c>
      <c r="B1387" s="77"/>
      <c r="C1387" s="77"/>
      <c r="D1387" s="858"/>
      <c r="E1387" s="858">
        <f t="shared" si="199"/>
        <v>0</v>
      </c>
      <c r="F1387" s="887">
        <f t="shared" si="200"/>
        <v>1900</v>
      </c>
      <c r="G1387" s="888"/>
      <c r="H1387" s="889"/>
      <c r="I1387" s="888"/>
      <c r="J1387" s="888"/>
      <c r="K1387" s="980"/>
      <c r="L1387" s="77"/>
      <c r="M1387" s="78">
        <f t="shared" si="205"/>
        <v>0</v>
      </c>
      <c r="N1387" s="748"/>
      <c r="P1387" s="29" t="str">
        <f t="shared" si="201"/>
        <v>1900</v>
      </c>
      <c r="Q1387" s="29" t="str">
        <f t="shared" si="202"/>
        <v/>
      </c>
      <c r="R1387" s="29" t="str">
        <f t="shared" si="203"/>
        <v/>
      </c>
    </row>
    <row r="1388" spans="1:18">
      <c r="A1388" s="483">
        <f t="shared" si="204"/>
        <v>1384</v>
      </c>
      <c r="B1388" s="77"/>
      <c r="C1388" s="77"/>
      <c r="D1388" s="858"/>
      <c r="E1388" s="858">
        <f t="shared" si="199"/>
        <v>0</v>
      </c>
      <c r="F1388" s="887">
        <f t="shared" si="200"/>
        <v>1900</v>
      </c>
      <c r="G1388" s="888"/>
      <c r="H1388" s="889"/>
      <c r="I1388" s="888"/>
      <c r="J1388" s="888"/>
      <c r="K1388" s="980"/>
      <c r="L1388" s="77"/>
      <c r="M1388" s="78">
        <f t="shared" si="205"/>
        <v>0</v>
      </c>
      <c r="N1388" s="748"/>
      <c r="P1388" s="29" t="str">
        <f t="shared" si="201"/>
        <v>1900</v>
      </c>
      <c r="Q1388" s="29" t="str">
        <f t="shared" si="202"/>
        <v/>
      </c>
      <c r="R1388" s="29" t="str">
        <f t="shared" si="203"/>
        <v/>
      </c>
    </row>
    <row r="1389" spans="1:18">
      <c r="A1389" s="483">
        <f t="shared" si="204"/>
        <v>1385</v>
      </c>
      <c r="B1389" s="77"/>
      <c r="C1389" s="77"/>
      <c r="D1389" s="858"/>
      <c r="E1389" s="858">
        <f t="shared" si="199"/>
        <v>0</v>
      </c>
      <c r="F1389" s="887">
        <f t="shared" si="200"/>
        <v>1900</v>
      </c>
      <c r="G1389" s="888"/>
      <c r="H1389" s="889"/>
      <c r="I1389" s="888"/>
      <c r="J1389" s="888"/>
      <c r="K1389" s="980"/>
      <c r="L1389" s="77"/>
      <c r="M1389" s="78">
        <f t="shared" si="205"/>
        <v>0</v>
      </c>
      <c r="N1389" s="748"/>
      <c r="P1389" s="29" t="str">
        <f t="shared" si="201"/>
        <v>1900</v>
      </c>
      <c r="Q1389" s="29" t="str">
        <f t="shared" si="202"/>
        <v/>
      </c>
      <c r="R1389" s="29" t="str">
        <f t="shared" si="203"/>
        <v/>
      </c>
    </row>
    <row r="1390" spans="1:18">
      <c r="A1390" s="483">
        <f t="shared" si="204"/>
        <v>1386</v>
      </c>
      <c r="B1390" s="77"/>
      <c r="C1390" s="77"/>
      <c r="D1390" s="858"/>
      <c r="E1390" s="858">
        <f t="shared" si="199"/>
        <v>0</v>
      </c>
      <c r="F1390" s="887">
        <f t="shared" si="200"/>
        <v>1900</v>
      </c>
      <c r="G1390" s="888"/>
      <c r="H1390" s="889"/>
      <c r="I1390" s="888"/>
      <c r="J1390" s="888"/>
      <c r="K1390" s="980"/>
      <c r="L1390" s="77"/>
      <c r="M1390" s="78">
        <f t="shared" si="205"/>
        <v>0</v>
      </c>
      <c r="N1390" s="748"/>
      <c r="P1390" s="29" t="str">
        <f t="shared" si="201"/>
        <v>1900</v>
      </c>
      <c r="Q1390" s="29" t="str">
        <f t="shared" si="202"/>
        <v/>
      </c>
      <c r="R1390" s="29" t="str">
        <f t="shared" si="203"/>
        <v/>
      </c>
    </row>
    <row r="1391" spans="1:18">
      <c r="A1391" s="483">
        <f t="shared" si="204"/>
        <v>1387</v>
      </c>
      <c r="B1391" s="77"/>
      <c r="C1391" s="77"/>
      <c r="D1391" s="858"/>
      <c r="E1391" s="858">
        <f t="shared" ref="E1391:E1454" si="206">DAY(C1391)</f>
        <v>0</v>
      </c>
      <c r="F1391" s="887">
        <f t="shared" ref="F1391:F1454" si="207">YEAR(C1391)</f>
        <v>1900</v>
      </c>
      <c r="G1391" s="888"/>
      <c r="H1391" s="889"/>
      <c r="I1391" s="888"/>
      <c r="J1391" s="888"/>
      <c r="K1391" s="980"/>
      <c r="L1391" s="77"/>
      <c r="M1391" s="78">
        <f t="shared" si="205"/>
        <v>0</v>
      </c>
      <c r="N1391" s="748"/>
      <c r="P1391" s="29" t="str">
        <f t="shared" ref="P1391:P1454" si="208">CONCATENATE(F1391,H1391)</f>
        <v>1900</v>
      </c>
      <c r="Q1391" s="29" t="str">
        <f t="shared" ref="Q1391:Q1454" si="209">CONCATENATE(H1391,K1391)</f>
        <v/>
      </c>
      <c r="R1391" s="29" t="str">
        <f t="shared" ref="R1391:R1454" si="210">CONCATENATE(D1391,H1391)</f>
        <v/>
      </c>
    </row>
    <row r="1392" spans="1:18">
      <c r="A1392" s="483">
        <f t="shared" si="204"/>
        <v>1388</v>
      </c>
      <c r="B1392" s="77"/>
      <c r="C1392" s="77"/>
      <c r="D1392" s="858"/>
      <c r="E1392" s="858">
        <f t="shared" si="206"/>
        <v>0</v>
      </c>
      <c r="F1392" s="887">
        <f t="shared" si="207"/>
        <v>1900</v>
      </c>
      <c r="G1392" s="888"/>
      <c r="H1392" s="889"/>
      <c r="I1392" s="888"/>
      <c r="J1392" s="888"/>
      <c r="K1392" s="980"/>
      <c r="L1392" s="77"/>
      <c r="M1392" s="78">
        <f t="shared" si="205"/>
        <v>0</v>
      </c>
      <c r="N1392" s="748"/>
      <c r="P1392" s="29" t="str">
        <f t="shared" si="208"/>
        <v>1900</v>
      </c>
      <c r="Q1392" s="29" t="str">
        <f t="shared" si="209"/>
        <v/>
      </c>
      <c r="R1392" s="29" t="str">
        <f t="shared" si="210"/>
        <v/>
      </c>
    </row>
    <row r="1393" spans="1:18">
      <c r="A1393" s="483">
        <f t="shared" si="204"/>
        <v>1389</v>
      </c>
      <c r="B1393" s="77"/>
      <c r="C1393" s="77"/>
      <c r="D1393" s="858"/>
      <c r="E1393" s="858">
        <f t="shared" si="206"/>
        <v>0</v>
      </c>
      <c r="F1393" s="887">
        <f t="shared" si="207"/>
        <v>1900</v>
      </c>
      <c r="G1393" s="888"/>
      <c r="H1393" s="889"/>
      <c r="I1393" s="888"/>
      <c r="J1393" s="888"/>
      <c r="K1393" s="980"/>
      <c r="L1393" s="77"/>
      <c r="M1393" s="78">
        <f t="shared" si="205"/>
        <v>0</v>
      </c>
      <c r="N1393" s="748"/>
      <c r="P1393" s="29" t="str">
        <f t="shared" si="208"/>
        <v>1900</v>
      </c>
      <c r="Q1393" s="29" t="str">
        <f t="shared" si="209"/>
        <v/>
      </c>
      <c r="R1393" s="29" t="str">
        <f t="shared" si="210"/>
        <v/>
      </c>
    </row>
    <row r="1394" spans="1:18">
      <c r="A1394" s="483">
        <f t="shared" si="204"/>
        <v>1390</v>
      </c>
      <c r="B1394" s="77"/>
      <c r="C1394" s="77"/>
      <c r="D1394" s="858"/>
      <c r="E1394" s="858">
        <f t="shared" si="206"/>
        <v>0</v>
      </c>
      <c r="F1394" s="887">
        <f t="shared" si="207"/>
        <v>1900</v>
      </c>
      <c r="G1394" s="888"/>
      <c r="H1394" s="889"/>
      <c r="I1394" s="888"/>
      <c r="J1394" s="888"/>
      <c r="K1394" s="980"/>
      <c r="L1394" s="77"/>
      <c r="M1394" s="78">
        <f t="shared" si="205"/>
        <v>0</v>
      </c>
      <c r="N1394" s="748"/>
      <c r="P1394" s="29" t="str">
        <f t="shared" si="208"/>
        <v>1900</v>
      </c>
      <c r="Q1394" s="29" t="str">
        <f t="shared" si="209"/>
        <v/>
      </c>
      <c r="R1394" s="29" t="str">
        <f t="shared" si="210"/>
        <v/>
      </c>
    </row>
    <row r="1395" spans="1:18">
      <c r="A1395" s="483">
        <f t="shared" si="204"/>
        <v>1391</v>
      </c>
      <c r="B1395" s="77"/>
      <c r="C1395" s="77"/>
      <c r="D1395" s="858"/>
      <c r="E1395" s="858">
        <f t="shared" si="206"/>
        <v>0</v>
      </c>
      <c r="F1395" s="887">
        <f t="shared" si="207"/>
        <v>1900</v>
      </c>
      <c r="G1395" s="888"/>
      <c r="H1395" s="889"/>
      <c r="I1395" s="888"/>
      <c r="J1395" s="888"/>
      <c r="K1395" s="980"/>
      <c r="L1395" s="77"/>
      <c r="M1395" s="78">
        <f t="shared" si="205"/>
        <v>0</v>
      </c>
      <c r="N1395" s="748"/>
      <c r="P1395" s="29" t="str">
        <f t="shared" si="208"/>
        <v>1900</v>
      </c>
      <c r="Q1395" s="29" t="str">
        <f t="shared" si="209"/>
        <v/>
      </c>
      <c r="R1395" s="29" t="str">
        <f t="shared" si="210"/>
        <v/>
      </c>
    </row>
    <row r="1396" spans="1:18">
      <c r="A1396" s="483">
        <f t="shared" si="204"/>
        <v>1392</v>
      </c>
      <c r="B1396" s="77"/>
      <c r="C1396" s="77"/>
      <c r="D1396" s="858"/>
      <c r="E1396" s="858">
        <f t="shared" si="206"/>
        <v>0</v>
      </c>
      <c r="F1396" s="887">
        <f t="shared" si="207"/>
        <v>1900</v>
      </c>
      <c r="G1396" s="888"/>
      <c r="H1396" s="889"/>
      <c r="I1396" s="888"/>
      <c r="J1396" s="888"/>
      <c r="K1396" s="980"/>
      <c r="L1396" s="77"/>
      <c r="M1396" s="78">
        <f t="shared" si="205"/>
        <v>0</v>
      </c>
      <c r="N1396" s="748"/>
      <c r="P1396" s="29" t="str">
        <f t="shared" si="208"/>
        <v>1900</v>
      </c>
      <c r="Q1396" s="29" t="str">
        <f t="shared" si="209"/>
        <v/>
      </c>
      <c r="R1396" s="29" t="str">
        <f t="shared" si="210"/>
        <v/>
      </c>
    </row>
    <row r="1397" spans="1:18">
      <c r="A1397" s="483">
        <f t="shared" si="204"/>
        <v>1393</v>
      </c>
      <c r="B1397" s="77"/>
      <c r="C1397" s="77"/>
      <c r="D1397" s="858"/>
      <c r="E1397" s="858">
        <f t="shared" si="206"/>
        <v>0</v>
      </c>
      <c r="F1397" s="887">
        <f t="shared" si="207"/>
        <v>1900</v>
      </c>
      <c r="G1397" s="888"/>
      <c r="H1397" s="889"/>
      <c r="I1397" s="888"/>
      <c r="J1397" s="888"/>
      <c r="K1397" s="980"/>
      <c r="L1397" s="77"/>
      <c r="M1397" s="78">
        <f t="shared" si="205"/>
        <v>0</v>
      </c>
      <c r="N1397" s="748"/>
      <c r="P1397" s="29" t="str">
        <f t="shared" si="208"/>
        <v>1900</v>
      </c>
      <c r="Q1397" s="29" t="str">
        <f t="shared" si="209"/>
        <v/>
      </c>
      <c r="R1397" s="29" t="str">
        <f t="shared" si="210"/>
        <v/>
      </c>
    </row>
    <row r="1398" spans="1:18">
      <c r="A1398" s="483">
        <f t="shared" si="204"/>
        <v>1394</v>
      </c>
      <c r="B1398" s="77"/>
      <c r="C1398" s="77"/>
      <c r="D1398" s="858"/>
      <c r="E1398" s="858">
        <f t="shared" si="206"/>
        <v>0</v>
      </c>
      <c r="F1398" s="887">
        <f t="shared" si="207"/>
        <v>1900</v>
      </c>
      <c r="G1398" s="888"/>
      <c r="H1398" s="889"/>
      <c r="I1398" s="888"/>
      <c r="J1398" s="888"/>
      <c r="K1398" s="980"/>
      <c r="L1398" s="77"/>
      <c r="M1398" s="78">
        <f t="shared" si="205"/>
        <v>0</v>
      </c>
      <c r="N1398" s="748"/>
      <c r="P1398" s="29" t="str">
        <f t="shared" si="208"/>
        <v>1900</v>
      </c>
      <c r="Q1398" s="29" t="str">
        <f t="shared" si="209"/>
        <v/>
      </c>
      <c r="R1398" s="29" t="str">
        <f t="shared" si="210"/>
        <v/>
      </c>
    </row>
    <row r="1399" spans="1:18">
      <c r="A1399" s="483">
        <f t="shared" si="204"/>
        <v>1395</v>
      </c>
      <c r="B1399" s="77"/>
      <c r="C1399" s="77"/>
      <c r="D1399" s="858"/>
      <c r="E1399" s="858">
        <f t="shared" si="206"/>
        <v>0</v>
      </c>
      <c r="F1399" s="887">
        <f t="shared" si="207"/>
        <v>1900</v>
      </c>
      <c r="G1399" s="888"/>
      <c r="H1399" s="889"/>
      <c r="I1399" s="888"/>
      <c r="J1399" s="888"/>
      <c r="K1399" s="980"/>
      <c r="L1399" s="77"/>
      <c r="M1399" s="78">
        <f t="shared" si="205"/>
        <v>0</v>
      </c>
      <c r="N1399" s="748"/>
      <c r="P1399" s="29" t="str">
        <f t="shared" si="208"/>
        <v>1900</v>
      </c>
      <c r="Q1399" s="29" t="str">
        <f t="shared" si="209"/>
        <v/>
      </c>
      <c r="R1399" s="29" t="str">
        <f t="shared" si="210"/>
        <v/>
      </c>
    </row>
    <row r="1400" spans="1:18">
      <c r="A1400" s="483">
        <f t="shared" si="204"/>
        <v>1396</v>
      </c>
      <c r="B1400" s="77"/>
      <c r="C1400" s="77"/>
      <c r="D1400" s="858"/>
      <c r="E1400" s="858">
        <f t="shared" si="206"/>
        <v>0</v>
      </c>
      <c r="F1400" s="887">
        <f t="shared" si="207"/>
        <v>1900</v>
      </c>
      <c r="G1400" s="888"/>
      <c r="H1400" s="889"/>
      <c r="I1400" s="888"/>
      <c r="J1400" s="888"/>
      <c r="K1400" s="980"/>
      <c r="L1400" s="77"/>
      <c r="M1400" s="78">
        <f t="shared" si="205"/>
        <v>0</v>
      </c>
      <c r="N1400" s="748"/>
      <c r="P1400" s="29" t="str">
        <f t="shared" si="208"/>
        <v>1900</v>
      </c>
      <c r="Q1400" s="29" t="str">
        <f t="shared" si="209"/>
        <v/>
      </c>
      <c r="R1400" s="29" t="str">
        <f t="shared" si="210"/>
        <v/>
      </c>
    </row>
    <row r="1401" spans="1:18">
      <c r="A1401" s="483">
        <f t="shared" si="204"/>
        <v>1397</v>
      </c>
      <c r="B1401" s="77"/>
      <c r="C1401" s="77"/>
      <c r="D1401" s="858"/>
      <c r="E1401" s="858">
        <f t="shared" si="206"/>
        <v>0</v>
      </c>
      <c r="F1401" s="887">
        <f t="shared" si="207"/>
        <v>1900</v>
      </c>
      <c r="G1401" s="888"/>
      <c r="H1401" s="889"/>
      <c r="I1401" s="888"/>
      <c r="J1401" s="888"/>
      <c r="K1401" s="980"/>
      <c r="L1401" s="77"/>
      <c r="M1401" s="78">
        <f t="shared" si="205"/>
        <v>0</v>
      </c>
      <c r="N1401" s="748"/>
      <c r="P1401" s="29" t="str">
        <f t="shared" si="208"/>
        <v>1900</v>
      </c>
      <c r="Q1401" s="29" t="str">
        <f t="shared" si="209"/>
        <v/>
      </c>
      <c r="R1401" s="29" t="str">
        <f t="shared" si="210"/>
        <v/>
      </c>
    </row>
    <row r="1402" spans="1:18">
      <c r="A1402" s="483">
        <f t="shared" si="204"/>
        <v>1398</v>
      </c>
      <c r="B1402" s="77"/>
      <c r="C1402" s="77"/>
      <c r="D1402" s="858"/>
      <c r="E1402" s="858">
        <f t="shared" si="206"/>
        <v>0</v>
      </c>
      <c r="F1402" s="887">
        <f t="shared" si="207"/>
        <v>1900</v>
      </c>
      <c r="G1402" s="888"/>
      <c r="H1402" s="889"/>
      <c r="I1402" s="888"/>
      <c r="J1402" s="888"/>
      <c r="K1402" s="980"/>
      <c r="L1402" s="77"/>
      <c r="M1402" s="78">
        <f t="shared" si="205"/>
        <v>0</v>
      </c>
      <c r="N1402" s="748"/>
      <c r="P1402" s="29" t="str">
        <f t="shared" si="208"/>
        <v>1900</v>
      </c>
      <c r="Q1402" s="29" t="str">
        <f t="shared" si="209"/>
        <v/>
      </c>
      <c r="R1402" s="29" t="str">
        <f t="shared" si="210"/>
        <v/>
      </c>
    </row>
    <row r="1403" spans="1:18">
      <c r="A1403" s="483">
        <f t="shared" si="204"/>
        <v>1399</v>
      </c>
      <c r="B1403" s="77"/>
      <c r="C1403" s="77"/>
      <c r="D1403" s="858"/>
      <c r="E1403" s="858">
        <f t="shared" si="206"/>
        <v>0</v>
      </c>
      <c r="F1403" s="887">
        <f t="shared" si="207"/>
        <v>1900</v>
      </c>
      <c r="G1403" s="888"/>
      <c r="H1403" s="889"/>
      <c r="I1403" s="888"/>
      <c r="J1403" s="888"/>
      <c r="K1403" s="980"/>
      <c r="L1403" s="77"/>
      <c r="M1403" s="78">
        <f t="shared" si="205"/>
        <v>0</v>
      </c>
      <c r="N1403" s="748"/>
      <c r="P1403" s="29" t="str">
        <f t="shared" si="208"/>
        <v>1900</v>
      </c>
      <c r="Q1403" s="29" t="str">
        <f t="shared" si="209"/>
        <v/>
      </c>
      <c r="R1403" s="29" t="str">
        <f t="shared" si="210"/>
        <v/>
      </c>
    </row>
    <row r="1404" spans="1:18">
      <c r="A1404" s="483">
        <f t="shared" si="204"/>
        <v>1400</v>
      </c>
      <c r="B1404" s="77"/>
      <c r="C1404" s="77"/>
      <c r="D1404" s="858"/>
      <c r="E1404" s="858">
        <f t="shared" si="206"/>
        <v>0</v>
      </c>
      <c r="F1404" s="887">
        <f t="shared" si="207"/>
        <v>1900</v>
      </c>
      <c r="G1404" s="888"/>
      <c r="H1404" s="889"/>
      <c r="I1404" s="888"/>
      <c r="J1404" s="888"/>
      <c r="K1404" s="980"/>
      <c r="L1404" s="77"/>
      <c r="M1404" s="78">
        <f t="shared" si="205"/>
        <v>0</v>
      </c>
      <c r="N1404" s="748"/>
      <c r="P1404" s="29" t="str">
        <f t="shared" si="208"/>
        <v>1900</v>
      </c>
      <c r="Q1404" s="29" t="str">
        <f t="shared" si="209"/>
        <v/>
      </c>
      <c r="R1404" s="29" t="str">
        <f t="shared" si="210"/>
        <v/>
      </c>
    </row>
    <row r="1405" spans="1:18">
      <c r="A1405" s="483">
        <f t="shared" si="204"/>
        <v>1401</v>
      </c>
      <c r="B1405" s="77"/>
      <c r="C1405" s="77"/>
      <c r="D1405" s="858"/>
      <c r="E1405" s="858">
        <f t="shared" si="206"/>
        <v>0</v>
      </c>
      <c r="F1405" s="887">
        <f t="shared" si="207"/>
        <v>1900</v>
      </c>
      <c r="G1405" s="888"/>
      <c r="H1405" s="889"/>
      <c r="I1405" s="888"/>
      <c r="J1405" s="888"/>
      <c r="K1405" s="980"/>
      <c r="L1405" s="77"/>
      <c r="M1405" s="78">
        <f t="shared" si="205"/>
        <v>0</v>
      </c>
      <c r="N1405" s="748"/>
      <c r="P1405" s="29" t="str">
        <f t="shared" si="208"/>
        <v>1900</v>
      </c>
      <c r="Q1405" s="29" t="str">
        <f t="shared" si="209"/>
        <v/>
      </c>
      <c r="R1405" s="29" t="str">
        <f t="shared" si="210"/>
        <v/>
      </c>
    </row>
    <row r="1406" spans="1:18">
      <c r="A1406" s="483">
        <f t="shared" si="204"/>
        <v>1402</v>
      </c>
      <c r="B1406" s="77"/>
      <c r="C1406" s="77"/>
      <c r="D1406" s="858"/>
      <c r="E1406" s="858">
        <f t="shared" si="206"/>
        <v>0</v>
      </c>
      <c r="F1406" s="887">
        <f t="shared" si="207"/>
        <v>1900</v>
      </c>
      <c r="G1406" s="888"/>
      <c r="H1406" s="889"/>
      <c r="I1406" s="888"/>
      <c r="J1406" s="888"/>
      <c r="K1406" s="980"/>
      <c r="L1406" s="77"/>
      <c r="M1406" s="78">
        <f t="shared" si="205"/>
        <v>0</v>
      </c>
      <c r="N1406" s="748"/>
      <c r="P1406" s="29" t="str">
        <f t="shared" si="208"/>
        <v>1900</v>
      </c>
      <c r="Q1406" s="29" t="str">
        <f t="shared" si="209"/>
        <v/>
      </c>
      <c r="R1406" s="29" t="str">
        <f t="shared" si="210"/>
        <v/>
      </c>
    </row>
    <row r="1407" spans="1:18">
      <c r="A1407" s="483">
        <f t="shared" si="204"/>
        <v>1403</v>
      </c>
      <c r="B1407" s="77"/>
      <c r="C1407" s="77"/>
      <c r="D1407" s="858"/>
      <c r="E1407" s="858">
        <f t="shared" si="206"/>
        <v>0</v>
      </c>
      <c r="F1407" s="887">
        <f t="shared" si="207"/>
        <v>1900</v>
      </c>
      <c r="G1407" s="888"/>
      <c r="H1407" s="889"/>
      <c r="I1407" s="888"/>
      <c r="J1407" s="888"/>
      <c r="K1407" s="980"/>
      <c r="L1407" s="77"/>
      <c r="M1407" s="78">
        <f t="shared" si="205"/>
        <v>0</v>
      </c>
      <c r="N1407" s="748"/>
      <c r="P1407" s="29" t="str">
        <f t="shared" si="208"/>
        <v>1900</v>
      </c>
      <c r="Q1407" s="29" t="str">
        <f t="shared" si="209"/>
        <v/>
      </c>
      <c r="R1407" s="29" t="str">
        <f t="shared" si="210"/>
        <v/>
      </c>
    </row>
    <row r="1408" spans="1:18">
      <c r="A1408" s="483">
        <f t="shared" si="204"/>
        <v>1404</v>
      </c>
      <c r="B1408" s="77"/>
      <c r="C1408" s="77"/>
      <c r="D1408" s="858"/>
      <c r="E1408" s="858">
        <f t="shared" si="206"/>
        <v>0</v>
      </c>
      <c r="F1408" s="887">
        <f t="shared" si="207"/>
        <v>1900</v>
      </c>
      <c r="G1408" s="888"/>
      <c r="H1408" s="889"/>
      <c r="I1408" s="888"/>
      <c r="J1408" s="888"/>
      <c r="K1408" s="980"/>
      <c r="L1408" s="77"/>
      <c r="M1408" s="78">
        <f t="shared" si="205"/>
        <v>0</v>
      </c>
      <c r="N1408" s="748"/>
      <c r="P1408" s="29" t="str">
        <f t="shared" si="208"/>
        <v>1900</v>
      </c>
      <c r="Q1408" s="29" t="str">
        <f t="shared" si="209"/>
        <v/>
      </c>
      <c r="R1408" s="29" t="str">
        <f t="shared" si="210"/>
        <v/>
      </c>
    </row>
    <row r="1409" spans="1:18">
      <c r="A1409" s="483">
        <f t="shared" si="204"/>
        <v>1405</v>
      </c>
      <c r="B1409" s="77"/>
      <c r="C1409" s="77"/>
      <c r="D1409" s="858"/>
      <c r="E1409" s="858">
        <f t="shared" si="206"/>
        <v>0</v>
      </c>
      <c r="F1409" s="887">
        <f t="shared" si="207"/>
        <v>1900</v>
      </c>
      <c r="G1409" s="888"/>
      <c r="H1409" s="889"/>
      <c r="I1409" s="888"/>
      <c r="J1409" s="888"/>
      <c r="K1409" s="980"/>
      <c r="L1409" s="77"/>
      <c r="M1409" s="78">
        <f t="shared" si="205"/>
        <v>0</v>
      </c>
      <c r="N1409" s="748"/>
      <c r="P1409" s="29" t="str">
        <f t="shared" si="208"/>
        <v>1900</v>
      </c>
      <c r="Q1409" s="29" t="str">
        <f t="shared" si="209"/>
        <v/>
      </c>
      <c r="R1409" s="29" t="str">
        <f t="shared" si="210"/>
        <v/>
      </c>
    </row>
    <row r="1410" spans="1:18">
      <c r="A1410" s="483">
        <f t="shared" si="204"/>
        <v>1406</v>
      </c>
      <c r="B1410" s="77"/>
      <c r="C1410" s="77"/>
      <c r="D1410" s="858"/>
      <c r="E1410" s="858">
        <f t="shared" si="206"/>
        <v>0</v>
      </c>
      <c r="F1410" s="887">
        <f t="shared" si="207"/>
        <v>1900</v>
      </c>
      <c r="G1410" s="888"/>
      <c r="H1410" s="889"/>
      <c r="I1410" s="888"/>
      <c r="J1410" s="888"/>
      <c r="K1410" s="980"/>
      <c r="L1410" s="77"/>
      <c r="M1410" s="78">
        <f t="shared" si="205"/>
        <v>0</v>
      </c>
      <c r="N1410" s="748"/>
      <c r="P1410" s="29" t="str">
        <f t="shared" si="208"/>
        <v>1900</v>
      </c>
      <c r="Q1410" s="29" t="str">
        <f t="shared" si="209"/>
        <v/>
      </c>
      <c r="R1410" s="29" t="str">
        <f t="shared" si="210"/>
        <v/>
      </c>
    </row>
    <row r="1411" spans="1:18">
      <c r="A1411" s="483">
        <f t="shared" si="204"/>
        <v>1407</v>
      </c>
      <c r="B1411" s="77"/>
      <c r="C1411" s="77"/>
      <c r="D1411" s="858"/>
      <c r="E1411" s="858">
        <f t="shared" si="206"/>
        <v>0</v>
      </c>
      <c r="F1411" s="887">
        <f t="shared" si="207"/>
        <v>1900</v>
      </c>
      <c r="G1411" s="888"/>
      <c r="H1411" s="889"/>
      <c r="I1411" s="888"/>
      <c r="J1411" s="888"/>
      <c r="K1411" s="980"/>
      <c r="L1411" s="77"/>
      <c r="M1411" s="78">
        <f t="shared" si="205"/>
        <v>0</v>
      </c>
      <c r="N1411" s="748"/>
      <c r="P1411" s="29" t="str">
        <f t="shared" si="208"/>
        <v>1900</v>
      </c>
      <c r="Q1411" s="29" t="str">
        <f t="shared" si="209"/>
        <v/>
      </c>
      <c r="R1411" s="29" t="str">
        <f t="shared" si="210"/>
        <v/>
      </c>
    </row>
    <row r="1412" spans="1:18">
      <c r="A1412" s="483">
        <f t="shared" si="204"/>
        <v>1408</v>
      </c>
      <c r="B1412" s="77"/>
      <c r="C1412" s="77"/>
      <c r="D1412" s="858"/>
      <c r="E1412" s="858">
        <f t="shared" si="206"/>
        <v>0</v>
      </c>
      <c r="F1412" s="887">
        <f t="shared" si="207"/>
        <v>1900</v>
      </c>
      <c r="G1412" s="888"/>
      <c r="H1412" s="889"/>
      <c r="I1412" s="888"/>
      <c r="J1412" s="888"/>
      <c r="K1412" s="980"/>
      <c r="L1412" s="77"/>
      <c r="M1412" s="78">
        <f t="shared" si="205"/>
        <v>0</v>
      </c>
      <c r="N1412" s="748"/>
      <c r="P1412" s="29" t="str">
        <f t="shared" si="208"/>
        <v>1900</v>
      </c>
      <c r="Q1412" s="29" t="str">
        <f t="shared" si="209"/>
        <v/>
      </c>
      <c r="R1412" s="29" t="str">
        <f t="shared" si="210"/>
        <v/>
      </c>
    </row>
    <row r="1413" spans="1:18">
      <c r="A1413" s="483">
        <f t="shared" si="204"/>
        <v>1409</v>
      </c>
      <c r="B1413" s="77"/>
      <c r="C1413" s="77"/>
      <c r="D1413" s="858"/>
      <c r="E1413" s="858">
        <f t="shared" si="206"/>
        <v>0</v>
      </c>
      <c r="F1413" s="887">
        <f t="shared" si="207"/>
        <v>1900</v>
      </c>
      <c r="G1413" s="888"/>
      <c r="H1413" s="889"/>
      <c r="I1413" s="888"/>
      <c r="J1413" s="888"/>
      <c r="K1413" s="980"/>
      <c r="L1413" s="77"/>
      <c r="M1413" s="78">
        <f t="shared" si="205"/>
        <v>0</v>
      </c>
      <c r="N1413" s="748"/>
      <c r="P1413" s="29" t="str">
        <f t="shared" si="208"/>
        <v>1900</v>
      </c>
      <c r="Q1413" s="29" t="str">
        <f t="shared" si="209"/>
        <v/>
      </c>
      <c r="R1413" s="29" t="str">
        <f t="shared" si="210"/>
        <v/>
      </c>
    </row>
    <row r="1414" spans="1:18">
      <c r="A1414" s="483">
        <f t="shared" si="204"/>
        <v>1410</v>
      </c>
      <c r="B1414" s="77"/>
      <c r="C1414" s="77"/>
      <c r="D1414" s="858"/>
      <c r="E1414" s="858">
        <f t="shared" si="206"/>
        <v>0</v>
      </c>
      <c r="F1414" s="887">
        <f t="shared" si="207"/>
        <v>1900</v>
      </c>
      <c r="G1414" s="888"/>
      <c r="H1414" s="889"/>
      <c r="I1414" s="888"/>
      <c r="J1414" s="888"/>
      <c r="K1414" s="980"/>
      <c r="L1414" s="77"/>
      <c r="M1414" s="78">
        <f t="shared" si="205"/>
        <v>0</v>
      </c>
      <c r="N1414" s="748"/>
      <c r="P1414" s="29" t="str">
        <f t="shared" si="208"/>
        <v>1900</v>
      </c>
      <c r="Q1414" s="29" t="str">
        <f t="shared" si="209"/>
        <v/>
      </c>
      <c r="R1414" s="29" t="str">
        <f t="shared" si="210"/>
        <v/>
      </c>
    </row>
    <row r="1415" spans="1:18">
      <c r="A1415" s="483">
        <f t="shared" si="204"/>
        <v>1411</v>
      </c>
      <c r="B1415" s="77"/>
      <c r="C1415" s="77"/>
      <c r="D1415" s="858"/>
      <c r="E1415" s="858">
        <f t="shared" si="206"/>
        <v>0</v>
      </c>
      <c r="F1415" s="887">
        <f t="shared" si="207"/>
        <v>1900</v>
      </c>
      <c r="G1415" s="888"/>
      <c r="H1415" s="889"/>
      <c r="I1415" s="888"/>
      <c r="J1415" s="888"/>
      <c r="K1415" s="980"/>
      <c r="L1415" s="77"/>
      <c r="M1415" s="78">
        <f t="shared" si="205"/>
        <v>0</v>
      </c>
      <c r="N1415" s="748"/>
      <c r="P1415" s="29" t="str">
        <f t="shared" si="208"/>
        <v>1900</v>
      </c>
      <c r="Q1415" s="29" t="str">
        <f t="shared" si="209"/>
        <v/>
      </c>
      <c r="R1415" s="29" t="str">
        <f t="shared" si="210"/>
        <v/>
      </c>
    </row>
    <row r="1416" spans="1:18">
      <c r="A1416" s="483">
        <f t="shared" ref="A1416:A1479" si="211">+A1415+1</f>
        <v>1412</v>
      </c>
      <c r="B1416" s="77"/>
      <c r="C1416" s="77"/>
      <c r="D1416" s="858"/>
      <c r="E1416" s="858">
        <f t="shared" si="206"/>
        <v>0</v>
      </c>
      <c r="F1416" s="887">
        <f t="shared" si="207"/>
        <v>1900</v>
      </c>
      <c r="G1416" s="888"/>
      <c r="H1416" s="889"/>
      <c r="I1416" s="888"/>
      <c r="J1416" s="888"/>
      <c r="K1416" s="980"/>
      <c r="L1416" s="77"/>
      <c r="M1416" s="78">
        <f t="shared" si="205"/>
        <v>0</v>
      </c>
      <c r="N1416" s="748"/>
      <c r="P1416" s="29" t="str">
        <f t="shared" si="208"/>
        <v>1900</v>
      </c>
      <c r="Q1416" s="29" t="str">
        <f t="shared" si="209"/>
        <v/>
      </c>
      <c r="R1416" s="29" t="str">
        <f t="shared" si="210"/>
        <v/>
      </c>
    </row>
    <row r="1417" spans="1:18">
      <c r="A1417" s="483">
        <f t="shared" si="211"/>
        <v>1413</v>
      </c>
      <c r="B1417" s="77"/>
      <c r="C1417" s="77"/>
      <c r="D1417" s="858"/>
      <c r="E1417" s="858">
        <f t="shared" si="206"/>
        <v>0</v>
      </c>
      <c r="F1417" s="887">
        <f t="shared" si="207"/>
        <v>1900</v>
      </c>
      <c r="G1417" s="888"/>
      <c r="H1417" s="889"/>
      <c r="I1417" s="888"/>
      <c r="J1417" s="888"/>
      <c r="K1417" s="980"/>
      <c r="L1417" s="77"/>
      <c r="M1417" s="78">
        <f t="shared" si="205"/>
        <v>0</v>
      </c>
      <c r="N1417" s="748"/>
      <c r="P1417" s="29" t="str">
        <f t="shared" si="208"/>
        <v>1900</v>
      </c>
      <c r="Q1417" s="29" t="str">
        <f t="shared" si="209"/>
        <v/>
      </c>
      <c r="R1417" s="29" t="str">
        <f t="shared" si="210"/>
        <v/>
      </c>
    </row>
    <row r="1418" spans="1:18">
      <c r="A1418" s="483">
        <f t="shared" si="211"/>
        <v>1414</v>
      </c>
      <c r="B1418" s="77"/>
      <c r="C1418" s="77"/>
      <c r="D1418" s="858"/>
      <c r="E1418" s="858">
        <f t="shared" si="206"/>
        <v>0</v>
      </c>
      <c r="F1418" s="887">
        <f t="shared" si="207"/>
        <v>1900</v>
      </c>
      <c r="G1418" s="888"/>
      <c r="H1418" s="889"/>
      <c r="I1418" s="888"/>
      <c r="J1418" s="888"/>
      <c r="K1418" s="980"/>
      <c r="L1418" s="77"/>
      <c r="M1418" s="78">
        <f t="shared" si="205"/>
        <v>0</v>
      </c>
      <c r="N1418" s="748"/>
      <c r="P1418" s="29" t="str">
        <f t="shared" si="208"/>
        <v>1900</v>
      </c>
      <c r="Q1418" s="29" t="str">
        <f t="shared" si="209"/>
        <v/>
      </c>
      <c r="R1418" s="29" t="str">
        <f t="shared" si="210"/>
        <v/>
      </c>
    </row>
    <row r="1419" spans="1:18">
      <c r="A1419" s="483">
        <f t="shared" si="211"/>
        <v>1415</v>
      </c>
      <c r="B1419" s="77"/>
      <c r="C1419" s="77"/>
      <c r="D1419" s="858"/>
      <c r="E1419" s="858">
        <f t="shared" si="206"/>
        <v>0</v>
      </c>
      <c r="F1419" s="887">
        <f t="shared" si="207"/>
        <v>1900</v>
      </c>
      <c r="G1419" s="888"/>
      <c r="H1419" s="889"/>
      <c r="I1419" s="888"/>
      <c r="J1419" s="888"/>
      <c r="K1419" s="980"/>
      <c r="L1419" s="77"/>
      <c r="M1419" s="78">
        <f t="shared" si="205"/>
        <v>0</v>
      </c>
      <c r="N1419" s="748"/>
      <c r="P1419" s="29" t="str">
        <f t="shared" si="208"/>
        <v>1900</v>
      </c>
      <c r="Q1419" s="29" t="str">
        <f t="shared" si="209"/>
        <v/>
      </c>
      <c r="R1419" s="29" t="str">
        <f t="shared" si="210"/>
        <v/>
      </c>
    </row>
    <row r="1420" spans="1:18">
      <c r="A1420" s="483">
        <f t="shared" si="211"/>
        <v>1416</v>
      </c>
      <c r="B1420" s="77"/>
      <c r="C1420" s="77"/>
      <c r="D1420" s="858"/>
      <c r="E1420" s="858">
        <f t="shared" si="206"/>
        <v>0</v>
      </c>
      <c r="F1420" s="887">
        <f t="shared" si="207"/>
        <v>1900</v>
      </c>
      <c r="G1420" s="888"/>
      <c r="H1420" s="889"/>
      <c r="I1420" s="888"/>
      <c r="J1420" s="888"/>
      <c r="K1420" s="980"/>
      <c r="L1420" s="77"/>
      <c r="M1420" s="78">
        <f t="shared" ref="M1420:M1483" si="212">+L1420</f>
        <v>0</v>
      </c>
      <c r="N1420" s="748"/>
      <c r="P1420" s="29" t="str">
        <f t="shared" si="208"/>
        <v>1900</v>
      </c>
      <c r="Q1420" s="29" t="str">
        <f t="shared" si="209"/>
        <v/>
      </c>
      <c r="R1420" s="29" t="str">
        <f t="shared" si="210"/>
        <v/>
      </c>
    </row>
    <row r="1421" spans="1:18">
      <c r="A1421" s="483">
        <f t="shared" si="211"/>
        <v>1417</v>
      </c>
      <c r="B1421" s="77"/>
      <c r="C1421" s="77"/>
      <c r="D1421" s="858"/>
      <c r="E1421" s="858">
        <f t="shared" si="206"/>
        <v>0</v>
      </c>
      <c r="F1421" s="887">
        <f t="shared" si="207"/>
        <v>1900</v>
      </c>
      <c r="G1421" s="888"/>
      <c r="H1421" s="889"/>
      <c r="I1421" s="888"/>
      <c r="J1421" s="888"/>
      <c r="K1421" s="980"/>
      <c r="L1421" s="77"/>
      <c r="M1421" s="78">
        <f t="shared" si="212"/>
        <v>0</v>
      </c>
      <c r="N1421" s="748"/>
      <c r="P1421" s="29" t="str">
        <f t="shared" si="208"/>
        <v>1900</v>
      </c>
      <c r="Q1421" s="29" t="str">
        <f t="shared" si="209"/>
        <v/>
      </c>
      <c r="R1421" s="29" t="str">
        <f t="shared" si="210"/>
        <v/>
      </c>
    </row>
    <row r="1422" spans="1:18">
      <c r="A1422" s="483">
        <f t="shared" si="211"/>
        <v>1418</v>
      </c>
      <c r="B1422" s="77"/>
      <c r="C1422" s="77"/>
      <c r="D1422" s="858"/>
      <c r="E1422" s="858">
        <f t="shared" si="206"/>
        <v>0</v>
      </c>
      <c r="F1422" s="887">
        <f t="shared" si="207"/>
        <v>1900</v>
      </c>
      <c r="G1422" s="888"/>
      <c r="H1422" s="889"/>
      <c r="I1422" s="888"/>
      <c r="J1422" s="888"/>
      <c r="K1422" s="980"/>
      <c r="L1422" s="77"/>
      <c r="M1422" s="78">
        <f t="shared" si="212"/>
        <v>0</v>
      </c>
      <c r="N1422" s="748"/>
      <c r="P1422" s="29" t="str">
        <f t="shared" si="208"/>
        <v>1900</v>
      </c>
      <c r="Q1422" s="29" t="str">
        <f t="shared" si="209"/>
        <v/>
      </c>
      <c r="R1422" s="29" t="str">
        <f t="shared" si="210"/>
        <v/>
      </c>
    </row>
    <row r="1423" spans="1:18">
      <c r="A1423" s="483">
        <f t="shared" si="211"/>
        <v>1419</v>
      </c>
      <c r="B1423" s="77"/>
      <c r="C1423" s="77"/>
      <c r="D1423" s="858"/>
      <c r="E1423" s="858">
        <f t="shared" si="206"/>
        <v>0</v>
      </c>
      <c r="F1423" s="887">
        <f t="shared" si="207"/>
        <v>1900</v>
      </c>
      <c r="G1423" s="888"/>
      <c r="H1423" s="889"/>
      <c r="I1423" s="888"/>
      <c r="J1423" s="888"/>
      <c r="K1423" s="980"/>
      <c r="L1423" s="77"/>
      <c r="M1423" s="78">
        <f t="shared" si="212"/>
        <v>0</v>
      </c>
      <c r="N1423" s="748"/>
      <c r="P1423" s="29" t="str">
        <f t="shared" si="208"/>
        <v>1900</v>
      </c>
      <c r="Q1423" s="29" t="str">
        <f t="shared" si="209"/>
        <v/>
      </c>
      <c r="R1423" s="29" t="str">
        <f t="shared" si="210"/>
        <v/>
      </c>
    </row>
    <row r="1424" spans="1:18">
      <c r="A1424" s="483">
        <f t="shared" si="211"/>
        <v>1420</v>
      </c>
      <c r="B1424" s="77"/>
      <c r="C1424" s="77"/>
      <c r="D1424" s="858"/>
      <c r="E1424" s="858">
        <f t="shared" si="206"/>
        <v>0</v>
      </c>
      <c r="F1424" s="887">
        <f t="shared" si="207"/>
        <v>1900</v>
      </c>
      <c r="G1424" s="888"/>
      <c r="H1424" s="889"/>
      <c r="I1424" s="888"/>
      <c r="J1424" s="888"/>
      <c r="K1424" s="980"/>
      <c r="L1424" s="77"/>
      <c r="M1424" s="78">
        <f t="shared" si="212"/>
        <v>0</v>
      </c>
      <c r="N1424" s="748"/>
      <c r="P1424" s="29" t="str">
        <f t="shared" si="208"/>
        <v>1900</v>
      </c>
      <c r="Q1424" s="29" t="str">
        <f t="shared" si="209"/>
        <v/>
      </c>
      <c r="R1424" s="29" t="str">
        <f t="shared" si="210"/>
        <v/>
      </c>
    </row>
    <row r="1425" spans="1:18">
      <c r="A1425" s="483">
        <f t="shared" si="211"/>
        <v>1421</v>
      </c>
      <c r="B1425" s="77"/>
      <c r="C1425" s="77"/>
      <c r="D1425" s="858"/>
      <c r="E1425" s="858">
        <f t="shared" si="206"/>
        <v>0</v>
      </c>
      <c r="F1425" s="887">
        <f t="shared" si="207"/>
        <v>1900</v>
      </c>
      <c r="G1425" s="888"/>
      <c r="H1425" s="889"/>
      <c r="I1425" s="888"/>
      <c r="J1425" s="888"/>
      <c r="K1425" s="980"/>
      <c r="L1425" s="77"/>
      <c r="M1425" s="78">
        <f t="shared" si="212"/>
        <v>0</v>
      </c>
      <c r="N1425" s="748"/>
      <c r="P1425" s="29" t="str">
        <f t="shared" si="208"/>
        <v>1900</v>
      </c>
      <c r="Q1425" s="29" t="str">
        <f t="shared" si="209"/>
        <v/>
      </c>
      <c r="R1425" s="29" t="str">
        <f t="shared" si="210"/>
        <v/>
      </c>
    </row>
    <row r="1426" spans="1:18">
      <c r="A1426" s="483">
        <f t="shared" si="211"/>
        <v>1422</v>
      </c>
      <c r="B1426" s="77"/>
      <c r="C1426" s="77"/>
      <c r="D1426" s="858"/>
      <c r="E1426" s="858">
        <f t="shared" si="206"/>
        <v>0</v>
      </c>
      <c r="F1426" s="887">
        <f t="shared" si="207"/>
        <v>1900</v>
      </c>
      <c r="G1426" s="888"/>
      <c r="H1426" s="889"/>
      <c r="I1426" s="888"/>
      <c r="J1426" s="888"/>
      <c r="K1426" s="980"/>
      <c r="L1426" s="77"/>
      <c r="M1426" s="78">
        <f t="shared" si="212"/>
        <v>0</v>
      </c>
      <c r="N1426" s="748"/>
      <c r="P1426" s="29" t="str">
        <f t="shared" si="208"/>
        <v>1900</v>
      </c>
      <c r="Q1426" s="29" t="str">
        <f t="shared" si="209"/>
        <v/>
      </c>
      <c r="R1426" s="29" t="str">
        <f t="shared" si="210"/>
        <v/>
      </c>
    </row>
    <row r="1427" spans="1:18">
      <c r="A1427" s="483">
        <f t="shared" si="211"/>
        <v>1423</v>
      </c>
      <c r="B1427" s="77"/>
      <c r="C1427" s="77"/>
      <c r="D1427" s="858"/>
      <c r="E1427" s="858">
        <f t="shared" si="206"/>
        <v>0</v>
      </c>
      <c r="F1427" s="887">
        <f t="shared" si="207"/>
        <v>1900</v>
      </c>
      <c r="G1427" s="888"/>
      <c r="H1427" s="889"/>
      <c r="I1427" s="888"/>
      <c r="J1427" s="888"/>
      <c r="K1427" s="980"/>
      <c r="L1427" s="77"/>
      <c r="M1427" s="78">
        <f t="shared" si="212"/>
        <v>0</v>
      </c>
      <c r="N1427" s="748"/>
      <c r="P1427" s="29" t="str">
        <f t="shared" si="208"/>
        <v>1900</v>
      </c>
      <c r="Q1427" s="29" t="str">
        <f t="shared" si="209"/>
        <v/>
      </c>
      <c r="R1427" s="29" t="str">
        <f t="shared" si="210"/>
        <v/>
      </c>
    </row>
    <row r="1428" spans="1:18">
      <c r="A1428" s="483">
        <f t="shared" si="211"/>
        <v>1424</v>
      </c>
      <c r="B1428" s="77"/>
      <c r="C1428" s="77"/>
      <c r="D1428" s="858"/>
      <c r="E1428" s="858">
        <f t="shared" si="206"/>
        <v>0</v>
      </c>
      <c r="F1428" s="887">
        <f t="shared" si="207"/>
        <v>1900</v>
      </c>
      <c r="G1428" s="888"/>
      <c r="H1428" s="889"/>
      <c r="I1428" s="888"/>
      <c r="J1428" s="888"/>
      <c r="K1428" s="980"/>
      <c r="L1428" s="77"/>
      <c r="M1428" s="78">
        <f t="shared" si="212"/>
        <v>0</v>
      </c>
      <c r="N1428" s="748"/>
      <c r="P1428" s="29" t="str">
        <f t="shared" si="208"/>
        <v>1900</v>
      </c>
      <c r="Q1428" s="29" t="str">
        <f t="shared" si="209"/>
        <v/>
      </c>
      <c r="R1428" s="29" t="str">
        <f t="shared" si="210"/>
        <v/>
      </c>
    </row>
    <row r="1429" spans="1:18">
      <c r="A1429" s="483">
        <f t="shared" si="211"/>
        <v>1425</v>
      </c>
      <c r="B1429" s="77"/>
      <c r="C1429" s="77"/>
      <c r="D1429" s="858"/>
      <c r="E1429" s="858">
        <f t="shared" si="206"/>
        <v>0</v>
      </c>
      <c r="F1429" s="887">
        <f t="shared" si="207"/>
        <v>1900</v>
      </c>
      <c r="G1429" s="888"/>
      <c r="H1429" s="889"/>
      <c r="I1429" s="888"/>
      <c r="J1429" s="888"/>
      <c r="K1429" s="980"/>
      <c r="L1429" s="77"/>
      <c r="M1429" s="78">
        <f t="shared" si="212"/>
        <v>0</v>
      </c>
      <c r="N1429" s="748"/>
      <c r="P1429" s="29" t="str">
        <f t="shared" si="208"/>
        <v>1900</v>
      </c>
      <c r="Q1429" s="29" t="str">
        <f t="shared" si="209"/>
        <v/>
      </c>
      <c r="R1429" s="29" t="str">
        <f t="shared" si="210"/>
        <v/>
      </c>
    </row>
    <row r="1430" spans="1:18">
      <c r="A1430" s="483">
        <f t="shared" si="211"/>
        <v>1426</v>
      </c>
      <c r="B1430" s="77"/>
      <c r="C1430" s="77"/>
      <c r="D1430" s="858"/>
      <c r="E1430" s="858">
        <f t="shared" si="206"/>
        <v>0</v>
      </c>
      <c r="F1430" s="887">
        <f t="shared" si="207"/>
        <v>1900</v>
      </c>
      <c r="G1430" s="888"/>
      <c r="H1430" s="889"/>
      <c r="I1430" s="888"/>
      <c r="J1430" s="888"/>
      <c r="K1430" s="980"/>
      <c r="L1430" s="77"/>
      <c r="M1430" s="78">
        <f t="shared" si="212"/>
        <v>0</v>
      </c>
      <c r="N1430" s="748"/>
      <c r="P1430" s="29" t="str">
        <f t="shared" si="208"/>
        <v>1900</v>
      </c>
      <c r="Q1430" s="29" t="str">
        <f t="shared" si="209"/>
        <v/>
      </c>
      <c r="R1430" s="29" t="str">
        <f t="shared" si="210"/>
        <v/>
      </c>
    </row>
    <row r="1431" spans="1:18">
      <c r="A1431" s="483">
        <f t="shared" si="211"/>
        <v>1427</v>
      </c>
      <c r="B1431" s="77"/>
      <c r="C1431" s="77"/>
      <c r="D1431" s="858"/>
      <c r="E1431" s="858">
        <f t="shared" si="206"/>
        <v>0</v>
      </c>
      <c r="F1431" s="887">
        <f t="shared" si="207"/>
        <v>1900</v>
      </c>
      <c r="G1431" s="888"/>
      <c r="H1431" s="889"/>
      <c r="I1431" s="888"/>
      <c r="J1431" s="888"/>
      <c r="K1431" s="980"/>
      <c r="L1431" s="77"/>
      <c r="M1431" s="78">
        <f t="shared" si="212"/>
        <v>0</v>
      </c>
      <c r="N1431" s="748"/>
      <c r="P1431" s="29" t="str">
        <f t="shared" si="208"/>
        <v>1900</v>
      </c>
      <c r="Q1431" s="29" t="str">
        <f t="shared" si="209"/>
        <v/>
      </c>
      <c r="R1431" s="29" t="str">
        <f t="shared" si="210"/>
        <v/>
      </c>
    </row>
    <row r="1432" spans="1:18">
      <c r="A1432" s="483">
        <f t="shared" si="211"/>
        <v>1428</v>
      </c>
      <c r="B1432" s="77"/>
      <c r="C1432" s="77"/>
      <c r="D1432" s="858"/>
      <c r="E1432" s="858">
        <f t="shared" si="206"/>
        <v>0</v>
      </c>
      <c r="F1432" s="887">
        <f t="shared" si="207"/>
        <v>1900</v>
      </c>
      <c r="G1432" s="888"/>
      <c r="H1432" s="889"/>
      <c r="I1432" s="888"/>
      <c r="J1432" s="888"/>
      <c r="K1432" s="980"/>
      <c r="L1432" s="77"/>
      <c r="M1432" s="78">
        <f t="shared" si="212"/>
        <v>0</v>
      </c>
      <c r="N1432" s="748"/>
      <c r="P1432" s="29" t="str">
        <f t="shared" si="208"/>
        <v>1900</v>
      </c>
      <c r="Q1432" s="29" t="str">
        <f t="shared" si="209"/>
        <v/>
      </c>
      <c r="R1432" s="29" t="str">
        <f t="shared" si="210"/>
        <v/>
      </c>
    </row>
    <row r="1433" spans="1:18">
      <c r="A1433" s="483">
        <f t="shared" si="211"/>
        <v>1429</v>
      </c>
      <c r="B1433" s="77"/>
      <c r="C1433" s="77"/>
      <c r="D1433" s="858"/>
      <c r="E1433" s="858">
        <f t="shared" si="206"/>
        <v>0</v>
      </c>
      <c r="F1433" s="887">
        <f t="shared" si="207"/>
        <v>1900</v>
      </c>
      <c r="G1433" s="888"/>
      <c r="H1433" s="889"/>
      <c r="I1433" s="888"/>
      <c r="J1433" s="888"/>
      <c r="K1433" s="980"/>
      <c r="L1433" s="77"/>
      <c r="M1433" s="78">
        <f t="shared" si="212"/>
        <v>0</v>
      </c>
      <c r="N1433" s="748"/>
      <c r="P1433" s="29" t="str">
        <f t="shared" si="208"/>
        <v>1900</v>
      </c>
      <c r="Q1433" s="29" t="str">
        <f t="shared" si="209"/>
        <v/>
      </c>
      <c r="R1433" s="29" t="str">
        <f t="shared" si="210"/>
        <v/>
      </c>
    </row>
    <row r="1434" spans="1:18">
      <c r="A1434" s="483">
        <f t="shared" si="211"/>
        <v>1430</v>
      </c>
      <c r="B1434" s="77"/>
      <c r="C1434" s="77"/>
      <c r="D1434" s="858"/>
      <c r="E1434" s="858">
        <f t="shared" si="206"/>
        <v>0</v>
      </c>
      <c r="F1434" s="887">
        <f t="shared" si="207"/>
        <v>1900</v>
      </c>
      <c r="G1434" s="888"/>
      <c r="H1434" s="889"/>
      <c r="I1434" s="888"/>
      <c r="J1434" s="888"/>
      <c r="K1434" s="980"/>
      <c r="L1434" s="77"/>
      <c r="M1434" s="78">
        <f t="shared" si="212"/>
        <v>0</v>
      </c>
      <c r="N1434" s="748"/>
      <c r="P1434" s="29" t="str">
        <f t="shared" si="208"/>
        <v>1900</v>
      </c>
      <c r="Q1434" s="29" t="str">
        <f t="shared" si="209"/>
        <v/>
      </c>
      <c r="R1434" s="29" t="str">
        <f t="shared" si="210"/>
        <v/>
      </c>
    </row>
    <row r="1435" spans="1:18">
      <c r="A1435" s="483">
        <f t="shared" si="211"/>
        <v>1431</v>
      </c>
      <c r="B1435" s="77"/>
      <c r="C1435" s="77"/>
      <c r="D1435" s="858"/>
      <c r="E1435" s="858">
        <f t="shared" si="206"/>
        <v>0</v>
      </c>
      <c r="F1435" s="887">
        <f t="shared" si="207"/>
        <v>1900</v>
      </c>
      <c r="G1435" s="888"/>
      <c r="H1435" s="889"/>
      <c r="I1435" s="888"/>
      <c r="J1435" s="888"/>
      <c r="K1435" s="980"/>
      <c r="L1435" s="77"/>
      <c r="M1435" s="78">
        <f t="shared" si="212"/>
        <v>0</v>
      </c>
      <c r="N1435" s="748"/>
      <c r="P1435" s="29" t="str">
        <f t="shared" si="208"/>
        <v>1900</v>
      </c>
      <c r="Q1435" s="29" t="str">
        <f t="shared" si="209"/>
        <v/>
      </c>
      <c r="R1435" s="29" t="str">
        <f t="shared" si="210"/>
        <v/>
      </c>
    </row>
    <row r="1436" spans="1:18">
      <c r="A1436" s="483">
        <f t="shared" si="211"/>
        <v>1432</v>
      </c>
      <c r="B1436" s="77"/>
      <c r="C1436" s="77"/>
      <c r="D1436" s="858"/>
      <c r="E1436" s="858">
        <f t="shared" si="206"/>
        <v>0</v>
      </c>
      <c r="F1436" s="887">
        <f t="shared" si="207"/>
        <v>1900</v>
      </c>
      <c r="G1436" s="888"/>
      <c r="H1436" s="889"/>
      <c r="I1436" s="888"/>
      <c r="J1436" s="888"/>
      <c r="K1436" s="980"/>
      <c r="L1436" s="77"/>
      <c r="M1436" s="78">
        <f t="shared" si="212"/>
        <v>0</v>
      </c>
      <c r="N1436" s="748"/>
      <c r="P1436" s="29" t="str">
        <f t="shared" si="208"/>
        <v>1900</v>
      </c>
      <c r="Q1436" s="29" t="str">
        <f t="shared" si="209"/>
        <v/>
      </c>
      <c r="R1436" s="29" t="str">
        <f t="shared" si="210"/>
        <v/>
      </c>
    </row>
    <row r="1437" spans="1:18">
      <c r="A1437" s="483">
        <f t="shared" si="211"/>
        <v>1433</v>
      </c>
      <c r="B1437" s="77"/>
      <c r="C1437" s="77"/>
      <c r="D1437" s="858"/>
      <c r="E1437" s="858">
        <f t="shared" si="206"/>
        <v>0</v>
      </c>
      <c r="F1437" s="887">
        <f t="shared" si="207"/>
        <v>1900</v>
      </c>
      <c r="G1437" s="888"/>
      <c r="H1437" s="889"/>
      <c r="I1437" s="888"/>
      <c r="J1437" s="888"/>
      <c r="K1437" s="980"/>
      <c r="L1437" s="77"/>
      <c r="M1437" s="78">
        <f t="shared" si="212"/>
        <v>0</v>
      </c>
      <c r="N1437" s="748"/>
      <c r="P1437" s="29" t="str">
        <f t="shared" si="208"/>
        <v>1900</v>
      </c>
      <c r="Q1437" s="29" t="str">
        <f t="shared" si="209"/>
        <v/>
      </c>
      <c r="R1437" s="29" t="str">
        <f t="shared" si="210"/>
        <v/>
      </c>
    </row>
    <row r="1438" spans="1:18">
      <c r="A1438" s="483">
        <f t="shared" si="211"/>
        <v>1434</v>
      </c>
      <c r="B1438" s="77"/>
      <c r="C1438" s="77"/>
      <c r="D1438" s="858"/>
      <c r="E1438" s="858">
        <f t="shared" si="206"/>
        <v>0</v>
      </c>
      <c r="F1438" s="887">
        <f t="shared" si="207"/>
        <v>1900</v>
      </c>
      <c r="G1438" s="888"/>
      <c r="H1438" s="889"/>
      <c r="I1438" s="888"/>
      <c r="J1438" s="888"/>
      <c r="K1438" s="980"/>
      <c r="L1438" s="77"/>
      <c r="M1438" s="78">
        <f t="shared" si="212"/>
        <v>0</v>
      </c>
      <c r="N1438" s="748"/>
      <c r="P1438" s="29" t="str">
        <f t="shared" si="208"/>
        <v>1900</v>
      </c>
      <c r="Q1438" s="29" t="str">
        <f t="shared" si="209"/>
        <v/>
      </c>
      <c r="R1438" s="29" t="str">
        <f t="shared" si="210"/>
        <v/>
      </c>
    </row>
    <row r="1439" spans="1:18">
      <c r="A1439" s="483">
        <f t="shared" si="211"/>
        <v>1435</v>
      </c>
      <c r="B1439" s="77"/>
      <c r="C1439" s="77"/>
      <c r="D1439" s="858"/>
      <c r="E1439" s="858">
        <f t="shared" si="206"/>
        <v>0</v>
      </c>
      <c r="F1439" s="887">
        <f t="shared" si="207"/>
        <v>1900</v>
      </c>
      <c r="G1439" s="888"/>
      <c r="H1439" s="889"/>
      <c r="I1439" s="888"/>
      <c r="J1439" s="888"/>
      <c r="K1439" s="980"/>
      <c r="L1439" s="77"/>
      <c r="M1439" s="78">
        <f t="shared" si="212"/>
        <v>0</v>
      </c>
      <c r="N1439" s="748"/>
      <c r="P1439" s="29" t="str">
        <f t="shared" si="208"/>
        <v>1900</v>
      </c>
      <c r="Q1439" s="29" t="str">
        <f t="shared" si="209"/>
        <v/>
      </c>
      <c r="R1439" s="29" t="str">
        <f t="shared" si="210"/>
        <v/>
      </c>
    </row>
    <row r="1440" spans="1:18">
      <c r="A1440" s="483">
        <f t="shared" si="211"/>
        <v>1436</v>
      </c>
      <c r="B1440" s="77"/>
      <c r="C1440" s="77"/>
      <c r="D1440" s="858"/>
      <c r="E1440" s="858">
        <f t="shared" si="206"/>
        <v>0</v>
      </c>
      <c r="F1440" s="887">
        <f t="shared" si="207"/>
        <v>1900</v>
      </c>
      <c r="G1440" s="888"/>
      <c r="H1440" s="889"/>
      <c r="I1440" s="888"/>
      <c r="J1440" s="888"/>
      <c r="K1440" s="980"/>
      <c r="L1440" s="77"/>
      <c r="M1440" s="78">
        <f t="shared" si="212"/>
        <v>0</v>
      </c>
      <c r="N1440" s="748"/>
      <c r="P1440" s="29" t="str">
        <f t="shared" si="208"/>
        <v>1900</v>
      </c>
      <c r="Q1440" s="29" t="str">
        <f t="shared" si="209"/>
        <v/>
      </c>
      <c r="R1440" s="29" t="str">
        <f t="shared" si="210"/>
        <v/>
      </c>
    </row>
    <row r="1441" spans="1:18">
      <c r="A1441" s="483">
        <f t="shared" si="211"/>
        <v>1437</v>
      </c>
      <c r="B1441" s="77"/>
      <c r="C1441" s="77"/>
      <c r="D1441" s="858"/>
      <c r="E1441" s="858">
        <f t="shared" si="206"/>
        <v>0</v>
      </c>
      <c r="F1441" s="887">
        <f t="shared" si="207"/>
        <v>1900</v>
      </c>
      <c r="G1441" s="888"/>
      <c r="H1441" s="889"/>
      <c r="I1441" s="888"/>
      <c r="J1441" s="888"/>
      <c r="K1441" s="980"/>
      <c r="L1441" s="77"/>
      <c r="M1441" s="78">
        <f t="shared" si="212"/>
        <v>0</v>
      </c>
      <c r="N1441" s="748"/>
      <c r="P1441" s="29" t="str">
        <f t="shared" si="208"/>
        <v>1900</v>
      </c>
      <c r="Q1441" s="29" t="str">
        <f t="shared" si="209"/>
        <v/>
      </c>
      <c r="R1441" s="29" t="str">
        <f t="shared" si="210"/>
        <v/>
      </c>
    </row>
    <row r="1442" spans="1:18">
      <c r="A1442" s="483">
        <f t="shared" si="211"/>
        <v>1438</v>
      </c>
      <c r="B1442" s="77"/>
      <c r="C1442" s="77"/>
      <c r="D1442" s="858"/>
      <c r="E1442" s="858">
        <f t="shared" si="206"/>
        <v>0</v>
      </c>
      <c r="F1442" s="887">
        <f t="shared" si="207"/>
        <v>1900</v>
      </c>
      <c r="G1442" s="888"/>
      <c r="H1442" s="889"/>
      <c r="I1442" s="888"/>
      <c r="J1442" s="888"/>
      <c r="K1442" s="980"/>
      <c r="L1442" s="77"/>
      <c r="M1442" s="78">
        <f t="shared" si="212"/>
        <v>0</v>
      </c>
      <c r="N1442" s="748"/>
      <c r="P1442" s="29" t="str">
        <f t="shared" si="208"/>
        <v>1900</v>
      </c>
      <c r="Q1442" s="29" t="str">
        <f t="shared" si="209"/>
        <v/>
      </c>
      <c r="R1442" s="29" t="str">
        <f t="shared" si="210"/>
        <v/>
      </c>
    </row>
    <row r="1443" spans="1:18">
      <c r="A1443" s="483">
        <f t="shared" si="211"/>
        <v>1439</v>
      </c>
      <c r="B1443" s="77"/>
      <c r="C1443" s="77"/>
      <c r="D1443" s="858"/>
      <c r="E1443" s="858">
        <f t="shared" si="206"/>
        <v>0</v>
      </c>
      <c r="F1443" s="887">
        <f t="shared" si="207"/>
        <v>1900</v>
      </c>
      <c r="G1443" s="888"/>
      <c r="H1443" s="889"/>
      <c r="I1443" s="888"/>
      <c r="J1443" s="888"/>
      <c r="K1443" s="980"/>
      <c r="L1443" s="77"/>
      <c r="M1443" s="78">
        <f t="shared" si="212"/>
        <v>0</v>
      </c>
      <c r="N1443" s="748"/>
      <c r="P1443" s="29" t="str">
        <f t="shared" si="208"/>
        <v>1900</v>
      </c>
      <c r="Q1443" s="29" t="str">
        <f t="shared" si="209"/>
        <v/>
      </c>
      <c r="R1443" s="29" t="str">
        <f t="shared" si="210"/>
        <v/>
      </c>
    </row>
    <row r="1444" spans="1:18">
      <c r="A1444" s="483">
        <f t="shared" si="211"/>
        <v>1440</v>
      </c>
      <c r="B1444" s="77"/>
      <c r="C1444" s="77"/>
      <c r="D1444" s="858"/>
      <c r="E1444" s="858">
        <f t="shared" si="206"/>
        <v>0</v>
      </c>
      <c r="F1444" s="887">
        <f t="shared" si="207"/>
        <v>1900</v>
      </c>
      <c r="G1444" s="888"/>
      <c r="H1444" s="889"/>
      <c r="I1444" s="888"/>
      <c r="J1444" s="888"/>
      <c r="K1444" s="980"/>
      <c r="L1444" s="77"/>
      <c r="M1444" s="78">
        <f t="shared" si="212"/>
        <v>0</v>
      </c>
      <c r="N1444" s="748"/>
      <c r="P1444" s="29" t="str">
        <f t="shared" si="208"/>
        <v>1900</v>
      </c>
      <c r="Q1444" s="29" t="str">
        <f t="shared" si="209"/>
        <v/>
      </c>
      <c r="R1444" s="29" t="str">
        <f t="shared" si="210"/>
        <v/>
      </c>
    </row>
    <row r="1445" spans="1:18">
      <c r="A1445" s="483">
        <f t="shared" si="211"/>
        <v>1441</v>
      </c>
      <c r="B1445" s="77"/>
      <c r="C1445" s="77"/>
      <c r="D1445" s="858"/>
      <c r="E1445" s="858">
        <f t="shared" si="206"/>
        <v>0</v>
      </c>
      <c r="F1445" s="887">
        <f t="shared" si="207"/>
        <v>1900</v>
      </c>
      <c r="G1445" s="888"/>
      <c r="H1445" s="889"/>
      <c r="I1445" s="888"/>
      <c r="J1445" s="888"/>
      <c r="K1445" s="980"/>
      <c r="L1445" s="77"/>
      <c r="M1445" s="78">
        <f t="shared" si="212"/>
        <v>0</v>
      </c>
      <c r="N1445" s="748"/>
      <c r="P1445" s="29" t="str">
        <f t="shared" si="208"/>
        <v>1900</v>
      </c>
      <c r="Q1445" s="29" t="str">
        <f t="shared" si="209"/>
        <v/>
      </c>
      <c r="R1445" s="29" t="str">
        <f t="shared" si="210"/>
        <v/>
      </c>
    </row>
    <row r="1446" spans="1:18">
      <c r="A1446" s="483">
        <f t="shared" si="211"/>
        <v>1442</v>
      </c>
      <c r="B1446" s="77"/>
      <c r="C1446" s="77"/>
      <c r="D1446" s="858"/>
      <c r="E1446" s="858">
        <f t="shared" si="206"/>
        <v>0</v>
      </c>
      <c r="F1446" s="887">
        <f t="shared" si="207"/>
        <v>1900</v>
      </c>
      <c r="G1446" s="888"/>
      <c r="H1446" s="889"/>
      <c r="I1446" s="888"/>
      <c r="J1446" s="888"/>
      <c r="K1446" s="980"/>
      <c r="L1446" s="77"/>
      <c r="M1446" s="78">
        <f t="shared" si="212"/>
        <v>0</v>
      </c>
      <c r="N1446" s="748"/>
      <c r="P1446" s="29" t="str">
        <f t="shared" si="208"/>
        <v>1900</v>
      </c>
      <c r="Q1446" s="29" t="str">
        <f t="shared" si="209"/>
        <v/>
      </c>
      <c r="R1446" s="29" t="str">
        <f t="shared" si="210"/>
        <v/>
      </c>
    </row>
    <row r="1447" spans="1:18">
      <c r="A1447" s="483">
        <f t="shared" si="211"/>
        <v>1443</v>
      </c>
      <c r="B1447" s="77"/>
      <c r="C1447" s="77"/>
      <c r="D1447" s="858"/>
      <c r="E1447" s="858">
        <f t="shared" si="206"/>
        <v>0</v>
      </c>
      <c r="F1447" s="887">
        <f t="shared" si="207"/>
        <v>1900</v>
      </c>
      <c r="G1447" s="888"/>
      <c r="H1447" s="889"/>
      <c r="I1447" s="888"/>
      <c r="J1447" s="888"/>
      <c r="K1447" s="980"/>
      <c r="L1447" s="77"/>
      <c r="M1447" s="78">
        <f t="shared" si="212"/>
        <v>0</v>
      </c>
      <c r="N1447" s="748"/>
      <c r="P1447" s="29" t="str">
        <f t="shared" si="208"/>
        <v>1900</v>
      </c>
      <c r="Q1447" s="29" t="str">
        <f t="shared" si="209"/>
        <v/>
      </c>
      <c r="R1447" s="29" t="str">
        <f t="shared" si="210"/>
        <v/>
      </c>
    </row>
    <row r="1448" spans="1:18">
      <c r="A1448" s="483">
        <f t="shared" si="211"/>
        <v>1444</v>
      </c>
      <c r="B1448" s="77"/>
      <c r="C1448" s="77"/>
      <c r="D1448" s="858"/>
      <c r="E1448" s="858">
        <f t="shared" si="206"/>
        <v>0</v>
      </c>
      <c r="F1448" s="887">
        <f t="shared" si="207"/>
        <v>1900</v>
      </c>
      <c r="G1448" s="888"/>
      <c r="H1448" s="889"/>
      <c r="I1448" s="888"/>
      <c r="J1448" s="888"/>
      <c r="K1448" s="980"/>
      <c r="L1448" s="77"/>
      <c r="M1448" s="78">
        <f t="shared" si="212"/>
        <v>0</v>
      </c>
      <c r="N1448" s="748"/>
      <c r="P1448" s="29" t="str">
        <f t="shared" si="208"/>
        <v>1900</v>
      </c>
      <c r="Q1448" s="29" t="str">
        <f t="shared" si="209"/>
        <v/>
      </c>
      <c r="R1448" s="29" t="str">
        <f t="shared" si="210"/>
        <v/>
      </c>
    </row>
    <row r="1449" spans="1:18">
      <c r="A1449" s="483">
        <f t="shared" si="211"/>
        <v>1445</v>
      </c>
      <c r="B1449" s="77"/>
      <c r="C1449" s="77"/>
      <c r="D1449" s="858"/>
      <c r="E1449" s="858">
        <f t="shared" si="206"/>
        <v>0</v>
      </c>
      <c r="F1449" s="887">
        <f t="shared" si="207"/>
        <v>1900</v>
      </c>
      <c r="G1449" s="888"/>
      <c r="H1449" s="889"/>
      <c r="I1449" s="888"/>
      <c r="J1449" s="888"/>
      <c r="K1449" s="980"/>
      <c r="L1449" s="77"/>
      <c r="M1449" s="78">
        <f t="shared" si="212"/>
        <v>0</v>
      </c>
      <c r="N1449" s="748"/>
      <c r="P1449" s="29" t="str">
        <f t="shared" si="208"/>
        <v>1900</v>
      </c>
      <c r="Q1449" s="29" t="str">
        <f t="shared" si="209"/>
        <v/>
      </c>
      <c r="R1449" s="29" t="str">
        <f t="shared" si="210"/>
        <v/>
      </c>
    </row>
    <row r="1450" spans="1:18">
      <c r="A1450" s="483">
        <f t="shared" si="211"/>
        <v>1446</v>
      </c>
      <c r="B1450" s="77"/>
      <c r="C1450" s="77"/>
      <c r="D1450" s="858"/>
      <c r="E1450" s="858">
        <f t="shared" si="206"/>
        <v>0</v>
      </c>
      <c r="F1450" s="887">
        <f t="shared" si="207"/>
        <v>1900</v>
      </c>
      <c r="G1450" s="888"/>
      <c r="H1450" s="889"/>
      <c r="I1450" s="888"/>
      <c r="J1450" s="888"/>
      <c r="K1450" s="980"/>
      <c r="L1450" s="77"/>
      <c r="M1450" s="78">
        <f t="shared" si="212"/>
        <v>0</v>
      </c>
      <c r="N1450" s="748"/>
      <c r="P1450" s="29" t="str">
        <f t="shared" si="208"/>
        <v>1900</v>
      </c>
      <c r="Q1450" s="29" t="str">
        <f t="shared" si="209"/>
        <v/>
      </c>
      <c r="R1450" s="29" t="str">
        <f t="shared" si="210"/>
        <v/>
      </c>
    </row>
    <row r="1451" spans="1:18">
      <c r="A1451" s="483">
        <f t="shared" si="211"/>
        <v>1447</v>
      </c>
      <c r="B1451" s="77"/>
      <c r="C1451" s="77"/>
      <c r="D1451" s="858"/>
      <c r="E1451" s="858">
        <f t="shared" si="206"/>
        <v>0</v>
      </c>
      <c r="F1451" s="887">
        <f t="shared" si="207"/>
        <v>1900</v>
      </c>
      <c r="G1451" s="888"/>
      <c r="H1451" s="889"/>
      <c r="I1451" s="888"/>
      <c r="J1451" s="888"/>
      <c r="K1451" s="980"/>
      <c r="L1451" s="77"/>
      <c r="M1451" s="78">
        <f t="shared" si="212"/>
        <v>0</v>
      </c>
      <c r="N1451" s="748"/>
      <c r="P1451" s="29" t="str">
        <f t="shared" si="208"/>
        <v>1900</v>
      </c>
      <c r="Q1451" s="29" t="str">
        <f t="shared" si="209"/>
        <v/>
      </c>
      <c r="R1451" s="29" t="str">
        <f t="shared" si="210"/>
        <v/>
      </c>
    </row>
    <row r="1452" spans="1:18">
      <c r="A1452" s="483">
        <f t="shared" si="211"/>
        <v>1448</v>
      </c>
      <c r="B1452" s="77"/>
      <c r="C1452" s="77"/>
      <c r="D1452" s="858"/>
      <c r="E1452" s="858">
        <f t="shared" si="206"/>
        <v>0</v>
      </c>
      <c r="F1452" s="887">
        <f t="shared" si="207"/>
        <v>1900</v>
      </c>
      <c r="G1452" s="888"/>
      <c r="H1452" s="889"/>
      <c r="I1452" s="888"/>
      <c r="J1452" s="888"/>
      <c r="K1452" s="980"/>
      <c r="L1452" s="77"/>
      <c r="M1452" s="78">
        <f t="shared" si="212"/>
        <v>0</v>
      </c>
      <c r="N1452" s="748"/>
      <c r="P1452" s="29" t="str">
        <f t="shared" si="208"/>
        <v>1900</v>
      </c>
      <c r="Q1452" s="29" t="str">
        <f t="shared" si="209"/>
        <v/>
      </c>
      <c r="R1452" s="29" t="str">
        <f t="shared" si="210"/>
        <v/>
      </c>
    </row>
    <row r="1453" spans="1:18">
      <c r="A1453" s="483">
        <f t="shared" si="211"/>
        <v>1449</v>
      </c>
      <c r="B1453" s="77"/>
      <c r="C1453" s="77"/>
      <c r="D1453" s="858"/>
      <c r="E1453" s="858">
        <f t="shared" si="206"/>
        <v>0</v>
      </c>
      <c r="F1453" s="887">
        <f t="shared" si="207"/>
        <v>1900</v>
      </c>
      <c r="G1453" s="888"/>
      <c r="H1453" s="889"/>
      <c r="I1453" s="888"/>
      <c r="J1453" s="888"/>
      <c r="K1453" s="980"/>
      <c r="L1453" s="77"/>
      <c r="M1453" s="78">
        <f t="shared" si="212"/>
        <v>0</v>
      </c>
      <c r="N1453" s="748"/>
      <c r="P1453" s="29" t="str">
        <f t="shared" si="208"/>
        <v>1900</v>
      </c>
      <c r="Q1453" s="29" t="str">
        <f t="shared" si="209"/>
        <v/>
      </c>
      <c r="R1453" s="29" t="str">
        <f t="shared" si="210"/>
        <v/>
      </c>
    </row>
    <row r="1454" spans="1:18">
      <c r="A1454" s="483">
        <f t="shared" si="211"/>
        <v>1450</v>
      </c>
      <c r="B1454" s="77"/>
      <c r="C1454" s="77"/>
      <c r="D1454" s="858"/>
      <c r="E1454" s="858">
        <f t="shared" si="206"/>
        <v>0</v>
      </c>
      <c r="F1454" s="887">
        <f t="shared" si="207"/>
        <v>1900</v>
      </c>
      <c r="G1454" s="888"/>
      <c r="H1454" s="889"/>
      <c r="I1454" s="888"/>
      <c r="J1454" s="888"/>
      <c r="K1454" s="980"/>
      <c r="L1454" s="77"/>
      <c r="M1454" s="78">
        <f t="shared" si="212"/>
        <v>0</v>
      </c>
      <c r="N1454" s="748"/>
      <c r="P1454" s="29" t="str">
        <f t="shared" si="208"/>
        <v>1900</v>
      </c>
      <c r="Q1454" s="29" t="str">
        <f t="shared" si="209"/>
        <v/>
      </c>
      <c r="R1454" s="29" t="str">
        <f t="shared" si="210"/>
        <v/>
      </c>
    </row>
    <row r="1455" spans="1:18">
      <c r="A1455" s="483">
        <f t="shared" si="211"/>
        <v>1451</v>
      </c>
      <c r="B1455" s="77"/>
      <c r="C1455" s="77"/>
      <c r="D1455" s="858"/>
      <c r="E1455" s="858">
        <f t="shared" ref="E1455:E1518" si="213">DAY(C1455)</f>
        <v>0</v>
      </c>
      <c r="F1455" s="887">
        <f t="shared" ref="F1455:F1518" si="214">YEAR(C1455)</f>
        <v>1900</v>
      </c>
      <c r="G1455" s="888"/>
      <c r="H1455" s="889"/>
      <c r="I1455" s="888"/>
      <c r="J1455" s="888"/>
      <c r="K1455" s="980"/>
      <c r="L1455" s="77"/>
      <c r="M1455" s="78">
        <f t="shared" si="212"/>
        <v>0</v>
      </c>
      <c r="N1455" s="748"/>
      <c r="P1455" s="29" t="str">
        <f t="shared" ref="P1455:P1518" si="215">CONCATENATE(F1455,H1455)</f>
        <v>1900</v>
      </c>
      <c r="Q1455" s="29" t="str">
        <f t="shared" ref="Q1455:Q1518" si="216">CONCATENATE(H1455,K1455)</f>
        <v/>
      </c>
      <c r="R1455" s="29" t="str">
        <f t="shared" ref="R1455:R1518" si="217">CONCATENATE(D1455,H1455)</f>
        <v/>
      </c>
    </row>
    <row r="1456" spans="1:18">
      <c r="A1456" s="483">
        <f t="shared" si="211"/>
        <v>1452</v>
      </c>
      <c r="B1456" s="77"/>
      <c r="C1456" s="77"/>
      <c r="D1456" s="858"/>
      <c r="E1456" s="858">
        <f t="shared" si="213"/>
        <v>0</v>
      </c>
      <c r="F1456" s="887">
        <f t="shared" si="214"/>
        <v>1900</v>
      </c>
      <c r="G1456" s="888"/>
      <c r="H1456" s="889"/>
      <c r="I1456" s="888"/>
      <c r="J1456" s="888"/>
      <c r="K1456" s="980"/>
      <c r="L1456" s="77"/>
      <c r="M1456" s="78">
        <f t="shared" si="212"/>
        <v>0</v>
      </c>
      <c r="N1456" s="748"/>
      <c r="P1456" s="29" t="str">
        <f t="shared" si="215"/>
        <v>1900</v>
      </c>
      <c r="Q1456" s="29" t="str">
        <f t="shared" si="216"/>
        <v/>
      </c>
      <c r="R1456" s="29" t="str">
        <f t="shared" si="217"/>
        <v/>
      </c>
    </row>
    <row r="1457" spans="1:18">
      <c r="A1457" s="483">
        <f t="shared" si="211"/>
        <v>1453</v>
      </c>
      <c r="B1457" s="77"/>
      <c r="C1457" s="77"/>
      <c r="D1457" s="858"/>
      <c r="E1457" s="858">
        <f t="shared" si="213"/>
        <v>0</v>
      </c>
      <c r="F1457" s="887">
        <f t="shared" si="214"/>
        <v>1900</v>
      </c>
      <c r="G1457" s="888"/>
      <c r="H1457" s="889"/>
      <c r="I1457" s="888"/>
      <c r="J1457" s="888"/>
      <c r="K1457" s="980"/>
      <c r="L1457" s="77"/>
      <c r="M1457" s="78">
        <f t="shared" si="212"/>
        <v>0</v>
      </c>
      <c r="N1457" s="748"/>
      <c r="P1457" s="29" t="str">
        <f t="shared" si="215"/>
        <v>1900</v>
      </c>
      <c r="Q1457" s="29" t="str">
        <f t="shared" si="216"/>
        <v/>
      </c>
      <c r="R1457" s="29" t="str">
        <f t="shared" si="217"/>
        <v/>
      </c>
    </row>
    <row r="1458" spans="1:18">
      <c r="A1458" s="483">
        <f t="shared" si="211"/>
        <v>1454</v>
      </c>
      <c r="B1458" s="77"/>
      <c r="C1458" s="77"/>
      <c r="D1458" s="858"/>
      <c r="E1458" s="858">
        <f t="shared" si="213"/>
        <v>0</v>
      </c>
      <c r="F1458" s="887">
        <f t="shared" si="214"/>
        <v>1900</v>
      </c>
      <c r="G1458" s="888"/>
      <c r="H1458" s="889"/>
      <c r="I1458" s="888"/>
      <c r="J1458" s="888"/>
      <c r="K1458" s="980"/>
      <c r="L1458" s="77"/>
      <c r="M1458" s="78">
        <f t="shared" si="212"/>
        <v>0</v>
      </c>
      <c r="N1458" s="748"/>
      <c r="P1458" s="29" t="str">
        <f t="shared" si="215"/>
        <v>1900</v>
      </c>
      <c r="Q1458" s="29" t="str">
        <f t="shared" si="216"/>
        <v/>
      </c>
      <c r="R1458" s="29" t="str">
        <f t="shared" si="217"/>
        <v/>
      </c>
    </row>
    <row r="1459" spans="1:18">
      <c r="A1459" s="483">
        <f t="shared" si="211"/>
        <v>1455</v>
      </c>
      <c r="B1459" s="77"/>
      <c r="C1459" s="77"/>
      <c r="D1459" s="858"/>
      <c r="E1459" s="858">
        <f t="shared" si="213"/>
        <v>0</v>
      </c>
      <c r="F1459" s="887">
        <f t="shared" si="214"/>
        <v>1900</v>
      </c>
      <c r="G1459" s="888"/>
      <c r="H1459" s="889"/>
      <c r="I1459" s="888"/>
      <c r="J1459" s="888"/>
      <c r="K1459" s="980"/>
      <c r="L1459" s="77"/>
      <c r="M1459" s="78">
        <f t="shared" si="212"/>
        <v>0</v>
      </c>
      <c r="N1459" s="748"/>
      <c r="P1459" s="29" t="str">
        <f t="shared" si="215"/>
        <v>1900</v>
      </c>
      <c r="Q1459" s="29" t="str">
        <f t="shared" si="216"/>
        <v/>
      </c>
      <c r="R1459" s="29" t="str">
        <f t="shared" si="217"/>
        <v/>
      </c>
    </row>
    <row r="1460" spans="1:18">
      <c r="A1460" s="483">
        <f t="shared" si="211"/>
        <v>1456</v>
      </c>
      <c r="B1460" s="77"/>
      <c r="C1460" s="77"/>
      <c r="D1460" s="858"/>
      <c r="E1460" s="858">
        <f t="shared" si="213"/>
        <v>0</v>
      </c>
      <c r="F1460" s="887">
        <f t="shared" si="214"/>
        <v>1900</v>
      </c>
      <c r="G1460" s="888"/>
      <c r="H1460" s="889"/>
      <c r="I1460" s="888"/>
      <c r="J1460" s="888"/>
      <c r="K1460" s="980"/>
      <c r="L1460" s="77"/>
      <c r="M1460" s="78">
        <f t="shared" si="212"/>
        <v>0</v>
      </c>
      <c r="N1460" s="748"/>
      <c r="P1460" s="29" t="str">
        <f t="shared" si="215"/>
        <v>1900</v>
      </c>
      <c r="Q1460" s="29" t="str">
        <f t="shared" si="216"/>
        <v/>
      </c>
      <c r="R1460" s="29" t="str">
        <f t="shared" si="217"/>
        <v/>
      </c>
    </row>
    <row r="1461" spans="1:18">
      <c r="A1461" s="483">
        <f t="shared" si="211"/>
        <v>1457</v>
      </c>
      <c r="B1461" s="77"/>
      <c r="C1461" s="77"/>
      <c r="D1461" s="858"/>
      <c r="E1461" s="858">
        <f t="shared" si="213"/>
        <v>0</v>
      </c>
      <c r="F1461" s="887">
        <f t="shared" si="214"/>
        <v>1900</v>
      </c>
      <c r="G1461" s="888"/>
      <c r="H1461" s="889"/>
      <c r="I1461" s="888"/>
      <c r="J1461" s="888"/>
      <c r="K1461" s="980"/>
      <c r="L1461" s="77"/>
      <c r="M1461" s="78">
        <f t="shared" si="212"/>
        <v>0</v>
      </c>
      <c r="N1461" s="748"/>
      <c r="P1461" s="29" t="str">
        <f t="shared" si="215"/>
        <v>1900</v>
      </c>
      <c r="Q1461" s="29" t="str">
        <f t="shared" si="216"/>
        <v/>
      </c>
      <c r="R1461" s="29" t="str">
        <f t="shared" si="217"/>
        <v/>
      </c>
    </row>
    <row r="1462" spans="1:18">
      <c r="A1462" s="483">
        <f t="shared" si="211"/>
        <v>1458</v>
      </c>
      <c r="B1462" s="77"/>
      <c r="C1462" s="77"/>
      <c r="D1462" s="858"/>
      <c r="E1462" s="858">
        <f t="shared" si="213"/>
        <v>0</v>
      </c>
      <c r="F1462" s="887">
        <f t="shared" si="214"/>
        <v>1900</v>
      </c>
      <c r="G1462" s="888"/>
      <c r="H1462" s="889"/>
      <c r="I1462" s="888"/>
      <c r="J1462" s="888"/>
      <c r="K1462" s="980"/>
      <c r="L1462" s="77"/>
      <c r="M1462" s="78">
        <f t="shared" si="212"/>
        <v>0</v>
      </c>
      <c r="N1462" s="748"/>
      <c r="P1462" s="29" t="str">
        <f t="shared" si="215"/>
        <v>1900</v>
      </c>
      <c r="Q1462" s="29" t="str">
        <f t="shared" si="216"/>
        <v/>
      </c>
      <c r="R1462" s="29" t="str">
        <f t="shared" si="217"/>
        <v/>
      </c>
    </row>
    <row r="1463" spans="1:18">
      <c r="A1463" s="483">
        <f t="shared" si="211"/>
        <v>1459</v>
      </c>
      <c r="B1463" s="77"/>
      <c r="C1463" s="77"/>
      <c r="D1463" s="858"/>
      <c r="E1463" s="858">
        <f t="shared" si="213"/>
        <v>0</v>
      </c>
      <c r="F1463" s="887">
        <f t="shared" si="214"/>
        <v>1900</v>
      </c>
      <c r="G1463" s="888"/>
      <c r="H1463" s="889"/>
      <c r="I1463" s="888"/>
      <c r="J1463" s="888"/>
      <c r="K1463" s="980"/>
      <c r="L1463" s="77"/>
      <c r="M1463" s="78">
        <f t="shared" si="212"/>
        <v>0</v>
      </c>
      <c r="N1463" s="748"/>
      <c r="P1463" s="29" t="str">
        <f t="shared" si="215"/>
        <v>1900</v>
      </c>
      <c r="Q1463" s="29" t="str">
        <f t="shared" si="216"/>
        <v/>
      </c>
      <c r="R1463" s="29" t="str">
        <f t="shared" si="217"/>
        <v/>
      </c>
    </row>
    <row r="1464" spans="1:18">
      <c r="A1464" s="483">
        <f t="shared" si="211"/>
        <v>1460</v>
      </c>
      <c r="B1464" s="77"/>
      <c r="C1464" s="77"/>
      <c r="D1464" s="858"/>
      <c r="E1464" s="858">
        <f t="shared" si="213"/>
        <v>0</v>
      </c>
      <c r="F1464" s="887">
        <f t="shared" si="214"/>
        <v>1900</v>
      </c>
      <c r="G1464" s="888"/>
      <c r="H1464" s="889"/>
      <c r="I1464" s="888"/>
      <c r="J1464" s="888"/>
      <c r="K1464" s="980"/>
      <c r="L1464" s="77"/>
      <c r="M1464" s="78">
        <f t="shared" si="212"/>
        <v>0</v>
      </c>
      <c r="N1464" s="748"/>
      <c r="P1464" s="29" t="str">
        <f t="shared" si="215"/>
        <v>1900</v>
      </c>
      <c r="Q1464" s="29" t="str">
        <f t="shared" si="216"/>
        <v/>
      </c>
      <c r="R1464" s="29" t="str">
        <f t="shared" si="217"/>
        <v/>
      </c>
    </row>
    <row r="1465" spans="1:18">
      <c r="A1465" s="483">
        <f t="shared" si="211"/>
        <v>1461</v>
      </c>
      <c r="B1465" s="77"/>
      <c r="C1465" s="77"/>
      <c r="D1465" s="858"/>
      <c r="E1465" s="858">
        <f t="shared" si="213"/>
        <v>0</v>
      </c>
      <c r="F1465" s="887">
        <f t="shared" si="214"/>
        <v>1900</v>
      </c>
      <c r="G1465" s="888"/>
      <c r="H1465" s="889"/>
      <c r="I1465" s="888"/>
      <c r="J1465" s="888"/>
      <c r="K1465" s="980"/>
      <c r="L1465" s="77"/>
      <c r="M1465" s="78">
        <f t="shared" si="212"/>
        <v>0</v>
      </c>
      <c r="N1465" s="748"/>
      <c r="P1465" s="29" t="str">
        <f t="shared" si="215"/>
        <v>1900</v>
      </c>
      <c r="Q1465" s="29" t="str">
        <f t="shared" si="216"/>
        <v/>
      </c>
      <c r="R1465" s="29" t="str">
        <f t="shared" si="217"/>
        <v/>
      </c>
    </row>
    <row r="1466" spans="1:18">
      <c r="A1466" s="483">
        <f t="shared" si="211"/>
        <v>1462</v>
      </c>
      <c r="B1466" s="77"/>
      <c r="C1466" s="77"/>
      <c r="D1466" s="858"/>
      <c r="E1466" s="858">
        <f t="shared" si="213"/>
        <v>0</v>
      </c>
      <c r="F1466" s="887">
        <f t="shared" si="214"/>
        <v>1900</v>
      </c>
      <c r="G1466" s="888"/>
      <c r="H1466" s="889"/>
      <c r="I1466" s="888"/>
      <c r="J1466" s="888"/>
      <c r="K1466" s="980"/>
      <c r="L1466" s="77"/>
      <c r="M1466" s="78">
        <f t="shared" si="212"/>
        <v>0</v>
      </c>
      <c r="N1466" s="748"/>
      <c r="P1466" s="29" t="str">
        <f t="shared" si="215"/>
        <v>1900</v>
      </c>
      <c r="Q1466" s="29" t="str">
        <f t="shared" si="216"/>
        <v/>
      </c>
      <c r="R1466" s="29" t="str">
        <f t="shared" si="217"/>
        <v/>
      </c>
    </row>
    <row r="1467" spans="1:18">
      <c r="A1467" s="483">
        <f t="shared" si="211"/>
        <v>1463</v>
      </c>
      <c r="B1467" s="77"/>
      <c r="C1467" s="77"/>
      <c r="D1467" s="858"/>
      <c r="E1467" s="858">
        <f t="shared" si="213"/>
        <v>0</v>
      </c>
      <c r="F1467" s="887">
        <f t="shared" si="214"/>
        <v>1900</v>
      </c>
      <c r="G1467" s="888"/>
      <c r="H1467" s="889"/>
      <c r="I1467" s="888"/>
      <c r="J1467" s="888"/>
      <c r="K1467" s="980"/>
      <c r="L1467" s="77"/>
      <c r="M1467" s="78">
        <f t="shared" si="212"/>
        <v>0</v>
      </c>
      <c r="N1467" s="748"/>
      <c r="P1467" s="29" t="str">
        <f t="shared" si="215"/>
        <v>1900</v>
      </c>
      <c r="Q1467" s="29" t="str">
        <f t="shared" si="216"/>
        <v/>
      </c>
      <c r="R1467" s="29" t="str">
        <f t="shared" si="217"/>
        <v/>
      </c>
    </row>
    <row r="1468" spans="1:18">
      <c r="A1468" s="483">
        <f t="shared" si="211"/>
        <v>1464</v>
      </c>
      <c r="B1468" s="77"/>
      <c r="C1468" s="77"/>
      <c r="D1468" s="858"/>
      <c r="E1468" s="858">
        <f t="shared" si="213"/>
        <v>0</v>
      </c>
      <c r="F1468" s="887">
        <f t="shared" si="214"/>
        <v>1900</v>
      </c>
      <c r="G1468" s="888"/>
      <c r="H1468" s="889"/>
      <c r="I1468" s="888"/>
      <c r="J1468" s="888"/>
      <c r="K1468" s="980"/>
      <c r="L1468" s="77"/>
      <c r="M1468" s="78">
        <f t="shared" si="212"/>
        <v>0</v>
      </c>
      <c r="N1468" s="748"/>
      <c r="P1468" s="29" t="str">
        <f t="shared" si="215"/>
        <v>1900</v>
      </c>
      <c r="Q1468" s="29" t="str">
        <f t="shared" si="216"/>
        <v/>
      </c>
      <c r="R1468" s="29" t="str">
        <f t="shared" si="217"/>
        <v/>
      </c>
    </row>
    <row r="1469" spans="1:18">
      <c r="A1469" s="483">
        <f t="shared" si="211"/>
        <v>1465</v>
      </c>
      <c r="B1469" s="77"/>
      <c r="C1469" s="77"/>
      <c r="D1469" s="858"/>
      <c r="E1469" s="858">
        <f t="shared" si="213"/>
        <v>0</v>
      </c>
      <c r="F1469" s="887">
        <f t="shared" si="214"/>
        <v>1900</v>
      </c>
      <c r="G1469" s="888"/>
      <c r="H1469" s="889"/>
      <c r="I1469" s="888"/>
      <c r="J1469" s="888"/>
      <c r="K1469" s="980"/>
      <c r="L1469" s="77"/>
      <c r="M1469" s="78">
        <f t="shared" si="212"/>
        <v>0</v>
      </c>
      <c r="N1469" s="748"/>
      <c r="P1469" s="29" t="str">
        <f t="shared" si="215"/>
        <v>1900</v>
      </c>
      <c r="Q1469" s="29" t="str">
        <f t="shared" si="216"/>
        <v/>
      </c>
      <c r="R1469" s="29" t="str">
        <f t="shared" si="217"/>
        <v/>
      </c>
    </row>
    <row r="1470" spans="1:18">
      <c r="A1470" s="483">
        <f t="shared" si="211"/>
        <v>1466</v>
      </c>
      <c r="B1470" s="77"/>
      <c r="C1470" s="77"/>
      <c r="D1470" s="858"/>
      <c r="E1470" s="858">
        <f t="shared" si="213"/>
        <v>0</v>
      </c>
      <c r="F1470" s="887">
        <f t="shared" si="214"/>
        <v>1900</v>
      </c>
      <c r="G1470" s="888"/>
      <c r="H1470" s="889"/>
      <c r="I1470" s="888"/>
      <c r="J1470" s="888"/>
      <c r="K1470" s="980"/>
      <c r="L1470" s="77"/>
      <c r="M1470" s="78">
        <f t="shared" si="212"/>
        <v>0</v>
      </c>
      <c r="N1470" s="748"/>
      <c r="P1470" s="29" t="str">
        <f t="shared" si="215"/>
        <v>1900</v>
      </c>
      <c r="Q1470" s="29" t="str">
        <f t="shared" si="216"/>
        <v/>
      </c>
      <c r="R1470" s="29" t="str">
        <f t="shared" si="217"/>
        <v/>
      </c>
    </row>
    <row r="1471" spans="1:18">
      <c r="A1471" s="483">
        <f t="shared" si="211"/>
        <v>1467</v>
      </c>
      <c r="B1471" s="77"/>
      <c r="C1471" s="77"/>
      <c r="D1471" s="858"/>
      <c r="E1471" s="858">
        <f t="shared" si="213"/>
        <v>0</v>
      </c>
      <c r="F1471" s="887">
        <f t="shared" si="214"/>
        <v>1900</v>
      </c>
      <c r="G1471" s="888"/>
      <c r="H1471" s="889"/>
      <c r="I1471" s="888"/>
      <c r="J1471" s="888"/>
      <c r="K1471" s="980"/>
      <c r="L1471" s="77"/>
      <c r="M1471" s="78">
        <f t="shared" si="212"/>
        <v>0</v>
      </c>
      <c r="N1471" s="748"/>
      <c r="P1471" s="29" t="str">
        <f t="shared" si="215"/>
        <v>1900</v>
      </c>
      <c r="Q1471" s="29" t="str">
        <f t="shared" si="216"/>
        <v/>
      </c>
      <c r="R1471" s="29" t="str">
        <f t="shared" si="217"/>
        <v/>
      </c>
    </row>
    <row r="1472" spans="1:18">
      <c r="A1472" s="483">
        <f t="shared" si="211"/>
        <v>1468</v>
      </c>
      <c r="B1472" s="77"/>
      <c r="C1472" s="77"/>
      <c r="D1472" s="858"/>
      <c r="E1472" s="858">
        <f t="shared" si="213"/>
        <v>0</v>
      </c>
      <c r="F1472" s="887">
        <f t="shared" si="214"/>
        <v>1900</v>
      </c>
      <c r="G1472" s="888"/>
      <c r="H1472" s="889"/>
      <c r="I1472" s="888"/>
      <c r="J1472" s="888"/>
      <c r="K1472" s="980"/>
      <c r="L1472" s="77"/>
      <c r="M1472" s="78">
        <f t="shared" si="212"/>
        <v>0</v>
      </c>
      <c r="N1472" s="748"/>
      <c r="P1472" s="29" t="str">
        <f t="shared" si="215"/>
        <v>1900</v>
      </c>
      <c r="Q1472" s="29" t="str">
        <f t="shared" si="216"/>
        <v/>
      </c>
      <c r="R1472" s="29" t="str">
        <f t="shared" si="217"/>
        <v/>
      </c>
    </row>
    <row r="1473" spans="1:18">
      <c r="A1473" s="483">
        <f t="shared" si="211"/>
        <v>1469</v>
      </c>
      <c r="B1473" s="77"/>
      <c r="C1473" s="77"/>
      <c r="D1473" s="858"/>
      <c r="E1473" s="858">
        <f t="shared" si="213"/>
        <v>0</v>
      </c>
      <c r="F1473" s="887">
        <f t="shared" si="214"/>
        <v>1900</v>
      </c>
      <c r="G1473" s="888"/>
      <c r="H1473" s="889"/>
      <c r="I1473" s="888"/>
      <c r="J1473" s="888"/>
      <c r="K1473" s="980"/>
      <c r="L1473" s="77"/>
      <c r="M1473" s="78">
        <f t="shared" si="212"/>
        <v>0</v>
      </c>
      <c r="N1473" s="748"/>
      <c r="P1473" s="29" t="str">
        <f t="shared" si="215"/>
        <v>1900</v>
      </c>
      <c r="Q1473" s="29" t="str">
        <f t="shared" si="216"/>
        <v/>
      </c>
      <c r="R1473" s="29" t="str">
        <f t="shared" si="217"/>
        <v/>
      </c>
    </row>
    <row r="1474" spans="1:18">
      <c r="A1474" s="483">
        <f t="shared" si="211"/>
        <v>1470</v>
      </c>
      <c r="B1474" s="77"/>
      <c r="C1474" s="77"/>
      <c r="D1474" s="858"/>
      <c r="E1474" s="858">
        <f t="shared" si="213"/>
        <v>0</v>
      </c>
      <c r="F1474" s="887">
        <f t="shared" si="214"/>
        <v>1900</v>
      </c>
      <c r="G1474" s="888"/>
      <c r="H1474" s="889"/>
      <c r="I1474" s="888"/>
      <c r="J1474" s="888"/>
      <c r="K1474" s="980"/>
      <c r="L1474" s="77"/>
      <c r="M1474" s="78">
        <f t="shared" si="212"/>
        <v>0</v>
      </c>
      <c r="N1474" s="748"/>
      <c r="P1474" s="29" t="str">
        <f t="shared" si="215"/>
        <v>1900</v>
      </c>
      <c r="Q1474" s="29" t="str">
        <f t="shared" si="216"/>
        <v/>
      </c>
      <c r="R1474" s="29" t="str">
        <f t="shared" si="217"/>
        <v/>
      </c>
    </row>
    <row r="1475" spans="1:18">
      <c r="A1475" s="483">
        <f t="shared" si="211"/>
        <v>1471</v>
      </c>
      <c r="B1475" s="77"/>
      <c r="C1475" s="77"/>
      <c r="D1475" s="858"/>
      <c r="E1475" s="858">
        <f t="shared" si="213"/>
        <v>0</v>
      </c>
      <c r="F1475" s="887">
        <f t="shared" si="214"/>
        <v>1900</v>
      </c>
      <c r="G1475" s="888"/>
      <c r="H1475" s="889"/>
      <c r="I1475" s="888"/>
      <c r="J1475" s="888"/>
      <c r="K1475" s="980"/>
      <c r="L1475" s="77"/>
      <c r="M1475" s="78">
        <f t="shared" si="212"/>
        <v>0</v>
      </c>
      <c r="N1475" s="748"/>
      <c r="P1475" s="29" t="str">
        <f t="shared" si="215"/>
        <v>1900</v>
      </c>
      <c r="Q1475" s="29" t="str">
        <f t="shared" si="216"/>
        <v/>
      </c>
      <c r="R1475" s="29" t="str">
        <f t="shared" si="217"/>
        <v/>
      </c>
    </row>
    <row r="1476" spans="1:18">
      <c r="A1476" s="483">
        <f t="shared" si="211"/>
        <v>1472</v>
      </c>
      <c r="B1476" s="77"/>
      <c r="C1476" s="77"/>
      <c r="D1476" s="858"/>
      <c r="E1476" s="858">
        <f t="shared" si="213"/>
        <v>0</v>
      </c>
      <c r="F1476" s="887">
        <f t="shared" si="214"/>
        <v>1900</v>
      </c>
      <c r="G1476" s="888"/>
      <c r="H1476" s="889"/>
      <c r="I1476" s="888"/>
      <c r="J1476" s="888"/>
      <c r="K1476" s="980"/>
      <c r="L1476" s="77"/>
      <c r="M1476" s="78">
        <f t="shared" si="212"/>
        <v>0</v>
      </c>
      <c r="N1476" s="748"/>
      <c r="P1476" s="29" t="str">
        <f t="shared" si="215"/>
        <v>1900</v>
      </c>
      <c r="Q1476" s="29" t="str">
        <f t="shared" si="216"/>
        <v/>
      </c>
      <c r="R1476" s="29" t="str">
        <f t="shared" si="217"/>
        <v/>
      </c>
    </row>
    <row r="1477" spans="1:18">
      <c r="A1477" s="483">
        <f t="shared" si="211"/>
        <v>1473</v>
      </c>
      <c r="B1477" s="77"/>
      <c r="C1477" s="77"/>
      <c r="D1477" s="858"/>
      <c r="E1477" s="858">
        <f t="shared" si="213"/>
        <v>0</v>
      </c>
      <c r="F1477" s="887">
        <f t="shared" si="214"/>
        <v>1900</v>
      </c>
      <c r="G1477" s="888"/>
      <c r="H1477" s="889"/>
      <c r="I1477" s="888"/>
      <c r="J1477" s="888"/>
      <c r="K1477" s="980"/>
      <c r="L1477" s="77"/>
      <c r="M1477" s="78">
        <f t="shared" si="212"/>
        <v>0</v>
      </c>
      <c r="N1477" s="748"/>
      <c r="P1477" s="29" t="str">
        <f t="shared" si="215"/>
        <v>1900</v>
      </c>
      <c r="Q1477" s="29" t="str">
        <f t="shared" si="216"/>
        <v/>
      </c>
      <c r="R1477" s="29" t="str">
        <f t="shared" si="217"/>
        <v/>
      </c>
    </row>
    <row r="1478" spans="1:18">
      <c r="A1478" s="483">
        <f t="shared" si="211"/>
        <v>1474</v>
      </c>
      <c r="B1478" s="77"/>
      <c r="C1478" s="77"/>
      <c r="D1478" s="858"/>
      <c r="E1478" s="858">
        <f t="shared" si="213"/>
        <v>0</v>
      </c>
      <c r="F1478" s="887">
        <f t="shared" si="214"/>
        <v>1900</v>
      </c>
      <c r="G1478" s="888"/>
      <c r="H1478" s="889"/>
      <c r="I1478" s="888"/>
      <c r="J1478" s="888"/>
      <c r="K1478" s="980"/>
      <c r="L1478" s="77"/>
      <c r="M1478" s="78">
        <f t="shared" si="212"/>
        <v>0</v>
      </c>
      <c r="N1478" s="748"/>
      <c r="P1478" s="29" t="str">
        <f t="shared" si="215"/>
        <v>1900</v>
      </c>
      <c r="Q1478" s="29" t="str">
        <f t="shared" si="216"/>
        <v/>
      </c>
      <c r="R1478" s="29" t="str">
        <f t="shared" si="217"/>
        <v/>
      </c>
    </row>
    <row r="1479" spans="1:18">
      <c r="A1479" s="483">
        <f t="shared" si="211"/>
        <v>1475</v>
      </c>
      <c r="B1479" s="77"/>
      <c r="C1479" s="77"/>
      <c r="D1479" s="858"/>
      <c r="E1479" s="858">
        <f t="shared" si="213"/>
        <v>0</v>
      </c>
      <c r="F1479" s="887">
        <f t="shared" si="214"/>
        <v>1900</v>
      </c>
      <c r="G1479" s="888"/>
      <c r="H1479" s="889"/>
      <c r="I1479" s="888"/>
      <c r="J1479" s="888"/>
      <c r="K1479" s="980"/>
      <c r="L1479" s="77"/>
      <c r="M1479" s="78">
        <f t="shared" si="212"/>
        <v>0</v>
      </c>
      <c r="N1479" s="748"/>
      <c r="P1479" s="29" t="str">
        <f t="shared" si="215"/>
        <v>1900</v>
      </c>
      <c r="Q1479" s="29" t="str">
        <f t="shared" si="216"/>
        <v/>
      </c>
      <c r="R1479" s="29" t="str">
        <f t="shared" si="217"/>
        <v/>
      </c>
    </row>
    <row r="1480" spans="1:18">
      <c r="A1480" s="483">
        <f t="shared" ref="A1480:A1543" si="218">+A1479+1</f>
        <v>1476</v>
      </c>
      <c r="B1480" s="77"/>
      <c r="C1480" s="77"/>
      <c r="D1480" s="858"/>
      <c r="E1480" s="858">
        <f t="shared" si="213"/>
        <v>0</v>
      </c>
      <c r="F1480" s="887">
        <f t="shared" si="214"/>
        <v>1900</v>
      </c>
      <c r="G1480" s="888"/>
      <c r="H1480" s="889"/>
      <c r="I1480" s="888"/>
      <c r="J1480" s="888"/>
      <c r="K1480" s="980"/>
      <c r="L1480" s="77"/>
      <c r="M1480" s="78">
        <f t="shared" si="212"/>
        <v>0</v>
      </c>
      <c r="N1480" s="748"/>
      <c r="P1480" s="29" t="str">
        <f t="shared" si="215"/>
        <v>1900</v>
      </c>
      <c r="Q1480" s="29" t="str">
        <f t="shared" si="216"/>
        <v/>
      </c>
      <c r="R1480" s="29" t="str">
        <f t="shared" si="217"/>
        <v/>
      </c>
    </row>
    <row r="1481" spans="1:18">
      <c r="A1481" s="483">
        <f t="shared" si="218"/>
        <v>1477</v>
      </c>
      <c r="B1481" s="77"/>
      <c r="C1481" s="77"/>
      <c r="D1481" s="858"/>
      <c r="E1481" s="858">
        <f t="shared" si="213"/>
        <v>0</v>
      </c>
      <c r="F1481" s="887">
        <f t="shared" si="214"/>
        <v>1900</v>
      </c>
      <c r="G1481" s="888"/>
      <c r="H1481" s="889"/>
      <c r="I1481" s="888"/>
      <c r="J1481" s="888"/>
      <c r="K1481" s="980"/>
      <c r="L1481" s="77"/>
      <c r="M1481" s="78">
        <f t="shared" si="212"/>
        <v>0</v>
      </c>
      <c r="N1481" s="748"/>
      <c r="P1481" s="29" t="str">
        <f t="shared" si="215"/>
        <v>1900</v>
      </c>
      <c r="Q1481" s="29" t="str">
        <f t="shared" si="216"/>
        <v/>
      </c>
      <c r="R1481" s="29" t="str">
        <f t="shared" si="217"/>
        <v/>
      </c>
    </row>
    <row r="1482" spans="1:18">
      <c r="A1482" s="483">
        <f t="shared" si="218"/>
        <v>1478</v>
      </c>
      <c r="B1482" s="77"/>
      <c r="C1482" s="77"/>
      <c r="D1482" s="858"/>
      <c r="E1482" s="858">
        <f t="shared" si="213"/>
        <v>0</v>
      </c>
      <c r="F1482" s="887">
        <f t="shared" si="214"/>
        <v>1900</v>
      </c>
      <c r="G1482" s="888"/>
      <c r="H1482" s="889"/>
      <c r="I1482" s="888"/>
      <c r="J1482" s="888"/>
      <c r="K1482" s="980"/>
      <c r="L1482" s="77"/>
      <c r="M1482" s="78">
        <f t="shared" si="212"/>
        <v>0</v>
      </c>
      <c r="N1482" s="748"/>
      <c r="P1482" s="29" t="str">
        <f t="shared" si="215"/>
        <v>1900</v>
      </c>
      <c r="Q1482" s="29" t="str">
        <f t="shared" si="216"/>
        <v/>
      </c>
      <c r="R1482" s="29" t="str">
        <f t="shared" si="217"/>
        <v/>
      </c>
    </row>
    <row r="1483" spans="1:18">
      <c r="A1483" s="483">
        <f t="shared" si="218"/>
        <v>1479</v>
      </c>
      <c r="B1483" s="77"/>
      <c r="C1483" s="77"/>
      <c r="D1483" s="858"/>
      <c r="E1483" s="858">
        <f t="shared" si="213"/>
        <v>0</v>
      </c>
      <c r="F1483" s="887">
        <f t="shared" si="214"/>
        <v>1900</v>
      </c>
      <c r="G1483" s="888"/>
      <c r="H1483" s="889"/>
      <c r="I1483" s="888"/>
      <c r="J1483" s="888"/>
      <c r="K1483" s="980"/>
      <c r="L1483" s="77"/>
      <c r="M1483" s="78">
        <f t="shared" si="212"/>
        <v>0</v>
      </c>
      <c r="N1483" s="748"/>
      <c r="P1483" s="29" t="str">
        <f t="shared" si="215"/>
        <v>1900</v>
      </c>
      <c r="Q1483" s="29" t="str">
        <f t="shared" si="216"/>
        <v/>
      </c>
      <c r="R1483" s="29" t="str">
        <f t="shared" si="217"/>
        <v/>
      </c>
    </row>
    <row r="1484" spans="1:18">
      <c r="A1484" s="483">
        <f t="shared" si="218"/>
        <v>1480</v>
      </c>
      <c r="B1484" s="77"/>
      <c r="C1484" s="77"/>
      <c r="D1484" s="858"/>
      <c r="E1484" s="858">
        <f t="shared" si="213"/>
        <v>0</v>
      </c>
      <c r="F1484" s="887">
        <f t="shared" si="214"/>
        <v>1900</v>
      </c>
      <c r="G1484" s="888"/>
      <c r="H1484" s="889"/>
      <c r="I1484" s="888"/>
      <c r="J1484" s="888"/>
      <c r="K1484" s="980"/>
      <c r="L1484" s="77"/>
      <c r="M1484" s="78">
        <f t="shared" ref="M1484:M1547" si="219">+L1484</f>
        <v>0</v>
      </c>
      <c r="N1484" s="748"/>
      <c r="P1484" s="29" t="str">
        <f t="shared" si="215"/>
        <v>1900</v>
      </c>
      <c r="Q1484" s="29" t="str">
        <f t="shared" si="216"/>
        <v/>
      </c>
      <c r="R1484" s="29" t="str">
        <f t="shared" si="217"/>
        <v/>
      </c>
    </row>
    <row r="1485" spans="1:18">
      <c r="A1485" s="483">
        <f t="shared" si="218"/>
        <v>1481</v>
      </c>
      <c r="B1485" s="77"/>
      <c r="C1485" s="77"/>
      <c r="D1485" s="858"/>
      <c r="E1485" s="858">
        <f t="shared" si="213"/>
        <v>0</v>
      </c>
      <c r="F1485" s="887">
        <f t="shared" si="214"/>
        <v>1900</v>
      </c>
      <c r="G1485" s="888"/>
      <c r="H1485" s="889"/>
      <c r="I1485" s="888"/>
      <c r="J1485" s="888"/>
      <c r="K1485" s="980"/>
      <c r="L1485" s="77"/>
      <c r="M1485" s="78">
        <f t="shared" si="219"/>
        <v>0</v>
      </c>
      <c r="N1485" s="748"/>
      <c r="P1485" s="29" t="str">
        <f t="shared" si="215"/>
        <v>1900</v>
      </c>
      <c r="Q1485" s="29" t="str">
        <f t="shared" si="216"/>
        <v/>
      </c>
      <c r="R1485" s="29" t="str">
        <f t="shared" si="217"/>
        <v/>
      </c>
    </row>
    <row r="1486" spans="1:18">
      <c r="A1486" s="483">
        <f t="shared" si="218"/>
        <v>1482</v>
      </c>
      <c r="B1486" s="77"/>
      <c r="C1486" s="77"/>
      <c r="D1486" s="858"/>
      <c r="E1486" s="858">
        <f t="shared" si="213"/>
        <v>0</v>
      </c>
      <c r="F1486" s="887">
        <f t="shared" si="214"/>
        <v>1900</v>
      </c>
      <c r="G1486" s="888"/>
      <c r="H1486" s="889"/>
      <c r="I1486" s="888"/>
      <c r="J1486" s="888"/>
      <c r="K1486" s="980"/>
      <c r="L1486" s="77"/>
      <c r="M1486" s="78">
        <f t="shared" si="219"/>
        <v>0</v>
      </c>
      <c r="N1486" s="748"/>
      <c r="P1486" s="29" t="str">
        <f t="shared" si="215"/>
        <v>1900</v>
      </c>
      <c r="Q1486" s="29" t="str">
        <f t="shared" si="216"/>
        <v/>
      </c>
      <c r="R1486" s="29" t="str">
        <f t="shared" si="217"/>
        <v/>
      </c>
    </row>
    <row r="1487" spans="1:18">
      <c r="A1487" s="483">
        <f t="shared" si="218"/>
        <v>1483</v>
      </c>
      <c r="B1487" s="77"/>
      <c r="C1487" s="77"/>
      <c r="D1487" s="858"/>
      <c r="E1487" s="858">
        <f t="shared" si="213"/>
        <v>0</v>
      </c>
      <c r="F1487" s="887">
        <f t="shared" si="214"/>
        <v>1900</v>
      </c>
      <c r="G1487" s="888"/>
      <c r="H1487" s="889"/>
      <c r="I1487" s="888"/>
      <c r="J1487" s="888"/>
      <c r="K1487" s="980"/>
      <c r="L1487" s="77"/>
      <c r="M1487" s="78">
        <f t="shared" si="219"/>
        <v>0</v>
      </c>
      <c r="N1487" s="748"/>
      <c r="P1487" s="29" t="str">
        <f t="shared" si="215"/>
        <v>1900</v>
      </c>
      <c r="Q1487" s="29" t="str">
        <f t="shared" si="216"/>
        <v/>
      </c>
      <c r="R1487" s="29" t="str">
        <f t="shared" si="217"/>
        <v/>
      </c>
    </row>
    <row r="1488" spans="1:18">
      <c r="A1488" s="483">
        <f t="shared" si="218"/>
        <v>1484</v>
      </c>
      <c r="B1488" s="77"/>
      <c r="C1488" s="77"/>
      <c r="D1488" s="858"/>
      <c r="E1488" s="858">
        <f t="shared" si="213"/>
        <v>0</v>
      </c>
      <c r="F1488" s="887">
        <f t="shared" si="214"/>
        <v>1900</v>
      </c>
      <c r="G1488" s="888"/>
      <c r="H1488" s="889"/>
      <c r="I1488" s="888"/>
      <c r="J1488" s="888"/>
      <c r="K1488" s="980"/>
      <c r="L1488" s="77"/>
      <c r="M1488" s="78">
        <f t="shared" si="219"/>
        <v>0</v>
      </c>
      <c r="N1488" s="748"/>
      <c r="P1488" s="29" t="str">
        <f t="shared" si="215"/>
        <v>1900</v>
      </c>
      <c r="Q1488" s="29" t="str">
        <f t="shared" si="216"/>
        <v/>
      </c>
      <c r="R1488" s="29" t="str">
        <f t="shared" si="217"/>
        <v/>
      </c>
    </row>
    <row r="1489" spans="1:18">
      <c r="A1489" s="483">
        <f t="shared" si="218"/>
        <v>1485</v>
      </c>
      <c r="B1489" s="77"/>
      <c r="C1489" s="77"/>
      <c r="D1489" s="858"/>
      <c r="E1489" s="858">
        <f t="shared" si="213"/>
        <v>0</v>
      </c>
      <c r="F1489" s="887">
        <f t="shared" si="214"/>
        <v>1900</v>
      </c>
      <c r="G1489" s="888"/>
      <c r="H1489" s="889"/>
      <c r="I1489" s="888"/>
      <c r="J1489" s="888"/>
      <c r="K1489" s="980"/>
      <c r="L1489" s="77"/>
      <c r="M1489" s="78">
        <f t="shared" si="219"/>
        <v>0</v>
      </c>
      <c r="N1489" s="748"/>
      <c r="P1489" s="29" t="str">
        <f t="shared" si="215"/>
        <v>1900</v>
      </c>
      <c r="Q1489" s="29" t="str">
        <f t="shared" si="216"/>
        <v/>
      </c>
      <c r="R1489" s="29" t="str">
        <f t="shared" si="217"/>
        <v/>
      </c>
    </row>
    <row r="1490" spans="1:18">
      <c r="A1490" s="483">
        <f t="shared" si="218"/>
        <v>1486</v>
      </c>
      <c r="B1490" s="77"/>
      <c r="C1490" s="77"/>
      <c r="D1490" s="858"/>
      <c r="E1490" s="858">
        <f t="shared" si="213"/>
        <v>0</v>
      </c>
      <c r="F1490" s="887">
        <f t="shared" si="214"/>
        <v>1900</v>
      </c>
      <c r="G1490" s="888"/>
      <c r="H1490" s="889"/>
      <c r="I1490" s="888"/>
      <c r="J1490" s="888"/>
      <c r="K1490" s="980"/>
      <c r="L1490" s="77"/>
      <c r="M1490" s="78">
        <f t="shared" si="219"/>
        <v>0</v>
      </c>
      <c r="N1490" s="748"/>
      <c r="P1490" s="29" t="str">
        <f t="shared" si="215"/>
        <v>1900</v>
      </c>
      <c r="Q1490" s="29" t="str">
        <f t="shared" si="216"/>
        <v/>
      </c>
      <c r="R1490" s="29" t="str">
        <f t="shared" si="217"/>
        <v/>
      </c>
    </row>
    <row r="1491" spans="1:18">
      <c r="A1491" s="483">
        <f t="shared" si="218"/>
        <v>1487</v>
      </c>
      <c r="B1491" s="77"/>
      <c r="C1491" s="77"/>
      <c r="D1491" s="858"/>
      <c r="E1491" s="858">
        <f t="shared" si="213"/>
        <v>0</v>
      </c>
      <c r="F1491" s="887">
        <f t="shared" si="214"/>
        <v>1900</v>
      </c>
      <c r="G1491" s="888"/>
      <c r="H1491" s="889"/>
      <c r="I1491" s="888"/>
      <c r="J1491" s="888"/>
      <c r="K1491" s="980"/>
      <c r="L1491" s="77"/>
      <c r="M1491" s="78">
        <f t="shared" si="219"/>
        <v>0</v>
      </c>
      <c r="N1491" s="748"/>
      <c r="P1491" s="29" t="str">
        <f t="shared" si="215"/>
        <v>1900</v>
      </c>
      <c r="Q1491" s="29" t="str">
        <f t="shared" si="216"/>
        <v/>
      </c>
      <c r="R1491" s="29" t="str">
        <f t="shared" si="217"/>
        <v/>
      </c>
    </row>
    <row r="1492" spans="1:18">
      <c r="A1492" s="483">
        <f t="shared" si="218"/>
        <v>1488</v>
      </c>
      <c r="B1492" s="77"/>
      <c r="C1492" s="77"/>
      <c r="D1492" s="858"/>
      <c r="E1492" s="858">
        <f t="shared" si="213"/>
        <v>0</v>
      </c>
      <c r="F1492" s="887">
        <f t="shared" si="214"/>
        <v>1900</v>
      </c>
      <c r="G1492" s="888"/>
      <c r="H1492" s="889"/>
      <c r="I1492" s="888"/>
      <c r="J1492" s="888"/>
      <c r="K1492" s="980"/>
      <c r="L1492" s="77"/>
      <c r="M1492" s="78">
        <f t="shared" si="219"/>
        <v>0</v>
      </c>
      <c r="N1492" s="748"/>
      <c r="P1492" s="29" t="str">
        <f t="shared" si="215"/>
        <v>1900</v>
      </c>
      <c r="Q1492" s="29" t="str">
        <f t="shared" si="216"/>
        <v/>
      </c>
      <c r="R1492" s="29" t="str">
        <f t="shared" si="217"/>
        <v/>
      </c>
    </row>
    <row r="1493" spans="1:18">
      <c r="A1493" s="483">
        <f t="shared" si="218"/>
        <v>1489</v>
      </c>
      <c r="B1493" s="77"/>
      <c r="C1493" s="77"/>
      <c r="D1493" s="858"/>
      <c r="E1493" s="858">
        <f t="shared" si="213"/>
        <v>0</v>
      </c>
      <c r="F1493" s="887">
        <f t="shared" si="214"/>
        <v>1900</v>
      </c>
      <c r="G1493" s="888"/>
      <c r="H1493" s="889"/>
      <c r="I1493" s="888"/>
      <c r="J1493" s="888"/>
      <c r="K1493" s="980"/>
      <c r="L1493" s="77"/>
      <c r="M1493" s="78">
        <f t="shared" si="219"/>
        <v>0</v>
      </c>
      <c r="N1493" s="748"/>
      <c r="P1493" s="29" t="str">
        <f t="shared" si="215"/>
        <v>1900</v>
      </c>
      <c r="Q1493" s="29" t="str">
        <f t="shared" si="216"/>
        <v/>
      </c>
      <c r="R1493" s="29" t="str">
        <f t="shared" si="217"/>
        <v/>
      </c>
    </row>
    <row r="1494" spans="1:18">
      <c r="A1494" s="483">
        <f t="shared" si="218"/>
        <v>1490</v>
      </c>
      <c r="B1494" s="77"/>
      <c r="C1494" s="77"/>
      <c r="D1494" s="858"/>
      <c r="E1494" s="858">
        <f t="shared" si="213"/>
        <v>0</v>
      </c>
      <c r="F1494" s="887">
        <f t="shared" si="214"/>
        <v>1900</v>
      </c>
      <c r="G1494" s="888"/>
      <c r="H1494" s="889"/>
      <c r="I1494" s="888"/>
      <c r="J1494" s="888"/>
      <c r="K1494" s="980"/>
      <c r="L1494" s="77"/>
      <c r="M1494" s="78">
        <f t="shared" si="219"/>
        <v>0</v>
      </c>
      <c r="N1494" s="748"/>
      <c r="P1494" s="29" t="str">
        <f t="shared" si="215"/>
        <v>1900</v>
      </c>
      <c r="Q1494" s="29" t="str">
        <f t="shared" si="216"/>
        <v/>
      </c>
      <c r="R1494" s="29" t="str">
        <f t="shared" si="217"/>
        <v/>
      </c>
    </row>
    <row r="1495" spans="1:18">
      <c r="A1495" s="483">
        <f t="shared" si="218"/>
        <v>1491</v>
      </c>
      <c r="B1495" s="77"/>
      <c r="C1495" s="77"/>
      <c r="D1495" s="858"/>
      <c r="E1495" s="858">
        <f t="shared" si="213"/>
        <v>0</v>
      </c>
      <c r="F1495" s="887">
        <f t="shared" si="214"/>
        <v>1900</v>
      </c>
      <c r="G1495" s="888"/>
      <c r="H1495" s="889"/>
      <c r="I1495" s="888"/>
      <c r="J1495" s="888"/>
      <c r="K1495" s="980"/>
      <c r="L1495" s="77"/>
      <c r="M1495" s="78">
        <f t="shared" si="219"/>
        <v>0</v>
      </c>
      <c r="N1495" s="748"/>
      <c r="P1495" s="29" t="str">
        <f t="shared" si="215"/>
        <v>1900</v>
      </c>
      <c r="Q1495" s="29" t="str">
        <f t="shared" si="216"/>
        <v/>
      </c>
      <c r="R1495" s="29" t="str">
        <f t="shared" si="217"/>
        <v/>
      </c>
    </row>
    <row r="1496" spans="1:18">
      <c r="A1496" s="483">
        <f t="shared" si="218"/>
        <v>1492</v>
      </c>
      <c r="B1496" s="77"/>
      <c r="C1496" s="77"/>
      <c r="D1496" s="858"/>
      <c r="E1496" s="858">
        <f t="shared" si="213"/>
        <v>0</v>
      </c>
      <c r="F1496" s="887">
        <f t="shared" si="214"/>
        <v>1900</v>
      </c>
      <c r="G1496" s="888"/>
      <c r="H1496" s="889"/>
      <c r="I1496" s="888"/>
      <c r="J1496" s="888"/>
      <c r="K1496" s="980"/>
      <c r="L1496" s="77"/>
      <c r="M1496" s="78">
        <f t="shared" si="219"/>
        <v>0</v>
      </c>
      <c r="N1496" s="748"/>
      <c r="P1496" s="29" t="str">
        <f t="shared" si="215"/>
        <v>1900</v>
      </c>
      <c r="Q1496" s="29" t="str">
        <f t="shared" si="216"/>
        <v/>
      </c>
      <c r="R1496" s="29" t="str">
        <f t="shared" si="217"/>
        <v/>
      </c>
    </row>
    <row r="1497" spans="1:18">
      <c r="A1497" s="483">
        <f t="shared" si="218"/>
        <v>1493</v>
      </c>
      <c r="B1497" s="77"/>
      <c r="C1497" s="77"/>
      <c r="D1497" s="858"/>
      <c r="E1497" s="858">
        <f t="shared" si="213"/>
        <v>0</v>
      </c>
      <c r="F1497" s="887">
        <f t="shared" si="214"/>
        <v>1900</v>
      </c>
      <c r="G1497" s="888"/>
      <c r="H1497" s="889"/>
      <c r="I1497" s="888"/>
      <c r="J1497" s="888"/>
      <c r="K1497" s="980"/>
      <c r="L1497" s="77"/>
      <c r="M1497" s="78">
        <f t="shared" si="219"/>
        <v>0</v>
      </c>
      <c r="N1497" s="748"/>
      <c r="P1497" s="29" t="str">
        <f t="shared" si="215"/>
        <v>1900</v>
      </c>
      <c r="Q1497" s="29" t="str">
        <f t="shared" si="216"/>
        <v/>
      </c>
      <c r="R1497" s="29" t="str">
        <f t="shared" si="217"/>
        <v/>
      </c>
    </row>
    <row r="1498" spans="1:18">
      <c r="A1498" s="483">
        <f t="shared" si="218"/>
        <v>1494</v>
      </c>
      <c r="B1498" s="77"/>
      <c r="C1498" s="77"/>
      <c r="D1498" s="858"/>
      <c r="E1498" s="858">
        <f t="shared" si="213"/>
        <v>0</v>
      </c>
      <c r="F1498" s="887">
        <f t="shared" si="214"/>
        <v>1900</v>
      </c>
      <c r="G1498" s="888"/>
      <c r="H1498" s="889"/>
      <c r="I1498" s="888"/>
      <c r="J1498" s="888"/>
      <c r="K1498" s="980"/>
      <c r="L1498" s="77"/>
      <c r="M1498" s="78">
        <f t="shared" si="219"/>
        <v>0</v>
      </c>
      <c r="N1498" s="748"/>
      <c r="P1498" s="29" t="str">
        <f t="shared" si="215"/>
        <v>1900</v>
      </c>
      <c r="Q1498" s="29" t="str">
        <f t="shared" si="216"/>
        <v/>
      </c>
      <c r="R1498" s="29" t="str">
        <f t="shared" si="217"/>
        <v/>
      </c>
    </row>
    <row r="1499" spans="1:18">
      <c r="A1499" s="483">
        <f t="shared" si="218"/>
        <v>1495</v>
      </c>
      <c r="B1499" s="77"/>
      <c r="C1499" s="77"/>
      <c r="D1499" s="858"/>
      <c r="E1499" s="858">
        <f t="shared" si="213"/>
        <v>0</v>
      </c>
      <c r="F1499" s="887">
        <f t="shared" si="214"/>
        <v>1900</v>
      </c>
      <c r="G1499" s="888"/>
      <c r="H1499" s="889"/>
      <c r="I1499" s="888"/>
      <c r="J1499" s="888"/>
      <c r="K1499" s="980"/>
      <c r="L1499" s="77"/>
      <c r="M1499" s="78">
        <f t="shared" si="219"/>
        <v>0</v>
      </c>
      <c r="N1499" s="748"/>
      <c r="P1499" s="29" t="str">
        <f t="shared" si="215"/>
        <v>1900</v>
      </c>
      <c r="Q1499" s="29" t="str">
        <f t="shared" si="216"/>
        <v/>
      </c>
      <c r="R1499" s="29" t="str">
        <f t="shared" si="217"/>
        <v/>
      </c>
    </row>
    <row r="1500" spans="1:18">
      <c r="A1500" s="483">
        <f t="shared" si="218"/>
        <v>1496</v>
      </c>
      <c r="B1500" s="77"/>
      <c r="C1500" s="77"/>
      <c r="D1500" s="858"/>
      <c r="E1500" s="858">
        <f t="shared" si="213"/>
        <v>0</v>
      </c>
      <c r="F1500" s="887">
        <f t="shared" si="214"/>
        <v>1900</v>
      </c>
      <c r="G1500" s="888"/>
      <c r="H1500" s="889"/>
      <c r="I1500" s="888"/>
      <c r="J1500" s="888"/>
      <c r="K1500" s="980"/>
      <c r="L1500" s="77"/>
      <c r="M1500" s="78">
        <f t="shared" si="219"/>
        <v>0</v>
      </c>
      <c r="N1500" s="748"/>
      <c r="P1500" s="29" t="str">
        <f t="shared" si="215"/>
        <v>1900</v>
      </c>
      <c r="Q1500" s="29" t="str">
        <f t="shared" si="216"/>
        <v/>
      </c>
      <c r="R1500" s="29" t="str">
        <f t="shared" si="217"/>
        <v/>
      </c>
    </row>
    <row r="1501" spans="1:18">
      <c r="A1501" s="483">
        <f t="shared" si="218"/>
        <v>1497</v>
      </c>
      <c r="B1501" s="77"/>
      <c r="C1501" s="77"/>
      <c r="D1501" s="858"/>
      <c r="E1501" s="858">
        <f t="shared" si="213"/>
        <v>0</v>
      </c>
      <c r="F1501" s="887">
        <f t="shared" si="214"/>
        <v>1900</v>
      </c>
      <c r="G1501" s="888"/>
      <c r="H1501" s="889"/>
      <c r="I1501" s="888"/>
      <c r="J1501" s="888"/>
      <c r="K1501" s="980"/>
      <c r="L1501" s="77"/>
      <c r="M1501" s="78">
        <f t="shared" si="219"/>
        <v>0</v>
      </c>
      <c r="N1501" s="748"/>
      <c r="P1501" s="29" t="str">
        <f t="shared" si="215"/>
        <v>1900</v>
      </c>
      <c r="Q1501" s="29" t="str">
        <f t="shared" si="216"/>
        <v/>
      </c>
      <c r="R1501" s="29" t="str">
        <f t="shared" si="217"/>
        <v/>
      </c>
    </row>
    <row r="1502" spans="1:18">
      <c r="A1502" s="483">
        <f t="shared" si="218"/>
        <v>1498</v>
      </c>
      <c r="B1502" s="77"/>
      <c r="C1502" s="77"/>
      <c r="D1502" s="858"/>
      <c r="E1502" s="858">
        <f t="shared" si="213"/>
        <v>0</v>
      </c>
      <c r="F1502" s="887">
        <f t="shared" si="214"/>
        <v>1900</v>
      </c>
      <c r="G1502" s="888"/>
      <c r="H1502" s="889"/>
      <c r="I1502" s="888"/>
      <c r="J1502" s="888"/>
      <c r="K1502" s="980"/>
      <c r="L1502" s="77"/>
      <c r="M1502" s="78">
        <f t="shared" si="219"/>
        <v>0</v>
      </c>
      <c r="N1502" s="748"/>
      <c r="P1502" s="29" t="str">
        <f t="shared" si="215"/>
        <v>1900</v>
      </c>
      <c r="Q1502" s="29" t="str">
        <f t="shared" si="216"/>
        <v/>
      </c>
      <c r="R1502" s="29" t="str">
        <f t="shared" si="217"/>
        <v/>
      </c>
    </row>
    <row r="1503" spans="1:18">
      <c r="A1503" s="483">
        <f t="shared" si="218"/>
        <v>1499</v>
      </c>
      <c r="B1503" s="77"/>
      <c r="C1503" s="77"/>
      <c r="D1503" s="858"/>
      <c r="E1503" s="858">
        <f t="shared" si="213"/>
        <v>0</v>
      </c>
      <c r="F1503" s="887">
        <f t="shared" si="214"/>
        <v>1900</v>
      </c>
      <c r="G1503" s="888"/>
      <c r="H1503" s="889"/>
      <c r="I1503" s="888"/>
      <c r="J1503" s="888"/>
      <c r="K1503" s="980"/>
      <c r="L1503" s="77"/>
      <c r="M1503" s="78">
        <f t="shared" si="219"/>
        <v>0</v>
      </c>
      <c r="N1503" s="748"/>
      <c r="P1503" s="29" t="str">
        <f t="shared" si="215"/>
        <v>1900</v>
      </c>
      <c r="Q1503" s="29" t="str">
        <f t="shared" si="216"/>
        <v/>
      </c>
      <c r="R1503" s="29" t="str">
        <f t="shared" si="217"/>
        <v/>
      </c>
    </row>
    <row r="1504" spans="1:18">
      <c r="A1504" s="483">
        <f t="shared" si="218"/>
        <v>1500</v>
      </c>
      <c r="B1504" s="77"/>
      <c r="C1504" s="77"/>
      <c r="D1504" s="858"/>
      <c r="E1504" s="858">
        <f t="shared" si="213"/>
        <v>0</v>
      </c>
      <c r="F1504" s="887">
        <f t="shared" si="214"/>
        <v>1900</v>
      </c>
      <c r="G1504" s="888"/>
      <c r="H1504" s="889"/>
      <c r="I1504" s="888"/>
      <c r="J1504" s="888"/>
      <c r="K1504" s="980"/>
      <c r="L1504" s="77"/>
      <c r="M1504" s="78">
        <f t="shared" si="219"/>
        <v>0</v>
      </c>
      <c r="N1504" s="748"/>
      <c r="P1504" s="29" t="str">
        <f t="shared" si="215"/>
        <v>1900</v>
      </c>
      <c r="Q1504" s="29" t="str">
        <f t="shared" si="216"/>
        <v/>
      </c>
      <c r="R1504" s="29" t="str">
        <f t="shared" si="217"/>
        <v/>
      </c>
    </row>
    <row r="1505" spans="1:18">
      <c r="A1505" s="483">
        <f t="shared" si="218"/>
        <v>1501</v>
      </c>
      <c r="B1505" s="77"/>
      <c r="C1505" s="77"/>
      <c r="D1505" s="858"/>
      <c r="E1505" s="858">
        <f t="shared" si="213"/>
        <v>0</v>
      </c>
      <c r="F1505" s="887">
        <f t="shared" si="214"/>
        <v>1900</v>
      </c>
      <c r="G1505" s="888"/>
      <c r="H1505" s="889"/>
      <c r="I1505" s="888"/>
      <c r="J1505" s="888"/>
      <c r="K1505" s="980"/>
      <c r="L1505" s="77"/>
      <c r="M1505" s="78">
        <f t="shared" si="219"/>
        <v>0</v>
      </c>
      <c r="N1505" s="748"/>
      <c r="P1505" s="29" t="str">
        <f t="shared" si="215"/>
        <v>1900</v>
      </c>
      <c r="Q1505" s="29" t="str">
        <f t="shared" si="216"/>
        <v/>
      </c>
      <c r="R1505" s="29" t="str">
        <f t="shared" si="217"/>
        <v/>
      </c>
    </row>
    <row r="1506" spans="1:18">
      <c r="A1506" s="483">
        <f t="shared" si="218"/>
        <v>1502</v>
      </c>
      <c r="B1506" s="77"/>
      <c r="C1506" s="77"/>
      <c r="D1506" s="858"/>
      <c r="E1506" s="858">
        <f t="shared" si="213"/>
        <v>0</v>
      </c>
      <c r="F1506" s="887">
        <f t="shared" si="214"/>
        <v>1900</v>
      </c>
      <c r="G1506" s="888"/>
      <c r="H1506" s="889"/>
      <c r="I1506" s="888"/>
      <c r="J1506" s="888"/>
      <c r="K1506" s="980"/>
      <c r="L1506" s="77"/>
      <c r="M1506" s="78">
        <f t="shared" si="219"/>
        <v>0</v>
      </c>
      <c r="N1506" s="748"/>
      <c r="P1506" s="29" t="str">
        <f t="shared" si="215"/>
        <v>1900</v>
      </c>
      <c r="Q1506" s="29" t="str">
        <f t="shared" si="216"/>
        <v/>
      </c>
      <c r="R1506" s="29" t="str">
        <f t="shared" si="217"/>
        <v/>
      </c>
    </row>
    <row r="1507" spans="1:18">
      <c r="A1507" s="483">
        <f t="shared" si="218"/>
        <v>1503</v>
      </c>
      <c r="B1507" s="77"/>
      <c r="C1507" s="77"/>
      <c r="D1507" s="858"/>
      <c r="E1507" s="858">
        <f t="shared" si="213"/>
        <v>0</v>
      </c>
      <c r="F1507" s="887">
        <f t="shared" si="214"/>
        <v>1900</v>
      </c>
      <c r="G1507" s="888"/>
      <c r="H1507" s="889"/>
      <c r="I1507" s="888"/>
      <c r="J1507" s="888"/>
      <c r="K1507" s="980"/>
      <c r="L1507" s="77"/>
      <c r="M1507" s="78">
        <f t="shared" si="219"/>
        <v>0</v>
      </c>
      <c r="N1507" s="748"/>
      <c r="P1507" s="29" t="str">
        <f t="shared" si="215"/>
        <v>1900</v>
      </c>
      <c r="Q1507" s="29" t="str">
        <f t="shared" si="216"/>
        <v/>
      </c>
      <c r="R1507" s="29" t="str">
        <f t="shared" si="217"/>
        <v/>
      </c>
    </row>
    <row r="1508" spans="1:18">
      <c r="A1508" s="483">
        <f t="shared" si="218"/>
        <v>1504</v>
      </c>
      <c r="B1508" s="77"/>
      <c r="C1508" s="77"/>
      <c r="D1508" s="858"/>
      <c r="E1508" s="858">
        <f t="shared" si="213"/>
        <v>0</v>
      </c>
      <c r="F1508" s="887">
        <f t="shared" si="214"/>
        <v>1900</v>
      </c>
      <c r="G1508" s="888"/>
      <c r="H1508" s="889"/>
      <c r="I1508" s="888"/>
      <c r="J1508" s="888"/>
      <c r="K1508" s="980"/>
      <c r="L1508" s="77"/>
      <c r="M1508" s="78">
        <f t="shared" si="219"/>
        <v>0</v>
      </c>
      <c r="N1508" s="748"/>
      <c r="P1508" s="29" t="str">
        <f t="shared" si="215"/>
        <v>1900</v>
      </c>
      <c r="Q1508" s="29" t="str">
        <f t="shared" si="216"/>
        <v/>
      </c>
      <c r="R1508" s="29" t="str">
        <f t="shared" si="217"/>
        <v/>
      </c>
    </row>
    <row r="1509" spans="1:18">
      <c r="A1509" s="483">
        <f t="shared" si="218"/>
        <v>1505</v>
      </c>
      <c r="B1509" s="77"/>
      <c r="C1509" s="77"/>
      <c r="D1509" s="858"/>
      <c r="E1509" s="858">
        <f t="shared" si="213"/>
        <v>0</v>
      </c>
      <c r="F1509" s="887">
        <f t="shared" si="214"/>
        <v>1900</v>
      </c>
      <c r="G1509" s="888"/>
      <c r="H1509" s="889"/>
      <c r="I1509" s="888"/>
      <c r="J1509" s="888"/>
      <c r="K1509" s="980"/>
      <c r="L1509" s="77"/>
      <c r="M1509" s="78">
        <f t="shared" si="219"/>
        <v>0</v>
      </c>
      <c r="N1509" s="748"/>
      <c r="P1509" s="29" t="str">
        <f t="shared" si="215"/>
        <v>1900</v>
      </c>
      <c r="Q1509" s="29" t="str">
        <f t="shared" si="216"/>
        <v/>
      </c>
      <c r="R1509" s="29" t="str">
        <f t="shared" si="217"/>
        <v/>
      </c>
    </row>
    <row r="1510" spans="1:18">
      <c r="A1510" s="483">
        <f t="shared" si="218"/>
        <v>1506</v>
      </c>
      <c r="B1510" s="77"/>
      <c r="C1510" s="77"/>
      <c r="D1510" s="858"/>
      <c r="E1510" s="858">
        <f t="shared" si="213"/>
        <v>0</v>
      </c>
      <c r="F1510" s="887">
        <f t="shared" si="214"/>
        <v>1900</v>
      </c>
      <c r="G1510" s="888"/>
      <c r="H1510" s="889"/>
      <c r="I1510" s="888"/>
      <c r="J1510" s="888"/>
      <c r="K1510" s="980"/>
      <c r="L1510" s="77"/>
      <c r="M1510" s="78">
        <f t="shared" si="219"/>
        <v>0</v>
      </c>
      <c r="N1510" s="748"/>
      <c r="P1510" s="29" t="str">
        <f t="shared" si="215"/>
        <v>1900</v>
      </c>
      <c r="Q1510" s="29" t="str">
        <f t="shared" si="216"/>
        <v/>
      </c>
      <c r="R1510" s="29" t="str">
        <f t="shared" si="217"/>
        <v/>
      </c>
    </row>
    <row r="1511" spans="1:18">
      <c r="A1511" s="483">
        <f t="shared" si="218"/>
        <v>1507</v>
      </c>
      <c r="B1511" s="77"/>
      <c r="C1511" s="77"/>
      <c r="D1511" s="858"/>
      <c r="E1511" s="858">
        <f t="shared" si="213"/>
        <v>0</v>
      </c>
      <c r="F1511" s="887">
        <f t="shared" si="214"/>
        <v>1900</v>
      </c>
      <c r="G1511" s="888"/>
      <c r="H1511" s="889"/>
      <c r="I1511" s="888"/>
      <c r="J1511" s="888"/>
      <c r="K1511" s="980"/>
      <c r="L1511" s="77"/>
      <c r="M1511" s="78">
        <f t="shared" si="219"/>
        <v>0</v>
      </c>
      <c r="N1511" s="748"/>
      <c r="P1511" s="29" t="str">
        <f t="shared" si="215"/>
        <v>1900</v>
      </c>
      <c r="Q1511" s="29" t="str">
        <f t="shared" si="216"/>
        <v/>
      </c>
      <c r="R1511" s="29" t="str">
        <f t="shared" si="217"/>
        <v/>
      </c>
    </row>
    <row r="1512" spans="1:18">
      <c r="A1512" s="483">
        <f t="shared" si="218"/>
        <v>1508</v>
      </c>
      <c r="B1512" s="77"/>
      <c r="C1512" s="77"/>
      <c r="D1512" s="858"/>
      <c r="E1512" s="858">
        <f t="shared" si="213"/>
        <v>0</v>
      </c>
      <c r="F1512" s="887">
        <f t="shared" si="214"/>
        <v>1900</v>
      </c>
      <c r="G1512" s="888"/>
      <c r="H1512" s="889"/>
      <c r="I1512" s="888"/>
      <c r="J1512" s="888"/>
      <c r="K1512" s="980"/>
      <c r="L1512" s="77"/>
      <c r="M1512" s="78">
        <f t="shared" si="219"/>
        <v>0</v>
      </c>
      <c r="N1512" s="748"/>
      <c r="P1512" s="29" t="str">
        <f t="shared" si="215"/>
        <v>1900</v>
      </c>
      <c r="Q1512" s="29" t="str">
        <f t="shared" si="216"/>
        <v/>
      </c>
      <c r="R1512" s="29" t="str">
        <f t="shared" si="217"/>
        <v/>
      </c>
    </row>
    <row r="1513" spans="1:18">
      <c r="A1513" s="483">
        <f t="shared" si="218"/>
        <v>1509</v>
      </c>
      <c r="B1513" s="77"/>
      <c r="C1513" s="77"/>
      <c r="D1513" s="858"/>
      <c r="E1513" s="858">
        <f t="shared" si="213"/>
        <v>0</v>
      </c>
      <c r="F1513" s="887">
        <f t="shared" si="214"/>
        <v>1900</v>
      </c>
      <c r="G1513" s="888"/>
      <c r="H1513" s="889"/>
      <c r="I1513" s="888"/>
      <c r="J1513" s="888"/>
      <c r="K1513" s="980"/>
      <c r="L1513" s="77"/>
      <c r="M1513" s="78">
        <f t="shared" si="219"/>
        <v>0</v>
      </c>
      <c r="N1513" s="748"/>
      <c r="P1513" s="29" t="str">
        <f t="shared" si="215"/>
        <v>1900</v>
      </c>
      <c r="Q1513" s="29" t="str">
        <f t="shared" si="216"/>
        <v/>
      </c>
      <c r="R1513" s="29" t="str">
        <f t="shared" si="217"/>
        <v/>
      </c>
    </row>
    <row r="1514" spans="1:18">
      <c r="A1514" s="483">
        <f t="shared" si="218"/>
        <v>1510</v>
      </c>
      <c r="B1514" s="77"/>
      <c r="C1514" s="77"/>
      <c r="D1514" s="858"/>
      <c r="E1514" s="858">
        <f t="shared" si="213"/>
        <v>0</v>
      </c>
      <c r="F1514" s="887">
        <f t="shared" si="214"/>
        <v>1900</v>
      </c>
      <c r="G1514" s="888"/>
      <c r="H1514" s="889"/>
      <c r="I1514" s="888"/>
      <c r="J1514" s="888"/>
      <c r="K1514" s="980"/>
      <c r="L1514" s="77"/>
      <c r="M1514" s="78">
        <f t="shared" si="219"/>
        <v>0</v>
      </c>
      <c r="N1514" s="748"/>
      <c r="P1514" s="29" t="str">
        <f t="shared" si="215"/>
        <v>1900</v>
      </c>
      <c r="Q1514" s="29" t="str">
        <f t="shared" si="216"/>
        <v/>
      </c>
      <c r="R1514" s="29" t="str">
        <f t="shared" si="217"/>
        <v/>
      </c>
    </row>
    <row r="1515" spans="1:18">
      <c r="A1515" s="483">
        <f t="shared" si="218"/>
        <v>1511</v>
      </c>
      <c r="B1515" s="77"/>
      <c r="C1515" s="77"/>
      <c r="D1515" s="858"/>
      <c r="E1515" s="858">
        <f t="shared" si="213"/>
        <v>0</v>
      </c>
      <c r="F1515" s="887">
        <f t="shared" si="214"/>
        <v>1900</v>
      </c>
      <c r="G1515" s="888"/>
      <c r="H1515" s="889"/>
      <c r="I1515" s="888"/>
      <c r="J1515" s="888"/>
      <c r="K1515" s="980"/>
      <c r="L1515" s="77"/>
      <c r="M1515" s="78">
        <f t="shared" si="219"/>
        <v>0</v>
      </c>
      <c r="N1515" s="748"/>
      <c r="P1515" s="29" t="str">
        <f t="shared" si="215"/>
        <v>1900</v>
      </c>
      <c r="Q1515" s="29" t="str">
        <f t="shared" si="216"/>
        <v/>
      </c>
      <c r="R1515" s="29" t="str">
        <f t="shared" si="217"/>
        <v/>
      </c>
    </row>
    <row r="1516" spans="1:18">
      <c r="A1516" s="483">
        <f t="shared" si="218"/>
        <v>1512</v>
      </c>
      <c r="B1516" s="77"/>
      <c r="C1516" s="77"/>
      <c r="D1516" s="858"/>
      <c r="E1516" s="858">
        <f t="shared" si="213"/>
        <v>0</v>
      </c>
      <c r="F1516" s="887">
        <f t="shared" si="214"/>
        <v>1900</v>
      </c>
      <c r="G1516" s="888"/>
      <c r="H1516" s="889"/>
      <c r="I1516" s="888"/>
      <c r="J1516" s="888"/>
      <c r="K1516" s="980"/>
      <c r="L1516" s="77"/>
      <c r="M1516" s="78">
        <f t="shared" si="219"/>
        <v>0</v>
      </c>
      <c r="N1516" s="748"/>
      <c r="P1516" s="29" t="str">
        <f t="shared" si="215"/>
        <v>1900</v>
      </c>
      <c r="Q1516" s="29" t="str">
        <f t="shared" si="216"/>
        <v/>
      </c>
      <c r="R1516" s="29" t="str">
        <f t="shared" si="217"/>
        <v/>
      </c>
    </row>
    <row r="1517" spans="1:18">
      <c r="A1517" s="483">
        <f t="shared" si="218"/>
        <v>1513</v>
      </c>
      <c r="B1517" s="77"/>
      <c r="C1517" s="77"/>
      <c r="D1517" s="858"/>
      <c r="E1517" s="858">
        <f t="shared" si="213"/>
        <v>0</v>
      </c>
      <c r="F1517" s="887">
        <f t="shared" si="214"/>
        <v>1900</v>
      </c>
      <c r="G1517" s="888"/>
      <c r="H1517" s="889"/>
      <c r="I1517" s="888"/>
      <c r="J1517" s="888"/>
      <c r="K1517" s="980"/>
      <c r="L1517" s="77"/>
      <c r="M1517" s="78">
        <f t="shared" si="219"/>
        <v>0</v>
      </c>
      <c r="N1517" s="748"/>
      <c r="P1517" s="29" t="str">
        <f t="shared" si="215"/>
        <v>1900</v>
      </c>
      <c r="Q1517" s="29" t="str">
        <f t="shared" si="216"/>
        <v/>
      </c>
      <c r="R1517" s="29" t="str">
        <f t="shared" si="217"/>
        <v/>
      </c>
    </row>
    <row r="1518" spans="1:18">
      <c r="A1518" s="483">
        <f t="shared" si="218"/>
        <v>1514</v>
      </c>
      <c r="B1518" s="77"/>
      <c r="C1518" s="77"/>
      <c r="D1518" s="858"/>
      <c r="E1518" s="858">
        <f t="shared" si="213"/>
        <v>0</v>
      </c>
      <c r="F1518" s="887">
        <f t="shared" si="214"/>
        <v>1900</v>
      </c>
      <c r="G1518" s="888"/>
      <c r="H1518" s="889"/>
      <c r="I1518" s="888"/>
      <c r="J1518" s="888"/>
      <c r="K1518" s="980"/>
      <c r="L1518" s="77"/>
      <c r="M1518" s="78">
        <f t="shared" si="219"/>
        <v>0</v>
      </c>
      <c r="N1518" s="748"/>
      <c r="P1518" s="29" t="str">
        <f t="shared" si="215"/>
        <v>1900</v>
      </c>
      <c r="Q1518" s="29" t="str">
        <f t="shared" si="216"/>
        <v/>
      </c>
      <c r="R1518" s="29" t="str">
        <f t="shared" si="217"/>
        <v/>
      </c>
    </row>
    <row r="1519" spans="1:18">
      <c r="A1519" s="483">
        <f t="shared" si="218"/>
        <v>1515</v>
      </c>
      <c r="B1519" s="77"/>
      <c r="C1519" s="77"/>
      <c r="D1519" s="858"/>
      <c r="E1519" s="858">
        <f t="shared" ref="E1519:E1582" si="220">DAY(C1519)</f>
        <v>0</v>
      </c>
      <c r="F1519" s="887">
        <f t="shared" ref="F1519:F1582" si="221">YEAR(C1519)</f>
        <v>1900</v>
      </c>
      <c r="G1519" s="888"/>
      <c r="H1519" s="889"/>
      <c r="I1519" s="888"/>
      <c r="J1519" s="888"/>
      <c r="K1519" s="980"/>
      <c r="L1519" s="77"/>
      <c r="M1519" s="78">
        <f t="shared" si="219"/>
        <v>0</v>
      </c>
      <c r="N1519" s="748"/>
      <c r="P1519" s="29" t="str">
        <f t="shared" ref="P1519:P1582" si="222">CONCATENATE(F1519,H1519)</f>
        <v>1900</v>
      </c>
      <c r="Q1519" s="29" t="str">
        <f t="shared" ref="Q1519:Q1582" si="223">CONCATENATE(H1519,K1519)</f>
        <v/>
      </c>
      <c r="R1519" s="29" t="str">
        <f t="shared" ref="R1519:R1582" si="224">CONCATENATE(D1519,H1519)</f>
        <v/>
      </c>
    </row>
    <row r="1520" spans="1:18">
      <c r="A1520" s="483">
        <f t="shared" si="218"/>
        <v>1516</v>
      </c>
      <c r="B1520" s="77"/>
      <c r="C1520" s="77"/>
      <c r="D1520" s="858"/>
      <c r="E1520" s="858">
        <f t="shared" si="220"/>
        <v>0</v>
      </c>
      <c r="F1520" s="887">
        <f t="shared" si="221"/>
        <v>1900</v>
      </c>
      <c r="G1520" s="888"/>
      <c r="H1520" s="889"/>
      <c r="I1520" s="888"/>
      <c r="J1520" s="888"/>
      <c r="K1520" s="980"/>
      <c r="L1520" s="77"/>
      <c r="M1520" s="78">
        <f t="shared" si="219"/>
        <v>0</v>
      </c>
      <c r="N1520" s="748"/>
      <c r="P1520" s="29" t="str">
        <f t="shared" si="222"/>
        <v>1900</v>
      </c>
      <c r="Q1520" s="29" t="str">
        <f t="shared" si="223"/>
        <v/>
      </c>
      <c r="R1520" s="29" t="str">
        <f t="shared" si="224"/>
        <v/>
      </c>
    </row>
    <row r="1521" spans="1:18">
      <c r="A1521" s="483">
        <f t="shared" si="218"/>
        <v>1517</v>
      </c>
      <c r="B1521" s="77"/>
      <c r="C1521" s="77"/>
      <c r="D1521" s="858"/>
      <c r="E1521" s="858">
        <f t="shared" si="220"/>
        <v>0</v>
      </c>
      <c r="F1521" s="887">
        <f t="shared" si="221"/>
        <v>1900</v>
      </c>
      <c r="G1521" s="888"/>
      <c r="H1521" s="889"/>
      <c r="I1521" s="888"/>
      <c r="J1521" s="888"/>
      <c r="K1521" s="980"/>
      <c r="L1521" s="77"/>
      <c r="M1521" s="78">
        <f t="shared" si="219"/>
        <v>0</v>
      </c>
      <c r="N1521" s="748"/>
      <c r="P1521" s="29" t="str">
        <f t="shared" si="222"/>
        <v>1900</v>
      </c>
      <c r="Q1521" s="29" t="str">
        <f t="shared" si="223"/>
        <v/>
      </c>
      <c r="R1521" s="29" t="str">
        <f t="shared" si="224"/>
        <v/>
      </c>
    </row>
    <row r="1522" spans="1:18">
      <c r="A1522" s="483">
        <f t="shared" si="218"/>
        <v>1518</v>
      </c>
      <c r="B1522" s="77"/>
      <c r="C1522" s="77"/>
      <c r="D1522" s="858"/>
      <c r="E1522" s="858">
        <f t="shared" si="220"/>
        <v>0</v>
      </c>
      <c r="F1522" s="887">
        <f t="shared" si="221"/>
        <v>1900</v>
      </c>
      <c r="G1522" s="888"/>
      <c r="H1522" s="889"/>
      <c r="I1522" s="888"/>
      <c r="J1522" s="888"/>
      <c r="K1522" s="980"/>
      <c r="L1522" s="77"/>
      <c r="M1522" s="78">
        <f t="shared" si="219"/>
        <v>0</v>
      </c>
      <c r="N1522" s="748"/>
      <c r="P1522" s="29" t="str">
        <f t="shared" si="222"/>
        <v>1900</v>
      </c>
      <c r="Q1522" s="29" t="str">
        <f t="shared" si="223"/>
        <v/>
      </c>
      <c r="R1522" s="29" t="str">
        <f t="shared" si="224"/>
        <v/>
      </c>
    </row>
    <row r="1523" spans="1:18">
      <c r="A1523" s="483">
        <f t="shared" si="218"/>
        <v>1519</v>
      </c>
      <c r="B1523" s="77"/>
      <c r="C1523" s="77"/>
      <c r="D1523" s="858"/>
      <c r="E1523" s="858">
        <f t="shared" si="220"/>
        <v>0</v>
      </c>
      <c r="F1523" s="887">
        <f t="shared" si="221"/>
        <v>1900</v>
      </c>
      <c r="G1523" s="888"/>
      <c r="H1523" s="889"/>
      <c r="I1523" s="888"/>
      <c r="J1523" s="888"/>
      <c r="K1523" s="980"/>
      <c r="L1523" s="77"/>
      <c r="M1523" s="78">
        <f t="shared" si="219"/>
        <v>0</v>
      </c>
      <c r="N1523" s="748"/>
      <c r="P1523" s="29" t="str">
        <f t="shared" si="222"/>
        <v>1900</v>
      </c>
      <c r="Q1523" s="29" t="str">
        <f t="shared" si="223"/>
        <v/>
      </c>
      <c r="R1523" s="29" t="str">
        <f t="shared" si="224"/>
        <v/>
      </c>
    </row>
    <row r="1524" spans="1:18">
      <c r="A1524" s="483">
        <f t="shared" si="218"/>
        <v>1520</v>
      </c>
      <c r="B1524" s="77"/>
      <c r="C1524" s="77"/>
      <c r="D1524" s="858"/>
      <c r="E1524" s="858">
        <f t="shared" si="220"/>
        <v>0</v>
      </c>
      <c r="F1524" s="887">
        <f t="shared" si="221"/>
        <v>1900</v>
      </c>
      <c r="G1524" s="888"/>
      <c r="H1524" s="889"/>
      <c r="I1524" s="888"/>
      <c r="J1524" s="888"/>
      <c r="K1524" s="980"/>
      <c r="L1524" s="77"/>
      <c r="M1524" s="78">
        <f t="shared" si="219"/>
        <v>0</v>
      </c>
      <c r="N1524" s="748"/>
      <c r="P1524" s="29" t="str">
        <f t="shared" si="222"/>
        <v>1900</v>
      </c>
      <c r="Q1524" s="29" t="str">
        <f t="shared" si="223"/>
        <v/>
      </c>
      <c r="R1524" s="29" t="str">
        <f t="shared" si="224"/>
        <v/>
      </c>
    </row>
    <row r="1525" spans="1:18">
      <c r="A1525" s="483">
        <f t="shared" si="218"/>
        <v>1521</v>
      </c>
      <c r="B1525" s="77"/>
      <c r="C1525" s="77"/>
      <c r="D1525" s="858"/>
      <c r="E1525" s="858">
        <f t="shared" si="220"/>
        <v>0</v>
      </c>
      <c r="F1525" s="887">
        <f t="shared" si="221"/>
        <v>1900</v>
      </c>
      <c r="G1525" s="888"/>
      <c r="H1525" s="889"/>
      <c r="I1525" s="888"/>
      <c r="J1525" s="888"/>
      <c r="K1525" s="980"/>
      <c r="L1525" s="77"/>
      <c r="M1525" s="78">
        <f t="shared" si="219"/>
        <v>0</v>
      </c>
      <c r="N1525" s="748"/>
      <c r="P1525" s="29" t="str">
        <f t="shared" si="222"/>
        <v>1900</v>
      </c>
      <c r="Q1525" s="29" t="str">
        <f t="shared" si="223"/>
        <v/>
      </c>
      <c r="R1525" s="29" t="str">
        <f t="shared" si="224"/>
        <v/>
      </c>
    </row>
    <row r="1526" spans="1:18">
      <c r="A1526" s="483">
        <f t="shared" si="218"/>
        <v>1522</v>
      </c>
      <c r="B1526" s="77"/>
      <c r="C1526" s="77"/>
      <c r="D1526" s="858"/>
      <c r="E1526" s="858">
        <f t="shared" si="220"/>
        <v>0</v>
      </c>
      <c r="F1526" s="887">
        <f t="shared" si="221"/>
        <v>1900</v>
      </c>
      <c r="G1526" s="888"/>
      <c r="H1526" s="889"/>
      <c r="I1526" s="888"/>
      <c r="J1526" s="888"/>
      <c r="K1526" s="980"/>
      <c r="L1526" s="77"/>
      <c r="M1526" s="78">
        <f t="shared" si="219"/>
        <v>0</v>
      </c>
      <c r="N1526" s="748"/>
      <c r="P1526" s="29" t="str">
        <f t="shared" si="222"/>
        <v>1900</v>
      </c>
      <c r="Q1526" s="29" t="str">
        <f t="shared" si="223"/>
        <v/>
      </c>
      <c r="R1526" s="29" t="str">
        <f t="shared" si="224"/>
        <v/>
      </c>
    </row>
    <row r="1527" spans="1:18">
      <c r="A1527" s="483">
        <f t="shared" si="218"/>
        <v>1523</v>
      </c>
      <c r="B1527" s="77"/>
      <c r="C1527" s="77"/>
      <c r="D1527" s="858"/>
      <c r="E1527" s="858">
        <f t="shared" si="220"/>
        <v>0</v>
      </c>
      <c r="F1527" s="887">
        <f t="shared" si="221"/>
        <v>1900</v>
      </c>
      <c r="G1527" s="888"/>
      <c r="H1527" s="889"/>
      <c r="I1527" s="888"/>
      <c r="J1527" s="888"/>
      <c r="K1527" s="980"/>
      <c r="L1527" s="77"/>
      <c r="M1527" s="78">
        <f t="shared" si="219"/>
        <v>0</v>
      </c>
      <c r="N1527" s="748"/>
      <c r="P1527" s="29" t="str">
        <f t="shared" si="222"/>
        <v>1900</v>
      </c>
      <c r="Q1527" s="29" t="str">
        <f t="shared" si="223"/>
        <v/>
      </c>
      <c r="R1527" s="29" t="str">
        <f t="shared" si="224"/>
        <v/>
      </c>
    </row>
    <row r="1528" spans="1:18">
      <c r="A1528" s="483">
        <f t="shared" si="218"/>
        <v>1524</v>
      </c>
      <c r="B1528" s="77"/>
      <c r="C1528" s="77"/>
      <c r="D1528" s="858"/>
      <c r="E1528" s="858">
        <f t="shared" si="220"/>
        <v>0</v>
      </c>
      <c r="F1528" s="887">
        <f t="shared" si="221"/>
        <v>1900</v>
      </c>
      <c r="G1528" s="888"/>
      <c r="H1528" s="889"/>
      <c r="I1528" s="888"/>
      <c r="J1528" s="888"/>
      <c r="K1528" s="980"/>
      <c r="L1528" s="77"/>
      <c r="M1528" s="78">
        <f t="shared" si="219"/>
        <v>0</v>
      </c>
      <c r="N1528" s="748"/>
      <c r="P1528" s="29" t="str">
        <f t="shared" si="222"/>
        <v>1900</v>
      </c>
      <c r="Q1528" s="29" t="str">
        <f t="shared" si="223"/>
        <v/>
      </c>
      <c r="R1528" s="29" t="str">
        <f t="shared" si="224"/>
        <v/>
      </c>
    </row>
    <row r="1529" spans="1:18">
      <c r="A1529" s="483">
        <f t="shared" si="218"/>
        <v>1525</v>
      </c>
      <c r="B1529" s="77"/>
      <c r="C1529" s="77"/>
      <c r="D1529" s="858"/>
      <c r="E1529" s="858">
        <f t="shared" si="220"/>
        <v>0</v>
      </c>
      <c r="F1529" s="887">
        <f t="shared" si="221"/>
        <v>1900</v>
      </c>
      <c r="G1529" s="888"/>
      <c r="H1529" s="889"/>
      <c r="I1529" s="888"/>
      <c r="J1529" s="888"/>
      <c r="K1529" s="980"/>
      <c r="L1529" s="77"/>
      <c r="M1529" s="78">
        <f t="shared" si="219"/>
        <v>0</v>
      </c>
      <c r="N1529" s="748"/>
      <c r="P1529" s="29" t="str">
        <f t="shared" si="222"/>
        <v>1900</v>
      </c>
      <c r="Q1529" s="29" t="str">
        <f t="shared" si="223"/>
        <v/>
      </c>
      <c r="R1529" s="29" t="str">
        <f t="shared" si="224"/>
        <v/>
      </c>
    </row>
    <row r="1530" spans="1:18">
      <c r="A1530" s="483">
        <f t="shared" si="218"/>
        <v>1526</v>
      </c>
      <c r="B1530" s="77"/>
      <c r="C1530" s="77"/>
      <c r="D1530" s="858"/>
      <c r="E1530" s="858">
        <f t="shared" si="220"/>
        <v>0</v>
      </c>
      <c r="F1530" s="887">
        <f t="shared" si="221"/>
        <v>1900</v>
      </c>
      <c r="G1530" s="888"/>
      <c r="H1530" s="889"/>
      <c r="I1530" s="888"/>
      <c r="J1530" s="888"/>
      <c r="K1530" s="980"/>
      <c r="L1530" s="77"/>
      <c r="M1530" s="78">
        <f t="shared" si="219"/>
        <v>0</v>
      </c>
      <c r="N1530" s="748"/>
      <c r="P1530" s="29" t="str">
        <f t="shared" si="222"/>
        <v>1900</v>
      </c>
      <c r="Q1530" s="29" t="str">
        <f t="shared" si="223"/>
        <v/>
      </c>
      <c r="R1530" s="29" t="str">
        <f t="shared" si="224"/>
        <v/>
      </c>
    </row>
    <row r="1531" spans="1:18">
      <c r="A1531" s="483">
        <f t="shared" si="218"/>
        <v>1527</v>
      </c>
      <c r="B1531" s="77"/>
      <c r="C1531" s="77"/>
      <c r="D1531" s="858"/>
      <c r="E1531" s="858">
        <f t="shared" si="220"/>
        <v>0</v>
      </c>
      <c r="F1531" s="887">
        <f t="shared" si="221"/>
        <v>1900</v>
      </c>
      <c r="G1531" s="888"/>
      <c r="H1531" s="889"/>
      <c r="I1531" s="888"/>
      <c r="J1531" s="888"/>
      <c r="K1531" s="980"/>
      <c r="L1531" s="77"/>
      <c r="M1531" s="78">
        <f t="shared" si="219"/>
        <v>0</v>
      </c>
      <c r="N1531" s="748"/>
      <c r="P1531" s="29" t="str">
        <f t="shared" si="222"/>
        <v>1900</v>
      </c>
      <c r="Q1531" s="29" t="str">
        <f t="shared" si="223"/>
        <v/>
      </c>
      <c r="R1531" s="29" t="str">
        <f t="shared" si="224"/>
        <v/>
      </c>
    </row>
    <row r="1532" spans="1:18">
      <c r="A1532" s="483">
        <f t="shared" si="218"/>
        <v>1528</v>
      </c>
      <c r="B1532" s="77"/>
      <c r="C1532" s="77"/>
      <c r="D1532" s="858"/>
      <c r="E1532" s="858">
        <f t="shared" si="220"/>
        <v>0</v>
      </c>
      <c r="F1532" s="887">
        <f t="shared" si="221"/>
        <v>1900</v>
      </c>
      <c r="G1532" s="888"/>
      <c r="H1532" s="889"/>
      <c r="I1532" s="888"/>
      <c r="J1532" s="888"/>
      <c r="K1532" s="980"/>
      <c r="L1532" s="77"/>
      <c r="M1532" s="78">
        <f t="shared" si="219"/>
        <v>0</v>
      </c>
      <c r="N1532" s="748"/>
      <c r="P1532" s="29" t="str">
        <f t="shared" si="222"/>
        <v>1900</v>
      </c>
      <c r="Q1532" s="29" t="str">
        <f t="shared" si="223"/>
        <v/>
      </c>
      <c r="R1532" s="29" t="str">
        <f t="shared" si="224"/>
        <v/>
      </c>
    </row>
    <row r="1533" spans="1:18">
      <c r="A1533" s="483">
        <f t="shared" si="218"/>
        <v>1529</v>
      </c>
      <c r="B1533" s="77"/>
      <c r="C1533" s="77"/>
      <c r="D1533" s="858"/>
      <c r="E1533" s="858">
        <f t="shared" si="220"/>
        <v>0</v>
      </c>
      <c r="F1533" s="887">
        <f t="shared" si="221"/>
        <v>1900</v>
      </c>
      <c r="G1533" s="888"/>
      <c r="H1533" s="889"/>
      <c r="I1533" s="888"/>
      <c r="J1533" s="888"/>
      <c r="K1533" s="980"/>
      <c r="L1533" s="77"/>
      <c r="M1533" s="78">
        <f t="shared" si="219"/>
        <v>0</v>
      </c>
      <c r="N1533" s="748"/>
      <c r="P1533" s="29" t="str">
        <f t="shared" si="222"/>
        <v>1900</v>
      </c>
      <c r="Q1533" s="29" t="str">
        <f t="shared" si="223"/>
        <v/>
      </c>
      <c r="R1533" s="29" t="str">
        <f t="shared" si="224"/>
        <v/>
      </c>
    </row>
    <row r="1534" spans="1:18">
      <c r="A1534" s="483">
        <f t="shared" si="218"/>
        <v>1530</v>
      </c>
      <c r="B1534" s="77"/>
      <c r="C1534" s="77"/>
      <c r="D1534" s="858"/>
      <c r="E1534" s="858">
        <f t="shared" si="220"/>
        <v>0</v>
      </c>
      <c r="F1534" s="887">
        <f t="shared" si="221"/>
        <v>1900</v>
      </c>
      <c r="G1534" s="888"/>
      <c r="H1534" s="889"/>
      <c r="I1534" s="888"/>
      <c r="J1534" s="888"/>
      <c r="K1534" s="980"/>
      <c r="L1534" s="77"/>
      <c r="M1534" s="78">
        <f t="shared" si="219"/>
        <v>0</v>
      </c>
      <c r="N1534" s="748"/>
      <c r="P1534" s="29" t="str">
        <f t="shared" si="222"/>
        <v>1900</v>
      </c>
      <c r="Q1534" s="29" t="str">
        <f t="shared" si="223"/>
        <v/>
      </c>
      <c r="R1534" s="29" t="str">
        <f t="shared" si="224"/>
        <v/>
      </c>
    </row>
    <row r="1535" spans="1:18">
      <c r="A1535" s="483">
        <f t="shared" si="218"/>
        <v>1531</v>
      </c>
      <c r="B1535" s="77"/>
      <c r="C1535" s="77"/>
      <c r="D1535" s="858"/>
      <c r="E1535" s="858">
        <f t="shared" si="220"/>
        <v>0</v>
      </c>
      <c r="F1535" s="887">
        <f t="shared" si="221"/>
        <v>1900</v>
      </c>
      <c r="G1535" s="888"/>
      <c r="H1535" s="889"/>
      <c r="I1535" s="888"/>
      <c r="J1535" s="888"/>
      <c r="K1535" s="980"/>
      <c r="L1535" s="77"/>
      <c r="M1535" s="78">
        <f t="shared" si="219"/>
        <v>0</v>
      </c>
      <c r="N1535" s="748"/>
      <c r="P1535" s="29" t="str">
        <f t="shared" si="222"/>
        <v>1900</v>
      </c>
      <c r="Q1535" s="29" t="str">
        <f t="shared" si="223"/>
        <v/>
      </c>
      <c r="R1535" s="29" t="str">
        <f t="shared" si="224"/>
        <v/>
      </c>
    </row>
    <row r="1536" spans="1:18">
      <c r="A1536" s="483">
        <f t="shared" si="218"/>
        <v>1532</v>
      </c>
      <c r="B1536" s="77"/>
      <c r="C1536" s="77"/>
      <c r="D1536" s="858"/>
      <c r="E1536" s="858">
        <f t="shared" si="220"/>
        <v>0</v>
      </c>
      <c r="F1536" s="887">
        <f t="shared" si="221"/>
        <v>1900</v>
      </c>
      <c r="G1536" s="888"/>
      <c r="H1536" s="889"/>
      <c r="I1536" s="888"/>
      <c r="J1536" s="888"/>
      <c r="K1536" s="980"/>
      <c r="L1536" s="77"/>
      <c r="M1536" s="78">
        <f t="shared" si="219"/>
        <v>0</v>
      </c>
      <c r="N1536" s="748"/>
      <c r="P1536" s="29" t="str">
        <f t="shared" si="222"/>
        <v>1900</v>
      </c>
      <c r="Q1536" s="29" t="str">
        <f t="shared" si="223"/>
        <v/>
      </c>
      <c r="R1536" s="29" t="str">
        <f t="shared" si="224"/>
        <v/>
      </c>
    </row>
    <row r="1537" spans="1:18">
      <c r="A1537" s="483">
        <f t="shared" si="218"/>
        <v>1533</v>
      </c>
      <c r="B1537" s="77"/>
      <c r="C1537" s="77"/>
      <c r="D1537" s="858"/>
      <c r="E1537" s="858">
        <f t="shared" si="220"/>
        <v>0</v>
      </c>
      <c r="F1537" s="887">
        <f t="shared" si="221"/>
        <v>1900</v>
      </c>
      <c r="G1537" s="888"/>
      <c r="H1537" s="889"/>
      <c r="I1537" s="888"/>
      <c r="J1537" s="888"/>
      <c r="K1537" s="980"/>
      <c r="L1537" s="77"/>
      <c r="M1537" s="78">
        <f t="shared" si="219"/>
        <v>0</v>
      </c>
      <c r="N1537" s="748"/>
      <c r="P1537" s="29" t="str">
        <f t="shared" si="222"/>
        <v>1900</v>
      </c>
      <c r="Q1537" s="29" t="str">
        <f t="shared" si="223"/>
        <v/>
      </c>
      <c r="R1537" s="29" t="str">
        <f t="shared" si="224"/>
        <v/>
      </c>
    </row>
    <row r="1538" spans="1:18">
      <c r="A1538" s="483">
        <f t="shared" si="218"/>
        <v>1534</v>
      </c>
      <c r="B1538" s="77"/>
      <c r="C1538" s="77"/>
      <c r="D1538" s="858"/>
      <c r="E1538" s="858">
        <f t="shared" si="220"/>
        <v>0</v>
      </c>
      <c r="F1538" s="887">
        <f t="shared" si="221"/>
        <v>1900</v>
      </c>
      <c r="G1538" s="888"/>
      <c r="H1538" s="889"/>
      <c r="I1538" s="888"/>
      <c r="J1538" s="888"/>
      <c r="K1538" s="980"/>
      <c r="L1538" s="77"/>
      <c r="M1538" s="78">
        <f t="shared" si="219"/>
        <v>0</v>
      </c>
      <c r="N1538" s="748"/>
      <c r="P1538" s="29" t="str">
        <f t="shared" si="222"/>
        <v>1900</v>
      </c>
      <c r="Q1538" s="29" t="str">
        <f t="shared" si="223"/>
        <v/>
      </c>
      <c r="R1538" s="29" t="str">
        <f t="shared" si="224"/>
        <v/>
      </c>
    </row>
    <row r="1539" spans="1:18">
      <c r="A1539" s="483">
        <f t="shared" si="218"/>
        <v>1535</v>
      </c>
      <c r="B1539" s="77"/>
      <c r="C1539" s="77"/>
      <c r="D1539" s="858"/>
      <c r="E1539" s="858">
        <f t="shared" si="220"/>
        <v>0</v>
      </c>
      <c r="F1539" s="887">
        <f t="shared" si="221"/>
        <v>1900</v>
      </c>
      <c r="G1539" s="888"/>
      <c r="H1539" s="889"/>
      <c r="I1539" s="888"/>
      <c r="J1539" s="888"/>
      <c r="K1539" s="980"/>
      <c r="L1539" s="77"/>
      <c r="M1539" s="78">
        <f t="shared" si="219"/>
        <v>0</v>
      </c>
      <c r="N1539" s="748"/>
      <c r="P1539" s="29" t="str">
        <f t="shared" si="222"/>
        <v>1900</v>
      </c>
      <c r="Q1539" s="29" t="str">
        <f t="shared" si="223"/>
        <v/>
      </c>
      <c r="R1539" s="29" t="str">
        <f t="shared" si="224"/>
        <v/>
      </c>
    </row>
    <row r="1540" spans="1:18">
      <c r="A1540" s="483">
        <f t="shared" si="218"/>
        <v>1536</v>
      </c>
      <c r="B1540" s="77"/>
      <c r="C1540" s="77"/>
      <c r="D1540" s="858"/>
      <c r="E1540" s="858">
        <f t="shared" si="220"/>
        <v>0</v>
      </c>
      <c r="F1540" s="887">
        <f t="shared" si="221"/>
        <v>1900</v>
      </c>
      <c r="G1540" s="888"/>
      <c r="H1540" s="889"/>
      <c r="I1540" s="888"/>
      <c r="J1540" s="888"/>
      <c r="K1540" s="980"/>
      <c r="L1540" s="77"/>
      <c r="M1540" s="78">
        <f t="shared" si="219"/>
        <v>0</v>
      </c>
      <c r="N1540" s="748"/>
      <c r="P1540" s="29" t="str">
        <f t="shared" si="222"/>
        <v>1900</v>
      </c>
      <c r="Q1540" s="29" t="str">
        <f t="shared" si="223"/>
        <v/>
      </c>
      <c r="R1540" s="29" t="str">
        <f t="shared" si="224"/>
        <v/>
      </c>
    </row>
    <row r="1541" spans="1:18">
      <c r="A1541" s="483">
        <f t="shared" si="218"/>
        <v>1537</v>
      </c>
      <c r="B1541" s="77"/>
      <c r="C1541" s="77"/>
      <c r="D1541" s="858"/>
      <c r="E1541" s="858">
        <f t="shared" si="220"/>
        <v>0</v>
      </c>
      <c r="F1541" s="887">
        <f t="shared" si="221"/>
        <v>1900</v>
      </c>
      <c r="G1541" s="888"/>
      <c r="H1541" s="889"/>
      <c r="I1541" s="888"/>
      <c r="J1541" s="888"/>
      <c r="K1541" s="980"/>
      <c r="L1541" s="77"/>
      <c r="M1541" s="78">
        <f t="shared" si="219"/>
        <v>0</v>
      </c>
      <c r="N1541" s="748"/>
      <c r="P1541" s="29" t="str">
        <f t="shared" si="222"/>
        <v>1900</v>
      </c>
      <c r="Q1541" s="29" t="str">
        <f t="shared" si="223"/>
        <v/>
      </c>
      <c r="R1541" s="29" t="str">
        <f t="shared" si="224"/>
        <v/>
      </c>
    </row>
    <row r="1542" spans="1:18">
      <c r="A1542" s="483">
        <f t="shared" si="218"/>
        <v>1538</v>
      </c>
      <c r="B1542" s="77"/>
      <c r="C1542" s="77"/>
      <c r="D1542" s="858"/>
      <c r="E1542" s="858">
        <f t="shared" si="220"/>
        <v>0</v>
      </c>
      <c r="F1542" s="887">
        <f t="shared" si="221"/>
        <v>1900</v>
      </c>
      <c r="G1542" s="888"/>
      <c r="H1542" s="889"/>
      <c r="I1542" s="888"/>
      <c r="J1542" s="888"/>
      <c r="K1542" s="980"/>
      <c r="L1542" s="77"/>
      <c r="M1542" s="78">
        <f t="shared" si="219"/>
        <v>0</v>
      </c>
      <c r="N1542" s="748"/>
      <c r="P1542" s="29" t="str">
        <f t="shared" si="222"/>
        <v>1900</v>
      </c>
      <c r="Q1542" s="29" t="str">
        <f t="shared" si="223"/>
        <v/>
      </c>
      <c r="R1542" s="29" t="str">
        <f t="shared" si="224"/>
        <v/>
      </c>
    </row>
    <row r="1543" spans="1:18">
      <c r="A1543" s="483">
        <f t="shared" si="218"/>
        <v>1539</v>
      </c>
      <c r="B1543" s="77"/>
      <c r="C1543" s="77"/>
      <c r="D1543" s="858"/>
      <c r="E1543" s="858">
        <f t="shared" si="220"/>
        <v>0</v>
      </c>
      <c r="F1543" s="887">
        <f t="shared" si="221"/>
        <v>1900</v>
      </c>
      <c r="G1543" s="888"/>
      <c r="H1543" s="889"/>
      <c r="I1543" s="888"/>
      <c r="J1543" s="888"/>
      <c r="K1543" s="980"/>
      <c r="L1543" s="77"/>
      <c r="M1543" s="78">
        <f t="shared" si="219"/>
        <v>0</v>
      </c>
      <c r="N1543" s="748"/>
      <c r="P1543" s="29" t="str">
        <f t="shared" si="222"/>
        <v>1900</v>
      </c>
      <c r="Q1543" s="29" t="str">
        <f t="shared" si="223"/>
        <v/>
      </c>
      <c r="R1543" s="29" t="str">
        <f t="shared" si="224"/>
        <v/>
      </c>
    </row>
    <row r="1544" spans="1:18">
      <c r="A1544" s="483">
        <f t="shared" ref="A1544:A1607" si="225">+A1543+1</f>
        <v>1540</v>
      </c>
      <c r="B1544" s="77"/>
      <c r="C1544" s="77"/>
      <c r="D1544" s="858"/>
      <c r="E1544" s="858">
        <f t="shared" si="220"/>
        <v>0</v>
      </c>
      <c r="F1544" s="887">
        <f t="shared" si="221"/>
        <v>1900</v>
      </c>
      <c r="G1544" s="888"/>
      <c r="H1544" s="889"/>
      <c r="I1544" s="888"/>
      <c r="J1544" s="888"/>
      <c r="K1544" s="980"/>
      <c r="L1544" s="77"/>
      <c r="M1544" s="78">
        <f t="shared" si="219"/>
        <v>0</v>
      </c>
      <c r="N1544" s="748"/>
      <c r="P1544" s="29" t="str">
        <f t="shared" si="222"/>
        <v>1900</v>
      </c>
      <c r="Q1544" s="29" t="str">
        <f t="shared" si="223"/>
        <v/>
      </c>
      <c r="R1544" s="29" t="str">
        <f t="shared" si="224"/>
        <v/>
      </c>
    </row>
    <row r="1545" spans="1:18">
      <c r="A1545" s="483">
        <f t="shared" si="225"/>
        <v>1541</v>
      </c>
      <c r="B1545" s="77"/>
      <c r="C1545" s="77"/>
      <c r="D1545" s="858"/>
      <c r="E1545" s="858">
        <f t="shared" si="220"/>
        <v>0</v>
      </c>
      <c r="F1545" s="887">
        <f t="shared" si="221"/>
        <v>1900</v>
      </c>
      <c r="G1545" s="888"/>
      <c r="H1545" s="889"/>
      <c r="I1545" s="888"/>
      <c r="J1545" s="888"/>
      <c r="K1545" s="980"/>
      <c r="L1545" s="77"/>
      <c r="M1545" s="78">
        <f t="shared" si="219"/>
        <v>0</v>
      </c>
      <c r="N1545" s="748"/>
      <c r="P1545" s="29" t="str">
        <f t="shared" si="222"/>
        <v>1900</v>
      </c>
      <c r="Q1545" s="29" t="str">
        <f t="shared" si="223"/>
        <v/>
      </c>
      <c r="R1545" s="29" t="str">
        <f t="shared" si="224"/>
        <v/>
      </c>
    </row>
    <row r="1546" spans="1:18">
      <c r="A1546" s="483">
        <f t="shared" si="225"/>
        <v>1542</v>
      </c>
      <c r="B1546" s="77"/>
      <c r="C1546" s="77"/>
      <c r="D1546" s="858"/>
      <c r="E1546" s="858">
        <f t="shared" si="220"/>
        <v>0</v>
      </c>
      <c r="F1546" s="887">
        <f t="shared" si="221"/>
        <v>1900</v>
      </c>
      <c r="G1546" s="888"/>
      <c r="H1546" s="889"/>
      <c r="I1546" s="888"/>
      <c r="J1546" s="888"/>
      <c r="K1546" s="980"/>
      <c r="L1546" s="77"/>
      <c r="M1546" s="78">
        <f t="shared" si="219"/>
        <v>0</v>
      </c>
      <c r="N1546" s="748"/>
      <c r="P1546" s="29" t="str">
        <f t="shared" si="222"/>
        <v>1900</v>
      </c>
      <c r="Q1546" s="29" t="str">
        <f t="shared" si="223"/>
        <v/>
      </c>
      <c r="R1546" s="29" t="str">
        <f t="shared" si="224"/>
        <v/>
      </c>
    </row>
    <row r="1547" spans="1:18">
      <c r="A1547" s="483">
        <f t="shared" si="225"/>
        <v>1543</v>
      </c>
      <c r="B1547" s="77"/>
      <c r="C1547" s="77"/>
      <c r="D1547" s="858"/>
      <c r="E1547" s="858">
        <f t="shared" si="220"/>
        <v>0</v>
      </c>
      <c r="F1547" s="887">
        <f t="shared" si="221"/>
        <v>1900</v>
      </c>
      <c r="G1547" s="888"/>
      <c r="H1547" s="889"/>
      <c r="I1547" s="888"/>
      <c r="J1547" s="888"/>
      <c r="K1547" s="980"/>
      <c r="L1547" s="77"/>
      <c r="M1547" s="78">
        <f t="shared" si="219"/>
        <v>0</v>
      </c>
      <c r="N1547" s="748"/>
      <c r="P1547" s="29" t="str">
        <f t="shared" si="222"/>
        <v>1900</v>
      </c>
      <c r="Q1547" s="29" t="str">
        <f t="shared" si="223"/>
        <v/>
      </c>
      <c r="R1547" s="29" t="str">
        <f t="shared" si="224"/>
        <v/>
      </c>
    </row>
    <row r="1548" spans="1:18">
      <c r="A1548" s="483">
        <f t="shared" si="225"/>
        <v>1544</v>
      </c>
      <c r="B1548" s="77"/>
      <c r="C1548" s="77"/>
      <c r="D1548" s="858"/>
      <c r="E1548" s="858">
        <f t="shared" si="220"/>
        <v>0</v>
      </c>
      <c r="F1548" s="887">
        <f t="shared" si="221"/>
        <v>1900</v>
      </c>
      <c r="G1548" s="888"/>
      <c r="H1548" s="889"/>
      <c r="I1548" s="888"/>
      <c r="J1548" s="888"/>
      <c r="K1548" s="980"/>
      <c r="L1548" s="77"/>
      <c r="M1548" s="78">
        <f t="shared" ref="M1548:M1611" si="226">+L1548</f>
        <v>0</v>
      </c>
      <c r="N1548" s="748"/>
      <c r="P1548" s="29" t="str">
        <f t="shared" si="222"/>
        <v>1900</v>
      </c>
      <c r="Q1548" s="29" t="str">
        <f t="shared" si="223"/>
        <v/>
      </c>
      <c r="R1548" s="29" t="str">
        <f t="shared" si="224"/>
        <v/>
      </c>
    </row>
    <row r="1549" spans="1:18">
      <c r="A1549" s="483">
        <f t="shared" si="225"/>
        <v>1545</v>
      </c>
      <c r="B1549" s="77"/>
      <c r="C1549" s="77"/>
      <c r="D1549" s="858"/>
      <c r="E1549" s="858">
        <f t="shared" si="220"/>
        <v>0</v>
      </c>
      <c r="F1549" s="887">
        <f t="shared" si="221"/>
        <v>1900</v>
      </c>
      <c r="G1549" s="888"/>
      <c r="H1549" s="889"/>
      <c r="I1549" s="888"/>
      <c r="J1549" s="888"/>
      <c r="K1549" s="980"/>
      <c r="L1549" s="77"/>
      <c r="M1549" s="78">
        <f t="shared" si="226"/>
        <v>0</v>
      </c>
      <c r="N1549" s="748"/>
      <c r="P1549" s="29" t="str">
        <f t="shared" si="222"/>
        <v>1900</v>
      </c>
      <c r="Q1549" s="29" t="str">
        <f t="shared" si="223"/>
        <v/>
      </c>
      <c r="R1549" s="29" t="str">
        <f t="shared" si="224"/>
        <v/>
      </c>
    </row>
    <row r="1550" spans="1:18">
      <c r="A1550" s="483">
        <f t="shared" si="225"/>
        <v>1546</v>
      </c>
      <c r="B1550" s="77"/>
      <c r="C1550" s="77"/>
      <c r="D1550" s="858"/>
      <c r="E1550" s="858">
        <f t="shared" si="220"/>
        <v>0</v>
      </c>
      <c r="F1550" s="887">
        <f t="shared" si="221"/>
        <v>1900</v>
      </c>
      <c r="G1550" s="888"/>
      <c r="H1550" s="889"/>
      <c r="I1550" s="888"/>
      <c r="J1550" s="888"/>
      <c r="K1550" s="980"/>
      <c r="L1550" s="77"/>
      <c r="M1550" s="78">
        <f t="shared" si="226"/>
        <v>0</v>
      </c>
      <c r="N1550" s="748"/>
      <c r="P1550" s="29" t="str">
        <f t="shared" si="222"/>
        <v>1900</v>
      </c>
      <c r="Q1550" s="29" t="str">
        <f t="shared" si="223"/>
        <v/>
      </c>
      <c r="R1550" s="29" t="str">
        <f t="shared" si="224"/>
        <v/>
      </c>
    </row>
    <row r="1551" spans="1:18">
      <c r="A1551" s="483">
        <f t="shared" si="225"/>
        <v>1547</v>
      </c>
      <c r="B1551" s="77"/>
      <c r="C1551" s="77"/>
      <c r="D1551" s="858"/>
      <c r="E1551" s="858">
        <f t="shared" si="220"/>
        <v>0</v>
      </c>
      <c r="F1551" s="887">
        <f t="shared" si="221"/>
        <v>1900</v>
      </c>
      <c r="G1551" s="888"/>
      <c r="H1551" s="889"/>
      <c r="I1551" s="888"/>
      <c r="J1551" s="888"/>
      <c r="K1551" s="980"/>
      <c r="L1551" s="77"/>
      <c r="M1551" s="78">
        <f t="shared" si="226"/>
        <v>0</v>
      </c>
      <c r="N1551" s="748"/>
      <c r="P1551" s="29" t="str">
        <f t="shared" si="222"/>
        <v>1900</v>
      </c>
      <c r="Q1551" s="29" t="str">
        <f t="shared" si="223"/>
        <v/>
      </c>
      <c r="R1551" s="29" t="str">
        <f t="shared" si="224"/>
        <v/>
      </c>
    </row>
    <row r="1552" spans="1:18">
      <c r="A1552" s="483">
        <f t="shared" si="225"/>
        <v>1548</v>
      </c>
      <c r="B1552" s="77"/>
      <c r="C1552" s="77"/>
      <c r="D1552" s="858"/>
      <c r="E1552" s="858">
        <f t="shared" si="220"/>
        <v>0</v>
      </c>
      <c r="F1552" s="887">
        <f t="shared" si="221"/>
        <v>1900</v>
      </c>
      <c r="G1552" s="888"/>
      <c r="H1552" s="889"/>
      <c r="I1552" s="888"/>
      <c r="J1552" s="888"/>
      <c r="K1552" s="980"/>
      <c r="L1552" s="77"/>
      <c r="M1552" s="78">
        <f t="shared" si="226"/>
        <v>0</v>
      </c>
      <c r="N1552" s="748"/>
      <c r="P1552" s="29" t="str">
        <f t="shared" si="222"/>
        <v>1900</v>
      </c>
      <c r="Q1552" s="29" t="str">
        <f t="shared" si="223"/>
        <v/>
      </c>
      <c r="R1552" s="29" t="str">
        <f t="shared" si="224"/>
        <v/>
      </c>
    </row>
    <row r="1553" spans="1:18">
      <c r="A1553" s="483">
        <f t="shared" si="225"/>
        <v>1549</v>
      </c>
      <c r="B1553" s="77"/>
      <c r="C1553" s="77"/>
      <c r="D1553" s="858"/>
      <c r="E1553" s="858">
        <f t="shared" si="220"/>
        <v>0</v>
      </c>
      <c r="F1553" s="887">
        <f t="shared" si="221"/>
        <v>1900</v>
      </c>
      <c r="G1553" s="888"/>
      <c r="H1553" s="889"/>
      <c r="I1553" s="888"/>
      <c r="J1553" s="888"/>
      <c r="K1553" s="980"/>
      <c r="L1553" s="77"/>
      <c r="M1553" s="78">
        <f t="shared" si="226"/>
        <v>0</v>
      </c>
      <c r="N1553" s="748"/>
      <c r="P1553" s="29" t="str">
        <f t="shared" si="222"/>
        <v>1900</v>
      </c>
      <c r="Q1553" s="29" t="str">
        <f t="shared" si="223"/>
        <v/>
      </c>
      <c r="R1553" s="29" t="str">
        <f t="shared" si="224"/>
        <v/>
      </c>
    </row>
    <row r="1554" spans="1:18">
      <c r="A1554" s="483">
        <f t="shared" si="225"/>
        <v>1550</v>
      </c>
      <c r="B1554" s="77"/>
      <c r="C1554" s="77"/>
      <c r="D1554" s="858"/>
      <c r="E1554" s="858">
        <f t="shared" si="220"/>
        <v>0</v>
      </c>
      <c r="F1554" s="887">
        <f t="shared" si="221"/>
        <v>1900</v>
      </c>
      <c r="G1554" s="888"/>
      <c r="H1554" s="889"/>
      <c r="I1554" s="888"/>
      <c r="J1554" s="888"/>
      <c r="K1554" s="980"/>
      <c r="L1554" s="77"/>
      <c r="M1554" s="78">
        <f t="shared" si="226"/>
        <v>0</v>
      </c>
      <c r="N1554" s="748"/>
      <c r="P1554" s="29" t="str">
        <f t="shared" si="222"/>
        <v>1900</v>
      </c>
      <c r="Q1554" s="29" t="str">
        <f t="shared" si="223"/>
        <v/>
      </c>
      <c r="R1554" s="29" t="str">
        <f t="shared" si="224"/>
        <v/>
      </c>
    </row>
    <row r="1555" spans="1:18">
      <c r="A1555" s="483">
        <f t="shared" si="225"/>
        <v>1551</v>
      </c>
      <c r="B1555" s="77"/>
      <c r="C1555" s="77"/>
      <c r="D1555" s="858"/>
      <c r="E1555" s="858">
        <f t="shared" si="220"/>
        <v>0</v>
      </c>
      <c r="F1555" s="887">
        <f t="shared" si="221"/>
        <v>1900</v>
      </c>
      <c r="G1555" s="888"/>
      <c r="H1555" s="889"/>
      <c r="I1555" s="888"/>
      <c r="J1555" s="888"/>
      <c r="K1555" s="980"/>
      <c r="L1555" s="77"/>
      <c r="M1555" s="78">
        <f t="shared" si="226"/>
        <v>0</v>
      </c>
      <c r="N1555" s="748"/>
      <c r="P1555" s="29" t="str">
        <f t="shared" si="222"/>
        <v>1900</v>
      </c>
      <c r="Q1555" s="29" t="str">
        <f t="shared" si="223"/>
        <v/>
      </c>
      <c r="R1555" s="29" t="str">
        <f t="shared" si="224"/>
        <v/>
      </c>
    </row>
    <row r="1556" spans="1:18">
      <c r="A1556" s="483">
        <f t="shared" si="225"/>
        <v>1552</v>
      </c>
      <c r="B1556" s="77"/>
      <c r="C1556" s="77"/>
      <c r="D1556" s="858"/>
      <c r="E1556" s="858">
        <f t="shared" si="220"/>
        <v>0</v>
      </c>
      <c r="F1556" s="887">
        <f t="shared" si="221"/>
        <v>1900</v>
      </c>
      <c r="G1556" s="888"/>
      <c r="H1556" s="889"/>
      <c r="I1556" s="888"/>
      <c r="J1556" s="888"/>
      <c r="K1556" s="980"/>
      <c r="L1556" s="77"/>
      <c r="M1556" s="78">
        <f t="shared" si="226"/>
        <v>0</v>
      </c>
      <c r="N1556" s="748"/>
      <c r="P1556" s="29" t="str">
        <f t="shared" si="222"/>
        <v>1900</v>
      </c>
      <c r="Q1556" s="29" t="str">
        <f t="shared" si="223"/>
        <v/>
      </c>
      <c r="R1556" s="29" t="str">
        <f t="shared" si="224"/>
        <v/>
      </c>
    </row>
    <row r="1557" spans="1:18">
      <c r="A1557" s="483">
        <f t="shared" si="225"/>
        <v>1553</v>
      </c>
      <c r="B1557" s="77"/>
      <c r="C1557" s="77"/>
      <c r="D1557" s="858"/>
      <c r="E1557" s="858">
        <f t="shared" si="220"/>
        <v>0</v>
      </c>
      <c r="F1557" s="887">
        <f t="shared" si="221"/>
        <v>1900</v>
      </c>
      <c r="G1557" s="888"/>
      <c r="H1557" s="889"/>
      <c r="I1557" s="888"/>
      <c r="J1557" s="888"/>
      <c r="K1557" s="980"/>
      <c r="L1557" s="77"/>
      <c r="M1557" s="78">
        <f t="shared" si="226"/>
        <v>0</v>
      </c>
      <c r="N1557" s="748"/>
      <c r="P1557" s="29" t="str">
        <f t="shared" si="222"/>
        <v>1900</v>
      </c>
      <c r="Q1557" s="29" t="str">
        <f t="shared" si="223"/>
        <v/>
      </c>
      <c r="R1557" s="29" t="str">
        <f t="shared" si="224"/>
        <v/>
      </c>
    </row>
    <row r="1558" spans="1:18">
      <c r="A1558" s="483">
        <f t="shared" si="225"/>
        <v>1554</v>
      </c>
      <c r="B1558" s="77"/>
      <c r="C1558" s="77"/>
      <c r="D1558" s="858"/>
      <c r="E1558" s="858">
        <f t="shared" si="220"/>
        <v>0</v>
      </c>
      <c r="F1558" s="887">
        <f t="shared" si="221"/>
        <v>1900</v>
      </c>
      <c r="G1558" s="888"/>
      <c r="H1558" s="889"/>
      <c r="I1558" s="888"/>
      <c r="J1558" s="888"/>
      <c r="K1558" s="980"/>
      <c r="L1558" s="77"/>
      <c r="M1558" s="78">
        <f t="shared" si="226"/>
        <v>0</v>
      </c>
      <c r="N1558" s="748"/>
      <c r="P1558" s="29" t="str">
        <f t="shared" si="222"/>
        <v>1900</v>
      </c>
      <c r="Q1558" s="29" t="str">
        <f t="shared" si="223"/>
        <v/>
      </c>
      <c r="R1558" s="29" t="str">
        <f t="shared" si="224"/>
        <v/>
      </c>
    </row>
    <row r="1559" spans="1:18">
      <c r="A1559" s="483">
        <f t="shared" si="225"/>
        <v>1555</v>
      </c>
      <c r="B1559" s="77"/>
      <c r="C1559" s="77"/>
      <c r="D1559" s="858"/>
      <c r="E1559" s="858">
        <f t="shared" si="220"/>
        <v>0</v>
      </c>
      <c r="F1559" s="887">
        <f t="shared" si="221"/>
        <v>1900</v>
      </c>
      <c r="G1559" s="888"/>
      <c r="H1559" s="889"/>
      <c r="I1559" s="888"/>
      <c r="J1559" s="888"/>
      <c r="K1559" s="980"/>
      <c r="L1559" s="77"/>
      <c r="M1559" s="78">
        <f t="shared" si="226"/>
        <v>0</v>
      </c>
      <c r="N1559" s="748"/>
      <c r="P1559" s="29" t="str">
        <f t="shared" si="222"/>
        <v>1900</v>
      </c>
      <c r="Q1559" s="29" t="str">
        <f t="shared" si="223"/>
        <v/>
      </c>
      <c r="R1559" s="29" t="str">
        <f t="shared" si="224"/>
        <v/>
      </c>
    </row>
    <row r="1560" spans="1:18">
      <c r="A1560" s="483">
        <f t="shared" si="225"/>
        <v>1556</v>
      </c>
      <c r="B1560" s="77"/>
      <c r="C1560" s="77"/>
      <c r="D1560" s="858"/>
      <c r="E1560" s="858">
        <f t="shared" si="220"/>
        <v>0</v>
      </c>
      <c r="F1560" s="887">
        <f t="shared" si="221"/>
        <v>1900</v>
      </c>
      <c r="G1560" s="888"/>
      <c r="H1560" s="889"/>
      <c r="I1560" s="888"/>
      <c r="J1560" s="888"/>
      <c r="K1560" s="980"/>
      <c r="L1560" s="77"/>
      <c r="M1560" s="78">
        <f t="shared" si="226"/>
        <v>0</v>
      </c>
      <c r="N1560" s="748"/>
      <c r="P1560" s="29" t="str">
        <f t="shared" si="222"/>
        <v>1900</v>
      </c>
      <c r="Q1560" s="29" t="str">
        <f t="shared" si="223"/>
        <v/>
      </c>
      <c r="R1560" s="29" t="str">
        <f t="shared" si="224"/>
        <v/>
      </c>
    </row>
    <row r="1561" spans="1:18">
      <c r="A1561" s="483">
        <f t="shared" si="225"/>
        <v>1557</v>
      </c>
      <c r="B1561" s="77"/>
      <c r="C1561" s="77"/>
      <c r="D1561" s="858"/>
      <c r="E1561" s="858">
        <f t="shared" si="220"/>
        <v>0</v>
      </c>
      <c r="F1561" s="887">
        <f t="shared" si="221"/>
        <v>1900</v>
      </c>
      <c r="G1561" s="888"/>
      <c r="H1561" s="889"/>
      <c r="I1561" s="888"/>
      <c r="J1561" s="888"/>
      <c r="K1561" s="980"/>
      <c r="L1561" s="77"/>
      <c r="M1561" s="78">
        <f t="shared" si="226"/>
        <v>0</v>
      </c>
      <c r="N1561" s="748"/>
      <c r="P1561" s="29" t="str">
        <f t="shared" si="222"/>
        <v>1900</v>
      </c>
      <c r="Q1561" s="29" t="str">
        <f t="shared" si="223"/>
        <v/>
      </c>
      <c r="R1561" s="29" t="str">
        <f t="shared" si="224"/>
        <v/>
      </c>
    </row>
    <row r="1562" spans="1:18">
      <c r="A1562" s="483">
        <f t="shared" si="225"/>
        <v>1558</v>
      </c>
      <c r="B1562" s="77"/>
      <c r="C1562" s="77"/>
      <c r="D1562" s="858"/>
      <c r="E1562" s="858">
        <f t="shared" si="220"/>
        <v>0</v>
      </c>
      <c r="F1562" s="887">
        <f t="shared" si="221"/>
        <v>1900</v>
      </c>
      <c r="G1562" s="888"/>
      <c r="H1562" s="889"/>
      <c r="I1562" s="888"/>
      <c r="J1562" s="888"/>
      <c r="K1562" s="980"/>
      <c r="L1562" s="77"/>
      <c r="M1562" s="78">
        <f t="shared" si="226"/>
        <v>0</v>
      </c>
      <c r="N1562" s="748"/>
      <c r="P1562" s="29" t="str">
        <f t="shared" si="222"/>
        <v>1900</v>
      </c>
      <c r="Q1562" s="29" t="str">
        <f t="shared" si="223"/>
        <v/>
      </c>
      <c r="R1562" s="29" t="str">
        <f t="shared" si="224"/>
        <v/>
      </c>
    </row>
    <row r="1563" spans="1:18">
      <c r="A1563" s="483">
        <f t="shared" si="225"/>
        <v>1559</v>
      </c>
      <c r="B1563" s="77"/>
      <c r="C1563" s="77"/>
      <c r="D1563" s="858"/>
      <c r="E1563" s="858">
        <f t="shared" si="220"/>
        <v>0</v>
      </c>
      <c r="F1563" s="887">
        <f t="shared" si="221"/>
        <v>1900</v>
      </c>
      <c r="G1563" s="888"/>
      <c r="H1563" s="889"/>
      <c r="I1563" s="888"/>
      <c r="J1563" s="888"/>
      <c r="K1563" s="980"/>
      <c r="L1563" s="77"/>
      <c r="M1563" s="78">
        <f t="shared" si="226"/>
        <v>0</v>
      </c>
      <c r="N1563" s="748"/>
      <c r="P1563" s="29" t="str">
        <f t="shared" si="222"/>
        <v>1900</v>
      </c>
      <c r="Q1563" s="29" t="str">
        <f t="shared" si="223"/>
        <v/>
      </c>
      <c r="R1563" s="29" t="str">
        <f t="shared" si="224"/>
        <v/>
      </c>
    </row>
    <row r="1564" spans="1:18">
      <c r="A1564" s="483">
        <f t="shared" si="225"/>
        <v>1560</v>
      </c>
      <c r="B1564" s="77"/>
      <c r="C1564" s="77"/>
      <c r="D1564" s="858"/>
      <c r="E1564" s="858">
        <f t="shared" si="220"/>
        <v>0</v>
      </c>
      <c r="F1564" s="887">
        <f t="shared" si="221"/>
        <v>1900</v>
      </c>
      <c r="G1564" s="888"/>
      <c r="H1564" s="889"/>
      <c r="I1564" s="888"/>
      <c r="J1564" s="888"/>
      <c r="K1564" s="980"/>
      <c r="L1564" s="77"/>
      <c r="M1564" s="78">
        <f t="shared" si="226"/>
        <v>0</v>
      </c>
      <c r="N1564" s="748"/>
      <c r="P1564" s="29" t="str">
        <f t="shared" si="222"/>
        <v>1900</v>
      </c>
      <c r="Q1564" s="29" t="str">
        <f t="shared" si="223"/>
        <v/>
      </c>
      <c r="R1564" s="29" t="str">
        <f t="shared" si="224"/>
        <v/>
      </c>
    </row>
    <row r="1565" spans="1:18">
      <c r="A1565" s="483">
        <f t="shared" si="225"/>
        <v>1561</v>
      </c>
      <c r="B1565" s="77"/>
      <c r="C1565" s="77"/>
      <c r="D1565" s="858"/>
      <c r="E1565" s="858">
        <f t="shared" si="220"/>
        <v>0</v>
      </c>
      <c r="F1565" s="887">
        <f t="shared" si="221"/>
        <v>1900</v>
      </c>
      <c r="G1565" s="888"/>
      <c r="H1565" s="889"/>
      <c r="I1565" s="888"/>
      <c r="J1565" s="888"/>
      <c r="K1565" s="980"/>
      <c r="L1565" s="77"/>
      <c r="M1565" s="78">
        <f t="shared" si="226"/>
        <v>0</v>
      </c>
      <c r="N1565" s="748"/>
      <c r="P1565" s="29" t="str">
        <f t="shared" si="222"/>
        <v>1900</v>
      </c>
      <c r="Q1565" s="29" t="str">
        <f t="shared" si="223"/>
        <v/>
      </c>
      <c r="R1565" s="29" t="str">
        <f t="shared" si="224"/>
        <v/>
      </c>
    </row>
    <row r="1566" spans="1:18">
      <c r="A1566" s="483">
        <f t="shared" si="225"/>
        <v>1562</v>
      </c>
      <c r="B1566" s="77"/>
      <c r="C1566" s="77"/>
      <c r="D1566" s="858"/>
      <c r="E1566" s="858">
        <f t="shared" si="220"/>
        <v>0</v>
      </c>
      <c r="F1566" s="887">
        <f t="shared" si="221"/>
        <v>1900</v>
      </c>
      <c r="G1566" s="888"/>
      <c r="H1566" s="889"/>
      <c r="I1566" s="888"/>
      <c r="J1566" s="888"/>
      <c r="K1566" s="980"/>
      <c r="L1566" s="77"/>
      <c r="M1566" s="78">
        <f t="shared" si="226"/>
        <v>0</v>
      </c>
      <c r="N1566" s="748"/>
      <c r="P1566" s="29" t="str">
        <f t="shared" si="222"/>
        <v>1900</v>
      </c>
      <c r="Q1566" s="29" t="str">
        <f t="shared" si="223"/>
        <v/>
      </c>
      <c r="R1566" s="29" t="str">
        <f t="shared" si="224"/>
        <v/>
      </c>
    </row>
    <row r="1567" spans="1:18">
      <c r="A1567" s="483">
        <f t="shared" si="225"/>
        <v>1563</v>
      </c>
      <c r="B1567" s="77"/>
      <c r="C1567" s="77"/>
      <c r="D1567" s="858"/>
      <c r="E1567" s="858">
        <f t="shared" si="220"/>
        <v>0</v>
      </c>
      <c r="F1567" s="887">
        <f t="shared" si="221"/>
        <v>1900</v>
      </c>
      <c r="G1567" s="888"/>
      <c r="H1567" s="889"/>
      <c r="I1567" s="888"/>
      <c r="J1567" s="888"/>
      <c r="K1567" s="980"/>
      <c r="L1567" s="77"/>
      <c r="M1567" s="78">
        <f t="shared" si="226"/>
        <v>0</v>
      </c>
      <c r="N1567" s="748"/>
      <c r="P1567" s="29" t="str">
        <f t="shared" si="222"/>
        <v>1900</v>
      </c>
      <c r="Q1567" s="29" t="str">
        <f t="shared" si="223"/>
        <v/>
      </c>
      <c r="R1567" s="29" t="str">
        <f t="shared" si="224"/>
        <v/>
      </c>
    </row>
    <row r="1568" spans="1:18">
      <c r="A1568" s="483">
        <f t="shared" si="225"/>
        <v>1564</v>
      </c>
      <c r="B1568" s="77"/>
      <c r="C1568" s="77"/>
      <c r="D1568" s="858"/>
      <c r="E1568" s="858">
        <f t="shared" si="220"/>
        <v>0</v>
      </c>
      <c r="F1568" s="887">
        <f t="shared" si="221"/>
        <v>1900</v>
      </c>
      <c r="G1568" s="888"/>
      <c r="H1568" s="889"/>
      <c r="I1568" s="888"/>
      <c r="J1568" s="888"/>
      <c r="K1568" s="980"/>
      <c r="L1568" s="77"/>
      <c r="M1568" s="78">
        <f t="shared" si="226"/>
        <v>0</v>
      </c>
      <c r="N1568" s="748"/>
      <c r="P1568" s="29" t="str">
        <f t="shared" si="222"/>
        <v>1900</v>
      </c>
      <c r="Q1568" s="29" t="str">
        <f t="shared" si="223"/>
        <v/>
      </c>
      <c r="R1568" s="29" t="str">
        <f t="shared" si="224"/>
        <v/>
      </c>
    </row>
    <row r="1569" spans="1:18">
      <c r="A1569" s="483">
        <f t="shared" si="225"/>
        <v>1565</v>
      </c>
      <c r="B1569" s="77"/>
      <c r="C1569" s="77"/>
      <c r="D1569" s="858"/>
      <c r="E1569" s="858">
        <f t="shared" si="220"/>
        <v>0</v>
      </c>
      <c r="F1569" s="887">
        <f t="shared" si="221"/>
        <v>1900</v>
      </c>
      <c r="G1569" s="888"/>
      <c r="H1569" s="889"/>
      <c r="I1569" s="888"/>
      <c r="J1569" s="888"/>
      <c r="K1569" s="980"/>
      <c r="L1569" s="77"/>
      <c r="M1569" s="78">
        <f t="shared" si="226"/>
        <v>0</v>
      </c>
      <c r="N1569" s="748"/>
      <c r="P1569" s="29" t="str">
        <f t="shared" si="222"/>
        <v>1900</v>
      </c>
      <c r="Q1569" s="29" t="str">
        <f t="shared" si="223"/>
        <v/>
      </c>
      <c r="R1569" s="29" t="str">
        <f t="shared" si="224"/>
        <v/>
      </c>
    </row>
    <row r="1570" spans="1:18">
      <c r="A1570" s="483">
        <f t="shared" si="225"/>
        <v>1566</v>
      </c>
      <c r="B1570" s="77"/>
      <c r="C1570" s="77"/>
      <c r="D1570" s="858"/>
      <c r="E1570" s="858">
        <f t="shared" si="220"/>
        <v>0</v>
      </c>
      <c r="F1570" s="887">
        <f t="shared" si="221"/>
        <v>1900</v>
      </c>
      <c r="G1570" s="888"/>
      <c r="H1570" s="889"/>
      <c r="I1570" s="888"/>
      <c r="J1570" s="888"/>
      <c r="K1570" s="980"/>
      <c r="L1570" s="77"/>
      <c r="M1570" s="78">
        <f t="shared" si="226"/>
        <v>0</v>
      </c>
      <c r="N1570" s="748"/>
      <c r="P1570" s="29" t="str">
        <f t="shared" si="222"/>
        <v>1900</v>
      </c>
      <c r="Q1570" s="29" t="str">
        <f t="shared" si="223"/>
        <v/>
      </c>
      <c r="R1570" s="29" t="str">
        <f t="shared" si="224"/>
        <v/>
      </c>
    </row>
    <row r="1571" spans="1:18">
      <c r="A1571" s="483">
        <f t="shared" si="225"/>
        <v>1567</v>
      </c>
      <c r="B1571" s="77"/>
      <c r="C1571" s="77"/>
      <c r="D1571" s="858"/>
      <c r="E1571" s="858">
        <f t="shared" si="220"/>
        <v>0</v>
      </c>
      <c r="F1571" s="887">
        <f t="shared" si="221"/>
        <v>1900</v>
      </c>
      <c r="G1571" s="888"/>
      <c r="H1571" s="889"/>
      <c r="I1571" s="888"/>
      <c r="J1571" s="888"/>
      <c r="K1571" s="980"/>
      <c r="L1571" s="77"/>
      <c r="M1571" s="78">
        <f t="shared" si="226"/>
        <v>0</v>
      </c>
      <c r="N1571" s="748"/>
      <c r="P1571" s="29" t="str">
        <f t="shared" si="222"/>
        <v>1900</v>
      </c>
      <c r="Q1571" s="29" t="str">
        <f t="shared" si="223"/>
        <v/>
      </c>
      <c r="R1571" s="29" t="str">
        <f t="shared" si="224"/>
        <v/>
      </c>
    </row>
    <row r="1572" spans="1:18">
      <c r="A1572" s="483">
        <f t="shared" si="225"/>
        <v>1568</v>
      </c>
      <c r="B1572" s="77"/>
      <c r="C1572" s="77"/>
      <c r="D1572" s="858"/>
      <c r="E1572" s="858">
        <f t="shared" si="220"/>
        <v>0</v>
      </c>
      <c r="F1572" s="887">
        <f t="shared" si="221"/>
        <v>1900</v>
      </c>
      <c r="G1572" s="888"/>
      <c r="H1572" s="889"/>
      <c r="I1572" s="888"/>
      <c r="J1572" s="888"/>
      <c r="K1572" s="980"/>
      <c r="L1572" s="77"/>
      <c r="M1572" s="78">
        <f t="shared" si="226"/>
        <v>0</v>
      </c>
      <c r="N1572" s="748"/>
      <c r="P1572" s="29" t="str">
        <f t="shared" si="222"/>
        <v>1900</v>
      </c>
      <c r="Q1572" s="29" t="str">
        <f t="shared" si="223"/>
        <v/>
      </c>
      <c r="R1572" s="29" t="str">
        <f t="shared" si="224"/>
        <v/>
      </c>
    </row>
    <row r="1573" spans="1:18">
      <c r="A1573" s="483">
        <f t="shared" si="225"/>
        <v>1569</v>
      </c>
      <c r="B1573" s="77"/>
      <c r="C1573" s="77"/>
      <c r="D1573" s="858"/>
      <c r="E1573" s="858">
        <f t="shared" si="220"/>
        <v>0</v>
      </c>
      <c r="F1573" s="887">
        <f t="shared" si="221"/>
        <v>1900</v>
      </c>
      <c r="G1573" s="888"/>
      <c r="H1573" s="889"/>
      <c r="I1573" s="888"/>
      <c r="J1573" s="888"/>
      <c r="K1573" s="980"/>
      <c r="L1573" s="77"/>
      <c r="M1573" s="78">
        <f t="shared" si="226"/>
        <v>0</v>
      </c>
      <c r="N1573" s="748"/>
      <c r="P1573" s="29" t="str">
        <f t="shared" si="222"/>
        <v>1900</v>
      </c>
      <c r="Q1573" s="29" t="str">
        <f t="shared" si="223"/>
        <v/>
      </c>
      <c r="R1573" s="29" t="str">
        <f t="shared" si="224"/>
        <v/>
      </c>
    </row>
    <row r="1574" spans="1:18">
      <c r="A1574" s="483">
        <f t="shared" si="225"/>
        <v>1570</v>
      </c>
      <c r="B1574" s="77"/>
      <c r="C1574" s="77"/>
      <c r="D1574" s="858"/>
      <c r="E1574" s="858">
        <f t="shared" si="220"/>
        <v>0</v>
      </c>
      <c r="F1574" s="887">
        <f t="shared" si="221"/>
        <v>1900</v>
      </c>
      <c r="G1574" s="888"/>
      <c r="H1574" s="889"/>
      <c r="I1574" s="888"/>
      <c r="J1574" s="888"/>
      <c r="K1574" s="980"/>
      <c r="L1574" s="77"/>
      <c r="M1574" s="78">
        <f t="shared" si="226"/>
        <v>0</v>
      </c>
      <c r="N1574" s="748"/>
      <c r="P1574" s="29" t="str">
        <f t="shared" si="222"/>
        <v>1900</v>
      </c>
      <c r="Q1574" s="29" t="str">
        <f t="shared" si="223"/>
        <v/>
      </c>
      <c r="R1574" s="29" t="str">
        <f t="shared" si="224"/>
        <v/>
      </c>
    </row>
    <row r="1575" spans="1:18">
      <c r="A1575" s="483">
        <f t="shared" si="225"/>
        <v>1571</v>
      </c>
      <c r="B1575" s="77"/>
      <c r="C1575" s="77"/>
      <c r="D1575" s="858"/>
      <c r="E1575" s="858">
        <f t="shared" si="220"/>
        <v>0</v>
      </c>
      <c r="F1575" s="887">
        <f t="shared" si="221"/>
        <v>1900</v>
      </c>
      <c r="G1575" s="888"/>
      <c r="H1575" s="889"/>
      <c r="I1575" s="888"/>
      <c r="J1575" s="888"/>
      <c r="K1575" s="980"/>
      <c r="L1575" s="77"/>
      <c r="M1575" s="78">
        <f t="shared" si="226"/>
        <v>0</v>
      </c>
      <c r="N1575" s="748"/>
      <c r="P1575" s="29" t="str">
        <f t="shared" si="222"/>
        <v>1900</v>
      </c>
      <c r="Q1575" s="29" t="str">
        <f t="shared" si="223"/>
        <v/>
      </c>
      <c r="R1575" s="29" t="str">
        <f t="shared" si="224"/>
        <v/>
      </c>
    </row>
    <row r="1576" spans="1:18">
      <c r="A1576" s="483">
        <f t="shared" si="225"/>
        <v>1572</v>
      </c>
      <c r="B1576" s="77"/>
      <c r="C1576" s="77"/>
      <c r="D1576" s="858"/>
      <c r="E1576" s="858">
        <f t="shared" si="220"/>
        <v>0</v>
      </c>
      <c r="F1576" s="887">
        <f t="shared" si="221"/>
        <v>1900</v>
      </c>
      <c r="G1576" s="888"/>
      <c r="H1576" s="889"/>
      <c r="I1576" s="888"/>
      <c r="J1576" s="888"/>
      <c r="K1576" s="980"/>
      <c r="L1576" s="77"/>
      <c r="M1576" s="78">
        <f t="shared" si="226"/>
        <v>0</v>
      </c>
      <c r="N1576" s="748"/>
      <c r="P1576" s="29" t="str">
        <f t="shared" si="222"/>
        <v>1900</v>
      </c>
      <c r="Q1576" s="29" t="str">
        <f t="shared" si="223"/>
        <v/>
      </c>
      <c r="R1576" s="29" t="str">
        <f t="shared" si="224"/>
        <v/>
      </c>
    </row>
    <row r="1577" spans="1:18">
      <c r="A1577" s="483">
        <f t="shared" si="225"/>
        <v>1573</v>
      </c>
      <c r="B1577" s="77"/>
      <c r="C1577" s="77"/>
      <c r="D1577" s="858"/>
      <c r="E1577" s="858">
        <f t="shared" si="220"/>
        <v>0</v>
      </c>
      <c r="F1577" s="887">
        <f t="shared" si="221"/>
        <v>1900</v>
      </c>
      <c r="G1577" s="888"/>
      <c r="H1577" s="889"/>
      <c r="I1577" s="888"/>
      <c r="J1577" s="888"/>
      <c r="K1577" s="980"/>
      <c r="L1577" s="77"/>
      <c r="M1577" s="78">
        <f t="shared" si="226"/>
        <v>0</v>
      </c>
      <c r="N1577" s="748"/>
      <c r="P1577" s="29" t="str">
        <f t="shared" si="222"/>
        <v>1900</v>
      </c>
      <c r="Q1577" s="29" t="str">
        <f t="shared" si="223"/>
        <v/>
      </c>
      <c r="R1577" s="29" t="str">
        <f t="shared" si="224"/>
        <v/>
      </c>
    </row>
    <row r="1578" spans="1:18">
      <c r="A1578" s="483">
        <f t="shared" si="225"/>
        <v>1574</v>
      </c>
      <c r="B1578" s="77"/>
      <c r="C1578" s="77"/>
      <c r="D1578" s="858"/>
      <c r="E1578" s="858">
        <f t="shared" si="220"/>
        <v>0</v>
      </c>
      <c r="F1578" s="887">
        <f t="shared" si="221"/>
        <v>1900</v>
      </c>
      <c r="G1578" s="888"/>
      <c r="H1578" s="889"/>
      <c r="I1578" s="888"/>
      <c r="J1578" s="888"/>
      <c r="K1578" s="980"/>
      <c r="L1578" s="77"/>
      <c r="M1578" s="78">
        <f t="shared" si="226"/>
        <v>0</v>
      </c>
      <c r="N1578" s="748"/>
      <c r="P1578" s="29" t="str">
        <f t="shared" si="222"/>
        <v>1900</v>
      </c>
      <c r="Q1578" s="29" t="str">
        <f t="shared" si="223"/>
        <v/>
      </c>
      <c r="R1578" s="29" t="str">
        <f t="shared" si="224"/>
        <v/>
      </c>
    </row>
    <row r="1579" spans="1:18">
      <c r="A1579" s="483">
        <f t="shared" si="225"/>
        <v>1575</v>
      </c>
      <c r="B1579" s="77"/>
      <c r="C1579" s="77"/>
      <c r="D1579" s="858"/>
      <c r="E1579" s="858">
        <f t="shared" si="220"/>
        <v>0</v>
      </c>
      <c r="F1579" s="887">
        <f t="shared" si="221"/>
        <v>1900</v>
      </c>
      <c r="G1579" s="888"/>
      <c r="H1579" s="889"/>
      <c r="I1579" s="888"/>
      <c r="J1579" s="888"/>
      <c r="K1579" s="980"/>
      <c r="L1579" s="77"/>
      <c r="M1579" s="78">
        <f t="shared" si="226"/>
        <v>0</v>
      </c>
      <c r="N1579" s="748"/>
      <c r="P1579" s="29" t="str">
        <f t="shared" si="222"/>
        <v>1900</v>
      </c>
      <c r="Q1579" s="29" t="str">
        <f t="shared" si="223"/>
        <v/>
      </c>
      <c r="R1579" s="29" t="str">
        <f t="shared" si="224"/>
        <v/>
      </c>
    </row>
    <row r="1580" spans="1:18">
      <c r="A1580" s="483">
        <f t="shared" si="225"/>
        <v>1576</v>
      </c>
      <c r="B1580" s="77"/>
      <c r="C1580" s="77"/>
      <c r="D1580" s="858"/>
      <c r="E1580" s="858">
        <f t="shared" si="220"/>
        <v>0</v>
      </c>
      <c r="F1580" s="887">
        <f t="shared" si="221"/>
        <v>1900</v>
      </c>
      <c r="G1580" s="888"/>
      <c r="H1580" s="889"/>
      <c r="I1580" s="888"/>
      <c r="J1580" s="888"/>
      <c r="K1580" s="980"/>
      <c r="L1580" s="77"/>
      <c r="M1580" s="78">
        <f t="shared" si="226"/>
        <v>0</v>
      </c>
      <c r="N1580" s="748"/>
      <c r="P1580" s="29" t="str">
        <f t="shared" si="222"/>
        <v>1900</v>
      </c>
      <c r="Q1580" s="29" t="str">
        <f t="shared" si="223"/>
        <v/>
      </c>
      <c r="R1580" s="29" t="str">
        <f t="shared" si="224"/>
        <v/>
      </c>
    </row>
    <row r="1581" spans="1:18">
      <c r="A1581" s="483">
        <f t="shared" si="225"/>
        <v>1577</v>
      </c>
      <c r="B1581" s="77"/>
      <c r="C1581" s="77"/>
      <c r="D1581" s="858"/>
      <c r="E1581" s="858">
        <f t="shared" si="220"/>
        <v>0</v>
      </c>
      <c r="F1581" s="887">
        <f t="shared" si="221"/>
        <v>1900</v>
      </c>
      <c r="G1581" s="888"/>
      <c r="H1581" s="889"/>
      <c r="I1581" s="888"/>
      <c r="J1581" s="888"/>
      <c r="K1581" s="980"/>
      <c r="L1581" s="77"/>
      <c r="M1581" s="78">
        <f t="shared" si="226"/>
        <v>0</v>
      </c>
      <c r="N1581" s="748"/>
      <c r="P1581" s="29" t="str">
        <f t="shared" si="222"/>
        <v>1900</v>
      </c>
      <c r="Q1581" s="29" t="str">
        <f t="shared" si="223"/>
        <v/>
      </c>
      <c r="R1581" s="29" t="str">
        <f t="shared" si="224"/>
        <v/>
      </c>
    </row>
    <row r="1582" spans="1:18">
      <c r="A1582" s="483">
        <f t="shared" si="225"/>
        <v>1578</v>
      </c>
      <c r="B1582" s="77"/>
      <c r="C1582" s="77"/>
      <c r="D1582" s="858"/>
      <c r="E1582" s="858">
        <f t="shared" si="220"/>
        <v>0</v>
      </c>
      <c r="F1582" s="887">
        <f t="shared" si="221"/>
        <v>1900</v>
      </c>
      <c r="G1582" s="888"/>
      <c r="H1582" s="889"/>
      <c r="I1582" s="888"/>
      <c r="J1582" s="888"/>
      <c r="K1582" s="980"/>
      <c r="L1582" s="77"/>
      <c r="M1582" s="78">
        <f t="shared" si="226"/>
        <v>0</v>
      </c>
      <c r="N1582" s="748"/>
      <c r="P1582" s="29" t="str">
        <f t="shared" si="222"/>
        <v>1900</v>
      </c>
      <c r="Q1582" s="29" t="str">
        <f t="shared" si="223"/>
        <v/>
      </c>
      <c r="R1582" s="29" t="str">
        <f t="shared" si="224"/>
        <v/>
      </c>
    </row>
    <row r="1583" spans="1:18">
      <c r="A1583" s="483">
        <f t="shared" si="225"/>
        <v>1579</v>
      </c>
      <c r="B1583" s="77"/>
      <c r="C1583" s="77"/>
      <c r="D1583" s="858"/>
      <c r="E1583" s="858">
        <f t="shared" ref="E1583:E1646" si="227">DAY(C1583)</f>
        <v>0</v>
      </c>
      <c r="F1583" s="887">
        <f t="shared" ref="F1583:F1646" si="228">YEAR(C1583)</f>
        <v>1900</v>
      </c>
      <c r="G1583" s="888"/>
      <c r="H1583" s="889"/>
      <c r="I1583" s="888"/>
      <c r="J1583" s="888"/>
      <c r="K1583" s="980"/>
      <c r="L1583" s="77"/>
      <c r="M1583" s="78">
        <f t="shared" si="226"/>
        <v>0</v>
      </c>
      <c r="N1583" s="748"/>
      <c r="P1583" s="29" t="str">
        <f t="shared" ref="P1583:P1646" si="229">CONCATENATE(F1583,H1583)</f>
        <v>1900</v>
      </c>
      <c r="Q1583" s="29" t="str">
        <f t="shared" ref="Q1583:Q1646" si="230">CONCATENATE(H1583,K1583)</f>
        <v/>
      </c>
      <c r="R1583" s="29" t="str">
        <f t="shared" ref="R1583:R1646" si="231">CONCATENATE(D1583,H1583)</f>
        <v/>
      </c>
    </row>
    <row r="1584" spans="1:18">
      <c r="A1584" s="483">
        <f t="shared" si="225"/>
        <v>1580</v>
      </c>
      <c r="B1584" s="77"/>
      <c r="C1584" s="77"/>
      <c r="D1584" s="858"/>
      <c r="E1584" s="858">
        <f t="shared" si="227"/>
        <v>0</v>
      </c>
      <c r="F1584" s="887">
        <f t="shared" si="228"/>
        <v>1900</v>
      </c>
      <c r="G1584" s="888"/>
      <c r="H1584" s="889"/>
      <c r="I1584" s="888"/>
      <c r="J1584" s="888"/>
      <c r="K1584" s="980"/>
      <c r="L1584" s="77"/>
      <c r="M1584" s="78">
        <f t="shared" si="226"/>
        <v>0</v>
      </c>
      <c r="N1584" s="748"/>
      <c r="P1584" s="29" t="str">
        <f t="shared" si="229"/>
        <v>1900</v>
      </c>
      <c r="Q1584" s="29" t="str">
        <f t="shared" si="230"/>
        <v/>
      </c>
      <c r="R1584" s="29" t="str">
        <f t="shared" si="231"/>
        <v/>
      </c>
    </row>
    <row r="1585" spans="1:18">
      <c r="A1585" s="483">
        <f t="shared" si="225"/>
        <v>1581</v>
      </c>
      <c r="B1585" s="77"/>
      <c r="C1585" s="77"/>
      <c r="D1585" s="858"/>
      <c r="E1585" s="858">
        <f t="shared" si="227"/>
        <v>0</v>
      </c>
      <c r="F1585" s="887">
        <f t="shared" si="228"/>
        <v>1900</v>
      </c>
      <c r="G1585" s="888"/>
      <c r="H1585" s="889"/>
      <c r="I1585" s="888"/>
      <c r="J1585" s="888"/>
      <c r="K1585" s="980"/>
      <c r="L1585" s="77"/>
      <c r="M1585" s="78">
        <f t="shared" si="226"/>
        <v>0</v>
      </c>
      <c r="N1585" s="748"/>
      <c r="P1585" s="29" t="str">
        <f t="shared" si="229"/>
        <v>1900</v>
      </c>
      <c r="Q1585" s="29" t="str">
        <f t="shared" si="230"/>
        <v/>
      </c>
      <c r="R1585" s="29" t="str">
        <f t="shared" si="231"/>
        <v/>
      </c>
    </row>
    <row r="1586" spans="1:18">
      <c r="A1586" s="483">
        <f t="shared" si="225"/>
        <v>1582</v>
      </c>
      <c r="B1586" s="77"/>
      <c r="C1586" s="77"/>
      <c r="D1586" s="858"/>
      <c r="E1586" s="858">
        <f t="shared" si="227"/>
        <v>0</v>
      </c>
      <c r="F1586" s="887">
        <f t="shared" si="228"/>
        <v>1900</v>
      </c>
      <c r="G1586" s="888"/>
      <c r="H1586" s="889"/>
      <c r="I1586" s="888"/>
      <c r="J1586" s="888"/>
      <c r="K1586" s="980"/>
      <c r="L1586" s="77"/>
      <c r="M1586" s="78">
        <f t="shared" si="226"/>
        <v>0</v>
      </c>
      <c r="N1586" s="748"/>
      <c r="P1586" s="29" t="str">
        <f t="shared" si="229"/>
        <v>1900</v>
      </c>
      <c r="Q1586" s="29" t="str">
        <f t="shared" si="230"/>
        <v/>
      </c>
      <c r="R1586" s="29" t="str">
        <f t="shared" si="231"/>
        <v/>
      </c>
    </row>
    <row r="1587" spans="1:18">
      <c r="A1587" s="483">
        <f t="shared" si="225"/>
        <v>1583</v>
      </c>
      <c r="B1587" s="77"/>
      <c r="C1587" s="77"/>
      <c r="D1587" s="858"/>
      <c r="E1587" s="858">
        <f t="shared" si="227"/>
        <v>0</v>
      </c>
      <c r="F1587" s="887">
        <f t="shared" si="228"/>
        <v>1900</v>
      </c>
      <c r="G1587" s="888"/>
      <c r="H1587" s="889"/>
      <c r="I1587" s="888"/>
      <c r="J1587" s="888"/>
      <c r="K1587" s="980"/>
      <c r="L1587" s="77"/>
      <c r="M1587" s="78">
        <f t="shared" si="226"/>
        <v>0</v>
      </c>
      <c r="N1587" s="748"/>
      <c r="P1587" s="29" t="str">
        <f t="shared" si="229"/>
        <v>1900</v>
      </c>
      <c r="Q1587" s="29" t="str">
        <f t="shared" si="230"/>
        <v/>
      </c>
      <c r="R1587" s="29" t="str">
        <f t="shared" si="231"/>
        <v/>
      </c>
    </row>
    <row r="1588" spans="1:18">
      <c r="A1588" s="483">
        <f t="shared" si="225"/>
        <v>1584</v>
      </c>
      <c r="B1588" s="77"/>
      <c r="C1588" s="77"/>
      <c r="D1588" s="858"/>
      <c r="E1588" s="858">
        <f t="shared" si="227"/>
        <v>0</v>
      </c>
      <c r="F1588" s="887">
        <f t="shared" si="228"/>
        <v>1900</v>
      </c>
      <c r="G1588" s="888"/>
      <c r="H1588" s="889"/>
      <c r="I1588" s="888"/>
      <c r="J1588" s="888"/>
      <c r="K1588" s="980"/>
      <c r="L1588" s="77"/>
      <c r="M1588" s="78">
        <f t="shared" si="226"/>
        <v>0</v>
      </c>
      <c r="N1588" s="748"/>
      <c r="P1588" s="29" t="str">
        <f t="shared" si="229"/>
        <v>1900</v>
      </c>
      <c r="Q1588" s="29" t="str">
        <f t="shared" si="230"/>
        <v/>
      </c>
      <c r="R1588" s="29" t="str">
        <f t="shared" si="231"/>
        <v/>
      </c>
    </row>
    <row r="1589" spans="1:18">
      <c r="A1589" s="483">
        <f t="shared" si="225"/>
        <v>1585</v>
      </c>
      <c r="B1589" s="77"/>
      <c r="C1589" s="77"/>
      <c r="D1589" s="858"/>
      <c r="E1589" s="858">
        <f t="shared" si="227"/>
        <v>0</v>
      </c>
      <c r="F1589" s="887">
        <f t="shared" si="228"/>
        <v>1900</v>
      </c>
      <c r="G1589" s="888"/>
      <c r="H1589" s="889"/>
      <c r="I1589" s="888"/>
      <c r="J1589" s="888"/>
      <c r="K1589" s="980"/>
      <c r="L1589" s="77"/>
      <c r="M1589" s="78">
        <f t="shared" si="226"/>
        <v>0</v>
      </c>
      <c r="N1589" s="748"/>
      <c r="P1589" s="29" t="str">
        <f t="shared" si="229"/>
        <v>1900</v>
      </c>
      <c r="Q1589" s="29" t="str">
        <f t="shared" si="230"/>
        <v/>
      </c>
      <c r="R1589" s="29" t="str">
        <f t="shared" si="231"/>
        <v/>
      </c>
    </row>
    <row r="1590" spans="1:18">
      <c r="A1590" s="483">
        <f t="shared" si="225"/>
        <v>1586</v>
      </c>
      <c r="B1590" s="77"/>
      <c r="C1590" s="77"/>
      <c r="D1590" s="858"/>
      <c r="E1590" s="858">
        <f t="shared" si="227"/>
        <v>0</v>
      </c>
      <c r="F1590" s="887">
        <f t="shared" si="228"/>
        <v>1900</v>
      </c>
      <c r="G1590" s="888"/>
      <c r="H1590" s="889"/>
      <c r="I1590" s="888"/>
      <c r="J1590" s="888"/>
      <c r="K1590" s="980"/>
      <c r="L1590" s="77"/>
      <c r="M1590" s="78">
        <f t="shared" si="226"/>
        <v>0</v>
      </c>
      <c r="N1590" s="748"/>
      <c r="P1590" s="29" t="str">
        <f t="shared" si="229"/>
        <v>1900</v>
      </c>
      <c r="Q1590" s="29" t="str">
        <f t="shared" si="230"/>
        <v/>
      </c>
      <c r="R1590" s="29" t="str">
        <f t="shared" si="231"/>
        <v/>
      </c>
    </row>
    <row r="1591" spans="1:18">
      <c r="A1591" s="483">
        <f t="shared" si="225"/>
        <v>1587</v>
      </c>
      <c r="B1591" s="77"/>
      <c r="C1591" s="77"/>
      <c r="D1591" s="858"/>
      <c r="E1591" s="858">
        <f t="shared" si="227"/>
        <v>0</v>
      </c>
      <c r="F1591" s="887">
        <f t="shared" si="228"/>
        <v>1900</v>
      </c>
      <c r="G1591" s="888"/>
      <c r="H1591" s="889"/>
      <c r="I1591" s="888"/>
      <c r="J1591" s="888"/>
      <c r="K1591" s="980"/>
      <c r="L1591" s="77"/>
      <c r="M1591" s="78">
        <f t="shared" si="226"/>
        <v>0</v>
      </c>
      <c r="N1591" s="748"/>
      <c r="P1591" s="29" t="str">
        <f t="shared" si="229"/>
        <v>1900</v>
      </c>
      <c r="Q1591" s="29" t="str">
        <f t="shared" si="230"/>
        <v/>
      </c>
      <c r="R1591" s="29" t="str">
        <f t="shared" si="231"/>
        <v/>
      </c>
    </row>
    <row r="1592" spans="1:18">
      <c r="A1592" s="483">
        <f t="shared" si="225"/>
        <v>1588</v>
      </c>
      <c r="B1592" s="77"/>
      <c r="C1592" s="77"/>
      <c r="D1592" s="858"/>
      <c r="E1592" s="858">
        <f t="shared" si="227"/>
        <v>0</v>
      </c>
      <c r="F1592" s="887">
        <f t="shared" si="228"/>
        <v>1900</v>
      </c>
      <c r="G1592" s="888"/>
      <c r="H1592" s="889"/>
      <c r="I1592" s="888"/>
      <c r="J1592" s="888"/>
      <c r="K1592" s="980"/>
      <c r="L1592" s="77"/>
      <c r="M1592" s="78">
        <f t="shared" si="226"/>
        <v>0</v>
      </c>
      <c r="N1592" s="748"/>
      <c r="P1592" s="29" t="str">
        <f t="shared" si="229"/>
        <v>1900</v>
      </c>
      <c r="Q1592" s="29" t="str">
        <f t="shared" si="230"/>
        <v/>
      </c>
      <c r="R1592" s="29" t="str">
        <f t="shared" si="231"/>
        <v/>
      </c>
    </row>
    <row r="1593" spans="1:18">
      <c r="A1593" s="483">
        <f t="shared" si="225"/>
        <v>1589</v>
      </c>
      <c r="B1593" s="77"/>
      <c r="C1593" s="77"/>
      <c r="D1593" s="858"/>
      <c r="E1593" s="858">
        <f t="shared" si="227"/>
        <v>0</v>
      </c>
      <c r="F1593" s="887">
        <f t="shared" si="228"/>
        <v>1900</v>
      </c>
      <c r="G1593" s="888"/>
      <c r="H1593" s="889"/>
      <c r="I1593" s="888"/>
      <c r="J1593" s="888"/>
      <c r="K1593" s="980"/>
      <c r="L1593" s="77"/>
      <c r="M1593" s="78">
        <f t="shared" si="226"/>
        <v>0</v>
      </c>
      <c r="N1593" s="748"/>
      <c r="P1593" s="29" t="str">
        <f t="shared" si="229"/>
        <v>1900</v>
      </c>
      <c r="Q1593" s="29" t="str">
        <f t="shared" si="230"/>
        <v/>
      </c>
      <c r="R1593" s="29" t="str">
        <f t="shared" si="231"/>
        <v/>
      </c>
    </row>
    <row r="1594" spans="1:18">
      <c r="A1594" s="483">
        <f t="shared" si="225"/>
        <v>1590</v>
      </c>
      <c r="B1594" s="77"/>
      <c r="C1594" s="77"/>
      <c r="D1594" s="858"/>
      <c r="E1594" s="858">
        <f t="shared" si="227"/>
        <v>0</v>
      </c>
      <c r="F1594" s="887">
        <f t="shared" si="228"/>
        <v>1900</v>
      </c>
      <c r="G1594" s="888"/>
      <c r="H1594" s="889"/>
      <c r="I1594" s="888"/>
      <c r="J1594" s="888"/>
      <c r="K1594" s="980"/>
      <c r="L1594" s="77"/>
      <c r="M1594" s="78">
        <f t="shared" si="226"/>
        <v>0</v>
      </c>
      <c r="N1594" s="748"/>
      <c r="P1594" s="29" t="str">
        <f t="shared" si="229"/>
        <v>1900</v>
      </c>
      <c r="Q1594" s="29" t="str">
        <f t="shared" si="230"/>
        <v/>
      </c>
      <c r="R1594" s="29" t="str">
        <f t="shared" si="231"/>
        <v/>
      </c>
    </row>
    <row r="1595" spans="1:18">
      <c r="A1595" s="483">
        <f t="shared" si="225"/>
        <v>1591</v>
      </c>
      <c r="B1595" s="77"/>
      <c r="C1595" s="77"/>
      <c r="D1595" s="858"/>
      <c r="E1595" s="858">
        <f t="shared" si="227"/>
        <v>0</v>
      </c>
      <c r="F1595" s="887">
        <f t="shared" si="228"/>
        <v>1900</v>
      </c>
      <c r="G1595" s="888"/>
      <c r="H1595" s="889"/>
      <c r="I1595" s="888"/>
      <c r="J1595" s="888"/>
      <c r="K1595" s="980"/>
      <c r="L1595" s="77"/>
      <c r="M1595" s="78">
        <f t="shared" si="226"/>
        <v>0</v>
      </c>
      <c r="N1595" s="748"/>
      <c r="P1595" s="29" t="str">
        <f t="shared" si="229"/>
        <v>1900</v>
      </c>
      <c r="Q1595" s="29" t="str">
        <f t="shared" si="230"/>
        <v/>
      </c>
      <c r="R1595" s="29" t="str">
        <f t="shared" si="231"/>
        <v/>
      </c>
    </row>
    <row r="1596" spans="1:18">
      <c r="A1596" s="483">
        <f t="shared" si="225"/>
        <v>1592</v>
      </c>
      <c r="B1596" s="77"/>
      <c r="C1596" s="77"/>
      <c r="D1596" s="858"/>
      <c r="E1596" s="858">
        <f t="shared" si="227"/>
        <v>0</v>
      </c>
      <c r="F1596" s="887">
        <f t="shared" si="228"/>
        <v>1900</v>
      </c>
      <c r="G1596" s="888"/>
      <c r="H1596" s="889"/>
      <c r="I1596" s="888"/>
      <c r="J1596" s="888"/>
      <c r="K1596" s="980"/>
      <c r="L1596" s="77"/>
      <c r="M1596" s="78">
        <f t="shared" si="226"/>
        <v>0</v>
      </c>
      <c r="N1596" s="748"/>
      <c r="P1596" s="29" t="str">
        <f t="shared" si="229"/>
        <v>1900</v>
      </c>
      <c r="Q1596" s="29" t="str">
        <f t="shared" si="230"/>
        <v/>
      </c>
      <c r="R1596" s="29" t="str">
        <f t="shared" si="231"/>
        <v/>
      </c>
    </row>
    <row r="1597" spans="1:18">
      <c r="A1597" s="483">
        <f t="shared" si="225"/>
        <v>1593</v>
      </c>
      <c r="B1597" s="77"/>
      <c r="C1597" s="77"/>
      <c r="D1597" s="858"/>
      <c r="E1597" s="858">
        <f t="shared" si="227"/>
        <v>0</v>
      </c>
      <c r="F1597" s="887">
        <f t="shared" si="228"/>
        <v>1900</v>
      </c>
      <c r="G1597" s="888"/>
      <c r="H1597" s="889"/>
      <c r="I1597" s="888"/>
      <c r="J1597" s="888"/>
      <c r="K1597" s="980"/>
      <c r="L1597" s="77"/>
      <c r="M1597" s="78">
        <f t="shared" si="226"/>
        <v>0</v>
      </c>
      <c r="N1597" s="748"/>
      <c r="P1597" s="29" t="str">
        <f t="shared" si="229"/>
        <v>1900</v>
      </c>
      <c r="Q1597" s="29" t="str">
        <f t="shared" si="230"/>
        <v/>
      </c>
      <c r="R1597" s="29" t="str">
        <f t="shared" si="231"/>
        <v/>
      </c>
    </row>
    <row r="1598" spans="1:18">
      <c r="A1598" s="483">
        <f t="shared" si="225"/>
        <v>1594</v>
      </c>
      <c r="B1598" s="77"/>
      <c r="C1598" s="77"/>
      <c r="D1598" s="858"/>
      <c r="E1598" s="858">
        <f t="shared" si="227"/>
        <v>0</v>
      </c>
      <c r="F1598" s="887">
        <f t="shared" si="228"/>
        <v>1900</v>
      </c>
      <c r="G1598" s="888"/>
      <c r="H1598" s="889"/>
      <c r="I1598" s="888"/>
      <c r="J1598" s="888"/>
      <c r="K1598" s="980"/>
      <c r="L1598" s="77"/>
      <c r="M1598" s="78">
        <f t="shared" si="226"/>
        <v>0</v>
      </c>
      <c r="N1598" s="748"/>
      <c r="P1598" s="29" t="str">
        <f t="shared" si="229"/>
        <v>1900</v>
      </c>
      <c r="Q1598" s="29" t="str">
        <f t="shared" si="230"/>
        <v/>
      </c>
      <c r="R1598" s="29" t="str">
        <f t="shared" si="231"/>
        <v/>
      </c>
    </row>
    <row r="1599" spans="1:18">
      <c r="A1599" s="483">
        <f t="shared" si="225"/>
        <v>1595</v>
      </c>
      <c r="B1599" s="77"/>
      <c r="C1599" s="77"/>
      <c r="D1599" s="858"/>
      <c r="E1599" s="858">
        <f t="shared" si="227"/>
        <v>0</v>
      </c>
      <c r="F1599" s="887">
        <f t="shared" si="228"/>
        <v>1900</v>
      </c>
      <c r="G1599" s="888"/>
      <c r="H1599" s="889"/>
      <c r="I1599" s="888"/>
      <c r="J1599" s="888"/>
      <c r="K1599" s="980"/>
      <c r="L1599" s="77"/>
      <c r="M1599" s="78">
        <f t="shared" si="226"/>
        <v>0</v>
      </c>
      <c r="N1599" s="748"/>
      <c r="P1599" s="29" t="str">
        <f t="shared" si="229"/>
        <v>1900</v>
      </c>
      <c r="Q1599" s="29" t="str">
        <f t="shared" si="230"/>
        <v/>
      </c>
      <c r="R1599" s="29" t="str">
        <f t="shared" si="231"/>
        <v/>
      </c>
    </row>
    <row r="1600" spans="1:18">
      <c r="A1600" s="483">
        <f t="shared" si="225"/>
        <v>1596</v>
      </c>
      <c r="B1600" s="77"/>
      <c r="C1600" s="77"/>
      <c r="D1600" s="858"/>
      <c r="E1600" s="858">
        <f t="shared" si="227"/>
        <v>0</v>
      </c>
      <c r="F1600" s="887">
        <f t="shared" si="228"/>
        <v>1900</v>
      </c>
      <c r="G1600" s="888"/>
      <c r="H1600" s="889"/>
      <c r="I1600" s="888"/>
      <c r="J1600" s="888"/>
      <c r="K1600" s="980"/>
      <c r="L1600" s="77"/>
      <c r="M1600" s="78">
        <f t="shared" si="226"/>
        <v>0</v>
      </c>
      <c r="N1600" s="748"/>
      <c r="P1600" s="29" t="str">
        <f t="shared" si="229"/>
        <v>1900</v>
      </c>
      <c r="Q1600" s="29" t="str">
        <f t="shared" si="230"/>
        <v/>
      </c>
      <c r="R1600" s="29" t="str">
        <f t="shared" si="231"/>
        <v/>
      </c>
    </row>
    <row r="1601" spans="1:18">
      <c r="A1601" s="483">
        <f t="shared" si="225"/>
        <v>1597</v>
      </c>
      <c r="B1601" s="77"/>
      <c r="C1601" s="77"/>
      <c r="D1601" s="858"/>
      <c r="E1601" s="858">
        <f t="shared" si="227"/>
        <v>0</v>
      </c>
      <c r="F1601" s="887">
        <f t="shared" si="228"/>
        <v>1900</v>
      </c>
      <c r="G1601" s="888"/>
      <c r="H1601" s="889"/>
      <c r="I1601" s="888"/>
      <c r="J1601" s="888"/>
      <c r="K1601" s="980"/>
      <c r="L1601" s="77"/>
      <c r="M1601" s="78">
        <f t="shared" si="226"/>
        <v>0</v>
      </c>
      <c r="N1601" s="748"/>
      <c r="P1601" s="29" t="str">
        <f t="shared" si="229"/>
        <v>1900</v>
      </c>
      <c r="Q1601" s="29" t="str">
        <f t="shared" si="230"/>
        <v/>
      </c>
      <c r="R1601" s="29" t="str">
        <f t="shared" si="231"/>
        <v/>
      </c>
    </row>
    <row r="1602" spans="1:18">
      <c r="A1602" s="483">
        <f t="shared" si="225"/>
        <v>1598</v>
      </c>
      <c r="B1602" s="77"/>
      <c r="C1602" s="77"/>
      <c r="D1602" s="858"/>
      <c r="E1602" s="858">
        <f t="shared" si="227"/>
        <v>0</v>
      </c>
      <c r="F1602" s="887">
        <f t="shared" si="228"/>
        <v>1900</v>
      </c>
      <c r="G1602" s="888"/>
      <c r="H1602" s="889"/>
      <c r="I1602" s="888"/>
      <c r="J1602" s="888"/>
      <c r="K1602" s="980"/>
      <c r="L1602" s="77"/>
      <c r="M1602" s="78">
        <f t="shared" si="226"/>
        <v>0</v>
      </c>
      <c r="N1602" s="748"/>
      <c r="P1602" s="29" t="str">
        <f t="shared" si="229"/>
        <v>1900</v>
      </c>
      <c r="Q1602" s="29" t="str">
        <f t="shared" si="230"/>
        <v/>
      </c>
      <c r="R1602" s="29" t="str">
        <f t="shared" si="231"/>
        <v/>
      </c>
    </row>
    <row r="1603" spans="1:18">
      <c r="A1603" s="483">
        <f t="shared" si="225"/>
        <v>1599</v>
      </c>
      <c r="B1603" s="77"/>
      <c r="C1603" s="77"/>
      <c r="D1603" s="858"/>
      <c r="E1603" s="858">
        <f t="shared" si="227"/>
        <v>0</v>
      </c>
      <c r="F1603" s="887">
        <f t="shared" si="228"/>
        <v>1900</v>
      </c>
      <c r="G1603" s="888"/>
      <c r="H1603" s="889"/>
      <c r="I1603" s="888"/>
      <c r="J1603" s="888"/>
      <c r="K1603" s="980"/>
      <c r="L1603" s="77"/>
      <c r="M1603" s="78">
        <f t="shared" si="226"/>
        <v>0</v>
      </c>
      <c r="N1603" s="748"/>
      <c r="P1603" s="29" t="str">
        <f t="shared" si="229"/>
        <v>1900</v>
      </c>
      <c r="Q1603" s="29" t="str">
        <f t="shared" si="230"/>
        <v/>
      </c>
      <c r="R1603" s="29" t="str">
        <f t="shared" si="231"/>
        <v/>
      </c>
    </row>
    <row r="1604" spans="1:18">
      <c r="A1604" s="483">
        <f t="shared" si="225"/>
        <v>1600</v>
      </c>
      <c r="B1604" s="77"/>
      <c r="C1604" s="77"/>
      <c r="D1604" s="858"/>
      <c r="E1604" s="858">
        <f t="shared" si="227"/>
        <v>0</v>
      </c>
      <c r="F1604" s="887">
        <f t="shared" si="228"/>
        <v>1900</v>
      </c>
      <c r="G1604" s="888"/>
      <c r="H1604" s="889"/>
      <c r="I1604" s="888"/>
      <c r="J1604" s="888"/>
      <c r="K1604" s="980"/>
      <c r="L1604" s="77"/>
      <c r="M1604" s="78">
        <f t="shared" si="226"/>
        <v>0</v>
      </c>
      <c r="N1604" s="748"/>
      <c r="P1604" s="29" t="str">
        <f t="shared" si="229"/>
        <v>1900</v>
      </c>
      <c r="Q1604" s="29" t="str">
        <f t="shared" si="230"/>
        <v/>
      </c>
      <c r="R1604" s="29" t="str">
        <f t="shared" si="231"/>
        <v/>
      </c>
    </row>
    <row r="1605" spans="1:18">
      <c r="A1605" s="483">
        <f t="shared" si="225"/>
        <v>1601</v>
      </c>
      <c r="B1605" s="77"/>
      <c r="C1605" s="77"/>
      <c r="D1605" s="858"/>
      <c r="E1605" s="858">
        <f t="shared" si="227"/>
        <v>0</v>
      </c>
      <c r="F1605" s="887">
        <f t="shared" si="228"/>
        <v>1900</v>
      </c>
      <c r="G1605" s="888"/>
      <c r="H1605" s="889"/>
      <c r="I1605" s="888"/>
      <c r="J1605" s="888"/>
      <c r="K1605" s="980"/>
      <c r="L1605" s="77"/>
      <c r="M1605" s="78">
        <f t="shared" si="226"/>
        <v>0</v>
      </c>
      <c r="N1605" s="748"/>
      <c r="P1605" s="29" t="str">
        <f t="shared" si="229"/>
        <v>1900</v>
      </c>
      <c r="Q1605" s="29" t="str">
        <f t="shared" si="230"/>
        <v/>
      </c>
      <c r="R1605" s="29" t="str">
        <f t="shared" si="231"/>
        <v/>
      </c>
    </row>
    <row r="1606" spans="1:18">
      <c r="A1606" s="483">
        <f t="shared" si="225"/>
        <v>1602</v>
      </c>
      <c r="B1606" s="77"/>
      <c r="C1606" s="77"/>
      <c r="D1606" s="858"/>
      <c r="E1606" s="858">
        <f t="shared" si="227"/>
        <v>0</v>
      </c>
      <c r="F1606" s="887">
        <f t="shared" si="228"/>
        <v>1900</v>
      </c>
      <c r="G1606" s="888"/>
      <c r="H1606" s="889"/>
      <c r="I1606" s="888"/>
      <c r="J1606" s="888"/>
      <c r="K1606" s="980"/>
      <c r="L1606" s="77"/>
      <c r="M1606" s="78">
        <f t="shared" si="226"/>
        <v>0</v>
      </c>
      <c r="N1606" s="748"/>
      <c r="P1606" s="29" t="str">
        <f t="shared" si="229"/>
        <v>1900</v>
      </c>
      <c r="Q1606" s="29" t="str">
        <f t="shared" si="230"/>
        <v/>
      </c>
      <c r="R1606" s="29" t="str">
        <f t="shared" si="231"/>
        <v/>
      </c>
    </row>
    <row r="1607" spans="1:18">
      <c r="A1607" s="483">
        <f t="shared" si="225"/>
        <v>1603</v>
      </c>
      <c r="B1607" s="77"/>
      <c r="C1607" s="77"/>
      <c r="D1607" s="858"/>
      <c r="E1607" s="858">
        <f t="shared" si="227"/>
        <v>0</v>
      </c>
      <c r="F1607" s="887">
        <f t="shared" si="228"/>
        <v>1900</v>
      </c>
      <c r="G1607" s="888"/>
      <c r="H1607" s="889"/>
      <c r="I1607" s="888"/>
      <c r="J1607" s="888"/>
      <c r="K1607" s="980"/>
      <c r="L1607" s="77"/>
      <c r="M1607" s="78">
        <f t="shared" si="226"/>
        <v>0</v>
      </c>
      <c r="N1607" s="748"/>
      <c r="P1607" s="29" t="str">
        <f t="shared" si="229"/>
        <v>1900</v>
      </c>
      <c r="Q1607" s="29" t="str">
        <f t="shared" si="230"/>
        <v/>
      </c>
      <c r="R1607" s="29" t="str">
        <f t="shared" si="231"/>
        <v/>
      </c>
    </row>
    <row r="1608" spans="1:18">
      <c r="A1608" s="483">
        <f t="shared" ref="A1608:A1671" si="232">+A1607+1</f>
        <v>1604</v>
      </c>
      <c r="B1608" s="77"/>
      <c r="C1608" s="77"/>
      <c r="D1608" s="858"/>
      <c r="E1608" s="858">
        <f t="shared" si="227"/>
        <v>0</v>
      </c>
      <c r="F1608" s="887">
        <f t="shared" si="228"/>
        <v>1900</v>
      </c>
      <c r="G1608" s="888"/>
      <c r="H1608" s="889"/>
      <c r="I1608" s="888"/>
      <c r="J1608" s="888"/>
      <c r="K1608" s="980"/>
      <c r="L1608" s="77"/>
      <c r="M1608" s="78">
        <f t="shared" si="226"/>
        <v>0</v>
      </c>
      <c r="N1608" s="748"/>
      <c r="P1608" s="29" t="str">
        <f t="shared" si="229"/>
        <v>1900</v>
      </c>
      <c r="Q1608" s="29" t="str">
        <f t="shared" si="230"/>
        <v/>
      </c>
      <c r="R1608" s="29" t="str">
        <f t="shared" si="231"/>
        <v/>
      </c>
    </row>
    <row r="1609" spans="1:18">
      <c r="A1609" s="483">
        <f t="shared" si="232"/>
        <v>1605</v>
      </c>
      <c r="B1609" s="77"/>
      <c r="C1609" s="77"/>
      <c r="D1609" s="858"/>
      <c r="E1609" s="858">
        <f t="shared" si="227"/>
        <v>0</v>
      </c>
      <c r="F1609" s="887">
        <f t="shared" si="228"/>
        <v>1900</v>
      </c>
      <c r="G1609" s="888"/>
      <c r="H1609" s="889"/>
      <c r="I1609" s="888"/>
      <c r="J1609" s="888"/>
      <c r="K1609" s="980"/>
      <c r="L1609" s="77"/>
      <c r="M1609" s="78">
        <f t="shared" si="226"/>
        <v>0</v>
      </c>
      <c r="N1609" s="748"/>
      <c r="P1609" s="29" t="str">
        <f t="shared" si="229"/>
        <v>1900</v>
      </c>
      <c r="Q1609" s="29" t="str">
        <f t="shared" si="230"/>
        <v/>
      </c>
      <c r="R1609" s="29" t="str">
        <f t="shared" si="231"/>
        <v/>
      </c>
    </row>
    <row r="1610" spans="1:18">
      <c r="A1610" s="483">
        <f t="shared" si="232"/>
        <v>1606</v>
      </c>
      <c r="B1610" s="77"/>
      <c r="C1610" s="77"/>
      <c r="D1610" s="858"/>
      <c r="E1610" s="858">
        <f t="shared" si="227"/>
        <v>0</v>
      </c>
      <c r="F1610" s="887">
        <f t="shared" si="228"/>
        <v>1900</v>
      </c>
      <c r="G1610" s="888"/>
      <c r="H1610" s="889"/>
      <c r="I1610" s="888"/>
      <c r="J1610" s="888"/>
      <c r="K1610" s="980"/>
      <c r="L1610" s="77"/>
      <c r="M1610" s="78">
        <f t="shared" si="226"/>
        <v>0</v>
      </c>
      <c r="N1610" s="748"/>
      <c r="P1610" s="29" t="str">
        <f t="shared" si="229"/>
        <v>1900</v>
      </c>
      <c r="Q1610" s="29" t="str">
        <f t="shared" si="230"/>
        <v/>
      </c>
      <c r="R1610" s="29" t="str">
        <f t="shared" si="231"/>
        <v/>
      </c>
    </row>
    <row r="1611" spans="1:18">
      <c r="A1611" s="483">
        <f t="shared" si="232"/>
        <v>1607</v>
      </c>
      <c r="B1611" s="77"/>
      <c r="C1611" s="77"/>
      <c r="D1611" s="858"/>
      <c r="E1611" s="858">
        <f t="shared" si="227"/>
        <v>0</v>
      </c>
      <c r="F1611" s="887">
        <f t="shared" si="228"/>
        <v>1900</v>
      </c>
      <c r="G1611" s="888"/>
      <c r="H1611" s="889"/>
      <c r="I1611" s="888"/>
      <c r="J1611" s="888"/>
      <c r="K1611" s="980"/>
      <c r="L1611" s="77"/>
      <c r="M1611" s="78">
        <f t="shared" si="226"/>
        <v>0</v>
      </c>
      <c r="N1611" s="748"/>
      <c r="P1611" s="29" t="str">
        <f t="shared" si="229"/>
        <v>1900</v>
      </c>
      <c r="Q1611" s="29" t="str">
        <f t="shared" si="230"/>
        <v/>
      </c>
      <c r="R1611" s="29" t="str">
        <f t="shared" si="231"/>
        <v/>
      </c>
    </row>
    <row r="1612" spans="1:18">
      <c r="A1612" s="483">
        <f t="shared" si="232"/>
        <v>1608</v>
      </c>
      <c r="B1612" s="77"/>
      <c r="C1612" s="77"/>
      <c r="D1612" s="858"/>
      <c r="E1612" s="858">
        <f t="shared" si="227"/>
        <v>0</v>
      </c>
      <c r="F1612" s="887">
        <f t="shared" si="228"/>
        <v>1900</v>
      </c>
      <c r="G1612" s="888"/>
      <c r="H1612" s="889"/>
      <c r="I1612" s="888"/>
      <c r="J1612" s="888"/>
      <c r="K1612" s="980"/>
      <c r="L1612" s="77"/>
      <c r="M1612" s="78">
        <f t="shared" ref="M1612:M1675" si="233">+L1612</f>
        <v>0</v>
      </c>
      <c r="N1612" s="748"/>
      <c r="P1612" s="29" t="str">
        <f t="shared" si="229"/>
        <v>1900</v>
      </c>
      <c r="Q1612" s="29" t="str">
        <f t="shared" si="230"/>
        <v/>
      </c>
      <c r="R1612" s="29" t="str">
        <f t="shared" si="231"/>
        <v/>
      </c>
    </row>
    <row r="1613" spans="1:18">
      <c r="A1613" s="483">
        <f t="shared" si="232"/>
        <v>1609</v>
      </c>
      <c r="B1613" s="77"/>
      <c r="C1613" s="77"/>
      <c r="D1613" s="858"/>
      <c r="E1613" s="858">
        <f t="shared" si="227"/>
        <v>0</v>
      </c>
      <c r="F1613" s="887">
        <f t="shared" si="228"/>
        <v>1900</v>
      </c>
      <c r="G1613" s="888"/>
      <c r="H1613" s="889"/>
      <c r="I1613" s="888"/>
      <c r="J1613" s="888"/>
      <c r="K1613" s="980"/>
      <c r="L1613" s="77"/>
      <c r="M1613" s="78">
        <f t="shared" si="233"/>
        <v>0</v>
      </c>
      <c r="N1613" s="748"/>
      <c r="P1613" s="29" t="str">
        <f t="shared" si="229"/>
        <v>1900</v>
      </c>
      <c r="Q1613" s="29" t="str">
        <f t="shared" si="230"/>
        <v/>
      </c>
      <c r="R1613" s="29" t="str">
        <f t="shared" si="231"/>
        <v/>
      </c>
    </row>
    <row r="1614" spans="1:18">
      <c r="A1614" s="483">
        <f t="shared" si="232"/>
        <v>1610</v>
      </c>
      <c r="B1614" s="77"/>
      <c r="C1614" s="77"/>
      <c r="D1614" s="858"/>
      <c r="E1614" s="858">
        <f t="shared" si="227"/>
        <v>0</v>
      </c>
      <c r="F1614" s="887">
        <f t="shared" si="228"/>
        <v>1900</v>
      </c>
      <c r="G1614" s="888"/>
      <c r="H1614" s="889"/>
      <c r="I1614" s="888"/>
      <c r="J1614" s="888"/>
      <c r="K1614" s="980"/>
      <c r="L1614" s="77"/>
      <c r="M1614" s="78">
        <f t="shared" si="233"/>
        <v>0</v>
      </c>
      <c r="N1614" s="748"/>
      <c r="P1614" s="29" t="str">
        <f t="shared" si="229"/>
        <v>1900</v>
      </c>
      <c r="Q1614" s="29" t="str">
        <f t="shared" si="230"/>
        <v/>
      </c>
      <c r="R1614" s="29" t="str">
        <f t="shared" si="231"/>
        <v/>
      </c>
    </row>
    <row r="1615" spans="1:18">
      <c r="A1615" s="483">
        <f t="shared" si="232"/>
        <v>1611</v>
      </c>
      <c r="B1615" s="77"/>
      <c r="C1615" s="77"/>
      <c r="D1615" s="858"/>
      <c r="E1615" s="858">
        <f t="shared" si="227"/>
        <v>0</v>
      </c>
      <c r="F1615" s="887">
        <f t="shared" si="228"/>
        <v>1900</v>
      </c>
      <c r="G1615" s="888"/>
      <c r="H1615" s="889"/>
      <c r="I1615" s="888"/>
      <c r="J1615" s="888"/>
      <c r="K1615" s="980"/>
      <c r="L1615" s="77"/>
      <c r="M1615" s="78">
        <f t="shared" si="233"/>
        <v>0</v>
      </c>
      <c r="N1615" s="748"/>
      <c r="P1615" s="29" t="str">
        <f t="shared" si="229"/>
        <v>1900</v>
      </c>
      <c r="Q1615" s="29" t="str">
        <f t="shared" si="230"/>
        <v/>
      </c>
      <c r="R1615" s="29" t="str">
        <f t="shared" si="231"/>
        <v/>
      </c>
    </row>
    <row r="1616" spans="1:18">
      <c r="A1616" s="483">
        <f t="shared" si="232"/>
        <v>1612</v>
      </c>
      <c r="B1616" s="77"/>
      <c r="C1616" s="77"/>
      <c r="D1616" s="858"/>
      <c r="E1616" s="858">
        <f t="shared" si="227"/>
        <v>0</v>
      </c>
      <c r="F1616" s="887">
        <f t="shared" si="228"/>
        <v>1900</v>
      </c>
      <c r="G1616" s="888"/>
      <c r="H1616" s="889"/>
      <c r="I1616" s="888"/>
      <c r="J1616" s="888"/>
      <c r="K1616" s="980"/>
      <c r="L1616" s="77"/>
      <c r="M1616" s="78">
        <f t="shared" si="233"/>
        <v>0</v>
      </c>
      <c r="N1616" s="748"/>
      <c r="P1616" s="29" t="str">
        <f t="shared" si="229"/>
        <v>1900</v>
      </c>
      <c r="Q1616" s="29" t="str">
        <f t="shared" si="230"/>
        <v/>
      </c>
      <c r="R1616" s="29" t="str">
        <f t="shared" si="231"/>
        <v/>
      </c>
    </row>
    <row r="1617" spans="1:18">
      <c r="A1617" s="483">
        <f t="shared" si="232"/>
        <v>1613</v>
      </c>
      <c r="B1617" s="77"/>
      <c r="C1617" s="77"/>
      <c r="D1617" s="858"/>
      <c r="E1617" s="858">
        <f t="shared" si="227"/>
        <v>0</v>
      </c>
      <c r="F1617" s="887">
        <f t="shared" si="228"/>
        <v>1900</v>
      </c>
      <c r="G1617" s="888"/>
      <c r="H1617" s="889"/>
      <c r="I1617" s="888"/>
      <c r="J1617" s="888"/>
      <c r="K1617" s="980"/>
      <c r="L1617" s="77"/>
      <c r="M1617" s="78">
        <f t="shared" si="233"/>
        <v>0</v>
      </c>
      <c r="N1617" s="748"/>
      <c r="P1617" s="29" t="str">
        <f t="shared" si="229"/>
        <v>1900</v>
      </c>
      <c r="Q1617" s="29" t="str">
        <f t="shared" si="230"/>
        <v/>
      </c>
      <c r="R1617" s="29" t="str">
        <f t="shared" si="231"/>
        <v/>
      </c>
    </row>
    <row r="1618" spans="1:18">
      <c r="A1618" s="483">
        <f t="shared" si="232"/>
        <v>1614</v>
      </c>
      <c r="B1618" s="77"/>
      <c r="C1618" s="77"/>
      <c r="D1618" s="858"/>
      <c r="E1618" s="858">
        <f t="shared" si="227"/>
        <v>0</v>
      </c>
      <c r="F1618" s="887">
        <f t="shared" si="228"/>
        <v>1900</v>
      </c>
      <c r="G1618" s="888"/>
      <c r="H1618" s="889"/>
      <c r="I1618" s="888"/>
      <c r="J1618" s="888"/>
      <c r="K1618" s="980"/>
      <c r="L1618" s="77"/>
      <c r="M1618" s="78">
        <f t="shared" si="233"/>
        <v>0</v>
      </c>
      <c r="N1618" s="748"/>
      <c r="P1618" s="29" t="str">
        <f t="shared" si="229"/>
        <v>1900</v>
      </c>
      <c r="Q1618" s="29" t="str">
        <f t="shared" si="230"/>
        <v/>
      </c>
      <c r="R1618" s="29" t="str">
        <f t="shared" si="231"/>
        <v/>
      </c>
    </row>
    <row r="1619" spans="1:18">
      <c r="A1619" s="483">
        <f t="shared" si="232"/>
        <v>1615</v>
      </c>
      <c r="B1619" s="77"/>
      <c r="C1619" s="77"/>
      <c r="D1619" s="858"/>
      <c r="E1619" s="858">
        <f t="shared" si="227"/>
        <v>0</v>
      </c>
      <c r="F1619" s="887">
        <f t="shared" si="228"/>
        <v>1900</v>
      </c>
      <c r="G1619" s="888"/>
      <c r="H1619" s="889"/>
      <c r="I1619" s="888"/>
      <c r="J1619" s="888"/>
      <c r="K1619" s="980"/>
      <c r="L1619" s="77"/>
      <c r="M1619" s="78">
        <f t="shared" si="233"/>
        <v>0</v>
      </c>
      <c r="N1619" s="748"/>
      <c r="P1619" s="29" t="str">
        <f t="shared" si="229"/>
        <v>1900</v>
      </c>
      <c r="Q1619" s="29" t="str">
        <f t="shared" si="230"/>
        <v/>
      </c>
      <c r="R1619" s="29" t="str">
        <f t="shared" si="231"/>
        <v/>
      </c>
    </row>
    <row r="1620" spans="1:18">
      <c r="A1620" s="483">
        <f t="shared" si="232"/>
        <v>1616</v>
      </c>
      <c r="B1620" s="77"/>
      <c r="C1620" s="77"/>
      <c r="D1620" s="858"/>
      <c r="E1620" s="858">
        <f t="shared" si="227"/>
        <v>0</v>
      </c>
      <c r="F1620" s="887">
        <f t="shared" si="228"/>
        <v>1900</v>
      </c>
      <c r="G1620" s="888"/>
      <c r="H1620" s="889"/>
      <c r="I1620" s="888"/>
      <c r="J1620" s="888"/>
      <c r="K1620" s="980"/>
      <c r="L1620" s="77"/>
      <c r="M1620" s="78">
        <f t="shared" si="233"/>
        <v>0</v>
      </c>
      <c r="N1620" s="748"/>
      <c r="P1620" s="29" t="str">
        <f t="shared" si="229"/>
        <v>1900</v>
      </c>
      <c r="Q1620" s="29" t="str">
        <f t="shared" si="230"/>
        <v/>
      </c>
      <c r="R1620" s="29" t="str">
        <f t="shared" si="231"/>
        <v/>
      </c>
    </row>
    <row r="1621" spans="1:18">
      <c r="A1621" s="483">
        <f t="shared" si="232"/>
        <v>1617</v>
      </c>
      <c r="B1621" s="77"/>
      <c r="C1621" s="77"/>
      <c r="D1621" s="858"/>
      <c r="E1621" s="858">
        <f t="shared" si="227"/>
        <v>0</v>
      </c>
      <c r="F1621" s="887">
        <f t="shared" si="228"/>
        <v>1900</v>
      </c>
      <c r="G1621" s="888"/>
      <c r="H1621" s="889"/>
      <c r="I1621" s="888"/>
      <c r="J1621" s="888"/>
      <c r="K1621" s="980"/>
      <c r="L1621" s="77"/>
      <c r="M1621" s="78">
        <f t="shared" si="233"/>
        <v>0</v>
      </c>
      <c r="N1621" s="748"/>
      <c r="P1621" s="29" t="str">
        <f t="shared" si="229"/>
        <v>1900</v>
      </c>
      <c r="Q1621" s="29" t="str">
        <f t="shared" si="230"/>
        <v/>
      </c>
      <c r="R1621" s="29" t="str">
        <f t="shared" si="231"/>
        <v/>
      </c>
    </row>
    <row r="1622" spans="1:18">
      <c r="A1622" s="483">
        <f t="shared" si="232"/>
        <v>1618</v>
      </c>
      <c r="B1622" s="77"/>
      <c r="C1622" s="77"/>
      <c r="D1622" s="858"/>
      <c r="E1622" s="858">
        <f t="shared" si="227"/>
        <v>0</v>
      </c>
      <c r="F1622" s="887">
        <f t="shared" si="228"/>
        <v>1900</v>
      </c>
      <c r="G1622" s="888"/>
      <c r="H1622" s="889"/>
      <c r="I1622" s="888"/>
      <c r="J1622" s="888"/>
      <c r="K1622" s="980"/>
      <c r="L1622" s="77"/>
      <c r="M1622" s="78">
        <f t="shared" si="233"/>
        <v>0</v>
      </c>
      <c r="N1622" s="748"/>
      <c r="P1622" s="29" t="str">
        <f t="shared" si="229"/>
        <v>1900</v>
      </c>
      <c r="Q1622" s="29" t="str">
        <f t="shared" si="230"/>
        <v/>
      </c>
      <c r="R1622" s="29" t="str">
        <f t="shared" si="231"/>
        <v/>
      </c>
    </row>
    <row r="1623" spans="1:18">
      <c r="A1623" s="483">
        <f t="shared" si="232"/>
        <v>1619</v>
      </c>
      <c r="B1623" s="77"/>
      <c r="C1623" s="77"/>
      <c r="D1623" s="858"/>
      <c r="E1623" s="858">
        <f t="shared" si="227"/>
        <v>0</v>
      </c>
      <c r="F1623" s="887">
        <f t="shared" si="228"/>
        <v>1900</v>
      </c>
      <c r="G1623" s="888"/>
      <c r="H1623" s="889"/>
      <c r="I1623" s="888"/>
      <c r="J1623" s="888"/>
      <c r="K1623" s="980"/>
      <c r="L1623" s="77"/>
      <c r="M1623" s="78">
        <f t="shared" si="233"/>
        <v>0</v>
      </c>
      <c r="N1623" s="748"/>
      <c r="P1623" s="29" t="str">
        <f t="shared" si="229"/>
        <v>1900</v>
      </c>
      <c r="Q1623" s="29" t="str">
        <f t="shared" si="230"/>
        <v/>
      </c>
      <c r="R1623" s="29" t="str">
        <f t="shared" si="231"/>
        <v/>
      </c>
    </row>
    <row r="1624" spans="1:18">
      <c r="A1624" s="483">
        <f t="shared" si="232"/>
        <v>1620</v>
      </c>
      <c r="B1624" s="77"/>
      <c r="C1624" s="77"/>
      <c r="D1624" s="858"/>
      <c r="E1624" s="858">
        <f t="shared" si="227"/>
        <v>0</v>
      </c>
      <c r="F1624" s="887">
        <f t="shared" si="228"/>
        <v>1900</v>
      </c>
      <c r="G1624" s="888"/>
      <c r="H1624" s="889"/>
      <c r="I1624" s="888"/>
      <c r="J1624" s="888"/>
      <c r="K1624" s="980"/>
      <c r="L1624" s="77"/>
      <c r="M1624" s="78">
        <f t="shared" si="233"/>
        <v>0</v>
      </c>
      <c r="N1624" s="748"/>
      <c r="P1624" s="29" t="str">
        <f t="shared" si="229"/>
        <v>1900</v>
      </c>
      <c r="Q1624" s="29" t="str">
        <f t="shared" si="230"/>
        <v/>
      </c>
      <c r="R1624" s="29" t="str">
        <f t="shared" si="231"/>
        <v/>
      </c>
    </row>
    <row r="1625" spans="1:18">
      <c r="A1625" s="483">
        <f t="shared" si="232"/>
        <v>1621</v>
      </c>
      <c r="B1625" s="77"/>
      <c r="C1625" s="77"/>
      <c r="D1625" s="858"/>
      <c r="E1625" s="858">
        <f t="shared" si="227"/>
        <v>0</v>
      </c>
      <c r="F1625" s="887">
        <f t="shared" si="228"/>
        <v>1900</v>
      </c>
      <c r="G1625" s="888"/>
      <c r="H1625" s="889"/>
      <c r="I1625" s="888"/>
      <c r="J1625" s="888"/>
      <c r="K1625" s="980"/>
      <c r="L1625" s="77"/>
      <c r="M1625" s="78">
        <f t="shared" si="233"/>
        <v>0</v>
      </c>
      <c r="N1625" s="748"/>
      <c r="P1625" s="29" t="str">
        <f t="shared" si="229"/>
        <v>1900</v>
      </c>
      <c r="Q1625" s="29" t="str">
        <f t="shared" si="230"/>
        <v/>
      </c>
      <c r="R1625" s="29" t="str">
        <f t="shared" si="231"/>
        <v/>
      </c>
    </row>
    <row r="1626" spans="1:18">
      <c r="A1626" s="483">
        <f t="shared" si="232"/>
        <v>1622</v>
      </c>
      <c r="B1626" s="77"/>
      <c r="C1626" s="77"/>
      <c r="D1626" s="858"/>
      <c r="E1626" s="858">
        <f t="shared" si="227"/>
        <v>0</v>
      </c>
      <c r="F1626" s="887">
        <f t="shared" si="228"/>
        <v>1900</v>
      </c>
      <c r="G1626" s="888"/>
      <c r="H1626" s="889"/>
      <c r="I1626" s="888"/>
      <c r="J1626" s="888"/>
      <c r="K1626" s="980"/>
      <c r="L1626" s="77"/>
      <c r="M1626" s="78">
        <f t="shared" si="233"/>
        <v>0</v>
      </c>
      <c r="N1626" s="748"/>
      <c r="P1626" s="29" t="str">
        <f t="shared" si="229"/>
        <v>1900</v>
      </c>
      <c r="Q1626" s="29" t="str">
        <f t="shared" si="230"/>
        <v/>
      </c>
      <c r="R1626" s="29" t="str">
        <f t="shared" si="231"/>
        <v/>
      </c>
    </row>
    <row r="1627" spans="1:18">
      <c r="A1627" s="483">
        <f t="shared" si="232"/>
        <v>1623</v>
      </c>
      <c r="B1627" s="77"/>
      <c r="C1627" s="77"/>
      <c r="D1627" s="858"/>
      <c r="E1627" s="858">
        <f t="shared" si="227"/>
        <v>0</v>
      </c>
      <c r="F1627" s="887">
        <f t="shared" si="228"/>
        <v>1900</v>
      </c>
      <c r="G1627" s="888"/>
      <c r="H1627" s="889"/>
      <c r="I1627" s="888"/>
      <c r="J1627" s="888"/>
      <c r="K1627" s="980"/>
      <c r="L1627" s="77"/>
      <c r="M1627" s="78">
        <f t="shared" si="233"/>
        <v>0</v>
      </c>
      <c r="N1627" s="748"/>
      <c r="P1627" s="29" t="str">
        <f t="shared" si="229"/>
        <v>1900</v>
      </c>
      <c r="Q1627" s="29" t="str">
        <f t="shared" si="230"/>
        <v/>
      </c>
      <c r="R1627" s="29" t="str">
        <f t="shared" si="231"/>
        <v/>
      </c>
    </row>
    <row r="1628" spans="1:18">
      <c r="A1628" s="483">
        <f t="shared" si="232"/>
        <v>1624</v>
      </c>
      <c r="B1628" s="77"/>
      <c r="C1628" s="77"/>
      <c r="D1628" s="858"/>
      <c r="E1628" s="858">
        <f t="shared" si="227"/>
        <v>0</v>
      </c>
      <c r="F1628" s="887">
        <f t="shared" si="228"/>
        <v>1900</v>
      </c>
      <c r="G1628" s="888"/>
      <c r="H1628" s="889"/>
      <c r="I1628" s="888"/>
      <c r="J1628" s="888"/>
      <c r="K1628" s="980"/>
      <c r="L1628" s="77"/>
      <c r="M1628" s="78">
        <f t="shared" si="233"/>
        <v>0</v>
      </c>
      <c r="N1628" s="748"/>
      <c r="P1628" s="29" t="str">
        <f t="shared" si="229"/>
        <v>1900</v>
      </c>
      <c r="Q1628" s="29" t="str">
        <f t="shared" si="230"/>
        <v/>
      </c>
      <c r="R1628" s="29" t="str">
        <f t="shared" si="231"/>
        <v/>
      </c>
    </row>
    <row r="1629" spans="1:18">
      <c r="A1629" s="483">
        <f t="shared" si="232"/>
        <v>1625</v>
      </c>
      <c r="B1629" s="77"/>
      <c r="C1629" s="77"/>
      <c r="D1629" s="858"/>
      <c r="E1629" s="858">
        <f t="shared" si="227"/>
        <v>0</v>
      </c>
      <c r="F1629" s="887">
        <f t="shared" si="228"/>
        <v>1900</v>
      </c>
      <c r="G1629" s="888"/>
      <c r="H1629" s="889"/>
      <c r="I1629" s="888"/>
      <c r="J1629" s="888"/>
      <c r="K1629" s="980"/>
      <c r="L1629" s="77"/>
      <c r="M1629" s="78">
        <f t="shared" si="233"/>
        <v>0</v>
      </c>
      <c r="N1629" s="748"/>
      <c r="P1629" s="29" t="str">
        <f t="shared" si="229"/>
        <v>1900</v>
      </c>
      <c r="Q1629" s="29" t="str">
        <f t="shared" si="230"/>
        <v/>
      </c>
      <c r="R1629" s="29" t="str">
        <f t="shared" si="231"/>
        <v/>
      </c>
    </row>
    <row r="1630" spans="1:18">
      <c r="A1630" s="483">
        <f t="shared" si="232"/>
        <v>1626</v>
      </c>
      <c r="B1630" s="77"/>
      <c r="C1630" s="77"/>
      <c r="D1630" s="858"/>
      <c r="E1630" s="858">
        <f t="shared" si="227"/>
        <v>0</v>
      </c>
      <c r="F1630" s="887">
        <f t="shared" si="228"/>
        <v>1900</v>
      </c>
      <c r="G1630" s="888"/>
      <c r="H1630" s="889"/>
      <c r="I1630" s="888"/>
      <c r="J1630" s="888"/>
      <c r="K1630" s="980"/>
      <c r="L1630" s="77"/>
      <c r="M1630" s="78">
        <f t="shared" si="233"/>
        <v>0</v>
      </c>
      <c r="N1630" s="748"/>
      <c r="P1630" s="29" t="str">
        <f t="shared" si="229"/>
        <v>1900</v>
      </c>
      <c r="Q1630" s="29" t="str">
        <f t="shared" si="230"/>
        <v/>
      </c>
      <c r="R1630" s="29" t="str">
        <f t="shared" si="231"/>
        <v/>
      </c>
    </row>
    <row r="1631" spans="1:18">
      <c r="A1631" s="483">
        <f t="shared" si="232"/>
        <v>1627</v>
      </c>
      <c r="B1631" s="77"/>
      <c r="C1631" s="77"/>
      <c r="D1631" s="858"/>
      <c r="E1631" s="858">
        <f t="shared" si="227"/>
        <v>0</v>
      </c>
      <c r="F1631" s="887">
        <f t="shared" si="228"/>
        <v>1900</v>
      </c>
      <c r="G1631" s="888"/>
      <c r="H1631" s="889"/>
      <c r="I1631" s="888"/>
      <c r="J1631" s="888"/>
      <c r="K1631" s="980"/>
      <c r="L1631" s="77"/>
      <c r="M1631" s="78">
        <f t="shared" si="233"/>
        <v>0</v>
      </c>
      <c r="N1631" s="748"/>
      <c r="P1631" s="29" t="str">
        <f t="shared" si="229"/>
        <v>1900</v>
      </c>
      <c r="Q1631" s="29" t="str">
        <f t="shared" si="230"/>
        <v/>
      </c>
      <c r="R1631" s="29" t="str">
        <f t="shared" si="231"/>
        <v/>
      </c>
    </row>
    <row r="1632" spans="1:18">
      <c r="A1632" s="483">
        <f t="shared" si="232"/>
        <v>1628</v>
      </c>
      <c r="B1632" s="77"/>
      <c r="C1632" s="77"/>
      <c r="D1632" s="858"/>
      <c r="E1632" s="858">
        <f t="shared" si="227"/>
        <v>0</v>
      </c>
      <c r="F1632" s="887">
        <f t="shared" si="228"/>
        <v>1900</v>
      </c>
      <c r="G1632" s="888"/>
      <c r="H1632" s="889"/>
      <c r="I1632" s="888"/>
      <c r="J1632" s="888"/>
      <c r="K1632" s="980"/>
      <c r="L1632" s="77"/>
      <c r="M1632" s="78">
        <f t="shared" si="233"/>
        <v>0</v>
      </c>
      <c r="N1632" s="748"/>
      <c r="P1632" s="29" t="str">
        <f t="shared" si="229"/>
        <v>1900</v>
      </c>
      <c r="Q1632" s="29" t="str">
        <f t="shared" si="230"/>
        <v/>
      </c>
      <c r="R1632" s="29" t="str">
        <f t="shared" si="231"/>
        <v/>
      </c>
    </row>
    <row r="1633" spans="1:18">
      <c r="A1633" s="483">
        <f t="shared" si="232"/>
        <v>1629</v>
      </c>
      <c r="B1633" s="77"/>
      <c r="C1633" s="77"/>
      <c r="D1633" s="858"/>
      <c r="E1633" s="858">
        <f t="shared" si="227"/>
        <v>0</v>
      </c>
      <c r="F1633" s="887">
        <f t="shared" si="228"/>
        <v>1900</v>
      </c>
      <c r="G1633" s="888"/>
      <c r="H1633" s="889"/>
      <c r="I1633" s="888"/>
      <c r="J1633" s="888"/>
      <c r="K1633" s="980"/>
      <c r="L1633" s="77"/>
      <c r="M1633" s="78">
        <f t="shared" si="233"/>
        <v>0</v>
      </c>
      <c r="N1633" s="748"/>
      <c r="P1633" s="29" t="str">
        <f t="shared" si="229"/>
        <v>1900</v>
      </c>
      <c r="Q1633" s="29" t="str">
        <f t="shared" si="230"/>
        <v/>
      </c>
      <c r="R1633" s="29" t="str">
        <f t="shared" si="231"/>
        <v/>
      </c>
    </row>
    <row r="1634" spans="1:18">
      <c r="A1634" s="483">
        <f t="shared" si="232"/>
        <v>1630</v>
      </c>
      <c r="B1634" s="77"/>
      <c r="C1634" s="77"/>
      <c r="D1634" s="858"/>
      <c r="E1634" s="858">
        <f t="shared" si="227"/>
        <v>0</v>
      </c>
      <c r="F1634" s="887">
        <f t="shared" si="228"/>
        <v>1900</v>
      </c>
      <c r="G1634" s="888"/>
      <c r="H1634" s="889"/>
      <c r="I1634" s="888"/>
      <c r="J1634" s="888"/>
      <c r="K1634" s="980"/>
      <c r="L1634" s="77"/>
      <c r="M1634" s="78">
        <f t="shared" si="233"/>
        <v>0</v>
      </c>
      <c r="N1634" s="748"/>
      <c r="P1634" s="29" t="str">
        <f t="shared" si="229"/>
        <v>1900</v>
      </c>
      <c r="Q1634" s="29" t="str">
        <f t="shared" si="230"/>
        <v/>
      </c>
      <c r="R1634" s="29" t="str">
        <f t="shared" si="231"/>
        <v/>
      </c>
    </row>
    <row r="1635" spans="1:18">
      <c r="A1635" s="483">
        <f t="shared" si="232"/>
        <v>1631</v>
      </c>
      <c r="B1635" s="77"/>
      <c r="C1635" s="77"/>
      <c r="D1635" s="858"/>
      <c r="E1635" s="858">
        <f t="shared" si="227"/>
        <v>0</v>
      </c>
      <c r="F1635" s="887">
        <f t="shared" si="228"/>
        <v>1900</v>
      </c>
      <c r="G1635" s="888"/>
      <c r="H1635" s="889"/>
      <c r="I1635" s="888"/>
      <c r="J1635" s="888"/>
      <c r="K1635" s="980"/>
      <c r="L1635" s="77"/>
      <c r="M1635" s="78">
        <f t="shared" si="233"/>
        <v>0</v>
      </c>
      <c r="N1635" s="748"/>
      <c r="P1635" s="29" t="str">
        <f t="shared" si="229"/>
        <v>1900</v>
      </c>
      <c r="Q1635" s="29" t="str">
        <f t="shared" si="230"/>
        <v/>
      </c>
      <c r="R1635" s="29" t="str">
        <f t="shared" si="231"/>
        <v/>
      </c>
    </row>
    <row r="1636" spans="1:18">
      <c r="A1636" s="483">
        <f t="shared" si="232"/>
        <v>1632</v>
      </c>
      <c r="B1636" s="77"/>
      <c r="C1636" s="77"/>
      <c r="D1636" s="858"/>
      <c r="E1636" s="858">
        <f t="shared" si="227"/>
        <v>0</v>
      </c>
      <c r="F1636" s="887">
        <f t="shared" si="228"/>
        <v>1900</v>
      </c>
      <c r="G1636" s="888"/>
      <c r="H1636" s="889"/>
      <c r="I1636" s="888"/>
      <c r="J1636" s="888"/>
      <c r="K1636" s="980"/>
      <c r="L1636" s="77"/>
      <c r="M1636" s="78">
        <f t="shared" si="233"/>
        <v>0</v>
      </c>
      <c r="N1636" s="748"/>
      <c r="P1636" s="29" t="str">
        <f t="shared" si="229"/>
        <v>1900</v>
      </c>
      <c r="Q1636" s="29" t="str">
        <f t="shared" si="230"/>
        <v/>
      </c>
      <c r="R1636" s="29" t="str">
        <f t="shared" si="231"/>
        <v/>
      </c>
    </row>
    <row r="1637" spans="1:18">
      <c r="A1637" s="483">
        <f t="shared" si="232"/>
        <v>1633</v>
      </c>
      <c r="B1637" s="77"/>
      <c r="C1637" s="77"/>
      <c r="D1637" s="858"/>
      <c r="E1637" s="858">
        <f t="shared" si="227"/>
        <v>0</v>
      </c>
      <c r="F1637" s="887">
        <f t="shared" si="228"/>
        <v>1900</v>
      </c>
      <c r="G1637" s="888"/>
      <c r="H1637" s="889"/>
      <c r="I1637" s="888"/>
      <c r="J1637" s="888"/>
      <c r="K1637" s="980"/>
      <c r="L1637" s="77"/>
      <c r="M1637" s="78">
        <f t="shared" si="233"/>
        <v>0</v>
      </c>
      <c r="N1637" s="748"/>
      <c r="P1637" s="29" t="str">
        <f t="shared" si="229"/>
        <v>1900</v>
      </c>
      <c r="Q1637" s="29" t="str">
        <f t="shared" si="230"/>
        <v/>
      </c>
      <c r="R1637" s="29" t="str">
        <f t="shared" si="231"/>
        <v/>
      </c>
    </row>
    <row r="1638" spans="1:18">
      <c r="A1638" s="483">
        <f t="shared" si="232"/>
        <v>1634</v>
      </c>
      <c r="B1638" s="77"/>
      <c r="C1638" s="77"/>
      <c r="D1638" s="858"/>
      <c r="E1638" s="858">
        <f t="shared" si="227"/>
        <v>0</v>
      </c>
      <c r="F1638" s="887">
        <f t="shared" si="228"/>
        <v>1900</v>
      </c>
      <c r="G1638" s="888"/>
      <c r="H1638" s="889"/>
      <c r="I1638" s="888"/>
      <c r="J1638" s="888"/>
      <c r="K1638" s="980"/>
      <c r="L1638" s="77"/>
      <c r="M1638" s="78">
        <f t="shared" si="233"/>
        <v>0</v>
      </c>
      <c r="N1638" s="748"/>
      <c r="P1638" s="29" t="str">
        <f t="shared" si="229"/>
        <v>1900</v>
      </c>
      <c r="Q1638" s="29" t="str">
        <f t="shared" si="230"/>
        <v/>
      </c>
      <c r="R1638" s="29" t="str">
        <f t="shared" si="231"/>
        <v/>
      </c>
    </row>
    <row r="1639" spans="1:18">
      <c r="A1639" s="483">
        <f t="shared" si="232"/>
        <v>1635</v>
      </c>
      <c r="B1639" s="77"/>
      <c r="C1639" s="77"/>
      <c r="D1639" s="858"/>
      <c r="E1639" s="858">
        <f t="shared" si="227"/>
        <v>0</v>
      </c>
      <c r="F1639" s="887">
        <f t="shared" si="228"/>
        <v>1900</v>
      </c>
      <c r="G1639" s="888"/>
      <c r="H1639" s="889"/>
      <c r="I1639" s="888"/>
      <c r="J1639" s="888"/>
      <c r="K1639" s="980"/>
      <c r="L1639" s="77"/>
      <c r="M1639" s="78">
        <f t="shared" si="233"/>
        <v>0</v>
      </c>
      <c r="N1639" s="748"/>
      <c r="P1639" s="29" t="str">
        <f t="shared" si="229"/>
        <v>1900</v>
      </c>
      <c r="Q1639" s="29" t="str">
        <f t="shared" si="230"/>
        <v/>
      </c>
      <c r="R1639" s="29" t="str">
        <f t="shared" si="231"/>
        <v/>
      </c>
    </row>
    <row r="1640" spans="1:18">
      <c r="A1640" s="483">
        <f t="shared" si="232"/>
        <v>1636</v>
      </c>
      <c r="B1640" s="77"/>
      <c r="C1640" s="77"/>
      <c r="D1640" s="858"/>
      <c r="E1640" s="858">
        <f t="shared" si="227"/>
        <v>0</v>
      </c>
      <c r="F1640" s="887">
        <f t="shared" si="228"/>
        <v>1900</v>
      </c>
      <c r="G1640" s="888"/>
      <c r="H1640" s="889"/>
      <c r="I1640" s="888"/>
      <c r="J1640" s="888"/>
      <c r="K1640" s="980"/>
      <c r="L1640" s="77"/>
      <c r="M1640" s="78">
        <f t="shared" si="233"/>
        <v>0</v>
      </c>
      <c r="N1640" s="748"/>
      <c r="P1640" s="29" t="str">
        <f t="shared" si="229"/>
        <v>1900</v>
      </c>
      <c r="Q1640" s="29" t="str">
        <f t="shared" si="230"/>
        <v/>
      </c>
      <c r="R1640" s="29" t="str">
        <f t="shared" si="231"/>
        <v/>
      </c>
    </row>
    <row r="1641" spans="1:18">
      <c r="A1641" s="483">
        <f t="shared" si="232"/>
        <v>1637</v>
      </c>
      <c r="B1641" s="77"/>
      <c r="C1641" s="77"/>
      <c r="D1641" s="858"/>
      <c r="E1641" s="858">
        <f t="shared" si="227"/>
        <v>0</v>
      </c>
      <c r="F1641" s="887">
        <f t="shared" si="228"/>
        <v>1900</v>
      </c>
      <c r="G1641" s="888"/>
      <c r="H1641" s="889"/>
      <c r="I1641" s="888"/>
      <c r="J1641" s="888"/>
      <c r="K1641" s="980"/>
      <c r="L1641" s="77"/>
      <c r="M1641" s="78">
        <f t="shared" si="233"/>
        <v>0</v>
      </c>
      <c r="N1641" s="748"/>
      <c r="P1641" s="29" t="str">
        <f t="shared" si="229"/>
        <v>1900</v>
      </c>
      <c r="Q1641" s="29" t="str">
        <f t="shared" si="230"/>
        <v/>
      </c>
      <c r="R1641" s="29" t="str">
        <f t="shared" si="231"/>
        <v/>
      </c>
    </row>
    <row r="1642" spans="1:18">
      <c r="A1642" s="483">
        <f t="shared" si="232"/>
        <v>1638</v>
      </c>
      <c r="B1642" s="77"/>
      <c r="C1642" s="77"/>
      <c r="D1642" s="858"/>
      <c r="E1642" s="858">
        <f t="shared" si="227"/>
        <v>0</v>
      </c>
      <c r="F1642" s="887">
        <f t="shared" si="228"/>
        <v>1900</v>
      </c>
      <c r="G1642" s="888"/>
      <c r="H1642" s="889"/>
      <c r="I1642" s="888"/>
      <c r="J1642" s="888"/>
      <c r="K1642" s="980"/>
      <c r="L1642" s="77"/>
      <c r="M1642" s="78">
        <f t="shared" si="233"/>
        <v>0</v>
      </c>
      <c r="N1642" s="748"/>
      <c r="P1642" s="29" t="str">
        <f t="shared" si="229"/>
        <v>1900</v>
      </c>
      <c r="Q1642" s="29" t="str">
        <f t="shared" si="230"/>
        <v/>
      </c>
      <c r="R1642" s="29" t="str">
        <f t="shared" si="231"/>
        <v/>
      </c>
    </row>
    <row r="1643" spans="1:18">
      <c r="A1643" s="483">
        <f t="shared" si="232"/>
        <v>1639</v>
      </c>
      <c r="B1643" s="77"/>
      <c r="C1643" s="77"/>
      <c r="D1643" s="858"/>
      <c r="E1643" s="858">
        <f t="shared" si="227"/>
        <v>0</v>
      </c>
      <c r="F1643" s="887">
        <f t="shared" si="228"/>
        <v>1900</v>
      </c>
      <c r="G1643" s="888"/>
      <c r="H1643" s="889"/>
      <c r="I1643" s="888"/>
      <c r="J1643" s="888"/>
      <c r="K1643" s="980"/>
      <c r="L1643" s="77"/>
      <c r="M1643" s="78">
        <f t="shared" si="233"/>
        <v>0</v>
      </c>
      <c r="N1643" s="748"/>
      <c r="P1643" s="29" t="str">
        <f t="shared" si="229"/>
        <v>1900</v>
      </c>
      <c r="Q1643" s="29" t="str">
        <f t="shared" si="230"/>
        <v/>
      </c>
      <c r="R1643" s="29" t="str">
        <f t="shared" si="231"/>
        <v/>
      </c>
    </row>
    <row r="1644" spans="1:18">
      <c r="A1644" s="483">
        <f t="shared" si="232"/>
        <v>1640</v>
      </c>
      <c r="B1644" s="77"/>
      <c r="C1644" s="77"/>
      <c r="D1644" s="858"/>
      <c r="E1644" s="858">
        <f t="shared" si="227"/>
        <v>0</v>
      </c>
      <c r="F1644" s="887">
        <f t="shared" si="228"/>
        <v>1900</v>
      </c>
      <c r="G1644" s="888"/>
      <c r="H1644" s="889"/>
      <c r="I1644" s="888"/>
      <c r="J1644" s="888"/>
      <c r="K1644" s="980"/>
      <c r="L1644" s="77"/>
      <c r="M1644" s="78">
        <f t="shared" si="233"/>
        <v>0</v>
      </c>
      <c r="N1644" s="748"/>
      <c r="P1644" s="29" t="str">
        <f t="shared" si="229"/>
        <v>1900</v>
      </c>
      <c r="Q1644" s="29" t="str">
        <f t="shared" si="230"/>
        <v/>
      </c>
      <c r="R1644" s="29" t="str">
        <f t="shared" si="231"/>
        <v/>
      </c>
    </row>
    <row r="1645" spans="1:18">
      <c r="A1645" s="483">
        <f t="shared" si="232"/>
        <v>1641</v>
      </c>
      <c r="B1645" s="77"/>
      <c r="C1645" s="77"/>
      <c r="D1645" s="858"/>
      <c r="E1645" s="858">
        <f t="shared" si="227"/>
        <v>0</v>
      </c>
      <c r="F1645" s="887">
        <f t="shared" si="228"/>
        <v>1900</v>
      </c>
      <c r="G1645" s="888"/>
      <c r="H1645" s="889"/>
      <c r="I1645" s="888"/>
      <c r="J1645" s="888"/>
      <c r="K1645" s="980"/>
      <c r="L1645" s="77"/>
      <c r="M1645" s="78">
        <f t="shared" si="233"/>
        <v>0</v>
      </c>
      <c r="N1645" s="748"/>
      <c r="P1645" s="29" t="str">
        <f t="shared" si="229"/>
        <v>1900</v>
      </c>
      <c r="Q1645" s="29" t="str">
        <f t="shared" si="230"/>
        <v/>
      </c>
      <c r="R1645" s="29" t="str">
        <f t="shared" si="231"/>
        <v/>
      </c>
    </row>
    <row r="1646" spans="1:18">
      <c r="A1646" s="483">
        <f t="shared" si="232"/>
        <v>1642</v>
      </c>
      <c r="B1646" s="77"/>
      <c r="C1646" s="77"/>
      <c r="D1646" s="858"/>
      <c r="E1646" s="858">
        <f t="shared" si="227"/>
        <v>0</v>
      </c>
      <c r="F1646" s="887">
        <f t="shared" si="228"/>
        <v>1900</v>
      </c>
      <c r="G1646" s="888"/>
      <c r="H1646" s="889"/>
      <c r="I1646" s="888"/>
      <c r="J1646" s="888"/>
      <c r="K1646" s="980"/>
      <c r="L1646" s="77"/>
      <c r="M1646" s="78">
        <f t="shared" si="233"/>
        <v>0</v>
      </c>
      <c r="N1646" s="748"/>
      <c r="P1646" s="29" t="str">
        <f t="shared" si="229"/>
        <v>1900</v>
      </c>
      <c r="Q1646" s="29" t="str">
        <f t="shared" si="230"/>
        <v/>
      </c>
      <c r="R1646" s="29" t="str">
        <f t="shared" si="231"/>
        <v/>
      </c>
    </row>
    <row r="1647" spans="1:18">
      <c r="A1647" s="483">
        <f t="shared" si="232"/>
        <v>1643</v>
      </c>
      <c r="B1647" s="77"/>
      <c r="C1647" s="77"/>
      <c r="D1647" s="858"/>
      <c r="E1647" s="858">
        <f t="shared" ref="E1647:E1710" si="234">DAY(C1647)</f>
        <v>0</v>
      </c>
      <c r="F1647" s="887">
        <f t="shared" ref="F1647:F1710" si="235">YEAR(C1647)</f>
        <v>1900</v>
      </c>
      <c r="G1647" s="888"/>
      <c r="H1647" s="889"/>
      <c r="I1647" s="888"/>
      <c r="J1647" s="888"/>
      <c r="K1647" s="980"/>
      <c r="L1647" s="77"/>
      <c r="M1647" s="78">
        <f t="shared" si="233"/>
        <v>0</v>
      </c>
      <c r="N1647" s="748"/>
      <c r="P1647" s="29" t="str">
        <f t="shared" ref="P1647:P1710" si="236">CONCATENATE(F1647,H1647)</f>
        <v>1900</v>
      </c>
      <c r="Q1647" s="29" t="str">
        <f t="shared" ref="Q1647:Q1710" si="237">CONCATENATE(H1647,K1647)</f>
        <v/>
      </c>
      <c r="R1647" s="29" t="str">
        <f t="shared" ref="R1647:R1710" si="238">CONCATENATE(D1647,H1647)</f>
        <v/>
      </c>
    </row>
    <row r="1648" spans="1:18">
      <c r="A1648" s="483">
        <f t="shared" si="232"/>
        <v>1644</v>
      </c>
      <c r="B1648" s="77"/>
      <c r="C1648" s="77"/>
      <c r="D1648" s="858"/>
      <c r="E1648" s="858">
        <f t="shared" si="234"/>
        <v>0</v>
      </c>
      <c r="F1648" s="887">
        <f t="shared" si="235"/>
        <v>1900</v>
      </c>
      <c r="G1648" s="888"/>
      <c r="H1648" s="889"/>
      <c r="I1648" s="888"/>
      <c r="J1648" s="888"/>
      <c r="K1648" s="980"/>
      <c r="L1648" s="77"/>
      <c r="M1648" s="78">
        <f t="shared" si="233"/>
        <v>0</v>
      </c>
      <c r="N1648" s="748"/>
      <c r="P1648" s="29" t="str">
        <f t="shared" si="236"/>
        <v>1900</v>
      </c>
      <c r="Q1648" s="29" t="str">
        <f t="shared" si="237"/>
        <v/>
      </c>
      <c r="R1648" s="29" t="str">
        <f t="shared" si="238"/>
        <v/>
      </c>
    </row>
    <row r="1649" spans="1:18">
      <c r="A1649" s="483">
        <f t="shared" si="232"/>
        <v>1645</v>
      </c>
      <c r="B1649" s="77"/>
      <c r="C1649" s="77"/>
      <c r="D1649" s="858"/>
      <c r="E1649" s="858">
        <f t="shared" si="234"/>
        <v>0</v>
      </c>
      <c r="F1649" s="887">
        <f t="shared" si="235"/>
        <v>1900</v>
      </c>
      <c r="G1649" s="888"/>
      <c r="H1649" s="889"/>
      <c r="I1649" s="888"/>
      <c r="J1649" s="888"/>
      <c r="K1649" s="980"/>
      <c r="L1649" s="77"/>
      <c r="M1649" s="78">
        <f t="shared" si="233"/>
        <v>0</v>
      </c>
      <c r="N1649" s="748"/>
      <c r="P1649" s="29" t="str">
        <f t="shared" si="236"/>
        <v>1900</v>
      </c>
      <c r="Q1649" s="29" t="str">
        <f t="shared" si="237"/>
        <v/>
      </c>
      <c r="R1649" s="29" t="str">
        <f t="shared" si="238"/>
        <v/>
      </c>
    </row>
    <row r="1650" spans="1:18">
      <c r="A1650" s="483">
        <f t="shared" si="232"/>
        <v>1646</v>
      </c>
      <c r="B1650" s="77"/>
      <c r="C1650" s="77"/>
      <c r="D1650" s="858"/>
      <c r="E1650" s="858">
        <f t="shared" si="234"/>
        <v>0</v>
      </c>
      <c r="F1650" s="887">
        <f t="shared" si="235"/>
        <v>1900</v>
      </c>
      <c r="G1650" s="888"/>
      <c r="H1650" s="889"/>
      <c r="I1650" s="888"/>
      <c r="J1650" s="888"/>
      <c r="K1650" s="980"/>
      <c r="L1650" s="77"/>
      <c r="M1650" s="78">
        <f t="shared" si="233"/>
        <v>0</v>
      </c>
      <c r="N1650" s="748"/>
      <c r="P1650" s="29" t="str">
        <f t="shared" si="236"/>
        <v>1900</v>
      </c>
      <c r="Q1650" s="29" t="str">
        <f t="shared" si="237"/>
        <v/>
      </c>
      <c r="R1650" s="29" t="str">
        <f t="shared" si="238"/>
        <v/>
      </c>
    </row>
    <row r="1651" spans="1:18">
      <c r="A1651" s="483">
        <f t="shared" si="232"/>
        <v>1647</v>
      </c>
      <c r="B1651" s="77"/>
      <c r="C1651" s="77"/>
      <c r="D1651" s="858"/>
      <c r="E1651" s="858">
        <f t="shared" si="234"/>
        <v>0</v>
      </c>
      <c r="F1651" s="887">
        <f t="shared" si="235"/>
        <v>1900</v>
      </c>
      <c r="G1651" s="888"/>
      <c r="H1651" s="889"/>
      <c r="I1651" s="888"/>
      <c r="J1651" s="888"/>
      <c r="K1651" s="980"/>
      <c r="L1651" s="77"/>
      <c r="M1651" s="78">
        <f t="shared" si="233"/>
        <v>0</v>
      </c>
      <c r="N1651" s="748"/>
      <c r="P1651" s="29" t="str">
        <f t="shared" si="236"/>
        <v>1900</v>
      </c>
      <c r="Q1651" s="29" t="str">
        <f t="shared" si="237"/>
        <v/>
      </c>
      <c r="R1651" s="29" t="str">
        <f t="shared" si="238"/>
        <v/>
      </c>
    </row>
    <row r="1652" spans="1:18">
      <c r="A1652" s="483">
        <f t="shared" si="232"/>
        <v>1648</v>
      </c>
      <c r="B1652" s="77"/>
      <c r="C1652" s="77"/>
      <c r="D1652" s="858"/>
      <c r="E1652" s="858">
        <f t="shared" si="234"/>
        <v>0</v>
      </c>
      <c r="F1652" s="887">
        <f t="shared" si="235"/>
        <v>1900</v>
      </c>
      <c r="G1652" s="888"/>
      <c r="H1652" s="889"/>
      <c r="I1652" s="888"/>
      <c r="J1652" s="888"/>
      <c r="K1652" s="980"/>
      <c r="L1652" s="77"/>
      <c r="M1652" s="78">
        <f t="shared" si="233"/>
        <v>0</v>
      </c>
      <c r="N1652" s="748"/>
      <c r="P1652" s="29" t="str">
        <f t="shared" si="236"/>
        <v>1900</v>
      </c>
      <c r="Q1652" s="29" t="str">
        <f t="shared" si="237"/>
        <v/>
      </c>
      <c r="R1652" s="29" t="str">
        <f t="shared" si="238"/>
        <v/>
      </c>
    </row>
    <row r="1653" spans="1:18">
      <c r="A1653" s="483">
        <f t="shared" si="232"/>
        <v>1649</v>
      </c>
      <c r="B1653" s="77"/>
      <c r="C1653" s="77"/>
      <c r="D1653" s="858"/>
      <c r="E1653" s="858">
        <f t="shared" si="234"/>
        <v>0</v>
      </c>
      <c r="F1653" s="887">
        <f t="shared" si="235"/>
        <v>1900</v>
      </c>
      <c r="G1653" s="888"/>
      <c r="H1653" s="889"/>
      <c r="I1653" s="888"/>
      <c r="J1653" s="888"/>
      <c r="K1653" s="980"/>
      <c r="L1653" s="77"/>
      <c r="M1653" s="78">
        <f t="shared" si="233"/>
        <v>0</v>
      </c>
      <c r="N1653" s="748"/>
      <c r="P1653" s="29" t="str">
        <f t="shared" si="236"/>
        <v>1900</v>
      </c>
      <c r="Q1653" s="29" t="str">
        <f t="shared" si="237"/>
        <v/>
      </c>
      <c r="R1653" s="29" t="str">
        <f t="shared" si="238"/>
        <v/>
      </c>
    </row>
    <row r="1654" spans="1:18">
      <c r="A1654" s="483">
        <f t="shared" si="232"/>
        <v>1650</v>
      </c>
      <c r="B1654" s="77"/>
      <c r="C1654" s="77"/>
      <c r="D1654" s="858"/>
      <c r="E1654" s="858">
        <f t="shared" si="234"/>
        <v>0</v>
      </c>
      <c r="F1654" s="887">
        <f t="shared" si="235"/>
        <v>1900</v>
      </c>
      <c r="G1654" s="888"/>
      <c r="H1654" s="889"/>
      <c r="I1654" s="888"/>
      <c r="J1654" s="888"/>
      <c r="K1654" s="980"/>
      <c r="L1654" s="77"/>
      <c r="M1654" s="78">
        <f t="shared" si="233"/>
        <v>0</v>
      </c>
      <c r="N1654" s="748"/>
      <c r="P1654" s="29" t="str">
        <f t="shared" si="236"/>
        <v>1900</v>
      </c>
      <c r="Q1654" s="29" t="str">
        <f t="shared" si="237"/>
        <v/>
      </c>
      <c r="R1654" s="29" t="str">
        <f t="shared" si="238"/>
        <v/>
      </c>
    </row>
    <row r="1655" spans="1:18">
      <c r="A1655" s="483">
        <f t="shared" si="232"/>
        <v>1651</v>
      </c>
      <c r="B1655" s="77"/>
      <c r="C1655" s="77"/>
      <c r="D1655" s="858"/>
      <c r="E1655" s="858">
        <f t="shared" si="234"/>
        <v>0</v>
      </c>
      <c r="F1655" s="887">
        <f t="shared" si="235"/>
        <v>1900</v>
      </c>
      <c r="G1655" s="888"/>
      <c r="H1655" s="889"/>
      <c r="I1655" s="888"/>
      <c r="J1655" s="888"/>
      <c r="K1655" s="980"/>
      <c r="L1655" s="77"/>
      <c r="M1655" s="78">
        <f t="shared" si="233"/>
        <v>0</v>
      </c>
      <c r="N1655" s="748"/>
      <c r="P1655" s="29" t="str">
        <f t="shared" si="236"/>
        <v>1900</v>
      </c>
      <c r="Q1655" s="29" t="str">
        <f t="shared" si="237"/>
        <v/>
      </c>
      <c r="R1655" s="29" t="str">
        <f t="shared" si="238"/>
        <v/>
      </c>
    </row>
    <row r="1656" spans="1:18">
      <c r="A1656" s="483">
        <f t="shared" si="232"/>
        <v>1652</v>
      </c>
      <c r="B1656" s="77"/>
      <c r="C1656" s="77"/>
      <c r="D1656" s="858"/>
      <c r="E1656" s="858">
        <f t="shared" si="234"/>
        <v>0</v>
      </c>
      <c r="F1656" s="887">
        <f t="shared" si="235"/>
        <v>1900</v>
      </c>
      <c r="G1656" s="888"/>
      <c r="H1656" s="889"/>
      <c r="I1656" s="888"/>
      <c r="J1656" s="888"/>
      <c r="K1656" s="980"/>
      <c r="L1656" s="77"/>
      <c r="M1656" s="78">
        <f t="shared" si="233"/>
        <v>0</v>
      </c>
      <c r="N1656" s="748"/>
      <c r="P1656" s="29" t="str">
        <f t="shared" si="236"/>
        <v>1900</v>
      </c>
      <c r="Q1656" s="29" t="str">
        <f t="shared" si="237"/>
        <v/>
      </c>
      <c r="R1656" s="29" t="str">
        <f t="shared" si="238"/>
        <v/>
      </c>
    </row>
    <row r="1657" spans="1:18">
      <c r="A1657" s="483">
        <f t="shared" si="232"/>
        <v>1653</v>
      </c>
      <c r="B1657" s="77"/>
      <c r="C1657" s="77"/>
      <c r="D1657" s="858"/>
      <c r="E1657" s="858">
        <f t="shared" si="234"/>
        <v>0</v>
      </c>
      <c r="F1657" s="887">
        <f t="shared" si="235"/>
        <v>1900</v>
      </c>
      <c r="G1657" s="888"/>
      <c r="H1657" s="889"/>
      <c r="I1657" s="888"/>
      <c r="J1657" s="888"/>
      <c r="K1657" s="980"/>
      <c r="L1657" s="77"/>
      <c r="M1657" s="78">
        <f t="shared" si="233"/>
        <v>0</v>
      </c>
      <c r="N1657" s="748"/>
      <c r="P1657" s="29" t="str">
        <f t="shared" si="236"/>
        <v>1900</v>
      </c>
      <c r="Q1657" s="29" t="str">
        <f t="shared" si="237"/>
        <v/>
      </c>
      <c r="R1657" s="29" t="str">
        <f t="shared" si="238"/>
        <v/>
      </c>
    </row>
    <row r="1658" spans="1:18">
      <c r="A1658" s="483">
        <f t="shared" si="232"/>
        <v>1654</v>
      </c>
      <c r="B1658" s="77"/>
      <c r="C1658" s="77"/>
      <c r="D1658" s="858"/>
      <c r="E1658" s="858">
        <f t="shared" si="234"/>
        <v>0</v>
      </c>
      <c r="F1658" s="887">
        <f t="shared" si="235"/>
        <v>1900</v>
      </c>
      <c r="G1658" s="888"/>
      <c r="H1658" s="889"/>
      <c r="I1658" s="888"/>
      <c r="J1658" s="888"/>
      <c r="K1658" s="980"/>
      <c r="L1658" s="77"/>
      <c r="M1658" s="78">
        <f t="shared" si="233"/>
        <v>0</v>
      </c>
      <c r="N1658" s="748"/>
      <c r="P1658" s="29" t="str">
        <f t="shared" si="236"/>
        <v>1900</v>
      </c>
      <c r="Q1658" s="29" t="str">
        <f t="shared" si="237"/>
        <v/>
      </c>
      <c r="R1658" s="29" t="str">
        <f t="shared" si="238"/>
        <v/>
      </c>
    </row>
    <row r="1659" spans="1:18">
      <c r="A1659" s="483">
        <f t="shared" si="232"/>
        <v>1655</v>
      </c>
      <c r="B1659" s="77"/>
      <c r="C1659" s="77"/>
      <c r="D1659" s="858"/>
      <c r="E1659" s="858">
        <f t="shared" si="234"/>
        <v>0</v>
      </c>
      <c r="F1659" s="887">
        <f t="shared" si="235"/>
        <v>1900</v>
      </c>
      <c r="G1659" s="888"/>
      <c r="H1659" s="889"/>
      <c r="I1659" s="888"/>
      <c r="J1659" s="888"/>
      <c r="K1659" s="980"/>
      <c r="L1659" s="77"/>
      <c r="M1659" s="78">
        <f t="shared" si="233"/>
        <v>0</v>
      </c>
      <c r="N1659" s="748"/>
      <c r="P1659" s="29" t="str">
        <f t="shared" si="236"/>
        <v>1900</v>
      </c>
      <c r="Q1659" s="29" t="str">
        <f t="shared" si="237"/>
        <v/>
      </c>
      <c r="R1659" s="29" t="str">
        <f t="shared" si="238"/>
        <v/>
      </c>
    </row>
    <row r="1660" spans="1:18">
      <c r="A1660" s="483">
        <f t="shared" si="232"/>
        <v>1656</v>
      </c>
      <c r="B1660" s="77"/>
      <c r="C1660" s="77"/>
      <c r="D1660" s="858"/>
      <c r="E1660" s="858">
        <f t="shared" si="234"/>
        <v>0</v>
      </c>
      <c r="F1660" s="887">
        <f t="shared" si="235"/>
        <v>1900</v>
      </c>
      <c r="G1660" s="888"/>
      <c r="H1660" s="889"/>
      <c r="I1660" s="888"/>
      <c r="J1660" s="888"/>
      <c r="K1660" s="980"/>
      <c r="L1660" s="77"/>
      <c r="M1660" s="78">
        <f t="shared" si="233"/>
        <v>0</v>
      </c>
      <c r="N1660" s="748"/>
      <c r="P1660" s="29" t="str">
        <f t="shared" si="236"/>
        <v>1900</v>
      </c>
      <c r="Q1660" s="29" t="str">
        <f t="shared" si="237"/>
        <v/>
      </c>
      <c r="R1660" s="29" t="str">
        <f t="shared" si="238"/>
        <v/>
      </c>
    </row>
    <row r="1661" spans="1:18">
      <c r="A1661" s="483">
        <f t="shared" si="232"/>
        <v>1657</v>
      </c>
      <c r="B1661" s="77"/>
      <c r="C1661" s="77"/>
      <c r="D1661" s="858"/>
      <c r="E1661" s="858">
        <f t="shared" si="234"/>
        <v>0</v>
      </c>
      <c r="F1661" s="887">
        <f t="shared" si="235"/>
        <v>1900</v>
      </c>
      <c r="G1661" s="888"/>
      <c r="H1661" s="889"/>
      <c r="I1661" s="888"/>
      <c r="J1661" s="888"/>
      <c r="K1661" s="980"/>
      <c r="L1661" s="77"/>
      <c r="M1661" s="78">
        <f t="shared" si="233"/>
        <v>0</v>
      </c>
      <c r="N1661" s="748"/>
      <c r="P1661" s="29" t="str">
        <f t="shared" si="236"/>
        <v>1900</v>
      </c>
      <c r="Q1661" s="29" t="str">
        <f t="shared" si="237"/>
        <v/>
      </c>
      <c r="R1661" s="29" t="str">
        <f t="shared" si="238"/>
        <v/>
      </c>
    </row>
    <row r="1662" spans="1:18">
      <c r="A1662" s="483">
        <f t="shared" si="232"/>
        <v>1658</v>
      </c>
      <c r="B1662" s="77"/>
      <c r="C1662" s="77"/>
      <c r="D1662" s="858"/>
      <c r="E1662" s="858">
        <f t="shared" si="234"/>
        <v>0</v>
      </c>
      <c r="F1662" s="887">
        <f t="shared" si="235"/>
        <v>1900</v>
      </c>
      <c r="G1662" s="888"/>
      <c r="H1662" s="889"/>
      <c r="I1662" s="888"/>
      <c r="J1662" s="888"/>
      <c r="K1662" s="980"/>
      <c r="L1662" s="77"/>
      <c r="M1662" s="78">
        <f t="shared" si="233"/>
        <v>0</v>
      </c>
      <c r="N1662" s="748"/>
      <c r="P1662" s="29" t="str">
        <f t="shared" si="236"/>
        <v>1900</v>
      </c>
      <c r="Q1662" s="29" t="str">
        <f t="shared" si="237"/>
        <v/>
      </c>
      <c r="R1662" s="29" t="str">
        <f t="shared" si="238"/>
        <v/>
      </c>
    </row>
    <row r="1663" spans="1:18">
      <c r="A1663" s="483">
        <f t="shared" si="232"/>
        <v>1659</v>
      </c>
      <c r="B1663" s="77"/>
      <c r="C1663" s="77"/>
      <c r="D1663" s="858"/>
      <c r="E1663" s="858">
        <f t="shared" si="234"/>
        <v>0</v>
      </c>
      <c r="F1663" s="887">
        <f t="shared" si="235"/>
        <v>1900</v>
      </c>
      <c r="G1663" s="888"/>
      <c r="H1663" s="889"/>
      <c r="I1663" s="888"/>
      <c r="J1663" s="888"/>
      <c r="K1663" s="980"/>
      <c r="L1663" s="77"/>
      <c r="M1663" s="78">
        <f t="shared" si="233"/>
        <v>0</v>
      </c>
      <c r="N1663" s="748"/>
      <c r="P1663" s="29" t="str">
        <f t="shared" si="236"/>
        <v>1900</v>
      </c>
      <c r="Q1663" s="29" t="str">
        <f t="shared" si="237"/>
        <v/>
      </c>
      <c r="R1663" s="29" t="str">
        <f t="shared" si="238"/>
        <v/>
      </c>
    </row>
    <row r="1664" spans="1:18">
      <c r="A1664" s="483">
        <f t="shared" si="232"/>
        <v>1660</v>
      </c>
      <c r="B1664" s="77"/>
      <c r="C1664" s="77"/>
      <c r="D1664" s="858"/>
      <c r="E1664" s="858">
        <f t="shared" si="234"/>
        <v>0</v>
      </c>
      <c r="F1664" s="887">
        <f t="shared" si="235"/>
        <v>1900</v>
      </c>
      <c r="G1664" s="888"/>
      <c r="H1664" s="889"/>
      <c r="I1664" s="888"/>
      <c r="J1664" s="888"/>
      <c r="K1664" s="980"/>
      <c r="L1664" s="77"/>
      <c r="M1664" s="78">
        <f t="shared" si="233"/>
        <v>0</v>
      </c>
      <c r="N1664" s="748"/>
      <c r="P1664" s="29" t="str">
        <f t="shared" si="236"/>
        <v>1900</v>
      </c>
      <c r="Q1664" s="29" t="str">
        <f t="shared" si="237"/>
        <v/>
      </c>
      <c r="R1664" s="29" t="str">
        <f t="shared" si="238"/>
        <v/>
      </c>
    </row>
    <row r="1665" spans="1:18">
      <c r="A1665" s="483">
        <f t="shared" si="232"/>
        <v>1661</v>
      </c>
      <c r="B1665" s="77"/>
      <c r="C1665" s="77"/>
      <c r="D1665" s="858"/>
      <c r="E1665" s="858">
        <f t="shared" si="234"/>
        <v>0</v>
      </c>
      <c r="F1665" s="887">
        <f t="shared" si="235"/>
        <v>1900</v>
      </c>
      <c r="G1665" s="888"/>
      <c r="H1665" s="889"/>
      <c r="I1665" s="888"/>
      <c r="J1665" s="888"/>
      <c r="K1665" s="980"/>
      <c r="L1665" s="77"/>
      <c r="M1665" s="78">
        <f t="shared" si="233"/>
        <v>0</v>
      </c>
      <c r="N1665" s="748"/>
      <c r="P1665" s="29" t="str">
        <f t="shared" si="236"/>
        <v>1900</v>
      </c>
      <c r="Q1665" s="29" t="str">
        <f t="shared" si="237"/>
        <v/>
      </c>
      <c r="R1665" s="29" t="str">
        <f t="shared" si="238"/>
        <v/>
      </c>
    </row>
    <row r="1666" spans="1:18">
      <c r="A1666" s="483">
        <f t="shared" si="232"/>
        <v>1662</v>
      </c>
      <c r="B1666" s="77"/>
      <c r="C1666" s="77"/>
      <c r="D1666" s="858"/>
      <c r="E1666" s="858">
        <f t="shared" si="234"/>
        <v>0</v>
      </c>
      <c r="F1666" s="887">
        <f t="shared" si="235"/>
        <v>1900</v>
      </c>
      <c r="G1666" s="888"/>
      <c r="H1666" s="889"/>
      <c r="I1666" s="888"/>
      <c r="J1666" s="888"/>
      <c r="K1666" s="980"/>
      <c r="L1666" s="77"/>
      <c r="M1666" s="78">
        <f t="shared" si="233"/>
        <v>0</v>
      </c>
      <c r="N1666" s="748"/>
      <c r="P1666" s="29" t="str">
        <f t="shared" si="236"/>
        <v>1900</v>
      </c>
      <c r="Q1666" s="29" t="str">
        <f t="shared" si="237"/>
        <v/>
      </c>
      <c r="R1666" s="29" t="str">
        <f t="shared" si="238"/>
        <v/>
      </c>
    </row>
    <row r="1667" spans="1:18">
      <c r="A1667" s="483">
        <f t="shared" si="232"/>
        <v>1663</v>
      </c>
      <c r="B1667" s="77"/>
      <c r="C1667" s="77"/>
      <c r="D1667" s="858"/>
      <c r="E1667" s="858">
        <f t="shared" si="234"/>
        <v>0</v>
      </c>
      <c r="F1667" s="887">
        <f t="shared" si="235"/>
        <v>1900</v>
      </c>
      <c r="G1667" s="888"/>
      <c r="H1667" s="889"/>
      <c r="I1667" s="888"/>
      <c r="J1667" s="888"/>
      <c r="K1667" s="980"/>
      <c r="L1667" s="77"/>
      <c r="M1667" s="78">
        <f t="shared" si="233"/>
        <v>0</v>
      </c>
      <c r="N1667" s="748"/>
      <c r="P1667" s="29" t="str">
        <f t="shared" si="236"/>
        <v>1900</v>
      </c>
      <c r="Q1667" s="29" t="str">
        <f t="shared" si="237"/>
        <v/>
      </c>
      <c r="R1667" s="29" t="str">
        <f t="shared" si="238"/>
        <v/>
      </c>
    </row>
    <row r="1668" spans="1:18">
      <c r="A1668" s="483">
        <f t="shared" si="232"/>
        <v>1664</v>
      </c>
      <c r="B1668" s="77"/>
      <c r="C1668" s="77"/>
      <c r="D1668" s="858"/>
      <c r="E1668" s="858">
        <f t="shared" si="234"/>
        <v>0</v>
      </c>
      <c r="F1668" s="887">
        <f t="shared" si="235"/>
        <v>1900</v>
      </c>
      <c r="G1668" s="888"/>
      <c r="H1668" s="889"/>
      <c r="I1668" s="888"/>
      <c r="J1668" s="888"/>
      <c r="K1668" s="980"/>
      <c r="L1668" s="77"/>
      <c r="M1668" s="78">
        <f t="shared" si="233"/>
        <v>0</v>
      </c>
      <c r="N1668" s="748"/>
      <c r="P1668" s="29" t="str">
        <f t="shared" si="236"/>
        <v>1900</v>
      </c>
      <c r="Q1668" s="29" t="str">
        <f t="shared" si="237"/>
        <v/>
      </c>
      <c r="R1668" s="29" t="str">
        <f t="shared" si="238"/>
        <v/>
      </c>
    </row>
    <row r="1669" spans="1:18">
      <c r="A1669" s="483">
        <f t="shared" si="232"/>
        <v>1665</v>
      </c>
      <c r="B1669" s="77"/>
      <c r="C1669" s="77"/>
      <c r="D1669" s="858"/>
      <c r="E1669" s="858">
        <f t="shared" si="234"/>
        <v>0</v>
      </c>
      <c r="F1669" s="887">
        <f t="shared" si="235"/>
        <v>1900</v>
      </c>
      <c r="G1669" s="888"/>
      <c r="H1669" s="889"/>
      <c r="I1669" s="888"/>
      <c r="J1669" s="888"/>
      <c r="K1669" s="980"/>
      <c r="L1669" s="77"/>
      <c r="M1669" s="78">
        <f t="shared" si="233"/>
        <v>0</v>
      </c>
      <c r="N1669" s="748"/>
      <c r="P1669" s="29" t="str">
        <f t="shared" si="236"/>
        <v>1900</v>
      </c>
      <c r="Q1669" s="29" t="str">
        <f t="shared" si="237"/>
        <v/>
      </c>
      <c r="R1669" s="29" t="str">
        <f t="shared" si="238"/>
        <v/>
      </c>
    </row>
    <row r="1670" spans="1:18">
      <c r="A1670" s="483">
        <f t="shared" si="232"/>
        <v>1666</v>
      </c>
      <c r="B1670" s="77"/>
      <c r="C1670" s="77"/>
      <c r="D1670" s="858"/>
      <c r="E1670" s="858">
        <f t="shared" si="234"/>
        <v>0</v>
      </c>
      <c r="F1670" s="887">
        <f t="shared" si="235"/>
        <v>1900</v>
      </c>
      <c r="G1670" s="888"/>
      <c r="H1670" s="889"/>
      <c r="I1670" s="888"/>
      <c r="J1670" s="888"/>
      <c r="K1670" s="980"/>
      <c r="L1670" s="77"/>
      <c r="M1670" s="78">
        <f t="shared" si="233"/>
        <v>0</v>
      </c>
      <c r="N1670" s="748"/>
      <c r="P1670" s="29" t="str">
        <f t="shared" si="236"/>
        <v>1900</v>
      </c>
      <c r="Q1670" s="29" t="str">
        <f t="shared" si="237"/>
        <v/>
      </c>
      <c r="R1670" s="29" t="str">
        <f t="shared" si="238"/>
        <v/>
      </c>
    </row>
    <row r="1671" spans="1:18">
      <c r="A1671" s="483">
        <f t="shared" si="232"/>
        <v>1667</v>
      </c>
      <c r="B1671" s="77"/>
      <c r="C1671" s="77"/>
      <c r="D1671" s="858"/>
      <c r="E1671" s="858">
        <f t="shared" si="234"/>
        <v>0</v>
      </c>
      <c r="F1671" s="887">
        <f t="shared" si="235"/>
        <v>1900</v>
      </c>
      <c r="G1671" s="888"/>
      <c r="H1671" s="889"/>
      <c r="I1671" s="888"/>
      <c r="J1671" s="888"/>
      <c r="K1671" s="980"/>
      <c r="L1671" s="77"/>
      <c r="M1671" s="78">
        <f t="shared" si="233"/>
        <v>0</v>
      </c>
      <c r="N1671" s="748"/>
      <c r="P1671" s="29" t="str">
        <f t="shared" si="236"/>
        <v>1900</v>
      </c>
      <c r="Q1671" s="29" t="str">
        <f t="shared" si="237"/>
        <v/>
      </c>
      <c r="R1671" s="29" t="str">
        <f t="shared" si="238"/>
        <v/>
      </c>
    </row>
    <row r="1672" spans="1:18">
      <c r="A1672" s="483">
        <f t="shared" ref="A1672:A1735" si="239">+A1671+1</f>
        <v>1668</v>
      </c>
      <c r="B1672" s="77"/>
      <c r="C1672" s="77"/>
      <c r="D1672" s="858"/>
      <c r="E1672" s="858">
        <f t="shared" si="234"/>
        <v>0</v>
      </c>
      <c r="F1672" s="887">
        <f t="shared" si="235"/>
        <v>1900</v>
      </c>
      <c r="G1672" s="888"/>
      <c r="H1672" s="889"/>
      <c r="I1672" s="888"/>
      <c r="J1672" s="888"/>
      <c r="K1672" s="980"/>
      <c r="L1672" s="77"/>
      <c r="M1672" s="78">
        <f t="shared" si="233"/>
        <v>0</v>
      </c>
      <c r="N1672" s="748"/>
      <c r="P1672" s="29" t="str">
        <f t="shared" si="236"/>
        <v>1900</v>
      </c>
      <c r="Q1672" s="29" t="str">
        <f t="shared" si="237"/>
        <v/>
      </c>
      <c r="R1672" s="29" t="str">
        <f t="shared" si="238"/>
        <v/>
      </c>
    </row>
    <row r="1673" spans="1:18">
      <c r="A1673" s="483">
        <f t="shared" si="239"/>
        <v>1669</v>
      </c>
      <c r="B1673" s="77"/>
      <c r="C1673" s="77"/>
      <c r="D1673" s="858"/>
      <c r="E1673" s="858">
        <f t="shared" si="234"/>
        <v>0</v>
      </c>
      <c r="F1673" s="887">
        <f t="shared" si="235"/>
        <v>1900</v>
      </c>
      <c r="G1673" s="888"/>
      <c r="H1673" s="889"/>
      <c r="I1673" s="888"/>
      <c r="J1673" s="888"/>
      <c r="K1673" s="980"/>
      <c r="L1673" s="77"/>
      <c r="M1673" s="78">
        <f t="shared" si="233"/>
        <v>0</v>
      </c>
      <c r="N1673" s="748"/>
      <c r="P1673" s="29" t="str">
        <f t="shared" si="236"/>
        <v>1900</v>
      </c>
      <c r="Q1673" s="29" t="str">
        <f t="shared" si="237"/>
        <v/>
      </c>
      <c r="R1673" s="29" t="str">
        <f t="shared" si="238"/>
        <v/>
      </c>
    </row>
    <row r="1674" spans="1:18">
      <c r="A1674" s="483">
        <f t="shared" si="239"/>
        <v>1670</v>
      </c>
      <c r="B1674" s="77"/>
      <c r="C1674" s="77"/>
      <c r="D1674" s="858"/>
      <c r="E1674" s="858">
        <f t="shared" si="234"/>
        <v>0</v>
      </c>
      <c r="F1674" s="887">
        <f t="shared" si="235"/>
        <v>1900</v>
      </c>
      <c r="G1674" s="888"/>
      <c r="H1674" s="889"/>
      <c r="I1674" s="888"/>
      <c r="J1674" s="888"/>
      <c r="K1674" s="980"/>
      <c r="L1674" s="77"/>
      <c r="M1674" s="78">
        <f t="shared" si="233"/>
        <v>0</v>
      </c>
      <c r="N1674" s="748"/>
      <c r="P1674" s="29" t="str">
        <f t="shared" si="236"/>
        <v>1900</v>
      </c>
      <c r="Q1674" s="29" t="str">
        <f t="shared" si="237"/>
        <v/>
      </c>
      <c r="R1674" s="29" t="str">
        <f t="shared" si="238"/>
        <v/>
      </c>
    </row>
    <row r="1675" spans="1:18">
      <c r="A1675" s="483">
        <f t="shared" si="239"/>
        <v>1671</v>
      </c>
      <c r="B1675" s="77"/>
      <c r="C1675" s="77"/>
      <c r="D1675" s="858"/>
      <c r="E1675" s="858">
        <f t="shared" si="234"/>
        <v>0</v>
      </c>
      <c r="F1675" s="887">
        <f t="shared" si="235"/>
        <v>1900</v>
      </c>
      <c r="G1675" s="888"/>
      <c r="H1675" s="889"/>
      <c r="I1675" s="888"/>
      <c r="J1675" s="888"/>
      <c r="K1675" s="980"/>
      <c r="L1675" s="77"/>
      <c r="M1675" s="78">
        <f t="shared" si="233"/>
        <v>0</v>
      </c>
      <c r="N1675" s="748"/>
      <c r="P1675" s="29" t="str">
        <f t="shared" si="236"/>
        <v>1900</v>
      </c>
      <c r="Q1675" s="29" t="str">
        <f t="shared" si="237"/>
        <v/>
      </c>
      <c r="R1675" s="29" t="str">
        <f t="shared" si="238"/>
        <v/>
      </c>
    </row>
    <row r="1676" spans="1:18">
      <c r="A1676" s="483">
        <f t="shared" si="239"/>
        <v>1672</v>
      </c>
      <c r="B1676" s="77"/>
      <c r="C1676" s="77"/>
      <c r="D1676" s="858"/>
      <c r="E1676" s="858">
        <f t="shared" si="234"/>
        <v>0</v>
      </c>
      <c r="F1676" s="887">
        <f t="shared" si="235"/>
        <v>1900</v>
      </c>
      <c r="G1676" s="888"/>
      <c r="H1676" s="889"/>
      <c r="I1676" s="888"/>
      <c r="J1676" s="888"/>
      <c r="K1676" s="980"/>
      <c r="L1676" s="77"/>
      <c r="M1676" s="78">
        <f t="shared" ref="M1676:M1739" si="240">+L1676</f>
        <v>0</v>
      </c>
      <c r="N1676" s="748"/>
      <c r="P1676" s="29" t="str">
        <f t="shared" si="236"/>
        <v>1900</v>
      </c>
      <c r="Q1676" s="29" t="str">
        <f t="shared" si="237"/>
        <v/>
      </c>
      <c r="R1676" s="29" t="str">
        <f t="shared" si="238"/>
        <v/>
      </c>
    </row>
    <row r="1677" spans="1:18">
      <c r="A1677" s="483">
        <f t="shared" si="239"/>
        <v>1673</v>
      </c>
      <c r="B1677" s="77"/>
      <c r="C1677" s="77"/>
      <c r="D1677" s="858"/>
      <c r="E1677" s="858">
        <f t="shared" si="234"/>
        <v>0</v>
      </c>
      <c r="F1677" s="887">
        <f t="shared" si="235"/>
        <v>1900</v>
      </c>
      <c r="G1677" s="888"/>
      <c r="H1677" s="889"/>
      <c r="I1677" s="888"/>
      <c r="J1677" s="888"/>
      <c r="K1677" s="980"/>
      <c r="L1677" s="77"/>
      <c r="M1677" s="78">
        <f t="shared" si="240"/>
        <v>0</v>
      </c>
      <c r="N1677" s="748"/>
      <c r="P1677" s="29" t="str">
        <f t="shared" si="236"/>
        <v>1900</v>
      </c>
      <c r="Q1677" s="29" t="str">
        <f t="shared" si="237"/>
        <v/>
      </c>
      <c r="R1677" s="29" t="str">
        <f t="shared" si="238"/>
        <v/>
      </c>
    </row>
    <row r="1678" spans="1:18">
      <c r="A1678" s="483">
        <f t="shared" si="239"/>
        <v>1674</v>
      </c>
      <c r="B1678" s="77"/>
      <c r="C1678" s="77"/>
      <c r="D1678" s="858"/>
      <c r="E1678" s="858">
        <f t="shared" si="234"/>
        <v>0</v>
      </c>
      <c r="F1678" s="887">
        <f t="shared" si="235"/>
        <v>1900</v>
      </c>
      <c r="G1678" s="888"/>
      <c r="H1678" s="889"/>
      <c r="I1678" s="888"/>
      <c r="J1678" s="888"/>
      <c r="K1678" s="980"/>
      <c r="L1678" s="77"/>
      <c r="M1678" s="78">
        <f t="shared" si="240"/>
        <v>0</v>
      </c>
      <c r="N1678" s="748"/>
      <c r="P1678" s="29" t="str">
        <f t="shared" si="236"/>
        <v>1900</v>
      </c>
      <c r="Q1678" s="29" t="str">
        <f t="shared" si="237"/>
        <v/>
      </c>
      <c r="R1678" s="29" t="str">
        <f t="shared" si="238"/>
        <v/>
      </c>
    </row>
    <row r="1679" spans="1:18">
      <c r="A1679" s="483">
        <f t="shared" si="239"/>
        <v>1675</v>
      </c>
      <c r="B1679" s="77"/>
      <c r="C1679" s="77"/>
      <c r="D1679" s="858"/>
      <c r="E1679" s="858">
        <f t="shared" si="234"/>
        <v>0</v>
      </c>
      <c r="F1679" s="887">
        <f t="shared" si="235"/>
        <v>1900</v>
      </c>
      <c r="G1679" s="888"/>
      <c r="H1679" s="889"/>
      <c r="I1679" s="888"/>
      <c r="J1679" s="888"/>
      <c r="K1679" s="980"/>
      <c r="L1679" s="77"/>
      <c r="M1679" s="78">
        <f t="shared" si="240"/>
        <v>0</v>
      </c>
      <c r="N1679" s="748"/>
      <c r="P1679" s="29" t="str">
        <f t="shared" si="236"/>
        <v>1900</v>
      </c>
      <c r="Q1679" s="29" t="str">
        <f t="shared" si="237"/>
        <v/>
      </c>
      <c r="R1679" s="29" t="str">
        <f t="shared" si="238"/>
        <v/>
      </c>
    </row>
    <row r="1680" spans="1:18">
      <c r="A1680" s="483">
        <f t="shared" si="239"/>
        <v>1676</v>
      </c>
      <c r="B1680" s="77"/>
      <c r="C1680" s="77"/>
      <c r="D1680" s="858"/>
      <c r="E1680" s="858">
        <f t="shared" si="234"/>
        <v>0</v>
      </c>
      <c r="F1680" s="887">
        <f t="shared" si="235"/>
        <v>1900</v>
      </c>
      <c r="G1680" s="888"/>
      <c r="H1680" s="889"/>
      <c r="I1680" s="888"/>
      <c r="J1680" s="888"/>
      <c r="K1680" s="980"/>
      <c r="L1680" s="77"/>
      <c r="M1680" s="78">
        <f t="shared" si="240"/>
        <v>0</v>
      </c>
      <c r="N1680" s="748"/>
      <c r="P1680" s="29" t="str">
        <f t="shared" si="236"/>
        <v>1900</v>
      </c>
      <c r="Q1680" s="29" t="str">
        <f t="shared" si="237"/>
        <v/>
      </c>
      <c r="R1680" s="29" t="str">
        <f t="shared" si="238"/>
        <v/>
      </c>
    </row>
    <row r="1681" spans="1:18">
      <c r="A1681" s="483">
        <f t="shared" si="239"/>
        <v>1677</v>
      </c>
      <c r="B1681" s="77"/>
      <c r="C1681" s="77"/>
      <c r="D1681" s="858"/>
      <c r="E1681" s="858">
        <f t="shared" si="234"/>
        <v>0</v>
      </c>
      <c r="F1681" s="887">
        <f t="shared" si="235"/>
        <v>1900</v>
      </c>
      <c r="G1681" s="888"/>
      <c r="H1681" s="889"/>
      <c r="I1681" s="888"/>
      <c r="J1681" s="888"/>
      <c r="K1681" s="980"/>
      <c r="L1681" s="77"/>
      <c r="M1681" s="78">
        <f t="shared" si="240"/>
        <v>0</v>
      </c>
      <c r="N1681" s="748"/>
      <c r="P1681" s="29" t="str">
        <f t="shared" si="236"/>
        <v>1900</v>
      </c>
      <c r="Q1681" s="29" t="str">
        <f t="shared" si="237"/>
        <v/>
      </c>
      <c r="R1681" s="29" t="str">
        <f t="shared" si="238"/>
        <v/>
      </c>
    </row>
    <row r="1682" spans="1:18">
      <c r="A1682" s="483">
        <f t="shared" si="239"/>
        <v>1678</v>
      </c>
      <c r="B1682" s="77"/>
      <c r="C1682" s="77"/>
      <c r="D1682" s="858"/>
      <c r="E1682" s="858">
        <f t="shared" si="234"/>
        <v>0</v>
      </c>
      <c r="F1682" s="887">
        <f t="shared" si="235"/>
        <v>1900</v>
      </c>
      <c r="G1682" s="888"/>
      <c r="H1682" s="889"/>
      <c r="I1682" s="888"/>
      <c r="J1682" s="888"/>
      <c r="K1682" s="980"/>
      <c r="L1682" s="77"/>
      <c r="M1682" s="78">
        <f t="shared" si="240"/>
        <v>0</v>
      </c>
      <c r="N1682" s="748"/>
      <c r="P1682" s="29" t="str">
        <f t="shared" si="236"/>
        <v>1900</v>
      </c>
      <c r="Q1682" s="29" t="str">
        <f t="shared" si="237"/>
        <v/>
      </c>
      <c r="R1682" s="29" t="str">
        <f t="shared" si="238"/>
        <v/>
      </c>
    </row>
    <row r="1683" spans="1:18">
      <c r="A1683" s="483">
        <f t="shared" si="239"/>
        <v>1679</v>
      </c>
      <c r="B1683" s="77"/>
      <c r="C1683" s="77"/>
      <c r="D1683" s="858"/>
      <c r="E1683" s="858">
        <f t="shared" si="234"/>
        <v>0</v>
      </c>
      <c r="F1683" s="887">
        <f t="shared" si="235"/>
        <v>1900</v>
      </c>
      <c r="G1683" s="888"/>
      <c r="H1683" s="889"/>
      <c r="I1683" s="888"/>
      <c r="J1683" s="888"/>
      <c r="K1683" s="980"/>
      <c r="L1683" s="77"/>
      <c r="M1683" s="78">
        <f t="shared" si="240"/>
        <v>0</v>
      </c>
      <c r="N1683" s="748"/>
      <c r="P1683" s="29" t="str">
        <f t="shared" si="236"/>
        <v>1900</v>
      </c>
      <c r="Q1683" s="29" t="str">
        <f t="shared" si="237"/>
        <v/>
      </c>
      <c r="R1683" s="29" t="str">
        <f t="shared" si="238"/>
        <v/>
      </c>
    </row>
    <row r="1684" spans="1:18">
      <c r="A1684" s="483">
        <f t="shared" si="239"/>
        <v>1680</v>
      </c>
      <c r="B1684" s="77"/>
      <c r="C1684" s="77"/>
      <c r="D1684" s="858"/>
      <c r="E1684" s="858">
        <f t="shared" si="234"/>
        <v>0</v>
      </c>
      <c r="F1684" s="887">
        <f t="shared" si="235"/>
        <v>1900</v>
      </c>
      <c r="G1684" s="888"/>
      <c r="H1684" s="889"/>
      <c r="I1684" s="888"/>
      <c r="J1684" s="888"/>
      <c r="K1684" s="980"/>
      <c r="L1684" s="77"/>
      <c r="M1684" s="78">
        <f t="shared" si="240"/>
        <v>0</v>
      </c>
      <c r="N1684" s="748"/>
      <c r="P1684" s="29" t="str">
        <f t="shared" si="236"/>
        <v>1900</v>
      </c>
      <c r="Q1684" s="29" t="str">
        <f t="shared" si="237"/>
        <v/>
      </c>
      <c r="R1684" s="29" t="str">
        <f t="shared" si="238"/>
        <v/>
      </c>
    </row>
    <row r="1685" spans="1:18">
      <c r="A1685" s="483">
        <f t="shared" si="239"/>
        <v>1681</v>
      </c>
      <c r="B1685" s="77"/>
      <c r="C1685" s="77"/>
      <c r="D1685" s="858"/>
      <c r="E1685" s="858">
        <f t="shared" si="234"/>
        <v>0</v>
      </c>
      <c r="F1685" s="887">
        <f t="shared" si="235"/>
        <v>1900</v>
      </c>
      <c r="G1685" s="888"/>
      <c r="H1685" s="889"/>
      <c r="I1685" s="888"/>
      <c r="J1685" s="888"/>
      <c r="K1685" s="980"/>
      <c r="L1685" s="77"/>
      <c r="M1685" s="78">
        <f t="shared" si="240"/>
        <v>0</v>
      </c>
      <c r="N1685" s="748"/>
      <c r="P1685" s="29" t="str">
        <f t="shared" si="236"/>
        <v>1900</v>
      </c>
      <c r="Q1685" s="29" t="str">
        <f t="shared" si="237"/>
        <v/>
      </c>
      <c r="R1685" s="29" t="str">
        <f t="shared" si="238"/>
        <v/>
      </c>
    </row>
    <row r="1686" spans="1:18">
      <c r="A1686" s="483">
        <f t="shared" si="239"/>
        <v>1682</v>
      </c>
      <c r="B1686" s="77"/>
      <c r="C1686" s="77"/>
      <c r="D1686" s="858"/>
      <c r="E1686" s="858">
        <f t="shared" si="234"/>
        <v>0</v>
      </c>
      <c r="F1686" s="887">
        <f t="shared" si="235"/>
        <v>1900</v>
      </c>
      <c r="G1686" s="888"/>
      <c r="H1686" s="889"/>
      <c r="I1686" s="888"/>
      <c r="J1686" s="888"/>
      <c r="K1686" s="980"/>
      <c r="L1686" s="77"/>
      <c r="M1686" s="78">
        <f t="shared" si="240"/>
        <v>0</v>
      </c>
      <c r="N1686" s="748"/>
      <c r="P1686" s="29" t="str">
        <f t="shared" si="236"/>
        <v>1900</v>
      </c>
      <c r="Q1686" s="29" t="str">
        <f t="shared" si="237"/>
        <v/>
      </c>
      <c r="R1686" s="29" t="str">
        <f t="shared" si="238"/>
        <v/>
      </c>
    </row>
    <row r="1687" spans="1:18">
      <c r="A1687" s="483">
        <f t="shared" si="239"/>
        <v>1683</v>
      </c>
      <c r="B1687" s="77"/>
      <c r="C1687" s="77"/>
      <c r="D1687" s="858"/>
      <c r="E1687" s="858">
        <f t="shared" si="234"/>
        <v>0</v>
      </c>
      <c r="F1687" s="887">
        <f t="shared" si="235"/>
        <v>1900</v>
      </c>
      <c r="G1687" s="888"/>
      <c r="H1687" s="889"/>
      <c r="I1687" s="888"/>
      <c r="J1687" s="888"/>
      <c r="K1687" s="980"/>
      <c r="L1687" s="77"/>
      <c r="M1687" s="78">
        <f t="shared" si="240"/>
        <v>0</v>
      </c>
      <c r="N1687" s="748"/>
      <c r="P1687" s="29" t="str">
        <f t="shared" si="236"/>
        <v>1900</v>
      </c>
      <c r="Q1687" s="29" t="str">
        <f t="shared" si="237"/>
        <v/>
      </c>
      <c r="R1687" s="29" t="str">
        <f t="shared" si="238"/>
        <v/>
      </c>
    </row>
    <row r="1688" spans="1:18">
      <c r="A1688" s="483">
        <f t="shared" si="239"/>
        <v>1684</v>
      </c>
      <c r="B1688" s="77"/>
      <c r="C1688" s="77"/>
      <c r="D1688" s="858"/>
      <c r="E1688" s="858">
        <f t="shared" si="234"/>
        <v>0</v>
      </c>
      <c r="F1688" s="887">
        <f t="shared" si="235"/>
        <v>1900</v>
      </c>
      <c r="G1688" s="888"/>
      <c r="H1688" s="889"/>
      <c r="I1688" s="888"/>
      <c r="J1688" s="888"/>
      <c r="K1688" s="980"/>
      <c r="L1688" s="77"/>
      <c r="M1688" s="78">
        <f t="shared" si="240"/>
        <v>0</v>
      </c>
      <c r="N1688" s="748"/>
      <c r="P1688" s="29" t="str">
        <f t="shared" si="236"/>
        <v>1900</v>
      </c>
      <c r="Q1688" s="29" t="str">
        <f t="shared" si="237"/>
        <v/>
      </c>
      <c r="R1688" s="29" t="str">
        <f t="shared" si="238"/>
        <v/>
      </c>
    </row>
    <row r="1689" spans="1:18">
      <c r="A1689" s="483">
        <f t="shared" si="239"/>
        <v>1685</v>
      </c>
      <c r="B1689" s="77"/>
      <c r="C1689" s="77"/>
      <c r="D1689" s="858"/>
      <c r="E1689" s="858">
        <f t="shared" si="234"/>
        <v>0</v>
      </c>
      <c r="F1689" s="887">
        <f t="shared" si="235"/>
        <v>1900</v>
      </c>
      <c r="G1689" s="888"/>
      <c r="H1689" s="889"/>
      <c r="I1689" s="888"/>
      <c r="J1689" s="888"/>
      <c r="K1689" s="980"/>
      <c r="L1689" s="77"/>
      <c r="M1689" s="78">
        <f t="shared" si="240"/>
        <v>0</v>
      </c>
      <c r="N1689" s="748"/>
      <c r="P1689" s="29" t="str">
        <f t="shared" si="236"/>
        <v>1900</v>
      </c>
      <c r="Q1689" s="29" t="str">
        <f t="shared" si="237"/>
        <v/>
      </c>
      <c r="R1689" s="29" t="str">
        <f t="shared" si="238"/>
        <v/>
      </c>
    </row>
    <row r="1690" spans="1:18">
      <c r="A1690" s="483">
        <f t="shared" si="239"/>
        <v>1686</v>
      </c>
      <c r="B1690" s="77"/>
      <c r="C1690" s="77"/>
      <c r="D1690" s="858"/>
      <c r="E1690" s="858">
        <f t="shared" si="234"/>
        <v>0</v>
      </c>
      <c r="F1690" s="887">
        <f t="shared" si="235"/>
        <v>1900</v>
      </c>
      <c r="G1690" s="888"/>
      <c r="H1690" s="889"/>
      <c r="I1690" s="888"/>
      <c r="J1690" s="888"/>
      <c r="K1690" s="980"/>
      <c r="L1690" s="77"/>
      <c r="M1690" s="78">
        <f t="shared" si="240"/>
        <v>0</v>
      </c>
      <c r="N1690" s="748"/>
      <c r="P1690" s="29" t="str">
        <f t="shared" si="236"/>
        <v>1900</v>
      </c>
      <c r="Q1690" s="29" t="str">
        <f t="shared" si="237"/>
        <v/>
      </c>
      <c r="R1690" s="29" t="str">
        <f t="shared" si="238"/>
        <v/>
      </c>
    </row>
    <row r="1691" spans="1:18">
      <c r="A1691" s="483">
        <f t="shared" si="239"/>
        <v>1687</v>
      </c>
      <c r="B1691" s="77"/>
      <c r="C1691" s="77"/>
      <c r="D1691" s="858"/>
      <c r="E1691" s="858">
        <f t="shared" si="234"/>
        <v>0</v>
      </c>
      <c r="F1691" s="887">
        <f t="shared" si="235"/>
        <v>1900</v>
      </c>
      <c r="G1691" s="888"/>
      <c r="H1691" s="889"/>
      <c r="I1691" s="888"/>
      <c r="J1691" s="888"/>
      <c r="K1691" s="980"/>
      <c r="L1691" s="77"/>
      <c r="M1691" s="78">
        <f t="shared" si="240"/>
        <v>0</v>
      </c>
      <c r="N1691" s="748"/>
      <c r="P1691" s="29" t="str">
        <f t="shared" si="236"/>
        <v>1900</v>
      </c>
      <c r="Q1691" s="29" t="str">
        <f t="shared" si="237"/>
        <v/>
      </c>
      <c r="R1691" s="29" t="str">
        <f t="shared" si="238"/>
        <v/>
      </c>
    </row>
    <row r="1692" spans="1:18">
      <c r="A1692" s="483">
        <f t="shared" si="239"/>
        <v>1688</v>
      </c>
      <c r="B1692" s="77"/>
      <c r="C1692" s="77"/>
      <c r="D1692" s="858"/>
      <c r="E1692" s="858">
        <f t="shared" si="234"/>
        <v>0</v>
      </c>
      <c r="F1692" s="887">
        <f t="shared" si="235"/>
        <v>1900</v>
      </c>
      <c r="G1692" s="888"/>
      <c r="H1692" s="889"/>
      <c r="I1692" s="888"/>
      <c r="J1692" s="888"/>
      <c r="K1692" s="980"/>
      <c r="L1692" s="77"/>
      <c r="M1692" s="78">
        <f t="shared" si="240"/>
        <v>0</v>
      </c>
      <c r="N1692" s="748"/>
      <c r="P1692" s="29" t="str">
        <f t="shared" si="236"/>
        <v>1900</v>
      </c>
      <c r="Q1692" s="29" t="str">
        <f t="shared" si="237"/>
        <v/>
      </c>
      <c r="R1692" s="29" t="str">
        <f t="shared" si="238"/>
        <v/>
      </c>
    </row>
    <row r="1693" spans="1:18">
      <c r="A1693" s="483">
        <f t="shared" si="239"/>
        <v>1689</v>
      </c>
      <c r="B1693" s="77"/>
      <c r="C1693" s="77"/>
      <c r="D1693" s="858"/>
      <c r="E1693" s="858">
        <f t="shared" si="234"/>
        <v>0</v>
      </c>
      <c r="F1693" s="887">
        <f t="shared" si="235"/>
        <v>1900</v>
      </c>
      <c r="G1693" s="888"/>
      <c r="H1693" s="889"/>
      <c r="I1693" s="888"/>
      <c r="J1693" s="888"/>
      <c r="K1693" s="980"/>
      <c r="L1693" s="77"/>
      <c r="M1693" s="78">
        <f t="shared" si="240"/>
        <v>0</v>
      </c>
      <c r="N1693" s="748"/>
      <c r="P1693" s="29" t="str">
        <f t="shared" si="236"/>
        <v>1900</v>
      </c>
      <c r="Q1693" s="29" t="str">
        <f t="shared" si="237"/>
        <v/>
      </c>
      <c r="R1693" s="29" t="str">
        <f t="shared" si="238"/>
        <v/>
      </c>
    </row>
    <row r="1694" spans="1:18">
      <c r="A1694" s="483">
        <f t="shared" si="239"/>
        <v>1690</v>
      </c>
      <c r="B1694" s="77"/>
      <c r="C1694" s="77"/>
      <c r="D1694" s="858"/>
      <c r="E1694" s="858">
        <f t="shared" si="234"/>
        <v>0</v>
      </c>
      <c r="F1694" s="887">
        <f t="shared" si="235"/>
        <v>1900</v>
      </c>
      <c r="G1694" s="888"/>
      <c r="H1694" s="889"/>
      <c r="I1694" s="888"/>
      <c r="J1694" s="888"/>
      <c r="K1694" s="980"/>
      <c r="L1694" s="77"/>
      <c r="M1694" s="78">
        <f t="shared" si="240"/>
        <v>0</v>
      </c>
      <c r="N1694" s="748"/>
      <c r="P1694" s="29" t="str">
        <f t="shared" si="236"/>
        <v>1900</v>
      </c>
      <c r="Q1694" s="29" t="str">
        <f t="shared" si="237"/>
        <v/>
      </c>
      <c r="R1694" s="29" t="str">
        <f t="shared" si="238"/>
        <v/>
      </c>
    </row>
    <row r="1695" spans="1:18">
      <c r="A1695" s="483">
        <f t="shared" si="239"/>
        <v>1691</v>
      </c>
      <c r="B1695" s="77"/>
      <c r="C1695" s="77"/>
      <c r="D1695" s="858"/>
      <c r="E1695" s="858">
        <f t="shared" si="234"/>
        <v>0</v>
      </c>
      <c r="F1695" s="887">
        <f t="shared" si="235"/>
        <v>1900</v>
      </c>
      <c r="G1695" s="888"/>
      <c r="H1695" s="889"/>
      <c r="I1695" s="888"/>
      <c r="J1695" s="888"/>
      <c r="K1695" s="980"/>
      <c r="L1695" s="77"/>
      <c r="M1695" s="78">
        <f t="shared" si="240"/>
        <v>0</v>
      </c>
      <c r="N1695" s="748"/>
      <c r="P1695" s="29" t="str">
        <f t="shared" si="236"/>
        <v>1900</v>
      </c>
      <c r="Q1695" s="29" t="str">
        <f t="shared" si="237"/>
        <v/>
      </c>
      <c r="R1695" s="29" t="str">
        <f t="shared" si="238"/>
        <v/>
      </c>
    </row>
    <row r="1696" spans="1:18">
      <c r="A1696" s="483">
        <f t="shared" si="239"/>
        <v>1692</v>
      </c>
      <c r="B1696" s="77"/>
      <c r="C1696" s="77"/>
      <c r="D1696" s="858"/>
      <c r="E1696" s="858">
        <f t="shared" si="234"/>
        <v>0</v>
      </c>
      <c r="F1696" s="887">
        <f t="shared" si="235"/>
        <v>1900</v>
      </c>
      <c r="G1696" s="888"/>
      <c r="H1696" s="889"/>
      <c r="I1696" s="888"/>
      <c r="J1696" s="888"/>
      <c r="K1696" s="980"/>
      <c r="L1696" s="77"/>
      <c r="M1696" s="78">
        <f t="shared" si="240"/>
        <v>0</v>
      </c>
      <c r="N1696" s="748"/>
      <c r="P1696" s="29" t="str">
        <f t="shared" si="236"/>
        <v>1900</v>
      </c>
      <c r="Q1696" s="29" t="str">
        <f t="shared" si="237"/>
        <v/>
      </c>
      <c r="R1696" s="29" t="str">
        <f t="shared" si="238"/>
        <v/>
      </c>
    </row>
    <row r="1697" spans="1:18">
      <c r="A1697" s="483">
        <f t="shared" si="239"/>
        <v>1693</v>
      </c>
      <c r="B1697" s="77"/>
      <c r="C1697" s="77"/>
      <c r="D1697" s="858"/>
      <c r="E1697" s="858">
        <f t="shared" si="234"/>
        <v>0</v>
      </c>
      <c r="F1697" s="887">
        <f t="shared" si="235"/>
        <v>1900</v>
      </c>
      <c r="G1697" s="888"/>
      <c r="H1697" s="889"/>
      <c r="I1697" s="888"/>
      <c r="J1697" s="888"/>
      <c r="K1697" s="980"/>
      <c r="L1697" s="77"/>
      <c r="M1697" s="78">
        <f t="shared" si="240"/>
        <v>0</v>
      </c>
      <c r="N1697" s="748"/>
      <c r="P1697" s="29" t="str">
        <f t="shared" si="236"/>
        <v>1900</v>
      </c>
      <c r="Q1697" s="29" t="str">
        <f t="shared" si="237"/>
        <v/>
      </c>
      <c r="R1697" s="29" t="str">
        <f t="shared" si="238"/>
        <v/>
      </c>
    </row>
    <row r="1698" spans="1:18">
      <c r="A1698" s="483">
        <f t="shared" si="239"/>
        <v>1694</v>
      </c>
      <c r="B1698" s="77"/>
      <c r="C1698" s="77"/>
      <c r="D1698" s="858"/>
      <c r="E1698" s="858">
        <f t="shared" si="234"/>
        <v>0</v>
      </c>
      <c r="F1698" s="887">
        <f t="shared" si="235"/>
        <v>1900</v>
      </c>
      <c r="G1698" s="888"/>
      <c r="H1698" s="889"/>
      <c r="I1698" s="888"/>
      <c r="J1698" s="888"/>
      <c r="K1698" s="980"/>
      <c r="L1698" s="77"/>
      <c r="M1698" s="78">
        <f t="shared" si="240"/>
        <v>0</v>
      </c>
      <c r="N1698" s="748"/>
      <c r="P1698" s="29" t="str">
        <f t="shared" si="236"/>
        <v>1900</v>
      </c>
      <c r="Q1698" s="29" t="str">
        <f t="shared" si="237"/>
        <v/>
      </c>
      <c r="R1698" s="29" t="str">
        <f t="shared" si="238"/>
        <v/>
      </c>
    </row>
    <row r="1699" spans="1:18">
      <c r="A1699" s="483">
        <f t="shared" si="239"/>
        <v>1695</v>
      </c>
      <c r="B1699" s="77"/>
      <c r="C1699" s="77"/>
      <c r="D1699" s="858"/>
      <c r="E1699" s="858">
        <f t="shared" si="234"/>
        <v>0</v>
      </c>
      <c r="F1699" s="887">
        <f t="shared" si="235"/>
        <v>1900</v>
      </c>
      <c r="G1699" s="888"/>
      <c r="H1699" s="889"/>
      <c r="I1699" s="888"/>
      <c r="J1699" s="888"/>
      <c r="K1699" s="980"/>
      <c r="L1699" s="77"/>
      <c r="M1699" s="78">
        <f t="shared" si="240"/>
        <v>0</v>
      </c>
      <c r="N1699" s="748"/>
      <c r="P1699" s="29" t="str">
        <f t="shared" si="236"/>
        <v>1900</v>
      </c>
      <c r="Q1699" s="29" t="str">
        <f t="shared" si="237"/>
        <v/>
      </c>
      <c r="R1699" s="29" t="str">
        <f t="shared" si="238"/>
        <v/>
      </c>
    </row>
    <row r="1700" spans="1:18">
      <c r="A1700" s="483">
        <f t="shared" si="239"/>
        <v>1696</v>
      </c>
      <c r="B1700" s="77"/>
      <c r="C1700" s="77"/>
      <c r="D1700" s="858"/>
      <c r="E1700" s="858">
        <f t="shared" si="234"/>
        <v>0</v>
      </c>
      <c r="F1700" s="887">
        <f t="shared" si="235"/>
        <v>1900</v>
      </c>
      <c r="G1700" s="888"/>
      <c r="H1700" s="889"/>
      <c r="I1700" s="888"/>
      <c r="J1700" s="888"/>
      <c r="K1700" s="980"/>
      <c r="L1700" s="77"/>
      <c r="M1700" s="78">
        <f t="shared" si="240"/>
        <v>0</v>
      </c>
      <c r="N1700" s="748"/>
      <c r="P1700" s="29" t="str">
        <f t="shared" si="236"/>
        <v>1900</v>
      </c>
      <c r="Q1700" s="29" t="str">
        <f t="shared" si="237"/>
        <v/>
      </c>
      <c r="R1700" s="29" t="str">
        <f t="shared" si="238"/>
        <v/>
      </c>
    </row>
    <row r="1701" spans="1:18">
      <c r="A1701" s="483">
        <f t="shared" si="239"/>
        <v>1697</v>
      </c>
      <c r="B1701" s="77"/>
      <c r="C1701" s="77"/>
      <c r="D1701" s="858"/>
      <c r="E1701" s="858">
        <f t="shared" si="234"/>
        <v>0</v>
      </c>
      <c r="F1701" s="887">
        <f t="shared" si="235"/>
        <v>1900</v>
      </c>
      <c r="G1701" s="888"/>
      <c r="H1701" s="889"/>
      <c r="I1701" s="888"/>
      <c r="J1701" s="888"/>
      <c r="K1701" s="980"/>
      <c r="L1701" s="77"/>
      <c r="M1701" s="78">
        <f t="shared" si="240"/>
        <v>0</v>
      </c>
      <c r="N1701" s="748"/>
      <c r="P1701" s="29" t="str">
        <f t="shared" si="236"/>
        <v>1900</v>
      </c>
      <c r="Q1701" s="29" t="str">
        <f t="shared" si="237"/>
        <v/>
      </c>
      <c r="R1701" s="29" t="str">
        <f t="shared" si="238"/>
        <v/>
      </c>
    </row>
    <row r="1702" spans="1:18">
      <c r="A1702" s="483">
        <f t="shared" si="239"/>
        <v>1698</v>
      </c>
      <c r="B1702" s="77"/>
      <c r="C1702" s="77"/>
      <c r="D1702" s="858"/>
      <c r="E1702" s="858">
        <f t="shared" si="234"/>
        <v>0</v>
      </c>
      <c r="F1702" s="887">
        <f t="shared" si="235"/>
        <v>1900</v>
      </c>
      <c r="G1702" s="888"/>
      <c r="H1702" s="889"/>
      <c r="I1702" s="888"/>
      <c r="J1702" s="888"/>
      <c r="K1702" s="980"/>
      <c r="L1702" s="77"/>
      <c r="M1702" s="78">
        <f t="shared" si="240"/>
        <v>0</v>
      </c>
      <c r="N1702" s="748"/>
      <c r="P1702" s="29" t="str">
        <f t="shared" si="236"/>
        <v>1900</v>
      </c>
      <c r="Q1702" s="29" t="str">
        <f t="shared" si="237"/>
        <v/>
      </c>
      <c r="R1702" s="29" t="str">
        <f t="shared" si="238"/>
        <v/>
      </c>
    </row>
    <row r="1703" spans="1:18">
      <c r="A1703" s="483">
        <f t="shared" si="239"/>
        <v>1699</v>
      </c>
      <c r="B1703" s="77"/>
      <c r="C1703" s="77"/>
      <c r="D1703" s="858"/>
      <c r="E1703" s="858">
        <f t="shared" si="234"/>
        <v>0</v>
      </c>
      <c r="F1703" s="887">
        <f t="shared" si="235"/>
        <v>1900</v>
      </c>
      <c r="G1703" s="888"/>
      <c r="H1703" s="889"/>
      <c r="I1703" s="888"/>
      <c r="J1703" s="888"/>
      <c r="K1703" s="980"/>
      <c r="L1703" s="77"/>
      <c r="M1703" s="78">
        <f t="shared" si="240"/>
        <v>0</v>
      </c>
      <c r="N1703" s="748"/>
      <c r="P1703" s="29" t="str">
        <f t="shared" si="236"/>
        <v>1900</v>
      </c>
      <c r="Q1703" s="29" t="str">
        <f t="shared" si="237"/>
        <v/>
      </c>
      <c r="R1703" s="29" t="str">
        <f t="shared" si="238"/>
        <v/>
      </c>
    </row>
    <row r="1704" spans="1:18">
      <c r="A1704" s="483">
        <f t="shared" si="239"/>
        <v>1700</v>
      </c>
      <c r="B1704" s="77"/>
      <c r="C1704" s="77"/>
      <c r="D1704" s="858"/>
      <c r="E1704" s="858">
        <f t="shared" si="234"/>
        <v>0</v>
      </c>
      <c r="F1704" s="887">
        <f t="shared" si="235"/>
        <v>1900</v>
      </c>
      <c r="G1704" s="888"/>
      <c r="H1704" s="889"/>
      <c r="I1704" s="888"/>
      <c r="J1704" s="888"/>
      <c r="K1704" s="980"/>
      <c r="L1704" s="77"/>
      <c r="M1704" s="78">
        <f t="shared" si="240"/>
        <v>0</v>
      </c>
      <c r="N1704" s="748"/>
      <c r="P1704" s="29" t="str">
        <f t="shared" si="236"/>
        <v>1900</v>
      </c>
      <c r="Q1704" s="29" t="str">
        <f t="shared" si="237"/>
        <v/>
      </c>
      <c r="R1704" s="29" t="str">
        <f t="shared" si="238"/>
        <v/>
      </c>
    </row>
    <row r="1705" spans="1:18">
      <c r="A1705" s="483">
        <f t="shared" si="239"/>
        <v>1701</v>
      </c>
      <c r="B1705" s="77"/>
      <c r="C1705" s="77"/>
      <c r="D1705" s="858"/>
      <c r="E1705" s="858">
        <f t="shared" si="234"/>
        <v>0</v>
      </c>
      <c r="F1705" s="887">
        <f t="shared" si="235"/>
        <v>1900</v>
      </c>
      <c r="G1705" s="888"/>
      <c r="H1705" s="889"/>
      <c r="I1705" s="888"/>
      <c r="J1705" s="888"/>
      <c r="K1705" s="980"/>
      <c r="L1705" s="77"/>
      <c r="M1705" s="78">
        <f t="shared" si="240"/>
        <v>0</v>
      </c>
      <c r="N1705" s="748"/>
      <c r="P1705" s="29" t="str">
        <f t="shared" si="236"/>
        <v>1900</v>
      </c>
      <c r="Q1705" s="29" t="str">
        <f t="shared" si="237"/>
        <v/>
      </c>
      <c r="R1705" s="29" t="str">
        <f t="shared" si="238"/>
        <v/>
      </c>
    </row>
    <row r="1706" spans="1:18">
      <c r="A1706" s="483">
        <f t="shared" si="239"/>
        <v>1702</v>
      </c>
      <c r="B1706" s="77"/>
      <c r="C1706" s="77"/>
      <c r="D1706" s="858"/>
      <c r="E1706" s="858">
        <f t="shared" si="234"/>
        <v>0</v>
      </c>
      <c r="F1706" s="887">
        <f t="shared" si="235"/>
        <v>1900</v>
      </c>
      <c r="G1706" s="888"/>
      <c r="H1706" s="889"/>
      <c r="I1706" s="888"/>
      <c r="J1706" s="888"/>
      <c r="K1706" s="980"/>
      <c r="L1706" s="77"/>
      <c r="M1706" s="78">
        <f t="shared" si="240"/>
        <v>0</v>
      </c>
      <c r="N1706" s="748"/>
      <c r="P1706" s="29" t="str">
        <f t="shared" si="236"/>
        <v>1900</v>
      </c>
      <c r="Q1706" s="29" t="str">
        <f t="shared" si="237"/>
        <v/>
      </c>
      <c r="R1706" s="29" t="str">
        <f t="shared" si="238"/>
        <v/>
      </c>
    </row>
    <row r="1707" spans="1:18">
      <c r="A1707" s="483">
        <f t="shared" si="239"/>
        <v>1703</v>
      </c>
      <c r="B1707" s="77"/>
      <c r="C1707" s="77"/>
      <c r="D1707" s="858"/>
      <c r="E1707" s="858">
        <f t="shared" si="234"/>
        <v>0</v>
      </c>
      <c r="F1707" s="887">
        <f t="shared" si="235"/>
        <v>1900</v>
      </c>
      <c r="G1707" s="888"/>
      <c r="H1707" s="889"/>
      <c r="I1707" s="888"/>
      <c r="J1707" s="888"/>
      <c r="K1707" s="980"/>
      <c r="L1707" s="77"/>
      <c r="M1707" s="78">
        <f t="shared" si="240"/>
        <v>0</v>
      </c>
      <c r="N1707" s="748"/>
      <c r="P1707" s="29" t="str">
        <f t="shared" si="236"/>
        <v>1900</v>
      </c>
      <c r="Q1707" s="29" t="str">
        <f t="shared" si="237"/>
        <v/>
      </c>
      <c r="R1707" s="29" t="str">
        <f t="shared" si="238"/>
        <v/>
      </c>
    </row>
    <row r="1708" spans="1:18">
      <c r="A1708" s="483">
        <f t="shared" si="239"/>
        <v>1704</v>
      </c>
      <c r="B1708" s="77"/>
      <c r="C1708" s="77"/>
      <c r="D1708" s="858"/>
      <c r="E1708" s="858">
        <f t="shared" si="234"/>
        <v>0</v>
      </c>
      <c r="F1708" s="887">
        <f t="shared" si="235"/>
        <v>1900</v>
      </c>
      <c r="G1708" s="888"/>
      <c r="H1708" s="889"/>
      <c r="I1708" s="888"/>
      <c r="J1708" s="888"/>
      <c r="K1708" s="980"/>
      <c r="L1708" s="77"/>
      <c r="M1708" s="78">
        <f t="shared" si="240"/>
        <v>0</v>
      </c>
      <c r="N1708" s="748"/>
      <c r="P1708" s="29" t="str">
        <f t="shared" si="236"/>
        <v>1900</v>
      </c>
      <c r="Q1708" s="29" t="str">
        <f t="shared" si="237"/>
        <v/>
      </c>
      <c r="R1708" s="29" t="str">
        <f t="shared" si="238"/>
        <v/>
      </c>
    </row>
    <row r="1709" spans="1:18">
      <c r="A1709" s="483">
        <f t="shared" si="239"/>
        <v>1705</v>
      </c>
      <c r="B1709" s="77"/>
      <c r="C1709" s="77"/>
      <c r="D1709" s="858"/>
      <c r="E1709" s="858">
        <f t="shared" si="234"/>
        <v>0</v>
      </c>
      <c r="F1709" s="887">
        <f t="shared" si="235"/>
        <v>1900</v>
      </c>
      <c r="G1709" s="888"/>
      <c r="H1709" s="889"/>
      <c r="I1709" s="888"/>
      <c r="J1709" s="888"/>
      <c r="K1709" s="980"/>
      <c r="L1709" s="77"/>
      <c r="M1709" s="78">
        <f t="shared" si="240"/>
        <v>0</v>
      </c>
      <c r="N1709" s="748"/>
      <c r="P1709" s="29" t="str">
        <f t="shared" si="236"/>
        <v>1900</v>
      </c>
      <c r="Q1709" s="29" t="str">
        <f t="shared" si="237"/>
        <v/>
      </c>
      <c r="R1709" s="29" t="str">
        <f t="shared" si="238"/>
        <v/>
      </c>
    </row>
    <row r="1710" spans="1:18">
      <c r="A1710" s="483">
        <f t="shared" si="239"/>
        <v>1706</v>
      </c>
      <c r="B1710" s="77"/>
      <c r="C1710" s="77"/>
      <c r="D1710" s="858"/>
      <c r="E1710" s="858">
        <f t="shared" si="234"/>
        <v>0</v>
      </c>
      <c r="F1710" s="887">
        <f t="shared" si="235"/>
        <v>1900</v>
      </c>
      <c r="G1710" s="888"/>
      <c r="H1710" s="889"/>
      <c r="I1710" s="888"/>
      <c r="J1710" s="888"/>
      <c r="K1710" s="980"/>
      <c r="L1710" s="77"/>
      <c r="M1710" s="78">
        <f t="shared" si="240"/>
        <v>0</v>
      </c>
      <c r="N1710" s="748"/>
      <c r="P1710" s="29" t="str">
        <f t="shared" si="236"/>
        <v>1900</v>
      </c>
      <c r="Q1710" s="29" t="str">
        <f t="shared" si="237"/>
        <v/>
      </c>
      <c r="R1710" s="29" t="str">
        <f t="shared" si="238"/>
        <v/>
      </c>
    </row>
    <row r="1711" spans="1:18">
      <c r="A1711" s="483">
        <f t="shared" si="239"/>
        <v>1707</v>
      </c>
      <c r="B1711" s="77"/>
      <c r="C1711" s="77"/>
      <c r="D1711" s="858"/>
      <c r="E1711" s="858">
        <f t="shared" ref="E1711:E1774" si="241">DAY(C1711)</f>
        <v>0</v>
      </c>
      <c r="F1711" s="887">
        <f t="shared" ref="F1711:F1774" si="242">YEAR(C1711)</f>
        <v>1900</v>
      </c>
      <c r="G1711" s="888"/>
      <c r="H1711" s="889"/>
      <c r="I1711" s="888"/>
      <c r="J1711" s="888"/>
      <c r="K1711" s="980"/>
      <c r="L1711" s="77"/>
      <c r="M1711" s="78">
        <f t="shared" si="240"/>
        <v>0</v>
      </c>
      <c r="N1711" s="748"/>
      <c r="P1711" s="29" t="str">
        <f t="shared" ref="P1711:P1774" si="243">CONCATENATE(F1711,H1711)</f>
        <v>1900</v>
      </c>
      <c r="Q1711" s="29" t="str">
        <f t="shared" ref="Q1711:Q1774" si="244">CONCATENATE(H1711,K1711)</f>
        <v/>
      </c>
      <c r="R1711" s="29" t="str">
        <f t="shared" ref="R1711:R1774" si="245">CONCATENATE(D1711,H1711)</f>
        <v/>
      </c>
    </row>
    <row r="1712" spans="1:18">
      <c r="A1712" s="483">
        <f t="shared" si="239"/>
        <v>1708</v>
      </c>
      <c r="B1712" s="77"/>
      <c r="C1712" s="77"/>
      <c r="D1712" s="858"/>
      <c r="E1712" s="858">
        <f t="shared" si="241"/>
        <v>0</v>
      </c>
      <c r="F1712" s="887">
        <f t="shared" si="242"/>
        <v>1900</v>
      </c>
      <c r="G1712" s="888"/>
      <c r="H1712" s="889"/>
      <c r="I1712" s="888"/>
      <c r="J1712" s="888"/>
      <c r="K1712" s="980"/>
      <c r="L1712" s="77"/>
      <c r="M1712" s="78">
        <f t="shared" si="240"/>
        <v>0</v>
      </c>
      <c r="N1712" s="748"/>
      <c r="P1712" s="29" t="str">
        <f t="shared" si="243"/>
        <v>1900</v>
      </c>
      <c r="Q1712" s="29" t="str">
        <f t="shared" si="244"/>
        <v/>
      </c>
      <c r="R1712" s="29" t="str">
        <f t="shared" si="245"/>
        <v/>
      </c>
    </row>
    <row r="1713" spans="1:18">
      <c r="A1713" s="483">
        <f t="shared" si="239"/>
        <v>1709</v>
      </c>
      <c r="B1713" s="77"/>
      <c r="C1713" s="77"/>
      <c r="D1713" s="858"/>
      <c r="E1713" s="858">
        <f t="shared" si="241"/>
        <v>0</v>
      </c>
      <c r="F1713" s="887">
        <f t="shared" si="242"/>
        <v>1900</v>
      </c>
      <c r="G1713" s="888"/>
      <c r="H1713" s="889"/>
      <c r="I1713" s="888"/>
      <c r="J1713" s="888"/>
      <c r="K1713" s="980"/>
      <c r="L1713" s="77"/>
      <c r="M1713" s="78">
        <f t="shared" si="240"/>
        <v>0</v>
      </c>
      <c r="N1713" s="748"/>
      <c r="P1713" s="29" t="str">
        <f t="shared" si="243"/>
        <v>1900</v>
      </c>
      <c r="Q1713" s="29" t="str">
        <f t="shared" si="244"/>
        <v/>
      </c>
      <c r="R1713" s="29" t="str">
        <f t="shared" si="245"/>
        <v/>
      </c>
    </row>
    <row r="1714" spans="1:18">
      <c r="A1714" s="483">
        <f t="shared" si="239"/>
        <v>1710</v>
      </c>
      <c r="B1714" s="77"/>
      <c r="C1714" s="77"/>
      <c r="D1714" s="858"/>
      <c r="E1714" s="858">
        <f t="shared" si="241"/>
        <v>0</v>
      </c>
      <c r="F1714" s="887">
        <f t="shared" si="242"/>
        <v>1900</v>
      </c>
      <c r="G1714" s="888"/>
      <c r="H1714" s="889"/>
      <c r="I1714" s="888"/>
      <c r="J1714" s="888"/>
      <c r="K1714" s="980"/>
      <c r="L1714" s="77"/>
      <c r="M1714" s="78">
        <f t="shared" si="240"/>
        <v>0</v>
      </c>
      <c r="N1714" s="748"/>
      <c r="P1714" s="29" t="str">
        <f t="shared" si="243"/>
        <v>1900</v>
      </c>
      <c r="Q1714" s="29" t="str">
        <f t="shared" si="244"/>
        <v/>
      </c>
      <c r="R1714" s="29" t="str">
        <f t="shared" si="245"/>
        <v/>
      </c>
    </row>
    <row r="1715" spans="1:18">
      <c r="A1715" s="483">
        <f t="shared" si="239"/>
        <v>1711</v>
      </c>
      <c r="B1715" s="77"/>
      <c r="C1715" s="77"/>
      <c r="D1715" s="858"/>
      <c r="E1715" s="858">
        <f t="shared" si="241"/>
        <v>0</v>
      </c>
      <c r="F1715" s="887">
        <f t="shared" si="242"/>
        <v>1900</v>
      </c>
      <c r="G1715" s="888"/>
      <c r="H1715" s="889"/>
      <c r="I1715" s="888"/>
      <c r="J1715" s="888"/>
      <c r="K1715" s="980"/>
      <c r="L1715" s="77"/>
      <c r="M1715" s="78">
        <f t="shared" si="240"/>
        <v>0</v>
      </c>
      <c r="N1715" s="748"/>
      <c r="P1715" s="29" t="str">
        <f t="shared" si="243"/>
        <v>1900</v>
      </c>
      <c r="Q1715" s="29" t="str">
        <f t="shared" si="244"/>
        <v/>
      </c>
      <c r="R1715" s="29" t="str">
        <f t="shared" si="245"/>
        <v/>
      </c>
    </row>
    <row r="1716" spans="1:18">
      <c r="A1716" s="483">
        <f t="shared" si="239"/>
        <v>1712</v>
      </c>
      <c r="B1716" s="77"/>
      <c r="C1716" s="77"/>
      <c r="D1716" s="858"/>
      <c r="E1716" s="858">
        <f t="shared" si="241"/>
        <v>0</v>
      </c>
      <c r="F1716" s="887">
        <f t="shared" si="242"/>
        <v>1900</v>
      </c>
      <c r="G1716" s="888"/>
      <c r="H1716" s="889"/>
      <c r="I1716" s="888"/>
      <c r="J1716" s="888"/>
      <c r="K1716" s="980"/>
      <c r="L1716" s="77"/>
      <c r="M1716" s="78">
        <f t="shared" si="240"/>
        <v>0</v>
      </c>
      <c r="N1716" s="748"/>
      <c r="P1716" s="29" t="str">
        <f t="shared" si="243"/>
        <v>1900</v>
      </c>
      <c r="Q1716" s="29" t="str">
        <f t="shared" si="244"/>
        <v/>
      </c>
      <c r="R1716" s="29" t="str">
        <f t="shared" si="245"/>
        <v/>
      </c>
    </row>
    <row r="1717" spans="1:18">
      <c r="A1717" s="483">
        <f t="shared" si="239"/>
        <v>1713</v>
      </c>
      <c r="B1717" s="77"/>
      <c r="C1717" s="77"/>
      <c r="D1717" s="858"/>
      <c r="E1717" s="858">
        <f t="shared" si="241"/>
        <v>0</v>
      </c>
      <c r="F1717" s="887">
        <f t="shared" si="242"/>
        <v>1900</v>
      </c>
      <c r="G1717" s="888"/>
      <c r="H1717" s="889"/>
      <c r="I1717" s="888"/>
      <c r="J1717" s="888"/>
      <c r="K1717" s="980"/>
      <c r="L1717" s="77"/>
      <c r="M1717" s="78">
        <f t="shared" si="240"/>
        <v>0</v>
      </c>
      <c r="N1717" s="748"/>
      <c r="P1717" s="29" t="str">
        <f t="shared" si="243"/>
        <v>1900</v>
      </c>
      <c r="Q1717" s="29" t="str">
        <f t="shared" si="244"/>
        <v/>
      </c>
      <c r="R1717" s="29" t="str">
        <f t="shared" si="245"/>
        <v/>
      </c>
    </row>
    <row r="1718" spans="1:18">
      <c r="A1718" s="483">
        <f t="shared" si="239"/>
        <v>1714</v>
      </c>
      <c r="B1718" s="77"/>
      <c r="C1718" s="77"/>
      <c r="D1718" s="858"/>
      <c r="E1718" s="858">
        <f t="shared" si="241"/>
        <v>0</v>
      </c>
      <c r="F1718" s="887">
        <f t="shared" si="242"/>
        <v>1900</v>
      </c>
      <c r="G1718" s="888"/>
      <c r="H1718" s="889"/>
      <c r="I1718" s="888"/>
      <c r="J1718" s="888"/>
      <c r="K1718" s="980"/>
      <c r="L1718" s="77"/>
      <c r="M1718" s="78">
        <f t="shared" si="240"/>
        <v>0</v>
      </c>
      <c r="N1718" s="748"/>
      <c r="P1718" s="29" t="str">
        <f t="shared" si="243"/>
        <v>1900</v>
      </c>
      <c r="Q1718" s="29" t="str">
        <f t="shared" si="244"/>
        <v/>
      </c>
      <c r="R1718" s="29" t="str">
        <f t="shared" si="245"/>
        <v/>
      </c>
    </row>
    <row r="1719" spans="1:18">
      <c r="A1719" s="483">
        <f t="shared" si="239"/>
        <v>1715</v>
      </c>
      <c r="B1719" s="77"/>
      <c r="C1719" s="77"/>
      <c r="D1719" s="858"/>
      <c r="E1719" s="858">
        <f t="shared" si="241"/>
        <v>0</v>
      </c>
      <c r="F1719" s="887">
        <f t="shared" si="242"/>
        <v>1900</v>
      </c>
      <c r="G1719" s="888"/>
      <c r="H1719" s="889"/>
      <c r="I1719" s="888"/>
      <c r="J1719" s="888"/>
      <c r="K1719" s="980"/>
      <c r="L1719" s="77"/>
      <c r="M1719" s="78">
        <f t="shared" si="240"/>
        <v>0</v>
      </c>
      <c r="N1719" s="748"/>
      <c r="P1719" s="29" t="str">
        <f t="shared" si="243"/>
        <v>1900</v>
      </c>
      <c r="Q1719" s="29" t="str">
        <f t="shared" si="244"/>
        <v/>
      </c>
      <c r="R1719" s="29" t="str">
        <f t="shared" si="245"/>
        <v/>
      </c>
    </row>
    <row r="1720" spans="1:18">
      <c r="A1720" s="483">
        <f t="shared" si="239"/>
        <v>1716</v>
      </c>
      <c r="B1720" s="77"/>
      <c r="C1720" s="77"/>
      <c r="D1720" s="858"/>
      <c r="E1720" s="858">
        <f t="shared" si="241"/>
        <v>0</v>
      </c>
      <c r="F1720" s="887">
        <f t="shared" si="242"/>
        <v>1900</v>
      </c>
      <c r="G1720" s="888"/>
      <c r="H1720" s="889"/>
      <c r="I1720" s="888"/>
      <c r="J1720" s="888"/>
      <c r="K1720" s="980"/>
      <c r="L1720" s="77"/>
      <c r="M1720" s="78">
        <f t="shared" si="240"/>
        <v>0</v>
      </c>
      <c r="N1720" s="748"/>
      <c r="P1720" s="29" t="str">
        <f t="shared" si="243"/>
        <v>1900</v>
      </c>
      <c r="Q1720" s="29" t="str">
        <f t="shared" si="244"/>
        <v/>
      </c>
      <c r="R1720" s="29" t="str">
        <f t="shared" si="245"/>
        <v/>
      </c>
    </row>
    <row r="1721" spans="1:18">
      <c r="A1721" s="483">
        <f t="shared" si="239"/>
        <v>1717</v>
      </c>
      <c r="B1721" s="77"/>
      <c r="C1721" s="77"/>
      <c r="D1721" s="858"/>
      <c r="E1721" s="858">
        <f t="shared" si="241"/>
        <v>0</v>
      </c>
      <c r="F1721" s="887">
        <f t="shared" si="242"/>
        <v>1900</v>
      </c>
      <c r="G1721" s="888"/>
      <c r="H1721" s="889"/>
      <c r="I1721" s="888"/>
      <c r="J1721" s="888"/>
      <c r="K1721" s="980"/>
      <c r="L1721" s="77"/>
      <c r="M1721" s="78">
        <f t="shared" si="240"/>
        <v>0</v>
      </c>
      <c r="N1721" s="748"/>
      <c r="P1721" s="29" t="str">
        <f t="shared" si="243"/>
        <v>1900</v>
      </c>
      <c r="Q1721" s="29" t="str">
        <f t="shared" si="244"/>
        <v/>
      </c>
      <c r="R1721" s="29" t="str">
        <f t="shared" si="245"/>
        <v/>
      </c>
    </row>
    <row r="1722" spans="1:18">
      <c r="A1722" s="483">
        <f t="shared" si="239"/>
        <v>1718</v>
      </c>
      <c r="B1722" s="77"/>
      <c r="C1722" s="77"/>
      <c r="D1722" s="858"/>
      <c r="E1722" s="858">
        <f t="shared" si="241"/>
        <v>0</v>
      </c>
      <c r="F1722" s="887">
        <f t="shared" si="242"/>
        <v>1900</v>
      </c>
      <c r="G1722" s="888"/>
      <c r="H1722" s="889"/>
      <c r="I1722" s="888"/>
      <c r="J1722" s="888"/>
      <c r="K1722" s="980"/>
      <c r="L1722" s="77"/>
      <c r="M1722" s="78">
        <f t="shared" si="240"/>
        <v>0</v>
      </c>
      <c r="N1722" s="748"/>
      <c r="P1722" s="29" t="str">
        <f t="shared" si="243"/>
        <v>1900</v>
      </c>
      <c r="Q1722" s="29" t="str">
        <f t="shared" si="244"/>
        <v/>
      </c>
      <c r="R1722" s="29" t="str">
        <f t="shared" si="245"/>
        <v/>
      </c>
    </row>
    <row r="1723" spans="1:18">
      <c r="A1723" s="483">
        <f t="shared" si="239"/>
        <v>1719</v>
      </c>
      <c r="B1723" s="77"/>
      <c r="C1723" s="77"/>
      <c r="D1723" s="858"/>
      <c r="E1723" s="858">
        <f t="shared" si="241"/>
        <v>0</v>
      </c>
      <c r="F1723" s="887">
        <f t="shared" si="242"/>
        <v>1900</v>
      </c>
      <c r="G1723" s="888"/>
      <c r="H1723" s="889"/>
      <c r="I1723" s="888"/>
      <c r="J1723" s="888"/>
      <c r="K1723" s="980"/>
      <c r="L1723" s="77"/>
      <c r="M1723" s="78">
        <f t="shared" si="240"/>
        <v>0</v>
      </c>
      <c r="N1723" s="748"/>
      <c r="P1723" s="29" t="str">
        <f t="shared" si="243"/>
        <v>1900</v>
      </c>
      <c r="Q1723" s="29" t="str">
        <f t="shared" si="244"/>
        <v/>
      </c>
      <c r="R1723" s="29" t="str">
        <f t="shared" si="245"/>
        <v/>
      </c>
    </row>
    <row r="1724" spans="1:18">
      <c r="A1724" s="483">
        <f t="shared" si="239"/>
        <v>1720</v>
      </c>
      <c r="B1724" s="77"/>
      <c r="C1724" s="77"/>
      <c r="D1724" s="858"/>
      <c r="E1724" s="858">
        <f t="shared" si="241"/>
        <v>0</v>
      </c>
      <c r="F1724" s="887">
        <f t="shared" si="242"/>
        <v>1900</v>
      </c>
      <c r="G1724" s="888"/>
      <c r="H1724" s="889"/>
      <c r="I1724" s="888"/>
      <c r="J1724" s="888"/>
      <c r="K1724" s="980"/>
      <c r="L1724" s="77"/>
      <c r="M1724" s="78">
        <f t="shared" si="240"/>
        <v>0</v>
      </c>
      <c r="N1724" s="748"/>
      <c r="P1724" s="29" t="str">
        <f t="shared" si="243"/>
        <v>1900</v>
      </c>
      <c r="Q1724" s="29" t="str">
        <f t="shared" si="244"/>
        <v/>
      </c>
      <c r="R1724" s="29" t="str">
        <f t="shared" si="245"/>
        <v/>
      </c>
    </row>
    <row r="1725" spans="1:18">
      <c r="A1725" s="483">
        <f t="shared" si="239"/>
        <v>1721</v>
      </c>
      <c r="B1725" s="77"/>
      <c r="C1725" s="77"/>
      <c r="D1725" s="858"/>
      <c r="E1725" s="858">
        <f t="shared" si="241"/>
        <v>0</v>
      </c>
      <c r="F1725" s="887">
        <f t="shared" si="242"/>
        <v>1900</v>
      </c>
      <c r="G1725" s="888"/>
      <c r="H1725" s="889"/>
      <c r="I1725" s="888"/>
      <c r="J1725" s="888"/>
      <c r="K1725" s="980"/>
      <c r="L1725" s="77"/>
      <c r="M1725" s="78">
        <f t="shared" si="240"/>
        <v>0</v>
      </c>
      <c r="N1725" s="748"/>
      <c r="P1725" s="29" t="str">
        <f t="shared" si="243"/>
        <v>1900</v>
      </c>
      <c r="Q1725" s="29" t="str">
        <f t="shared" si="244"/>
        <v/>
      </c>
      <c r="R1725" s="29" t="str">
        <f t="shared" si="245"/>
        <v/>
      </c>
    </row>
    <row r="1726" spans="1:18">
      <c r="A1726" s="483">
        <f t="shared" si="239"/>
        <v>1722</v>
      </c>
      <c r="B1726" s="77"/>
      <c r="C1726" s="77"/>
      <c r="D1726" s="858"/>
      <c r="E1726" s="858">
        <f t="shared" si="241"/>
        <v>0</v>
      </c>
      <c r="F1726" s="887">
        <f t="shared" si="242"/>
        <v>1900</v>
      </c>
      <c r="G1726" s="888"/>
      <c r="H1726" s="889"/>
      <c r="I1726" s="888"/>
      <c r="J1726" s="888"/>
      <c r="K1726" s="980"/>
      <c r="L1726" s="77"/>
      <c r="M1726" s="78">
        <f t="shared" si="240"/>
        <v>0</v>
      </c>
      <c r="N1726" s="748"/>
      <c r="P1726" s="29" t="str">
        <f t="shared" si="243"/>
        <v>1900</v>
      </c>
      <c r="Q1726" s="29" t="str">
        <f t="shared" si="244"/>
        <v/>
      </c>
      <c r="R1726" s="29" t="str">
        <f t="shared" si="245"/>
        <v/>
      </c>
    </row>
    <row r="1727" spans="1:18">
      <c r="A1727" s="483">
        <f t="shared" si="239"/>
        <v>1723</v>
      </c>
      <c r="B1727" s="77"/>
      <c r="C1727" s="77"/>
      <c r="D1727" s="858"/>
      <c r="E1727" s="858">
        <f t="shared" si="241"/>
        <v>0</v>
      </c>
      <c r="F1727" s="887">
        <f t="shared" si="242"/>
        <v>1900</v>
      </c>
      <c r="G1727" s="888"/>
      <c r="H1727" s="889"/>
      <c r="I1727" s="888"/>
      <c r="J1727" s="888"/>
      <c r="K1727" s="980"/>
      <c r="L1727" s="77"/>
      <c r="M1727" s="78">
        <f t="shared" si="240"/>
        <v>0</v>
      </c>
      <c r="N1727" s="748"/>
      <c r="P1727" s="29" t="str">
        <f t="shared" si="243"/>
        <v>1900</v>
      </c>
      <c r="Q1727" s="29" t="str">
        <f t="shared" si="244"/>
        <v/>
      </c>
      <c r="R1727" s="29" t="str">
        <f t="shared" si="245"/>
        <v/>
      </c>
    </row>
    <row r="1728" spans="1:18">
      <c r="A1728" s="483">
        <f t="shared" si="239"/>
        <v>1724</v>
      </c>
      <c r="B1728" s="77"/>
      <c r="C1728" s="77"/>
      <c r="D1728" s="858"/>
      <c r="E1728" s="858">
        <f t="shared" si="241"/>
        <v>0</v>
      </c>
      <c r="F1728" s="887">
        <f t="shared" si="242"/>
        <v>1900</v>
      </c>
      <c r="G1728" s="888"/>
      <c r="H1728" s="889"/>
      <c r="I1728" s="888"/>
      <c r="J1728" s="888"/>
      <c r="K1728" s="980"/>
      <c r="L1728" s="77"/>
      <c r="M1728" s="78">
        <f t="shared" si="240"/>
        <v>0</v>
      </c>
      <c r="N1728" s="748"/>
      <c r="P1728" s="29" t="str">
        <f t="shared" si="243"/>
        <v>1900</v>
      </c>
      <c r="Q1728" s="29" t="str">
        <f t="shared" si="244"/>
        <v/>
      </c>
      <c r="R1728" s="29" t="str">
        <f t="shared" si="245"/>
        <v/>
      </c>
    </row>
    <row r="1729" spans="1:18">
      <c r="A1729" s="483">
        <f t="shared" si="239"/>
        <v>1725</v>
      </c>
      <c r="B1729" s="77"/>
      <c r="C1729" s="77"/>
      <c r="D1729" s="858"/>
      <c r="E1729" s="858">
        <f t="shared" si="241"/>
        <v>0</v>
      </c>
      <c r="F1729" s="887">
        <f t="shared" si="242"/>
        <v>1900</v>
      </c>
      <c r="G1729" s="888"/>
      <c r="H1729" s="889"/>
      <c r="I1729" s="888"/>
      <c r="J1729" s="888"/>
      <c r="K1729" s="980"/>
      <c r="L1729" s="77"/>
      <c r="M1729" s="78">
        <f t="shared" si="240"/>
        <v>0</v>
      </c>
      <c r="N1729" s="748"/>
      <c r="P1729" s="29" t="str">
        <f t="shared" si="243"/>
        <v>1900</v>
      </c>
      <c r="Q1729" s="29" t="str">
        <f t="shared" si="244"/>
        <v/>
      </c>
      <c r="R1729" s="29" t="str">
        <f t="shared" si="245"/>
        <v/>
      </c>
    </row>
    <row r="1730" spans="1:18">
      <c r="A1730" s="483">
        <f t="shared" si="239"/>
        <v>1726</v>
      </c>
      <c r="B1730" s="77"/>
      <c r="C1730" s="77"/>
      <c r="D1730" s="858"/>
      <c r="E1730" s="858">
        <f t="shared" si="241"/>
        <v>0</v>
      </c>
      <c r="F1730" s="887">
        <f t="shared" si="242"/>
        <v>1900</v>
      </c>
      <c r="G1730" s="888"/>
      <c r="H1730" s="889"/>
      <c r="I1730" s="888"/>
      <c r="J1730" s="888"/>
      <c r="K1730" s="980"/>
      <c r="L1730" s="77"/>
      <c r="M1730" s="78">
        <f t="shared" si="240"/>
        <v>0</v>
      </c>
      <c r="N1730" s="748"/>
      <c r="P1730" s="29" t="str">
        <f t="shared" si="243"/>
        <v>1900</v>
      </c>
      <c r="Q1730" s="29" t="str">
        <f t="shared" si="244"/>
        <v/>
      </c>
      <c r="R1730" s="29" t="str">
        <f t="shared" si="245"/>
        <v/>
      </c>
    </row>
    <row r="1731" spans="1:18">
      <c r="A1731" s="483">
        <f t="shared" si="239"/>
        <v>1727</v>
      </c>
      <c r="B1731" s="77"/>
      <c r="C1731" s="77"/>
      <c r="D1731" s="858"/>
      <c r="E1731" s="858">
        <f t="shared" si="241"/>
        <v>0</v>
      </c>
      <c r="F1731" s="887">
        <f t="shared" si="242"/>
        <v>1900</v>
      </c>
      <c r="G1731" s="888"/>
      <c r="H1731" s="889"/>
      <c r="I1731" s="888"/>
      <c r="J1731" s="888"/>
      <c r="K1731" s="980"/>
      <c r="L1731" s="77"/>
      <c r="M1731" s="78">
        <f t="shared" si="240"/>
        <v>0</v>
      </c>
      <c r="N1731" s="748"/>
      <c r="P1731" s="29" t="str">
        <f t="shared" si="243"/>
        <v>1900</v>
      </c>
      <c r="Q1731" s="29" t="str">
        <f t="shared" si="244"/>
        <v/>
      </c>
      <c r="R1731" s="29" t="str">
        <f t="shared" si="245"/>
        <v/>
      </c>
    </row>
    <row r="1732" spans="1:18">
      <c r="A1732" s="483">
        <f t="shared" si="239"/>
        <v>1728</v>
      </c>
      <c r="B1732" s="77"/>
      <c r="C1732" s="77"/>
      <c r="D1732" s="858"/>
      <c r="E1732" s="858">
        <f t="shared" si="241"/>
        <v>0</v>
      </c>
      <c r="F1732" s="887">
        <f t="shared" si="242"/>
        <v>1900</v>
      </c>
      <c r="G1732" s="888"/>
      <c r="H1732" s="889"/>
      <c r="I1732" s="888"/>
      <c r="J1732" s="888"/>
      <c r="K1732" s="980"/>
      <c r="L1732" s="77"/>
      <c r="M1732" s="78">
        <f t="shared" si="240"/>
        <v>0</v>
      </c>
      <c r="N1732" s="748"/>
      <c r="P1732" s="29" t="str">
        <f t="shared" si="243"/>
        <v>1900</v>
      </c>
      <c r="Q1732" s="29" t="str">
        <f t="shared" si="244"/>
        <v/>
      </c>
      <c r="R1732" s="29" t="str">
        <f t="shared" si="245"/>
        <v/>
      </c>
    </row>
    <row r="1733" spans="1:18">
      <c r="A1733" s="483">
        <f t="shared" si="239"/>
        <v>1729</v>
      </c>
      <c r="B1733" s="77"/>
      <c r="C1733" s="77"/>
      <c r="D1733" s="858"/>
      <c r="E1733" s="858">
        <f t="shared" si="241"/>
        <v>0</v>
      </c>
      <c r="F1733" s="887">
        <f t="shared" si="242"/>
        <v>1900</v>
      </c>
      <c r="G1733" s="888"/>
      <c r="H1733" s="889"/>
      <c r="I1733" s="888"/>
      <c r="J1733" s="888"/>
      <c r="K1733" s="980"/>
      <c r="L1733" s="77"/>
      <c r="M1733" s="78">
        <f t="shared" si="240"/>
        <v>0</v>
      </c>
      <c r="N1733" s="748"/>
      <c r="P1733" s="29" t="str">
        <f t="shared" si="243"/>
        <v>1900</v>
      </c>
      <c r="Q1733" s="29" t="str">
        <f t="shared" si="244"/>
        <v/>
      </c>
      <c r="R1733" s="29" t="str">
        <f t="shared" si="245"/>
        <v/>
      </c>
    </row>
    <row r="1734" spans="1:18">
      <c r="A1734" s="483">
        <f t="shared" si="239"/>
        <v>1730</v>
      </c>
      <c r="B1734" s="77"/>
      <c r="C1734" s="77"/>
      <c r="D1734" s="858"/>
      <c r="E1734" s="858">
        <f t="shared" si="241"/>
        <v>0</v>
      </c>
      <c r="F1734" s="887">
        <f t="shared" si="242"/>
        <v>1900</v>
      </c>
      <c r="G1734" s="888"/>
      <c r="H1734" s="889"/>
      <c r="I1734" s="888"/>
      <c r="J1734" s="888"/>
      <c r="K1734" s="980"/>
      <c r="L1734" s="77"/>
      <c r="M1734" s="78">
        <f t="shared" si="240"/>
        <v>0</v>
      </c>
      <c r="N1734" s="748"/>
      <c r="P1734" s="29" t="str">
        <f t="shared" si="243"/>
        <v>1900</v>
      </c>
      <c r="Q1734" s="29" t="str">
        <f t="shared" si="244"/>
        <v/>
      </c>
      <c r="R1734" s="29" t="str">
        <f t="shared" si="245"/>
        <v/>
      </c>
    </row>
    <row r="1735" spans="1:18">
      <c r="A1735" s="483">
        <f t="shared" si="239"/>
        <v>1731</v>
      </c>
      <c r="B1735" s="77"/>
      <c r="C1735" s="77"/>
      <c r="D1735" s="858"/>
      <c r="E1735" s="858">
        <f t="shared" si="241"/>
        <v>0</v>
      </c>
      <c r="F1735" s="887">
        <f t="shared" si="242"/>
        <v>1900</v>
      </c>
      <c r="G1735" s="888"/>
      <c r="H1735" s="889"/>
      <c r="I1735" s="888"/>
      <c r="J1735" s="888"/>
      <c r="K1735" s="980"/>
      <c r="L1735" s="77"/>
      <c r="M1735" s="78">
        <f t="shared" si="240"/>
        <v>0</v>
      </c>
      <c r="N1735" s="748"/>
      <c r="P1735" s="29" t="str">
        <f t="shared" si="243"/>
        <v>1900</v>
      </c>
      <c r="Q1735" s="29" t="str">
        <f t="shared" si="244"/>
        <v/>
      </c>
      <c r="R1735" s="29" t="str">
        <f t="shared" si="245"/>
        <v/>
      </c>
    </row>
    <row r="1736" spans="1:18">
      <c r="A1736" s="483">
        <f t="shared" ref="A1736:A1799" si="246">+A1735+1</f>
        <v>1732</v>
      </c>
      <c r="B1736" s="77"/>
      <c r="C1736" s="77"/>
      <c r="D1736" s="858"/>
      <c r="E1736" s="858">
        <f t="shared" si="241"/>
        <v>0</v>
      </c>
      <c r="F1736" s="887">
        <f t="shared" si="242"/>
        <v>1900</v>
      </c>
      <c r="G1736" s="888"/>
      <c r="H1736" s="889"/>
      <c r="I1736" s="888"/>
      <c r="J1736" s="888"/>
      <c r="K1736" s="980"/>
      <c r="L1736" s="77"/>
      <c r="M1736" s="78">
        <f t="shared" si="240"/>
        <v>0</v>
      </c>
      <c r="N1736" s="748"/>
      <c r="P1736" s="29" t="str">
        <f t="shared" si="243"/>
        <v>1900</v>
      </c>
      <c r="Q1736" s="29" t="str">
        <f t="shared" si="244"/>
        <v/>
      </c>
      <c r="R1736" s="29" t="str">
        <f t="shared" si="245"/>
        <v/>
      </c>
    </row>
    <row r="1737" spans="1:18">
      <c r="A1737" s="483">
        <f t="shared" si="246"/>
        <v>1733</v>
      </c>
      <c r="B1737" s="77"/>
      <c r="C1737" s="77"/>
      <c r="D1737" s="858"/>
      <c r="E1737" s="858">
        <f t="shared" si="241"/>
        <v>0</v>
      </c>
      <c r="F1737" s="887">
        <f t="shared" si="242"/>
        <v>1900</v>
      </c>
      <c r="G1737" s="888"/>
      <c r="H1737" s="889"/>
      <c r="I1737" s="888"/>
      <c r="J1737" s="888"/>
      <c r="K1737" s="980"/>
      <c r="L1737" s="77"/>
      <c r="M1737" s="78">
        <f t="shared" si="240"/>
        <v>0</v>
      </c>
      <c r="N1737" s="748"/>
      <c r="P1737" s="29" t="str">
        <f t="shared" si="243"/>
        <v>1900</v>
      </c>
      <c r="Q1737" s="29" t="str">
        <f t="shared" si="244"/>
        <v/>
      </c>
      <c r="R1737" s="29" t="str">
        <f t="shared" si="245"/>
        <v/>
      </c>
    </row>
    <row r="1738" spans="1:18">
      <c r="A1738" s="483">
        <f t="shared" si="246"/>
        <v>1734</v>
      </c>
      <c r="B1738" s="77"/>
      <c r="C1738" s="77"/>
      <c r="D1738" s="858"/>
      <c r="E1738" s="858">
        <f t="shared" si="241"/>
        <v>0</v>
      </c>
      <c r="F1738" s="887">
        <f t="shared" si="242"/>
        <v>1900</v>
      </c>
      <c r="G1738" s="888"/>
      <c r="H1738" s="889"/>
      <c r="I1738" s="888"/>
      <c r="J1738" s="888"/>
      <c r="K1738" s="980"/>
      <c r="L1738" s="77"/>
      <c r="M1738" s="78">
        <f t="shared" si="240"/>
        <v>0</v>
      </c>
      <c r="N1738" s="748"/>
      <c r="P1738" s="29" t="str">
        <f t="shared" si="243"/>
        <v>1900</v>
      </c>
      <c r="Q1738" s="29" t="str">
        <f t="shared" si="244"/>
        <v/>
      </c>
      <c r="R1738" s="29" t="str">
        <f t="shared" si="245"/>
        <v/>
      </c>
    </row>
    <row r="1739" spans="1:18">
      <c r="A1739" s="483">
        <f t="shared" si="246"/>
        <v>1735</v>
      </c>
      <c r="B1739" s="77"/>
      <c r="C1739" s="77"/>
      <c r="D1739" s="858"/>
      <c r="E1739" s="858">
        <f t="shared" si="241"/>
        <v>0</v>
      </c>
      <c r="F1739" s="887">
        <f t="shared" si="242"/>
        <v>1900</v>
      </c>
      <c r="G1739" s="888"/>
      <c r="H1739" s="889"/>
      <c r="I1739" s="888"/>
      <c r="J1739" s="888"/>
      <c r="K1739" s="980"/>
      <c r="L1739" s="77"/>
      <c r="M1739" s="78">
        <f t="shared" si="240"/>
        <v>0</v>
      </c>
      <c r="N1739" s="748"/>
      <c r="P1739" s="29" t="str">
        <f t="shared" si="243"/>
        <v>1900</v>
      </c>
      <c r="Q1739" s="29" t="str">
        <f t="shared" si="244"/>
        <v/>
      </c>
      <c r="R1739" s="29" t="str">
        <f t="shared" si="245"/>
        <v/>
      </c>
    </row>
    <row r="1740" spans="1:18">
      <c r="A1740" s="483">
        <f t="shared" si="246"/>
        <v>1736</v>
      </c>
      <c r="B1740" s="77"/>
      <c r="C1740" s="77"/>
      <c r="D1740" s="858"/>
      <c r="E1740" s="858">
        <f t="shared" si="241"/>
        <v>0</v>
      </c>
      <c r="F1740" s="887">
        <f t="shared" si="242"/>
        <v>1900</v>
      </c>
      <c r="G1740" s="888"/>
      <c r="H1740" s="889"/>
      <c r="I1740" s="888"/>
      <c r="J1740" s="888"/>
      <c r="K1740" s="980"/>
      <c r="L1740" s="77"/>
      <c r="M1740" s="78">
        <f t="shared" ref="M1740:M1803" si="247">+L1740</f>
        <v>0</v>
      </c>
      <c r="N1740" s="748"/>
      <c r="P1740" s="29" t="str">
        <f t="shared" si="243"/>
        <v>1900</v>
      </c>
      <c r="Q1740" s="29" t="str">
        <f t="shared" si="244"/>
        <v/>
      </c>
      <c r="R1740" s="29" t="str">
        <f t="shared" si="245"/>
        <v/>
      </c>
    </row>
    <row r="1741" spans="1:18">
      <c r="A1741" s="483">
        <f t="shared" si="246"/>
        <v>1737</v>
      </c>
      <c r="B1741" s="77"/>
      <c r="C1741" s="77"/>
      <c r="D1741" s="858"/>
      <c r="E1741" s="858">
        <f t="shared" si="241"/>
        <v>0</v>
      </c>
      <c r="F1741" s="887">
        <f t="shared" si="242"/>
        <v>1900</v>
      </c>
      <c r="G1741" s="888"/>
      <c r="H1741" s="889"/>
      <c r="I1741" s="888"/>
      <c r="J1741" s="888"/>
      <c r="K1741" s="980"/>
      <c r="L1741" s="77"/>
      <c r="M1741" s="78">
        <f t="shared" si="247"/>
        <v>0</v>
      </c>
      <c r="N1741" s="748"/>
      <c r="P1741" s="29" t="str">
        <f t="shared" si="243"/>
        <v>1900</v>
      </c>
      <c r="Q1741" s="29" t="str">
        <f t="shared" si="244"/>
        <v/>
      </c>
      <c r="R1741" s="29" t="str">
        <f t="shared" si="245"/>
        <v/>
      </c>
    </row>
    <row r="1742" spans="1:18">
      <c r="A1742" s="483">
        <f t="shared" si="246"/>
        <v>1738</v>
      </c>
      <c r="B1742" s="77"/>
      <c r="C1742" s="77"/>
      <c r="D1742" s="858"/>
      <c r="E1742" s="858">
        <f t="shared" si="241"/>
        <v>0</v>
      </c>
      <c r="F1742" s="887">
        <f t="shared" si="242"/>
        <v>1900</v>
      </c>
      <c r="G1742" s="888"/>
      <c r="H1742" s="889"/>
      <c r="I1742" s="888"/>
      <c r="J1742" s="888"/>
      <c r="K1742" s="980"/>
      <c r="L1742" s="77"/>
      <c r="M1742" s="78">
        <f t="shared" si="247"/>
        <v>0</v>
      </c>
      <c r="N1742" s="748"/>
      <c r="P1742" s="29" t="str">
        <f t="shared" si="243"/>
        <v>1900</v>
      </c>
      <c r="Q1742" s="29" t="str">
        <f t="shared" si="244"/>
        <v/>
      </c>
      <c r="R1742" s="29" t="str">
        <f t="shared" si="245"/>
        <v/>
      </c>
    </row>
    <row r="1743" spans="1:18">
      <c r="A1743" s="483">
        <f t="shared" si="246"/>
        <v>1739</v>
      </c>
      <c r="B1743" s="77"/>
      <c r="C1743" s="77"/>
      <c r="D1743" s="858"/>
      <c r="E1743" s="858">
        <f t="shared" si="241"/>
        <v>0</v>
      </c>
      <c r="F1743" s="887">
        <f t="shared" si="242"/>
        <v>1900</v>
      </c>
      <c r="G1743" s="888"/>
      <c r="H1743" s="889"/>
      <c r="I1743" s="888"/>
      <c r="J1743" s="888"/>
      <c r="K1743" s="980"/>
      <c r="L1743" s="77"/>
      <c r="M1743" s="78">
        <f t="shared" si="247"/>
        <v>0</v>
      </c>
      <c r="N1743" s="748"/>
      <c r="P1743" s="29" t="str">
        <f t="shared" si="243"/>
        <v>1900</v>
      </c>
      <c r="Q1743" s="29" t="str">
        <f t="shared" si="244"/>
        <v/>
      </c>
      <c r="R1743" s="29" t="str">
        <f t="shared" si="245"/>
        <v/>
      </c>
    </row>
    <row r="1744" spans="1:18">
      <c r="A1744" s="483">
        <f t="shared" si="246"/>
        <v>1740</v>
      </c>
      <c r="B1744" s="77"/>
      <c r="C1744" s="77"/>
      <c r="D1744" s="858"/>
      <c r="E1744" s="858">
        <f t="shared" si="241"/>
        <v>0</v>
      </c>
      <c r="F1744" s="887">
        <f t="shared" si="242"/>
        <v>1900</v>
      </c>
      <c r="G1744" s="888"/>
      <c r="H1744" s="889"/>
      <c r="I1744" s="888"/>
      <c r="J1744" s="888"/>
      <c r="K1744" s="980"/>
      <c r="L1744" s="77"/>
      <c r="M1744" s="78">
        <f t="shared" si="247"/>
        <v>0</v>
      </c>
      <c r="N1744" s="748"/>
      <c r="P1744" s="29" t="str">
        <f t="shared" si="243"/>
        <v>1900</v>
      </c>
      <c r="Q1744" s="29" t="str">
        <f t="shared" si="244"/>
        <v/>
      </c>
      <c r="R1744" s="29" t="str">
        <f t="shared" si="245"/>
        <v/>
      </c>
    </row>
    <row r="1745" spans="1:18">
      <c r="A1745" s="483">
        <f t="shared" si="246"/>
        <v>1741</v>
      </c>
      <c r="B1745" s="77"/>
      <c r="C1745" s="77"/>
      <c r="D1745" s="858"/>
      <c r="E1745" s="858">
        <f t="shared" si="241"/>
        <v>0</v>
      </c>
      <c r="F1745" s="887">
        <f t="shared" si="242"/>
        <v>1900</v>
      </c>
      <c r="G1745" s="888"/>
      <c r="H1745" s="889"/>
      <c r="I1745" s="888"/>
      <c r="J1745" s="888"/>
      <c r="K1745" s="980"/>
      <c r="L1745" s="77"/>
      <c r="M1745" s="78">
        <f t="shared" si="247"/>
        <v>0</v>
      </c>
      <c r="N1745" s="748"/>
      <c r="P1745" s="29" t="str">
        <f t="shared" si="243"/>
        <v>1900</v>
      </c>
      <c r="Q1745" s="29" t="str">
        <f t="shared" si="244"/>
        <v/>
      </c>
      <c r="R1745" s="29" t="str">
        <f t="shared" si="245"/>
        <v/>
      </c>
    </row>
    <row r="1746" spans="1:18">
      <c r="A1746" s="483">
        <f t="shared" si="246"/>
        <v>1742</v>
      </c>
      <c r="B1746" s="77"/>
      <c r="C1746" s="77"/>
      <c r="D1746" s="858"/>
      <c r="E1746" s="858">
        <f t="shared" si="241"/>
        <v>0</v>
      </c>
      <c r="F1746" s="887">
        <f t="shared" si="242"/>
        <v>1900</v>
      </c>
      <c r="G1746" s="888"/>
      <c r="H1746" s="889"/>
      <c r="I1746" s="888"/>
      <c r="J1746" s="888"/>
      <c r="K1746" s="980"/>
      <c r="L1746" s="77"/>
      <c r="M1746" s="78">
        <f t="shared" si="247"/>
        <v>0</v>
      </c>
      <c r="N1746" s="748"/>
      <c r="P1746" s="29" t="str">
        <f t="shared" si="243"/>
        <v>1900</v>
      </c>
      <c r="Q1746" s="29" t="str">
        <f t="shared" si="244"/>
        <v/>
      </c>
      <c r="R1746" s="29" t="str">
        <f t="shared" si="245"/>
        <v/>
      </c>
    </row>
    <row r="1747" spans="1:18">
      <c r="A1747" s="483">
        <f t="shared" si="246"/>
        <v>1743</v>
      </c>
      <c r="B1747" s="77"/>
      <c r="C1747" s="77"/>
      <c r="D1747" s="858"/>
      <c r="E1747" s="858">
        <f t="shared" si="241"/>
        <v>0</v>
      </c>
      <c r="F1747" s="887">
        <f t="shared" si="242"/>
        <v>1900</v>
      </c>
      <c r="G1747" s="888"/>
      <c r="H1747" s="889"/>
      <c r="I1747" s="888"/>
      <c r="J1747" s="888"/>
      <c r="K1747" s="980"/>
      <c r="L1747" s="77"/>
      <c r="M1747" s="78">
        <f t="shared" si="247"/>
        <v>0</v>
      </c>
      <c r="N1747" s="748"/>
      <c r="P1747" s="29" t="str">
        <f t="shared" si="243"/>
        <v>1900</v>
      </c>
      <c r="Q1747" s="29" t="str">
        <f t="shared" si="244"/>
        <v/>
      </c>
      <c r="R1747" s="29" t="str">
        <f t="shared" si="245"/>
        <v/>
      </c>
    </row>
    <row r="1748" spans="1:18">
      <c r="A1748" s="483">
        <f t="shared" si="246"/>
        <v>1744</v>
      </c>
      <c r="B1748" s="77"/>
      <c r="C1748" s="77"/>
      <c r="D1748" s="858"/>
      <c r="E1748" s="858">
        <f t="shared" si="241"/>
        <v>0</v>
      </c>
      <c r="F1748" s="887">
        <f t="shared" si="242"/>
        <v>1900</v>
      </c>
      <c r="G1748" s="888"/>
      <c r="H1748" s="889"/>
      <c r="I1748" s="888"/>
      <c r="J1748" s="888"/>
      <c r="K1748" s="980"/>
      <c r="L1748" s="77"/>
      <c r="M1748" s="78">
        <f t="shared" si="247"/>
        <v>0</v>
      </c>
      <c r="N1748" s="748"/>
      <c r="P1748" s="29" t="str">
        <f t="shared" si="243"/>
        <v>1900</v>
      </c>
      <c r="Q1748" s="29" t="str">
        <f t="shared" si="244"/>
        <v/>
      </c>
      <c r="R1748" s="29" t="str">
        <f t="shared" si="245"/>
        <v/>
      </c>
    </row>
    <row r="1749" spans="1:18">
      <c r="A1749" s="483">
        <f t="shared" si="246"/>
        <v>1745</v>
      </c>
      <c r="B1749" s="77"/>
      <c r="C1749" s="77"/>
      <c r="D1749" s="858"/>
      <c r="E1749" s="858">
        <f t="shared" si="241"/>
        <v>0</v>
      </c>
      <c r="F1749" s="887">
        <f t="shared" si="242"/>
        <v>1900</v>
      </c>
      <c r="G1749" s="888"/>
      <c r="H1749" s="889"/>
      <c r="I1749" s="888"/>
      <c r="J1749" s="888"/>
      <c r="K1749" s="980"/>
      <c r="L1749" s="77"/>
      <c r="M1749" s="78">
        <f t="shared" si="247"/>
        <v>0</v>
      </c>
      <c r="N1749" s="748"/>
      <c r="P1749" s="29" t="str">
        <f t="shared" si="243"/>
        <v>1900</v>
      </c>
      <c r="Q1749" s="29" t="str">
        <f t="shared" si="244"/>
        <v/>
      </c>
      <c r="R1749" s="29" t="str">
        <f t="shared" si="245"/>
        <v/>
      </c>
    </row>
    <row r="1750" spans="1:18">
      <c r="A1750" s="483">
        <f t="shared" si="246"/>
        <v>1746</v>
      </c>
      <c r="B1750" s="77"/>
      <c r="C1750" s="77"/>
      <c r="D1750" s="858"/>
      <c r="E1750" s="858">
        <f t="shared" si="241"/>
        <v>0</v>
      </c>
      <c r="F1750" s="887">
        <f t="shared" si="242"/>
        <v>1900</v>
      </c>
      <c r="G1750" s="888"/>
      <c r="H1750" s="889"/>
      <c r="I1750" s="888"/>
      <c r="J1750" s="888"/>
      <c r="K1750" s="980"/>
      <c r="L1750" s="77"/>
      <c r="M1750" s="78">
        <f t="shared" si="247"/>
        <v>0</v>
      </c>
      <c r="N1750" s="748"/>
      <c r="P1750" s="29" t="str">
        <f t="shared" si="243"/>
        <v>1900</v>
      </c>
      <c r="Q1750" s="29" t="str">
        <f t="shared" si="244"/>
        <v/>
      </c>
      <c r="R1750" s="29" t="str">
        <f t="shared" si="245"/>
        <v/>
      </c>
    </row>
    <row r="1751" spans="1:18">
      <c r="A1751" s="483">
        <f t="shared" si="246"/>
        <v>1747</v>
      </c>
      <c r="B1751" s="77"/>
      <c r="C1751" s="77"/>
      <c r="D1751" s="858"/>
      <c r="E1751" s="858">
        <f t="shared" si="241"/>
        <v>0</v>
      </c>
      <c r="F1751" s="887">
        <f t="shared" si="242"/>
        <v>1900</v>
      </c>
      <c r="G1751" s="888"/>
      <c r="H1751" s="889"/>
      <c r="I1751" s="888"/>
      <c r="J1751" s="888"/>
      <c r="K1751" s="980"/>
      <c r="L1751" s="77"/>
      <c r="M1751" s="78">
        <f t="shared" si="247"/>
        <v>0</v>
      </c>
      <c r="N1751" s="748"/>
      <c r="P1751" s="29" t="str">
        <f t="shared" si="243"/>
        <v>1900</v>
      </c>
      <c r="Q1751" s="29" t="str">
        <f t="shared" si="244"/>
        <v/>
      </c>
      <c r="R1751" s="29" t="str">
        <f t="shared" si="245"/>
        <v/>
      </c>
    </row>
    <row r="1752" spans="1:18">
      <c r="A1752" s="483">
        <f t="shared" si="246"/>
        <v>1748</v>
      </c>
      <c r="B1752" s="77"/>
      <c r="C1752" s="77"/>
      <c r="D1752" s="858"/>
      <c r="E1752" s="858">
        <f t="shared" si="241"/>
        <v>0</v>
      </c>
      <c r="F1752" s="887">
        <f t="shared" si="242"/>
        <v>1900</v>
      </c>
      <c r="G1752" s="888"/>
      <c r="H1752" s="889"/>
      <c r="I1752" s="888"/>
      <c r="J1752" s="888"/>
      <c r="K1752" s="980"/>
      <c r="L1752" s="77"/>
      <c r="M1752" s="78">
        <f t="shared" si="247"/>
        <v>0</v>
      </c>
      <c r="N1752" s="748"/>
      <c r="P1752" s="29" t="str">
        <f t="shared" si="243"/>
        <v>1900</v>
      </c>
      <c r="Q1752" s="29" t="str">
        <f t="shared" si="244"/>
        <v/>
      </c>
      <c r="R1752" s="29" t="str">
        <f t="shared" si="245"/>
        <v/>
      </c>
    </row>
    <row r="1753" spans="1:18">
      <c r="A1753" s="483">
        <f t="shared" si="246"/>
        <v>1749</v>
      </c>
      <c r="B1753" s="77"/>
      <c r="C1753" s="77"/>
      <c r="D1753" s="858"/>
      <c r="E1753" s="858">
        <f t="shared" si="241"/>
        <v>0</v>
      </c>
      <c r="F1753" s="887">
        <f t="shared" si="242"/>
        <v>1900</v>
      </c>
      <c r="G1753" s="888"/>
      <c r="H1753" s="889"/>
      <c r="I1753" s="888"/>
      <c r="J1753" s="888"/>
      <c r="K1753" s="980"/>
      <c r="L1753" s="77"/>
      <c r="M1753" s="78">
        <f t="shared" si="247"/>
        <v>0</v>
      </c>
      <c r="N1753" s="748"/>
      <c r="P1753" s="29" t="str">
        <f t="shared" si="243"/>
        <v>1900</v>
      </c>
      <c r="Q1753" s="29" t="str">
        <f t="shared" si="244"/>
        <v/>
      </c>
      <c r="R1753" s="29" t="str">
        <f t="shared" si="245"/>
        <v/>
      </c>
    </row>
    <row r="1754" spans="1:18">
      <c r="A1754" s="483">
        <f t="shared" si="246"/>
        <v>1750</v>
      </c>
      <c r="B1754" s="77"/>
      <c r="C1754" s="77"/>
      <c r="D1754" s="858"/>
      <c r="E1754" s="858">
        <f t="shared" si="241"/>
        <v>0</v>
      </c>
      <c r="F1754" s="887">
        <f t="shared" si="242"/>
        <v>1900</v>
      </c>
      <c r="G1754" s="888"/>
      <c r="H1754" s="889"/>
      <c r="I1754" s="888"/>
      <c r="J1754" s="888"/>
      <c r="K1754" s="980"/>
      <c r="L1754" s="77"/>
      <c r="M1754" s="78">
        <f t="shared" si="247"/>
        <v>0</v>
      </c>
      <c r="N1754" s="748"/>
      <c r="P1754" s="29" t="str">
        <f t="shared" si="243"/>
        <v>1900</v>
      </c>
      <c r="Q1754" s="29" t="str">
        <f t="shared" si="244"/>
        <v/>
      </c>
      <c r="R1754" s="29" t="str">
        <f t="shared" si="245"/>
        <v/>
      </c>
    </row>
    <row r="1755" spans="1:18">
      <c r="A1755" s="483">
        <f t="shared" si="246"/>
        <v>1751</v>
      </c>
      <c r="B1755" s="77"/>
      <c r="C1755" s="77"/>
      <c r="D1755" s="858"/>
      <c r="E1755" s="858">
        <f t="shared" si="241"/>
        <v>0</v>
      </c>
      <c r="F1755" s="887">
        <f t="shared" si="242"/>
        <v>1900</v>
      </c>
      <c r="G1755" s="888"/>
      <c r="H1755" s="889"/>
      <c r="I1755" s="888"/>
      <c r="J1755" s="888"/>
      <c r="K1755" s="980"/>
      <c r="L1755" s="77"/>
      <c r="M1755" s="78">
        <f t="shared" si="247"/>
        <v>0</v>
      </c>
      <c r="N1755" s="748"/>
      <c r="P1755" s="29" t="str">
        <f t="shared" si="243"/>
        <v>1900</v>
      </c>
      <c r="Q1755" s="29" t="str">
        <f t="shared" si="244"/>
        <v/>
      </c>
      <c r="R1755" s="29" t="str">
        <f t="shared" si="245"/>
        <v/>
      </c>
    </row>
    <row r="1756" spans="1:18">
      <c r="A1756" s="483">
        <f t="shared" si="246"/>
        <v>1752</v>
      </c>
      <c r="B1756" s="77"/>
      <c r="C1756" s="77"/>
      <c r="D1756" s="858"/>
      <c r="E1756" s="858">
        <f t="shared" si="241"/>
        <v>0</v>
      </c>
      <c r="F1756" s="887">
        <f t="shared" si="242"/>
        <v>1900</v>
      </c>
      <c r="G1756" s="888"/>
      <c r="H1756" s="889"/>
      <c r="I1756" s="888"/>
      <c r="J1756" s="888"/>
      <c r="K1756" s="980"/>
      <c r="L1756" s="77"/>
      <c r="M1756" s="78">
        <f t="shared" si="247"/>
        <v>0</v>
      </c>
      <c r="N1756" s="748"/>
      <c r="P1756" s="29" t="str">
        <f t="shared" si="243"/>
        <v>1900</v>
      </c>
      <c r="Q1756" s="29" t="str">
        <f t="shared" si="244"/>
        <v/>
      </c>
      <c r="R1756" s="29" t="str">
        <f t="shared" si="245"/>
        <v/>
      </c>
    </row>
    <row r="1757" spans="1:18">
      <c r="A1757" s="483">
        <f t="shared" si="246"/>
        <v>1753</v>
      </c>
      <c r="B1757" s="77"/>
      <c r="C1757" s="77"/>
      <c r="D1757" s="858"/>
      <c r="E1757" s="858">
        <f t="shared" si="241"/>
        <v>0</v>
      </c>
      <c r="F1757" s="887">
        <f t="shared" si="242"/>
        <v>1900</v>
      </c>
      <c r="G1757" s="888"/>
      <c r="H1757" s="889"/>
      <c r="I1757" s="888"/>
      <c r="J1757" s="888"/>
      <c r="K1757" s="980"/>
      <c r="L1757" s="77"/>
      <c r="M1757" s="78">
        <f t="shared" si="247"/>
        <v>0</v>
      </c>
      <c r="N1757" s="748"/>
      <c r="P1757" s="29" t="str">
        <f t="shared" si="243"/>
        <v>1900</v>
      </c>
      <c r="Q1757" s="29" t="str">
        <f t="shared" si="244"/>
        <v/>
      </c>
      <c r="R1757" s="29" t="str">
        <f t="shared" si="245"/>
        <v/>
      </c>
    </row>
    <row r="1758" spans="1:18">
      <c r="A1758" s="483">
        <f t="shared" si="246"/>
        <v>1754</v>
      </c>
      <c r="B1758" s="77"/>
      <c r="C1758" s="77"/>
      <c r="D1758" s="858"/>
      <c r="E1758" s="858">
        <f t="shared" si="241"/>
        <v>0</v>
      </c>
      <c r="F1758" s="887">
        <f t="shared" si="242"/>
        <v>1900</v>
      </c>
      <c r="G1758" s="888"/>
      <c r="H1758" s="889"/>
      <c r="I1758" s="888"/>
      <c r="J1758" s="888"/>
      <c r="K1758" s="980"/>
      <c r="L1758" s="77"/>
      <c r="M1758" s="78">
        <f t="shared" si="247"/>
        <v>0</v>
      </c>
      <c r="N1758" s="748"/>
      <c r="P1758" s="29" t="str">
        <f t="shared" si="243"/>
        <v>1900</v>
      </c>
      <c r="Q1758" s="29" t="str">
        <f t="shared" si="244"/>
        <v/>
      </c>
      <c r="R1758" s="29" t="str">
        <f t="shared" si="245"/>
        <v/>
      </c>
    </row>
    <row r="1759" spans="1:18">
      <c r="A1759" s="483">
        <f t="shared" si="246"/>
        <v>1755</v>
      </c>
      <c r="B1759" s="77"/>
      <c r="C1759" s="77"/>
      <c r="D1759" s="858"/>
      <c r="E1759" s="858">
        <f t="shared" si="241"/>
        <v>0</v>
      </c>
      <c r="F1759" s="887">
        <f t="shared" si="242"/>
        <v>1900</v>
      </c>
      <c r="G1759" s="888"/>
      <c r="H1759" s="889"/>
      <c r="I1759" s="888"/>
      <c r="J1759" s="888"/>
      <c r="K1759" s="980"/>
      <c r="L1759" s="77"/>
      <c r="M1759" s="78">
        <f t="shared" si="247"/>
        <v>0</v>
      </c>
      <c r="N1759" s="748"/>
      <c r="P1759" s="29" t="str">
        <f t="shared" si="243"/>
        <v>1900</v>
      </c>
      <c r="Q1759" s="29" t="str">
        <f t="shared" si="244"/>
        <v/>
      </c>
      <c r="R1759" s="29" t="str">
        <f t="shared" si="245"/>
        <v/>
      </c>
    </row>
    <row r="1760" spans="1:18">
      <c r="A1760" s="483">
        <f t="shared" si="246"/>
        <v>1756</v>
      </c>
      <c r="B1760" s="77"/>
      <c r="C1760" s="77"/>
      <c r="D1760" s="858"/>
      <c r="E1760" s="858">
        <f t="shared" si="241"/>
        <v>0</v>
      </c>
      <c r="F1760" s="887">
        <f t="shared" si="242"/>
        <v>1900</v>
      </c>
      <c r="G1760" s="888"/>
      <c r="H1760" s="889"/>
      <c r="I1760" s="888"/>
      <c r="J1760" s="888"/>
      <c r="K1760" s="980"/>
      <c r="L1760" s="77"/>
      <c r="M1760" s="78">
        <f t="shared" si="247"/>
        <v>0</v>
      </c>
      <c r="N1760" s="748"/>
      <c r="P1760" s="29" t="str">
        <f t="shared" si="243"/>
        <v>1900</v>
      </c>
      <c r="Q1760" s="29" t="str">
        <f t="shared" si="244"/>
        <v/>
      </c>
      <c r="R1760" s="29" t="str">
        <f t="shared" si="245"/>
        <v/>
      </c>
    </row>
    <row r="1761" spans="1:18">
      <c r="A1761" s="483">
        <f t="shared" si="246"/>
        <v>1757</v>
      </c>
      <c r="B1761" s="77"/>
      <c r="C1761" s="77"/>
      <c r="D1761" s="858"/>
      <c r="E1761" s="858">
        <f t="shared" si="241"/>
        <v>0</v>
      </c>
      <c r="F1761" s="887">
        <f t="shared" si="242"/>
        <v>1900</v>
      </c>
      <c r="G1761" s="888"/>
      <c r="H1761" s="889"/>
      <c r="I1761" s="888"/>
      <c r="J1761" s="888"/>
      <c r="K1761" s="980"/>
      <c r="L1761" s="77"/>
      <c r="M1761" s="78">
        <f t="shared" si="247"/>
        <v>0</v>
      </c>
      <c r="N1761" s="748"/>
      <c r="P1761" s="29" t="str">
        <f t="shared" si="243"/>
        <v>1900</v>
      </c>
      <c r="Q1761" s="29" t="str">
        <f t="shared" si="244"/>
        <v/>
      </c>
      <c r="R1761" s="29" t="str">
        <f t="shared" si="245"/>
        <v/>
      </c>
    </row>
    <row r="1762" spans="1:18">
      <c r="A1762" s="483">
        <f t="shared" si="246"/>
        <v>1758</v>
      </c>
      <c r="B1762" s="77"/>
      <c r="C1762" s="77"/>
      <c r="D1762" s="858"/>
      <c r="E1762" s="858">
        <f t="shared" si="241"/>
        <v>0</v>
      </c>
      <c r="F1762" s="887">
        <f t="shared" si="242"/>
        <v>1900</v>
      </c>
      <c r="G1762" s="888"/>
      <c r="H1762" s="889"/>
      <c r="I1762" s="888"/>
      <c r="J1762" s="888"/>
      <c r="K1762" s="980"/>
      <c r="L1762" s="77"/>
      <c r="M1762" s="78">
        <f t="shared" si="247"/>
        <v>0</v>
      </c>
      <c r="N1762" s="748"/>
      <c r="P1762" s="29" t="str">
        <f t="shared" si="243"/>
        <v>1900</v>
      </c>
      <c r="Q1762" s="29" t="str">
        <f t="shared" si="244"/>
        <v/>
      </c>
      <c r="R1762" s="29" t="str">
        <f t="shared" si="245"/>
        <v/>
      </c>
    </row>
    <row r="1763" spans="1:18">
      <c r="A1763" s="483">
        <f t="shared" si="246"/>
        <v>1759</v>
      </c>
      <c r="B1763" s="77"/>
      <c r="C1763" s="77"/>
      <c r="D1763" s="858"/>
      <c r="E1763" s="858">
        <f t="shared" si="241"/>
        <v>0</v>
      </c>
      <c r="F1763" s="887">
        <f t="shared" si="242"/>
        <v>1900</v>
      </c>
      <c r="G1763" s="888"/>
      <c r="H1763" s="889"/>
      <c r="I1763" s="888"/>
      <c r="J1763" s="888"/>
      <c r="K1763" s="980"/>
      <c r="L1763" s="77"/>
      <c r="M1763" s="78">
        <f t="shared" si="247"/>
        <v>0</v>
      </c>
      <c r="N1763" s="748"/>
      <c r="P1763" s="29" t="str">
        <f t="shared" si="243"/>
        <v>1900</v>
      </c>
      <c r="Q1763" s="29" t="str">
        <f t="shared" si="244"/>
        <v/>
      </c>
      <c r="R1763" s="29" t="str">
        <f t="shared" si="245"/>
        <v/>
      </c>
    </row>
    <row r="1764" spans="1:18">
      <c r="A1764" s="483">
        <f t="shared" si="246"/>
        <v>1760</v>
      </c>
      <c r="B1764" s="77"/>
      <c r="C1764" s="77"/>
      <c r="D1764" s="858"/>
      <c r="E1764" s="858">
        <f t="shared" si="241"/>
        <v>0</v>
      </c>
      <c r="F1764" s="887">
        <f t="shared" si="242"/>
        <v>1900</v>
      </c>
      <c r="G1764" s="888"/>
      <c r="H1764" s="889"/>
      <c r="I1764" s="888"/>
      <c r="J1764" s="888"/>
      <c r="K1764" s="980"/>
      <c r="L1764" s="77"/>
      <c r="M1764" s="78">
        <f t="shared" si="247"/>
        <v>0</v>
      </c>
      <c r="N1764" s="748"/>
      <c r="P1764" s="29" t="str">
        <f t="shared" si="243"/>
        <v>1900</v>
      </c>
      <c r="Q1764" s="29" t="str">
        <f t="shared" si="244"/>
        <v/>
      </c>
      <c r="R1764" s="29" t="str">
        <f t="shared" si="245"/>
        <v/>
      </c>
    </row>
    <row r="1765" spans="1:18">
      <c r="A1765" s="483">
        <f t="shared" si="246"/>
        <v>1761</v>
      </c>
      <c r="B1765" s="77"/>
      <c r="C1765" s="77"/>
      <c r="D1765" s="858"/>
      <c r="E1765" s="858">
        <f t="shared" si="241"/>
        <v>0</v>
      </c>
      <c r="F1765" s="887">
        <f t="shared" si="242"/>
        <v>1900</v>
      </c>
      <c r="G1765" s="888"/>
      <c r="H1765" s="889"/>
      <c r="I1765" s="888"/>
      <c r="J1765" s="888"/>
      <c r="K1765" s="980"/>
      <c r="L1765" s="77"/>
      <c r="M1765" s="78">
        <f t="shared" si="247"/>
        <v>0</v>
      </c>
      <c r="N1765" s="748"/>
      <c r="P1765" s="29" t="str">
        <f t="shared" si="243"/>
        <v>1900</v>
      </c>
      <c r="Q1765" s="29" t="str">
        <f t="shared" si="244"/>
        <v/>
      </c>
      <c r="R1765" s="29" t="str">
        <f t="shared" si="245"/>
        <v/>
      </c>
    </row>
    <row r="1766" spans="1:18">
      <c r="A1766" s="483">
        <f t="shared" si="246"/>
        <v>1762</v>
      </c>
      <c r="B1766" s="77"/>
      <c r="C1766" s="77"/>
      <c r="D1766" s="858"/>
      <c r="E1766" s="858">
        <f t="shared" si="241"/>
        <v>0</v>
      </c>
      <c r="F1766" s="887">
        <f t="shared" si="242"/>
        <v>1900</v>
      </c>
      <c r="G1766" s="888"/>
      <c r="H1766" s="889"/>
      <c r="I1766" s="888"/>
      <c r="J1766" s="888"/>
      <c r="K1766" s="980"/>
      <c r="L1766" s="77"/>
      <c r="M1766" s="78">
        <f t="shared" si="247"/>
        <v>0</v>
      </c>
      <c r="N1766" s="748"/>
      <c r="P1766" s="29" t="str">
        <f t="shared" si="243"/>
        <v>1900</v>
      </c>
      <c r="Q1766" s="29" t="str">
        <f t="shared" si="244"/>
        <v/>
      </c>
      <c r="R1766" s="29" t="str">
        <f t="shared" si="245"/>
        <v/>
      </c>
    </row>
    <row r="1767" spans="1:18">
      <c r="A1767" s="483">
        <f t="shared" si="246"/>
        <v>1763</v>
      </c>
      <c r="B1767" s="77"/>
      <c r="C1767" s="77"/>
      <c r="D1767" s="858"/>
      <c r="E1767" s="858">
        <f t="shared" si="241"/>
        <v>0</v>
      </c>
      <c r="F1767" s="887">
        <f t="shared" si="242"/>
        <v>1900</v>
      </c>
      <c r="G1767" s="888"/>
      <c r="H1767" s="889"/>
      <c r="I1767" s="888"/>
      <c r="J1767" s="888"/>
      <c r="K1767" s="980"/>
      <c r="L1767" s="77"/>
      <c r="M1767" s="78">
        <f t="shared" si="247"/>
        <v>0</v>
      </c>
      <c r="N1767" s="748"/>
      <c r="P1767" s="29" t="str">
        <f t="shared" si="243"/>
        <v>1900</v>
      </c>
      <c r="Q1767" s="29" t="str">
        <f t="shared" si="244"/>
        <v/>
      </c>
      <c r="R1767" s="29" t="str">
        <f t="shared" si="245"/>
        <v/>
      </c>
    </row>
    <row r="1768" spans="1:18">
      <c r="A1768" s="483">
        <f t="shared" si="246"/>
        <v>1764</v>
      </c>
      <c r="B1768" s="77"/>
      <c r="C1768" s="77"/>
      <c r="D1768" s="858"/>
      <c r="E1768" s="858">
        <f t="shared" si="241"/>
        <v>0</v>
      </c>
      <c r="F1768" s="887">
        <f t="shared" si="242"/>
        <v>1900</v>
      </c>
      <c r="G1768" s="888"/>
      <c r="H1768" s="889"/>
      <c r="I1768" s="888"/>
      <c r="J1768" s="888"/>
      <c r="K1768" s="980"/>
      <c r="L1768" s="77"/>
      <c r="M1768" s="78">
        <f t="shared" si="247"/>
        <v>0</v>
      </c>
      <c r="N1768" s="748"/>
      <c r="P1768" s="29" t="str">
        <f t="shared" si="243"/>
        <v>1900</v>
      </c>
      <c r="Q1768" s="29" t="str">
        <f t="shared" si="244"/>
        <v/>
      </c>
      <c r="R1768" s="29" t="str">
        <f t="shared" si="245"/>
        <v/>
      </c>
    </row>
    <row r="1769" spans="1:18">
      <c r="A1769" s="483">
        <f t="shared" si="246"/>
        <v>1765</v>
      </c>
      <c r="B1769" s="77"/>
      <c r="C1769" s="77"/>
      <c r="D1769" s="858"/>
      <c r="E1769" s="858">
        <f t="shared" si="241"/>
        <v>0</v>
      </c>
      <c r="F1769" s="887">
        <f t="shared" si="242"/>
        <v>1900</v>
      </c>
      <c r="G1769" s="888"/>
      <c r="H1769" s="889"/>
      <c r="I1769" s="888"/>
      <c r="J1769" s="888"/>
      <c r="K1769" s="980"/>
      <c r="L1769" s="77"/>
      <c r="M1769" s="78">
        <f t="shared" si="247"/>
        <v>0</v>
      </c>
      <c r="N1769" s="748"/>
      <c r="P1769" s="29" t="str">
        <f t="shared" si="243"/>
        <v>1900</v>
      </c>
      <c r="Q1769" s="29" t="str">
        <f t="shared" si="244"/>
        <v/>
      </c>
      <c r="R1769" s="29" t="str">
        <f t="shared" si="245"/>
        <v/>
      </c>
    </row>
    <row r="1770" spans="1:18">
      <c r="A1770" s="483">
        <f t="shared" si="246"/>
        <v>1766</v>
      </c>
      <c r="B1770" s="77"/>
      <c r="C1770" s="77"/>
      <c r="D1770" s="858"/>
      <c r="E1770" s="858">
        <f t="shared" si="241"/>
        <v>0</v>
      </c>
      <c r="F1770" s="887">
        <f t="shared" si="242"/>
        <v>1900</v>
      </c>
      <c r="G1770" s="888"/>
      <c r="H1770" s="889"/>
      <c r="I1770" s="888"/>
      <c r="J1770" s="888"/>
      <c r="K1770" s="980"/>
      <c r="L1770" s="77"/>
      <c r="M1770" s="78">
        <f t="shared" si="247"/>
        <v>0</v>
      </c>
      <c r="N1770" s="748"/>
      <c r="P1770" s="29" t="str">
        <f t="shared" si="243"/>
        <v>1900</v>
      </c>
      <c r="Q1770" s="29" t="str">
        <f t="shared" si="244"/>
        <v/>
      </c>
      <c r="R1770" s="29" t="str">
        <f t="shared" si="245"/>
        <v/>
      </c>
    </row>
    <row r="1771" spans="1:18">
      <c r="A1771" s="483">
        <f t="shared" si="246"/>
        <v>1767</v>
      </c>
      <c r="B1771" s="77"/>
      <c r="C1771" s="77"/>
      <c r="D1771" s="858"/>
      <c r="E1771" s="858">
        <f t="shared" si="241"/>
        <v>0</v>
      </c>
      <c r="F1771" s="887">
        <f t="shared" si="242"/>
        <v>1900</v>
      </c>
      <c r="G1771" s="888"/>
      <c r="H1771" s="889"/>
      <c r="I1771" s="888"/>
      <c r="J1771" s="888"/>
      <c r="K1771" s="980"/>
      <c r="L1771" s="77"/>
      <c r="M1771" s="78">
        <f t="shared" si="247"/>
        <v>0</v>
      </c>
      <c r="N1771" s="748"/>
      <c r="P1771" s="29" t="str">
        <f t="shared" si="243"/>
        <v>1900</v>
      </c>
      <c r="Q1771" s="29" t="str">
        <f t="shared" si="244"/>
        <v/>
      </c>
      <c r="R1771" s="29" t="str">
        <f t="shared" si="245"/>
        <v/>
      </c>
    </row>
    <row r="1772" spans="1:18">
      <c r="A1772" s="483">
        <f t="shared" si="246"/>
        <v>1768</v>
      </c>
      <c r="B1772" s="77"/>
      <c r="C1772" s="77"/>
      <c r="D1772" s="858"/>
      <c r="E1772" s="858">
        <f t="shared" si="241"/>
        <v>0</v>
      </c>
      <c r="F1772" s="887">
        <f t="shared" si="242"/>
        <v>1900</v>
      </c>
      <c r="G1772" s="888"/>
      <c r="H1772" s="889"/>
      <c r="I1772" s="888"/>
      <c r="J1772" s="888"/>
      <c r="K1772" s="980"/>
      <c r="L1772" s="77"/>
      <c r="M1772" s="78">
        <f t="shared" si="247"/>
        <v>0</v>
      </c>
      <c r="N1772" s="748"/>
      <c r="P1772" s="29" t="str">
        <f t="shared" si="243"/>
        <v>1900</v>
      </c>
      <c r="Q1772" s="29" t="str">
        <f t="shared" si="244"/>
        <v/>
      </c>
      <c r="R1772" s="29" t="str">
        <f t="shared" si="245"/>
        <v/>
      </c>
    </row>
    <row r="1773" spans="1:18">
      <c r="A1773" s="483">
        <f t="shared" si="246"/>
        <v>1769</v>
      </c>
      <c r="B1773" s="77"/>
      <c r="C1773" s="77"/>
      <c r="D1773" s="858"/>
      <c r="E1773" s="858">
        <f t="shared" si="241"/>
        <v>0</v>
      </c>
      <c r="F1773" s="887">
        <f t="shared" si="242"/>
        <v>1900</v>
      </c>
      <c r="G1773" s="888"/>
      <c r="H1773" s="889"/>
      <c r="I1773" s="888"/>
      <c r="J1773" s="888"/>
      <c r="K1773" s="980"/>
      <c r="L1773" s="77"/>
      <c r="M1773" s="78">
        <f t="shared" si="247"/>
        <v>0</v>
      </c>
      <c r="N1773" s="748"/>
      <c r="P1773" s="29" t="str">
        <f t="shared" si="243"/>
        <v>1900</v>
      </c>
      <c r="Q1773" s="29" t="str">
        <f t="shared" si="244"/>
        <v/>
      </c>
      <c r="R1773" s="29" t="str">
        <f t="shared" si="245"/>
        <v/>
      </c>
    </row>
    <row r="1774" spans="1:18">
      <c r="A1774" s="483">
        <f t="shared" si="246"/>
        <v>1770</v>
      </c>
      <c r="B1774" s="77"/>
      <c r="C1774" s="77"/>
      <c r="D1774" s="858"/>
      <c r="E1774" s="858">
        <f t="shared" si="241"/>
        <v>0</v>
      </c>
      <c r="F1774" s="887">
        <f t="shared" si="242"/>
        <v>1900</v>
      </c>
      <c r="G1774" s="888"/>
      <c r="H1774" s="889"/>
      <c r="I1774" s="888"/>
      <c r="J1774" s="888"/>
      <c r="K1774" s="980"/>
      <c r="L1774" s="77"/>
      <c r="M1774" s="78">
        <f t="shared" si="247"/>
        <v>0</v>
      </c>
      <c r="N1774" s="748"/>
      <c r="P1774" s="29" t="str">
        <f t="shared" si="243"/>
        <v>1900</v>
      </c>
      <c r="Q1774" s="29" t="str">
        <f t="shared" si="244"/>
        <v/>
      </c>
      <c r="R1774" s="29" t="str">
        <f t="shared" si="245"/>
        <v/>
      </c>
    </row>
    <row r="1775" spans="1:18">
      <c r="A1775" s="483">
        <f t="shared" si="246"/>
        <v>1771</v>
      </c>
      <c r="B1775" s="77"/>
      <c r="C1775" s="77"/>
      <c r="D1775" s="858"/>
      <c r="E1775" s="858">
        <f t="shared" ref="E1775:E1838" si="248">DAY(C1775)</f>
        <v>0</v>
      </c>
      <c r="F1775" s="887">
        <f t="shared" ref="F1775:F1838" si="249">YEAR(C1775)</f>
        <v>1900</v>
      </c>
      <c r="G1775" s="888"/>
      <c r="H1775" s="889"/>
      <c r="I1775" s="888"/>
      <c r="J1775" s="888"/>
      <c r="K1775" s="980"/>
      <c r="L1775" s="77"/>
      <c r="M1775" s="78">
        <f t="shared" si="247"/>
        <v>0</v>
      </c>
      <c r="N1775" s="748"/>
      <c r="P1775" s="29" t="str">
        <f t="shared" ref="P1775:P1838" si="250">CONCATENATE(F1775,H1775)</f>
        <v>1900</v>
      </c>
      <c r="Q1775" s="29" t="str">
        <f t="shared" ref="Q1775:Q1838" si="251">CONCATENATE(H1775,K1775)</f>
        <v/>
      </c>
      <c r="R1775" s="29" t="str">
        <f t="shared" ref="R1775:R1838" si="252">CONCATENATE(D1775,H1775)</f>
        <v/>
      </c>
    </row>
    <row r="1776" spans="1:18">
      <c r="A1776" s="483">
        <f t="shared" si="246"/>
        <v>1772</v>
      </c>
      <c r="B1776" s="77"/>
      <c r="C1776" s="77"/>
      <c r="D1776" s="858"/>
      <c r="E1776" s="858">
        <f t="shared" si="248"/>
        <v>0</v>
      </c>
      <c r="F1776" s="887">
        <f t="shared" si="249"/>
        <v>1900</v>
      </c>
      <c r="G1776" s="888"/>
      <c r="H1776" s="889"/>
      <c r="I1776" s="888"/>
      <c r="J1776" s="888"/>
      <c r="K1776" s="980"/>
      <c r="L1776" s="77"/>
      <c r="M1776" s="78">
        <f t="shared" si="247"/>
        <v>0</v>
      </c>
      <c r="N1776" s="748"/>
      <c r="P1776" s="29" t="str">
        <f t="shared" si="250"/>
        <v>1900</v>
      </c>
      <c r="Q1776" s="29" t="str">
        <f t="shared" si="251"/>
        <v/>
      </c>
      <c r="R1776" s="29" t="str">
        <f t="shared" si="252"/>
        <v/>
      </c>
    </row>
    <row r="1777" spans="1:18">
      <c r="A1777" s="483">
        <f t="shared" si="246"/>
        <v>1773</v>
      </c>
      <c r="B1777" s="77"/>
      <c r="C1777" s="77"/>
      <c r="D1777" s="858"/>
      <c r="E1777" s="858">
        <f t="shared" si="248"/>
        <v>0</v>
      </c>
      <c r="F1777" s="887">
        <f t="shared" si="249"/>
        <v>1900</v>
      </c>
      <c r="G1777" s="888"/>
      <c r="H1777" s="889"/>
      <c r="I1777" s="888"/>
      <c r="J1777" s="888"/>
      <c r="K1777" s="980"/>
      <c r="L1777" s="77"/>
      <c r="M1777" s="78">
        <f t="shared" si="247"/>
        <v>0</v>
      </c>
      <c r="N1777" s="748"/>
      <c r="P1777" s="29" t="str">
        <f t="shared" si="250"/>
        <v>1900</v>
      </c>
      <c r="Q1777" s="29" t="str">
        <f t="shared" si="251"/>
        <v/>
      </c>
      <c r="R1777" s="29" t="str">
        <f t="shared" si="252"/>
        <v/>
      </c>
    </row>
    <row r="1778" spans="1:18">
      <c r="A1778" s="483">
        <f t="shared" si="246"/>
        <v>1774</v>
      </c>
      <c r="B1778" s="77"/>
      <c r="C1778" s="77"/>
      <c r="D1778" s="858"/>
      <c r="E1778" s="858">
        <f t="shared" si="248"/>
        <v>0</v>
      </c>
      <c r="F1778" s="887">
        <f t="shared" si="249"/>
        <v>1900</v>
      </c>
      <c r="G1778" s="888"/>
      <c r="H1778" s="889"/>
      <c r="I1778" s="888"/>
      <c r="J1778" s="888"/>
      <c r="K1778" s="980"/>
      <c r="L1778" s="77"/>
      <c r="M1778" s="78">
        <f t="shared" si="247"/>
        <v>0</v>
      </c>
      <c r="N1778" s="748"/>
      <c r="P1778" s="29" t="str">
        <f t="shared" si="250"/>
        <v>1900</v>
      </c>
      <c r="Q1778" s="29" t="str">
        <f t="shared" si="251"/>
        <v/>
      </c>
      <c r="R1778" s="29" t="str">
        <f t="shared" si="252"/>
        <v/>
      </c>
    </row>
    <row r="1779" spans="1:18">
      <c r="A1779" s="483">
        <f t="shared" si="246"/>
        <v>1775</v>
      </c>
      <c r="B1779" s="77"/>
      <c r="C1779" s="77"/>
      <c r="D1779" s="858"/>
      <c r="E1779" s="858">
        <f t="shared" si="248"/>
        <v>0</v>
      </c>
      <c r="F1779" s="887">
        <f t="shared" si="249"/>
        <v>1900</v>
      </c>
      <c r="G1779" s="888"/>
      <c r="H1779" s="889"/>
      <c r="I1779" s="888"/>
      <c r="J1779" s="888"/>
      <c r="K1779" s="980"/>
      <c r="L1779" s="77"/>
      <c r="M1779" s="78">
        <f t="shared" si="247"/>
        <v>0</v>
      </c>
      <c r="N1779" s="748"/>
      <c r="P1779" s="29" t="str">
        <f t="shared" si="250"/>
        <v>1900</v>
      </c>
      <c r="Q1779" s="29" t="str">
        <f t="shared" si="251"/>
        <v/>
      </c>
      <c r="R1779" s="29" t="str">
        <f t="shared" si="252"/>
        <v/>
      </c>
    </row>
    <row r="1780" spans="1:18">
      <c r="A1780" s="483">
        <f t="shared" si="246"/>
        <v>1776</v>
      </c>
      <c r="B1780" s="77"/>
      <c r="C1780" s="77"/>
      <c r="D1780" s="858"/>
      <c r="E1780" s="858">
        <f t="shared" si="248"/>
        <v>0</v>
      </c>
      <c r="F1780" s="887">
        <f t="shared" si="249"/>
        <v>1900</v>
      </c>
      <c r="G1780" s="888"/>
      <c r="H1780" s="889"/>
      <c r="I1780" s="888"/>
      <c r="J1780" s="888"/>
      <c r="K1780" s="980"/>
      <c r="L1780" s="77"/>
      <c r="M1780" s="78">
        <f t="shared" si="247"/>
        <v>0</v>
      </c>
      <c r="N1780" s="748"/>
      <c r="P1780" s="29" t="str">
        <f t="shared" si="250"/>
        <v>1900</v>
      </c>
      <c r="Q1780" s="29" t="str">
        <f t="shared" si="251"/>
        <v/>
      </c>
      <c r="R1780" s="29" t="str">
        <f t="shared" si="252"/>
        <v/>
      </c>
    </row>
    <row r="1781" spans="1:18">
      <c r="A1781" s="483">
        <f t="shared" si="246"/>
        <v>1777</v>
      </c>
      <c r="B1781" s="77"/>
      <c r="C1781" s="77"/>
      <c r="D1781" s="858"/>
      <c r="E1781" s="858">
        <f t="shared" si="248"/>
        <v>0</v>
      </c>
      <c r="F1781" s="887">
        <f t="shared" si="249"/>
        <v>1900</v>
      </c>
      <c r="G1781" s="888"/>
      <c r="H1781" s="889"/>
      <c r="I1781" s="888"/>
      <c r="J1781" s="888"/>
      <c r="K1781" s="980"/>
      <c r="L1781" s="77"/>
      <c r="M1781" s="78">
        <f t="shared" si="247"/>
        <v>0</v>
      </c>
      <c r="N1781" s="748"/>
      <c r="P1781" s="29" t="str">
        <f t="shared" si="250"/>
        <v>1900</v>
      </c>
      <c r="Q1781" s="29" t="str">
        <f t="shared" si="251"/>
        <v/>
      </c>
      <c r="R1781" s="29" t="str">
        <f t="shared" si="252"/>
        <v/>
      </c>
    </row>
    <row r="1782" spans="1:18">
      <c r="A1782" s="483">
        <f t="shared" si="246"/>
        <v>1778</v>
      </c>
      <c r="B1782" s="77"/>
      <c r="C1782" s="77"/>
      <c r="D1782" s="858"/>
      <c r="E1782" s="858">
        <f t="shared" si="248"/>
        <v>0</v>
      </c>
      <c r="F1782" s="887">
        <f t="shared" si="249"/>
        <v>1900</v>
      </c>
      <c r="G1782" s="888"/>
      <c r="H1782" s="889"/>
      <c r="I1782" s="888"/>
      <c r="J1782" s="888"/>
      <c r="K1782" s="980"/>
      <c r="L1782" s="77"/>
      <c r="M1782" s="78">
        <f t="shared" si="247"/>
        <v>0</v>
      </c>
      <c r="N1782" s="748"/>
      <c r="P1782" s="29" t="str">
        <f t="shared" si="250"/>
        <v>1900</v>
      </c>
      <c r="Q1782" s="29" t="str">
        <f t="shared" si="251"/>
        <v/>
      </c>
      <c r="R1782" s="29" t="str">
        <f t="shared" si="252"/>
        <v/>
      </c>
    </row>
    <row r="1783" spans="1:18">
      <c r="A1783" s="483">
        <f t="shared" si="246"/>
        <v>1779</v>
      </c>
      <c r="B1783" s="77"/>
      <c r="C1783" s="77"/>
      <c r="D1783" s="858"/>
      <c r="E1783" s="858">
        <f t="shared" si="248"/>
        <v>0</v>
      </c>
      <c r="F1783" s="887">
        <f t="shared" si="249"/>
        <v>1900</v>
      </c>
      <c r="G1783" s="888"/>
      <c r="H1783" s="889"/>
      <c r="I1783" s="888"/>
      <c r="J1783" s="888"/>
      <c r="K1783" s="980"/>
      <c r="L1783" s="77"/>
      <c r="M1783" s="78">
        <f t="shared" si="247"/>
        <v>0</v>
      </c>
      <c r="N1783" s="748"/>
      <c r="P1783" s="29" t="str">
        <f t="shared" si="250"/>
        <v>1900</v>
      </c>
      <c r="Q1783" s="29" t="str">
        <f t="shared" si="251"/>
        <v/>
      </c>
      <c r="R1783" s="29" t="str">
        <f t="shared" si="252"/>
        <v/>
      </c>
    </row>
    <row r="1784" spans="1:18">
      <c r="A1784" s="483">
        <f t="shared" si="246"/>
        <v>1780</v>
      </c>
      <c r="B1784" s="77"/>
      <c r="C1784" s="77"/>
      <c r="D1784" s="858"/>
      <c r="E1784" s="858">
        <f t="shared" si="248"/>
        <v>0</v>
      </c>
      <c r="F1784" s="887">
        <f t="shared" si="249"/>
        <v>1900</v>
      </c>
      <c r="G1784" s="888"/>
      <c r="H1784" s="889"/>
      <c r="I1784" s="888"/>
      <c r="J1784" s="888"/>
      <c r="K1784" s="980"/>
      <c r="L1784" s="77"/>
      <c r="M1784" s="78">
        <f t="shared" si="247"/>
        <v>0</v>
      </c>
      <c r="N1784" s="748"/>
      <c r="P1784" s="29" t="str">
        <f t="shared" si="250"/>
        <v>1900</v>
      </c>
      <c r="Q1784" s="29" t="str">
        <f t="shared" si="251"/>
        <v/>
      </c>
      <c r="R1784" s="29" t="str">
        <f t="shared" si="252"/>
        <v/>
      </c>
    </row>
    <row r="1785" spans="1:18">
      <c r="A1785" s="483">
        <f t="shared" si="246"/>
        <v>1781</v>
      </c>
      <c r="B1785" s="77"/>
      <c r="C1785" s="77"/>
      <c r="D1785" s="858"/>
      <c r="E1785" s="858">
        <f t="shared" si="248"/>
        <v>0</v>
      </c>
      <c r="F1785" s="887">
        <f t="shared" si="249"/>
        <v>1900</v>
      </c>
      <c r="G1785" s="888"/>
      <c r="H1785" s="889"/>
      <c r="I1785" s="888"/>
      <c r="J1785" s="888"/>
      <c r="K1785" s="980"/>
      <c r="L1785" s="77"/>
      <c r="M1785" s="78">
        <f t="shared" si="247"/>
        <v>0</v>
      </c>
      <c r="N1785" s="748"/>
      <c r="P1785" s="29" t="str">
        <f t="shared" si="250"/>
        <v>1900</v>
      </c>
      <c r="Q1785" s="29" t="str">
        <f t="shared" si="251"/>
        <v/>
      </c>
      <c r="R1785" s="29" t="str">
        <f t="shared" si="252"/>
        <v/>
      </c>
    </row>
    <row r="1786" spans="1:18">
      <c r="A1786" s="483">
        <f t="shared" si="246"/>
        <v>1782</v>
      </c>
      <c r="B1786" s="77"/>
      <c r="C1786" s="77"/>
      <c r="D1786" s="858"/>
      <c r="E1786" s="858">
        <f t="shared" si="248"/>
        <v>0</v>
      </c>
      <c r="F1786" s="887">
        <f t="shared" si="249"/>
        <v>1900</v>
      </c>
      <c r="G1786" s="888"/>
      <c r="H1786" s="889"/>
      <c r="I1786" s="888"/>
      <c r="J1786" s="888"/>
      <c r="K1786" s="980"/>
      <c r="L1786" s="77"/>
      <c r="M1786" s="78">
        <f t="shared" si="247"/>
        <v>0</v>
      </c>
      <c r="N1786" s="748"/>
      <c r="P1786" s="29" t="str">
        <f t="shared" si="250"/>
        <v>1900</v>
      </c>
      <c r="Q1786" s="29" t="str">
        <f t="shared" si="251"/>
        <v/>
      </c>
      <c r="R1786" s="29" t="str">
        <f t="shared" si="252"/>
        <v/>
      </c>
    </row>
    <row r="1787" spans="1:18">
      <c r="A1787" s="483">
        <f t="shared" si="246"/>
        <v>1783</v>
      </c>
      <c r="B1787" s="77"/>
      <c r="C1787" s="77"/>
      <c r="D1787" s="858"/>
      <c r="E1787" s="858">
        <f t="shared" si="248"/>
        <v>0</v>
      </c>
      <c r="F1787" s="887">
        <f t="shared" si="249"/>
        <v>1900</v>
      </c>
      <c r="G1787" s="888"/>
      <c r="H1787" s="889"/>
      <c r="I1787" s="888"/>
      <c r="J1787" s="888"/>
      <c r="K1787" s="980"/>
      <c r="L1787" s="77"/>
      <c r="M1787" s="78">
        <f t="shared" si="247"/>
        <v>0</v>
      </c>
      <c r="N1787" s="748"/>
      <c r="P1787" s="29" t="str">
        <f t="shared" si="250"/>
        <v>1900</v>
      </c>
      <c r="Q1787" s="29" t="str">
        <f t="shared" si="251"/>
        <v/>
      </c>
      <c r="R1787" s="29" t="str">
        <f t="shared" si="252"/>
        <v/>
      </c>
    </row>
    <row r="1788" spans="1:18">
      <c r="A1788" s="483">
        <f t="shared" si="246"/>
        <v>1784</v>
      </c>
      <c r="B1788" s="77"/>
      <c r="C1788" s="77"/>
      <c r="D1788" s="858"/>
      <c r="E1788" s="858">
        <f t="shared" si="248"/>
        <v>0</v>
      </c>
      <c r="F1788" s="887">
        <f t="shared" si="249"/>
        <v>1900</v>
      </c>
      <c r="G1788" s="888"/>
      <c r="H1788" s="889"/>
      <c r="I1788" s="888"/>
      <c r="J1788" s="888"/>
      <c r="K1788" s="980"/>
      <c r="L1788" s="77"/>
      <c r="M1788" s="78">
        <f t="shared" si="247"/>
        <v>0</v>
      </c>
      <c r="N1788" s="748"/>
      <c r="P1788" s="29" t="str">
        <f t="shared" si="250"/>
        <v>1900</v>
      </c>
      <c r="Q1788" s="29" t="str">
        <f t="shared" si="251"/>
        <v/>
      </c>
      <c r="R1788" s="29" t="str">
        <f t="shared" si="252"/>
        <v/>
      </c>
    </row>
    <row r="1789" spans="1:18">
      <c r="A1789" s="483">
        <f t="shared" si="246"/>
        <v>1785</v>
      </c>
      <c r="B1789" s="77"/>
      <c r="C1789" s="77"/>
      <c r="D1789" s="858"/>
      <c r="E1789" s="858">
        <f t="shared" si="248"/>
        <v>0</v>
      </c>
      <c r="F1789" s="887">
        <f t="shared" si="249"/>
        <v>1900</v>
      </c>
      <c r="G1789" s="888"/>
      <c r="H1789" s="889"/>
      <c r="I1789" s="888"/>
      <c r="J1789" s="888"/>
      <c r="K1789" s="980"/>
      <c r="L1789" s="77"/>
      <c r="M1789" s="78">
        <f t="shared" si="247"/>
        <v>0</v>
      </c>
      <c r="N1789" s="748"/>
      <c r="P1789" s="29" t="str">
        <f t="shared" si="250"/>
        <v>1900</v>
      </c>
      <c r="Q1789" s="29" t="str">
        <f t="shared" si="251"/>
        <v/>
      </c>
      <c r="R1789" s="29" t="str">
        <f t="shared" si="252"/>
        <v/>
      </c>
    </row>
    <row r="1790" spans="1:18">
      <c r="A1790" s="483">
        <f t="shared" si="246"/>
        <v>1786</v>
      </c>
      <c r="B1790" s="77"/>
      <c r="C1790" s="77"/>
      <c r="D1790" s="858"/>
      <c r="E1790" s="858">
        <f t="shared" si="248"/>
        <v>0</v>
      </c>
      <c r="F1790" s="887">
        <f t="shared" si="249"/>
        <v>1900</v>
      </c>
      <c r="G1790" s="888"/>
      <c r="H1790" s="889"/>
      <c r="I1790" s="888"/>
      <c r="J1790" s="888"/>
      <c r="K1790" s="980"/>
      <c r="L1790" s="77"/>
      <c r="M1790" s="78">
        <f t="shared" si="247"/>
        <v>0</v>
      </c>
      <c r="N1790" s="748"/>
      <c r="P1790" s="29" t="str">
        <f t="shared" si="250"/>
        <v>1900</v>
      </c>
      <c r="Q1790" s="29" t="str">
        <f t="shared" si="251"/>
        <v/>
      </c>
      <c r="R1790" s="29" t="str">
        <f t="shared" si="252"/>
        <v/>
      </c>
    </row>
    <row r="1791" spans="1:18">
      <c r="A1791" s="483">
        <f t="shared" si="246"/>
        <v>1787</v>
      </c>
      <c r="B1791" s="77"/>
      <c r="C1791" s="77"/>
      <c r="D1791" s="858"/>
      <c r="E1791" s="858">
        <f t="shared" si="248"/>
        <v>0</v>
      </c>
      <c r="F1791" s="887">
        <f t="shared" si="249"/>
        <v>1900</v>
      </c>
      <c r="G1791" s="888"/>
      <c r="H1791" s="889"/>
      <c r="I1791" s="888"/>
      <c r="J1791" s="888"/>
      <c r="K1791" s="980"/>
      <c r="L1791" s="77"/>
      <c r="M1791" s="78">
        <f t="shared" si="247"/>
        <v>0</v>
      </c>
      <c r="N1791" s="748"/>
      <c r="P1791" s="29" t="str">
        <f t="shared" si="250"/>
        <v>1900</v>
      </c>
      <c r="Q1791" s="29" t="str">
        <f t="shared" si="251"/>
        <v/>
      </c>
      <c r="R1791" s="29" t="str">
        <f t="shared" si="252"/>
        <v/>
      </c>
    </row>
    <row r="1792" spans="1:18">
      <c r="A1792" s="483">
        <f t="shared" si="246"/>
        <v>1788</v>
      </c>
      <c r="B1792" s="77"/>
      <c r="C1792" s="77"/>
      <c r="D1792" s="858"/>
      <c r="E1792" s="858">
        <f t="shared" si="248"/>
        <v>0</v>
      </c>
      <c r="F1792" s="887">
        <f t="shared" si="249"/>
        <v>1900</v>
      </c>
      <c r="G1792" s="888"/>
      <c r="H1792" s="889"/>
      <c r="I1792" s="888"/>
      <c r="J1792" s="888"/>
      <c r="K1792" s="980"/>
      <c r="L1792" s="77"/>
      <c r="M1792" s="78">
        <f t="shared" si="247"/>
        <v>0</v>
      </c>
      <c r="N1792" s="748"/>
      <c r="P1792" s="29" t="str">
        <f t="shared" si="250"/>
        <v>1900</v>
      </c>
      <c r="Q1792" s="29" t="str">
        <f t="shared" si="251"/>
        <v/>
      </c>
      <c r="R1792" s="29" t="str">
        <f t="shared" si="252"/>
        <v/>
      </c>
    </row>
    <row r="1793" spans="1:18">
      <c r="A1793" s="483">
        <f t="shared" si="246"/>
        <v>1789</v>
      </c>
      <c r="B1793" s="77"/>
      <c r="C1793" s="77"/>
      <c r="D1793" s="858"/>
      <c r="E1793" s="858">
        <f t="shared" si="248"/>
        <v>0</v>
      </c>
      <c r="F1793" s="887">
        <f t="shared" si="249"/>
        <v>1900</v>
      </c>
      <c r="G1793" s="888"/>
      <c r="H1793" s="889"/>
      <c r="I1793" s="888"/>
      <c r="J1793" s="888"/>
      <c r="K1793" s="980"/>
      <c r="L1793" s="77"/>
      <c r="M1793" s="78">
        <f t="shared" si="247"/>
        <v>0</v>
      </c>
      <c r="N1793" s="748"/>
      <c r="P1793" s="29" t="str">
        <f t="shared" si="250"/>
        <v>1900</v>
      </c>
      <c r="Q1793" s="29" t="str">
        <f t="shared" si="251"/>
        <v/>
      </c>
      <c r="R1793" s="29" t="str">
        <f t="shared" si="252"/>
        <v/>
      </c>
    </row>
    <row r="1794" spans="1:18">
      <c r="A1794" s="483">
        <f t="shared" si="246"/>
        <v>1790</v>
      </c>
      <c r="B1794" s="77"/>
      <c r="C1794" s="77"/>
      <c r="D1794" s="858"/>
      <c r="E1794" s="858">
        <f t="shared" si="248"/>
        <v>0</v>
      </c>
      <c r="F1794" s="887">
        <f t="shared" si="249"/>
        <v>1900</v>
      </c>
      <c r="G1794" s="888"/>
      <c r="H1794" s="889"/>
      <c r="I1794" s="888"/>
      <c r="J1794" s="888"/>
      <c r="K1794" s="980"/>
      <c r="L1794" s="77"/>
      <c r="M1794" s="78">
        <f t="shared" si="247"/>
        <v>0</v>
      </c>
      <c r="N1794" s="748"/>
      <c r="P1794" s="29" t="str">
        <f t="shared" si="250"/>
        <v>1900</v>
      </c>
      <c r="Q1794" s="29" t="str">
        <f t="shared" si="251"/>
        <v/>
      </c>
      <c r="R1794" s="29" t="str">
        <f t="shared" si="252"/>
        <v/>
      </c>
    </row>
    <row r="1795" spans="1:18">
      <c r="A1795" s="483">
        <f t="shared" si="246"/>
        <v>1791</v>
      </c>
      <c r="B1795" s="77"/>
      <c r="C1795" s="77"/>
      <c r="D1795" s="858"/>
      <c r="E1795" s="858">
        <f t="shared" si="248"/>
        <v>0</v>
      </c>
      <c r="F1795" s="887">
        <f t="shared" si="249"/>
        <v>1900</v>
      </c>
      <c r="G1795" s="888"/>
      <c r="H1795" s="889"/>
      <c r="I1795" s="888"/>
      <c r="J1795" s="888"/>
      <c r="K1795" s="980"/>
      <c r="L1795" s="77"/>
      <c r="M1795" s="78">
        <f t="shared" si="247"/>
        <v>0</v>
      </c>
      <c r="N1795" s="748"/>
      <c r="P1795" s="29" t="str">
        <f t="shared" si="250"/>
        <v>1900</v>
      </c>
      <c r="Q1795" s="29" t="str">
        <f t="shared" si="251"/>
        <v/>
      </c>
      <c r="R1795" s="29" t="str">
        <f t="shared" si="252"/>
        <v/>
      </c>
    </row>
    <row r="1796" spans="1:18">
      <c r="A1796" s="483">
        <f t="shared" si="246"/>
        <v>1792</v>
      </c>
      <c r="B1796" s="77"/>
      <c r="C1796" s="77"/>
      <c r="D1796" s="858"/>
      <c r="E1796" s="858">
        <f t="shared" si="248"/>
        <v>0</v>
      </c>
      <c r="F1796" s="887">
        <f t="shared" si="249"/>
        <v>1900</v>
      </c>
      <c r="G1796" s="888"/>
      <c r="H1796" s="889"/>
      <c r="I1796" s="888"/>
      <c r="J1796" s="888"/>
      <c r="K1796" s="980"/>
      <c r="L1796" s="77"/>
      <c r="M1796" s="78">
        <f t="shared" si="247"/>
        <v>0</v>
      </c>
      <c r="N1796" s="748"/>
      <c r="P1796" s="29" t="str">
        <f t="shared" si="250"/>
        <v>1900</v>
      </c>
      <c r="Q1796" s="29" t="str">
        <f t="shared" si="251"/>
        <v/>
      </c>
      <c r="R1796" s="29" t="str">
        <f t="shared" si="252"/>
        <v/>
      </c>
    </row>
    <row r="1797" spans="1:18">
      <c r="A1797" s="483">
        <f t="shared" si="246"/>
        <v>1793</v>
      </c>
      <c r="B1797" s="77"/>
      <c r="C1797" s="77"/>
      <c r="D1797" s="858"/>
      <c r="E1797" s="858">
        <f t="shared" si="248"/>
        <v>0</v>
      </c>
      <c r="F1797" s="887">
        <f t="shared" si="249"/>
        <v>1900</v>
      </c>
      <c r="G1797" s="888"/>
      <c r="H1797" s="889"/>
      <c r="I1797" s="888"/>
      <c r="J1797" s="888"/>
      <c r="K1797" s="980"/>
      <c r="L1797" s="77"/>
      <c r="M1797" s="78">
        <f t="shared" si="247"/>
        <v>0</v>
      </c>
      <c r="N1797" s="748"/>
      <c r="P1797" s="29" t="str">
        <f t="shared" si="250"/>
        <v>1900</v>
      </c>
      <c r="Q1797" s="29" t="str">
        <f t="shared" si="251"/>
        <v/>
      </c>
      <c r="R1797" s="29" t="str">
        <f t="shared" si="252"/>
        <v/>
      </c>
    </row>
    <row r="1798" spans="1:18">
      <c r="A1798" s="483">
        <f t="shared" si="246"/>
        <v>1794</v>
      </c>
      <c r="B1798" s="77"/>
      <c r="C1798" s="77"/>
      <c r="D1798" s="858"/>
      <c r="E1798" s="858">
        <f t="shared" si="248"/>
        <v>0</v>
      </c>
      <c r="F1798" s="887">
        <f t="shared" si="249"/>
        <v>1900</v>
      </c>
      <c r="G1798" s="888"/>
      <c r="H1798" s="889"/>
      <c r="I1798" s="888"/>
      <c r="J1798" s="888"/>
      <c r="K1798" s="980"/>
      <c r="L1798" s="77"/>
      <c r="M1798" s="78">
        <f t="shared" si="247"/>
        <v>0</v>
      </c>
      <c r="N1798" s="748"/>
      <c r="P1798" s="29" t="str">
        <f t="shared" si="250"/>
        <v>1900</v>
      </c>
      <c r="Q1798" s="29" t="str">
        <f t="shared" si="251"/>
        <v/>
      </c>
      <c r="R1798" s="29" t="str">
        <f t="shared" si="252"/>
        <v/>
      </c>
    </row>
    <row r="1799" spans="1:18">
      <c r="A1799" s="483">
        <f t="shared" si="246"/>
        <v>1795</v>
      </c>
      <c r="B1799" s="77"/>
      <c r="C1799" s="77"/>
      <c r="D1799" s="858"/>
      <c r="E1799" s="858">
        <f t="shared" si="248"/>
        <v>0</v>
      </c>
      <c r="F1799" s="887">
        <f t="shared" si="249"/>
        <v>1900</v>
      </c>
      <c r="G1799" s="888"/>
      <c r="H1799" s="889"/>
      <c r="I1799" s="888"/>
      <c r="J1799" s="888"/>
      <c r="K1799" s="980"/>
      <c r="L1799" s="77"/>
      <c r="M1799" s="78">
        <f t="shared" si="247"/>
        <v>0</v>
      </c>
      <c r="N1799" s="748"/>
      <c r="P1799" s="29" t="str">
        <f t="shared" si="250"/>
        <v>1900</v>
      </c>
      <c r="Q1799" s="29" t="str">
        <f t="shared" si="251"/>
        <v/>
      </c>
      <c r="R1799" s="29" t="str">
        <f t="shared" si="252"/>
        <v/>
      </c>
    </row>
    <row r="1800" spans="1:18">
      <c r="A1800" s="483">
        <f t="shared" ref="A1800:A1863" si="253">+A1799+1</f>
        <v>1796</v>
      </c>
      <c r="B1800" s="77"/>
      <c r="C1800" s="77"/>
      <c r="D1800" s="858"/>
      <c r="E1800" s="858">
        <f t="shared" si="248"/>
        <v>0</v>
      </c>
      <c r="F1800" s="887">
        <f t="shared" si="249"/>
        <v>1900</v>
      </c>
      <c r="G1800" s="888"/>
      <c r="H1800" s="889"/>
      <c r="I1800" s="888"/>
      <c r="J1800" s="888"/>
      <c r="K1800" s="980"/>
      <c r="L1800" s="77"/>
      <c r="M1800" s="78">
        <f t="shared" si="247"/>
        <v>0</v>
      </c>
      <c r="N1800" s="748"/>
      <c r="P1800" s="29" t="str">
        <f t="shared" si="250"/>
        <v>1900</v>
      </c>
      <c r="Q1800" s="29" t="str">
        <f t="shared" si="251"/>
        <v/>
      </c>
      <c r="R1800" s="29" t="str">
        <f t="shared" si="252"/>
        <v/>
      </c>
    </row>
    <row r="1801" spans="1:18">
      <c r="A1801" s="483">
        <f t="shared" si="253"/>
        <v>1797</v>
      </c>
      <c r="B1801" s="77"/>
      <c r="C1801" s="77"/>
      <c r="D1801" s="858"/>
      <c r="E1801" s="858">
        <f t="shared" si="248"/>
        <v>0</v>
      </c>
      <c r="F1801" s="887">
        <f t="shared" si="249"/>
        <v>1900</v>
      </c>
      <c r="G1801" s="888"/>
      <c r="H1801" s="889"/>
      <c r="I1801" s="888"/>
      <c r="J1801" s="888"/>
      <c r="K1801" s="980"/>
      <c r="L1801" s="77"/>
      <c r="M1801" s="78">
        <f t="shared" si="247"/>
        <v>0</v>
      </c>
      <c r="N1801" s="748"/>
      <c r="P1801" s="29" t="str">
        <f t="shared" si="250"/>
        <v>1900</v>
      </c>
      <c r="Q1801" s="29" t="str">
        <f t="shared" si="251"/>
        <v/>
      </c>
      <c r="R1801" s="29" t="str">
        <f t="shared" si="252"/>
        <v/>
      </c>
    </row>
    <row r="1802" spans="1:18">
      <c r="A1802" s="483">
        <f t="shared" si="253"/>
        <v>1798</v>
      </c>
      <c r="B1802" s="77"/>
      <c r="C1802" s="77"/>
      <c r="D1802" s="858"/>
      <c r="E1802" s="858">
        <f t="shared" si="248"/>
        <v>0</v>
      </c>
      <c r="F1802" s="887">
        <f t="shared" si="249"/>
        <v>1900</v>
      </c>
      <c r="G1802" s="888"/>
      <c r="H1802" s="889"/>
      <c r="I1802" s="888"/>
      <c r="J1802" s="888"/>
      <c r="K1802" s="980"/>
      <c r="L1802" s="77"/>
      <c r="M1802" s="78">
        <f t="shared" si="247"/>
        <v>0</v>
      </c>
      <c r="N1802" s="748"/>
      <c r="P1802" s="29" t="str">
        <f t="shared" si="250"/>
        <v>1900</v>
      </c>
      <c r="Q1802" s="29" t="str">
        <f t="shared" si="251"/>
        <v/>
      </c>
      <c r="R1802" s="29" t="str">
        <f t="shared" si="252"/>
        <v/>
      </c>
    </row>
    <row r="1803" spans="1:18">
      <c r="A1803" s="483">
        <f t="shared" si="253"/>
        <v>1799</v>
      </c>
      <c r="B1803" s="77"/>
      <c r="C1803" s="77"/>
      <c r="D1803" s="858"/>
      <c r="E1803" s="858">
        <f t="shared" si="248"/>
        <v>0</v>
      </c>
      <c r="F1803" s="887">
        <f t="shared" si="249"/>
        <v>1900</v>
      </c>
      <c r="G1803" s="888"/>
      <c r="H1803" s="889"/>
      <c r="I1803" s="888"/>
      <c r="J1803" s="888"/>
      <c r="K1803" s="980"/>
      <c r="L1803" s="77"/>
      <c r="M1803" s="78">
        <f t="shared" si="247"/>
        <v>0</v>
      </c>
      <c r="N1803" s="748"/>
      <c r="P1803" s="29" t="str">
        <f t="shared" si="250"/>
        <v>1900</v>
      </c>
      <c r="Q1803" s="29" t="str">
        <f t="shared" si="251"/>
        <v/>
      </c>
      <c r="R1803" s="29" t="str">
        <f t="shared" si="252"/>
        <v/>
      </c>
    </row>
    <row r="1804" spans="1:18">
      <c r="A1804" s="483">
        <f t="shared" si="253"/>
        <v>1800</v>
      </c>
      <c r="B1804" s="77"/>
      <c r="C1804" s="77"/>
      <c r="D1804" s="858"/>
      <c r="E1804" s="858">
        <f t="shared" si="248"/>
        <v>0</v>
      </c>
      <c r="F1804" s="887">
        <f t="shared" si="249"/>
        <v>1900</v>
      </c>
      <c r="G1804" s="888"/>
      <c r="H1804" s="889"/>
      <c r="I1804" s="888"/>
      <c r="J1804" s="888"/>
      <c r="K1804" s="980"/>
      <c r="L1804" s="77"/>
      <c r="M1804" s="78">
        <f t="shared" ref="M1804:M1867" si="254">+L1804</f>
        <v>0</v>
      </c>
      <c r="N1804" s="748"/>
      <c r="P1804" s="29" t="str">
        <f t="shared" si="250"/>
        <v>1900</v>
      </c>
      <c r="Q1804" s="29" t="str">
        <f t="shared" si="251"/>
        <v/>
      </c>
      <c r="R1804" s="29" t="str">
        <f t="shared" si="252"/>
        <v/>
      </c>
    </row>
    <row r="1805" spans="1:18">
      <c r="A1805" s="483">
        <f t="shared" si="253"/>
        <v>1801</v>
      </c>
      <c r="B1805" s="77"/>
      <c r="C1805" s="77"/>
      <c r="D1805" s="858"/>
      <c r="E1805" s="858">
        <f t="shared" si="248"/>
        <v>0</v>
      </c>
      <c r="F1805" s="887">
        <f t="shared" si="249"/>
        <v>1900</v>
      </c>
      <c r="G1805" s="888"/>
      <c r="H1805" s="889"/>
      <c r="I1805" s="888"/>
      <c r="J1805" s="888"/>
      <c r="K1805" s="980"/>
      <c r="L1805" s="77"/>
      <c r="M1805" s="78">
        <f t="shared" si="254"/>
        <v>0</v>
      </c>
      <c r="N1805" s="748"/>
      <c r="P1805" s="29" t="str">
        <f t="shared" si="250"/>
        <v>1900</v>
      </c>
      <c r="Q1805" s="29" t="str">
        <f t="shared" si="251"/>
        <v/>
      </c>
      <c r="R1805" s="29" t="str">
        <f t="shared" si="252"/>
        <v/>
      </c>
    </row>
    <row r="1806" spans="1:18">
      <c r="A1806" s="483">
        <f t="shared" si="253"/>
        <v>1802</v>
      </c>
      <c r="B1806" s="77"/>
      <c r="C1806" s="77"/>
      <c r="D1806" s="858"/>
      <c r="E1806" s="858">
        <f t="shared" si="248"/>
        <v>0</v>
      </c>
      <c r="F1806" s="887">
        <f t="shared" si="249"/>
        <v>1900</v>
      </c>
      <c r="G1806" s="888"/>
      <c r="H1806" s="889"/>
      <c r="I1806" s="888"/>
      <c r="J1806" s="888"/>
      <c r="K1806" s="980"/>
      <c r="L1806" s="77"/>
      <c r="M1806" s="78">
        <f t="shared" si="254"/>
        <v>0</v>
      </c>
      <c r="N1806" s="748"/>
      <c r="P1806" s="29" t="str">
        <f t="shared" si="250"/>
        <v>1900</v>
      </c>
      <c r="Q1806" s="29" t="str">
        <f t="shared" si="251"/>
        <v/>
      </c>
      <c r="R1806" s="29" t="str">
        <f t="shared" si="252"/>
        <v/>
      </c>
    </row>
    <row r="1807" spans="1:18">
      <c r="A1807" s="483">
        <f t="shared" si="253"/>
        <v>1803</v>
      </c>
      <c r="B1807" s="77"/>
      <c r="C1807" s="77"/>
      <c r="D1807" s="858"/>
      <c r="E1807" s="858">
        <f t="shared" si="248"/>
        <v>0</v>
      </c>
      <c r="F1807" s="887">
        <f t="shared" si="249"/>
        <v>1900</v>
      </c>
      <c r="G1807" s="888"/>
      <c r="H1807" s="889"/>
      <c r="I1807" s="888"/>
      <c r="J1807" s="888"/>
      <c r="K1807" s="980"/>
      <c r="L1807" s="77"/>
      <c r="M1807" s="78">
        <f t="shared" si="254"/>
        <v>0</v>
      </c>
      <c r="N1807" s="748"/>
      <c r="P1807" s="29" t="str">
        <f t="shared" si="250"/>
        <v>1900</v>
      </c>
      <c r="Q1807" s="29" t="str">
        <f t="shared" si="251"/>
        <v/>
      </c>
      <c r="R1807" s="29" t="str">
        <f t="shared" si="252"/>
        <v/>
      </c>
    </row>
    <row r="1808" spans="1:18">
      <c r="A1808" s="483">
        <f t="shared" si="253"/>
        <v>1804</v>
      </c>
      <c r="B1808" s="77"/>
      <c r="C1808" s="77"/>
      <c r="D1808" s="858"/>
      <c r="E1808" s="858">
        <f t="shared" si="248"/>
        <v>0</v>
      </c>
      <c r="F1808" s="887">
        <f t="shared" si="249"/>
        <v>1900</v>
      </c>
      <c r="G1808" s="888"/>
      <c r="H1808" s="889"/>
      <c r="I1808" s="888"/>
      <c r="J1808" s="888"/>
      <c r="K1808" s="980"/>
      <c r="L1808" s="77"/>
      <c r="M1808" s="78">
        <f t="shared" si="254"/>
        <v>0</v>
      </c>
      <c r="N1808" s="748"/>
      <c r="P1808" s="29" t="str">
        <f t="shared" si="250"/>
        <v>1900</v>
      </c>
      <c r="Q1808" s="29" t="str">
        <f t="shared" si="251"/>
        <v/>
      </c>
      <c r="R1808" s="29" t="str">
        <f t="shared" si="252"/>
        <v/>
      </c>
    </row>
    <row r="1809" spans="1:18">
      <c r="A1809" s="483">
        <f t="shared" si="253"/>
        <v>1805</v>
      </c>
      <c r="B1809" s="77"/>
      <c r="C1809" s="77"/>
      <c r="D1809" s="858"/>
      <c r="E1809" s="858">
        <f t="shared" si="248"/>
        <v>0</v>
      </c>
      <c r="F1809" s="887">
        <f t="shared" si="249"/>
        <v>1900</v>
      </c>
      <c r="G1809" s="888"/>
      <c r="H1809" s="889"/>
      <c r="I1809" s="888"/>
      <c r="J1809" s="888"/>
      <c r="K1809" s="980"/>
      <c r="L1809" s="77"/>
      <c r="M1809" s="78">
        <f t="shared" si="254"/>
        <v>0</v>
      </c>
      <c r="N1809" s="748"/>
      <c r="P1809" s="29" t="str">
        <f t="shared" si="250"/>
        <v>1900</v>
      </c>
      <c r="Q1809" s="29" t="str">
        <f t="shared" si="251"/>
        <v/>
      </c>
      <c r="R1809" s="29" t="str">
        <f t="shared" si="252"/>
        <v/>
      </c>
    </row>
    <row r="1810" spans="1:18">
      <c r="A1810" s="483">
        <f t="shared" si="253"/>
        <v>1806</v>
      </c>
      <c r="B1810" s="77"/>
      <c r="C1810" s="77"/>
      <c r="D1810" s="858"/>
      <c r="E1810" s="858">
        <f t="shared" si="248"/>
        <v>0</v>
      </c>
      <c r="F1810" s="887">
        <f t="shared" si="249"/>
        <v>1900</v>
      </c>
      <c r="G1810" s="888"/>
      <c r="H1810" s="889"/>
      <c r="I1810" s="888"/>
      <c r="J1810" s="888"/>
      <c r="K1810" s="980"/>
      <c r="L1810" s="77"/>
      <c r="M1810" s="78">
        <f t="shared" si="254"/>
        <v>0</v>
      </c>
      <c r="N1810" s="748"/>
      <c r="P1810" s="29" t="str">
        <f t="shared" si="250"/>
        <v>1900</v>
      </c>
      <c r="Q1810" s="29" t="str">
        <f t="shared" si="251"/>
        <v/>
      </c>
      <c r="R1810" s="29" t="str">
        <f t="shared" si="252"/>
        <v/>
      </c>
    </row>
    <row r="1811" spans="1:18">
      <c r="A1811" s="483">
        <f t="shared" si="253"/>
        <v>1807</v>
      </c>
      <c r="B1811" s="77"/>
      <c r="C1811" s="77"/>
      <c r="D1811" s="858"/>
      <c r="E1811" s="858">
        <f t="shared" si="248"/>
        <v>0</v>
      </c>
      <c r="F1811" s="887">
        <f t="shared" si="249"/>
        <v>1900</v>
      </c>
      <c r="G1811" s="888"/>
      <c r="H1811" s="889"/>
      <c r="I1811" s="888"/>
      <c r="J1811" s="888"/>
      <c r="K1811" s="980"/>
      <c r="L1811" s="77"/>
      <c r="M1811" s="78">
        <f t="shared" si="254"/>
        <v>0</v>
      </c>
      <c r="N1811" s="748"/>
      <c r="P1811" s="29" t="str">
        <f t="shared" si="250"/>
        <v>1900</v>
      </c>
      <c r="Q1811" s="29" t="str">
        <f t="shared" si="251"/>
        <v/>
      </c>
      <c r="R1811" s="29" t="str">
        <f t="shared" si="252"/>
        <v/>
      </c>
    </row>
    <row r="1812" spans="1:18">
      <c r="A1812" s="483">
        <f t="shared" si="253"/>
        <v>1808</v>
      </c>
      <c r="B1812" s="77"/>
      <c r="C1812" s="77"/>
      <c r="D1812" s="858"/>
      <c r="E1812" s="858">
        <f t="shared" si="248"/>
        <v>0</v>
      </c>
      <c r="F1812" s="887">
        <f t="shared" si="249"/>
        <v>1900</v>
      </c>
      <c r="G1812" s="888"/>
      <c r="H1812" s="889"/>
      <c r="I1812" s="888"/>
      <c r="J1812" s="888"/>
      <c r="K1812" s="980"/>
      <c r="L1812" s="77"/>
      <c r="M1812" s="78">
        <f t="shared" si="254"/>
        <v>0</v>
      </c>
      <c r="N1812" s="748"/>
      <c r="P1812" s="29" t="str">
        <f t="shared" si="250"/>
        <v>1900</v>
      </c>
      <c r="Q1812" s="29" t="str">
        <f t="shared" si="251"/>
        <v/>
      </c>
      <c r="R1812" s="29" t="str">
        <f t="shared" si="252"/>
        <v/>
      </c>
    </row>
    <row r="1813" spans="1:18">
      <c r="A1813" s="483">
        <f t="shared" si="253"/>
        <v>1809</v>
      </c>
      <c r="B1813" s="77"/>
      <c r="C1813" s="77"/>
      <c r="D1813" s="858"/>
      <c r="E1813" s="858">
        <f t="shared" si="248"/>
        <v>0</v>
      </c>
      <c r="F1813" s="887">
        <f t="shared" si="249"/>
        <v>1900</v>
      </c>
      <c r="G1813" s="888"/>
      <c r="H1813" s="889"/>
      <c r="I1813" s="888"/>
      <c r="J1813" s="888"/>
      <c r="K1813" s="980"/>
      <c r="L1813" s="77"/>
      <c r="M1813" s="78">
        <f t="shared" si="254"/>
        <v>0</v>
      </c>
      <c r="N1813" s="748"/>
      <c r="P1813" s="29" t="str">
        <f t="shared" si="250"/>
        <v>1900</v>
      </c>
      <c r="Q1813" s="29" t="str">
        <f t="shared" si="251"/>
        <v/>
      </c>
      <c r="R1813" s="29" t="str">
        <f t="shared" si="252"/>
        <v/>
      </c>
    </row>
    <row r="1814" spans="1:18">
      <c r="A1814" s="483">
        <f t="shared" si="253"/>
        <v>1810</v>
      </c>
      <c r="B1814" s="77"/>
      <c r="C1814" s="77"/>
      <c r="D1814" s="858"/>
      <c r="E1814" s="858">
        <f t="shared" si="248"/>
        <v>0</v>
      </c>
      <c r="F1814" s="887">
        <f t="shared" si="249"/>
        <v>1900</v>
      </c>
      <c r="G1814" s="888"/>
      <c r="H1814" s="889"/>
      <c r="I1814" s="888"/>
      <c r="J1814" s="888"/>
      <c r="K1814" s="980"/>
      <c r="L1814" s="77"/>
      <c r="M1814" s="78">
        <f t="shared" si="254"/>
        <v>0</v>
      </c>
      <c r="N1814" s="748"/>
      <c r="P1814" s="29" t="str">
        <f t="shared" si="250"/>
        <v>1900</v>
      </c>
      <c r="Q1814" s="29" t="str">
        <f t="shared" si="251"/>
        <v/>
      </c>
      <c r="R1814" s="29" t="str">
        <f t="shared" si="252"/>
        <v/>
      </c>
    </row>
    <row r="1815" spans="1:18">
      <c r="A1815" s="483">
        <f t="shared" si="253"/>
        <v>1811</v>
      </c>
      <c r="B1815" s="77"/>
      <c r="C1815" s="77"/>
      <c r="D1815" s="858"/>
      <c r="E1815" s="858">
        <f t="shared" si="248"/>
        <v>0</v>
      </c>
      <c r="F1815" s="887">
        <f t="shared" si="249"/>
        <v>1900</v>
      </c>
      <c r="G1815" s="888"/>
      <c r="H1815" s="889"/>
      <c r="I1815" s="888"/>
      <c r="J1815" s="888"/>
      <c r="K1815" s="980"/>
      <c r="L1815" s="77"/>
      <c r="M1815" s="78">
        <f t="shared" si="254"/>
        <v>0</v>
      </c>
      <c r="N1815" s="748"/>
      <c r="P1815" s="29" t="str">
        <f t="shared" si="250"/>
        <v>1900</v>
      </c>
      <c r="Q1815" s="29" t="str">
        <f t="shared" si="251"/>
        <v/>
      </c>
      <c r="R1815" s="29" t="str">
        <f t="shared" si="252"/>
        <v/>
      </c>
    </row>
    <row r="1816" spans="1:18">
      <c r="A1816" s="483">
        <f t="shared" si="253"/>
        <v>1812</v>
      </c>
      <c r="B1816" s="77"/>
      <c r="C1816" s="77"/>
      <c r="D1816" s="858"/>
      <c r="E1816" s="858">
        <f t="shared" si="248"/>
        <v>0</v>
      </c>
      <c r="F1816" s="887">
        <f t="shared" si="249"/>
        <v>1900</v>
      </c>
      <c r="G1816" s="888"/>
      <c r="H1816" s="889"/>
      <c r="I1816" s="888"/>
      <c r="J1816" s="888"/>
      <c r="K1816" s="980"/>
      <c r="L1816" s="77"/>
      <c r="M1816" s="78">
        <f t="shared" si="254"/>
        <v>0</v>
      </c>
      <c r="N1816" s="748"/>
      <c r="P1816" s="29" t="str">
        <f t="shared" si="250"/>
        <v>1900</v>
      </c>
      <c r="Q1816" s="29" t="str">
        <f t="shared" si="251"/>
        <v/>
      </c>
      <c r="R1816" s="29" t="str">
        <f t="shared" si="252"/>
        <v/>
      </c>
    </row>
    <row r="1817" spans="1:18">
      <c r="A1817" s="483">
        <f t="shared" si="253"/>
        <v>1813</v>
      </c>
      <c r="B1817" s="77"/>
      <c r="C1817" s="77"/>
      <c r="D1817" s="858"/>
      <c r="E1817" s="858">
        <f t="shared" si="248"/>
        <v>0</v>
      </c>
      <c r="F1817" s="887">
        <f t="shared" si="249"/>
        <v>1900</v>
      </c>
      <c r="G1817" s="888"/>
      <c r="H1817" s="889"/>
      <c r="I1817" s="888"/>
      <c r="J1817" s="888"/>
      <c r="K1817" s="980"/>
      <c r="L1817" s="77"/>
      <c r="M1817" s="78">
        <f t="shared" si="254"/>
        <v>0</v>
      </c>
      <c r="N1817" s="748"/>
      <c r="P1817" s="29" t="str">
        <f t="shared" si="250"/>
        <v>1900</v>
      </c>
      <c r="Q1817" s="29" t="str">
        <f t="shared" si="251"/>
        <v/>
      </c>
      <c r="R1817" s="29" t="str">
        <f t="shared" si="252"/>
        <v/>
      </c>
    </row>
    <row r="1818" spans="1:18">
      <c r="A1818" s="483">
        <f t="shared" si="253"/>
        <v>1814</v>
      </c>
      <c r="B1818" s="77"/>
      <c r="C1818" s="77"/>
      <c r="D1818" s="858"/>
      <c r="E1818" s="858">
        <f t="shared" si="248"/>
        <v>0</v>
      </c>
      <c r="F1818" s="887">
        <f t="shared" si="249"/>
        <v>1900</v>
      </c>
      <c r="G1818" s="888"/>
      <c r="H1818" s="889"/>
      <c r="I1818" s="888"/>
      <c r="J1818" s="888"/>
      <c r="K1818" s="980"/>
      <c r="L1818" s="77"/>
      <c r="M1818" s="78">
        <f t="shared" si="254"/>
        <v>0</v>
      </c>
      <c r="N1818" s="748"/>
      <c r="P1818" s="29" t="str">
        <f t="shared" si="250"/>
        <v>1900</v>
      </c>
      <c r="Q1818" s="29" t="str">
        <f t="shared" si="251"/>
        <v/>
      </c>
      <c r="R1818" s="29" t="str">
        <f t="shared" si="252"/>
        <v/>
      </c>
    </row>
    <row r="1819" spans="1:18">
      <c r="A1819" s="483">
        <f t="shared" si="253"/>
        <v>1815</v>
      </c>
      <c r="B1819" s="77"/>
      <c r="C1819" s="77"/>
      <c r="D1819" s="858"/>
      <c r="E1819" s="858">
        <f t="shared" si="248"/>
        <v>0</v>
      </c>
      <c r="F1819" s="887">
        <f t="shared" si="249"/>
        <v>1900</v>
      </c>
      <c r="G1819" s="888"/>
      <c r="H1819" s="889"/>
      <c r="I1819" s="888"/>
      <c r="J1819" s="888"/>
      <c r="K1819" s="980"/>
      <c r="L1819" s="77"/>
      <c r="M1819" s="78">
        <f t="shared" si="254"/>
        <v>0</v>
      </c>
      <c r="N1819" s="748"/>
      <c r="P1819" s="29" t="str">
        <f t="shared" si="250"/>
        <v>1900</v>
      </c>
      <c r="Q1819" s="29" t="str">
        <f t="shared" si="251"/>
        <v/>
      </c>
      <c r="R1819" s="29" t="str">
        <f t="shared" si="252"/>
        <v/>
      </c>
    </row>
    <row r="1820" spans="1:18">
      <c r="A1820" s="483">
        <f t="shared" si="253"/>
        <v>1816</v>
      </c>
      <c r="B1820" s="77"/>
      <c r="C1820" s="77"/>
      <c r="D1820" s="858"/>
      <c r="E1820" s="858">
        <f t="shared" si="248"/>
        <v>0</v>
      </c>
      <c r="F1820" s="887">
        <f t="shared" si="249"/>
        <v>1900</v>
      </c>
      <c r="G1820" s="888"/>
      <c r="H1820" s="889"/>
      <c r="I1820" s="888"/>
      <c r="J1820" s="888"/>
      <c r="K1820" s="980"/>
      <c r="L1820" s="77"/>
      <c r="M1820" s="78">
        <f t="shared" si="254"/>
        <v>0</v>
      </c>
      <c r="N1820" s="748"/>
      <c r="P1820" s="29" t="str">
        <f t="shared" si="250"/>
        <v>1900</v>
      </c>
      <c r="Q1820" s="29" t="str">
        <f t="shared" si="251"/>
        <v/>
      </c>
      <c r="R1820" s="29" t="str">
        <f t="shared" si="252"/>
        <v/>
      </c>
    </row>
    <row r="1821" spans="1:18">
      <c r="A1821" s="483">
        <f t="shared" si="253"/>
        <v>1817</v>
      </c>
      <c r="B1821" s="77"/>
      <c r="C1821" s="77"/>
      <c r="D1821" s="858"/>
      <c r="E1821" s="858">
        <f t="shared" si="248"/>
        <v>0</v>
      </c>
      <c r="F1821" s="887">
        <f t="shared" si="249"/>
        <v>1900</v>
      </c>
      <c r="G1821" s="888"/>
      <c r="H1821" s="889"/>
      <c r="I1821" s="888"/>
      <c r="J1821" s="888"/>
      <c r="K1821" s="980"/>
      <c r="L1821" s="77"/>
      <c r="M1821" s="78">
        <f t="shared" si="254"/>
        <v>0</v>
      </c>
      <c r="N1821" s="748"/>
      <c r="P1821" s="29" t="str">
        <f t="shared" si="250"/>
        <v>1900</v>
      </c>
      <c r="Q1821" s="29" t="str">
        <f t="shared" si="251"/>
        <v/>
      </c>
      <c r="R1821" s="29" t="str">
        <f t="shared" si="252"/>
        <v/>
      </c>
    </row>
    <row r="1822" spans="1:18">
      <c r="A1822" s="483">
        <f t="shared" si="253"/>
        <v>1818</v>
      </c>
      <c r="B1822" s="77"/>
      <c r="C1822" s="77"/>
      <c r="D1822" s="858"/>
      <c r="E1822" s="858">
        <f t="shared" si="248"/>
        <v>0</v>
      </c>
      <c r="F1822" s="887">
        <f t="shared" si="249"/>
        <v>1900</v>
      </c>
      <c r="G1822" s="888"/>
      <c r="H1822" s="889"/>
      <c r="I1822" s="888"/>
      <c r="J1822" s="888"/>
      <c r="K1822" s="980"/>
      <c r="L1822" s="77"/>
      <c r="M1822" s="78">
        <f t="shared" si="254"/>
        <v>0</v>
      </c>
      <c r="N1822" s="748"/>
      <c r="P1822" s="29" t="str">
        <f t="shared" si="250"/>
        <v>1900</v>
      </c>
      <c r="Q1822" s="29" t="str">
        <f t="shared" si="251"/>
        <v/>
      </c>
      <c r="R1822" s="29" t="str">
        <f t="shared" si="252"/>
        <v/>
      </c>
    </row>
    <row r="1823" spans="1:18">
      <c r="A1823" s="483">
        <f t="shared" si="253"/>
        <v>1819</v>
      </c>
      <c r="B1823" s="77"/>
      <c r="C1823" s="77"/>
      <c r="D1823" s="858"/>
      <c r="E1823" s="858">
        <f t="shared" si="248"/>
        <v>0</v>
      </c>
      <c r="F1823" s="887">
        <f t="shared" si="249"/>
        <v>1900</v>
      </c>
      <c r="G1823" s="888"/>
      <c r="H1823" s="889"/>
      <c r="I1823" s="888"/>
      <c r="J1823" s="888"/>
      <c r="K1823" s="980"/>
      <c r="L1823" s="77"/>
      <c r="M1823" s="78">
        <f t="shared" si="254"/>
        <v>0</v>
      </c>
      <c r="N1823" s="748"/>
      <c r="P1823" s="29" t="str">
        <f t="shared" si="250"/>
        <v>1900</v>
      </c>
      <c r="Q1823" s="29" t="str">
        <f t="shared" si="251"/>
        <v/>
      </c>
      <c r="R1823" s="29" t="str">
        <f t="shared" si="252"/>
        <v/>
      </c>
    </row>
    <row r="1824" spans="1:18">
      <c r="A1824" s="483">
        <f t="shared" si="253"/>
        <v>1820</v>
      </c>
      <c r="B1824" s="77"/>
      <c r="C1824" s="77"/>
      <c r="D1824" s="858"/>
      <c r="E1824" s="858">
        <f t="shared" si="248"/>
        <v>0</v>
      </c>
      <c r="F1824" s="887">
        <f t="shared" si="249"/>
        <v>1900</v>
      </c>
      <c r="G1824" s="888"/>
      <c r="H1824" s="889"/>
      <c r="I1824" s="888"/>
      <c r="J1824" s="888"/>
      <c r="K1824" s="980"/>
      <c r="L1824" s="77"/>
      <c r="M1824" s="78">
        <f t="shared" si="254"/>
        <v>0</v>
      </c>
      <c r="N1824" s="748"/>
      <c r="P1824" s="29" t="str">
        <f t="shared" si="250"/>
        <v>1900</v>
      </c>
      <c r="Q1824" s="29" t="str">
        <f t="shared" si="251"/>
        <v/>
      </c>
      <c r="R1824" s="29" t="str">
        <f t="shared" si="252"/>
        <v/>
      </c>
    </row>
    <row r="1825" spans="1:18">
      <c r="A1825" s="483">
        <f t="shared" si="253"/>
        <v>1821</v>
      </c>
      <c r="B1825" s="77"/>
      <c r="C1825" s="77"/>
      <c r="D1825" s="858"/>
      <c r="E1825" s="858">
        <f t="shared" si="248"/>
        <v>0</v>
      </c>
      <c r="F1825" s="887">
        <f t="shared" si="249"/>
        <v>1900</v>
      </c>
      <c r="G1825" s="888"/>
      <c r="H1825" s="889"/>
      <c r="I1825" s="888"/>
      <c r="J1825" s="888"/>
      <c r="K1825" s="980"/>
      <c r="L1825" s="77"/>
      <c r="M1825" s="78">
        <f t="shared" si="254"/>
        <v>0</v>
      </c>
      <c r="N1825" s="748"/>
      <c r="P1825" s="29" t="str">
        <f t="shared" si="250"/>
        <v>1900</v>
      </c>
      <c r="Q1825" s="29" t="str">
        <f t="shared" si="251"/>
        <v/>
      </c>
      <c r="R1825" s="29" t="str">
        <f t="shared" si="252"/>
        <v/>
      </c>
    </row>
    <row r="1826" spans="1:18">
      <c r="A1826" s="483">
        <f t="shared" si="253"/>
        <v>1822</v>
      </c>
      <c r="B1826" s="77"/>
      <c r="C1826" s="77"/>
      <c r="D1826" s="858"/>
      <c r="E1826" s="858">
        <f t="shared" si="248"/>
        <v>0</v>
      </c>
      <c r="F1826" s="887">
        <f t="shared" si="249"/>
        <v>1900</v>
      </c>
      <c r="G1826" s="888"/>
      <c r="H1826" s="889"/>
      <c r="I1826" s="888"/>
      <c r="J1826" s="888"/>
      <c r="K1826" s="980"/>
      <c r="L1826" s="77"/>
      <c r="M1826" s="78">
        <f t="shared" si="254"/>
        <v>0</v>
      </c>
      <c r="N1826" s="748"/>
      <c r="P1826" s="29" t="str">
        <f t="shared" si="250"/>
        <v>1900</v>
      </c>
      <c r="Q1826" s="29" t="str">
        <f t="shared" si="251"/>
        <v/>
      </c>
      <c r="R1826" s="29" t="str">
        <f t="shared" si="252"/>
        <v/>
      </c>
    </row>
    <row r="1827" spans="1:18">
      <c r="A1827" s="483">
        <f t="shared" si="253"/>
        <v>1823</v>
      </c>
      <c r="B1827" s="77"/>
      <c r="C1827" s="77"/>
      <c r="D1827" s="858"/>
      <c r="E1827" s="858">
        <f t="shared" si="248"/>
        <v>0</v>
      </c>
      <c r="F1827" s="887">
        <f t="shared" si="249"/>
        <v>1900</v>
      </c>
      <c r="G1827" s="888"/>
      <c r="H1827" s="889"/>
      <c r="I1827" s="888"/>
      <c r="J1827" s="888"/>
      <c r="K1827" s="980"/>
      <c r="L1827" s="77"/>
      <c r="M1827" s="78">
        <f t="shared" si="254"/>
        <v>0</v>
      </c>
      <c r="N1827" s="748"/>
      <c r="P1827" s="29" t="str">
        <f t="shared" si="250"/>
        <v>1900</v>
      </c>
      <c r="Q1827" s="29" t="str">
        <f t="shared" si="251"/>
        <v/>
      </c>
      <c r="R1827" s="29" t="str">
        <f t="shared" si="252"/>
        <v/>
      </c>
    </row>
    <row r="1828" spans="1:18">
      <c r="A1828" s="483">
        <f t="shared" si="253"/>
        <v>1824</v>
      </c>
      <c r="B1828" s="77"/>
      <c r="C1828" s="77"/>
      <c r="D1828" s="858"/>
      <c r="E1828" s="858">
        <f t="shared" si="248"/>
        <v>0</v>
      </c>
      <c r="F1828" s="887">
        <f t="shared" si="249"/>
        <v>1900</v>
      </c>
      <c r="G1828" s="888"/>
      <c r="H1828" s="889"/>
      <c r="I1828" s="888"/>
      <c r="J1828" s="888"/>
      <c r="K1828" s="980"/>
      <c r="L1828" s="77"/>
      <c r="M1828" s="78">
        <f t="shared" si="254"/>
        <v>0</v>
      </c>
      <c r="N1828" s="748"/>
      <c r="P1828" s="29" t="str">
        <f t="shared" si="250"/>
        <v>1900</v>
      </c>
      <c r="Q1828" s="29" t="str">
        <f t="shared" si="251"/>
        <v/>
      </c>
      <c r="R1828" s="29" t="str">
        <f t="shared" si="252"/>
        <v/>
      </c>
    </row>
    <row r="1829" spans="1:18">
      <c r="A1829" s="483">
        <f t="shared" si="253"/>
        <v>1825</v>
      </c>
      <c r="B1829" s="77"/>
      <c r="C1829" s="77"/>
      <c r="D1829" s="858"/>
      <c r="E1829" s="858">
        <f t="shared" si="248"/>
        <v>0</v>
      </c>
      <c r="F1829" s="887">
        <f t="shared" si="249"/>
        <v>1900</v>
      </c>
      <c r="G1829" s="888"/>
      <c r="H1829" s="889"/>
      <c r="I1829" s="888"/>
      <c r="J1829" s="888"/>
      <c r="K1829" s="980"/>
      <c r="L1829" s="77"/>
      <c r="M1829" s="78">
        <f t="shared" si="254"/>
        <v>0</v>
      </c>
      <c r="N1829" s="748"/>
      <c r="P1829" s="29" t="str">
        <f t="shared" si="250"/>
        <v>1900</v>
      </c>
      <c r="Q1829" s="29" t="str">
        <f t="shared" si="251"/>
        <v/>
      </c>
      <c r="R1829" s="29" t="str">
        <f t="shared" si="252"/>
        <v/>
      </c>
    </row>
    <row r="1830" spans="1:18">
      <c r="A1830" s="483">
        <f t="shared" si="253"/>
        <v>1826</v>
      </c>
      <c r="B1830" s="77"/>
      <c r="C1830" s="77"/>
      <c r="D1830" s="858"/>
      <c r="E1830" s="858">
        <f t="shared" si="248"/>
        <v>0</v>
      </c>
      <c r="F1830" s="887">
        <f t="shared" si="249"/>
        <v>1900</v>
      </c>
      <c r="G1830" s="888"/>
      <c r="H1830" s="889"/>
      <c r="I1830" s="888"/>
      <c r="J1830" s="888"/>
      <c r="K1830" s="980"/>
      <c r="L1830" s="77"/>
      <c r="M1830" s="78">
        <f t="shared" si="254"/>
        <v>0</v>
      </c>
      <c r="N1830" s="748"/>
      <c r="P1830" s="29" t="str">
        <f t="shared" si="250"/>
        <v>1900</v>
      </c>
      <c r="Q1830" s="29" t="str">
        <f t="shared" si="251"/>
        <v/>
      </c>
      <c r="R1830" s="29" t="str">
        <f t="shared" si="252"/>
        <v/>
      </c>
    </row>
    <row r="1831" spans="1:18">
      <c r="A1831" s="483">
        <f t="shared" si="253"/>
        <v>1827</v>
      </c>
      <c r="B1831" s="77"/>
      <c r="C1831" s="77"/>
      <c r="D1831" s="858"/>
      <c r="E1831" s="858">
        <f t="shared" si="248"/>
        <v>0</v>
      </c>
      <c r="F1831" s="887">
        <f t="shared" si="249"/>
        <v>1900</v>
      </c>
      <c r="G1831" s="888"/>
      <c r="H1831" s="889"/>
      <c r="I1831" s="888"/>
      <c r="J1831" s="888"/>
      <c r="K1831" s="980"/>
      <c r="L1831" s="77"/>
      <c r="M1831" s="78">
        <f t="shared" si="254"/>
        <v>0</v>
      </c>
      <c r="N1831" s="748"/>
      <c r="P1831" s="29" t="str">
        <f t="shared" si="250"/>
        <v>1900</v>
      </c>
      <c r="Q1831" s="29" t="str">
        <f t="shared" si="251"/>
        <v/>
      </c>
      <c r="R1831" s="29" t="str">
        <f t="shared" si="252"/>
        <v/>
      </c>
    </row>
    <row r="1832" spans="1:18">
      <c r="A1832" s="483">
        <f t="shared" si="253"/>
        <v>1828</v>
      </c>
      <c r="B1832" s="77"/>
      <c r="C1832" s="77"/>
      <c r="D1832" s="858"/>
      <c r="E1832" s="858">
        <f t="shared" si="248"/>
        <v>0</v>
      </c>
      <c r="F1832" s="887">
        <f t="shared" si="249"/>
        <v>1900</v>
      </c>
      <c r="G1832" s="888"/>
      <c r="H1832" s="889"/>
      <c r="I1832" s="888"/>
      <c r="J1832" s="888"/>
      <c r="K1832" s="980"/>
      <c r="L1832" s="77"/>
      <c r="M1832" s="78">
        <f t="shared" si="254"/>
        <v>0</v>
      </c>
      <c r="N1832" s="748"/>
      <c r="P1832" s="29" t="str">
        <f t="shared" si="250"/>
        <v>1900</v>
      </c>
      <c r="Q1832" s="29" t="str">
        <f t="shared" si="251"/>
        <v/>
      </c>
      <c r="R1832" s="29" t="str">
        <f t="shared" si="252"/>
        <v/>
      </c>
    </row>
    <row r="1833" spans="1:18">
      <c r="A1833" s="483">
        <f t="shared" si="253"/>
        <v>1829</v>
      </c>
      <c r="B1833" s="77"/>
      <c r="C1833" s="77"/>
      <c r="D1833" s="858"/>
      <c r="E1833" s="858">
        <f t="shared" si="248"/>
        <v>0</v>
      </c>
      <c r="F1833" s="887">
        <f t="shared" si="249"/>
        <v>1900</v>
      </c>
      <c r="G1833" s="888"/>
      <c r="H1833" s="889"/>
      <c r="I1833" s="888"/>
      <c r="J1833" s="888"/>
      <c r="K1833" s="980"/>
      <c r="L1833" s="77"/>
      <c r="M1833" s="78">
        <f t="shared" si="254"/>
        <v>0</v>
      </c>
      <c r="N1833" s="748"/>
      <c r="P1833" s="29" t="str">
        <f t="shared" si="250"/>
        <v>1900</v>
      </c>
      <c r="Q1833" s="29" t="str">
        <f t="shared" si="251"/>
        <v/>
      </c>
      <c r="R1833" s="29" t="str">
        <f t="shared" si="252"/>
        <v/>
      </c>
    </row>
    <row r="1834" spans="1:18">
      <c r="A1834" s="483">
        <f t="shared" si="253"/>
        <v>1830</v>
      </c>
      <c r="B1834" s="77"/>
      <c r="C1834" s="77"/>
      <c r="D1834" s="858"/>
      <c r="E1834" s="858">
        <f t="shared" si="248"/>
        <v>0</v>
      </c>
      <c r="F1834" s="887">
        <f t="shared" si="249"/>
        <v>1900</v>
      </c>
      <c r="G1834" s="888"/>
      <c r="H1834" s="889"/>
      <c r="I1834" s="888"/>
      <c r="J1834" s="888"/>
      <c r="K1834" s="980"/>
      <c r="L1834" s="77"/>
      <c r="M1834" s="78">
        <f t="shared" si="254"/>
        <v>0</v>
      </c>
      <c r="N1834" s="748"/>
      <c r="P1834" s="29" t="str">
        <f t="shared" si="250"/>
        <v>1900</v>
      </c>
      <c r="Q1834" s="29" t="str">
        <f t="shared" si="251"/>
        <v/>
      </c>
      <c r="R1834" s="29" t="str">
        <f t="shared" si="252"/>
        <v/>
      </c>
    </row>
    <row r="1835" spans="1:18">
      <c r="A1835" s="483">
        <f t="shared" si="253"/>
        <v>1831</v>
      </c>
      <c r="B1835" s="77"/>
      <c r="C1835" s="77"/>
      <c r="D1835" s="858"/>
      <c r="E1835" s="858">
        <f t="shared" si="248"/>
        <v>0</v>
      </c>
      <c r="F1835" s="887">
        <f t="shared" si="249"/>
        <v>1900</v>
      </c>
      <c r="G1835" s="888"/>
      <c r="H1835" s="889"/>
      <c r="I1835" s="888"/>
      <c r="J1835" s="888"/>
      <c r="K1835" s="980"/>
      <c r="L1835" s="77"/>
      <c r="M1835" s="78">
        <f t="shared" si="254"/>
        <v>0</v>
      </c>
      <c r="N1835" s="748"/>
      <c r="P1835" s="29" t="str">
        <f t="shared" si="250"/>
        <v>1900</v>
      </c>
      <c r="Q1835" s="29" t="str">
        <f t="shared" si="251"/>
        <v/>
      </c>
      <c r="R1835" s="29" t="str">
        <f t="shared" si="252"/>
        <v/>
      </c>
    </row>
    <row r="1836" spans="1:18">
      <c r="A1836" s="483">
        <f t="shared" si="253"/>
        <v>1832</v>
      </c>
      <c r="B1836" s="77"/>
      <c r="C1836" s="77"/>
      <c r="D1836" s="858"/>
      <c r="E1836" s="858">
        <f t="shared" si="248"/>
        <v>0</v>
      </c>
      <c r="F1836" s="887">
        <f t="shared" si="249"/>
        <v>1900</v>
      </c>
      <c r="G1836" s="888"/>
      <c r="H1836" s="889"/>
      <c r="I1836" s="888"/>
      <c r="J1836" s="888"/>
      <c r="K1836" s="980"/>
      <c r="L1836" s="77"/>
      <c r="M1836" s="78">
        <f t="shared" si="254"/>
        <v>0</v>
      </c>
      <c r="N1836" s="748"/>
      <c r="P1836" s="29" t="str">
        <f t="shared" si="250"/>
        <v>1900</v>
      </c>
      <c r="Q1836" s="29" t="str">
        <f t="shared" si="251"/>
        <v/>
      </c>
      <c r="R1836" s="29" t="str">
        <f t="shared" si="252"/>
        <v/>
      </c>
    </row>
    <row r="1837" spans="1:18">
      <c r="A1837" s="483">
        <f t="shared" si="253"/>
        <v>1833</v>
      </c>
      <c r="B1837" s="77"/>
      <c r="C1837" s="77"/>
      <c r="D1837" s="858"/>
      <c r="E1837" s="858">
        <f t="shared" si="248"/>
        <v>0</v>
      </c>
      <c r="F1837" s="887">
        <f t="shared" si="249"/>
        <v>1900</v>
      </c>
      <c r="G1837" s="888"/>
      <c r="H1837" s="889"/>
      <c r="I1837" s="888"/>
      <c r="J1837" s="888"/>
      <c r="K1837" s="980"/>
      <c r="L1837" s="77"/>
      <c r="M1837" s="78">
        <f t="shared" si="254"/>
        <v>0</v>
      </c>
      <c r="N1837" s="748"/>
      <c r="P1837" s="29" t="str">
        <f t="shared" si="250"/>
        <v>1900</v>
      </c>
      <c r="Q1837" s="29" t="str">
        <f t="shared" si="251"/>
        <v/>
      </c>
      <c r="R1837" s="29" t="str">
        <f t="shared" si="252"/>
        <v/>
      </c>
    </row>
    <row r="1838" spans="1:18">
      <c r="A1838" s="483">
        <f t="shared" si="253"/>
        <v>1834</v>
      </c>
      <c r="B1838" s="77"/>
      <c r="C1838" s="77"/>
      <c r="D1838" s="858"/>
      <c r="E1838" s="858">
        <f t="shared" si="248"/>
        <v>0</v>
      </c>
      <c r="F1838" s="887">
        <f t="shared" si="249"/>
        <v>1900</v>
      </c>
      <c r="G1838" s="888"/>
      <c r="H1838" s="889"/>
      <c r="I1838" s="888"/>
      <c r="J1838" s="888"/>
      <c r="K1838" s="980"/>
      <c r="L1838" s="77"/>
      <c r="M1838" s="78">
        <f t="shared" si="254"/>
        <v>0</v>
      </c>
      <c r="N1838" s="748"/>
      <c r="P1838" s="29" t="str">
        <f t="shared" si="250"/>
        <v>1900</v>
      </c>
      <c r="Q1838" s="29" t="str">
        <f t="shared" si="251"/>
        <v/>
      </c>
      <c r="R1838" s="29" t="str">
        <f t="shared" si="252"/>
        <v/>
      </c>
    </row>
    <row r="1839" spans="1:18">
      <c r="A1839" s="483">
        <f t="shared" si="253"/>
        <v>1835</v>
      </c>
      <c r="B1839" s="77"/>
      <c r="C1839" s="77"/>
      <c r="D1839" s="858"/>
      <c r="E1839" s="858">
        <f t="shared" ref="E1839:E1902" si="255">DAY(C1839)</f>
        <v>0</v>
      </c>
      <c r="F1839" s="887">
        <f t="shared" ref="F1839:F1902" si="256">YEAR(C1839)</f>
        <v>1900</v>
      </c>
      <c r="G1839" s="888"/>
      <c r="H1839" s="889"/>
      <c r="I1839" s="888"/>
      <c r="J1839" s="888"/>
      <c r="K1839" s="980"/>
      <c r="L1839" s="77"/>
      <c r="M1839" s="78">
        <f t="shared" si="254"/>
        <v>0</v>
      </c>
      <c r="N1839" s="748"/>
      <c r="P1839" s="29" t="str">
        <f t="shared" ref="P1839:P1902" si="257">CONCATENATE(F1839,H1839)</f>
        <v>1900</v>
      </c>
      <c r="Q1839" s="29" t="str">
        <f t="shared" ref="Q1839:Q1902" si="258">CONCATENATE(H1839,K1839)</f>
        <v/>
      </c>
      <c r="R1839" s="29" t="str">
        <f t="shared" ref="R1839:R1902" si="259">CONCATENATE(D1839,H1839)</f>
        <v/>
      </c>
    </row>
    <row r="1840" spans="1:18">
      <c r="A1840" s="483">
        <f t="shared" si="253"/>
        <v>1836</v>
      </c>
      <c r="B1840" s="77"/>
      <c r="C1840" s="77"/>
      <c r="D1840" s="858"/>
      <c r="E1840" s="858">
        <f t="shared" si="255"/>
        <v>0</v>
      </c>
      <c r="F1840" s="887">
        <f t="shared" si="256"/>
        <v>1900</v>
      </c>
      <c r="G1840" s="888"/>
      <c r="H1840" s="889"/>
      <c r="I1840" s="888"/>
      <c r="J1840" s="888"/>
      <c r="K1840" s="980"/>
      <c r="L1840" s="77"/>
      <c r="M1840" s="78">
        <f t="shared" si="254"/>
        <v>0</v>
      </c>
      <c r="N1840" s="748"/>
      <c r="P1840" s="29" t="str">
        <f t="shared" si="257"/>
        <v>1900</v>
      </c>
      <c r="Q1840" s="29" t="str">
        <f t="shared" si="258"/>
        <v/>
      </c>
      <c r="R1840" s="29" t="str">
        <f t="shared" si="259"/>
        <v/>
      </c>
    </row>
    <row r="1841" spans="1:18">
      <c r="A1841" s="483">
        <f t="shared" si="253"/>
        <v>1837</v>
      </c>
      <c r="B1841" s="77"/>
      <c r="C1841" s="77"/>
      <c r="D1841" s="858"/>
      <c r="E1841" s="858">
        <f t="shared" si="255"/>
        <v>0</v>
      </c>
      <c r="F1841" s="887">
        <f t="shared" si="256"/>
        <v>1900</v>
      </c>
      <c r="G1841" s="888"/>
      <c r="H1841" s="889"/>
      <c r="I1841" s="888"/>
      <c r="J1841" s="888"/>
      <c r="K1841" s="980"/>
      <c r="L1841" s="77"/>
      <c r="M1841" s="78">
        <f t="shared" si="254"/>
        <v>0</v>
      </c>
      <c r="N1841" s="748"/>
      <c r="P1841" s="29" t="str">
        <f t="shared" si="257"/>
        <v>1900</v>
      </c>
      <c r="Q1841" s="29" t="str">
        <f t="shared" si="258"/>
        <v/>
      </c>
      <c r="R1841" s="29" t="str">
        <f t="shared" si="259"/>
        <v/>
      </c>
    </row>
    <row r="1842" spans="1:18">
      <c r="A1842" s="483">
        <f t="shared" si="253"/>
        <v>1838</v>
      </c>
      <c r="B1842" s="77"/>
      <c r="C1842" s="77"/>
      <c r="D1842" s="858"/>
      <c r="E1842" s="858">
        <f t="shared" si="255"/>
        <v>0</v>
      </c>
      <c r="F1842" s="887">
        <f t="shared" si="256"/>
        <v>1900</v>
      </c>
      <c r="G1842" s="888"/>
      <c r="H1842" s="889"/>
      <c r="I1842" s="888"/>
      <c r="J1842" s="888"/>
      <c r="K1842" s="980"/>
      <c r="L1842" s="77"/>
      <c r="M1842" s="78">
        <f t="shared" si="254"/>
        <v>0</v>
      </c>
      <c r="N1842" s="748"/>
      <c r="P1842" s="29" t="str">
        <f t="shared" si="257"/>
        <v>1900</v>
      </c>
      <c r="Q1842" s="29" t="str">
        <f t="shared" si="258"/>
        <v/>
      </c>
      <c r="R1842" s="29" t="str">
        <f t="shared" si="259"/>
        <v/>
      </c>
    </row>
    <row r="1843" spans="1:18">
      <c r="A1843" s="483">
        <f t="shared" si="253"/>
        <v>1839</v>
      </c>
      <c r="B1843" s="77"/>
      <c r="C1843" s="77"/>
      <c r="D1843" s="858"/>
      <c r="E1843" s="858">
        <f t="shared" si="255"/>
        <v>0</v>
      </c>
      <c r="F1843" s="887">
        <f t="shared" si="256"/>
        <v>1900</v>
      </c>
      <c r="G1843" s="888"/>
      <c r="H1843" s="889"/>
      <c r="I1843" s="888"/>
      <c r="J1843" s="888"/>
      <c r="K1843" s="980"/>
      <c r="L1843" s="77"/>
      <c r="M1843" s="78">
        <f t="shared" si="254"/>
        <v>0</v>
      </c>
      <c r="N1843" s="748"/>
      <c r="P1843" s="29" t="str">
        <f t="shared" si="257"/>
        <v>1900</v>
      </c>
      <c r="Q1843" s="29" t="str">
        <f t="shared" si="258"/>
        <v/>
      </c>
      <c r="R1843" s="29" t="str">
        <f t="shared" si="259"/>
        <v/>
      </c>
    </row>
    <row r="1844" spans="1:18">
      <c r="A1844" s="483">
        <f t="shared" si="253"/>
        <v>1840</v>
      </c>
      <c r="B1844" s="77"/>
      <c r="C1844" s="77"/>
      <c r="D1844" s="858"/>
      <c r="E1844" s="858">
        <f t="shared" si="255"/>
        <v>0</v>
      </c>
      <c r="F1844" s="887">
        <f t="shared" si="256"/>
        <v>1900</v>
      </c>
      <c r="G1844" s="888"/>
      <c r="H1844" s="889"/>
      <c r="I1844" s="888"/>
      <c r="J1844" s="888"/>
      <c r="K1844" s="980"/>
      <c r="L1844" s="77"/>
      <c r="M1844" s="78">
        <f t="shared" si="254"/>
        <v>0</v>
      </c>
      <c r="N1844" s="748"/>
      <c r="P1844" s="29" t="str">
        <f t="shared" si="257"/>
        <v>1900</v>
      </c>
      <c r="Q1844" s="29" t="str">
        <f t="shared" si="258"/>
        <v/>
      </c>
      <c r="R1844" s="29" t="str">
        <f t="shared" si="259"/>
        <v/>
      </c>
    </row>
    <row r="1845" spans="1:18">
      <c r="A1845" s="483">
        <f t="shared" si="253"/>
        <v>1841</v>
      </c>
      <c r="B1845" s="77"/>
      <c r="C1845" s="77"/>
      <c r="D1845" s="858"/>
      <c r="E1845" s="858">
        <f t="shared" si="255"/>
        <v>0</v>
      </c>
      <c r="F1845" s="887">
        <f t="shared" si="256"/>
        <v>1900</v>
      </c>
      <c r="G1845" s="888"/>
      <c r="H1845" s="889"/>
      <c r="I1845" s="888"/>
      <c r="J1845" s="888"/>
      <c r="K1845" s="980"/>
      <c r="L1845" s="77"/>
      <c r="M1845" s="78">
        <f t="shared" si="254"/>
        <v>0</v>
      </c>
      <c r="N1845" s="748"/>
      <c r="P1845" s="29" t="str">
        <f t="shared" si="257"/>
        <v>1900</v>
      </c>
      <c r="Q1845" s="29" t="str">
        <f t="shared" si="258"/>
        <v/>
      </c>
      <c r="R1845" s="29" t="str">
        <f t="shared" si="259"/>
        <v/>
      </c>
    </row>
    <row r="1846" spans="1:18">
      <c r="A1846" s="483">
        <f t="shared" si="253"/>
        <v>1842</v>
      </c>
      <c r="B1846" s="77"/>
      <c r="C1846" s="77"/>
      <c r="D1846" s="858"/>
      <c r="E1846" s="858">
        <f t="shared" si="255"/>
        <v>0</v>
      </c>
      <c r="F1846" s="887">
        <f t="shared" si="256"/>
        <v>1900</v>
      </c>
      <c r="G1846" s="888"/>
      <c r="H1846" s="889"/>
      <c r="I1846" s="888"/>
      <c r="J1846" s="888"/>
      <c r="K1846" s="980"/>
      <c r="L1846" s="77"/>
      <c r="M1846" s="78">
        <f t="shared" si="254"/>
        <v>0</v>
      </c>
      <c r="N1846" s="748"/>
      <c r="P1846" s="29" t="str">
        <f t="shared" si="257"/>
        <v>1900</v>
      </c>
      <c r="Q1846" s="29" t="str">
        <f t="shared" si="258"/>
        <v/>
      </c>
      <c r="R1846" s="29" t="str">
        <f t="shared" si="259"/>
        <v/>
      </c>
    </row>
    <row r="1847" spans="1:18">
      <c r="A1847" s="483">
        <f t="shared" si="253"/>
        <v>1843</v>
      </c>
      <c r="B1847" s="77"/>
      <c r="C1847" s="77"/>
      <c r="D1847" s="858"/>
      <c r="E1847" s="858">
        <f t="shared" si="255"/>
        <v>0</v>
      </c>
      <c r="F1847" s="887">
        <f t="shared" si="256"/>
        <v>1900</v>
      </c>
      <c r="G1847" s="888"/>
      <c r="H1847" s="889"/>
      <c r="I1847" s="888"/>
      <c r="J1847" s="888"/>
      <c r="K1847" s="980"/>
      <c r="L1847" s="77"/>
      <c r="M1847" s="78">
        <f t="shared" si="254"/>
        <v>0</v>
      </c>
      <c r="N1847" s="748"/>
      <c r="P1847" s="29" t="str">
        <f t="shared" si="257"/>
        <v>1900</v>
      </c>
      <c r="Q1847" s="29" t="str">
        <f t="shared" si="258"/>
        <v/>
      </c>
      <c r="R1847" s="29" t="str">
        <f t="shared" si="259"/>
        <v/>
      </c>
    </row>
    <row r="1848" spans="1:18">
      <c r="A1848" s="483">
        <f t="shared" si="253"/>
        <v>1844</v>
      </c>
      <c r="B1848" s="77"/>
      <c r="C1848" s="77"/>
      <c r="D1848" s="858"/>
      <c r="E1848" s="858">
        <f t="shared" si="255"/>
        <v>0</v>
      </c>
      <c r="F1848" s="887">
        <f t="shared" si="256"/>
        <v>1900</v>
      </c>
      <c r="G1848" s="888"/>
      <c r="H1848" s="889"/>
      <c r="I1848" s="888"/>
      <c r="J1848" s="888"/>
      <c r="K1848" s="980"/>
      <c r="L1848" s="77"/>
      <c r="M1848" s="78">
        <f t="shared" si="254"/>
        <v>0</v>
      </c>
      <c r="N1848" s="748"/>
      <c r="P1848" s="29" t="str">
        <f t="shared" si="257"/>
        <v>1900</v>
      </c>
      <c r="Q1848" s="29" t="str">
        <f t="shared" si="258"/>
        <v/>
      </c>
      <c r="R1848" s="29" t="str">
        <f t="shared" si="259"/>
        <v/>
      </c>
    </row>
    <row r="1849" spans="1:18">
      <c r="A1849" s="483">
        <f t="shared" si="253"/>
        <v>1845</v>
      </c>
      <c r="B1849" s="77"/>
      <c r="C1849" s="77"/>
      <c r="D1849" s="858"/>
      <c r="E1849" s="858">
        <f t="shared" si="255"/>
        <v>0</v>
      </c>
      <c r="F1849" s="887">
        <f t="shared" si="256"/>
        <v>1900</v>
      </c>
      <c r="G1849" s="888"/>
      <c r="H1849" s="889"/>
      <c r="I1849" s="888"/>
      <c r="J1849" s="888"/>
      <c r="K1849" s="980"/>
      <c r="L1849" s="77"/>
      <c r="M1849" s="78">
        <f t="shared" si="254"/>
        <v>0</v>
      </c>
      <c r="N1849" s="748"/>
      <c r="P1849" s="29" t="str">
        <f t="shared" si="257"/>
        <v>1900</v>
      </c>
      <c r="Q1849" s="29" t="str">
        <f t="shared" si="258"/>
        <v/>
      </c>
      <c r="R1849" s="29" t="str">
        <f t="shared" si="259"/>
        <v/>
      </c>
    </row>
    <row r="1850" spans="1:18">
      <c r="A1850" s="483">
        <f t="shared" si="253"/>
        <v>1846</v>
      </c>
      <c r="B1850" s="77"/>
      <c r="C1850" s="77"/>
      <c r="D1850" s="858"/>
      <c r="E1850" s="858">
        <f t="shared" si="255"/>
        <v>0</v>
      </c>
      <c r="F1850" s="887">
        <f t="shared" si="256"/>
        <v>1900</v>
      </c>
      <c r="G1850" s="888"/>
      <c r="H1850" s="889"/>
      <c r="I1850" s="888"/>
      <c r="J1850" s="888"/>
      <c r="K1850" s="980"/>
      <c r="L1850" s="77"/>
      <c r="M1850" s="78">
        <f t="shared" si="254"/>
        <v>0</v>
      </c>
      <c r="N1850" s="748"/>
      <c r="P1850" s="29" t="str">
        <f t="shared" si="257"/>
        <v>1900</v>
      </c>
      <c r="Q1850" s="29" t="str">
        <f t="shared" si="258"/>
        <v/>
      </c>
      <c r="R1850" s="29" t="str">
        <f t="shared" si="259"/>
        <v/>
      </c>
    </row>
    <row r="1851" spans="1:18">
      <c r="A1851" s="483">
        <f t="shared" si="253"/>
        <v>1847</v>
      </c>
      <c r="B1851" s="77"/>
      <c r="C1851" s="77"/>
      <c r="D1851" s="858"/>
      <c r="E1851" s="858">
        <f t="shared" si="255"/>
        <v>0</v>
      </c>
      <c r="F1851" s="887">
        <f t="shared" si="256"/>
        <v>1900</v>
      </c>
      <c r="G1851" s="888"/>
      <c r="H1851" s="889"/>
      <c r="I1851" s="888"/>
      <c r="J1851" s="888"/>
      <c r="K1851" s="980"/>
      <c r="L1851" s="77"/>
      <c r="M1851" s="78">
        <f t="shared" si="254"/>
        <v>0</v>
      </c>
      <c r="N1851" s="748"/>
      <c r="P1851" s="29" t="str">
        <f t="shared" si="257"/>
        <v>1900</v>
      </c>
      <c r="Q1851" s="29" t="str">
        <f t="shared" si="258"/>
        <v/>
      </c>
      <c r="R1851" s="29" t="str">
        <f t="shared" si="259"/>
        <v/>
      </c>
    </row>
    <row r="1852" spans="1:18">
      <c r="A1852" s="483">
        <f t="shared" si="253"/>
        <v>1848</v>
      </c>
      <c r="B1852" s="77"/>
      <c r="C1852" s="77"/>
      <c r="D1852" s="858"/>
      <c r="E1852" s="858">
        <f t="shared" si="255"/>
        <v>0</v>
      </c>
      <c r="F1852" s="887">
        <f t="shared" si="256"/>
        <v>1900</v>
      </c>
      <c r="G1852" s="888"/>
      <c r="H1852" s="889"/>
      <c r="I1852" s="888"/>
      <c r="J1852" s="888"/>
      <c r="K1852" s="980"/>
      <c r="L1852" s="77"/>
      <c r="M1852" s="78">
        <f t="shared" si="254"/>
        <v>0</v>
      </c>
      <c r="N1852" s="748"/>
      <c r="P1852" s="29" t="str">
        <f t="shared" si="257"/>
        <v>1900</v>
      </c>
      <c r="Q1852" s="29" t="str">
        <f t="shared" si="258"/>
        <v/>
      </c>
      <c r="R1852" s="29" t="str">
        <f t="shared" si="259"/>
        <v/>
      </c>
    </row>
    <row r="1853" spans="1:18">
      <c r="A1853" s="483">
        <f t="shared" si="253"/>
        <v>1849</v>
      </c>
      <c r="B1853" s="77"/>
      <c r="C1853" s="77"/>
      <c r="D1853" s="858"/>
      <c r="E1853" s="858">
        <f t="shared" si="255"/>
        <v>0</v>
      </c>
      <c r="F1853" s="887">
        <f t="shared" si="256"/>
        <v>1900</v>
      </c>
      <c r="G1853" s="888"/>
      <c r="H1853" s="889"/>
      <c r="I1853" s="888"/>
      <c r="J1853" s="888"/>
      <c r="K1853" s="980"/>
      <c r="L1853" s="77"/>
      <c r="M1853" s="78">
        <f t="shared" si="254"/>
        <v>0</v>
      </c>
      <c r="N1853" s="748"/>
      <c r="P1853" s="29" t="str">
        <f t="shared" si="257"/>
        <v>1900</v>
      </c>
      <c r="Q1853" s="29" t="str">
        <f t="shared" si="258"/>
        <v/>
      </c>
      <c r="R1853" s="29" t="str">
        <f t="shared" si="259"/>
        <v/>
      </c>
    </row>
    <row r="1854" spans="1:18">
      <c r="A1854" s="483">
        <f t="shared" si="253"/>
        <v>1850</v>
      </c>
      <c r="B1854" s="77"/>
      <c r="C1854" s="77"/>
      <c r="D1854" s="858"/>
      <c r="E1854" s="858">
        <f t="shared" si="255"/>
        <v>0</v>
      </c>
      <c r="F1854" s="887">
        <f t="shared" si="256"/>
        <v>1900</v>
      </c>
      <c r="G1854" s="888"/>
      <c r="H1854" s="889"/>
      <c r="I1854" s="888"/>
      <c r="J1854" s="888"/>
      <c r="K1854" s="980"/>
      <c r="L1854" s="77"/>
      <c r="M1854" s="78">
        <f t="shared" si="254"/>
        <v>0</v>
      </c>
      <c r="N1854" s="748"/>
      <c r="P1854" s="29" t="str">
        <f t="shared" si="257"/>
        <v>1900</v>
      </c>
      <c r="Q1854" s="29" t="str">
        <f t="shared" si="258"/>
        <v/>
      </c>
      <c r="R1854" s="29" t="str">
        <f t="shared" si="259"/>
        <v/>
      </c>
    </row>
    <row r="1855" spans="1:18">
      <c r="A1855" s="483">
        <f t="shared" si="253"/>
        <v>1851</v>
      </c>
      <c r="B1855" s="77"/>
      <c r="C1855" s="77"/>
      <c r="D1855" s="858"/>
      <c r="E1855" s="858">
        <f t="shared" si="255"/>
        <v>0</v>
      </c>
      <c r="F1855" s="887">
        <f t="shared" si="256"/>
        <v>1900</v>
      </c>
      <c r="G1855" s="888"/>
      <c r="H1855" s="889"/>
      <c r="I1855" s="888"/>
      <c r="J1855" s="888"/>
      <c r="K1855" s="980"/>
      <c r="L1855" s="77"/>
      <c r="M1855" s="78">
        <f t="shared" si="254"/>
        <v>0</v>
      </c>
      <c r="N1855" s="748"/>
      <c r="P1855" s="29" t="str">
        <f t="shared" si="257"/>
        <v>1900</v>
      </c>
      <c r="Q1855" s="29" t="str">
        <f t="shared" si="258"/>
        <v/>
      </c>
      <c r="R1855" s="29" t="str">
        <f t="shared" si="259"/>
        <v/>
      </c>
    </row>
    <row r="1856" spans="1:18">
      <c r="A1856" s="483">
        <f t="shared" si="253"/>
        <v>1852</v>
      </c>
      <c r="B1856" s="77"/>
      <c r="C1856" s="77"/>
      <c r="D1856" s="858"/>
      <c r="E1856" s="858">
        <f t="shared" si="255"/>
        <v>0</v>
      </c>
      <c r="F1856" s="887">
        <f t="shared" si="256"/>
        <v>1900</v>
      </c>
      <c r="G1856" s="888"/>
      <c r="H1856" s="889"/>
      <c r="I1856" s="888"/>
      <c r="J1856" s="888"/>
      <c r="K1856" s="980"/>
      <c r="L1856" s="77"/>
      <c r="M1856" s="78">
        <f t="shared" si="254"/>
        <v>0</v>
      </c>
      <c r="N1856" s="748"/>
      <c r="P1856" s="29" t="str">
        <f t="shared" si="257"/>
        <v>1900</v>
      </c>
      <c r="Q1856" s="29" t="str">
        <f t="shared" si="258"/>
        <v/>
      </c>
      <c r="R1856" s="29" t="str">
        <f t="shared" si="259"/>
        <v/>
      </c>
    </row>
    <row r="1857" spans="1:18">
      <c r="A1857" s="483">
        <f t="shared" si="253"/>
        <v>1853</v>
      </c>
      <c r="B1857" s="77"/>
      <c r="C1857" s="77"/>
      <c r="D1857" s="858"/>
      <c r="E1857" s="858">
        <f t="shared" si="255"/>
        <v>0</v>
      </c>
      <c r="F1857" s="887">
        <f t="shared" si="256"/>
        <v>1900</v>
      </c>
      <c r="G1857" s="888"/>
      <c r="H1857" s="889"/>
      <c r="I1857" s="888"/>
      <c r="J1857" s="888"/>
      <c r="K1857" s="980"/>
      <c r="L1857" s="77"/>
      <c r="M1857" s="78">
        <f t="shared" si="254"/>
        <v>0</v>
      </c>
      <c r="N1857" s="748"/>
      <c r="P1857" s="29" t="str">
        <f t="shared" si="257"/>
        <v>1900</v>
      </c>
      <c r="Q1857" s="29" t="str">
        <f t="shared" si="258"/>
        <v/>
      </c>
      <c r="R1857" s="29" t="str">
        <f t="shared" si="259"/>
        <v/>
      </c>
    </row>
    <row r="1858" spans="1:18">
      <c r="A1858" s="483">
        <f t="shared" si="253"/>
        <v>1854</v>
      </c>
      <c r="B1858" s="77"/>
      <c r="C1858" s="77"/>
      <c r="D1858" s="858"/>
      <c r="E1858" s="858">
        <f t="shared" si="255"/>
        <v>0</v>
      </c>
      <c r="F1858" s="887">
        <f t="shared" si="256"/>
        <v>1900</v>
      </c>
      <c r="G1858" s="888"/>
      <c r="H1858" s="889"/>
      <c r="I1858" s="888"/>
      <c r="J1858" s="888"/>
      <c r="K1858" s="980"/>
      <c r="L1858" s="77"/>
      <c r="M1858" s="78">
        <f t="shared" si="254"/>
        <v>0</v>
      </c>
      <c r="N1858" s="748"/>
      <c r="P1858" s="29" t="str">
        <f t="shared" si="257"/>
        <v>1900</v>
      </c>
      <c r="Q1858" s="29" t="str">
        <f t="shared" si="258"/>
        <v/>
      </c>
      <c r="R1858" s="29" t="str">
        <f t="shared" si="259"/>
        <v/>
      </c>
    </row>
    <row r="1859" spans="1:18">
      <c r="A1859" s="483">
        <f t="shared" si="253"/>
        <v>1855</v>
      </c>
      <c r="B1859" s="77"/>
      <c r="C1859" s="77"/>
      <c r="D1859" s="858"/>
      <c r="E1859" s="858">
        <f t="shared" si="255"/>
        <v>0</v>
      </c>
      <c r="F1859" s="887">
        <f t="shared" si="256"/>
        <v>1900</v>
      </c>
      <c r="G1859" s="888"/>
      <c r="H1859" s="889"/>
      <c r="I1859" s="888"/>
      <c r="J1859" s="888"/>
      <c r="K1859" s="980"/>
      <c r="L1859" s="77"/>
      <c r="M1859" s="78">
        <f t="shared" si="254"/>
        <v>0</v>
      </c>
      <c r="N1859" s="748"/>
      <c r="P1859" s="29" t="str">
        <f t="shared" si="257"/>
        <v>1900</v>
      </c>
      <c r="Q1859" s="29" t="str">
        <f t="shared" si="258"/>
        <v/>
      </c>
      <c r="R1859" s="29" t="str">
        <f t="shared" si="259"/>
        <v/>
      </c>
    </row>
    <row r="1860" spans="1:18">
      <c r="A1860" s="483">
        <f t="shared" si="253"/>
        <v>1856</v>
      </c>
      <c r="B1860" s="77"/>
      <c r="C1860" s="77"/>
      <c r="D1860" s="858"/>
      <c r="E1860" s="858">
        <f t="shared" si="255"/>
        <v>0</v>
      </c>
      <c r="F1860" s="887">
        <f t="shared" si="256"/>
        <v>1900</v>
      </c>
      <c r="G1860" s="888"/>
      <c r="H1860" s="889"/>
      <c r="I1860" s="888"/>
      <c r="J1860" s="888"/>
      <c r="K1860" s="980"/>
      <c r="L1860" s="77"/>
      <c r="M1860" s="78">
        <f t="shared" si="254"/>
        <v>0</v>
      </c>
      <c r="N1860" s="748"/>
      <c r="P1860" s="29" t="str">
        <f t="shared" si="257"/>
        <v>1900</v>
      </c>
      <c r="Q1860" s="29" t="str">
        <f t="shared" si="258"/>
        <v/>
      </c>
      <c r="R1860" s="29" t="str">
        <f t="shared" si="259"/>
        <v/>
      </c>
    </row>
    <row r="1861" spans="1:18">
      <c r="A1861" s="483">
        <f t="shared" si="253"/>
        <v>1857</v>
      </c>
      <c r="B1861" s="77"/>
      <c r="C1861" s="77"/>
      <c r="D1861" s="858"/>
      <c r="E1861" s="858">
        <f t="shared" si="255"/>
        <v>0</v>
      </c>
      <c r="F1861" s="887">
        <f t="shared" si="256"/>
        <v>1900</v>
      </c>
      <c r="G1861" s="888"/>
      <c r="H1861" s="889"/>
      <c r="I1861" s="888"/>
      <c r="J1861" s="888"/>
      <c r="K1861" s="980"/>
      <c r="L1861" s="77"/>
      <c r="M1861" s="78">
        <f t="shared" si="254"/>
        <v>0</v>
      </c>
      <c r="N1861" s="748"/>
      <c r="P1861" s="29" t="str">
        <f t="shared" si="257"/>
        <v>1900</v>
      </c>
      <c r="Q1861" s="29" t="str">
        <f t="shared" si="258"/>
        <v/>
      </c>
      <c r="R1861" s="29" t="str">
        <f t="shared" si="259"/>
        <v/>
      </c>
    </row>
    <row r="1862" spans="1:18">
      <c r="A1862" s="483">
        <f t="shared" si="253"/>
        <v>1858</v>
      </c>
      <c r="B1862" s="77"/>
      <c r="C1862" s="77"/>
      <c r="D1862" s="858"/>
      <c r="E1862" s="858">
        <f t="shared" si="255"/>
        <v>0</v>
      </c>
      <c r="F1862" s="887">
        <f t="shared" si="256"/>
        <v>1900</v>
      </c>
      <c r="G1862" s="888"/>
      <c r="H1862" s="889"/>
      <c r="I1862" s="888"/>
      <c r="J1862" s="888"/>
      <c r="K1862" s="980"/>
      <c r="L1862" s="77"/>
      <c r="M1862" s="78">
        <f t="shared" si="254"/>
        <v>0</v>
      </c>
      <c r="N1862" s="748"/>
      <c r="P1862" s="29" t="str">
        <f t="shared" si="257"/>
        <v>1900</v>
      </c>
      <c r="Q1862" s="29" t="str">
        <f t="shared" si="258"/>
        <v/>
      </c>
      <c r="R1862" s="29" t="str">
        <f t="shared" si="259"/>
        <v/>
      </c>
    </row>
    <row r="1863" spans="1:18">
      <c r="A1863" s="483">
        <f t="shared" si="253"/>
        <v>1859</v>
      </c>
      <c r="B1863" s="77"/>
      <c r="C1863" s="77"/>
      <c r="D1863" s="858"/>
      <c r="E1863" s="858">
        <f t="shared" si="255"/>
        <v>0</v>
      </c>
      <c r="F1863" s="887">
        <f t="shared" si="256"/>
        <v>1900</v>
      </c>
      <c r="G1863" s="888"/>
      <c r="H1863" s="889"/>
      <c r="I1863" s="888"/>
      <c r="J1863" s="888"/>
      <c r="K1863" s="980"/>
      <c r="L1863" s="77"/>
      <c r="M1863" s="78">
        <f t="shared" si="254"/>
        <v>0</v>
      </c>
      <c r="N1863" s="748"/>
      <c r="P1863" s="29" t="str">
        <f t="shared" si="257"/>
        <v>1900</v>
      </c>
      <c r="Q1863" s="29" t="str">
        <f t="shared" si="258"/>
        <v/>
      </c>
      <c r="R1863" s="29" t="str">
        <f t="shared" si="259"/>
        <v/>
      </c>
    </row>
    <row r="1864" spans="1:18">
      <c r="A1864" s="483">
        <f t="shared" ref="A1864:A1927" si="260">+A1863+1</f>
        <v>1860</v>
      </c>
      <c r="B1864" s="77"/>
      <c r="C1864" s="77"/>
      <c r="D1864" s="858"/>
      <c r="E1864" s="858">
        <f t="shared" si="255"/>
        <v>0</v>
      </c>
      <c r="F1864" s="887">
        <f t="shared" si="256"/>
        <v>1900</v>
      </c>
      <c r="G1864" s="888"/>
      <c r="H1864" s="889"/>
      <c r="I1864" s="888"/>
      <c r="J1864" s="888"/>
      <c r="K1864" s="980"/>
      <c r="L1864" s="77"/>
      <c r="M1864" s="78">
        <f t="shared" si="254"/>
        <v>0</v>
      </c>
      <c r="N1864" s="748"/>
      <c r="P1864" s="29" t="str">
        <f t="shared" si="257"/>
        <v>1900</v>
      </c>
      <c r="Q1864" s="29" t="str">
        <f t="shared" si="258"/>
        <v/>
      </c>
      <c r="R1864" s="29" t="str">
        <f t="shared" si="259"/>
        <v/>
      </c>
    </row>
    <row r="1865" spans="1:18">
      <c r="A1865" s="483">
        <f t="shared" si="260"/>
        <v>1861</v>
      </c>
      <c r="B1865" s="77"/>
      <c r="C1865" s="77"/>
      <c r="D1865" s="858"/>
      <c r="E1865" s="858">
        <f t="shared" si="255"/>
        <v>0</v>
      </c>
      <c r="F1865" s="887">
        <f t="shared" si="256"/>
        <v>1900</v>
      </c>
      <c r="G1865" s="888"/>
      <c r="H1865" s="889"/>
      <c r="I1865" s="888"/>
      <c r="J1865" s="888"/>
      <c r="K1865" s="980"/>
      <c r="L1865" s="77"/>
      <c r="M1865" s="78">
        <f t="shared" si="254"/>
        <v>0</v>
      </c>
      <c r="N1865" s="748"/>
      <c r="P1865" s="29" t="str">
        <f t="shared" si="257"/>
        <v>1900</v>
      </c>
      <c r="Q1865" s="29" t="str">
        <f t="shared" si="258"/>
        <v/>
      </c>
      <c r="R1865" s="29" t="str">
        <f t="shared" si="259"/>
        <v/>
      </c>
    </row>
    <row r="1866" spans="1:18">
      <c r="A1866" s="483">
        <f t="shared" si="260"/>
        <v>1862</v>
      </c>
      <c r="B1866" s="77"/>
      <c r="C1866" s="77"/>
      <c r="D1866" s="858"/>
      <c r="E1866" s="858">
        <f t="shared" si="255"/>
        <v>0</v>
      </c>
      <c r="F1866" s="887">
        <f t="shared" si="256"/>
        <v>1900</v>
      </c>
      <c r="G1866" s="888"/>
      <c r="H1866" s="889"/>
      <c r="I1866" s="888"/>
      <c r="J1866" s="888"/>
      <c r="K1866" s="980"/>
      <c r="L1866" s="77"/>
      <c r="M1866" s="78">
        <f t="shared" si="254"/>
        <v>0</v>
      </c>
      <c r="N1866" s="748"/>
      <c r="P1866" s="29" t="str">
        <f t="shared" si="257"/>
        <v>1900</v>
      </c>
      <c r="Q1866" s="29" t="str">
        <f t="shared" si="258"/>
        <v/>
      </c>
      <c r="R1866" s="29" t="str">
        <f t="shared" si="259"/>
        <v/>
      </c>
    </row>
    <row r="1867" spans="1:18">
      <c r="A1867" s="483">
        <f t="shared" si="260"/>
        <v>1863</v>
      </c>
      <c r="B1867" s="77"/>
      <c r="C1867" s="77"/>
      <c r="D1867" s="858"/>
      <c r="E1867" s="858">
        <f t="shared" si="255"/>
        <v>0</v>
      </c>
      <c r="F1867" s="887">
        <f t="shared" si="256"/>
        <v>1900</v>
      </c>
      <c r="G1867" s="888"/>
      <c r="H1867" s="889"/>
      <c r="I1867" s="888"/>
      <c r="J1867" s="888"/>
      <c r="K1867" s="980"/>
      <c r="L1867" s="77"/>
      <c r="M1867" s="78">
        <f t="shared" si="254"/>
        <v>0</v>
      </c>
      <c r="N1867" s="748"/>
      <c r="P1867" s="29" t="str">
        <f t="shared" si="257"/>
        <v>1900</v>
      </c>
      <c r="Q1867" s="29" t="str">
        <f t="shared" si="258"/>
        <v/>
      </c>
      <c r="R1867" s="29" t="str">
        <f t="shared" si="259"/>
        <v/>
      </c>
    </row>
    <row r="1868" spans="1:18">
      <c r="A1868" s="483">
        <f t="shared" si="260"/>
        <v>1864</v>
      </c>
      <c r="B1868" s="77"/>
      <c r="C1868" s="77"/>
      <c r="D1868" s="858"/>
      <c r="E1868" s="858">
        <f t="shared" si="255"/>
        <v>0</v>
      </c>
      <c r="F1868" s="887">
        <f t="shared" si="256"/>
        <v>1900</v>
      </c>
      <c r="G1868" s="888"/>
      <c r="H1868" s="889"/>
      <c r="I1868" s="888"/>
      <c r="J1868" s="888"/>
      <c r="K1868" s="980"/>
      <c r="L1868" s="77"/>
      <c r="M1868" s="78">
        <f t="shared" ref="M1868:M1931" si="261">+L1868</f>
        <v>0</v>
      </c>
      <c r="N1868" s="748"/>
      <c r="P1868" s="29" t="str">
        <f t="shared" si="257"/>
        <v>1900</v>
      </c>
      <c r="Q1868" s="29" t="str">
        <f t="shared" si="258"/>
        <v/>
      </c>
      <c r="R1868" s="29" t="str">
        <f t="shared" si="259"/>
        <v/>
      </c>
    </row>
    <row r="1869" spans="1:18">
      <c r="A1869" s="483">
        <f t="shared" si="260"/>
        <v>1865</v>
      </c>
      <c r="B1869" s="77"/>
      <c r="C1869" s="77"/>
      <c r="D1869" s="858"/>
      <c r="E1869" s="858">
        <f t="shared" si="255"/>
        <v>0</v>
      </c>
      <c r="F1869" s="887">
        <f t="shared" si="256"/>
        <v>1900</v>
      </c>
      <c r="G1869" s="888"/>
      <c r="H1869" s="889"/>
      <c r="I1869" s="888"/>
      <c r="J1869" s="888"/>
      <c r="K1869" s="980"/>
      <c r="L1869" s="77"/>
      <c r="M1869" s="78">
        <f t="shared" si="261"/>
        <v>0</v>
      </c>
      <c r="N1869" s="748"/>
      <c r="P1869" s="29" t="str">
        <f t="shared" si="257"/>
        <v>1900</v>
      </c>
      <c r="Q1869" s="29" t="str">
        <f t="shared" si="258"/>
        <v/>
      </c>
      <c r="R1869" s="29" t="str">
        <f t="shared" si="259"/>
        <v/>
      </c>
    </row>
    <row r="1870" spans="1:18">
      <c r="A1870" s="483">
        <f t="shared" si="260"/>
        <v>1866</v>
      </c>
      <c r="B1870" s="77"/>
      <c r="C1870" s="77"/>
      <c r="D1870" s="858"/>
      <c r="E1870" s="858">
        <f t="shared" si="255"/>
        <v>0</v>
      </c>
      <c r="F1870" s="887">
        <f t="shared" si="256"/>
        <v>1900</v>
      </c>
      <c r="G1870" s="888"/>
      <c r="H1870" s="889"/>
      <c r="I1870" s="888"/>
      <c r="J1870" s="888"/>
      <c r="K1870" s="980"/>
      <c r="L1870" s="77"/>
      <c r="M1870" s="78">
        <f t="shared" si="261"/>
        <v>0</v>
      </c>
      <c r="N1870" s="748"/>
      <c r="P1870" s="29" t="str">
        <f t="shared" si="257"/>
        <v>1900</v>
      </c>
      <c r="Q1870" s="29" t="str">
        <f t="shared" si="258"/>
        <v/>
      </c>
      <c r="R1870" s="29" t="str">
        <f t="shared" si="259"/>
        <v/>
      </c>
    </row>
    <row r="1871" spans="1:18">
      <c r="A1871" s="483">
        <f t="shared" si="260"/>
        <v>1867</v>
      </c>
      <c r="B1871" s="77"/>
      <c r="C1871" s="77"/>
      <c r="D1871" s="858"/>
      <c r="E1871" s="858">
        <f t="shared" si="255"/>
        <v>0</v>
      </c>
      <c r="F1871" s="887">
        <f t="shared" si="256"/>
        <v>1900</v>
      </c>
      <c r="G1871" s="888"/>
      <c r="H1871" s="889"/>
      <c r="I1871" s="888"/>
      <c r="J1871" s="888"/>
      <c r="K1871" s="980"/>
      <c r="L1871" s="77"/>
      <c r="M1871" s="78">
        <f t="shared" si="261"/>
        <v>0</v>
      </c>
      <c r="N1871" s="748"/>
      <c r="P1871" s="29" t="str">
        <f t="shared" si="257"/>
        <v>1900</v>
      </c>
      <c r="Q1871" s="29" t="str">
        <f t="shared" si="258"/>
        <v/>
      </c>
      <c r="R1871" s="29" t="str">
        <f t="shared" si="259"/>
        <v/>
      </c>
    </row>
    <row r="1872" spans="1:18">
      <c r="A1872" s="483">
        <f t="shared" si="260"/>
        <v>1868</v>
      </c>
      <c r="B1872" s="77"/>
      <c r="C1872" s="77"/>
      <c r="D1872" s="858"/>
      <c r="E1872" s="858">
        <f t="shared" si="255"/>
        <v>0</v>
      </c>
      <c r="F1872" s="887">
        <f t="shared" si="256"/>
        <v>1900</v>
      </c>
      <c r="G1872" s="888"/>
      <c r="H1872" s="889"/>
      <c r="I1872" s="888"/>
      <c r="J1872" s="888"/>
      <c r="K1872" s="980"/>
      <c r="L1872" s="77"/>
      <c r="M1872" s="78">
        <f t="shared" si="261"/>
        <v>0</v>
      </c>
      <c r="N1872" s="748"/>
      <c r="P1872" s="29" t="str">
        <f t="shared" si="257"/>
        <v>1900</v>
      </c>
      <c r="Q1872" s="29" t="str">
        <f t="shared" si="258"/>
        <v/>
      </c>
      <c r="R1872" s="29" t="str">
        <f t="shared" si="259"/>
        <v/>
      </c>
    </row>
    <row r="1873" spans="1:18">
      <c r="A1873" s="483">
        <f t="shared" si="260"/>
        <v>1869</v>
      </c>
      <c r="B1873" s="77"/>
      <c r="C1873" s="77"/>
      <c r="D1873" s="858"/>
      <c r="E1873" s="858">
        <f t="shared" si="255"/>
        <v>0</v>
      </c>
      <c r="F1873" s="887">
        <f t="shared" si="256"/>
        <v>1900</v>
      </c>
      <c r="G1873" s="888"/>
      <c r="H1873" s="889"/>
      <c r="I1873" s="888"/>
      <c r="J1873" s="888"/>
      <c r="K1873" s="980"/>
      <c r="L1873" s="77"/>
      <c r="M1873" s="78">
        <f t="shared" si="261"/>
        <v>0</v>
      </c>
      <c r="N1873" s="748"/>
      <c r="P1873" s="29" t="str">
        <f t="shared" si="257"/>
        <v>1900</v>
      </c>
      <c r="Q1873" s="29" t="str">
        <f t="shared" si="258"/>
        <v/>
      </c>
      <c r="R1873" s="29" t="str">
        <f t="shared" si="259"/>
        <v/>
      </c>
    </row>
    <row r="1874" spans="1:18">
      <c r="A1874" s="483">
        <f t="shared" si="260"/>
        <v>1870</v>
      </c>
      <c r="B1874" s="77"/>
      <c r="C1874" s="77"/>
      <c r="D1874" s="858"/>
      <c r="E1874" s="858">
        <f t="shared" si="255"/>
        <v>0</v>
      </c>
      <c r="F1874" s="887">
        <f t="shared" si="256"/>
        <v>1900</v>
      </c>
      <c r="G1874" s="888"/>
      <c r="H1874" s="889"/>
      <c r="I1874" s="888"/>
      <c r="J1874" s="888"/>
      <c r="K1874" s="980"/>
      <c r="L1874" s="77"/>
      <c r="M1874" s="78">
        <f t="shared" si="261"/>
        <v>0</v>
      </c>
      <c r="N1874" s="748"/>
      <c r="P1874" s="29" t="str">
        <f t="shared" si="257"/>
        <v>1900</v>
      </c>
      <c r="Q1874" s="29" t="str">
        <f t="shared" si="258"/>
        <v/>
      </c>
      <c r="R1874" s="29" t="str">
        <f t="shared" si="259"/>
        <v/>
      </c>
    </row>
    <row r="1875" spans="1:18">
      <c r="A1875" s="483">
        <f t="shared" si="260"/>
        <v>1871</v>
      </c>
      <c r="B1875" s="77"/>
      <c r="C1875" s="77"/>
      <c r="D1875" s="858"/>
      <c r="E1875" s="858">
        <f t="shared" si="255"/>
        <v>0</v>
      </c>
      <c r="F1875" s="887">
        <f t="shared" si="256"/>
        <v>1900</v>
      </c>
      <c r="G1875" s="888"/>
      <c r="H1875" s="889"/>
      <c r="I1875" s="888"/>
      <c r="J1875" s="888"/>
      <c r="K1875" s="980"/>
      <c r="L1875" s="77"/>
      <c r="M1875" s="78">
        <f t="shared" si="261"/>
        <v>0</v>
      </c>
      <c r="N1875" s="748"/>
      <c r="P1875" s="29" t="str">
        <f t="shared" si="257"/>
        <v>1900</v>
      </c>
      <c r="Q1875" s="29" t="str">
        <f t="shared" si="258"/>
        <v/>
      </c>
      <c r="R1875" s="29" t="str">
        <f t="shared" si="259"/>
        <v/>
      </c>
    </row>
    <row r="1876" spans="1:18">
      <c r="A1876" s="483">
        <f t="shared" si="260"/>
        <v>1872</v>
      </c>
      <c r="B1876" s="77"/>
      <c r="C1876" s="77"/>
      <c r="D1876" s="858"/>
      <c r="E1876" s="858">
        <f t="shared" si="255"/>
        <v>0</v>
      </c>
      <c r="F1876" s="887">
        <f t="shared" si="256"/>
        <v>1900</v>
      </c>
      <c r="G1876" s="888"/>
      <c r="H1876" s="889"/>
      <c r="I1876" s="888"/>
      <c r="J1876" s="888"/>
      <c r="K1876" s="980"/>
      <c r="L1876" s="77"/>
      <c r="M1876" s="78">
        <f t="shared" si="261"/>
        <v>0</v>
      </c>
      <c r="N1876" s="748"/>
      <c r="P1876" s="29" t="str">
        <f t="shared" si="257"/>
        <v>1900</v>
      </c>
      <c r="Q1876" s="29" t="str">
        <f t="shared" si="258"/>
        <v/>
      </c>
      <c r="R1876" s="29" t="str">
        <f t="shared" si="259"/>
        <v/>
      </c>
    </row>
    <row r="1877" spans="1:18">
      <c r="A1877" s="483">
        <f t="shared" si="260"/>
        <v>1873</v>
      </c>
      <c r="B1877" s="77"/>
      <c r="C1877" s="77"/>
      <c r="D1877" s="858"/>
      <c r="E1877" s="858">
        <f t="shared" si="255"/>
        <v>0</v>
      </c>
      <c r="F1877" s="887">
        <f t="shared" si="256"/>
        <v>1900</v>
      </c>
      <c r="G1877" s="888"/>
      <c r="H1877" s="889"/>
      <c r="I1877" s="888"/>
      <c r="J1877" s="888"/>
      <c r="K1877" s="980"/>
      <c r="L1877" s="77"/>
      <c r="M1877" s="78">
        <f t="shared" si="261"/>
        <v>0</v>
      </c>
      <c r="N1877" s="748"/>
      <c r="P1877" s="29" t="str">
        <f t="shared" si="257"/>
        <v>1900</v>
      </c>
      <c r="Q1877" s="29" t="str">
        <f t="shared" si="258"/>
        <v/>
      </c>
      <c r="R1877" s="29" t="str">
        <f t="shared" si="259"/>
        <v/>
      </c>
    </row>
    <row r="1878" spans="1:18">
      <c r="A1878" s="483">
        <f t="shared" si="260"/>
        <v>1874</v>
      </c>
      <c r="B1878" s="77"/>
      <c r="C1878" s="77"/>
      <c r="D1878" s="858"/>
      <c r="E1878" s="858">
        <f t="shared" si="255"/>
        <v>0</v>
      </c>
      <c r="F1878" s="887">
        <f t="shared" si="256"/>
        <v>1900</v>
      </c>
      <c r="G1878" s="888"/>
      <c r="H1878" s="889"/>
      <c r="I1878" s="888"/>
      <c r="J1878" s="888"/>
      <c r="K1878" s="980"/>
      <c r="L1878" s="77"/>
      <c r="M1878" s="78">
        <f t="shared" si="261"/>
        <v>0</v>
      </c>
      <c r="N1878" s="748"/>
      <c r="P1878" s="29" t="str">
        <f t="shared" si="257"/>
        <v>1900</v>
      </c>
      <c r="Q1878" s="29" t="str">
        <f t="shared" si="258"/>
        <v/>
      </c>
      <c r="R1878" s="29" t="str">
        <f t="shared" si="259"/>
        <v/>
      </c>
    </row>
    <row r="1879" spans="1:18">
      <c r="A1879" s="483">
        <f t="shared" si="260"/>
        <v>1875</v>
      </c>
      <c r="B1879" s="77"/>
      <c r="C1879" s="77"/>
      <c r="D1879" s="858"/>
      <c r="E1879" s="858">
        <f t="shared" si="255"/>
        <v>0</v>
      </c>
      <c r="F1879" s="887">
        <f t="shared" si="256"/>
        <v>1900</v>
      </c>
      <c r="G1879" s="888"/>
      <c r="H1879" s="889"/>
      <c r="I1879" s="888"/>
      <c r="J1879" s="888"/>
      <c r="K1879" s="980"/>
      <c r="L1879" s="77"/>
      <c r="M1879" s="78">
        <f t="shared" si="261"/>
        <v>0</v>
      </c>
      <c r="N1879" s="748"/>
      <c r="P1879" s="29" t="str">
        <f t="shared" si="257"/>
        <v>1900</v>
      </c>
      <c r="Q1879" s="29" t="str">
        <f t="shared" si="258"/>
        <v/>
      </c>
      <c r="R1879" s="29" t="str">
        <f t="shared" si="259"/>
        <v/>
      </c>
    </row>
    <row r="1880" spans="1:18">
      <c r="A1880" s="483">
        <f t="shared" si="260"/>
        <v>1876</v>
      </c>
      <c r="B1880" s="77"/>
      <c r="C1880" s="77"/>
      <c r="D1880" s="858"/>
      <c r="E1880" s="858">
        <f t="shared" si="255"/>
        <v>0</v>
      </c>
      <c r="F1880" s="887">
        <f t="shared" si="256"/>
        <v>1900</v>
      </c>
      <c r="G1880" s="888"/>
      <c r="H1880" s="889"/>
      <c r="I1880" s="888"/>
      <c r="J1880" s="888"/>
      <c r="K1880" s="980"/>
      <c r="L1880" s="77"/>
      <c r="M1880" s="78">
        <f t="shared" si="261"/>
        <v>0</v>
      </c>
      <c r="N1880" s="748"/>
      <c r="P1880" s="29" t="str">
        <f t="shared" si="257"/>
        <v>1900</v>
      </c>
      <c r="Q1880" s="29" t="str">
        <f t="shared" si="258"/>
        <v/>
      </c>
      <c r="R1880" s="29" t="str">
        <f t="shared" si="259"/>
        <v/>
      </c>
    </row>
    <row r="1881" spans="1:18">
      <c r="A1881" s="483">
        <f t="shared" si="260"/>
        <v>1877</v>
      </c>
      <c r="B1881" s="77"/>
      <c r="C1881" s="77"/>
      <c r="D1881" s="858"/>
      <c r="E1881" s="858">
        <f t="shared" si="255"/>
        <v>0</v>
      </c>
      <c r="F1881" s="887">
        <f t="shared" si="256"/>
        <v>1900</v>
      </c>
      <c r="G1881" s="888"/>
      <c r="H1881" s="889"/>
      <c r="I1881" s="888"/>
      <c r="J1881" s="888"/>
      <c r="K1881" s="980"/>
      <c r="L1881" s="77"/>
      <c r="M1881" s="78">
        <f t="shared" si="261"/>
        <v>0</v>
      </c>
      <c r="N1881" s="748"/>
      <c r="P1881" s="29" t="str">
        <f t="shared" si="257"/>
        <v>1900</v>
      </c>
      <c r="Q1881" s="29" t="str">
        <f t="shared" si="258"/>
        <v/>
      </c>
      <c r="R1881" s="29" t="str">
        <f t="shared" si="259"/>
        <v/>
      </c>
    </row>
    <row r="1882" spans="1:18">
      <c r="A1882" s="483">
        <f t="shared" si="260"/>
        <v>1878</v>
      </c>
      <c r="B1882" s="77"/>
      <c r="C1882" s="77"/>
      <c r="D1882" s="858"/>
      <c r="E1882" s="858">
        <f t="shared" si="255"/>
        <v>0</v>
      </c>
      <c r="F1882" s="887">
        <f t="shared" si="256"/>
        <v>1900</v>
      </c>
      <c r="G1882" s="888"/>
      <c r="H1882" s="889"/>
      <c r="I1882" s="888"/>
      <c r="J1882" s="888"/>
      <c r="K1882" s="980"/>
      <c r="L1882" s="77"/>
      <c r="M1882" s="78">
        <f t="shared" si="261"/>
        <v>0</v>
      </c>
      <c r="N1882" s="748"/>
      <c r="P1882" s="29" t="str">
        <f t="shared" si="257"/>
        <v>1900</v>
      </c>
      <c r="Q1882" s="29" t="str">
        <f t="shared" si="258"/>
        <v/>
      </c>
      <c r="R1882" s="29" t="str">
        <f t="shared" si="259"/>
        <v/>
      </c>
    </row>
    <row r="1883" spans="1:18">
      <c r="A1883" s="483">
        <f t="shared" si="260"/>
        <v>1879</v>
      </c>
      <c r="B1883" s="77"/>
      <c r="C1883" s="77"/>
      <c r="D1883" s="858"/>
      <c r="E1883" s="858">
        <f t="shared" si="255"/>
        <v>0</v>
      </c>
      <c r="F1883" s="887">
        <f t="shared" si="256"/>
        <v>1900</v>
      </c>
      <c r="G1883" s="888"/>
      <c r="H1883" s="889"/>
      <c r="I1883" s="888"/>
      <c r="J1883" s="888"/>
      <c r="K1883" s="980"/>
      <c r="L1883" s="77"/>
      <c r="M1883" s="78">
        <f t="shared" si="261"/>
        <v>0</v>
      </c>
      <c r="N1883" s="748"/>
      <c r="P1883" s="29" t="str">
        <f t="shared" si="257"/>
        <v>1900</v>
      </c>
      <c r="Q1883" s="29" t="str">
        <f t="shared" si="258"/>
        <v/>
      </c>
      <c r="R1883" s="29" t="str">
        <f t="shared" si="259"/>
        <v/>
      </c>
    </row>
    <row r="1884" spans="1:18">
      <c r="A1884" s="483">
        <f t="shared" si="260"/>
        <v>1880</v>
      </c>
      <c r="B1884" s="77"/>
      <c r="C1884" s="77"/>
      <c r="D1884" s="858"/>
      <c r="E1884" s="858">
        <f t="shared" si="255"/>
        <v>0</v>
      </c>
      <c r="F1884" s="887">
        <f t="shared" si="256"/>
        <v>1900</v>
      </c>
      <c r="G1884" s="888"/>
      <c r="H1884" s="889"/>
      <c r="I1884" s="888"/>
      <c r="J1884" s="888"/>
      <c r="K1884" s="980"/>
      <c r="L1884" s="77"/>
      <c r="M1884" s="78">
        <f t="shared" si="261"/>
        <v>0</v>
      </c>
      <c r="N1884" s="748"/>
      <c r="P1884" s="29" t="str">
        <f t="shared" si="257"/>
        <v>1900</v>
      </c>
      <c r="Q1884" s="29" t="str">
        <f t="shared" si="258"/>
        <v/>
      </c>
      <c r="R1884" s="29" t="str">
        <f t="shared" si="259"/>
        <v/>
      </c>
    </row>
    <row r="1885" spans="1:18">
      <c r="A1885" s="483">
        <f t="shared" si="260"/>
        <v>1881</v>
      </c>
      <c r="B1885" s="77"/>
      <c r="C1885" s="77"/>
      <c r="D1885" s="858"/>
      <c r="E1885" s="858">
        <f t="shared" si="255"/>
        <v>0</v>
      </c>
      <c r="F1885" s="887">
        <f t="shared" si="256"/>
        <v>1900</v>
      </c>
      <c r="G1885" s="888"/>
      <c r="H1885" s="889"/>
      <c r="I1885" s="888"/>
      <c r="J1885" s="888"/>
      <c r="K1885" s="980"/>
      <c r="L1885" s="77"/>
      <c r="M1885" s="78">
        <f t="shared" si="261"/>
        <v>0</v>
      </c>
      <c r="N1885" s="748"/>
      <c r="P1885" s="29" t="str">
        <f t="shared" si="257"/>
        <v>1900</v>
      </c>
      <c r="Q1885" s="29" t="str">
        <f t="shared" si="258"/>
        <v/>
      </c>
      <c r="R1885" s="29" t="str">
        <f t="shared" si="259"/>
        <v/>
      </c>
    </row>
    <row r="1886" spans="1:18">
      <c r="A1886" s="483">
        <f t="shared" si="260"/>
        <v>1882</v>
      </c>
      <c r="B1886" s="77"/>
      <c r="C1886" s="77"/>
      <c r="D1886" s="858"/>
      <c r="E1886" s="858">
        <f t="shared" si="255"/>
        <v>0</v>
      </c>
      <c r="F1886" s="887">
        <f t="shared" si="256"/>
        <v>1900</v>
      </c>
      <c r="G1886" s="888"/>
      <c r="H1886" s="889"/>
      <c r="I1886" s="888"/>
      <c r="J1886" s="888"/>
      <c r="K1886" s="980"/>
      <c r="L1886" s="77"/>
      <c r="M1886" s="78">
        <f t="shared" si="261"/>
        <v>0</v>
      </c>
      <c r="N1886" s="748"/>
      <c r="P1886" s="29" t="str">
        <f t="shared" si="257"/>
        <v>1900</v>
      </c>
      <c r="Q1886" s="29" t="str">
        <f t="shared" si="258"/>
        <v/>
      </c>
      <c r="R1886" s="29" t="str">
        <f t="shared" si="259"/>
        <v/>
      </c>
    </row>
    <row r="1887" spans="1:18">
      <c r="A1887" s="483">
        <f t="shared" si="260"/>
        <v>1883</v>
      </c>
      <c r="B1887" s="77"/>
      <c r="C1887" s="77"/>
      <c r="D1887" s="858"/>
      <c r="E1887" s="858">
        <f t="shared" si="255"/>
        <v>0</v>
      </c>
      <c r="F1887" s="887">
        <f t="shared" si="256"/>
        <v>1900</v>
      </c>
      <c r="G1887" s="888"/>
      <c r="H1887" s="889"/>
      <c r="I1887" s="888"/>
      <c r="J1887" s="888"/>
      <c r="K1887" s="980"/>
      <c r="L1887" s="77"/>
      <c r="M1887" s="78">
        <f t="shared" si="261"/>
        <v>0</v>
      </c>
      <c r="N1887" s="748"/>
      <c r="P1887" s="29" t="str">
        <f t="shared" si="257"/>
        <v>1900</v>
      </c>
      <c r="Q1887" s="29" t="str">
        <f t="shared" si="258"/>
        <v/>
      </c>
      <c r="R1887" s="29" t="str">
        <f t="shared" si="259"/>
        <v/>
      </c>
    </row>
    <row r="1888" spans="1:18">
      <c r="A1888" s="483">
        <f t="shared" si="260"/>
        <v>1884</v>
      </c>
      <c r="B1888" s="77"/>
      <c r="C1888" s="77"/>
      <c r="D1888" s="858"/>
      <c r="E1888" s="858">
        <f t="shared" si="255"/>
        <v>0</v>
      </c>
      <c r="F1888" s="887">
        <f t="shared" si="256"/>
        <v>1900</v>
      </c>
      <c r="G1888" s="888"/>
      <c r="H1888" s="889"/>
      <c r="I1888" s="888"/>
      <c r="J1888" s="888"/>
      <c r="K1888" s="980"/>
      <c r="L1888" s="77"/>
      <c r="M1888" s="78">
        <f t="shared" si="261"/>
        <v>0</v>
      </c>
      <c r="N1888" s="748"/>
      <c r="P1888" s="29" t="str">
        <f t="shared" si="257"/>
        <v>1900</v>
      </c>
      <c r="Q1888" s="29" t="str">
        <f t="shared" si="258"/>
        <v/>
      </c>
      <c r="R1888" s="29" t="str">
        <f t="shared" si="259"/>
        <v/>
      </c>
    </row>
    <row r="1889" spans="1:18">
      <c r="A1889" s="483">
        <f t="shared" si="260"/>
        <v>1885</v>
      </c>
      <c r="B1889" s="77"/>
      <c r="C1889" s="77"/>
      <c r="D1889" s="858"/>
      <c r="E1889" s="858">
        <f t="shared" si="255"/>
        <v>0</v>
      </c>
      <c r="F1889" s="887">
        <f t="shared" si="256"/>
        <v>1900</v>
      </c>
      <c r="G1889" s="888"/>
      <c r="H1889" s="889"/>
      <c r="I1889" s="888"/>
      <c r="J1889" s="888"/>
      <c r="K1889" s="980"/>
      <c r="L1889" s="77"/>
      <c r="M1889" s="78">
        <f t="shared" si="261"/>
        <v>0</v>
      </c>
      <c r="N1889" s="748"/>
      <c r="P1889" s="29" t="str">
        <f t="shared" si="257"/>
        <v>1900</v>
      </c>
      <c r="Q1889" s="29" t="str">
        <f t="shared" si="258"/>
        <v/>
      </c>
      <c r="R1889" s="29" t="str">
        <f t="shared" si="259"/>
        <v/>
      </c>
    </row>
    <row r="1890" spans="1:18">
      <c r="A1890" s="483">
        <f t="shared" si="260"/>
        <v>1886</v>
      </c>
      <c r="B1890" s="77"/>
      <c r="C1890" s="77"/>
      <c r="D1890" s="858"/>
      <c r="E1890" s="858">
        <f t="shared" si="255"/>
        <v>0</v>
      </c>
      <c r="F1890" s="887">
        <f t="shared" si="256"/>
        <v>1900</v>
      </c>
      <c r="G1890" s="888"/>
      <c r="H1890" s="889"/>
      <c r="I1890" s="888"/>
      <c r="J1890" s="888"/>
      <c r="K1890" s="980"/>
      <c r="L1890" s="77"/>
      <c r="M1890" s="78">
        <f t="shared" si="261"/>
        <v>0</v>
      </c>
      <c r="N1890" s="748"/>
      <c r="P1890" s="29" t="str">
        <f t="shared" si="257"/>
        <v>1900</v>
      </c>
      <c r="Q1890" s="29" t="str">
        <f t="shared" si="258"/>
        <v/>
      </c>
      <c r="R1890" s="29" t="str">
        <f t="shared" si="259"/>
        <v/>
      </c>
    </row>
    <row r="1891" spans="1:18">
      <c r="A1891" s="483">
        <f t="shared" si="260"/>
        <v>1887</v>
      </c>
      <c r="B1891" s="77"/>
      <c r="C1891" s="77"/>
      <c r="D1891" s="858"/>
      <c r="E1891" s="858">
        <f t="shared" si="255"/>
        <v>0</v>
      </c>
      <c r="F1891" s="887">
        <f t="shared" si="256"/>
        <v>1900</v>
      </c>
      <c r="G1891" s="888"/>
      <c r="H1891" s="889"/>
      <c r="I1891" s="888"/>
      <c r="J1891" s="888"/>
      <c r="K1891" s="980"/>
      <c r="L1891" s="77"/>
      <c r="M1891" s="78">
        <f t="shared" si="261"/>
        <v>0</v>
      </c>
      <c r="N1891" s="748"/>
      <c r="P1891" s="29" t="str">
        <f t="shared" si="257"/>
        <v>1900</v>
      </c>
      <c r="Q1891" s="29" t="str">
        <f t="shared" si="258"/>
        <v/>
      </c>
      <c r="R1891" s="29" t="str">
        <f t="shared" si="259"/>
        <v/>
      </c>
    </row>
    <row r="1892" spans="1:18">
      <c r="A1892" s="483">
        <f t="shared" si="260"/>
        <v>1888</v>
      </c>
      <c r="B1892" s="77"/>
      <c r="C1892" s="77"/>
      <c r="D1892" s="858"/>
      <c r="E1892" s="858">
        <f t="shared" si="255"/>
        <v>0</v>
      </c>
      <c r="F1892" s="887">
        <f t="shared" si="256"/>
        <v>1900</v>
      </c>
      <c r="G1892" s="888"/>
      <c r="H1892" s="889"/>
      <c r="I1892" s="888"/>
      <c r="J1892" s="888"/>
      <c r="K1892" s="980"/>
      <c r="L1892" s="77"/>
      <c r="M1892" s="78">
        <f t="shared" si="261"/>
        <v>0</v>
      </c>
      <c r="N1892" s="748"/>
      <c r="P1892" s="29" t="str">
        <f t="shared" si="257"/>
        <v>1900</v>
      </c>
      <c r="Q1892" s="29" t="str">
        <f t="shared" si="258"/>
        <v/>
      </c>
      <c r="R1892" s="29" t="str">
        <f t="shared" si="259"/>
        <v/>
      </c>
    </row>
    <row r="1893" spans="1:18">
      <c r="A1893" s="483">
        <f t="shared" si="260"/>
        <v>1889</v>
      </c>
      <c r="B1893" s="77"/>
      <c r="C1893" s="77"/>
      <c r="D1893" s="858"/>
      <c r="E1893" s="858">
        <f t="shared" si="255"/>
        <v>0</v>
      </c>
      <c r="F1893" s="887">
        <f t="shared" si="256"/>
        <v>1900</v>
      </c>
      <c r="G1893" s="888"/>
      <c r="H1893" s="889"/>
      <c r="I1893" s="888"/>
      <c r="J1893" s="888"/>
      <c r="K1893" s="980"/>
      <c r="L1893" s="77"/>
      <c r="M1893" s="78">
        <f t="shared" si="261"/>
        <v>0</v>
      </c>
      <c r="N1893" s="748"/>
      <c r="P1893" s="29" t="str">
        <f t="shared" si="257"/>
        <v>1900</v>
      </c>
      <c r="Q1893" s="29" t="str">
        <f t="shared" si="258"/>
        <v/>
      </c>
      <c r="R1893" s="29" t="str">
        <f t="shared" si="259"/>
        <v/>
      </c>
    </row>
    <row r="1894" spans="1:18">
      <c r="A1894" s="483">
        <f t="shared" si="260"/>
        <v>1890</v>
      </c>
      <c r="B1894" s="77"/>
      <c r="C1894" s="77"/>
      <c r="D1894" s="858"/>
      <c r="E1894" s="858">
        <f t="shared" si="255"/>
        <v>0</v>
      </c>
      <c r="F1894" s="887">
        <f t="shared" si="256"/>
        <v>1900</v>
      </c>
      <c r="G1894" s="888"/>
      <c r="H1894" s="889"/>
      <c r="I1894" s="888"/>
      <c r="J1894" s="888"/>
      <c r="K1894" s="980"/>
      <c r="L1894" s="77"/>
      <c r="M1894" s="78">
        <f t="shared" si="261"/>
        <v>0</v>
      </c>
      <c r="N1894" s="748"/>
      <c r="P1894" s="29" t="str">
        <f t="shared" si="257"/>
        <v>1900</v>
      </c>
      <c r="Q1894" s="29" t="str">
        <f t="shared" si="258"/>
        <v/>
      </c>
      <c r="R1894" s="29" t="str">
        <f t="shared" si="259"/>
        <v/>
      </c>
    </row>
    <row r="1895" spans="1:18">
      <c r="A1895" s="483">
        <f t="shared" si="260"/>
        <v>1891</v>
      </c>
      <c r="B1895" s="77"/>
      <c r="C1895" s="77"/>
      <c r="D1895" s="858"/>
      <c r="E1895" s="858">
        <f t="shared" si="255"/>
        <v>0</v>
      </c>
      <c r="F1895" s="887">
        <f t="shared" si="256"/>
        <v>1900</v>
      </c>
      <c r="G1895" s="888"/>
      <c r="H1895" s="889"/>
      <c r="I1895" s="888"/>
      <c r="J1895" s="888"/>
      <c r="K1895" s="980"/>
      <c r="L1895" s="77"/>
      <c r="M1895" s="78">
        <f t="shared" si="261"/>
        <v>0</v>
      </c>
      <c r="N1895" s="748"/>
      <c r="P1895" s="29" t="str">
        <f t="shared" si="257"/>
        <v>1900</v>
      </c>
      <c r="Q1895" s="29" t="str">
        <f t="shared" si="258"/>
        <v/>
      </c>
      <c r="R1895" s="29" t="str">
        <f t="shared" si="259"/>
        <v/>
      </c>
    </row>
    <row r="1896" spans="1:18">
      <c r="A1896" s="483">
        <f t="shared" si="260"/>
        <v>1892</v>
      </c>
      <c r="B1896" s="77"/>
      <c r="C1896" s="77"/>
      <c r="D1896" s="858"/>
      <c r="E1896" s="858">
        <f t="shared" si="255"/>
        <v>0</v>
      </c>
      <c r="F1896" s="887">
        <f t="shared" si="256"/>
        <v>1900</v>
      </c>
      <c r="G1896" s="888"/>
      <c r="H1896" s="889"/>
      <c r="I1896" s="888"/>
      <c r="J1896" s="888"/>
      <c r="K1896" s="980"/>
      <c r="L1896" s="77"/>
      <c r="M1896" s="78">
        <f t="shared" si="261"/>
        <v>0</v>
      </c>
      <c r="N1896" s="748"/>
      <c r="P1896" s="29" t="str">
        <f t="shared" si="257"/>
        <v>1900</v>
      </c>
      <c r="Q1896" s="29" t="str">
        <f t="shared" si="258"/>
        <v/>
      </c>
      <c r="R1896" s="29" t="str">
        <f t="shared" si="259"/>
        <v/>
      </c>
    </row>
    <row r="1897" spans="1:18">
      <c r="A1897" s="483">
        <f t="shared" si="260"/>
        <v>1893</v>
      </c>
      <c r="B1897" s="77"/>
      <c r="C1897" s="77"/>
      <c r="D1897" s="858"/>
      <c r="E1897" s="858">
        <f t="shared" si="255"/>
        <v>0</v>
      </c>
      <c r="F1897" s="887">
        <f t="shared" si="256"/>
        <v>1900</v>
      </c>
      <c r="G1897" s="888"/>
      <c r="H1897" s="889"/>
      <c r="I1897" s="888"/>
      <c r="J1897" s="888"/>
      <c r="K1897" s="980"/>
      <c r="L1897" s="77"/>
      <c r="M1897" s="78">
        <f t="shared" si="261"/>
        <v>0</v>
      </c>
      <c r="N1897" s="748"/>
      <c r="P1897" s="29" t="str">
        <f t="shared" si="257"/>
        <v>1900</v>
      </c>
      <c r="Q1897" s="29" t="str">
        <f t="shared" si="258"/>
        <v/>
      </c>
      <c r="R1897" s="29" t="str">
        <f t="shared" si="259"/>
        <v/>
      </c>
    </row>
    <row r="1898" spans="1:18">
      <c r="A1898" s="483">
        <f t="shared" si="260"/>
        <v>1894</v>
      </c>
      <c r="B1898" s="77"/>
      <c r="C1898" s="77"/>
      <c r="D1898" s="858"/>
      <c r="E1898" s="858">
        <f t="shared" si="255"/>
        <v>0</v>
      </c>
      <c r="F1898" s="887">
        <f t="shared" si="256"/>
        <v>1900</v>
      </c>
      <c r="G1898" s="888"/>
      <c r="H1898" s="889"/>
      <c r="I1898" s="888"/>
      <c r="J1898" s="888"/>
      <c r="K1898" s="980"/>
      <c r="L1898" s="77"/>
      <c r="M1898" s="78">
        <f t="shared" si="261"/>
        <v>0</v>
      </c>
      <c r="N1898" s="748"/>
      <c r="P1898" s="29" t="str">
        <f t="shared" si="257"/>
        <v>1900</v>
      </c>
      <c r="Q1898" s="29" t="str">
        <f t="shared" si="258"/>
        <v/>
      </c>
      <c r="R1898" s="29" t="str">
        <f t="shared" si="259"/>
        <v/>
      </c>
    </row>
    <row r="1899" spans="1:18">
      <c r="A1899" s="483">
        <f t="shared" si="260"/>
        <v>1895</v>
      </c>
      <c r="B1899" s="77"/>
      <c r="C1899" s="77"/>
      <c r="D1899" s="858"/>
      <c r="E1899" s="858">
        <f t="shared" si="255"/>
        <v>0</v>
      </c>
      <c r="F1899" s="887">
        <f t="shared" si="256"/>
        <v>1900</v>
      </c>
      <c r="G1899" s="888"/>
      <c r="H1899" s="889"/>
      <c r="I1899" s="888"/>
      <c r="J1899" s="888"/>
      <c r="K1899" s="980"/>
      <c r="L1899" s="77"/>
      <c r="M1899" s="78">
        <f t="shared" si="261"/>
        <v>0</v>
      </c>
      <c r="N1899" s="748"/>
      <c r="P1899" s="29" t="str">
        <f t="shared" si="257"/>
        <v>1900</v>
      </c>
      <c r="Q1899" s="29" t="str">
        <f t="shared" si="258"/>
        <v/>
      </c>
      <c r="R1899" s="29" t="str">
        <f t="shared" si="259"/>
        <v/>
      </c>
    </row>
    <row r="1900" spans="1:18">
      <c r="A1900" s="483">
        <f t="shared" si="260"/>
        <v>1896</v>
      </c>
      <c r="B1900" s="77"/>
      <c r="C1900" s="77"/>
      <c r="D1900" s="858"/>
      <c r="E1900" s="858">
        <f t="shared" si="255"/>
        <v>0</v>
      </c>
      <c r="F1900" s="887">
        <f t="shared" si="256"/>
        <v>1900</v>
      </c>
      <c r="G1900" s="888"/>
      <c r="H1900" s="889"/>
      <c r="I1900" s="888"/>
      <c r="J1900" s="888"/>
      <c r="K1900" s="980"/>
      <c r="L1900" s="77"/>
      <c r="M1900" s="78">
        <f t="shared" si="261"/>
        <v>0</v>
      </c>
      <c r="N1900" s="748"/>
      <c r="P1900" s="29" t="str">
        <f t="shared" si="257"/>
        <v>1900</v>
      </c>
      <c r="Q1900" s="29" t="str">
        <f t="shared" si="258"/>
        <v/>
      </c>
      <c r="R1900" s="29" t="str">
        <f t="shared" si="259"/>
        <v/>
      </c>
    </row>
    <row r="1901" spans="1:18">
      <c r="A1901" s="483">
        <f t="shared" si="260"/>
        <v>1897</v>
      </c>
      <c r="B1901" s="77"/>
      <c r="C1901" s="77"/>
      <c r="D1901" s="858"/>
      <c r="E1901" s="858">
        <f t="shared" si="255"/>
        <v>0</v>
      </c>
      <c r="F1901" s="887">
        <f t="shared" si="256"/>
        <v>1900</v>
      </c>
      <c r="G1901" s="888"/>
      <c r="H1901" s="889"/>
      <c r="I1901" s="888"/>
      <c r="J1901" s="888"/>
      <c r="K1901" s="980"/>
      <c r="L1901" s="77"/>
      <c r="M1901" s="78">
        <f t="shared" si="261"/>
        <v>0</v>
      </c>
      <c r="N1901" s="748"/>
      <c r="P1901" s="29" t="str">
        <f t="shared" si="257"/>
        <v>1900</v>
      </c>
      <c r="Q1901" s="29" t="str">
        <f t="shared" si="258"/>
        <v/>
      </c>
      <c r="R1901" s="29" t="str">
        <f t="shared" si="259"/>
        <v/>
      </c>
    </row>
    <row r="1902" spans="1:18">
      <c r="A1902" s="483">
        <f t="shared" si="260"/>
        <v>1898</v>
      </c>
      <c r="B1902" s="77"/>
      <c r="C1902" s="77"/>
      <c r="D1902" s="858"/>
      <c r="E1902" s="858">
        <f t="shared" si="255"/>
        <v>0</v>
      </c>
      <c r="F1902" s="887">
        <f t="shared" si="256"/>
        <v>1900</v>
      </c>
      <c r="G1902" s="888"/>
      <c r="H1902" s="889"/>
      <c r="I1902" s="888"/>
      <c r="J1902" s="888"/>
      <c r="K1902" s="980"/>
      <c r="L1902" s="77"/>
      <c r="M1902" s="78">
        <f t="shared" si="261"/>
        <v>0</v>
      </c>
      <c r="N1902" s="748"/>
      <c r="P1902" s="29" t="str">
        <f t="shared" si="257"/>
        <v>1900</v>
      </c>
      <c r="Q1902" s="29" t="str">
        <f t="shared" si="258"/>
        <v/>
      </c>
      <c r="R1902" s="29" t="str">
        <f t="shared" si="259"/>
        <v/>
      </c>
    </row>
    <row r="1903" spans="1:18">
      <c r="A1903" s="483">
        <f t="shared" si="260"/>
        <v>1899</v>
      </c>
      <c r="B1903" s="77"/>
      <c r="C1903" s="77"/>
      <c r="D1903" s="858"/>
      <c r="E1903" s="858">
        <f t="shared" ref="E1903:E1966" si="262">DAY(C1903)</f>
        <v>0</v>
      </c>
      <c r="F1903" s="887">
        <f t="shared" ref="F1903:F1966" si="263">YEAR(C1903)</f>
        <v>1900</v>
      </c>
      <c r="G1903" s="888"/>
      <c r="H1903" s="889"/>
      <c r="I1903" s="888"/>
      <c r="J1903" s="888"/>
      <c r="K1903" s="980"/>
      <c r="L1903" s="77"/>
      <c r="M1903" s="78">
        <f t="shared" si="261"/>
        <v>0</v>
      </c>
      <c r="N1903" s="748"/>
      <c r="P1903" s="29" t="str">
        <f t="shared" ref="P1903:P1966" si="264">CONCATENATE(F1903,H1903)</f>
        <v>1900</v>
      </c>
      <c r="Q1903" s="29" t="str">
        <f t="shared" ref="Q1903:Q1966" si="265">CONCATENATE(H1903,K1903)</f>
        <v/>
      </c>
      <c r="R1903" s="29" t="str">
        <f t="shared" ref="R1903:R1966" si="266">CONCATENATE(D1903,H1903)</f>
        <v/>
      </c>
    </row>
    <row r="1904" spans="1:18">
      <c r="A1904" s="483">
        <f t="shared" si="260"/>
        <v>1900</v>
      </c>
      <c r="B1904" s="77"/>
      <c r="C1904" s="77"/>
      <c r="D1904" s="858"/>
      <c r="E1904" s="858">
        <f t="shared" si="262"/>
        <v>0</v>
      </c>
      <c r="F1904" s="887">
        <f t="shared" si="263"/>
        <v>1900</v>
      </c>
      <c r="G1904" s="888"/>
      <c r="H1904" s="889"/>
      <c r="I1904" s="888"/>
      <c r="J1904" s="888"/>
      <c r="K1904" s="980"/>
      <c r="L1904" s="77"/>
      <c r="M1904" s="78">
        <f t="shared" si="261"/>
        <v>0</v>
      </c>
      <c r="N1904" s="748"/>
      <c r="P1904" s="29" t="str">
        <f t="shared" si="264"/>
        <v>1900</v>
      </c>
      <c r="Q1904" s="29" t="str">
        <f t="shared" si="265"/>
        <v/>
      </c>
      <c r="R1904" s="29" t="str">
        <f t="shared" si="266"/>
        <v/>
      </c>
    </row>
    <row r="1905" spans="1:18">
      <c r="A1905" s="483">
        <f t="shared" si="260"/>
        <v>1901</v>
      </c>
      <c r="B1905" s="77"/>
      <c r="C1905" s="77"/>
      <c r="D1905" s="858"/>
      <c r="E1905" s="858">
        <f t="shared" si="262"/>
        <v>0</v>
      </c>
      <c r="F1905" s="887">
        <f t="shared" si="263"/>
        <v>1900</v>
      </c>
      <c r="G1905" s="888"/>
      <c r="H1905" s="889"/>
      <c r="I1905" s="888"/>
      <c r="J1905" s="888"/>
      <c r="K1905" s="980"/>
      <c r="L1905" s="77"/>
      <c r="M1905" s="78">
        <f t="shared" si="261"/>
        <v>0</v>
      </c>
      <c r="N1905" s="748"/>
      <c r="P1905" s="29" t="str">
        <f t="shared" si="264"/>
        <v>1900</v>
      </c>
      <c r="Q1905" s="29" t="str">
        <f t="shared" si="265"/>
        <v/>
      </c>
      <c r="R1905" s="29" t="str">
        <f t="shared" si="266"/>
        <v/>
      </c>
    </row>
    <row r="1906" spans="1:18">
      <c r="A1906" s="483">
        <f t="shared" si="260"/>
        <v>1902</v>
      </c>
      <c r="B1906" s="77"/>
      <c r="C1906" s="77"/>
      <c r="D1906" s="858"/>
      <c r="E1906" s="858">
        <f t="shared" si="262"/>
        <v>0</v>
      </c>
      <c r="F1906" s="887">
        <f t="shared" si="263"/>
        <v>1900</v>
      </c>
      <c r="G1906" s="888"/>
      <c r="H1906" s="889"/>
      <c r="I1906" s="888"/>
      <c r="J1906" s="888"/>
      <c r="K1906" s="980"/>
      <c r="L1906" s="77"/>
      <c r="M1906" s="78">
        <f t="shared" si="261"/>
        <v>0</v>
      </c>
      <c r="N1906" s="748"/>
      <c r="P1906" s="29" t="str">
        <f t="shared" si="264"/>
        <v>1900</v>
      </c>
      <c r="Q1906" s="29" t="str">
        <f t="shared" si="265"/>
        <v/>
      </c>
      <c r="R1906" s="29" t="str">
        <f t="shared" si="266"/>
        <v/>
      </c>
    </row>
    <row r="1907" spans="1:18">
      <c r="A1907" s="483">
        <f t="shared" si="260"/>
        <v>1903</v>
      </c>
      <c r="B1907" s="77"/>
      <c r="C1907" s="77"/>
      <c r="D1907" s="858"/>
      <c r="E1907" s="858">
        <f t="shared" si="262"/>
        <v>0</v>
      </c>
      <c r="F1907" s="887">
        <f t="shared" si="263"/>
        <v>1900</v>
      </c>
      <c r="G1907" s="888"/>
      <c r="H1907" s="889"/>
      <c r="I1907" s="888"/>
      <c r="J1907" s="888"/>
      <c r="K1907" s="980"/>
      <c r="L1907" s="77"/>
      <c r="M1907" s="78">
        <f t="shared" si="261"/>
        <v>0</v>
      </c>
      <c r="N1907" s="748"/>
      <c r="P1907" s="29" t="str">
        <f t="shared" si="264"/>
        <v>1900</v>
      </c>
      <c r="Q1907" s="29" t="str">
        <f t="shared" si="265"/>
        <v/>
      </c>
      <c r="R1907" s="29" t="str">
        <f t="shared" si="266"/>
        <v/>
      </c>
    </row>
    <row r="1908" spans="1:18">
      <c r="A1908" s="483">
        <f t="shared" si="260"/>
        <v>1904</v>
      </c>
      <c r="B1908" s="77"/>
      <c r="C1908" s="77"/>
      <c r="D1908" s="858"/>
      <c r="E1908" s="858">
        <f t="shared" si="262"/>
        <v>0</v>
      </c>
      <c r="F1908" s="887">
        <f t="shared" si="263"/>
        <v>1900</v>
      </c>
      <c r="G1908" s="888"/>
      <c r="H1908" s="889"/>
      <c r="I1908" s="888"/>
      <c r="J1908" s="888"/>
      <c r="K1908" s="980"/>
      <c r="L1908" s="77"/>
      <c r="M1908" s="78">
        <f t="shared" si="261"/>
        <v>0</v>
      </c>
      <c r="N1908" s="748"/>
      <c r="P1908" s="29" t="str">
        <f t="shared" si="264"/>
        <v>1900</v>
      </c>
      <c r="Q1908" s="29" t="str">
        <f t="shared" si="265"/>
        <v/>
      </c>
      <c r="R1908" s="29" t="str">
        <f t="shared" si="266"/>
        <v/>
      </c>
    </row>
    <row r="1909" spans="1:18">
      <c r="A1909" s="483">
        <f t="shared" si="260"/>
        <v>1905</v>
      </c>
      <c r="B1909" s="77"/>
      <c r="C1909" s="77"/>
      <c r="D1909" s="858"/>
      <c r="E1909" s="858">
        <f t="shared" si="262"/>
        <v>0</v>
      </c>
      <c r="F1909" s="887">
        <f t="shared" si="263"/>
        <v>1900</v>
      </c>
      <c r="G1909" s="888"/>
      <c r="H1909" s="889"/>
      <c r="I1909" s="888"/>
      <c r="J1909" s="888"/>
      <c r="K1909" s="980"/>
      <c r="L1909" s="77"/>
      <c r="M1909" s="78">
        <f t="shared" si="261"/>
        <v>0</v>
      </c>
      <c r="N1909" s="748"/>
      <c r="P1909" s="29" t="str">
        <f t="shared" si="264"/>
        <v>1900</v>
      </c>
      <c r="Q1909" s="29" t="str">
        <f t="shared" si="265"/>
        <v/>
      </c>
      <c r="R1909" s="29" t="str">
        <f t="shared" si="266"/>
        <v/>
      </c>
    </row>
    <row r="1910" spans="1:18">
      <c r="A1910" s="483">
        <f t="shared" si="260"/>
        <v>1906</v>
      </c>
      <c r="B1910" s="77"/>
      <c r="C1910" s="77"/>
      <c r="D1910" s="858"/>
      <c r="E1910" s="858">
        <f t="shared" si="262"/>
        <v>0</v>
      </c>
      <c r="F1910" s="887">
        <f t="shared" si="263"/>
        <v>1900</v>
      </c>
      <c r="G1910" s="888"/>
      <c r="H1910" s="889"/>
      <c r="I1910" s="888"/>
      <c r="J1910" s="888"/>
      <c r="K1910" s="980"/>
      <c r="L1910" s="77"/>
      <c r="M1910" s="78">
        <f t="shared" si="261"/>
        <v>0</v>
      </c>
      <c r="N1910" s="748"/>
      <c r="P1910" s="29" t="str">
        <f t="shared" si="264"/>
        <v>1900</v>
      </c>
      <c r="Q1910" s="29" t="str">
        <f t="shared" si="265"/>
        <v/>
      </c>
      <c r="R1910" s="29" t="str">
        <f t="shared" si="266"/>
        <v/>
      </c>
    </row>
    <row r="1911" spans="1:18">
      <c r="A1911" s="483">
        <f t="shared" si="260"/>
        <v>1907</v>
      </c>
      <c r="B1911" s="77"/>
      <c r="C1911" s="77"/>
      <c r="D1911" s="858"/>
      <c r="E1911" s="858">
        <f t="shared" si="262"/>
        <v>0</v>
      </c>
      <c r="F1911" s="887">
        <f t="shared" si="263"/>
        <v>1900</v>
      </c>
      <c r="G1911" s="888"/>
      <c r="H1911" s="889"/>
      <c r="I1911" s="888"/>
      <c r="J1911" s="888"/>
      <c r="K1911" s="980"/>
      <c r="L1911" s="77"/>
      <c r="M1911" s="78">
        <f t="shared" si="261"/>
        <v>0</v>
      </c>
      <c r="N1911" s="748"/>
      <c r="P1911" s="29" t="str">
        <f t="shared" si="264"/>
        <v>1900</v>
      </c>
      <c r="Q1911" s="29" t="str">
        <f t="shared" si="265"/>
        <v/>
      </c>
      <c r="R1911" s="29" t="str">
        <f t="shared" si="266"/>
        <v/>
      </c>
    </row>
    <row r="1912" spans="1:18">
      <c r="A1912" s="483">
        <f t="shared" si="260"/>
        <v>1908</v>
      </c>
      <c r="B1912" s="77"/>
      <c r="C1912" s="77"/>
      <c r="D1912" s="858"/>
      <c r="E1912" s="858">
        <f t="shared" si="262"/>
        <v>0</v>
      </c>
      <c r="F1912" s="887">
        <f t="shared" si="263"/>
        <v>1900</v>
      </c>
      <c r="G1912" s="888"/>
      <c r="H1912" s="889"/>
      <c r="I1912" s="888"/>
      <c r="J1912" s="888"/>
      <c r="K1912" s="980"/>
      <c r="L1912" s="77"/>
      <c r="M1912" s="78">
        <f t="shared" si="261"/>
        <v>0</v>
      </c>
      <c r="N1912" s="748"/>
      <c r="P1912" s="29" t="str">
        <f t="shared" si="264"/>
        <v>1900</v>
      </c>
      <c r="Q1912" s="29" t="str">
        <f t="shared" si="265"/>
        <v/>
      </c>
      <c r="R1912" s="29" t="str">
        <f t="shared" si="266"/>
        <v/>
      </c>
    </row>
    <row r="1913" spans="1:18">
      <c r="A1913" s="483">
        <f t="shared" si="260"/>
        <v>1909</v>
      </c>
      <c r="B1913" s="77"/>
      <c r="C1913" s="77"/>
      <c r="D1913" s="858"/>
      <c r="E1913" s="858">
        <f t="shared" si="262"/>
        <v>0</v>
      </c>
      <c r="F1913" s="887">
        <f t="shared" si="263"/>
        <v>1900</v>
      </c>
      <c r="G1913" s="888"/>
      <c r="H1913" s="889"/>
      <c r="I1913" s="888"/>
      <c r="J1913" s="888"/>
      <c r="K1913" s="980"/>
      <c r="L1913" s="77"/>
      <c r="M1913" s="78">
        <f t="shared" si="261"/>
        <v>0</v>
      </c>
      <c r="N1913" s="748"/>
      <c r="P1913" s="29" t="str">
        <f t="shared" si="264"/>
        <v>1900</v>
      </c>
      <c r="Q1913" s="29" t="str">
        <f t="shared" si="265"/>
        <v/>
      </c>
      <c r="R1913" s="29" t="str">
        <f t="shared" si="266"/>
        <v/>
      </c>
    </row>
    <row r="1914" spans="1:18">
      <c r="A1914" s="483">
        <f t="shared" si="260"/>
        <v>1910</v>
      </c>
      <c r="B1914" s="77"/>
      <c r="C1914" s="77"/>
      <c r="D1914" s="858"/>
      <c r="E1914" s="858">
        <f t="shared" si="262"/>
        <v>0</v>
      </c>
      <c r="F1914" s="887">
        <f t="shared" si="263"/>
        <v>1900</v>
      </c>
      <c r="G1914" s="888"/>
      <c r="H1914" s="889"/>
      <c r="I1914" s="888"/>
      <c r="J1914" s="888"/>
      <c r="K1914" s="980"/>
      <c r="L1914" s="77"/>
      <c r="M1914" s="78">
        <f t="shared" si="261"/>
        <v>0</v>
      </c>
      <c r="N1914" s="748"/>
      <c r="P1914" s="29" t="str">
        <f t="shared" si="264"/>
        <v>1900</v>
      </c>
      <c r="Q1914" s="29" t="str">
        <f t="shared" si="265"/>
        <v/>
      </c>
      <c r="R1914" s="29" t="str">
        <f t="shared" si="266"/>
        <v/>
      </c>
    </row>
    <row r="1915" spans="1:18">
      <c r="A1915" s="483">
        <f t="shared" si="260"/>
        <v>1911</v>
      </c>
      <c r="B1915" s="77"/>
      <c r="C1915" s="77"/>
      <c r="D1915" s="858"/>
      <c r="E1915" s="858">
        <f t="shared" si="262"/>
        <v>0</v>
      </c>
      <c r="F1915" s="887">
        <f t="shared" si="263"/>
        <v>1900</v>
      </c>
      <c r="G1915" s="888"/>
      <c r="H1915" s="889"/>
      <c r="I1915" s="888"/>
      <c r="J1915" s="888"/>
      <c r="K1915" s="980"/>
      <c r="L1915" s="77"/>
      <c r="M1915" s="78">
        <f t="shared" si="261"/>
        <v>0</v>
      </c>
      <c r="N1915" s="748"/>
      <c r="P1915" s="29" t="str">
        <f t="shared" si="264"/>
        <v>1900</v>
      </c>
      <c r="Q1915" s="29" t="str">
        <f t="shared" si="265"/>
        <v/>
      </c>
      <c r="R1915" s="29" t="str">
        <f t="shared" si="266"/>
        <v/>
      </c>
    </row>
    <row r="1916" spans="1:18">
      <c r="A1916" s="483">
        <f t="shared" si="260"/>
        <v>1912</v>
      </c>
      <c r="B1916" s="77"/>
      <c r="C1916" s="77"/>
      <c r="D1916" s="858"/>
      <c r="E1916" s="858">
        <f t="shared" si="262"/>
        <v>0</v>
      </c>
      <c r="F1916" s="887">
        <f t="shared" si="263"/>
        <v>1900</v>
      </c>
      <c r="G1916" s="888"/>
      <c r="H1916" s="889"/>
      <c r="I1916" s="888"/>
      <c r="J1916" s="888"/>
      <c r="K1916" s="980"/>
      <c r="L1916" s="77"/>
      <c r="M1916" s="78">
        <f t="shared" si="261"/>
        <v>0</v>
      </c>
      <c r="N1916" s="748"/>
      <c r="P1916" s="29" t="str">
        <f t="shared" si="264"/>
        <v>1900</v>
      </c>
      <c r="Q1916" s="29" t="str">
        <f t="shared" si="265"/>
        <v/>
      </c>
      <c r="R1916" s="29" t="str">
        <f t="shared" si="266"/>
        <v/>
      </c>
    </row>
    <row r="1917" spans="1:18">
      <c r="A1917" s="483">
        <f t="shared" si="260"/>
        <v>1913</v>
      </c>
      <c r="B1917" s="77"/>
      <c r="C1917" s="77"/>
      <c r="D1917" s="858"/>
      <c r="E1917" s="858">
        <f t="shared" si="262"/>
        <v>0</v>
      </c>
      <c r="F1917" s="887">
        <f t="shared" si="263"/>
        <v>1900</v>
      </c>
      <c r="G1917" s="888"/>
      <c r="H1917" s="889"/>
      <c r="I1917" s="888"/>
      <c r="J1917" s="888"/>
      <c r="K1917" s="980"/>
      <c r="L1917" s="77"/>
      <c r="M1917" s="78">
        <f t="shared" si="261"/>
        <v>0</v>
      </c>
      <c r="N1917" s="748"/>
      <c r="P1917" s="29" t="str">
        <f t="shared" si="264"/>
        <v>1900</v>
      </c>
      <c r="Q1917" s="29" t="str">
        <f t="shared" si="265"/>
        <v/>
      </c>
      <c r="R1917" s="29" t="str">
        <f t="shared" si="266"/>
        <v/>
      </c>
    </row>
    <row r="1918" spans="1:18">
      <c r="A1918" s="483">
        <f t="shared" si="260"/>
        <v>1914</v>
      </c>
      <c r="B1918" s="77"/>
      <c r="C1918" s="77"/>
      <c r="D1918" s="858"/>
      <c r="E1918" s="858">
        <f t="shared" si="262"/>
        <v>0</v>
      </c>
      <c r="F1918" s="887">
        <f t="shared" si="263"/>
        <v>1900</v>
      </c>
      <c r="G1918" s="888"/>
      <c r="H1918" s="889"/>
      <c r="I1918" s="888"/>
      <c r="J1918" s="888"/>
      <c r="K1918" s="980"/>
      <c r="L1918" s="77"/>
      <c r="M1918" s="78">
        <f t="shared" si="261"/>
        <v>0</v>
      </c>
      <c r="N1918" s="748"/>
      <c r="P1918" s="29" t="str">
        <f t="shared" si="264"/>
        <v>1900</v>
      </c>
      <c r="Q1918" s="29" t="str">
        <f t="shared" si="265"/>
        <v/>
      </c>
      <c r="R1918" s="29" t="str">
        <f t="shared" si="266"/>
        <v/>
      </c>
    </row>
    <row r="1919" spans="1:18">
      <c r="A1919" s="483">
        <f t="shared" si="260"/>
        <v>1915</v>
      </c>
      <c r="B1919" s="77"/>
      <c r="C1919" s="77"/>
      <c r="D1919" s="858"/>
      <c r="E1919" s="858">
        <f t="shared" si="262"/>
        <v>0</v>
      </c>
      <c r="F1919" s="887">
        <f t="shared" si="263"/>
        <v>1900</v>
      </c>
      <c r="G1919" s="888"/>
      <c r="H1919" s="889"/>
      <c r="I1919" s="888"/>
      <c r="J1919" s="888"/>
      <c r="K1919" s="980"/>
      <c r="L1919" s="77"/>
      <c r="M1919" s="78">
        <f t="shared" si="261"/>
        <v>0</v>
      </c>
      <c r="N1919" s="748"/>
      <c r="P1919" s="29" t="str">
        <f t="shared" si="264"/>
        <v>1900</v>
      </c>
      <c r="Q1919" s="29" t="str">
        <f t="shared" si="265"/>
        <v/>
      </c>
      <c r="R1919" s="29" t="str">
        <f t="shared" si="266"/>
        <v/>
      </c>
    </row>
    <row r="1920" spans="1:18">
      <c r="A1920" s="483">
        <f t="shared" si="260"/>
        <v>1916</v>
      </c>
      <c r="B1920" s="77"/>
      <c r="C1920" s="77"/>
      <c r="D1920" s="858"/>
      <c r="E1920" s="858">
        <f t="shared" si="262"/>
        <v>0</v>
      </c>
      <c r="F1920" s="887">
        <f t="shared" si="263"/>
        <v>1900</v>
      </c>
      <c r="G1920" s="888"/>
      <c r="H1920" s="889"/>
      <c r="I1920" s="888"/>
      <c r="J1920" s="888"/>
      <c r="K1920" s="980"/>
      <c r="L1920" s="77"/>
      <c r="M1920" s="78">
        <f t="shared" si="261"/>
        <v>0</v>
      </c>
      <c r="N1920" s="748"/>
      <c r="P1920" s="29" t="str">
        <f t="shared" si="264"/>
        <v>1900</v>
      </c>
      <c r="Q1920" s="29" t="str">
        <f t="shared" si="265"/>
        <v/>
      </c>
      <c r="R1920" s="29" t="str">
        <f t="shared" si="266"/>
        <v/>
      </c>
    </row>
    <row r="1921" spans="1:18">
      <c r="A1921" s="483">
        <f t="shared" si="260"/>
        <v>1917</v>
      </c>
      <c r="B1921" s="77"/>
      <c r="C1921" s="77"/>
      <c r="D1921" s="858"/>
      <c r="E1921" s="858">
        <f t="shared" si="262"/>
        <v>0</v>
      </c>
      <c r="F1921" s="887">
        <f t="shared" si="263"/>
        <v>1900</v>
      </c>
      <c r="G1921" s="888"/>
      <c r="H1921" s="889"/>
      <c r="I1921" s="888"/>
      <c r="J1921" s="888"/>
      <c r="K1921" s="980"/>
      <c r="L1921" s="77"/>
      <c r="M1921" s="78">
        <f t="shared" si="261"/>
        <v>0</v>
      </c>
      <c r="N1921" s="748"/>
      <c r="P1921" s="29" t="str">
        <f t="shared" si="264"/>
        <v>1900</v>
      </c>
      <c r="Q1921" s="29" t="str">
        <f t="shared" si="265"/>
        <v/>
      </c>
      <c r="R1921" s="29" t="str">
        <f t="shared" si="266"/>
        <v/>
      </c>
    </row>
    <row r="1922" spans="1:18">
      <c r="A1922" s="483">
        <f t="shared" si="260"/>
        <v>1918</v>
      </c>
      <c r="B1922" s="77"/>
      <c r="C1922" s="77"/>
      <c r="D1922" s="858"/>
      <c r="E1922" s="858">
        <f t="shared" si="262"/>
        <v>0</v>
      </c>
      <c r="F1922" s="887">
        <f t="shared" si="263"/>
        <v>1900</v>
      </c>
      <c r="G1922" s="888"/>
      <c r="H1922" s="889"/>
      <c r="I1922" s="888"/>
      <c r="J1922" s="888"/>
      <c r="K1922" s="980"/>
      <c r="L1922" s="77"/>
      <c r="M1922" s="78">
        <f t="shared" si="261"/>
        <v>0</v>
      </c>
      <c r="N1922" s="748"/>
      <c r="P1922" s="29" t="str">
        <f t="shared" si="264"/>
        <v>1900</v>
      </c>
      <c r="Q1922" s="29" t="str">
        <f t="shared" si="265"/>
        <v/>
      </c>
      <c r="R1922" s="29" t="str">
        <f t="shared" si="266"/>
        <v/>
      </c>
    </row>
    <row r="1923" spans="1:18">
      <c r="A1923" s="483">
        <f t="shared" si="260"/>
        <v>1919</v>
      </c>
      <c r="B1923" s="77"/>
      <c r="C1923" s="77"/>
      <c r="D1923" s="858"/>
      <c r="E1923" s="858">
        <f t="shared" si="262"/>
        <v>0</v>
      </c>
      <c r="F1923" s="887">
        <f t="shared" si="263"/>
        <v>1900</v>
      </c>
      <c r="G1923" s="888"/>
      <c r="H1923" s="889"/>
      <c r="I1923" s="888"/>
      <c r="J1923" s="888"/>
      <c r="K1923" s="980"/>
      <c r="L1923" s="77"/>
      <c r="M1923" s="78">
        <f t="shared" si="261"/>
        <v>0</v>
      </c>
      <c r="N1923" s="748"/>
      <c r="P1923" s="29" t="str">
        <f t="shared" si="264"/>
        <v>1900</v>
      </c>
      <c r="Q1923" s="29" t="str">
        <f t="shared" si="265"/>
        <v/>
      </c>
      <c r="R1923" s="29" t="str">
        <f t="shared" si="266"/>
        <v/>
      </c>
    </row>
    <row r="1924" spans="1:18">
      <c r="A1924" s="483">
        <f t="shared" si="260"/>
        <v>1920</v>
      </c>
      <c r="B1924" s="77"/>
      <c r="C1924" s="77"/>
      <c r="D1924" s="858"/>
      <c r="E1924" s="858">
        <f t="shared" si="262"/>
        <v>0</v>
      </c>
      <c r="F1924" s="887">
        <f t="shared" si="263"/>
        <v>1900</v>
      </c>
      <c r="G1924" s="888"/>
      <c r="H1924" s="889"/>
      <c r="I1924" s="888"/>
      <c r="J1924" s="888"/>
      <c r="K1924" s="980"/>
      <c r="L1924" s="77"/>
      <c r="M1924" s="78">
        <f t="shared" si="261"/>
        <v>0</v>
      </c>
      <c r="N1924" s="748"/>
      <c r="P1924" s="29" t="str">
        <f t="shared" si="264"/>
        <v>1900</v>
      </c>
      <c r="Q1924" s="29" t="str">
        <f t="shared" si="265"/>
        <v/>
      </c>
      <c r="R1924" s="29" t="str">
        <f t="shared" si="266"/>
        <v/>
      </c>
    </row>
    <row r="1925" spans="1:18">
      <c r="A1925" s="483">
        <f t="shared" si="260"/>
        <v>1921</v>
      </c>
      <c r="B1925" s="77"/>
      <c r="C1925" s="77"/>
      <c r="D1925" s="858"/>
      <c r="E1925" s="858">
        <f t="shared" si="262"/>
        <v>0</v>
      </c>
      <c r="F1925" s="887">
        <f t="shared" si="263"/>
        <v>1900</v>
      </c>
      <c r="G1925" s="888"/>
      <c r="H1925" s="889"/>
      <c r="I1925" s="888"/>
      <c r="J1925" s="888"/>
      <c r="K1925" s="980"/>
      <c r="L1925" s="77"/>
      <c r="M1925" s="78">
        <f t="shared" si="261"/>
        <v>0</v>
      </c>
      <c r="N1925" s="748"/>
      <c r="P1925" s="29" t="str">
        <f t="shared" si="264"/>
        <v>1900</v>
      </c>
      <c r="Q1925" s="29" t="str">
        <f t="shared" si="265"/>
        <v/>
      </c>
      <c r="R1925" s="29" t="str">
        <f t="shared" si="266"/>
        <v/>
      </c>
    </row>
    <row r="1926" spans="1:18">
      <c r="A1926" s="483">
        <f t="shared" si="260"/>
        <v>1922</v>
      </c>
      <c r="B1926" s="77"/>
      <c r="C1926" s="77"/>
      <c r="D1926" s="858"/>
      <c r="E1926" s="858">
        <f t="shared" si="262"/>
        <v>0</v>
      </c>
      <c r="F1926" s="887">
        <f t="shared" si="263"/>
        <v>1900</v>
      </c>
      <c r="G1926" s="888"/>
      <c r="H1926" s="889"/>
      <c r="I1926" s="888"/>
      <c r="J1926" s="888"/>
      <c r="K1926" s="980"/>
      <c r="L1926" s="77"/>
      <c r="M1926" s="78">
        <f t="shared" si="261"/>
        <v>0</v>
      </c>
      <c r="N1926" s="748"/>
      <c r="P1926" s="29" t="str">
        <f t="shared" si="264"/>
        <v>1900</v>
      </c>
      <c r="Q1926" s="29" t="str">
        <f t="shared" si="265"/>
        <v/>
      </c>
      <c r="R1926" s="29" t="str">
        <f t="shared" si="266"/>
        <v/>
      </c>
    </row>
    <row r="1927" spans="1:18">
      <c r="A1927" s="483">
        <f t="shared" si="260"/>
        <v>1923</v>
      </c>
      <c r="B1927" s="77"/>
      <c r="C1927" s="77"/>
      <c r="D1927" s="858"/>
      <c r="E1927" s="858">
        <f t="shared" si="262"/>
        <v>0</v>
      </c>
      <c r="F1927" s="887">
        <f t="shared" si="263"/>
        <v>1900</v>
      </c>
      <c r="G1927" s="888"/>
      <c r="H1927" s="889"/>
      <c r="I1927" s="888"/>
      <c r="J1927" s="888"/>
      <c r="K1927" s="980"/>
      <c r="L1927" s="77"/>
      <c r="M1927" s="78">
        <f t="shared" si="261"/>
        <v>0</v>
      </c>
      <c r="N1927" s="748"/>
      <c r="P1927" s="29" t="str">
        <f t="shared" si="264"/>
        <v>1900</v>
      </c>
      <c r="Q1927" s="29" t="str">
        <f t="shared" si="265"/>
        <v/>
      </c>
      <c r="R1927" s="29" t="str">
        <f t="shared" si="266"/>
        <v/>
      </c>
    </row>
    <row r="1928" spans="1:18">
      <c r="A1928" s="483">
        <f t="shared" ref="A1928:A1991" si="267">+A1927+1</f>
        <v>1924</v>
      </c>
      <c r="B1928" s="77"/>
      <c r="C1928" s="77"/>
      <c r="D1928" s="858"/>
      <c r="E1928" s="858">
        <f t="shared" si="262"/>
        <v>0</v>
      </c>
      <c r="F1928" s="887">
        <f t="shared" si="263"/>
        <v>1900</v>
      </c>
      <c r="G1928" s="888"/>
      <c r="H1928" s="889"/>
      <c r="I1928" s="888"/>
      <c r="J1928" s="888"/>
      <c r="K1928" s="980"/>
      <c r="L1928" s="77"/>
      <c r="M1928" s="78">
        <f t="shared" si="261"/>
        <v>0</v>
      </c>
      <c r="N1928" s="748"/>
      <c r="P1928" s="29" t="str">
        <f t="shared" si="264"/>
        <v>1900</v>
      </c>
      <c r="Q1928" s="29" t="str">
        <f t="shared" si="265"/>
        <v/>
      </c>
      <c r="R1928" s="29" t="str">
        <f t="shared" si="266"/>
        <v/>
      </c>
    </row>
    <row r="1929" spans="1:18">
      <c r="A1929" s="483">
        <f t="shared" si="267"/>
        <v>1925</v>
      </c>
      <c r="B1929" s="77"/>
      <c r="C1929" s="77"/>
      <c r="D1929" s="858"/>
      <c r="E1929" s="858">
        <f t="shared" si="262"/>
        <v>0</v>
      </c>
      <c r="F1929" s="887">
        <f t="shared" si="263"/>
        <v>1900</v>
      </c>
      <c r="G1929" s="888"/>
      <c r="H1929" s="889"/>
      <c r="I1929" s="888"/>
      <c r="J1929" s="888"/>
      <c r="K1929" s="980"/>
      <c r="L1929" s="77"/>
      <c r="M1929" s="78">
        <f t="shared" si="261"/>
        <v>0</v>
      </c>
      <c r="N1929" s="748"/>
      <c r="P1929" s="29" t="str">
        <f t="shared" si="264"/>
        <v>1900</v>
      </c>
      <c r="Q1929" s="29" t="str">
        <f t="shared" si="265"/>
        <v/>
      </c>
      <c r="R1929" s="29" t="str">
        <f t="shared" si="266"/>
        <v/>
      </c>
    </row>
    <row r="1930" spans="1:18">
      <c r="A1930" s="483">
        <f t="shared" si="267"/>
        <v>1926</v>
      </c>
      <c r="B1930" s="77"/>
      <c r="C1930" s="77"/>
      <c r="D1930" s="858"/>
      <c r="E1930" s="858">
        <f t="shared" si="262"/>
        <v>0</v>
      </c>
      <c r="F1930" s="887">
        <f t="shared" si="263"/>
        <v>1900</v>
      </c>
      <c r="G1930" s="888"/>
      <c r="H1930" s="889"/>
      <c r="I1930" s="888"/>
      <c r="J1930" s="888"/>
      <c r="K1930" s="980"/>
      <c r="L1930" s="77"/>
      <c r="M1930" s="78">
        <f t="shared" si="261"/>
        <v>0</v>
      </c>
      <c r="N1930" s="748"/>
      <c r="P1930" s="29" t="str">
        <f t="shared" si="264"/>
        <v>1900</v>
      </c>
      <c r="Q1930" s="29" t="str">
        <f t="shared" si="265"/>
        <v/>
      </c>
      <c r="R1930" s="29" t="str">
        <f t="shared" si="266"/>
        <v/>
      </c>
    </row>
    <row r="1931" spans="1:18">
      <c r="A1931" s="483">
        <f t="shared" si="267"/>
        <v>1927</v>
      </c>
      <c r="B1931" s="77"/>
      <c r="C1931" s="77"/>
      <c r="D1931" s="858"/>
      <c r="E1931" s="858">
        <f t="shared" si="262"/>
        <v>0</v>
      </c>
      <c r="F1931" s="887">
        <f t="shared" si="263"/>
        <v>1900</v>
      </c>
      <c r="G1931" s="888"/>
      <c r="H1931" s="889"/>
      <c r="I1931" s="888"/>
      <c r="J1931" s="888"/>
      <c r="K1931" s="980"/>
      <c r="L1931" s="77"/>
      <c r="M1931" s="78">
        <f t="shared" si="261"/>
        <v>0</v>
      </c>
      <c r="N1931" s="748"/>
      <c r="P1931" s="29" t="str">
        <f t="shared" si="264"/>
        <v>1900</v>
      </c>
      <c r="Q1931" s="29" t="str">
        <f t="shared" si="265"/>
        <v/>
      </c>
      <c r="R1931" s="29" t="str">
        <f t="shared" si="266"/>
        <v/>
      </c>
    </row>
    <row r="1932" spans="1:18">
      <c r="A1932" s="483">
        <f t="shared" si="267"/>
        <v>1928</v>
      </c>
      <c r="B1932" s="77"/>
      <c r="C1932" s="77"/>
      <c r="D1932" s="858"/>
      <c r="E1932" s="858">
        <f t="shared" si="262"/>
        <v>0</v>
      </c>
      <c r="F1932" s="887">
        <f t="shared" si="263"/>
        <v>1900</v>
      </c>
      <c r="G1932" s="888"/>
      <c r="H1932" s="889"/>
      <c r="I1932" s="888"/>
      <c r="J1932" s="888"/>
      <c r="K1932" s="980"/>
      <c r="L1932" s="77"/>
      <c r="M1932" s="78">
        <f t="shared" ref="M1932:M1995" si="268">+L1932</f>
        <v>0</v>
      </c>
      <c r="N1932" s="748"/>
      <c r="P1932" s="29" t="str">
        <f t="shared" si="264"/>
        <v>1900</v>
      </c>
      <c r="Q1932" s="29" t="str">
        <f t="shared" si="265"/>
        <v/>
      </c>
      <c r="R1932" s="29" t="str">
        <f t="shared" si="266"/>
        <v/>
      </c>
    </row>
    <row r="1933" spans="1:18">
      <c r="A1933" s="483">
        <f t="shared" si="267"/>
        <v>1929</v>
      </c>
      <c r="B1933" s="77"/>
      <c r="C1933" s="77"/>
      <c r="D1933" s="858"/>
      <c r="E1933" s="858">
        <f t="shared" si="262"/>
        <v>0</v>
      </c>
      <c r="F1933" s="887">
        <f t="shared" si="263"/>
        <v>1900</v>
      </c>
      <c r="G1933" s="888"/>
      <c r="H1933" s="889"/>
      <c r="I1933" s="888"/>
      <c r="J1933" s="888"/>
      <c r="K1933" s="980"/>
      <c r="L1933" s="77"/>
      <c r="M1933" s="78">
        <f t="shared" si="268"/>
        <v>0</v>
      </c>
      <c r="N1933" s="748"/>
      <c r="P1933" s="29" t="str">
        <f t="shared" si="264"/>
        <v>1900</v>
      </c>
      <c r="Q1933" s="29" t="str">
        <f t="shared" si="265"/>
        <v/>
      </c>
      <c r="R1933" s="29" t="str">
        <f t="shared" si="266"/>
        <v/>
      </c>
    </row>
    <row r="1934" spans="1:18">
      <c r="A1934" s="483">
        <f t="shared" si="267"/>
        <v>1930</v>
      </c>
      <c r="B1934" s="77"/>
      <c r="C1934" s="77"/>
      <c r="D1934" s="858"/>
      <c r="E1934" s="858">
        <f t="shared" si="262"/>
        <v>0</v>
      </c>
      <c r="F1934" s="887">
        <f t="shared" si="263"/>
        <v>1900</v>
      </c>
      <c r="G1934" s="888"/>
      <c r="H1934" s="889"/>
      <c r="I1934" s="888"/>
      <c r="J1934" s="888"/>
      <c r="K1934" s="980"/>
      <c r="L1934" s="77"/>
      <c r="M1934" s="78">
        <f t="shared" si="268"/>
        <v>0</v>
      </c>
      <c r="N1934" s="748"/>
      <c r="P1934" s="29" t="str">
        <f t="shared" si="264"/>
        <v>1900</v>
      </c>
      <c r="Q1934" s="29" t="str">
        <f t="shared" si="265"/>
        <v/>
      </c>
      <c r="R1934" s="29" t="str">
        <f t="shared" si="266"/>
        <v/>
      </c>
    </row>
    <row r="1935" spans="1:18">
      <c r="A1935" s="483">
        <f t="shared" si="267"/>
        <v>1931</v>
      </c>
      <c r="B1935" s="77"/>
      <c r="C1935" s="77"/>
      <c r="D1935" s="858"/>
      <c r="E1935" s="858">
        <f t="shared" si="262"/>
        <v>0</v>
      </c>
      <c r="F1935" s="887">
        <f t="shared" si="263"/>
        <v>1900</v>
      </c>
      <c r="G1935" s="888"/>
      <c r="H1935" s="889"/>
      <c r="I1935" s="888"/>
      <c r="J1935" s="888"/>
      <c r="K1935" s="980"/>
      <c r="L1935" s="77"/>
      <c r="M1935" s="78">
        <f t="shared" si="268"/>
        <v>0</v>
      </c>
      <c r="N1935" s="748"/>
      <c r="P1935" s="29" t="str">
        <f t="shared" si="264"/>
        <v>1900</v>
      </c>
      <c r="Q1935" s="29" t="str">
        <f t="shared" si="265"/>
        <v/>
      </c>
      <c r="R1935" s="29" t="str">
        <f t="shared" si="266"/>
        <v/>
      </c>
    </row>
    <row r="1936" spans="1:18">
      <c r="A1936" s="483">
        <f t="shared" si="267"/>
        <v>1932</v>
      </c>
      <c r="B1936" s="77"/>
      <c r="C1936" s="77"/>
      <c r="D1936" s="858"/>
      <c r="E1936" s="858">
        <f t="shared" si="262"/>
        <v>0</v>
      </c>
      <c r="F1936" s="887">
        <f t="shared" si="263"/>
        <v>1900</v>
      </c>
      <c r="G1936" s="888"/>
      <c r="H1936" s="889"/>
      <c r="I1936" s="888"/>
      <c r="J1936" s="888"/>
      <c r="K1936" s="980"/>
      <c r="L1936" s="77"/>
      <c r="M1936" s="78">
        <f t="shared" si="268"/>
        <v>0</v>
      </c>
      <c r="N1936" s="748"/>
      <c r="P1936" s="29" t="str">
        <f t="shared" si="264"/>
        <v>1900</v>
      </c>
      <c r="Q1936" s="29" t="str">
        <f t="shared" si="265"/>
        <v/>
      </c>
      <c r="R1936" s="29" t="str">
        <f t="shared" si="266"/>
        <v/>
      </c>
    </row>
    <row r="1937" spans="1:18">
      <c r="A1937" s="483">
        <f t="shared" si="267"/>
        <v>1933</v>
      </c>
      <c r="B1937" s="77"/>
      <c r="C1937" s="77"/>
      <c r="D1937" s="858"/>
      <c r="E1937" s="858">
        <f t="shared" si="262"/>
        <v>0</v>
      </c>
      <c r="F1937" s="887">
        <f t="shared" si="263"/>
        <v>1900</v>
      </c>
      <c r="G1937" s="888"/>
      <c r="H1937" s="889"/>
      <c r="I1937" s="888"/>
      <c r="J1937" s="888"/>
      <c r="K1937" s="980"/>
      <c r="L1937" s="77"/>
      <c r="M1937" s="78">
        <f t="shared" si="268"/>
        <v>0</v>
      </c>
      <c r="N1937" s="748"/>
      <c r="P1937" s="29" t="str">
        <f t="shared" si="264"/>
        <v>1900</v>
      </c>
      <c r="Q1937" s="29" t="str">
        <f t="shared" si="265"/>
        <v/>
      </c>
      <c r="R1937" s="29" t="str">
        <f t="shared" si="266"/>
        <v/>
      </c>
    </row>
    <row r="1938" spans="1:18">
      <c r="A1938" s="483">
        <f t="shared" si="267"/>
        <v>1934</v>
      </c>
      <c r="B1938" s="77"/>
      <c r="C1938" s="77"/>
      <c r="D1938" s="858"/>
      <c r="E1938" s="858">
        <f t="shared" si="262"/>
        <v>0</v>
      </c>
      <c r="F1938" s="887">
        <f t="shared" si="263"/>
        <v>1900</v>
      </c>
      <c r="G1938" s="888"/>
      <c r="H1938" s="889"/>
      <c r="I1938" s="888"/>
      <c r="J1938" s="888"/>
      <c r="K1938" s="980"/>
      <c r="L1938" s="77"/>
      <c r="M1938" s="78">
        <f t="shared" si="268"/>
        <v>0</v>
      </c>
      <c r="N1938" s="748"/>
      <c r="P1938" s="29" t="str">
        <f t="shared" si="264"/>
        <v>1900</v>
      </c>
      <c r="Q1938" s="29" t="str">
        <f t="shared" si="265"/>
        <v/>
      </c>
      <c r="R1938" s="29" t="str">
        <f t="shared" si="266"/>
        <v/>
      </c>
    </row>
    <row r="1939" spans="1:18">
      <c r="A1939" s="483">
        <f t="shared" si="267"/>
        <v>1935</v>
      </c>
      <c r="B1939" s="77"/>
      <c r="C1939" s="77"/>
      <c r="D1939" s="858"/>
      <c r="E1939" s="858">
        <f t="shared" si="262"/>
        <v>0</v>
      </c>
      <c r="F1939" s="887">
        <f t="shared" si="263"/>
        <v>1900</v>
      </c>
      <c r="G1939" s="888"/>
      <c r="H1939" s="889"/>
      <c r="I1939" s="888"/>
      <c r="J1939" s="888"/>
      <c r="K1939" s="980"/>
      <c r="L1939" s="77"/>
      <c r="M1939" s="78">
        <f t="shared" si="268"/>
        <v>0</v>
      </c>
      <c r="N1939" s="748"/>
      <c r="P1939" s="29" t="str">
        <f t="shared" si="264"/>
        <v>1900</v>
      </c>
      <c r="Q1939" s="29" t="str">
        <f t="shared" si="265"/>
        <v/>
      </c>
      <c r="R1939" s="29" t="str">
        <f t="shared" si="266"/>
        <v/>
      </c>
    </row>
    <row r="1940" spans="1:18">
      <c r="A1940" s="483">
        <f t="shared" si="267"/>
        <v>1936</v>
      </c>
      <c r="B1940" s="77"/>
      <c r="C1940" s="77"/>
      <c r="D1940" s="858"/>
      <c r="E1940" s="858">
        <f t="shared" si="262"/>
        <v>0</v>
      </c>
      <c r="F1940" s="887">
        <f t="shared" si="263"/>
        <v>1900</v>
      </c>
      <c r="G1940" s="888"/>
      <c r="H1940" s="889"/>
      <c r="I1940" s="888"/>
      <c r="J1940" s="888"/>
      <c r="K1940" s="980"/>
      <c r="L1940" s="77"/>
      <c r="M1940" s="78">
        <f t="shared" si="268"/>
        <v>0</v>
      </c>
      <c r="N1940" s="748"/>
      <c r="P1940" s="29" t="str">
        <f t="shared" si="264"/>
        <v>1900</v>
      </c>
      <c r="Q1940" s="29" t="str">
        <f t="shared" si="265"/>
        <v/>
      </c>
      <c r="R1940" s="29" t="str">
        <f t="shared" si="266"/>
        <v/>
      </c>
    </row>
    <row r="1941" spans="1:18">
      <c r="A1941" s="483">
        <f t="shared" si="267"/>
        <v>1937</v>
      </c>
      <c r="B1941" s="77"/>
      <c r="C1941" s="77"/>
      <c r="D1941" s="858"/>
      <c r="E1941" s="858">
        <f t="shared" si="262"/>
        <v>0</v>
      </c>
      <c r="F1941" s="887">
        <f t="shared" si="263"/>
        <v>1900</v>
      </c>
      <c r="G1941" s="888"/>
      <c r="H1941" s="889"/>
      <c r="I1941" s="888"/>
      <c r="J1941" s="888"/>
      <c r="K1941" s="980"/>
      <c r="L1941" s="77"/>
      <c r="M1941" s="78">
        <f t="shared" si="268"/>
        <v>0</v>
      </c>
      <c r="N1941" s="748"/>
      <c r="P1941" s="29" t="str">
        <f t="shared" si="264"/>
        <v>1900</v>
      </c>
      <c r="Q1941" s="29" t="str">
        <f t="shared" si="265"/>
        <v/>
      </c>
      <c r="R1941" s="29" t="str">
        <f t="shared" si="266"/>
        <v/>
      </c>
    </row>
    <row r="1942" spans="1:18">
      <c r="A1942" s="483">
        <f t="shared" si="267"/>
        <v>1938</v>
      </c>
      <c r="B1942" s="77"/>
      <c r="C1942" s="77"/>
      <c r="D1942" s="858"/>
      <c r="E1942" s="858">
        <f t="shared" si="262"/>
        <v>0</v>
      </c>
      <c r="F1942" s="887">
        <f t="shared" si="263"/>
        <v>1900</v>
      </c>
      <c r="G1942" s="888"/>
      <c r="H1942" s="889"/>
      <c r="I1942" s="888"/>
      <c r="J1942" s="888"/>
      <c r="K1942" s="980"/>
      <c r="L1942" s="77"/>
      <c r="M1942" s="78">
        <f t="shared" si="268"/>
        <v>0</v>
      </c>
      <c r="N1942" s="748"/>
      <c r="P1942" s="29" t="str">
        <f t="shared" si="264"/>
        <v>1900</v>
      </c>
      <c r="Q1942" s="29" t="str">
        <f t="shared" si="265"/>
        <v/>
      </c>
      <c r="R1942" s="29" t="str">
        <f t="shared" si="266"/>
        <v/>
      </c>
    </row>
    <row r="1943" spans="1:18">
      <c r="A1943" s="483">
        <f t="shared" si="267"/>
        <v>1939</v>
      </c>
      <c r="B1943" s="77"/>
      <c r="C1943" s="77"/>
      <c r="D1943" s="858"/>
      <c r="E1943" s="858">
        <f t="shared" si="262"/>
        <v>0</v>
      </c>
      <c r="F1943" s="887">
        <f t="shared" si="263"/>
        <v>1900</v>
      </c>
      <c r="G1943" s="888"/>
      <c r="H1943" s="889"/>
      <c r="I1943" s="888"/>
      <c r="J1943" s="888"/>
      <c r="K1943" s="980"/>
      <c r="L1943" s="77"/>
      <c r="M1943" s="78">
        <f t="shared" si="268"/>
        <v>0</v>
      </c>
      <c r="N1943" s="748"/>
      <c r="P1943" s="29" t="str">
        <f t="shared" si="264"/>
        <v>1900</v>
      </c>
      <c r="Q1943" s="29" t="str">
        <f t="shared" si="265"/>
        <v/>
      </c>
      <c r="R1943" s="29" t="str">
        <f t="shared" si="266"/>
        <v/>
      </c>
    </row>
    <row r="1944" spans="1:18">
      <c r="A1944" s="483">
        <f t="shared" si="267"/>
        <v>1940</v>
      </c>
      <c r="B1944" s="77"/>
      <c r="C1944" s="77"/>
      <c r="D1944" s="858"/>
      <c r="E1944" s="858">
        <f t="shared" si="262"/>
        <v>0</v>
      </c>
      <c r="F1944" s="887">
        <f t="shared" si="263"/>
        <v>1900</v>
      </c>
      <c r="G1944" s="888"/>
      <c r="H1944" s="889"/>
      <c r="I1944" s="888"/>
      <c r="J1944" s="888"/>
      <c r="K1944" s="980"/>
      <c r="L1944" s="77"/>
      <c r="M1944" s="78">
        <f t="shared" si="268"/>
        <v>0</v>
      </c>
      <c r="N1944" s="748"/>
      <c r="P1944" s="29" t="str">
        <f t="shared" si="264"/>
        <v>1900</v>
      </c>
      <c r="Q1944" s="29" t="str">
        <f t="shared" si="265"/>
        <v/>
      </c>
      <c r="R1944" s="29" t="str">
        <f t="shared" si="266"/>
        <v/>
      </c>
    </row>
    <row r="1945" spans="1:18">
      <c r="A1945" s="483">
        <f t="shared" si="267"/>
        <v>1941</v>
      </c>
      <c r="B1945" s="77"/>
      <c r="C1945" s="77"/>
      <c r="D1945" s="858"/>
      <c r="E1945" s="858">
        <f t="shared" si="262"/>
        <v>0</v>
      </c>
      <c r="F1945" s="887">
        <f t="shared" si="263"/>
        <v>1900</v>
      </c>
      <c r="G1945" s="888"/>
      <c r="H1945" s="889"/>
      <c r="I1945" s="888"/>
      <c r="J1945" s="888"/>
      <c r="K1945" s="980"/>
      <c r="L1945" s="77"/>
      <c r="M1945" s="78">
        <f t="shared" si="268"/>
        <v>0</v>
      </c>
      <c r="N1945" s="748"/>
      <c r="P1945" s="29" t="str">
        <f t="shared" si="264"/>
        <v>1900</v>
      </c>
      <c r="Q1945" s="29" t="str">
        <f t="shared" si="265"/>
        <v/>
      </c>
      <c r="R1945" s="29" t="str">
        <f t="shared" si="266"/>
        <v/>
      </c>
    </row>
    <row r="1946" spans="1:18">
      <c r="A1946" s="483">
        <f t="shared" si="267"/>
        <v>1942</v>
      </c>
      <c r="B1946" s="77"/>
      <c r="C1946" s="77"/>
      <c r="D1946" s="858"/>
      <c r="E1946" s="858">
        <f t="shared" si="262"/>
        <v>0</v>
      </c>
      <c r="F1946" s="887">
        <f t="shared" si="263"/>
        <v>1900</v>
      </c>
      <c r="G1946" s="888"/>
      <c r="H1946" s="889"/>
      <c r="I1946" s="888"/>
      <c r="J1946" s="888"/>
      <c r="K1946" s="980"/>
      <c r="L1946" s="77"/>
      <c r="M1946" s="78">
        <f t="shared" si="268"/>
        <v>0</v>
      </c>
      <c r="N1946" s="748"/>
      <c r="P1946" s="29" t="str">
        <f t="shared" si="264"/>
        <v>1900</v>
      </c>
      <c r="Q1946" s="29" t="str">
        <f t="shared" si="265"/>
        <v/>
      </c>
      <c r="R1946" s="29" t="str">
        <f t="shared" si="266"/>
        <v/>
      </c>
    </row>
    <row r="1947" spans="1:18">
      <c r="A1947" s="483">
        <f t="shared" si="267"/>
        <v>1943</v>
      </c>
      <c r="B1947" s="77"/>
      <c r="C1947" s="77"/>
      <c r="D1947" s="858"/>
      <c r="E1947" s="858">
        <f t="shared" si="262"/>
        <v>0</v>
      </c>
      <c r="F1947" s="887">
        <f t="shared" si="263"/>
        <v>1900</v>
      </c>
      <c r="G1947" s="888"/>
      <c r="H1947" s="889"/>
      <c r="I1947" s="888"/>
      <c r="J1947" s="888"/>
      <c r="K1947" s="980"/>
      <c r="L1947" s="77"/>
      <c r="M1947" s="78">
        <f t="shared" si="268"/>
        <v>0</v>
      </c>
      <c r="N1947" s="748"/>
      <c r="P1947" s="29" t="str">
        <f t="shared" si="264"/>
        <v>1900</v>
      </c>
      <c r="Q1947" s="29" t="str">
        <f t="shared" si="265"/>
        <v/>
      </c>
      <c r="R1947" s="29" t="str">
        <f t="shared" si="266"/>
        <v/>
      </c>
    </row>
    <row r="1948" spans="1:18">
      <c r="A1948" s="483">
        <f t="shared" si="267"/>
        <v>1944</v>
      </c>
      <c r="B1948" s="77"/>
      <c r="C1948" s="77"/>
      <c r="D1948" s="858"/>
      <c r="E1948" s="858">
        <f t="shared" si="262"/>
        <v>0</v>
      </c>
      <c r="F1948" s="887">
        <f t="shared" si="263"/>
        <v>1900</v>
      </c>
      <c r="G1948" s="888"/>
      <c r="H1948" s="889"/>
      <c r="I1948" s="888"/>
      <c r="J1948" s="888"/>
      <c r="K1948" s="980"/>
      <c r="L1948" s="77"/>
      <c r="M1948" s="78">
        <f t="shared" si="268"/>
        <v>0</v>
      </c>
      <c r="N1948" s="748"/>
      <c r="P1948" s="29" t="str">
        <f t="shared" si="264"/>
        <v>1900</v>
      </c>
      <c r="Q1948" s="29" t="str">
        <f t="shared" si="265"/>
        <v/>
      </c>
      <c r="R1948" s="29" t="str">
        <f t="shared" si="266"/>
        <v/>
      </c>
    </row>
    <row r="1949" spans="1:18">
      <c r="A1949" s="483">
        <f t="shared" si="267"/>
        <v>1945</v>
      </c>
      <c r="B1949" s="77"/>
      <c r="C1949" s="77"/>
      <c r="D1949" s="858"/>
      <c r="E1949" s="858">
        <f t="shared" si="262"/>
        <v>0</v>
      </c>
      <c r="F1949" s="887">
        <f t="shared" si="263"/>
        <v>1900</v>
      </c>
      <c r="G1949" s="888"/>
      <c r="H1949" s="889"/>
      <c r="I1949" s="888"/>
      <c r="J1949" s="888"/>
      <c r="K1949" s="980"/>
      <c r="L1949" s="77"/>
      <c r="M1949" s="78">
        <f t="shared" si="268"/>
        <v>0</v>
      </c>
      <c r="N1949" s="748"/>
      <c r="P1949" s="29" t="str">
        <f t="shared" si="264"/>
        <v>1900</v>
      </c>
      <c r="Q1949" s="29" t="str">
        <f t="shared" si="265"/>
        <v/>
      </c>
      <c r="R1949" s="29" t="str">
        <f t="shared" si="266"/>
        <v/>
      </c>
    </row>
    <row r="1950" spans="1:18">
      <c r="A1950" s="483">
        <f t="shared" si="267"/>
        <v>1946</v>
      </c>
      <c r="B1950" s="77"/>
      <c r="C1950" s="77"/>
      <c r="D1950" s="858"/>
      <c r="E1950" s="858">
        <f t="shared" si="262"/>
        <v>0</v>
      </c>
      <c r="F1950" s="887">
        <f t="shared" si="263"/>
        <v>1900</v>
      </c>
      <c r="G1950" s="888"/>
      <c r="H1950" s="889"/>
      <c r="I1950" s="888"/>
      <c r="J1950" s="888"/>
      <c r="K1950" s="980"/>
      <c r="L1950" s="77"/>
      <c r="M1950" s="78">
        <f t="shared" si="268"/>
        <v>0</v>
      </c>
      <c r="N1950" s="748"/>
      <c r="P1950" s="29" t="str">
        <f t="shared" si="264"/>
        <v>1900</v>
      </c>
      <c r="Q1950" s="29" t="str">
        <f t="shared" si="265"/>
        <v/>
      </c>
      <c r="R1950" s="29" t="str">
        <f t="shared" si="266"/>
        <v/>
      </c>
    </row>
    <row r="1951" spans="1:18">
      <c r="A1951" s="483">
        <f t="shared" si="267"/>
        <v>1947</v>
      </c>
      <c r="B1951" s="77"/>
      <c r="C1951" s="77"/>
      <c r="D1951" s="858"/>
      <c r="E1951" s="858">
        <f t="shared" si="262"/>
        <v>0</v>
      </c>
      <c r="F1951" s="887">
        <f t="shared" si="263"/>
        <v>1900</v>
      </c>
      <c r="G1951" s="888"/>
      <c r="H1951" s="889"/>
      <c r="I1951" s="888"/>
      <c r="J1951" s="888"/>
      <c r="K1951" s="980"/>
      <c r="L1951" s="77"/>
      <c r="M1951" s="78">
        <f t="shared" si="268"/>
        <v>0</v>
      </c>
      <c r="N1951" s="748"/>
      <c r="P1951" s="29" t="str">
        <f t="shared" si="264"/>
        <v>1900</v>
      </c>
      <c r="Q1951" s="29" t="str">
        <f t="shared" si="265"/>
        <v/>
      </c>
      <c r="R1951" s="29" t="str">
        <f t="shared" si="266"/>
        <v/>
      </c>
    </row>
    <row r="1952" spans="1:18">
      <c r="A1952" s="483">
        <f t="shared" si="267"/>
        <v>1948</v>
      </c>
      <c r="B1952" s="77"/>
      <c r="C1952" s="77"/>
      <c r="D1952" s="858"/>
      <c r="E1952" s="858">
        <f t="shared" si="262"/>
        <v>0</v>
      </c>
      <c r="F1952" s="887">
        <f t="shared" si="263"/>
        <v>1900</v>
      </c>
      <c r="G1952" s="888"/>
      <c r="H1952" s="889"/>
      <c r="I1952" s="888"/>
      <c r="J1952" s="888"/>
      <c r="K1952" s="980"/>
      <c r="L1952" s="77"/>
      <c r="M1952" s="78">
        <f t="shared" si="268"/>
        <v>0</v>
      </c>
      <c r="N1952" s="748"/>
      <c r="P1952" s="29" t="str">
        <f t="shared" si="264"/>
        <v>1900</v>
      </c>
      <c r="Q1952" s="29" t="str">
        <f t="shared" si="265"/>
        <v/>
      </c>
      <c r="R1952" s="29" t="str">
        <f t="shared" si="266"/>
        <v/>
      </c>
    </row>
    <row r="1953" spans="1:18">
      <c r="A1953" s="483">
        <f t="shared" si="267"/>
        <v>1949</v>
      </c>
      <c r="B1953" s="77"/>
      <c r="C1953" s="77"/>
      <c r="D1953" s="858"/>
      <c r="E1953" s="858">
        <f t="shared" si="262"/>
        <v>0</v>
      </c>
      <c r="F1953" s="887">
        <f t="shared" si="263"/>
        <v>1900</v>
      </c>
      <c r="G1953" s="888"/>
      <c r="H1953" s="889"/>
      <c r="I1953" s="888"/>
      <c r="J1953" s="888"/>
      <c r="K1953" s="980"/>
      <c r="L1953" s="77"/>
      <c r="M1953" s="78">
        <f t="shared" si="268"/>
        <v>0</v>
      </c>
      <c r="N1953" s="748"/>
      <c r="P1953" s="29" t="str">
        <f t="shared" si="264"/>
        <v>1900</v>
      </c>
      <c r="Q1953" s="29" t="str">
        <f t="shared" si="265"/>
        <v/>
      </c>
      <c r="R1953" s="29" t="str">
        <f t="shared" si="266"/>
        <v/>
      </c>
    </row>
    <row r="1954" spans="1:18">
      <c r="A1954" s="483">
        <f t="shared" si="267"/>
        <v>1950</v>
      </c>
      <c r="B1954" s="77"/>
      <c r="C1954" s="77"/>
      <c r="D1954" s="858"/>
      <c r="E1954" s="858">
        <f t="shared" si="262"/>
        <v>0</v>
      </c>
      <c r="F1954" s="887">
        <f t="shared" si="263"/>
        <v>1900</v>
      </c>
      <c r="G1954" s="888"/>
      <c r="H1954" s="889"/>
      <c r="I1954" s="888"/>
      <c r="J1954" s="888"/>
      <c r="K1954" s="980"/>
      <c r="L1954" s="77"/>
      <c r="M1954" s="78">
        <f t="shared" si="268"/>
        <v>0</v>
      </c>
      <c r="N1954" s="748"/>
      <c r="P1954" s="29" t="str">
        <f t="shared" si="264"/>
        <v>1900</v>
      </c>
      <c r="Q1954" s="29" t="str">
        <f t="shared" si="265"/>
        <v/>
      </c>
      <c r="R1954" s="29" t="str">
        <f t="shared" si="266"/>
        <v/>
      </c>
    </row>
    <row r="1955" spans="1:18">
      <c r="A1955" s="483">
        <f t="shared" si="267"/>
        <v>1951</v>
      </c>
      <c r="B1955" s="77"/>
      <c r="C1955" s="77"/>
      <c r="D1955" s="858"/>
      <c r="E1955" s="858">
        <f t="shared" si="262"/>
        <v>0</v>
      </c>
      <c r="F1955" s="887">
        <f t="shared" si="263"/>
        <v>1900</v>
      </c>
      <c r="G1955" s="888"/>
      <c r="H1955" s="889"/>
      <c r="I1955" s="888"/>
      <c r="J1955" s="888"/>
      <c r="K1955" s="980"/>
      <c r="L1955" s="77"/>
      <c r="M1955" s="78">
        <f t="shared" si="268"/>
        <v>0</v>
      </c>
      <c r="N1955" s="748"/>
      <c r="P1955" s="29" t="str">
        <f t="shared" si="264"/>
        <v>1900</v>
      </c>
      <c r="Q1955" s="29" t="str">
        <f t="shared" si="265"/>
        <v/>
      </c>
      <c r="R1955" s="29" t="str">
        <f t="shared" si="266"/>
        <v/>
      </c>
    </row>
    <row r="1956" spans="1:18">
      <c r="A1956" s="483">
        <f t="shared" si="267"/>
        <v>1952</v>
      </c>
      <c r="B1956" s="77"/>
      <c r="C1956" s="77"/>
      <c r="D1956" s="858"/>
      <c r="E1956" s="858">
        <f t="shared" si="262"/>
        <v>0</v>
      </c>
      <c r="F1956" s="887">
        <f t="shared" si="263"/>
        <v>1900</v>
      </c>
      <c r="G1956" s="888"/>
      <c r="H1956" s="889"/>
      <c r="I1956" s="888"/>
      <c r="J1956" s="888"/>
      <c r="K1956" s="980"/>
      <c r="L1956" s="77"/>
      <c r="M1956" s="78">
        <f t="shared" si="268"/>
        <v>0</v>
      </c>
      <c r="N1956" s="748"/>
      <c r="P1956" s="29" t="str">
        <f t="shared" si="264"/>
        <v>1900</v>
      </c>
      <c r="Q1956" s="29" t="str">
        <f t="shared" si="265"/>
        <v/>
      </c>
      <c r="R1956" s="29" t="str">
        <f t="shared" si="266"/>
        <v/>
      </c>
    </row>
    <row r="1957" spans="1:18">
      <c r="A1957" s="483">
        <f t="shared" si="267"/>
        <v>1953</v>
      </c>
      <c r="B1957" s="77"/>
      <c r="C1957" s="77"/>
      <c r="D1957" s="858"/>
      <c r="E1957" s="858">
        <f t="shared" si="262"/>
        <v>0</v>
      </c>
      <c r="F1957" s="887">
        <f t="shared" si="263"/>
        <v>1900</v>
      </c>
      <c r="G1957" s="888"/>
      <c r="H1957" s="889"/>
      <c r="I1957" s="888"/>
      <c r="J1957" s="888"/>
      <c r="K1957" s="980"/>
      <c r="L1957" s="77"/>
      <c r="M1957" s="78">
        <f t="shared" si="268"/>
        <v>0</v>
      </c>
      <c r="N1957" s="748"/>
      <c r="P1957" s="29" t="str">
        <f t="shared" si="264"/>
        <v>1900</v>
      </c>
      <c r="Q1957" s="29" t="str">
        <f t="shared" si="265"/>
        <v/>
      </c>
      <c r="R1957" s="29" t="str">
        <f t="shared" si="266"/>
        <v/>
      </c>
    </row>
    <row r="1958" spans="1:18">
      <c r="A1958" s="483">
        <f t="shared" si="267"/>
        <v>1954</v>
      </c>
      <c r="B1958" s="77"/>
      <c r="C1958" s="77"/>
      <c r="D1958" s="858"/>
      <c r="E1958" s="858">
        <f t="shared" si="262"/>
        <v>0</v>
      </c>
      <c r="F1958" s="887">
        <f t="shared" si="263"/>
        <v>1900</v>
      </c>
      <c r="G1958" s="888"/>
      <c r="H1958" s="889"/>
      <c r="I1958" s="888"/>
      <c r="J1958" s="888"/>
      <c r="K1958" s="980"/>
      <c r="L1958" s="77"/>
      <c r="M1958" s="78">
        <f t="shared" si="268"/>
        <v>0</v>
      </c>
      <c r="N1958" s="748"/>
      <c r="P1958" s="29" t="str">
        <f t="shared" si="264"/>
        <v>1900</v>
      </c>
      <c r="Q1958" s="29" t="str">
        <f t="shared" si="265"/>
        <v/>
      </c>
      <c r="R1958" s="29" t="str">
        <f t="shared" si="266"/>
        <v/>
      </c>
    </row>
    <row r="1959" spans="1:18">
      <c r="A1959" s="483">
        <f t="shared" si="267"/>
        <v>1955</v>
      </c>
      <c r="B1959" s="77"/>
      <c r="C1959" s="77"/>
      <c r="D1959" s="858"/>
      <c r="E1959" s="858">
        <f t="shared" si="262"/>
        <v>0</v>
      </c>
      <c r="F1959" s="887">
        <f t="shared" si="263"/>
        <v>1900</v>
      </c>
      <c r="G1959" s="888"/>
      <c r="H1959" s="889"/>
      <c r="I1959" s="888"/>
      <c r="J1959" s="888"/>
      <c r="K1959" s="980"/>
      <c r="L1959" s="77"/>
      <c r="M1959" s="78">
        <f t="shared" si="268"/>
        <v>0</v>
      </c>
      <c r="N1959" s="748"/>
      <c r="P1959" s="29" t="str">
        <f t="shared" si="264"/>
        <v>1900</v>
      </c>
      <c r="Q1959" s="29" t="str">
        <f t="shared" si="265"/>
        <v/>
      </c>
      <c r="R1959" s="29" t="str">
        <f t="shared" si="266"/>
        <v/>
      </c>
    </row>
    <row r="1960" spans="1:18">
      <c r="A1960" s="483">
        <f t="shared" si="267"/>
        <v>1956</v>
      </c>
      <c r="B1960" s="77"/>
      <c r="C1960" s="77"/>
      <c r="D1960" s="858"/>
      <c r="E1960" s="858">
        <f t="shared" si="262"/>
        <v>0</v>
      </c>
      <c r="F1960" s="887">
        <f t="shared" si="263"/>
        <v>1900</v>
      </c>
      <c r="G1960" s="888"/>
      <c r="H1960" s="889"/>
      <c r="I1960" s="888"/>
      <c r="J1960" s="888"/>
      <c r="K1960" s="980"/>
      <c r="L1960" s="77"/>
      <c r="M1960" s="78">
        <f t="shared" si="268"/>
        <v>0</v>
      </c>
      <c r="N1960" s="748"/>
      <c r="P1960" s="29" t="str">
        <f t="shared" si="264"/>
        <v>1900</v>
      </c>
      <c r="Q1960" s="29" t="str">
        <f t="shared" si="265"/>
        <v/>
      </c>
      <c r="R1960" s="29" t="str">
        <f t="shared" si="266"/>
        <v/>
      </c>
    </row>
    <row r="1961" spans="1:18">
      <c r="A1961" s="483">
        <f t="shared" si="267"/>
        <v>1957</v>
      </c>
      <c r="B1961" s="77"/>
      <c r="C1961" s="77"/>
      <c r="D1961" s="858"/>
      <c r="E1961" s="858">
        <f t="shared" si="262"/>
        <v>0</v>
      </c>
      <c r="F1961" s="887">
        <f t="shared" si="263"/>
        <v>1900</v>
      </c>
      <c r="G1961" s="888"/>
      <c r="H1961" s="889"/>
      <c r="I1961" s="888"/>
      <c r="J1961" s="888"/>
      <c r="K1961" s="980"/>
      <c r="L1961" s="77"/>
      <c r="M1961" s="78">
        <f t="shared" si="268"/>
        <v>0</v>
      </c>
      <c r="N1961" s="748"/>
      <c r="P1961" s="29" t="str">
        <f t="shared" si="264"/>
        <v>1900</v>
      </c>
      <c r="Q1961" s="29" t="str">
        <f t="shared" si="265"/>
        <v/>
      </c>
      <c r="R1961" s="29" t="str">
        <f t="shared" si="266"/>
        <v/>
      </c>
    </row>
    <row r="1962" spans="1:18">
      <c r="A1962" s="483">
        <f t="shared" si="267"/>
        <v>1958</v>
      </c>
      <c r="B1962" s="77"/>
      <c r="C1962" s="77"/>
      <c r="D1962" s="858"/>
      <c r="E1962" s="858">
        <f t="shared" si="262"/>
        <v>0</v>
      </c>
      <c r="F1962" s="887">
        <f t="shared" si="263"/>
        <v>1900</v>
      </c>
      <c r="G1962" s="888"/>
      <c r="H1962" s="889"/>
      <c r="I1962" s="888"/>
      <c r="J1962" s="888"/>
      <c r="K1962" s="980"/>
      <c r="L1962" s="77"/>
      <c r="M1962" s="78">
        <f t="shared" si="268"/>
        <v>0</v>
      </c>
      <c r="N1962" s="748"/>
      <c r="P1962" s="29" t="str">
        <f t="shared" si="264"/>
        <v>1900</v>
      </c>
      <c r="Q1962" s="29" t="str">
        <f t="shared" si="265"/>
        <v/>
      </c>
      <c r="R1962" s="29" t="str">
        <f t="shared" si="266"/>
        <v/>
      </c>
    </row>
    <row r="1963" spans="1:18">
      <c r="A1963" s="483">
        <f t="shared" si="267"/>
        <v>1959</v>
      </c>
      <c r="B1963" s="77"/>
      <c r="C1963" s="77"/>
      <c r="D1963" s="858"/>
      <c r="E1963" s="858">
        <f t="shared" si="262"/>
        <v>0</v>
      </c>
      <c r="F1963" s="887">
        <f t="shared" si="263"/>
        <v>1900</v>
      </c>
      <c r="G1963" s="888"/>
      <c r="H1963" s="889"/>
      <c r="I1963" s="888"/>
      <c r="J1963" s="888"/>
      <c r="K1963" s="980"/>
      <c r="L1963" s="77"/>
      <c r="M1963" s="78">
        <f t="shared" si="268"/>
        <v>0</v>
      </c>
      <c r="N1963" s="748"/>
      <c r="P1963" s="29" t="str">
        <f t="shared" si="264"/>
        <v>1900</v>
      </c>
      <c r="Q1963" s="29" t="str">
        <f t="shared" si="265"/>
        <v/>
      </c>
      <c r="R1963" s="29" t="str">
        <f t="shared" si="266"/>
        <v/>
      </c>
    </row>
    <row r="1964" spans="1:18">
      <c r="A1964" s="483">
        <f t="shared" si="267"/>
        <v>1960</v>
      </c>
      <c r="B1964" s="77"/>
      <c r="C1964" s="77"/>
      <c r="D1964" s="858"/>
      <c r="E1964" s="858">
        <f t="shared" si="262"/>
        <v>0</v>
      </c>
      <c r="F1964" s="887">
        <f t="shared" si="263"/>
        <v>1900</v>
      </c>
      <c r="G1964" s="888"/>
      <c r="H1964" s="889"/>
      <c r="I1964" s="888"/>
      <c r="J1964" s="888"/>
      <c r="K1964" s="980"/>
      <c r="L1964" s="77"/>
      <c r="M1964" s="78">
        <f t="shared" si="268"/>
        <v>0</v>
      </c>
      <c r="N1964" s="748"/>
      <c r="P1964" s="29" t="str">
        <f t="shared" si="264"/>
        <v>1900</v>
      </c>
      <c r="Q1964" s="29" t="str">
        <f t="shared" si="265"/>
        <v/>
      </c>
      <c r="R1964" s="29" t="str">
        <f t="shared" si="266"/>
        <v/>
      </c>
    </row>
    <row r="1965" spans="1:18">
      <c r="A1965" s="483">
        <f t="shared" si="267"/>
        <v>1961</v>
      </c>
      <c r="B1965" s="77"/>
      <c r="C1965" s="77"/>
      <c r="D1965" s="858"/>
      <c r="E1965" s="858">
        <f t="shared" si="262"/>
        <v>0</v>
      </c>
      <c r="F1965" s="887">
        <f t="shared" si="263"/>
        <v>1900</v>
      </c>
      <c r="G1965" s="888"/>
      <c r="H1965" s="889"/>
      <c r="I1965" s="888"/>
      <c r="J1965" s="888"/>
      <c r="K1965" s="980"/>
      <c r="L1965" s="77"/>
      <c r="M1965" s="78">
        <f t="shared" si="268"/>
        <v>0</v>
      </c>
      <c r="N1965" s="748"/>
      <c r="P1965" s="29" t="str">
        <f t="shared" si="264"/>
        <v>1900</v>
      </c>
      <c r="Q1965" s="29" t="str">
        <f t="shared" si="265"/>
        <v/>
      </c>
      <c r="R1965" s="29" t="str">
        <f t="shared" si="266"/>
        <v/>
      </c>
    </row>
    <row r="1966" spans="1:18">
      <c r="A1966" s="483">
        <f t="shared" si="267"/>
        <v>1962</v>
      </c>
      <c r="B1966" s="77"/>
      <c r="C1966" s="77"/>
      <c r="D1966" s="858"/>
      <c r="E1966" s="858">
        <f t="shared" si="262"/>
        <v>0</v>
      </c>
      <c r="F1966" s="887">
        <f t="shared" si="263"/>
        <v>1900</v>
      </c>
      <c r="G1966" s="888"/>
      <c r="H1966" s="889"/>
      <c r="I1966" s="888"/>
      <c r="J1966" s="888"/>
      <c r="K1966" s="980"/>
      <c r="L1966" s="77"/>
      <c r="M1966" s="78">
        <f t="shared" si="268"/>
        <v>0</v>
      </c>
      <c r="N1966" s="748"/>
      <c r="P1966" s="29" t="str">
        <f t="shared" si="264"/>
        <v>1900</v>
      </c>
      <c r="Q1966" s="29" t="str">
        <f t="shared" si="265"/>
        <v/>
      </c>
      <c r="R1966" s="29" t="str">
        <f t="shared" si="266"/>
        <v/>
      </c>
    </row>
    <row r="1967" spans="1:18">
      <c r="A1967" s="483">
        <f t="shared" si="267"/>
        <v>1963</v>
      </c>
      <c r="B1967" s="77"/>
      <c r="C1967" s="77"/>
      <c r="D1967" s="858"/>
      <c r="E1967" s="858">
        <f t="shared" ref="E1967:E2005" si="269">DAY(C1967)</f>
        <v>0</v>
      </c>
      <c r="F1967" s="887">
        <f t="shared" ref="F1967:F2005" si="270">YEAR(C1967)</f>
        <v>1900</v>
      </c>
      <c r="G1967" s="888"/>
      <c r="H1967" s="889"/>
      <c r="I1967" s="888"/>
      <c r="J1967" s="888"/>
      <c r="K1967" s="980"/>
      <c r="L1967" s="77"/>
      <c r="M1967" s="78">
        <f t="shared" si="268"/>
        <v>0</v>
      </c>
      <c r="N1967" s="748"/>
      <c r="P1967" s="29" t="str">
        <f t="shared" ref="P1967:P2005" si="271">CONCATENATE(F1967,H1967)</f>
        <v>1900</v>
      </c>
      <c r="Q1967" s="29" t="str">
        <f t="shared" ref="Q1967:Q2005" si="272">CONCATENATE(H1967,K1967)</f>
        <v/>
      </c>
      <c r="R1967" s="29" t="str">
        <f t="shared" ref="R1967:R2005" si="273">CONCATENATE(D1967,H1967)</f>
        <v/>
      </c>
    </row>
    <row r="1968" spans="1:18">
      <c r="A1968" s="483">
        <f t="shared" si="267"/>
        <v>1964</v>
      </c>
      <c r="B1968" s="77"/>
      <c r="C1968" s="77"/>
      <c r="D1968" s="858"/>
      <c r="E1968" s="858">
        <f t="shared" si="269"/>
        <v>0</v>
      </c>
      <c r="F1968" s="887">
        <f t="shared" si="270"/>
        <v>1900</v>
      </c>
      <c r="G1968" s="888"/>
      <c r="H1968" s="889"/>
      <c r="I1968" s="888"/>
      <c r="J1968" s="888"/>
      <c r="K1968" s="980"/>
      <c r="L1968" s="77"/>
      <c r="M1968" s="78">
        <f t="shared" si="268"/>
        <v>0</v>
      </c>
      <c r="N1968" s="748"/>
      <c r="P1968" s="29" t="str">
        <f t="shared" si="271"/>
        <v>1900</v>
      </c>
      <c r="Q1968" s="29" t="str">
        <f t="shared" si="272"/>
        <v/>
      </c>
      <c r="R1968" s="29" t="str">
        <f t="shared" si="273"/>
        <v/>
      </c>
    </row>
    <row r="1969" spans="1:18">
      <c r="A1969" s="483">
        <f t="shared" si="267"/>
        <v>1965</v>
      </c>
      <c r="B1969" s="77"/>
      <c r="C1969" s="77"/>
      <c r="D1969" s="858"/>
      <c r="E1969" s="858">
        <f t="shared" si="269"/>
        <v>0</v>
      </c>
      <c r="F1969" s="887">
        <f t="shared" si="270"/>
        <v>1900</v>
      </c>
      <c r="G1969" s="888"/>
      <c r="H1969" s="889"/>
      <c r="I1969" s="888"/>
      <c r="J1969" s="888"/>
      <c r="K1969" s="980"/>
      <c r="L1969" s="77"/>
      <c r="M1969" s="78">
        <f t="shared" si="268"/>
        <v>0</v>
      </c>
      <c r="N1969" s="748"/>
      <c r="P1969" s="29" t="str">
        <f t="shared" si="271"/>
        <v>1900</v>
      </c>
      <c r="Q1969" s="29" t="str">
        <f t="shared" si="272"/>
        <v/>
      </c>
      <c r="R1969" s="29" t="str">
        <f t="shared" si="273"/>
        <v/>
      </c>
    </row>
    <row r="1970" spans="1:18">
      <c r="A1970" s="483">
        <f t="shared" si="267"/>
        <v>1966</v>
      </c>
      <c r="B1970" s="77"/>
      <c r="C1970" s="77"/>
      <c r="D1970" s="858"/>
      <c r="E1970" s="858">
        <f t="shared" si="269"/>
        <v>0</v>
      </c>
      <c r="F1970" s="887">
        <f t="shared" si="270"/>
        <v>1900</v>
      </c>
      <c r="G1970" s="888"/>
      <c r="H1970" s="889"/>
      <c r="I1970" s="888"/>
      <c r="J1970" s="888"/>
      <c r="K1970" s="980"/>
      <c r="L1970" s="77"/>
      <c r="M1970" s="78">
        <f t="shared" si="268"/>
        <v>0</v>
      </c>
      <c r="N1970" s="748"/>
      <c r="P1970" s="29" t="str">
        <f t="shared" si="271"/>
        <v>1900</v>
      </c>
      <c r="Q1970" s="29" t="str">
        <f t="shared" si="272"/>
        <v/>
      </c>
      <c r="R1970" s="29" t="str">
        <f t="shared" si="273"/>
        <v/>
      </c>
    </row>
    <row r="1971" spans="1:18">
      <c r="A1971" s="483">
        <f t="shared" si="267"/>
        <v>1967</v>
      </c>
      <c r="B1971" s="77"/>
      <c r="C1971" s="77"/>
      <c r="D1971" s="858"/>
      <c r="E1971" s="858">
        <f t="shared" si="269"/>
        <v>0</v>
      </c>
      <c r="F1971" s="887">
        <f t="shared" si="270"/>
        <v>1900</v>
      </c>
      <c r="G1971" s="888"/>
      <c r="H1971" s="889"/>
      <c r="I1971" s="888"/>
      <c r="J1971" s="888"/>
      <c r="K1971" s="980"/>
      <c r="L1971" s="77"/>
      <c r="M1971" s="78">
        <f t="shared" si="268"/>
        <v>0</v>
      </c>
      <c r="N1971" s="748"/>
      <c r="P1971" s="29" t="str">
        <f t="shared" si="271"/>
        <v>1900</v>
      </c>
      <c r="Q1971" s="29" t="str">
        <f t="shared" si="272"/>
        <v/>
      </c>
      <c r="R1971" s="29" t="str">
        <f t="shared" si="273"/>
        <v/>
      </c>
    </row>
    <row r="1972" spans="1:18">
      <c r="A1972" s="483">
        <f t="shared" si="267"/>
        <v>1968</v>
      </c>
      <c r="B1972" s="77"/>
      <c r="C1972" s="77"/>
      <c r="D1972" s="858"/>
      <c r="E1972" s="858">
        <f t="shared" si="269"/>
        <v>0</v>
      </c>
      <c r="F1972" s="887">
        <f t="shared" si="270"/>
        <v>1900</v>
      </c>
      <c r="G1972" s="888"/>
      <c r="H1972" s="889"/>
      <c r="I1972" s="888"/>
      <c r="J1972" s="888"/>
      <c r="K1972" s="980"/>
      <c r="L1972" s="77"/>
      <c r="M1972" s="78">
        <f t="shared" si="268"/>
        <v>0</v>
      </c>
      <c r="N1972" s="748"/>
      <c r="P1972" s="29" t="str">
        <f t="shared" si="271"/>
        <v>1900</v>
      </c>
      <c r="Q1972" s="29" t="str">
        <f t="shared" si="272"/>
        <v/>
      </c>
      <c r="R1972" s="29" t="str">
        <f t="shared" si="273"/>
        <v/>
      </c>
    </row>
    <row r="1973" spans="1:18">
      <c r="A1973" s="483">
        <f t="shared" si="267"/>
        <v>1969</v>
      </c>
      <c r="B1973" s="77"/>
      <c r="C1973" s="77"/>
      <c r="D1973" s="858"/>
      <c r="E1973" s="858">
        <f t="shared" si="269"/>
        <v>0</v>
      </c>
      <c r="F1973" s="887">
        <f t="shared" si="270"/>
        <v>1900</v>
      </c>
      <c r="G1973" s="888"/>
      <c r="H1973" s="889"/>
      <c r="I1973" s="888"/>
      <c r="J1973" s="888"/>
      <c r="K1973" s="980"/>
      <c r="L1973" s="77"/>
      <c r="M1973" s="78">
        <f t="shared" si="268"/>
        <v>0</v>
      </c>
      <c r="N1973" s="748"/>
      <c r="P1973" s="29" t="str">
        <f t="shared" si="271"/>
        <v>1900</v>
      </c>
      <c r="Q1973" s="29" t="str">
        <f t="shared" si="272"/>
        <v/>
      </c>
      <c r="R1973" s="29" t="str">
        <f t="shared" si="273"/>
        <v/>
      </c>
    </row>
    <row r="1974" spans="1:18">
      <c r="A1974" s="483">
        <f t="shared" si="267"/>
        <v>1970</v>
      </c>
      <c r="B1974" s="77"/>
      <c r="C1974" s="77"/>
      <c r="D1974" s="858"/>
      <c r="E1974" s="858">
        <f t="shared" si="269"/>
        <v>0</v>
      </c>
      <c r="F1974" s="887">
        <f t="shared" si="270"/>
        <v>1900</v>
      </c>
      <c r="G1974" s="888"/>
      <c r="H1974" s="889"/>
      <c r="I1974" s="888"/>
      <c r="J1974" s="888"/>
      <c r="K1974" s="980"/>
      <c r="L1974" s="77"/>
      <c r="M1974" s="78">
        <f t="shared" si="268"/>
        <v>0</v>
      </c>
      <c r="N1974" s="748"/>
      <c r="P1974" s="29" t="str">
        <f t="shared" si="271"/>
        <v>1900</v>
      </c>
      <c r="Q1974" s="29" t="str">
        <f t="shared" si="272"/>
        <v/>
      </c>
      <c r="R1974" s="29" t="str">
        <f t="shared" si="273"/>
        <v/>
      </c>
    </row>
    <row r="1975" spans="1:18">
      <c r="A1975" s="483">
        <f t="shared" si="267"/>
        <v>1971</v>
      </c>
      <c r="B1975" s="77"/>
      <c r="C1975" s="77"/>
      <c r="D1975" s="858"/>
      <c r="E1975" s="858">
        <f t="shared" si="269"/>
        <v>0</v>
      </c>
      <c r="F1975" s="887">
        <f t="shared" si="270"/>
        <v>1900</v>
      </c>
      <c r="G1975" s="888"/>
      <c r="H1975" s="889"/>
      <c r="I1975" s="888"/>
      <c r="J1975" s="888"/>
      <c r="K1975" s="980"/>
      <c r="L1975" s="77"/>
      <c r="M1975" s="78">
        <f t="shared" si="268"/>
        <v>0</v>
      </c>
      <c r="N1975" s="748"/>
      <c r="P1975" s="29" t="str">
        <f t="shared" si="271"/>
        <v>1900</v>
      </c>
      <c r="Q1975" s="29" t="str">
        <f t="shared" si="272"/>
        <v/>
      </c>
      <c r="R1975" s="29" t="str">
        <f t="shared" si="273"/>
        <v/>
      </c>
    </row>
    <row r="1976" spans="1:18">
      <c r="A1976" s="483">
        <f t="shared" si="267"/>
        <v>1972</v>
      </c>
      <c r="B1976" s="77"/>
      <c r="C1976" s="77"/>
      <c r="D1976" s="858"/>
      <c r="E1976" s="858">
        <f t="shared" si="269"/>
        <v>0</v>
      </c>
      <c r="F1976" s="887">
        <f t="shared" si="270"/>
        <v>1900</v>
      </c>
      <c r="G1976" s="888"/>
      <c r="H1976" s="889"/>
      <c r="I1976" s="888"/>
      <c r="J1976" s="888"/>
      <c r="K1976" s="980"/>
      <c r="L1976" s="77"/>
      <c r="M1976" s="78">
        <f t="shared" si="268"/>
        <v>0</v>
      </c>
      <c r="N1976" s="748"/>
      <c r="P1976" s="29" t="str">
        <f t="shared" si="271"/>
        <v>1900</v>
      </c>
      <c r="Q1976" s="29" t="str">
        <f t="shared" si="272"/>
        <v/>
      </c>
      <c r="R1976" s="29" t="str">
        <f t="shared" si="273"/>
        <v/>
      </c>
    </row>
    <row r="1977" spans="1:18">
      <c r="A1977" s="483">
        <f t="shared" si="267"/>
        <v>1973</v>
      </c>
      <c r="B1977" s="77"/>
      <c r="C1977" s="77"/>
      <c r="D1977" s="858"/>
      <c r="E1977" s="858">
        <f t="shared" si="269"/>
        <v>0</v>
      </c>
      <c r="F1977" s="887">
        <f t="shared" si="270"/>
        <v>1900</v>
      </c>
      <c r="G1977" s="888"/>
      <c r="H1977" s="889"/>
      <c r="I1977" s="888"/>
      <c r="J1977" s="888"/>
      <c r="K1977" s="980"/>
      <c r="L1977" s="77"/>
      <c r="M1977" s="78">
        <f t="shared" si="268"/>
        <v>0</v>
      </c>
      <c r="N1977" s="748"/>
      <c r="P1977" s="29" t="str">
        <f t="shared" si="271"/>
        <v>1900</v>
      </c>
      <c r="Q1977" s="29" t="str">
        <f t="shared" si="272"/>
        <v/>
      </c>
      <c r="R1977" s="29" t="str">
        <f t="shared" si="273"/>
        <v/>
      </c>
    </row>
    <row r="1978" spans="1:18">
      <c r="A1978" s="483">
        <f t="shared" si="267"/>
        <v>1974</v>
      </c>
      <c r="B1978" s="77"/>
      <c r="C1978" s="77"/>
      <c r="D1978" s="858"/>
      <c r="E1978" s="858">
        <f t="shared" si="269"/>
        <v>0</v>
      </c>
      <c r="F1978" s="887">
        <f t="shared" si="270"/>
        <v>1900</v>
      </c>
      <c r="G1978" s="888"/>
      <c r="H1978" s="889"/>
      <c r="I1978" s="888"/>
      <c r="J1978" s="888"/>
      <c r="K1978" s="980"/>
      <c r="L1978" s="77"/>
      <c r="M1978" s="78">
        <f t="shared" si="268"/>
        <v>0</v>
      </c>
      <c r="N1978" s="748"/>
      <c r="P1978" s="29" t="str">
        <f t="shared" si="271"/>
        <v>1900</v>
      </c>
      <c r="Q1978" s="29" t="str">
        <f t="shared" si="272"/>
        <v/>
      </c>
      <c r="R1978" s="29" t="str">
        <f t="shared" si="273"/>
        <v/>
      </c>
    </row>
    <row r="1979" spans="1:18">
      <c r="A1979" s="483">
        <f t="shared" si="267"/>
        <v>1975</v>
      </c>
      <c r="B1979" s="77"/>
      <c r="C1979" s="77"/>
      <c r="D1979" s="858"/>
      <c r="E1979" s="858">
        <f t="shared" si="269"/>
        <v>0</v>
      </c>
      <c r="F1979" s="887">
        <f t="shared" si="270"/>
        <v>1900</v>
      </c>
      <c r="G1979" s="888"/>
      <c r="H1979" s="889"/>
      <c r="I1979" s="888"/>
      <c r="J1979" s="888"/>
      <c r="K1979" s="980"/>
      <c r="L1979" s="77"/>
      <c r="M1979" s="78">
        <f t="shared" si="268"/>
        <v>0</v>
      </c>
      <c r="N1979" s="748"/>
      <c r="P1979" s="29" t="str">
        <f t="shared" si="271"/>
        <v>1900</v>
      </c>
      <c r="Q1979" s="29" t="str">
        <f t="shared" si="272"/>
        <v/>
      </c>
      <c r="R1979" s="29" t="str">
        <f t="shared" si="273"/>
        <v/>
      </c>
    </row>
    <row r="1980" spans="1:18">
      <c r="A1980" s="483">
        <f t="shared" si="267"/>
        <v>1976</v>
      </c>
      <c r="B1980" s="77"/>
      <c r="C1980" s="77"/>
      <c r="D1980" s="858"/>
      <c r="E1980" s="858">
        <f t="shared" si="269"/>
        <v>0</v>
      </c>
      <c r="F1980" s="887">
        <f t="shared" si="270"/>
        <v>1900</v>
      </c>
      <c r="G1980" s="888"/>
      <c r="H1980" s="889"/>
      <c r="I1980" s="888"/>
      <c r="J1980" s="888"/>
      <c r="K1980" s="980"/>
      <c r="L1980" s="77"/>
      <c r="M1980" s="78">
        <f t="shared" si="268"/>
        <v>0</v>
      </c>
      <c r="N1980" s="748"/>
      <c r="P1980" s="29" t="str">
        <f t="shared" si="271"/>
        <v>1900</v>
      </c>
      <c r="Q1980" s="29" t="str">
        <f t="shared" si="272"/>
        <v/>
      </c>
      <c r="R1980" s="29" t="str">
        <f t="shared" si="273"/>
        <v/>
      </c>
    </row>
    <row r="1981" spans="1:18">
      <c r="A1981" s="483">
        <f t="shared" si="267"/>
        <v>1977</v>
      </c>
      <c r="B1981" s="77"/>
      <c r="C1981" s="77"/>
      <c r="D1981" s="858"/>
      <c r="E1981" s="858">
        <f t="shared" si="269"/>
        <v>0</v>
      </c>
      <c r="F1981" s="887">
        <f t="shared" si="270"/>
        <v>1900</v>
      </c>
      <c r="G1981" s="888"/>
      <c r="H1981" s="889"/>
      <c r="I1981" s="888"/>
      <c r="J1981" s="888"/>
      <c r="K1981" s="980"/>
      <c r="L1981" s="77"/>
      <c r="M1981" s="78">
        <f t="shared" si="268"/>
        <v>0</v>
      </c>
      <c r="N1981" s="748"/>
      <c r="P1981" s="29" t="str">
        <f t="shared" si="271"/>
        <v>1900</v>
      </c>
      <c r="Q1981" s="29" t="str">
        <f t="shared" si="272"/>
        <v/>
      </c>
      <c r="R1981" s="29" t="str">
        <f t="shared" si="273"/>
        <v/>
      </c>
    </row>
    <row r="1982" spans="1:18">
      <c r="A1982" s="483">
        <f t="shared" si="267"/>
        <v>1978</v>
      </c>
      <c r="B1982" s="77"/>
      <c r="C1982" s="77"/>
      <c r="D1982" s="858"/>
      <c r="E1982" s="858">
        <f t="shared" si="269"/>
        <v>0</v>
      </c>
      <c r="F1982" s="887">
        <f t="shared" si="270"/>
        <v>1900</v>
      </c>
      <c r="G1982" s="888"/>
      <c r="H1982" s="889"/>
      <c r="I1982" s="888"/>
      <c r="J1982" s="888"/>
      <c r="K1982" s="980"/>
      <c r="L1982" s="77"/>
      <c r="M1982" s="78">
        <f t="shared" si="268"/>
        <v>0</v>
      </c>
      <c r="N1982" s="748"/>
      <c r="P1982" s="29" t="str">
        <f t="shared" si="271"/>
        <v>1900</v>
      </c>
      <c r="Q1982" s="29" t="str">
        <f t="shared" si="272"/>
        <v/>
      </c>
      <c r="R1982" s="29" t="str">
        <f t="shared" si="273"/>
        <v/>
      </c>
    </row>
    <row r="1983" spans="1:18">
      <c r="A1983" s="483">
        <f t="shared" si="267"/>
        <v>1979</v>
      </c>
      <c r="B1983" s="77"/>
      <c r="C1983" s="77"/>
      <c r="D1983" s="858"/>
      <c r="E1983" s="858">
        <f t="shared" si="269"/>
        <v>0</v>
      </c>
      <c r="F1983" s="887">
        <f t="shared" si="270"/>
        <v>1900</v>
      </c>
      <c r="G1983" s="888"/>
      <c r="H1983" s="889"/>
      <c r="I1983" s="888"/>
      <c r="J1983" s="888"/>
      <c r="K1983" s="980"/>
      <c r="L1983" s="77"/>
      <c r="M1983" s="78">
        <f t="shared" si="268"/>
        <v>0</v>
      </c>
      <c r="N1983" s="748"/>
      <c r="P1983" s="29" t="str">
        <f t="shared" si="271"/>
        <v>1900</v>
      </c>
      <c r="Q1983" s="29" t="str">
        <f t="shared" si="272"/>
        <v/>
      </c>
      <c r="R1983" s="29" t="str">
        <f t="shared" si="273"/>
        <v/>
      </c>
    </row>
    <row r="1984" spans="1:18">
      <c r="A1984" s="483">
        <f t="shared" si="267"/>
        <v>1980</v>
      </c>
      <c r="B1984" s="77"/>
      <c r="C1984" s="77"/>
      <c r="D1984" s="858"/>
      <c r="E1984" s="858">
        <f t="shared" si="269"/>
        <v>0</v>
      </c>
      <c r="F1984" s="887">
        <f t="shared" si="270"/>
        <v>1900</v>
      </c>
      <c r="G1984" s="888"/>
      <c r="H1984" s="889"/>
      <c r="I1984" s="888"/>
      <c r="J1984" s="888"/>
      <c r="K1984" s="980"/>
      <c r="L1984" s="77"/>
      <c r="M1984" s="78">
        <f t="shared" si="268"/>
        <v>0</v>
      </c>
      <c r="N1984" s="748"/>
      <c r="P1984" s="29" t="str">
        <f t="shared" si="271"/>
        <v>1900</v>
      </c>
      <c r="Q1984" s="29" t="str">
        <f t="shared" si="272"/>
        <v/>
      </c>
      <c r="R1984" s="29" t="str">
        <f t="shared" si="273"/>
        <v/>
      </c>
    </row>
    <row r="1985" spans="1:18">
      <c r="A1985" s="483">
        <f t="shared" si="267"/>
        <v>1981</v>
      </c>
      <c r="B1985" s="77"/>
      <c r="C1985" s="77"/>
      <c r="D1985" s="858"/>
      <c r="E1985" s="858">
        <f t="shared" si="269"/>
        <v>0</v>
      </c>
      <c r="F1985" s="887">
        <f t="shared" si="270"/>
        <v>1900</v>
      </c>
      <c r="G1985" s="888"/>
      <c r="H1985" s="889"/>
      <c r="I1985" s="888"/>
      <c r="J1985" s="888"/>
      <c r="K1985" s="980"/>
      <c r="L1985" s="77"/>
      <c r="M1985" s="78">
        <f t="shared" si="268"/>
        <v>0</v>
      </c>
      <c r="N1985" s="748"/>
      <c r="P1985" s="29" t="str">
        <f t="shared" si="271"/>
        <v>1900</v>
      </c>
      <c r="Q1985" s="29" t="str">
        <f t="shared" si="272"/>
        <v/>
      </c>
      <c r="R1985" s="29" t="str">
        <f t="shared" si="273"/>
        <v/>
      </c>
    </row>
    <row r="1986" spans="1:18">
      <c r="A1986" s="483">
        <f t="shared" si="267"/>
        <v>1982</v>
      </c>
      <c r="B1986" s="77"/>
      <c r="C1986" s="77"/>
      <c r="D1986" s="858"/>
      <c r="E1986" s="858">
        <f t="shared" si="269"/>
        <v>0</v>
      </c>
      <c r="F1986" s="887">
        <f t="shared" si="270"/>
        <v>1900</v>
      </c>
      <c r="G1986" s="888"/>
      <c r="H1986" s="889"/>
      <c r="I1986" s="888"/>
      <c r="J1986" s="888"/>
      <c r="K1986" s="980"/>
      <c r="L1986" s="77"/>
      <c r="M1986" s="78">
        <f t="shared" si="268"/>
        <v>0</v>
      </c>
      <c r="N1986" s="748"/>
      <c r="P1986" s="29" t="str">
        <f t="shared" si="271"/>
        <v>1900</v>
      </c>
      <c r="Q1986" s="29" t="str">
        <f t="shared" si="272"/>
        <v/>
      </c>
      <c r="R1986" s="29" t="str">
        <f t="shared" si="273"/>
        <v/>
      </c>
    </row>
    <row r="1987" spans="1:18">
      <c r="A1987" s="483">
        <f t="shared" si="267"/>
        <v>1983</v>
      </c>
      <c r="B1987" s="77"/>
      <c r="C1987" s="77"/>
      <c r="D1987" s="858"/>
      <c r="E1987" s="858">
        <f t="shared" si="269"/>
        <v>0</v>
      </c>
      <c r="F1987" s="887">
        <f t="shared" si="270"/>
        <v>1900</v>
      </c>
      <c r="G1987" s="888"/>
      <c r="H1987" s="889"/>
      <c r="I1987" s="888"/>
      <c r="J1987" s="888"/>
      <c r="K1987" s="980"/>
      <c r="L1987" s="77"/>
      <c r="M1987" s="78">
        <f t="shared" si="268"/>
        <v>0</v>
      </c>
      <c r="N1987" s="748"/>
      <c r="P1987" s="29" t="str">
        <f t="shared" si="271"/>
        <v>1900</v>
      </c>
      <c r="Q1987" s="29" t="str">
        <f t="shared" si="272"/>
        <v/>
      </c>
      <c r="R1987" s="29" t="str">
        <f t="shared" si="273"/>
        <v/>
      </c>
    </row>
    <row r="1988" spans="1:18">
      <c r="A1988" s="483">
        <f t="shared" si="267"/>
        <v>1984</v>
      </c>
      <c r="B1988" s="77"/>
      <c r="C1988" s="77"/>
      <c r="D1988" s="858"/>
      <c r="E1988" s="858">
        <f t="shared" si="269"/>
        <v>0</v>
      </c>
      <c r="F1988" s="887">
        <f t="shared" si="270"/>
        <v>1900</v>
      </c>
      <c r="G1988" s="888"/>
      <c r="H1988" s="889"/>
      <c r="I1988" s="888"/>
      <c r="J1988" s="888"/>
      <c r="K1988" s="980"/>
      <c r="L1988" s="77"/>
      <c r="M1988" s="78">
        <f t="shared" si="268"/>
        <v>0</v>
      </c>
      <c r="N1988" s="748"/>
      <c r="P1988" s="29" t="str">
        <f t="shared" si="271"/>
        <v>1900</v>
      </c>
      <c r="Q1988" s="29" t="str">
        <f t="shared" si="272"/>
        <v/>
      </c>
      <c r="R1988" s="29" t="str">
        <f t="shared" si="273"/>
        <v/>
      </c>
    </row>
    <row r="1989" spans="1:18">
      <c r="A1989" s="483">
        <f t="shared" si="267"/>
        <v>1985</v>
      </c>
      <c r="B1989" s="77"/>
      <c r="C1989" s="77"/>
      <c r="D1989" s="858"/>
      <c r="E1989" s="858">
        <f t="shared" si="269"/>
        <v>0</v>
      </c>
      <c r="F1989" s="887">
        <f t="shared" si="270"/>
        <v>1900</v>
      </c>
      <c r="G1989" s="888"/>
      <c r="H1989" s="889"/>
      <c r="I1989" s="888"/>
      <c r="J1989" s="888"/>
      <c r="K1989" s="980"/>
      <c r="L1989" s="77"/>
      <c r="M1989" s="78">
        <f t="shared" si="268"/>
        <v>0</v>
      </c>
      <c r="N1989" s="748"/>
      <c r="P1989" s="29" t="str">
        <f t="shared" si="271"/>
        <v>1900</v>
      </c>
      <c r="Q1989" s="29" t="str">
        <f t="shared" si="272"/>
        <v/>
      </c>
      <c r="R1989" s="29" t="str">
        <f t="shared" si="273"/>
        <v/>
      </c>
    </row>
    <row r="1990" spans="1:18">
      <c r="A1990" s="483">
        <f t="shared" si="267"/>
        <v>1986</v>
      </c>
      <c r="B1990" s="77"/>
      <c r="C1990" s="77"/>
      <c r="D1990" s="858"/>
      <c r="E1990" s="858">
        <f t="shared" si="269"/>
        <v>0</v>
      </c>
      <c r="F1990" s="887">
        <f t="shared" si="270"/>
        <v>1900</v>
      </c>
      <c r="G1990" s="888"/>
      <c r="H1990" s="889"/>
      <c r="I1990" s="888"/>
      <c r="J1990" s="888"/>
      <c r="K1990" s="980"/>
      <c r="L1990" s="77"/>
      <c r="M1990" s="78">
        <f t="shared" si="268"/>
        <v>0</v>
      </c>
      <c r="N1990" s="748"/>
      <c r="P1990" s="29" t="str">
        <f t="shared" si="271"/>
        <v>1900</v>
      </c>
      <c r="Q1990" s="29" t="str">
        <f t="shared" si="272"/>
        <v/>
      </c>
      <c r="R1990" s="29" t="str">
        <f t="shared" si="273"/>
        <v/>
      </c>
    </row>
    <row r="1991" spans="1:18">
      <c r="A1991" s="483">
        <f t="shared" si="267"/>
        <v>1987</v>
      </c>
      <c r="B1991" s="77"/>
      <c r="C1991" s="77"/>
      <c r="D1991" s="858"/>
      <c r="E1991" s="858">
        <f t="shared" si="269"/>
        <v>0</v>
      </c>
      <c r="F1991" s="887">
        <f t="shared" si="270"/>
        <v>1900</v>
      </c>
      <c r="G1991" s="888"/>
      <c r="H1991" s="889"/>
      <c r="I1991" s="888"/>
      <c r="J1991" s="888"/>
      <c r="K1991" s="980"/>
      <c r="L1991" s="77"/>
      <c r="M1991" s="78">
        <f t="shared" si="268"/>
        <v>0</v>
      </c>
      <c r="N1991" s="748"/>
      <c r="P1991" s="29" t="str">
        <f t="shared" si="271"/>
        <v>1900</v>
      </c>
      <c r="Q1991" s="29" t="str">
        <f t="shared" si="272"/>
        <v/>
      </c>
      <c r="R1991" s="29" t="str">
        <f t="shared" si="273"/>
        <v/>
      </c>
    </row>
    <row r="1992" spans="1:18">
      <c r="A1992" s="483">
        <f t="shared" ref="A1992:A2005" si="274">+A1991+1</f>
        <v>1988</v>
      </c>
      <c r="B1992" s="77"/>
      <c r="C1992" s="77"/>
      <c r="D1992" s="858"/>
      <c r="E1992" s="858">
        <f t="shared" si="269"/>
        <v>0</v>
      </c>
      <c r="F1992" s="887">
        <f t="shared" si="270"/>
        <v>1900</v>
      </c>
      <c r="G1992" s="888"/>
      <c r="H1992" s="889"/>
      <c r="I1992" s="888"/>
      <c r="J1992" s="888"/>
      <c r="K1992" s="980"/>
      <c r="L1992" s="77"/>
      <c r="M1992" s="78">
        <f t="shared" si="268"/>
        <v>0</v>
      </c>
      <c r="N1992" s="748"/>
      <c r="P1992" s="29" t="str">
        <f t="shared" si="271"/>
        <v>1900</v>
      </c>
      <c r="Q1992" s="29" t="str">
        <f t="shared" si="272"/>
        <v/>
      </c>
      <c r="R1992" s="29" t="str">
        <f t="shared" si="273"/>
        <v/>
      </c>
    </row>
    <row r="1993" spans="1:18">
      <c r="A1993" s="483">
        <f t="shared" si="274"/>
        <v>1989</v>
      </c>
      <c r="B1993" s="77"/>
      <c r="C1993" s="77"/>
      <c r="D1993" s="858"/>
      <c r="E1993" s="858">
        <f t="shared" si="269"/>
        <v>0</v>
      </c>
      <c r="F1993" s="887">
        <f t="shared" si="270"/>
        <v>1900</v>
      </c>
      <c r="G1993" s="888"/>
      <c r="H1993" s="889"/>
      <c r="I1993" s="888"/>
      <c r="J1993" s="888"/>
      <c r="K1993" s="980"/>
      <c r="L1993" s="77"/>
      <c r="M1993" s="78">
        <f t="shared" si="268"/>
        <v>0</v>
      </c>
      <c r="N1993" s="748"/>
      <c r="P1993" s="29" t="str">
        <f t="shared" si="271"/>
        <v>1900</v>
      </c>
      <c r="Q1993" s="29" t="str">
        <f t="shared" si="272"/>
        <v/>
      </c>
      <c r="R1993" s="29" t="str">
        <f t="shared" si="273"/>
        <v/>
      </c>
    </row>
    <row r="1994" spans="1:18">
      <c r="A1994" s="483">
        <f t="shared" si="274"/>
        <v>1990</v>
      </c>
      <c r="B1994" s="77"/>
      <c r="C1994" s="77"/>
      <c r="D1994" s="858"/>
      <c r="E1994" s="858">
        <f t="shared" si="269"/>
        <v>0</v>
      </c>
      <c r="F1994" s="887">
        <f t="shared" si="270"/>
        <v>1900</v>
      </c>
      <c r="G1994" s="888"/>
      <c r="H1994" s="889"/>
      <c r="I1994" s="888"/>
      <c r="J1994" s="888"/>
      <c r="K1994" s="980"/>
      <c r="L1994" s="77"/>
      <c r="M1994" s="78">
        <f t="shared" si="268"/>
        <v>0</v>
      </c>
      <c r="N1994" s="748"/>
      <c r="P1994" s="29" t="str">
        <f t="shared" si="271"/>
        <v>1900</v>
      </c>
      <c r="Q1994" s="29" t="str">
        <f t="shared" si="272"/>
        <v/>
      </c>
      <c r="R1994" s="29" t="str">
        <f t="shared" si="273"/>
        <v/>
      </c>
    </row>
    <row r="1995" spans="1:18">
      <c r="A1995" s="483">
        <f t="shared" si="274"/>
        <v>1991</v>
      </c>
      <c r="B1995" s="77"/>
      <c r="C1995" s="77"/>
      <c r="D1995" s="858"/>
      <c r="E1995" s="858">
        <f t="shared" si="269"/>
        <v>0</v>
      </c>
      <c r="F1995" s="887">
        <f t="shared" si="270"/>
        <v>1900</v>
      </c>
      <c r="G1995" s="888"/>
      <c r="H1995" s="889"/>
      <c r="I1995" s="888"/>
      <c r="J1995" s="888"/>
      <c r="K1995" s="980"/>
      <c r="L1995" s="77"/>
      <c r="M1995" s="78">
        <f t="shared" si="268"/>
        <v>0</v>
      </c>
      <c r="N1995" s="748"/>
      <c r="P1995" s="29" t="str">
        <f t="shared" si="271"/>
        <v>1900</v>
      </c>
      <c r="Q1995" s="29" t="str">
        <f t="shared" si="272"/>
        <v/>
      </c>
      <c r="R1995" s="29" t="str">
        <f t="shared" si="273"/>
        <v/>
      </c>
    </row>
    <row r="1996" spans="1:18">
      <c r="A1996" s="483">
        <f t="shared" si="274"/>
        <v>1992</v>
      </c>
      <c r="B1996" s="77"/>
      <c r="C1996" s="77"/>
      <c r="D1996" s="858"/>
      <c r="E1996" s="858">
        <f t="shared" si="269"/>
        <v>0</v>
      </c>
      <c r="F1996" s="887">
        <f t="shared" si="270"/>
        <v>1900</v>
      </c>
      <c r="G1996" s="888"/>
      <c r="H1996" s="889"/>
      <c r="I1996" s="888"/>
      <c r="J1996" s="888"/>
      <c r="K1996" s="980"/>
      <c r="L1996" s="77"/>
      <c r="M1996" s="78">
        <f t="shared" ref="M1996:M2005" si="275">+L1996</f>
        <v>0</v>
      </c>
      <c r="N1996" s="748"/>
      <c r="P1996" s="29" t="str">
        <f t="shared" si="271"/>
        <v>1900</v>
      </c>
      <c r="Q1996" s="29" t="str">
        <f t="shared" si="272"/>
        <v/>
      </c>
      <c r="R1996" s="29" t="str">
        <f t="shared" si="273"/>
        <v/>
      </c>
    </row>
    <row r="1997" spans="1:18">
      <c r="A1997" s="483">
        <f t="shared" si="274"/>
        <v>1993</v>
      </c>
      <c r="B1997" s="77"/>
      <c r="C1997" s="77"/>
      <c r="D1997" s="858"/>
      <c r="E1997" s="858">
        <f t="shared" si="269"/>
        <v>0</v>
      </c>
      <c r="F1997" s="887">
        <f t="shared" si="270"/>
        <v>1900</v>
      </c>
      <c r="G1997" s="888"/>
      <c r="H1997" s="889"/>
      <c r="I1997" s="888"/>
      <c r="J1997" s="888"/>
      <c r="K1997" s="980"/>
      <c r="L1997" s="77"/>
      <c r="M1997" s="78">
        <f t="shared" si="275"/>
        <v>0</v>
      </c>
      <c r="N1997" s="748"/>
      <c r="P1997" s="29" t="str">
        <f t="shared" si="271"/>
        <v>1900</v>
      </c>
      <c r="Q1997" s="29" t="str">
        <f t="shared" si="272"/>
        <v/>
      </c>
      <c r="R1997" s="29" t="str">
        <f t="shared" si="273"/>
        <v/>
      </c>
    </row>
    <row r="1998" spans="1:18">
      <c r="A1998" s="483">
        <f t="shared" si="274"/>
        <v>1994</v>
      </c>
      <c r="B1998" s="77"/>
      <c r="C1998" s="77"/>
      <c r="D1998" s="858"/>
      <c r="E1998" s="858">
        <f t="shared" si="269"/>
        <v>0</v>
      </c>
      <c r="F1998" s="887">
        <f t="shared" si="270"/>
        <v>1900</v>
      </c>
      <c r="G1998" s="888"/>
      <c r="H1998" s="889"/>
      <c r="I1998" s="888"/>
      <c r="J1998" s="888"/>
      <c r="K1998" s="980"/>
      <c r="L1998" s="77"/>
      <c r="M1998" s="78">
        <f t="shared" si="275"/>
        <v>0</v>
      </c>
      <c r="N1998" s="748"/>
      <c r="P1998" s="29" t="str">
        <f t="shared" si="271"/>
        <v>1900</v>
      </c>
      <c r="Q1998" s="29" t="str">
        <f t="shared" si="272"/>
        <v/>
      </c>
      <c r="R1998" s="29" t="str">
        <f t="shared" si="273"/>
        <v/>
      </c>
    </row>
    <row r="1999" spans="1:18">
      <c r="A1999" s="483">
        <f t="shared" si="274"/>
        <v>1995</v>
      </c>
      <c r="B1999" s="77"/>
      <c r="C1999" s="77"/>
      <c r="D1999" s="858"/>
      <c r="E1999" s="858">
        <f t="shared" si="269"/>
        <v>0</v>
      </c>
      <c r="F1999" s="887">
        <f t="shared" si="270"/>
        <v>1900</v>
      </c>
      <c r="G1999" s="888"/>
      <c r="H1999" s="889"/>
      <c r="I1999" s="888"/>
      <c r="J1999" s="888"/>
      <c r="K1999" s="980"/>
      <c r="L1999" s="77"/>
      <c r="M1999" s="78">
        <f t="shared" si="275"/>
        <v>0</v>
      </c>
      <c r="N1999" s="748"/>
      <c r="P1999" s="29" t="str">
        <f t="shared" si="271"/>
        <v>1900</v>
      </c>
      <c r="Q1999" s="29" t="str">
        <f t="shared" si="272"/>
        <v/>
      </c>
      <c r="R1999" s="29" t="str">
        <f t="shared" si="273"/>
        <v/>
      </c>
    </row>
    <row r="2000" spans="1:18">
      <c r="A2000" s="483">
        <f t="shared" si="274"/>
        <v>1996</v>
      </c>
      <c r="B2000" s="77"/>
      <c r="C2000" s="77"/>
      <c r="D2000" s="858"/>
      <c r="E2000" s="858">
        <f t="shared" si="269"/>
        <v>0</v>
      </c>
      <c r="F2000" s="887">
        <f t="shared" si="270"/>
        <v>1900</v>
      </c>
      <c r="G2000" s="888"/>
      <c r="H2000" s="889"/>
      <c r="I2000" s="888"/>
      <c r="J2000" s="888"/>
      <c r="K2000" s="980"/>
      <c r="L2000" s="77"/>
      <c r="M2000" s="78">
        <f t="shared" si="275"/>
        <v>0</v>
      </c>
      <c r="N2000" s="748"/>
      <c r="P2000" s="29" t="str">
        <f t="shared" si="271"/>
        <v>1900</v>
      </c>
      <c r="Q2000" s="29" t="str">
        <f t="shared" si="272"/>
        <v/>
      </c>
      <c r="R2000" s="29" t="str">
        <f t="shared" si="273"/>
        <v/>
      </c>
    </row>
    <row r="2001" spans="1:18">
      <c r="A2001" s="483">
        <f t="shared" si="274"/>
        <v>1997</v>
      </c>
      <c r="B2001" s="77"/>
      <c r="C2001" s="77"/>
      <c r="D2001" s="858"/>
      <c r="E2001" s="858">
        <f t="shared" si="269"/>
        <v>0</v>
      </c>
      <c r="F2001" s="887">
        <f t="shared" si="270"/>
        <v>1900</v>
      </c>
      <c r="G2001" s="888"/>
      <c r="H2001" s="889"/>
      <c r="I2001" s="888"/>
      <c r="J2001" s="888"/>
      <c r="K2001" s="980"/>
      <c r="L2001" s="77"/>
      <c r="M2001" s="78">
        <f t="shared" si="275"/>
        <v>0</v>
      </c>
      <c r="N2001" s="748"/>
      <c r="P2001" s="29" t="str">
        <f t="shared" si="271"/>
        <v>1900</v>
      </c>
      <c r="Q2001" s="29" t="str">
        <f t="shared" si="272"/>
        <v/>
      </c>
      <c r="R2001" s="29" t="str">
        <f t="shared" si="273"/>
        <v/>
      </c>
    </row>
    <row r="2002" spans="1:18">
      <c r="A2002" s="483">
        <f t="shared" si="274"/>
        <v>1998</v>
      </c>
      <c r="B2002" s="77"/>
      <c r="C2002" s="77"/>
      <c r="D2002" s="858"/>
      <c r="E2002" s="858">
        <f t="shared" si="269"/>
        <v>0</v>
      </c>
      <c r="F2002" s="887">
        <f t="shared" si="270"/>
        <v>1900</v>
      </c>
      <c r="G2002" s="888"/>
      <c r="H2002" s="889"/>
      <c r="I2002" s="888"/>
      <c r="J2002" s="888"/>
      <c r="K2002" s="980"/>
      <c r="L2002" s="77"/>
      <c r="M2002" s="78">
        <f t="shared" si="275"/>
        <v>0</v>
      </c>
      <c r="N2002" s="748"/>
      <c r="P2002" s="29" t="str">
        <f t="shared" si="271"/>
        <v>1900</v>
      </c>
      <c r="Q2002" s="29" t="str">
        <f t="shared" si="272"/>
        <v/>
      </c>
      <c r="R2002" s="29" t="str">
        <f t="shared" si="273"/>
        <v/>
      </c>
    </row>
    <row r="2003" spans="1:18">
      <c r="A2003" s="483">
        <f t="shared" si="274"/>
        <v>1999</v>
      </c>
      <c r="B2003" s="77"/>
      <c r="C2003" s="77"/>
      <c r="D2003" s="858"/>
      <c r="E2003" s="858">
        <f t="shared" si="269"/>
        <v>0</v>
      </c>
      <c r="F2003" s="887">
        <f t="shared" si="270"/>
        <v>1900</v>
      </c>
      <c r="G2003" s="888"/>
      <c r="H2003" s="889"/>
      <c r="I2003" s="888"/>
      <c r="J2003" s="888"/>
      <c r="K2003" s="980"/>
      <c r="L2003" s="77"/>
      <c r="M2003" s="78">
        <f t="shared" si="275"/>
        <v>0</v>
      </c>
      <c r="N2003" s="748"/>
      <c r="P2003" s="29" t="str">
        <f t="shared" si="271"/>
        <v>1900</v>
      </c>
      <c r="Q2003" s="29" t="str">
        <f t="shared" si="272"/>
        <v/>
      </c>
      <c r="R2003" s="29" t="str">
        <f t="shared" si="273"/>
        <v/>
      </c>
    </row>
    <row r="2004" spans="1:18">
      <c r="A2004" s="483">
        <f t="shared" si="274"/>
        <v>2000</v>
      </c>
      <c r="B2004" s="77"/>
      <c r="C2004" s="77"/>
      <c r="D2004" s="858"/>
      <c r="E2004" s="858">
        <f t="shared" si="269"/>
        <v>0</v>
      </c>
      <c r="F2004" s="887">
        <f t="shared" si="270"/>
        <v>1900</v>
      </c>
      <c r="G2004" s="888"/>
      <c r="H2004" s="889"/>
      <c r="I2004" s="888"/>
      <c r="J2004" s="888"/>
      <c r="K2004" s="980"/>
      <c r="L2004" s="77"/>
      <c r="M2004" s="78">
        <f t="shared" si="275"/>
        <v>0</v>
      </c>
      <c r="N2004" s="748"/>
      <c r="P2004" s="29" t="str">
        <f t="shared" si="271"/>
        <v>1900</v>
      </c>
      <c r="Q2004" s="29" t="str">
        <f t="shared" si="272"/>
        <v/>
      </c>
      <c r="R2004" s="29" t="str">
        <f t="shared" si="273"/>
        <v/>
      </c>
    </row>
    <row r="2005" spans="1:18">
      <c r="A2005" s="483">
        <f t="shared" si="274"/>
        <v>2001</v>
      </c>
      <c r="B2005" s="77"/>
      <c r="C2005" s="77"/>
      <c r="D2005" s="858"/>
      <c r="E2005" s="858">
        <f t="shared" si="269"/>
        <v>0</v>
      </c>
      <c r="F2005" s="887">
        <f t="shared" si="270"/>
        <v>1900</v>
      </c>
      <c r="G2005" s="888"/>
      <c r="H2005" s="889"/>
      <c r="I2005" s="888"/>
      <c r="J2005" s="888"/>
      <c r="K2005" s="980"/>
      <c r="L2005" s="77"/>
      <c r="M2005" s="78">
        <f t="shared" si="275"/>
        <v>0</v>
      </c>
      <c r="N2005" s="748"/>
      <c r="P2005" s="29" t="str">
        <f t="shared" si="271"/>
        <v>1900</v>
      </c>
      <c r="Q2005" s="29" t="str">
        <f t="shared" si="272"/>
        <v/>
      </c>
      <c r="R2005" s="29" t="str">
        <f t="shared" si="273"/>
        <v/>
      </c>
    </row>
    <row r="2006" spans="1:18"/>
    <row r="2007" spans="1:18"/>
    <row r="2008" spans="1:18"/>
    <row r="2009" spans="1:18"/>
    <row r="2010" spans="1:18"/>
    <row r="2011" spans="1:18"/>
    <row r="2012" spans="1:18"/>
    <row r="2013" spans="1:18"/>
    <row r="2014" spans="1:18"/>
    <row r="2015" spans="1:18"/>
    <row r="2016" spans="1:18"/>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sheetData>
  <autoFilter ref="C4:K2005"/>
  <mergeCells count="1">
    <mergeCell ref="A1:N1"/>
  </mergeCells>
  <dataValidations count="2">
    <dataValidation type="list" allowBlank="1" showInputMessage="1" showErrorMessage="1" sqref="H1037:H1072 H1074:H1221">
      <formula1>rating</formula1>
    </dataValidation>
    <dataValidation type="list" allowBlank="1" showInputMessage="1" showErrorMessage="1" sqref="G1037:G1221">
      <formula1>counties</formula1>
    </dataValidation>
  </dataValidations>
  <printOptions horizontalCentered="1"/>
  <pageMargins left="0.43" right="0.25" top="1.25" bottom="0.5" header="0.3" footer="0"/>
  <pageSetup orientation="landscape" r:id="rId1"/>
  <headerFooter scaleWithDoc="0">
    <oddFooter>&amp;CPage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7"/>
  <sheetViews>
    <sheetView workbookViewId="0">
      <pane ySplit="10" topLeftCell="A95" activePane="bottomLeft" state="frozen"/>
      <selection activeCell="B1" sqref="B1"/>
      <selection pane="bottomLeft" activeCell="A84" sqref="A84"/>
    </sheetView>
  </sheetViews>
  <sheetFormatPr defaultColWidth="0" defaultRowHeight="15"/>
  <cols>
    <col min="1" max="1" width="2.77734375" customWidth="1"/>
    <col min="2" max="2" width="10.77734375" customWidth="1"/>
    <col min="3" max="26" width="8.77734375" customWidth="1"/>
  </cols>
  <sheetData>
    <row r="1" spans="1:23" ht="26.25">
      <c r="A1" s="1"/>
      <c r="B1" s="1045" t="s">
        <v>832</v>
      </c>
      <c r="C1" s="1046"/>
      <c r="D1" s="1046"/>
      <c r="E1" s="1046"/>
      <c r="F1" s="1046"/>
      <c r="G1" s="1046"/>
      <c r="H1" s="1046"/>
      <c r="I1" s="1046"/>
      <c r="J1" s="1046"/>
      <c r="K1" s="1046"/>
      <c r="L1" s="1046"/>
      <c r="M1" s="1"/>
      <c r="N1" s="1"/>
      <c r="O1" s="1"/>
      <c r="P1" s="1"/>
      <c r="Q1" s="1"/>
      <c r="R1" s="1"/>
      <c r="S1" s="1"/>
      <c r="T1" s="1"/>
      <c r="U1" s="1"/>
      <c r="V1" s="1"/>
      <c r="W1" s="1"/>
    </row>
    <row r="2" spans="1:23" ht="15.75" thickBot="1">
      <c r="A2" s="1"/>
      <c r="B2" s="1047" t="s">
        <v>127</v>
      </c>
      <c r="C2" s="1046"/>
      <c r="D2" s="1046"/>
      <c r="E2" s="1046"/>
      <c r="F2" s="1046"/>
      <c r="G2" s="1046"/>
      <c r="H2" s="1046"/>
      <c r="I2" s="1046"/>
      <c r="J2" s="1046"/>
      <c r="K2" s="1046"/>
      <c r="L2" s="1046"/>
      <c r="M2" s="1"/>
      <c r="N2" s="1"/>
      <c r="O2" s="1"/>
      <c r="P2" s="1"/>
      <c r="Q2" s="1"/>
      <c r="R2" s="1"/>
      <c r="S2" s="1"/>
      <c r="T2" s="1"/>
      <c r="U2" s="1"/>
      <c r="V2" s="1"/>
      <c r="W2" s="1"/>
    </row>
    <row r="3" spans="1:23" ht="15.75" thickTop="1">
      <c r="A3" s="1"/>
      <c r="B3" s="442"/>
      <c r="H3" s="529" t="s">
        <v>959</v>
      </c>
      <c r="I3" s="530"/>
      <c r="J3" s="531"/>
      <c r="K3" s="531"/>
      <c r="L3" s="532"/>
      <c r="M3" s="1"/>
      <c r="N3" s="1"/>
      <c r="O3" s="1"/>
      <c r="P3" s="1"/>
      <c r="Q3" s="1"/>
      <c r="R3" s="1"/>
      <c r="S3" s="1"/>
      <c r="T3" s="1"/>
      <c r="U3" s="1"/>
      <c r="V3" s="1"/>
      <c r="W3" s="1"/>
    </row>
    <row r="4" spans="1:23" ht="15.75" thickBot="1">
      <c r="A4" s="1"/>
      <c r="B4" s="1"/>
      <c r="C4" s="1"/>
      <c r="D4" s="1"/>
      <c r="E4" s="1"/>
      <c r="F4" s="1"/>
      <c r="G4" s="1"/>
      <c r="H4" s="533" t="s">
        <v>857</v>
      </c>
      <c r="I4" s="3"/>
      <c r="J4" s="445"/>
      <c r="K4" s="365"/>
      <c r="L4" s="534"/>
      <c r="M4" s="1"/>
      <c r="N4" s="1"/>
      <c r="O4" s="1"/>
      <c r="P4" s="1"/>
      <c r="Q4" s="1"/>
      <c r="R4" s="1"/>
      <c r="S4" s="1"/>
      <c r="T4" s="1"/>
      <c r="U4" s="1"/>
      <c r="V4" s="1"/>
      <c r="W4" s="1"/>
    </row>
    <row r="5" spans="1:23" ht="15.75" thickBot="1">
      <c r="A5" s="1"/>
      <c r="B5" s="415" t="s">
        <v>133</v>
      </c>
      <c r="C5" s="1"/>
      <c r="D5" s="38">
        <f>'Summary - Tornado Segments'!D5</f>
        <v>73</v>
      </c>
      <c r="E5" s="441"/>
      <c r="F5" s="1"/>
      <c r="G5" s="1"/>
      <c r="H5" s="533" t="s">
        <v>879</v>
      </c>
      <c r="I5" s="3"/>
      <c r="J5" s="445"/>
      <c r="K5" s="365"/>
      <c r="L5" s="534"/>
      <c r="M5" s="1"/>
      <c r="N5" s="1"/>
      <c r="O5" s="1"/>
      <c r="P5" s="1"/>
      <c r="Q5" s="1"/>
      <c r="R5" s="1"/>
      <c r="S5" s="1"/>
      <c r="T5" s="1"/>
      <c r="U5" s="1"/>
      <c r="V5" s="1"/>
      <c r="W5" s="1"/>
    </row>
    <row r="6" spans="1:23" ht="15.75" thickBot="1">
      <c r="A6" s="1"/>
      <c r="B6" s="1"/>
      <c r="C6" s="1"/>
      <c r="D6" s="1"/>
      <c r="E6" s="1"/>
      <c r="F6" s="1"/>
      <c r="G6" s="1"/>
      <c r="H6" s="535" t="s">
        <v>1313</v>
      </c>
      <c r="I6" s="536"/>
      <c r="J6" s="537"/>
      <c r="K6" s="537"/>
      <c r="L6" s="538"/>
      <c r="M6" s="1"/>
      <c r="N6" s="1"/>
      <c r="O6" s="1"/>
      <c r="P6" s="1"/>
      <c r="Q6" s="1"/>
      <c r="R6" s="1"/>
      <c r="S6" s="1"/>
      <c r="T6" s="1"/>
      <c r="U6" s="1"/>
      <c r="V6" s="1"/>
      <c r="W6" s="1"/>
    </row>
    <row r="7" spans="1:23" ht="24.75" thickTop="1" thickBot="1">
      <c r="A7" s="1"/>
      <c r="B7" s="448" t="s">
        <v>833</v>
      </c>
      <c r="C7" s="449"/>
      <c r="D7" s="449"/>
      <c r="E7" s="449"/>
      <c r="F7" s="449"/>
      <c r="G7" s="450"/>
      <c r="H7" s="461"/>
      <c r="I7" s="461"/>
      <c r="J7" s="462"/>
      <c r="K7" s="462"/>
      <c r="L7" s="461"/>
      <c r="M7" s="1"/>
      <c r="N7" s="1"/>
      <c r="O7" s="1"/>
      <c r="P7" s="1"/>
      <c r="Q7" s="1"/>
      <c r="R7" s="1"/>
      <c r="S7" s="1"/>
      <c r="T7" s="1"/>
      <c r="U7" s="1"/>
      <c r="V7" s="1"/>
      <c r="W7" s="1"/>
    </row>
    <row r="8" spans="1:23" ht="16.5" thickTop="1">
      <c r="A8" s="1"/>
      <c r="B8" s="1051" t="s">
        <v>96</v>
      </c>
      <c r="C8" s="1054" t="s">
        <v>479</v>
      </c>
      <c r="D8" s="1055"/>
      <c r="E8" s="1055"/>
      <c r="F8" s="1055"/>
      <c r="G8" s="1055"/>
      <c r="H8" s="1056"/>
      <c r="I8" s="523" t="s">
        <v>128</v>
      </c>
      <c r="J8" s="524" t="s">
        <v>130</v>
      </c>
      <c r="K8" s="523" t="s">
        <v>762</v>
      </c>
      <c r="L8" s="525" t="s">
        <v>762</v>
      </c>
      <c r="M8" s="4" t="s">
        <v>762</v>
      </c>
      <c r="N8" s="5" t="s">
        <v>762</v>
      </c>
      <c r="O8" s="5" t="s">
        <v>762</v>
      </c>
      <c r="P8" s="5" t="s">
        <v>762</v>
      </c>
      <c r="Q8" s="5" t="s">
        <v>762</v>
      </c>
      <c r="R8" s="5" t="s">
        <v>762</v>
      </c>
      <c r="S8" s="5" t="s">
        <v>762</v>
      </c>
      <c r="T8" s="5" t="s">
        <v>762</v>
      </c>
      <c r="U8" s="5" t="s">
        <v>762</v>
      </c>
      <c r="V8" s="5" t="s">
        <v>762</v>
      </c>
      <c r="W8" s="1"/>
    </row>
    <row r="9" spans="1:23" ht="15.75">
      <c r="A9" s="1"/>
      <c r="B9" s="1052"/>
      <c r="C9" s="1039"/>
      <c r="D9" s="1040"/>
      <c r="E9" s="1040"/>
      <c r="F9" s="1040"/>
      <c r="G9" s="1040"/>
      <c r="H9" s="1041"/>
      <c r="I9" s="235" t="s">
        <v>190</v>
      </c>
      <c r="J9" s="239" t="s">
        <v>131</v>
      </c>
      <c r="K9" s="235" t="s">
        <v>190</v>
      </c>
      <c r="L9" s="451" t="s">
        <v>131</v>
      </c>
      <c r="M9" s="4" t="s">
        <v>190</v>
      </c>
      <c r="N9" s="5" t="s">
        <v>763</v>
      </c>
      <c r="O9" s="4" t="s">
        <v>190</v>
      </c>
      <c r="P9" s="5" t="s">
        <v>763</v>
      </c>
      <c r="Q9" s="4" t="s">
        <v>190</v>
      </c>
      <c r="R9" s="5" t="s">
        <v>763</v>
      </c>
      <c r="S9" s="4" t="s">
        <v>190</v>
      </c>
      <c r="T9" s="5" t="s">
        <v>763</v>
      </c>
      <c r="U9" s="4" t="s">
        <v>190</v>
      </c>
      <c r="V9" s="5" t="s">
        <v>763</v>
      </c>
      <c r="W9" s="1"/>
    </row>
    <row r="10" spans="1:23" ht="16.5" thickBot="1">
      <c r="A10" s="1"/>
      <c r="B10" s="1053"/>
      <c r="C10" s="526" t="s">
        <v>166</v>
      </c>
      <c r="D10" s="526" t="s">
        <v>167</v>
      </c>
      <c r="E10" s="526" t="s">
        <v>168</v>
      </c>
      <c r="F10" s="526" t="s">
        <v>169</v>
      </c>
      <c r="G10" s="526" t="s">
        <v>170</v>
      </c>
      <c r="H10" s="526" t="s">
        <v>171</v>
      </c>
      <c r="I10" s="527" t="s">
        <v>191</v>
      </c>
      <c r="J10" s="527" t="s">
        <v>191</v>
      </c>
      <c r="K10" s="527" t="s">
        <v>191</v>
      </c>
      <c r="L10" s="528" t="s">
        <v>191</v>
      </c>
      <c r="M10" s="5" t="s">
        <v>764</v>
      </c>
      <c r="N10" s="5" t="s">
        <v>764</v>
      </c>
      <c r="O10" s="5" t="s">
        <v>765</v>
      </c>
      <c r="P10" s="5" t="s">
        <v>765</v>
      </c>
      <c r="Q10" s="5" t="s">
        <v>766</v>
      </c>
      <c r="R10" s="5" t="s">
        <v>766</v>
      </c>
      <c r="S10" s="5" t="s">
        <v>767</v>
      </c>
      <c r="T10" s="5" t="s">
        <v>767</v>
      </c>
      <c r="U10" s="5" t="s">
        <v>768</v>
      </c>
      <c r="V10" s="5" t="s">
        <v>768</v>
      </c>
      <c r="W10" s="5"/>
    </row>
    <row r="11" spans="1:23" ht="16.5" thickTop="1">
      <c r="A11" s="1"/>
      <c r="B11" s="452"/>
      <c r="C11" s="235"/>
      <c r="D11" s="235"/>
      <c r="E11" s="235"/>
      <c r="F11" s="235"/>
      <c r="G11" s="235"/>
      <c r="H11" s="235"/>
      <c r="I11" s="235"/>
      <c r="J11" s="239"/>
      <c r="K11" s="235"/>
      <c r="L11" s="451"/>
      <c r="M11" s="5"/>
      <c r="N11" s="5"/>
      <c r="O11" s="5"/>
      <c r="P11" s="5"/>
      <c r="Q11" s="5"/>
      <c r="R11" s="5"/>
      <c r="S11" s="5"/>
      <c r="T11" s="5"/>
      <c r="U11" s="5"/>
      <c r="V11" s="5"/>
      <c r="W11" s="1"/>
    </row>
    <row r="12" spans="1:23">
      <c r="A12" s="1"/>
      <c r="B12" s="453">
        <v>1950</v>
      </c>
      <c r="C12" s="236">
        <f>(COUNTIF('Database - Whole Tornadoes'!$P$5:$P$2005, "1950F0"))</f>
        <v>1</v>
      </c>
      <c r="D12" s="236">
        <f>(COUNTIF('Database - Whole Tornadoes'!$P$5:$P$2005, "1950F1"))</f>
        <v>2</v>
      </c>
      <c r="E12" s="236">
        <f>(COUNTIF('Database - Whole Tornadoes'!$P$5:$P$2005, "1950F2"))</f>
        <v>1</v>
      </c>
      <c r="F12" s="236">
        <f>(COUNTIF('Database - Whole Tornadoes'!$P$5:$P$2005, "1950F3"))</f>
        <v>0</v>
      </c>
      <c r="G12" s="236">
        <f>(COUNTIF('Database - Whole Tornadoes'!$P$5:$P$2005, "1950F4"))</f>
        <v>0</v>
      </c>
      <c r="H12" s="236">
        <f>(COUNTIF('Database - Whole Tornadoes'!$P$5:$P$2005, "1950F5"))</f>
        <v>0</v>
      </c>
      <c r="I12" s="240">
        <f t="shared" ref="I12:I75" si="0">SUM(C12:H12)</f>
        <v>4</v>
      </c>
      <c r="J12" s="236"/>
      <c r="K12" s="240">
        <f>I12</f>
        <v>4</v>
      </c>
      <c r="L12" s="454">
        <f>K12/'# Yrs of Data'!D4</f>
        <v>4</v>
      </c>
      <c r="M12" s="2">
        <f>+C12</f>
        <v>1</v>
      </c>
      <c r="N12" s="35">
        <f>+M12/'# Yrs of Data'!D4</f>
        <v>1</v>
      </c>
      <c r="O12" s="2">
        <f>+D12</f>
        <v>2</v>
      </c>
      <c r="P12" s="35">
        <f>+O12/'# Yrs of Data'!D4</f>
        <v>2</v>
      </c>
      <c r="Q12" s="2">
        <f>+E12</f>
        <v>1</v>
      </c>
      <c r="R12" s="35">
        <f>+Q12/'# Yrs of Data'!D4</f>
        <v>1</v>
      </c>
      <c r="S12" s="2">
        <f>+F12</f>
        <v>0</v>
      </c>
      <c r="T12" s="35">
        <f>+S12/'# Yrs of Data'!D4</f>
        <v>0</v>
      </c>
      <c r="U12" s="2">
        <f>+G12</f>
        <v>0</v>
      </c>
      <c r="V12" s="35">
        <f>+U12/'# Yrs of Data'!D4</f>
        <v>0</v>
      </c>
      <c r="W12" s="1"/>
    </row>
    <row r="13" spans="1:23">
      <c r="A13" s="1"/>
      <c r="B13" s="453">
        <f t="shared" ref="B13:B76" si="1">B12+1</f>
        <v>1951</v>
      </c>
      <c r="C13" s="236">
        <f>(COUNTIF('Database - Whole Tornadoes'!$P$5:$P$2005, "1951F0"))</f>
        <v>1</v>
      </c>
      <c r="D13" s="236">
        <f>(COUNTIF('Database - Whole Tornadoes'!$P$5:$P$2005, "1951F1"))</f>
        <v>5</v>
      </c>
      <c r="E13" s="236">
        <f>(COUNTIF('Database - Whole Tornadoes'!$P$5:$P$2005, "1951F2"))</f>
        <v>3</v>
      </c>
      <c r="F13" s="236">
        <f>(COUNTIF('Database - Whole Tornadoes'!$P$5:$P$2005, "1951F3"))</f>
        <v>1</v>
      </c>
      <c r="G13" s="236">
        <f>(COUNTIF('Database - Whole Tornadoes'!$P$5:$P$2005, "1951F4"))</f>
        <v>0</v>
      </c>
      <c r="H13" s="236">
        <f>(COUNTIF('Database - Whole Tornadoes'!$P$5:$P$2005, "1951F5"))</f>
        <v>0</v>
      </c>
      <c r="I13" s="240">
        <f t="shared" si="0"/>
        <v>10</v>
      </c>
      <c r="J13" s="236"/>
      <c r="K13" s="240">
        <f t="shared" ref="K13:K76" si="2">K12+I13</f>
        <v>14</v>
      </c>
      <c r="L13" s="454">
        <f>K13/'# Yrs of Data'!D5</f>
        <v>7</v>
      </c>
      <c r="M13" s="2">
        <f t="shared" ref="M13:M76" si="3">+M12+C13</f>
        <v>2</v>
      </c>
      <c r="N13" s="35">
        <f>+M13/'# Yrs of Data'!D5</f>
        <v>1</v>
      </c>
      <c r="O13" s="2">
        <f t="shared" ref="O13:O76" si="4">+O12+D13</f>
        <v>7</v>
      </c>
      <c r="P13" s="35">
        <f>+O13/'# Yrs of Data'!D5</f>
        <v>3.5</v>
      </c>
      <c r="Q13" s="2">
        <f t="shared" ref="Q13:Q76" si="5">+Q12+E13</f>
        <v>4</v>
      </c>
      <c r="R13" s="35">
        <f>+Q13/'# Yrs of Data'!D5</f>
        <v>2</v>
      </c>
      <c r="S13" s="2">
        <f t="shared" ref="S13:S76" si="6">+S12+F13</f>
        <v>1</v>
      </c>
      <c r="T13" s="35">
        <f>+S13/'# Yrs of Data'!D5</f>
        <v>0.5</v>
      </c>
      <c r="U13" s="2">
        <f t="shared" ref="U13:U76" si="7">+U12+G13</f>
        <v>0</v>
      </c>
      <c r="V13" s="35">
        <f>+U13/'# Yrs of Data'!D5</f>
        <v>0</v>
      </c>
      <c r="W13" s="1"/>
    </row>
    <row r="14" spans="1:23">
      <c r="A14" s="1"/>
      <c r="B14" s="453">
        <f t="shared" si="1"/>
        <v>1952</v>
      </c>
      <c r="C14" s="236">
        <f>(COUNTIF('Database - Whole Tornadoes'!$P$5:$P$2005, "1952F0"))</f>
        <v>0</v>
      </c>
      <c r="D14" s="236">
        <f>(COUNTIF('Database - Whole Tornadoes'!$P$5:$P$2005, "1952F1"))</f>
        <v>1</v>
      </c>
      <c r="E14" s="236">
        <f>(COUNTIF('Database - Whole Tornadoes'!$P$5:$P$2005, "1952F2"))</f>
        <v>0</v>
      </c>
      <c r="F14" s="236">
        <f>(COUNTIF('Database - Whole Tornadoes'!$P$5:$P$2005, "1952F3"))</f>
        <v>0</v>
      </c>
      <c r="G14" s="236">
        <f>(COUNTIF('Database - Whole Tornadoes'!$P$5:$P$2005, "1952F4"))</f>
        <v>0</v>
      </c>
      <c r="H14" s="236">
        <f>(COUNTIF('Database - Whole Tornadoes'!$P$5:$P$2005, "1952F5"))</f>
        <v>0</v>
      </c>
      <c r="I14" s="240">
        <f t="shared" si="0"/>
        <v>1</v>
      </c>
      <c r="J14" s="236"/>
      <c r="K14" s="240">
        <f t="shared" si="2"/>
        <v>15</v>
      </c>
      <c r="L14" s="454">
        <f>K14/'# Yrs of Data'!D6</f>
        <v>5</v>
      </c>
      <c r="M14" s="2">
        <f t="shared" si="3"/>
        <v>2</v>
      </c>
      <c r="N14" s="35">
        <f>+M14/'# Yrs of Data'!D6</f>
        <v>0.66666666666666663</v>
      </c>
      <c r="O14" s="2">
        <f t="shared" si="4"/>
        <v>8</v>
      </c>
      <c r="P14" s="35">
        <f>+O14/'# Yrs of Data'!D6</f>
        <v>2.6666666666666665</v>
      </c>
      <c r="Q14" s="2">
        <f t="shared" si="5"/>
        <v>4</v>
      </c>
      <c r="R14" s="35">
        <f>+Q14/'# Yrs of Data'!D6</f>
        <v>1.3333333333333333</v>
      </c>
      <c r="S14" s="2">
        <f t="shared" si="6"/>
        <v>1</v>
      </c>
      <c r="T14" s="35">
        <f>+S14/'# Yrs of Data'!D6</f>
        <v>0.33333333333333331</v>
      </c>
      <c r="U14" s="2">
        <f t="shared" si="7"/>
        <v>0</v>
      </c>
      <c r="V14" s="35">
        <f>+U14/'# Yrs of Data'!D6</f>
        <v>0</v>
      </c>
      <c r="W14" s="1"/>
    </row>
    <row r="15" spans="1:23">
      <c r="A15" s="1"/>
      <c r="B15" s="453">
        <f t="shared" si="1"/>
        <v>1953</v>
      </c>
      <c r="C15" s="236">
        <f>(COUNTIF('Database - Whole Tornadoes'!$P$5:$P$2005, "1953F0"))</f>
        <v>1</v>
      </c>
      <c r="D15" s="236">
        <f>(COUNTIF('Database - Whole Tornadoes'!$P$5:$P$2005, "1953F1"))</f>
        <v>1</v>
      </c>
      <c r="E15" s="236">
        <f>(COUNTIF('Database - Whole Tornadoes'!$P$5:$P$2005, "1953F2"))</f>
        <v>0</v>
      </c>
      <c r="F15" s="236">
        <f>(COUNTIF('Database - Whole Tornadoes'!$P$5:$P$2005, "1953F3"))</f>
        <v>0</v>
      </c>
      <c r="G15" s="236">
        <f>(COUNTIF('Database - Whole Tornadoes'!$P$5:$P$2005, "1953F4"))</f>
        <v>0</v>
      </c>
      <c r="H15" s="236">
        <f>(COUNTIF('Database - Whole Tornadoes'!$P$5:$P$2005, "1953F5"))</f>
        <v>0</v>
      </c>
      <c r="I15" s="240">
        <f t="shared" si="0"/>
        <v>2</v>
      </c>
      <c r="J15" s="236"/>
      <c r="K15" s="240">
        <f t="shared" si="2"/>
        <v>17</v>
      </c>
      <c r="L15" s="454">
        <f>K15/'# Yrs of Data'!D7</f>
        <v>4.25</v>
      </c>
      <c r="M15" s="2">
        <f t="shared" si="3"/>
        <v>3</v>
      </c>
      <c r="N15" s="35">
        <f>+M15/'# Yrs of Data'!D7</f>
        <v>0.75</v>
      </c>
      <c r="O15" s="2">
        <f t="shared" si="4"/>
        <v>9</v>
      </c>
      <c r="P15" s="35">
        <f>+O15/'# Yrs of Data'!D7</f>
        <v>2.25</v>
      </c>
      <c r="Q15" s="2">
        <f t="shared" si="5"/>
        <v>4</v>
      </c>
      <c r="R15" s="35">
        <f>+Q15/'# Yrs of Data'!D7</f>
        <v>1</v>
      </c>
      <c r="S15" s="2">
        <f t="shared" si="6"/>
        <v>1</v>
      </c>
      <c r="T15" s="35">
        <f>+S15/'# Yrs of Data'!D7</f>
        <v>0.25</v>
      </c>
      <c r="U15" s="2">
        <f t="shared" si="7"/>
        <v>0</v>
      </c>
      <c r="V15" s="35">
        <f>+U15/'# Yrs of Data'!D7</f>
        <v>0</v>
      </c>
      <c r="W15" s="1"/>
    </row>
    <row r="16" spans="1:23">
      <c r="A16" s="1"/>
      <c r="B16" s="453">
        <f t="shared" si="1"/>
        <v>1954</v>
      </c>
      <c r="C16" s="236">
        <f>(COUNTIF('Database - Whole Tornadoes'!$P$5:$P$2005, "1954F0"))</f>
        <v>1</v>
      </c>
      <c r="D16" s="236">
        <f>(COUNTIF('Database - Whole Tornadoes'!$P$5:$P$2005, "1954F1"))</f>
        <v>1</v>
      </c>
      <c r="E16" s="236">
        <f>(COUNTIF('Database - Whole Tornadoes'!$P$5:$P$2005, "1954F2"))</f>
        <v>0</v>
      </c>
      <c r="F16" s="236">
        <f>(COUNTIF('Database - Whole Tornadoes'!$P$5:$P$2005, "1954F3"))</f>
        <v>0</v>
      </c>
      <c r="G16" s="236">
        <f>(COUNTIF('Database - Whole Tornadoes'!$P$5:$P$2005, "1954F4"))</f>
        <v>0</v>
      </c>
      <c r="H16" s="236">
        <f>(COUNTIF('Database - Whole Tornadoes'!$P$5:$P$2005, "1954F5"))</f>
        <v>0</v>
      </c>
      <c r="I16" s="240">
        <f t="shared" si="0"/>
        <v>2</v>
      </c>
      <c r="J16" s="236"/>
      <c r="K16" s="240">
        <f t="shared" si="2"/>
        <v>19</v>
      </c>
      <c r="L16" s="454">
        <f>K16/'# Yrs of Data'!D8</f>
        <v>3.8</v>
      </c>
      <c r="M16" s="2">
        <f t="shared" si="3"/>
        <v>4</v>
      </c>
      <c r="N16" s="35">
        <f>+M16/'# Yrs of Data'!D8</f>
        <v>0.8</v>
      </c>
      <c r="O16" s="2">
        <f t="shared" si="4"/>
        <v>10</v>
      </c>
      <c r="P16" s="35">
        <f>+O16/'# Yrs of Data'!D8</f>
        <v>2</v>
      </c>
      <c r="Q16" s="2">
        <f t="shared" si="5"/>
        <v>4</v>
      </c>
      <c r="R16" s="35">
        <f>+Q16/'# Yrs of Data'!D8</f>
        <v>0.8</v>
      </c>
      <c r="S16" s="2">
        <f t="shared" si="6"/>
        <v>1</v>
      </c>
      <c r="T16" s="35">
        <f>+S16/'# Yrs of Data'!D8</f>
        <v>0.2</v>
      </c>
      <c r="U16" s="2">
        <f t="shared" si="7"/>
        <v>0</v>
      </c>
      <c r="V16" s="35">
        <f>+U16/'# Yrs of Data'!D8</f>
        <v>0</v>
      </c>
      <c r="W16" s="1"/>
    </row>
    <row r="17" spans="1:23">
      <c r="A17" s="1"/>
      <c r="B17" s="453">
        <f t="shared" si="1"/>
        <v>1955</v>
      </c>
      <c r="C17" s="236">
        <f>(COUNTIF('Database - Whole Tornadoes'!$P$5:$P$2005, "1955F0"))</f>
        <v>12</v>
      </c>
      <c r="D17" s="236">
        <f>(COUNTIF('Database - Whole Tornadoes'!$P$5:$P$2005, "1955F1"))</f>
        <v>2</v>
      </c>
      <c r="E17" s="236">
        <f>(COUNTIF('Database - Whole Tornadoes'!$P$5:$P$2005, "1955F2"))</f>
        <v>1</v>
      </c>
      <c r="F17" s="236">
        <f>(COUNTIF('Database - Whole Tornadoes'!$P$5:$P$2005, "1955F3"))</f>
        <v>2</v>
      </c>
      <c r="G17" s="236">
        <f>(COUNTIF('Database - Whole Tornadoes'!$P$5:$P$2005, "1955F4"))</f>
        <v>1</v>
      </c>
      <c r="H17" s="236">
        <f>(COUNTIF('Database - Whole Tornadoes'!$P$5:$P$2005, "1955F5"))</f>
        <v>0</v>
      </c>
      <c r="I17" s="240">
        <f t="shared" si="0"/>
        <v>18</v>
      </c>
      <c r="J17" s="236"/>
      <c r="K17" s="240">
        <f t="shared" si="2"/>
        <v>37</v>
      </c>
      <c r="L17" s="454">
        <f>K17/'# Yrs of Data'!D9</f>
        <v>6.166666666666667</v>
      </c>
      <c r="M17" s="2">
        <f t="shared" si="3"/>
        <v>16</v>
      </c>
      <c r="N17" s="35">
        <f>+M17/'# Yrs of Data'!D9</f>
        <v>2.6666666666666665</v>
      </c>
      <c r="O17" s="2">
        <f t="shared" si="4"/>
        <v>12</v>
      </c>
      <c r="P17" s="35">
        <f>+O17/'# Yrs of Data'!D9</f>
        <v>2</v>
      </c>
      <c r="Q17" s="2">
        <f t="shared" si="5"/>
        <v>5</v>
      </c>
      <c r="R17" s="35">
        <f>+Q17/'# Yrs of Data'!D9</f>
        <v>0.83333333333333337</v>
      </c>
      <c r="S17" s="2">
        <f t="shared" si="6"/>
        <v>3</v>
      </c>
      <c r="T17" s="35">
        <f>+S17/'# Yrs of Data'!D9</f>
        <v>0.5</v>
      </c>
      <c r="U17" s="2">
        <f t="shared" si="7"/>
        <v>1</v>
      </c>
      <c r="V17" s="35">
        <f>+U17/'# Yrs of Data'!D9</f>
        <v>0.16666666666666666</v>
      </c>
      <c r="W17" s="1"/>
    </row>
    <row r="18" spans="1:23">
      <c r="A18" s="1"/>
      <c r="B18" s="453">
        <f t="shared" si="1"/>
        <v>1956</v>
      </c>
      <c r="C18" s="236">
        <f>(COUNTIF('Database - Whole Tornadoes'!$P$5:$P$2005, "1956F0"))</f>
        <v>1</v>
      </c>
      <c r="D18" s="236">
        <f>(COUNTIF('Database - Whole Tornadoes'!$P$5:$P$2005, "1956F1"))</f>
        <v>1</v>
      </c>
      <c r="E18" s="236">
        <f>(COUNTIF('Database - Whole Tornadoes'!$P$5:$P$2005, "1956F2"))</f>
        <v>0</v>
      </c>
      <c r="F18" s="236">
        <f>(COUNTIF('Database - Whole Tornadoes'!$P$5:$P$2005, "1956F3"))</f>
        <v>0</v>
      </c>
      <c r="G18" s="236">
        <f>(COUNTIF('Database - Whole Tornadoes'!$P$5:$P$2005, "1956F4"))</f>
        <v>0</v>
      </c>
      <c r="H18" s="236">
        <f>(COUNTIF('Database - Whole Tornadoes'!$P$5:$P$2005, "1956F5"))</f>
        <v>0</v>
      </c>
      <c r="I18" s="240">
        <f t="shared" si="0"/>
        <v>2</v>
      </c>
      <c r="J18" s="236"/>
      <c r="K18" s="240">
        <f t="shared" si="2"/>
        <v>39</v>
      </c>
      <c r="L18" s="454">
        <f>K18/'# Yrs of Data'!D10</f>
        <v>5.5714285714285712</v>
      </c>
      <c r="M18" s="2">
        <f t="shared" si="3"/>
        <v>17</v>
      </c>
      <c r="N18" s="35">
        <f>+M18/'# Yrs of Data'!D10</f>
        <v>2.4285714285714284</v>
      </c>
      <c r="O18" s="2">
        <f t="shared" si="4"/>
        <v>13</v>
      </c>
      <c r="P18" s="35">
        <f>+O18/'# Yrs of Data'!D10</f>
        <v>1.8571428571428572</v>
      </c>
      <c r="Q18" s="2">
        <f t="shared" si="5"/>
        <v>5</v>
      </c>
      <c r="R18" s="35">
        <f>+Q18/'# Yrs of Data'!D10</f>
        <v>0.7142857142857143</v>
      </c>
      <c r="S18" s="2">
        <f t="shared" si="6"/>
        <v>3</v>
      </c>
      <c r="T18" s="35">
        <f>+S18/'# Yrs of Data'!D10</f>
        <v>0.42857142857142855</v>
      </c>
      <c r="U18" s="2">
        <f t="shared" si="7"/>
        <v>1</v>
      </c>
      <c r="V18" s="35">
        <f>+U18/'# Yrs of Data'!D10</f>
        <v>0.14285714285714285</v>
      </c>
      <c r="W18" s="1"/>
    </row>
    <row r="19" spans="1:23">
      <c r="A19" s="1"/>
      <c r="B19" s="453">
        <f t="shared" si="1"/>
        <v>1957</v>
      </c>
      <c r="C19" s="236">
        <f>(COUNTIF('Database - Whole Tornadoes'!$P$5:$P$2005, "1957F0"))</f>
        <v>3</v>
      </c>
      <c r="D19" s="236">
        <f>(COUNTIF('Database - Whole Tornadoes'!$P$5:$P$2005, "1957F1"))</f>
        <v>3</v>
      </c>
      <c r="E19" s="236">
        <f>(COUNTIF('Database - Whole Tornadoes'!$P$5:$P$2005, "1957F2"))</f>
        <v>3</v>
      </c>
      <c r="F19" s="236">
        <f>(COUNTIF('Database - Whole Tornadoes'!$P$5:$P$2005, "1957F3"))</f>
        <v>1</v>
      </c>
      <c r="G19" s="236">
        <f>(COUNTIF('Database - Whole Tornadoes'!$P$5:$P$2005, "1957F4"))</f>
        <v>0</v>
      </c>
      <c r="H19" s="236">
        <f>(COUNTIF('Database - Whole Tornadoes'!$P$5:$P$2005, "1957F5"))</f>
        <v>0</v>
      </c>
      <c r="I19" s="240">
        <f t="shared" si="0"/>
        <v>10</v>
      </c>
      <c r="J19" s="236"/>
      <c r="K19" s="240">
        <f t="shared" si="2"/>
        <v>49</v>
      </c>
      <c r="L19" s="454">
        <f>K19/'# Yrs of Data'!D11</f>
        <v>6.125</v>
      </c>
      <c r="M19" s="2">
        <f t="shared" si="3"/>
        <v>20</v>
      </c>
      <c r="N19" s="35">
        <f>+M19/'# Yrs of Data'!D11</f>
        <v>2.5</v>
      </c>
      <c r="O19" s="2">
        <f t="shared" si="4"/>
        <v>16</v>
      </c>
      <c r="P19" s="35">
        <f>+O19/'# Yrs of Data'!D11</f>
        <v>2</v>
      </c>
      <c r="Q19" s="2">
        <f t="shared" si="5"/>
        <v>8</v>
      </c>
      <c r="R19" s="35">
        <f>+Q19/'# Yrs of Data'!D11</f>
        <v>1</v>
      </c>
      <c r="S19" s="2">
        <f t="shared" si="6"/>
        <v>4</v>
      </c>
      <c r="T19" s="35">
        <f>+S19/'# Yrs of Data'!D11</f>
        <v>0.5</v>
      </c>
      <c r="U19" s="2">
        <f t="shared" si="7"/>
        <v>1</v>
      </c>
      <c r="V19" s="35">
        <f>+U19/'# Yrs of Data'!D11</f>
        <v>0.125</v>
      </c>
      <c r="W19" s="1"/>
    </row>
    <row r="20" spans="1:23">
      <c r="A20" s="1"/>
      <c r="B20" s="453">
        <f t="shared" si="1"/>
        <v>1958</v>
      </c>
      <c r="C20" s="236">
        <f>(COUNTIF('Database - Whole Tornadoes'!$P$5:$P$2005, "1958F0"))</f>
        <v>4</v>
      </c>
      <c r="D20" s="236">
        <f>(COUNTIF('Database - Whole Tornadoes'!$P$5:$P$2005, "1958F1"))</f>
        <v>7</v>
      </c>
      <c r="E20" s="236">
        <f>(COUNTIF('Database - Whole Tornadoes'!$P$5:$P$2005, "1958F2"))</f>
        <v>0</v>
      </c>
      <c r="F20" s="236">
        <f>(COUNTIF('Database - Whole Tornadoes'!$P$5:$P$2005, "1958F3"))</f>
        <v>0</v>
      </c>
      <c r="G20" s="236">
        <f>(COUNTIF('Database - Whole Tornadoes'!$P$5:$P$2005, "1958F4"))</f>
        <v>0</v>
      </c>
      <c r="H20" s="236">
        <f>(COUNTIF('Database - Whole Tornadoes'!$P$5:$P$2005, "1958F5"))</f>
        <v>0</v>
      </c>
      <c r="I20" s="240">
        <f t="shared" si="0"/>
        <v>11</v>
      </c>
      <c r="J20" s="236"/>
      <c r="K20" s="240">
        <f t="shared" si="2"/>
        <v>60</v>
      </c>
      <c r="L20" s="454">
        <f>K20/'# Yrs of Data'!D12</f>
        <v>6.666666666666667</v>
      </c>
      <c r="M20" s="2">
        <f t="shared" si="3"/>
        <v>24</v>
      </c>
      <c r="N20" s="35">
        <f>+M20/'# Yrs of Data'!D12</f>
        <v>2.6666666666666665</v>
      </c>
      <c r="O20" s="2">
        <f t="shared" si="4"/>
        <v>23</v>
      </c>
      <c r="P20" s="35">
        <f>+O20/'# Yrs of Data'!D12</f>
        <v>2.5555555555555554</v>
      </c>
      <c r="Q20" s="2">
        <f t="shared" si="5"/>
        <v>8</v>
      </c>
      <c r="R20" s="35">
        <f>+Q20/'# Yrs of Data'!D12</f>
        <v>0.88888888888888884</v>
      </c>
      <c r="S20" s="2">
        <f t="shared" si="6"/>
        <v>4</v>
      </c>
      <c r="T20" s="35">
        <f>+S20/'# Yrs of Data'!D12</f>
        <v>0.44444444444444442</v>
      </c>
      <c r="U20" s="2">
        <f t="shared" si="7"/>
        <v>1</v>
      </c>
      <c r="V20" s="35">
        <f>+U20/'# Yrs of Data'!D12</f>
        <v>0.1111111111111111</v>
      </c>
      <c r="W20" s="1"/>
    </row>
    <row r="21" spans="1:23">
      <c r="A21" s="1"/>
      <c r="B21" s="453">
        <f t="shared" si="1"/>
        <v>1959</v>
      </c>
      <c r="C21" s="236">
        <f>(COUNTIF('Database - Whole Tornadoes'!$P$5:$P$2005, "1959F0"))</f>
        <v>2</v>
      </c>
      <c r="D21" s="236">
        <f>(COUNTIF('Database - Whole Tornadoes'!$P$5:$P$2005, "1959F1"))</f>
        <v>4</v>
      </c>
      <c r="E21" s="236">
        <f>(COUNTIF('Database - Whole Tornadoes'!$P$5:$P$2005, "1959F2"))</f>
        <v>0</v>
      </c>
      <c r="F21" s="236">
        <f>(COUNTIF('Database - Whole Tornadoes'!$P$5:$P$2005, "1959F3"))</f>
        <v>0</v>
      </c>
      <c r="G21" s="236">
        <f>(COUNTIF('Database - Whole Tornadoes'!$P$5:$P$2005, "1959F4"))</f>
        <v>0</v>
      </c>
      <c r="H21" s="236">
        <f>(COUNTIF('Database - Whole Tornadoes'!$P$5:$P$2005, "1959F5"))</f>
        <v>0</v>
      </c>
      <c r="I21" s="240">
        <f t="shared" si="0"/>
        <v>6</v>
      </c>
      <c r="J21" s="236">
        <f t="shared" ref="J21:J84" si="8">SUM(I12:I21)/10</f>
        <v>6.6</v>
      </c>
      <c r="K21" s="240">
        <f t="shared" si="2"/>
        <v>66</v>
      </c>
      <c r="L21" s="454">
        <f>K21/'# Yrs of Data'!D13</f>
        <v>6.6</v>
      </c>
      <c r="M21" s="2">
        <f t="shared" si="3"/>
        <v>26</v>
      </c>
      <c r="N21" s="35">
        <f>+M21/'# Yrs of Data'!D13</f>
        <v>2.6</v>
      </c>
      <c r="O21" s="2">
        <f t="shared" si="4"/>
        <v>27</v>
      </c>
      <c r="P21" s="35">
        <f>+O21/'# Yrs of Data'!D13</f>
        <v>2.7</v>
      </c>
      <c r="Q21" s="2">
        <f t="shared" si="5"/>
        <v>8</v>
      </c>
      <c r="R21" s="35">
        <f>+Q21/'# Yrs of Data'!D13</f>
        <v>0.8</v>
      </c>
      <c r="S21" s="2">
        <f t="shared" si="6"/>
        <v>4</v>
      </c>
      <c r="T21" s="35">
        <f>+S21/'# Yrs of Data'!D13</f>
        <v>0.4</v>
      </c>
      <c r="U21" s="2">
        <f t="shared" si="7"/>
        <v>1</v>
      </c>
      <c r="V21" s="35">
        <f>+U21/'# Yrs of Data'!D13</f>
        <v>0.1</v>
      </c>
      <c r="W21" s="1"/>
    </row>
    <row r="22" spans="1:23">
      <c r="A22" s="1"/>
      <c r="B22" s="453">
        <f t="shared" si="1"/>
        <v>1960</v>
      </c>
      <c r="C22" s="236">
        <f>(COUNTIF('Database - Whole Tornadoes'!$P$5:$P$2005, "1960F0"))</f>
        <v>6</v>
      </c>
      <c r="D22" s="236">
        <f>(COUNTIF('Database - Whole Tornadoes'!$P$5:$P$2005, "1960F1"))</f>
        <v>6</v>
      </c>
      <c r="E22" s="236">
        <f>(COUNTIF('Database - Whole Tornadoes'!$P$5:$P$2005, "1960F2"))</f>
        <v>1</v>
      </c>
      <c r="F22" s="236">
        <f>(COUNTIF('Database - Whole Tornadoes'!$P$5:$P$2005, "1960F3"))</f>
        <v>0</v>
      </c>
      <c r="G22" s="236">
        <f>(COUNTIF('Database - Whole Tornadoes'!$P$5:$P$2005, "1960F4"))</f>
        <v>0</v>
      </c>
      <c r="H22" s="236">
        <f>(COUNTIF('Database - Whole Tornadoes'!$P$5:$P$2005, "1960F5"))</f>
        <v>0</v>
      </c>
      <c r="I22" s="240">
        <f t="shared" si="0"/>
        <v>13</v>
      </c>
      <c r="J22" s="236">
        <f t="shared" si="8"/>
        <v>7.5</v>
      </c>
      <c r="K22" s="240">
        <f t="shared" si="2"/>
        <v>79</v>
      </c>
      <c r="L22" s="454">
        <f>K22/'# Yrs of Data'!D14</f>
        <v>7.1818181818181817</v>
      </c>
      <c r="M22" s="2">
        <f t="shared" si="3"/>
        <v>32</v>
      </c>
      <c r="N22" s="35">
        <f>+M22/'# Yrs of Data'!D14</f>
        <v>2.9090909090909092</v>
      </c>
      <c r="O22" s="2">
        <f t="shared" si="4"/>
        <v>33</v>
      </c>
      <c r="P22" s="35">
        <f>+O22/'# Yrs of Data'!D14</f>
        <v>3</v>
      </c>
      <c r="Q22" s="2">
        <f t="shared" si="5"/>
        <v>9</v>
      </c>
      <c r="R22" s="35">
        <f>+Q22/'# Yrs of Data'!D14</f>
        <v>0.81818181818181823</v>
      </c>
      <c r="S22" s="2">
        <f t="shared" si="6"/>
        <v>4</v>
      </c>
      <c r="T22" s="35">
        <f>+S22/'# Yrs of Data'!D14</f>
        <v>0.36363636363636365</v>
      </c>
      <c r="U22" s="2">
        <f t="shared" si="7"/>
        <v>1</v>
      </c>
      <c r="V22" s="35">
        <f>+U22/'# Yrs of Data'!D14</f>
        <v>9.0909090909090912E-2</v>
      </c>
      <c r="W22" s="1"/>
    </row>
    <row r="23" spans="1:23">
      <c r="A23" s="1"/>
      <c r="B23" s="453">
        <f t="shared" si="1"/>
        <v>1961</v>
      </c>
      <c r="C23" s="236">
        <f>(COUNTIF('Database - Whole Tornadoes'!$P$5:$P$2005, "1961F0"))</f>
        <v>5</v>
      </c>
      <c r="D23" s="236">
        <f>(COUNTIF('Database - Whole Tornadoes'!$P$5:$P$2005, "1961F1"))</f>
        <v>5</v>
      </c>
      <c r="E23" s="236">
        <f>(COUNTIF('Database - Whole Tornadoes'!$P$5:$P$2005, "1961F2"))</f>
        <v>5</v>
      </c>
      <c r="F23" s="236">
        <f>(COUNTIF('Database - Whole Tornadoes'!$P$5:$P$2005, "1961F3"))</f>
        <v>0</v>
      </c>
      <c r="G23" s="236">
        <f>(COUNTIF('Database - Whole Tornadoes'!$P$5:$P$2005, "1961F4"))</f>
        <v>0</v>
      </c>
      <c r="H23" s="236">
        <f>(COUNTIF('Database - Whole Tornadoes'!$P$5:$P$2005, "1961F5"))</f>
        <v>0</v>
      </c>
      <c r="I23" s="240">
        <f t="shared" si="0"/>
        <v>15</v>
      </c>
      <c r="J23" s="236">
        <f t="shared" si="8"/>
        <v>8</v>
      </c>
      <c r="K23" s="240">
        <f t="shared" si="2"/>
        <v>94</v>
      </c>
      <c r="L23" s="454">
        <f>K23/'# Yrs of Data'!D15</f>
        <v>7.833333333333333</v>
      </c>
      <c r="M23" s="2">
        <f t="shared" si="3"/>
        <v>37</v>
      </c>
      <c r="N23" s="35">
        <f>+M23/'# Yrs of Data'!D15</f>
        <v>3.0833333333333335</v>
      </c>
      <c r="O23" s="2">
        <f t="shared" si="4"/>
        <v>38</v>
      </c>
      <c r="P23" s="35">
        <f>+O23/'# Yrs of Data'!D15</f>
        <v>3.1666666666666665</v>
      </c>
      <c r="Q23" s="2">
        <f t="shared" si="5"/>
        <v>14</v>
      </c>
      <c r="R23" s="35">
        <f>+Q23/'# Yrs of Data'!D15</f>
        <v>1.1666666666666667</v>
      </c>
      <c r="S23" s="2">
        <f t="shared" si="6"/>
        <v>4</v>
      </c>
      <c r="T23" s="35">
        <f>+S23/'# Yrs of Data'!D15</f>
        <v>0.33333333333333331</v>
      </c>
      <c r="U23" s="2">
        <f t="shared" si="7"/>
        <v>1</v>
      </c>
      <c r="V23" s="35">
        <f>+U23/'# Yrs of Data'!D15</f>
        <v>8.3333333333333329E-2</v>
      </c>
      <c r="W23" s="1"/>
    </row>
    <row r="24" spans="1:23">
      <c r="A24" s="1"/>
      <c r="B24" s="453">
        <f t="shared" si="1"/>
        <v>1962</v>
      </c>
      <c r="C24" s="236">
        <f>(COUNTIF('Database - Whole Tornadoes'!$P$5:$P$2005, "1962F0"))</f>
        <v>9</v>
      </c>
      <c r="D24" s="236">
        <f>(COUNTIF('Database - Whole Tornadoes'!$P$5:$P$2005, "1962F1"))</f>
        <v>12</v>
      </c>
      <c r="E24" s="236">
        <f>(COUNTIF('Database - Whole Tornadoes'!$P$5:$P$2005, "1962F2"))</f>
        <v>4</v>
      </c>
      <c r="F24" s="236">
        <f>(COUNTIF('Database - Whole Tornadoes'!$P$5:$P$2005, "1962F3"))</f>
        <v>1</v>
      </c>
      <c r="G24" s="236">
        <f>(COUNTIF('Database - Whole Tornadoes'!$P$5:$P$2005, "1962F4"))</f>
        <v>0</v>
      </c>
      <c r="H24" s="236">
        <f>(COUNTIF('Database - Whole Tornadoes'!$P$5:$P$2005, "1962F5"))</f>
        <v>0</v>
      </c>
      <c r="I24" s="240">
        <f t="shared" si="0"/>
        <v>26</v>
      </c>
      <c r="J24" s="236">
        <f t="shared" si="8"/>
        <v>10.5</v>
      </c>
      <c r="K24" s="240">
        <f t="shared" si="2"/>
        <v>120</v>
      </c>
      <c r="L24" s="454">
        <f>K24/'# Yrs of Data'!D16</f>
        <v>9.2307692307692299</v>
      </c>
      <c r="M24" s="2">
        <f t="shared" si="3"/>
        <v>46</v>
      </c>
      <c r="N24" s="35">
        <f>+M24/'# Yrs of Data'!D16</f>
        <v>3.5384615384615383</v>
      </c>
      <c r="O24" s="2">
        <f t="shared" si="4"/>
        <v>50</v>
      </c>
      <c r="P24" s="35">
        <f>+O24/'# Yrs of Data'!D16</f>
        <v>3.8461538461538463</v>
      </c>
      <c r="Q24" s="2">
        <f t="shared" si="5"/>
        <v>18</v>
      </c>
      <c r="R24" s="35">
        <f>+Q24/'# Yrs of Data'!D16</f>
        <v>1.3846153846153846</v>
      </c>
      <c r="S24" s="2">
        <f t="shared" si="6"/>
        <v>5</v>
      </c>
      <c r="T24" s="35">
        <f>+S24/'# Yrs of Data'!D16</f>
        <v>0.38461538461538464</v>
      </c>
      <c r="U24" s="2">
        <f t="shared" si="7"/>
        <v>1</v>
      </c>
      <c r="V24" s="35">
        <f>+U24/'# Yrs of Data'!D16</f>
        <v>7.6923076923076927E-2</v>
      </c>
      <c r="W24" s="1"/>
    </row>
    <row r="25" spans="1:23">
      <c r="A25" s="1"/>
      <c r="B25" s="453">
        <f t="shared" si="1"/>
        <v>1963</v>
      </c>
      <c r="C25" s="236">
        <f>(COUNTIF('Database - Whole Tornadoes'!$P$5:$P$2005, "1963F0"))</f>
        <v>2</v>
      </c>
      <c r="D25" s="236">
        <f>(COUNTIF('Database - Whole Tornadoes'!$P$5:$P$2005, "1963F1"))</f>
        <v>1</v>
      </c>
      <c r="E25" s="236">
        <f>(COUNTIF('Database - Whole Tornadoes'!$P$5:$P$2005, "1963F2"))</f>
        <v>1</v>
      </c>
      <c r="F25" s="236">
        <f>(COUNTIF('Database - Whole Tornadoes'!$P$5:$P$2005, "1963F3"))</f>
        <v>1</v>
      </c>
      <c r="G25" s="236">
        <f>(COUNTIF('Database - Whole Tornadoes'!$P$5:$P$2005, "1963F4"))</f>
        <v>0</v>
      </c>
      <c r="H25" s="236">
        <f>(COUNTIF('Database - Whole Tornadoes'!$P$5:$P$2005, "1963F5"))</f>
        <v>0</v>
      </c>
      <c r="I25" s="240">
        <f t="shared" si="0"/>
        <v>5</v>
      </c>
      <c r="J25" s="236">
        <f t="shared" si="8"/>
        <v>10.8</v>
      </c>
      <c r="K25" s="240">
        <f t="shared" si="2"/>
        <v>125</v>
      </c>
      <c r="L25" s="454">
        <f>K25/'# Yrs of Data'!D17</f>
        <v>8.9285714285714288</v>
      </c>
      <c r="M25" s="2">
        <f t="shared" si="3"/>
        <v>48</v>
      </c>
      <c r="N25" s="35">
        <f>+M25/'# Yrs of Data'!D17</f>
        <v>3.4285714285714284</v>
      </c>
      <c r="O25" s="2">
        <f t="shared" si="4"/>
        <v>51</v>
      </c>
      <c r="P25" s="35">
        <f>+O25/'# Yrs of Data'!D17</f>
        <v>3.6428571428571428</v>
      </c>
      <c r="Q25" s="2">
        <f t="shared" si="5"/>
        <v>19</v>
      </c>
      <c r="R25" s="35">
        <f>+Q25/'# Yrs of Data'!D17</f>
        <v>1.3571428571428572</v>
      </c>
      <c r="S25" s="2">
        <f t="shared" si="6"/>
        <v>6</v>
      </c>
      <c r="T25" s="35">
        <f>+S25/'# Yrs of Data'!D17</f>
        <v>0.42857142857142855</v>
      </c>
      <c r="U25" s="2">
        <f t="shared" si="7"/>
        <v>1</v>
      </c>
      <c r="V25" s="35">
        <f>+U25/'# Yrs of Data'!D17</f>
        <v>7.1428571428571425E-2</v>
      </c>
      <c r="W25" s="1"/>
    </row>
    <row r="26" spans="1:23">
      <c r="A26" s="1"/>
      <c r="B26" s="453">
        <f t="shared" si="1"/>
        <v>1964</v>
      </c>
      <c r="C26" s="236">
        <f>(COUNTIF('Database - Whole Tornadoes'!$P$5:$P$2005, "1964F0"))</f>
        <v>3</v>
      </c>
      <c r="D26" s="236">
        <f>(COUNTIF('Database - Whole Tornadoes'!$P$5:$P$2005, "1964F1"))</f>
        <v>0</v>
      </c>
      <c r="E26" s="236">
        <f>(COUNTIF('Database - Whole Tornadoes'!$P$5:$P$2005, "1964F2"))</f>
        <v>1</v>
      </c>
      <c r="F26" s="236">
        <f>(COUNTIF('Database - Whole Tornadoes'!$P$5:$P$2005, "1964F3"))</f>
        <v>0</v>
      </c>
      <c r="G26" s="236">
        <f>(COUNTIF('Database - Whole Tornadoes'!$P$5:$P$2005, "1964F4"))</f>
        <v>0</v>
      </c>
      <c r="H26" s="236">
        <f>(COUNTIF('Database - Whole Tornadoes'!$P$5:$P$2005, "1964F5"))</f>
        <v>0</v>
      </c>
      <c r="I26" s="240">
        <f t="shared" si="0"/>
        <v>4</v>
      </c>
      <c r="J26" s="236">
        <f t="shared" si="8"/>
        <v>11</v>
      </c>
      <c r="K26" s="240">
        <f t="shared" si="2"/>
        <v>129</v>
      </c>
      <c r="L26" s="454">
        <f>K26/'# Yrs of Data'!D18</f>
        <v>8.6</v>
      </c>
      <c r="M26" s="2">
        <f t="shared" si="3"/>
        <v>51</v>
      </c>
      <c r="N26" s="35">
        <f>+M26/'# Yrs of Data'!D18</f>
        <v>3.4</v>
      </c>
      <c r="O26" s="2">
        <f t="shared" si="4"/>
        <v>51</v>
      </c>
      <c r="P26" s="35">
        <f>+O26/'# Yrs of Data'!D18</f>
        <v>3.4</v>
      </c>
      <c r="Q26" s="2">
        <f t="shared" si="5"/>
        <v>20</v>
      </c>
      <c r="R26" s="35">
        <f>+Q26/'# Yrs of Data'!D18</f>
        <v>1.3333333333333333</v>
      </c>
      <c r="S26" s="2">
        <f t="shared" si="6"/>
        <v>6</v>
      </c>
      <c r="T26" s="35">
        <f>+S26/'# Yrs of Data'!D18</f>
        <v>0.4</v>
      </c>
      <c r="U26" s="2">
        <f t="shared" si="7"/>
        <v>1</v>
      </c>
      <c r="V26" s="35">
        <f>+U26/'# Yrs of Data'!D18</f>
        <v>6.6666666666666666E-2</v>
      </c>
      <c r="W26" s="1"/>
    </row>
    <row r="27" spans="1:23">
      <c r="A27" s="1"/>
      <c r="B27" s="453">
        <f t="shared" si="1"/>
        <v>1965</v>
      </c>
      <c r="C27" s="236">
        <f>(COUNTIF('Database - Whole Tornadoes'!$P$5:$P$2005, "1965F0"))</f>
        <v>6</v>
      </c>
      <c r="D27" s="236">
        <f>(COUNTIF('Database - Whole Tornadoes'!$P$5:$P$2005, "1965F1"))</f>
        <v>0</v>
      </c>
      <c r="E27" s="236">
        <f>(COUNTIF('Database - Whole Tornadoes'!$P$5:$P$2005, "1965F2"))</f>
        <v>4</v>
      </c>
      <c r="F27" s="236">
        <f>(COUNTIF('Database - Whole Tornadoes'!$P$5:$P$2005, "1965F3"))</f>
        <v>2</v>
      </c>
      <c r="G27" s="236">
        <f>(COUNTIF('Database - Whole Tornadoes'!$P$5:$P$2005, "1965F4"))</f>
        <v>0</v>
      </c>
      <c r="H27" s="236">
        <f>(COUNTIF('Database - Whole Tornadoes'!$P$5:$P$2005, "1965F5"))</f>
        <v>0</v>
      </c>
      <c r="I27" s="240">
        <f t="shared" si="0"/>
        <v>12</v>
      </c>
      <c r="J27" s="236">
        <f t="shared" si="8"/>
        <v>10.4</v>
      </c>
      <c r="K27" s="240">
        <f t="shared" si="2"/>
        <v>141</v>
      </c>
      <c r="L27" s="454">
        <f>K27/'# Yrs of Data'!D19</f>
        <v>8.8125</v>
      </c>
      <c r="M27" s="2">
        <f t="shared" si="3"/>
        <v>57</v>
      </c>
      <c r="N27" s="35">
        <f>+M27/'# Yrs of Data'!D19</f>
        <v>3.5625</v>
      </c>
      <c r="O27" s="2">
        <f t="shared" si="4"/>
        <v>51</v>
      </c>
      <c r="P27" s="35">
        <f>+O27/'# Yrs of Data'!D19</f>
        <v>3.1875</v>
      </c>
      <c r="Q27" s="2">
        <f t="shared" si="5"/>
        <v>24</v>
      </c>
      <c r="R27" s="35">
        <f>+Q27/'# Yrs of Data'!D19</f>
        <v>1.5</v>
      </c>
      <c r="S27" s="2">
        <f t="shared" si="6"/>
        <v>8</v>
      </c>
      <c r="T27" s="35">
        <f>+S27/'# Yrs of Data'!D19</f>
        <v>0.5</v>
      </c>
      <c r="U27" s="2">
        <f t="shared" si="7"/>
        <v>1</v>
      </c>
      <c r="V27" s="35">
        <f>+U27/'# Yrs of Data'!D19</f>
        <v>6.25E-2</v>
      </c>
      <c r="W27" s="1"/>
    </row>
    <row r="28" spans="1:23">
      <c r="A28" s="1"/>
      <c r="B28" s="453">
        <f t="shared" si="1"/>
        <v>1966</v>
      </c>
      <c r="C28" s="236">
        <f>(COUNTIF('Database - Whole Tornadoes'!$P$5:$P$2005, "1966F0"))</f>
        <v>8</v>
      </c>
      <c r="D28" s="236">
        <f>(COUNTIF('Database - Whole Tornadoes'!$P$5:$P$2005, "1966F1"))</f>
        <v>3</v>
      </c>
      <c r="E28" s="236">
        <f>(COUNTIF('Database - Whole Tornadoes'!$P$5:$P$2005, "1966F2"))</f>
        <v>1</v>
      </c>
      <c r="F28" s="236">
        <f>(COUNTIF('Database - Whole Tornadoes'!$P$5:$P$2005, "1966F3"))</f>
        <v>0</v>
      </c>
      <c r="G28" s="236">
        <f>(COUNTIF('Database - Whole Tornadoes'!$P$5:$P$2005, "1966F4"))</f>
        <v>0</v>
      </c>
      <c r="H28" s="236">
        <f>(COUNTIF('Database - Whole Tornadoes'!$P$5:$P$2005, "1966F5"))</f>
        <v>0</v>
      </c>
      <c r="I28" s="240">
        <f t="shared" si="0"/>
        <v>12</v>
      </c>
      <c r="J28" s="236">
        <f t="shared" si="8"/>
        <v>11.4</v>
      </c>
      <c r="K28" s="240">
        <f t="shared" si="2"/>
        <v>153</v>
      </c>
      <c r="L28" s="454">
        <f>K28/'# Yrs of Data'!D20</f>
        <v>9</v>
      </c>
      <c r="M28" s="2">
        <f t="shared" si="3"/>
        <v>65</v>
      </c>
      <c r="N28" s="35">
        <f>+M28/'# Yrs of Data'!D20</f>
        <v>3.8235294117647061</v>
      </c>
      <c r="O28" s="2">
        <f t="shared" si="4"/>
        <v>54</v>
      </c>
      <c r="P28" s="35">
        <f>+O28/'# Yrs of Data'!D20</f>
        <v>3.1764705882352939</v>
      </c>
      <c r="Q28" s="2">
        <f t="shared" si="5"/>
        <v>25</v>
      </c>
      <c r="R28" s="35">
        <f>+Q28/'# Yrs of Data'!D20</f>
        <v>1.4705882352941178</v>
      </c>
      <c r="S28" s="2">
        <f t="shared" si="6"/>
        <v>8</v>
      </c>
      <c r="T28" s="35">
        <f>+S28/'# Yrs of Data'!D20</f>
        <v>0.47058823529411764</v>
      </c>
      <c r="U28" s="2">
        <f t="shared" si="7"/>
        <v>1</v>
      </c>
      <c r="V28" s="35">
        <f>+U28/'# Yrs of Data'!D20</f>
        <v>5.8823529411764705E-2</v>
      </c>
      <c r="W28" s="1"/>
    </row>
    <row r="29" spans="1:23">
      <c r="A29" s="1"/>
      <c r="B29" s="453">
        <f t="shared" si="1"/>
        <v>1967</v>
      </c>
      <c r="C29" s="236">
        <f>(COUNTIF('Database - Whole Tornadoes'!$P$5:$P$2005, "1967F0"))</f>
        <v>14</v>
      </c>
      <c r="D29" s="236">
        <f>(COUNTIF('Database - Whole Tornadoes'!$P$5:$P$2005, "1967F1"))</f>
        <v>6</v>
      </c>
      <c r="E29" s="236">
        <f>(COUNTIF('Database - Whole Tornadoes'!$P$5:$P$2005, "1967F2"))</f>
        <v>7</v>
      </c>
      <c r="F29" s="236">
        <f>(COUNTIF('Database - Whole Tornadoes'!$P$5:$P$2005, "1967F3"))</f>
        <v>1</v>
      </c>
      <c r="G29" s="236">
        <f>(COUNTIF('Database - Whole Tornadoes'!$P$5:$P$2005, "1967F4"))</f>
        <v>0</v>
      </c>
      <c r="H29" s="236">
        <f>(COUNTIF('Database - Whole Tornadoes'!$P$5:$P$2005, "1967F5"))</f>
        <v>0</v>
      </c>
      <c r="I29" s="240">
        <f t="shared" si="0"/>
        <v>28</v>
      </c>
      <c r="J29" s="236">
        <f t="shared" si="8"/>
        <v>13.2</v>
      </c>
      <c r="K29" s="240">
        <f t="shared" si="2"/>
        <v>181</v>
      </c>
      <c r="L29" s="454">
        <f>K29/'# Yrs of Data'!D21</f>
        <v>10.055555555555555</v>
      </c>
      <c r="M29" s="2">
        <f t="shared" si="3"/>
        <v>79</v>
      </c>
      <c r="N29" s="35">
        <f>+M29/'# Yrs of Data'!D21</f>
        <v>4.3888888888888893</v>
      </c>
      <c r="O29" s="2">
        <f t="shared" si="4"/>
        <v>60</v>
      </c>
      <c r="P29" s="35">
        <f>+O29/'# Yrs of Data'!D21</f>
        <v>3.3333333333333335</v>
      </c>
      <c r="Q29" s="2">
        <f t="shared" si="5"/>
        <v>32</v>
      </c>
      <c r="R29" s="35">
        <f>+Q29/'# Yrs of Data'!D21</f>
        <v>1.7777777777777777</v>
      </c>
      <c r="S29" s="2">
        <f t="shared" si="6"/>
        <v>9</v>
      </c>
      <c r="T29" s="35">
        <f>+S29/'# Yrs of Data'!D21</f>
        <v>0.5</v>
      </c>
      <c r="U29" s="2">
        <f t="shared" si="7"/>
        <v>1</v>
      </c>
      <c r="V29" s="35">
        <f>+U29/'# Yrs of Data'!D21</f>
        <v>5.5555555555555552E-2</v>
      </c>
      <c r="W29" s="1"/>
    </row>
    <row r="30" spans="1:23">
      <c r="A30" s="1"/>
      <c r="B30" s="453">
        <f t="shared" si="1"/>
        <v>1968</v>
      </c>
      <c r="C30" s="236">
        <f>(COUNTIF('Database - Whole Tornadoes'!$P$5:$P$2005, "1968F0"))</f>
        <v>17</v>
      </c>
      <c r="D30" s="236">
        <f>(COUNTIF('Database - Whole Tornadoes'!$P$5:$P$2005, "1968F1"))</f>
        <v>2</v>
      </c>
      <c r="E30" s="236">
        <f>(COUNTIF('Database - Whole Tornadoes'!$P$5:$P$2005, "1968F2"))</f>
        <v>2</v>
      </c>
      <c r="F30" s="236">
        <f>(COUNTIF('Database - Whole Tornadoes'!$P$5:$P$2005, "1968F3"))</f>
        <v>1</v>
      </c>
      <c r="G30" s="236">
        <f>(COUNTIF('Database - Whole Tornadoes'!$P$5:$P$2005, "1968F4"))</f>
        <v>0</v>
      </c>
      <c r="H30" s="236">
        <f>(COUNTIF('Database - Whole Tornadoes'!$P$5:$P$2005, "1968F5"))</f>
        <v>0</v>
      </c>
      <c r="I30" s="240">
        <f t="shared" si="0"/>
        <v>22</v>
      </c>
      <c r="J30" s="236">
        <f t="shared" si="8"/>
        <v>14.3</v>
      </c>
      <c r="K30" s="240">
        <f t="shared" si="2"/>
        <v>203</v>
      </c>
      <c r="L30" s="454">
        <f>K30/'# Yrs of Data'!D22</f>
        <v>10.684210526315789</v>
      </c>
      <c r="M30" s="2">
        <f t="shared" si="3"/>
        <v>96</v>
      </c>
      <c r="N30" s="35">
        <f>+M30/'# Yrs of Data'!D22</f>
        <v>5.0526315789473681</v>
      </c>
      <c r="O30" s="2">
        <f t="shared" si="4"/>
        <v>62</v>
      </c>
      <c r="P30" s="35">
        <f>+O30/'# Yrs of Data'!D22</f>
        <v>3.263157894736842</v>
      </c>
      <c r="Q30" s="2">
        <f t="shared" si="5"/>
        <v>34</v>
      </c>
      <c r="R30" s="35">
        <f>+Q30/'# Yrs of Data'!D22</f>
        <v>1.7894736842105263</v>
      </c>
      <c r="S30" s="2">
        <f t="shared" si="6"/>
        <v>10</v>
      </c>
      <c r="T30" s="35">
        <f>+S30/'# Yrs of Data'!D22</f>
        <v>0.52631578947368418</v>
      </c>
      <c r="U30" s="2">
        <f t="shared" si="7"/>
        <v>1</v>
      </c>
      <c r="V30" s="35">
        <f>+U30/'# Yrs of Data'!D22</f>
        <v>5.2631578947368418E-2</v>
      </c>
      <c r="W30" s="1"/>
    </row>
    <row r="31" spans="1:23">
      <c r="A31" s="1"/>
      <c r="B31" s="453">
        <f t="shared" si="1"/>
        <v>1969</v>
      </c>
      <c r="C31" s="236">
        <f>(COUNTIF('Database - Whole Tornadoes'!$P$5:$P$2005, "1969F0"))</f>
        <v>14</v>
      </c>
      <c r="D31" s="236">
        <f>(COUNTIF('Database - Whole Tornadoes'!$P$5:$P$2005, "1969F1"))</f>
        <v>0</v>
      </c>
      <c r="E31" s="236">
        <f>(COUNTIF('Database - Whole Tornadoes'!$P$5:$P$2005, "1969F2"))</f>
        <v>2</v>
      </c>
      <c r="F31" s="236">
        <f>(COUNTIF('Database - Whole Tornadoes'!$P$5:$P$2005, "1969F3"))</f>
        <v>0</v>
      </c>
      <c r="G31" s="236">
        <f>(COUNTIF('Database - Whole Tornadoes'!$P$5:$P$2005, "1969F4"))</f>
        <v>0</v>
      </c>
      <c r="H31" s="236">
        <f>(COUNTIF('Database - Whole Tornadoes'!$P$5:$P$2005, "1969F5"))</f>
        <v>0</v>
      </c>
      <c r="I31" s="240">
        <f t="shared" si="0"/>
        <v>16</v>
      </c>
      <c r="J31" s="236">
        <f t="shared" si="8"/>
        <v>15.3</v>
      </c>
      <c r="K31" s="240">
        <f t="shared" si="2"/>
        <v>219</v>
      </c>
      <c r="L31" s="454">
        <f>K31/'# Yrs of Data'!D23</f>
        <v>10.95</v>
      </c>
      <c r="M31" s="2">
        <f t="shared" si="3"/>
        <v>110</v>
      </c>
      <c r="N31" s="35">
        <f>+M31/'# Yrs of Data'!D23</f>
        <v>5.5</v>
      </c>
      <c r="O31" s="2">
        <f t="shared" si="4"/>
        <v>62</v>
      </c>
      <c r="P31" s="35">
        <f>+O31/'# Yrs of Data'!D23</f>
        <v>3.1</v>
      </c>
      <c r="Q31" s="2">
        <f t="shared" si="5"/>
        <v>36</v>
      </c>
      <c r="R31" s="35">
        <f>+Q31/'# Yrs of Data'!D23</f>
        <v>1.8</v>
      </c>
      <c r="S31" s="2">
        <f t="shared" si="6"/>
        <v>10</v>
      </c>
      <c r="T31" s="35">
        <f>+S31/'# Yrs of Data'!D23</f>
        <v>0.5</v>
      </c>
      <c r="U31" s="2">
        <f t="shared" si="7"/>
        <v>1</v>
      </c>
      <c r="V31" s="35">
        <f>+U31/'# Yrs of Data'!D23</f>
        <v>0.05</v>
      </c>
      <c r="W31" s="1"/>
    </row>
    <row r="32" spans="1:23">
      <c r="A32" s="1"/>
      <c r="B32" s="453">
        <f t="shared" si="1"/>
        <v>1970</v>
      </c>
      <c r="C32" s="236">
        <f>(COUNTIF('Database - Whole Tornadoes'!$P$5:$P$2005, "1970F0"))</f>
        <v>1</v>
      </c>
      <c r="D32" s="236">
        <f>(COUNTIF('Database - Whole Tornadoes'!$P$5:$P$2005, "1970F1"))</f>
        <v>1</v>
      </c>
      <c r="E32" s="236">
        <f>(COUNTIF('Database - Whole Tornadoes'!$P$5:$P$2005, "1970F2"))</f>
        <v>1</v>
      </c>
      <c r="F32" s="236">
        <f>(COUNTIF('Database - Whole Tornadoes'!$P$5:$P$2005, "1970F3"))</f>
        <v>0</v>
      </c>
      <c r="G32" s="236">
        <f>(COUNTIF('Database - Whole Tornadoes'!$P$5:$P$2005, "1970F4"))</f>
        <v>3</v>
      </c>
      <c r="H32" s="236">
        <f>(COUNTIF('Database - Whole Tornadoes'!$P$5:$P$2005, "1970F5"))</f>
        <v>0</v>
      </c>
      <c r="I32" s="240">
        <f t="shared" si="0"/>
        <v>6</v>
      </c>
      <c r="J32" s="236">
        <f t="shared" si="8"/>
        <v>14.6</v>
      </c>
      <c r="K32" s="240">
        <f t="shared" si="2"/>
        <v>225</v>
      </c>
      <c r="L32" s="454">
        <f>K32/'# Yrs of Data'!D24</f>
        <v>10.714285714285714</v>
      </c>
      <c r="M32" s="2">
        <f t="shared" si="3"/>
        <v>111</v>
      </c>
      <c r="N32" s="35">
        <f>+M32/'# Yrs of Data'!D24</f>
        <v>5.2857142857142856</v>
      </c>
      <c r="O32" s="2">
        <f t="shared" si="4"/>
        <v>63</v>
      </c>
      <c r="P32" s="35">
        <f>+O32/'# Yrs of Data'!D24</f>
        <v>3</v>
      </c>
      <c r="Q32" s="2">
        <f t="shared" si="5"/>
        <v>37</v>
      </c>
      <c r="R32" s="35">
        <f>+Q32/'# Yrs of Data'!D24</f>
        <v>1.7619047619047619</v>
      </c>
      <c r="S32" s="2">
        <f t="shared" si="6"/>
        <v>10</v>
      </c>
      <c r="T32" s="35">
        <f>+S32/'# Yrs of Data'!D24</f>
        <v>0.47619047619047616</v>
      </c>
      <c r="U32" s="2">
        <f t="shared" si="7"/>
        <v>4</v>
      </c>
      <c r="V32" s="35">
        <f>+U32/'# Yrs of Data'!D24</f>
        <v>0.19047619047619047</v>
      </c>
      <c r="W32" s="1"/>
    </row>
    <row r="33" spans="1:23">
      <c r="A33" s="1"/>
      <c r="B33" s="453">
        <f t="shared" si="1"/>
        <v>1971</v>
      </c>
      <c r="C33" s="236">
        <f>(COUNTIF('Database - Whole Tornadoes'!$P$5:$P$2005, "1971F0"))</f>
        <v>4</v>
      </c>
      <c r="D33" s="236">
        <f>(COUNTIF('Database - Whole Tornadoes'!$P$5:$P$2005, "1971F1"))</f>
        <v>13</v>
      </c>
      <c r="E33" s="236">
        <f>(COUNTIF('Database - Whole Tornadoes'!$P$5:$P$2005, "1971F2"))</f>
        <v>17</v>
      </c>
      <c r="F33" s="236">
        <f>(COUNTIF('Database - Whole Tornadoes'!$P$5:$P$2005, "1971F3"))</f>
        <v>3</v>
      </c>
      <c r="G33" s="236">
        <f>(COUNTIF('Database - Whole Tornadoes'!$P$5:$P$2005, "1971F4"))</f>
        <v>2</v>
      </c>
      <c r="H33" s="236">
        <f>(COUNTIF('Database - Whole Tornadoes'!$P$5:$P$2005, "1971F5"))</f>
        <v>0</v>
      </c>
      <c r="I33" s="240">
        <f t="shared" si="0"/>
        <v>39</v>
      </c>
      <c r="J33" s="236">
        <f t="shared" si="8"/>
        <v>17</v>
      </c>
      <c r="K33" s="240">
        <f t="shared" si="2"/>
        <v>264</v>
      </c>
      <c r="L33" s="454">
        <f>K33/'# Yrs of Data'!D25</f>
        <v>12</v>
      </c>
      <c r="M33" s="2">
        <f t="shared" si="3"/>
        <v>115</v>
      </c>
      <c r="N33" s="35">
        <f>+M33/'# Yrs of Data'!D25</f>
        <v>5.2272727272727275</v>
      </c>
      <c r="O33" s="2">
        <f t="shared" si="4"/>
        <v>76</v>
      </c>
      <c r="P33" s="35">
        <f>+O33/'# Yrs of Data'!D25</f>
        <v>3.4545454545454546</v>
      </c>
      <c r="Q33" s="2">
        <f t="shared" si="5"/>
        <v>54</v>
      </c>
      <c r="R33" s="35">
        <f>+Q33/'# Yrs of Data'!D25</f>
        <v>2.4545454545454546</v>
      </c>
      <c r="S33" s="2">
        <f t="shared" si="6"/>
        <v>13</v>
      </c>
      <c r="T33" s="35">
        <f>+S33/'# Yrs of Data'!D25</f>
        <v>0.59090909090909094</v>
      </c>
      <c r="U33" s="2">
        <f t="shared" si="7"/>
        <v>6</v>
      </c>
      <c r="V33" s="35">
        <f>+U33/'# Yrs of Data'!D25</f>
        <v>0.27272727272727271</v>
      </c>
      <c r="W33" s="1"/>
    </row>
    <row r="34" spans="1:23">
      <c r="A34" s="1"/>
      <c r="B34" s="453">
        <f t="shared" si="1"/>
        <v>1972</v>
      </c>
      <c r="C34" s="236">
        <f>(COUNTIF('Database - Whole Tornadoes'!$P$5:$P$2005, "1972F0"))</f>
        <v>1</v>
      </c>
      <c r="D34" s="236">
        <f>(COUNTIF('Database - Whole Tornadoes'!$P$5:$P$2005, "1972F1"))</f>
        <v>15</v>
      </c>
      <c r="E34" s="236">
        <f>(COUNTIF('Database - Whole Tornadoes'!$P$5:$P$2005, "1972F2"))</f>
        <v>3</v>
      </c>
      <c r="F34" s="236">
        <f>(COUNTIF('Database - Whole Tornadoes'!$P$5:$P$2005, "1972F3"))</f>
        <v>0</v>
      </c>
      <c r="G34" s="236">
        <f>(COUNTIF('Database - Whole Tornadoes'!$P$5:$P$2005, "1972F4"))</f>
        <v>0</v>
      </c>
      <c r="H34" s="236">
        <f>(COUNTIF('Database - Whole Tornadoes'!$P$5:$P$2005, "1972F5"))</f>
        <v>0</v>
      </c>
      <c r="I34" s="240">
        <f t="shared" si="0"/>
        <v>19</v>
      </c>
      <c r="J34" s="236">
        <f t="shared" si="8"/>
        <v>16.3</v>
      </c>
      <c r="K34" s="240">
        <f t="shared" si="2"/>
        <v>283</v>
      </c>
      <c r="L34" s="454">
        <f>K34/'# Yrs of Data'!D26</f>
        <v>12.304347826086957</v>
      </c>
      <c r="M34" s="2">
        <f t="shared" si="3"/>
        <v>116</v>
      </c>
      <c r="N34" s="35">
        <f>+M34/'# Yrs of Data'!D26</f>
        <v>5.0434782608695654</v>
      </c>
      <c r="O34" s="2">
        <f t="shared" si="4"/>
        <v>91</v>
      </c>
      <c r="P34" s="35">
        <f>+O34/'# Yrs of Data'!D26</f>
        <v>3.9565217391304346</v>
      </c>
      <c r="Q34" s="2">
        <f t="shared" si="5"/>
        <v>57</v>
      </c>
      <c r="R34" s="35">
        <f>+Q34/'# Yrs of Data'!D26</f>
        <v>2.4782608695652173</v>
      </c>
      <c r="S34" s="2">
        <f t="shared" si="6"/>
        <v>13</v>
      </c>
      <c r="T34" s="35">
        <f>+S34/'# Yrs of Data'!D26</f>
        <v>0.56521739130434778</v>
      </c>
      <c r="U34" s="2">
        <f t="shared" si="7"/>
        <v>6</v>
      </c>
      <c r="V34" s="35">
        <f>+U34/'# Yrs of Data'!D26</f>
        <v>0.2608695652173913</v>
      </c>
      <c r="W34" s="1"/>
    </row>
    <row r="35" spans="1:23">
      <c r="A35" s="1"/>
      <c r="B35" s="453">
        <f t="shared" si="1"/>
        <v>1973</v>
      </c>
      <c r="C35" s="236">
        <f>(COUNTIF('Database - Whole Tornadoes'!$P$5:$P$2005, "1973F0"))</f>
        <v>1</v>
      </c>
      <c r="D35" s="236">
        <f>(COUNTIF('Database - Whole Tornadoes'!$P$5:$P$2005, "1973F1"))</f>
        <v>3</v>
      </c>
      <c r="E35" s="236">
        <f>(COUNTIF('Database - Whole Tornadoes'!$P$5:$P$2005, "1973F2"))</f>
        <v>4</v>
      </c>
      <c r="F35" s="236">
        <f>(COUNTIF('Database - Whole Tornadoes'!$P$5:$P$2005, "1973F3"))</f>
        <v>0</v>
      </c>
      <c r="G35" s="236">
        <f>(COUNTIF('Database - Whole Tornadoes'!$P$5:$P$2005, "1973F4"))</f>
        <v>0</v>
      </c>
      <c r="H35" s="236">
        <f>(COUNTIF('Database - Whole Tornadoes'!$P$5:$P$2005, "1973F5"))</f>
        <v>0</v>
      </c>
      <c r="I35" s="240">
        <f t="shared" si="0"/>
        <v>8</v>
      </c>
      <c r="J35" s="236">
        <f t="shared" si="8"/>
        <v>16.600000000000001</v>
      </c>
      <c r="K35" s="240">
        <f t="shared" si="2"/>
        <v>291</v>
      </c>
      <c r="L35" s="454">
        <f>K35/'# Yrs of Data'!D27</f>
        <v>12.125</v>
      </c>
      <c r="M35" s="2">
        <f t="shared" si="3"/>
        <v>117</v>
      </c>
      <c r="N35" s="35">
        <f>+M35/'# Yrs of Data'!D27</f>
        <v>4.875</v>
      </c>
      <c r="O35" s="2">
        <f t="shared" si="4"/>
        <v>94</v>
      </c>
      <c r="P35" s="35">
        <f>+O35/'# Yrs of Data'!D27</f>
        <v>3.9166666666666665</v>
      </c>
      <c r="Q35" s="2">
        <f t="shared" si="5"/>
        <v>61</v>
      </c>
      <c r="R35" s="35">
        <f>+Q35/'# Yrs of Data'!D27</f>
        <v>2.5416666666666665</v>
      </c>
      <c r="S35" s="2">
        <f t="shared" si="6"/>
        <v>13</v>
      </c>
      <c r="T35" s="35">
        <f>+S35/'# Yrs of Data'!D27</f>
        <v>0.54166666666666663</v>
      </c>
      <c r="U35" s="2">
        <f t="shared" si="7"/>
        <v>6</v>
      </c>
      <c r="V35" s="35">
        <f>+U35/'# Yrs of Data'!D27</f>
        <v>0.25</v>
      </c>
      <c r="W35" s="1"/>
    </row>
    <row r="36" spans="1:23">
      <c r="A36" s="1"/>
      <c r="B36" s="453">
        <f t="shared" si="1"/>
        <v>1974</v>
      </c>
      <c r="C36" s="236">
        <f>(COUNTIF('Database - Whole Tornadoes'!$P$5:$P$2005, "1974F0"))</f>
        <v>6</v>
      </c>
      <c r="D36" s="236">
        <f>(COUNTIF('Database - Whole Tornadoes'!$P$5:$P$2005, "1974F1"))</f>
        <v>6</v>
      </c>
      <c r="E36" s="236">
        <f>(COUNTIF('Database - Whole Tornadoes'!$P$5:$P$2005, "1974F2"))</f>
        <v>1</v>
      </c>
      <c r="F36" s="236">
        <f>(COUNTIF('Database - Whole Tornadoes'!$P$5:$P$2005, "1974F3"))</f>
        <v>0</v>
      </c>
      <c r="G36" s="236">
        <f>(COUNTIF('Database - Whole Tornadoes'!$P$5:$P$2005, "1974F4"))</f>
        <v>0</v>
      </c>
      <c r="H36" s="236">
        <f>(COUNTIF('Database - Whole Tornadoes'!$P$5:$P$2005, "1974F5"))</f>
        <v>0</v>
      </c>
      <c r="I36" s="240">
        <f t="shared" si="0"/>
        <v>13</v>
      </c>
      <c r="J36" s="236">
        <f t="shared" si="8"/>
        <v>17.5</v>
      </c>
      <c r="K36" s="240">
        <f t="shared" si="2"/>
        <v>304</v>
      </c>
      <c r="L36" s="454">
        <f>K36/'# Yrs of Data'!D28</f>
        <v>12.16</v>
      </c>
      <c r="M36" s="2">
        <f t="shared" si="3"/>
        <v>123</v>
      </c>
      <c r="N36" s="35">
        <f>+M36/'# Yrs of Data'!D28</f>
        <v>4.92</v>
      </c>
      <c r="O36" s="2">
        <f t="shared" si="4"/>
        <v>100</v>
      </c>
      <c r="P36" s="35">
        <f>+O36/'# Yrs of Data'!D28</f>
        <v>4</v>
      </c>
      <c r="Q36" s="2">
        <f t="shared" si="5"/>
        <v>62</v>
      </c>
      <c r="R36" s="35">
        <f>+Q36/'# Yrs of Data'!D28</f>
        <v>2.48</v>
      </c>
      <c r="S36" s="2">
        <f t="shared" si="6"/>
        <v>13</v>
      </c>
      <c r="T36" s="35">
        <f>+S36/'# Yrs of Data'!D28</f>
        <v>0.52</v>
      </c>
      <c r="U36" s="2">
        <f t="shared" si="7"/>
        <v>6</v>
      </c>
      <c r="V36" s="35">
        <f>+U36/'# Yrs of Data'!D28</f>
        <v>0.24</v>
      </c>
      <c r="W36" s="1"/>
    </row>
    <row r="37" spans="1:23">
      <c r="A37" s="1"/>
      <c r="B37" s="453">
        <f t="shared" si="1"/>
        <v>1975</v>
      </c>
      <c r="C37" s="236">
        <f>(COUNTIF('Database - Whole Tornadoes'!$P$5:$P$2005, "1975F0"))</f>
        <v>10</v>
      </c>
      <c r="D37" s="236">
        <f>(COUNTIF('Database - Whole Tornadoes'!$P$5:$P$2005, "1975F1"))</f>
        <v>4</v>
      </c>
      <c r="E37" s="236">
        <f>(COUNTIF('Database - Whole Tornadoes'!$P$5:$P$2005, "1975F2"))</f>
        <v>1</v>
      </c>
      <c r="F37" s="236">
        <f>(COUNTIF('Database - Whole Tornadoes'!$P$5:$P$2005, "1975F3"))</f>
        <v>1</v>
      </c>
      <c r="G37" s="236">
        <f>(COUNTIF('Database - Whole Tornadoes'!$P$5:$P$2005, "1975F4"))</f>
        <v>0</v>
      </c>
      <c r="H37" s="236">
        <f>(COUNTIF('Database - Whole Tornadoes'!$P$5:$P$2005, "1975F5"))</f>
        <v>0</v>
      </c>
      <c r="I37" s="240">
        <f t="shared" si="0"/>
        <v>16</v>
      </c>
      <c r="J37" s="236">
        <f t="shared" si="8"/>
        <v>17.899999999999999</v>
      </c>
      <c r="K37" s="240">
        <f t="shared" si="2"/>
        <v>320</v>
      </c>
      <c r="L37" s="454">
        <f>K37/'# Yrs of Data'!D29</f>
        <v>12.307692307692308</v>
      </c>
      <c r="M37" s="2">
        <f t="shared" si="3"/>
        <v>133</v>
      </c>
      <c r="N37" s="35">
        <f>+M37/'# Yrs of Data'!D29</f>
        <v>5.115384615384615</v>
      </c>
      <c r="O37" s="2">
        <f t="shared" si="4"/>
        <v>104</v>
      </c>
      <c r="P37" s="35">
        <f>+O37/'# Yrs of Data'!D29</f>
        <v>4</v>
      </c>
      <c r="Q37" s="2">
        <f t="shared" si="5"/>
        <v>63</v>
      </c>
      <c r="R37" s="35">
        <f>+Q37/'# Yrs of Data'!D29</f>
        <v>2.4230769230769229</v>
      </c>
      <c r="S37" s="2">
        <f t="shared" si="6"/>
        <v>14</v>
      </c>
      <c r="T37" s="35">
        <f>+S37/'# Yrs of Data'!D29</f>
        <v>0.53846153846153844</v>
      </c>
      <c r="U37" s="2">
        <f t="shared" si="7"/>
        <v>6</v>
      </c>
      <c r="V37" s="35">
        <f>+U37/'# Yrs of Data'!D29</f>
        <v>0.23076923076923078</v>
      </c>
      <c r="W37" s="1"/>
    </row>
    <row r="38" spans="1:23">
      <c r="A38" s="1"/>
      <c r="B38" s="453">
        <f t="shared" si="1"/>
        <v>1976</v>
      </c>
      <c r="C38" s="236">
        <f>(COUNTIF('Database - Whole Tornadoes'!$P$5:$P$2005, "1976F0"))</f>
        <v>9</v>
      </c>
      <c r="D38" s="236">
        <f>(COUNTIF('Database - Whole Tornadoes'!$P$5:$P$2005, "1976F1"))</f>
        <v>1</v>
      </c>
      <c r="E38" s="236">
        <f>(COUNTIF('Database - Whole Tornadoes'!$P$5:$P$2005, "1976F2"))</f>
        <v>0</v>
      </c>
      <c r="F38" s="236">
        <f>(COUNTIF('Database - Whole Tornadoes'!$P$5:$P$2005, "1976F3"))</f>
        <v>0</v>
      </c>
      <c r="G38" s="236">
        <f>(COUNTIF('Database - Whole Tornadoes'!$P$5:$P$2005, "1976F4"))</f>
        <v>0</v>
      </c>
      <c r="H38" s="236">
        <f>(COUNTIF('Database - Whole Tornadoes'!$P$5:$P$2005, "1976F5"))</f>
        <v>0</v>
      </c>
      <c r="I38" s="240">
        <f t="shared" si="0"/>
        <v>10</v>
      </c>
      <c r="J38" s="236">
        <f t="shared" si="8"/>
        <v>17.7</v>
      </c>
      <c r="K38" s="240">
        <f t="shared" si="2"/>
        <v>330</v>
      </c>
      <c r="L38" s="454">
        <f>K38/'# Yrs of Data'!D30</f>
        <v>12.222222222222221</v>
      </c>
      <c r="M38" s="2">
        <f t="shared" si="3"/>
        <v>142</v>
      </c>
      <c r="N38" s="35">
        <f>+M38/'# Yrs of Data'!D30</f>
        <v>5.2592592592592595</v>
      </c>
      <c r="O38" s="2">
        <f t="shared" si="4"/>
        <v>105</v>
      </c>
      <c r="P38" s="35">
        <f>+O38/'# Yrs of Data'!D30</f>
        <v>3.8888888888888888</v>
      </c>
      <c r="Q38" s="2">
        <f t="shared" si="5"/>
        <v>63</v>
      </c>
      <c r="R38" s="35">
        <f>+Q38/'# Yrs of Data'!D30</f>
        <v>2.3333333333333335</v>
      </c>
      <c r="S38" s="2">
        <f t="shared" si="6"/>
        <v>14</v>
      </c>
      <c r="T38" s="35">
        <f>+S38/'# Yrs of Data'!D30</f>
        <v>0.51851851851851849</v>
      </c>
      <c r="U38" s="2">
        <f t="shared" si="7"/>
        <v>6</v>
      </c>
      <c r="V38" s="35">
        <f>+U38/'# Yrs of Data'!D30</f>
        <v>0.22222222222222221</v>
      </c>
      <c r="W38" s="1"/>
    </row>
    <row r="39" spans="1:23">
      <c r="A39" s="1"/>
      <c r="B39" s="453">
        <f t="shared" si="1"/>
        <v>1977</v>
      </c>
      <c r="C39" s="236">
        <f>(COUNTIF('Database - Whole Tornadoes'!$P$5:$P$2005, "1977F0"))</f>
        <v>7</v>
      </c>
      <c r="D39" s="236">
        <f>(COUNTIF('Database - Whole Tornadoes'!$P$5:$P$2005, "1977F1"))</f>
        <v>9</v>
      </c>
      <c r="E39" s="236">
        <f>(COUNTIF('Database - Whole Tornadoes'!$P$5:$P$2005, "1977F2"))</f>
        <v>2</v>
      </c>
      <c r="F39" s="236">
        <f>(COUNTIF('Database - Whole Tornadoes'!$P$5:$P$2005, "1977F3"))</f>
        <v>2</v>
      </c>
      <c r="G39" s="236">
        <f>(COUNTIF('Database - Whole Tornadoes'!$P$5:$P$2005, "1977F4"))</f>
        <v>1</v>
      </c>
      <c r="H39" s="236">
        <f>(COUNTIF('Database - Whole Tornadoes'!$P$5:$P$2005, "1977F5"))</f>
        <v>0</v>
      </c>
      <c r="I39" s="240">
        <f t="shared" si="0"/>
        <v>21</v>
      </c>
      <c r="J39" s="236">
        <f t="shared" si="8"/>
        <v>17</v>
      </c>
      <c r="K39" s="240">
        <f t="shared" si="2"/>
        <v>351</v>
      </c>
      <c r="L39" s="454">
        <f>K39/'# Yrs of Data'!D31</f>
        <v>12.535714285714286</v>
      </c>
      <c r="M39" s="2">
        <f t="shared" si="3"/>
        <v>149</v>
      </c>
      <c r="N39" s="35">
        <f>+M39/'# Yrs of Data'!D31</f>
        <v>5.3214285714285712</v>
      </c>
      <c r="O39" s="2">
        <f t="shared" si="4"/>
        <v>114</v>
      </c>
      <c r="P39" s="35">
        <f>+O39/'# Yrs of Data'!D31</f>
        <v>4.0714285714285712</v>
      </c>
      <c r="Q39" s="2">
        <f t="shared" si="5"/>
        <v>65</v>
      </c>
      <c r="R39" s="35">
        <f>+Q39/'# Yrs of Data'!D31</f>
        <v>2.3214285714285716</v>
      </c>
      <c r="S39" s="2">
        <f t="shared" si="6"/>
        <v>16</v>
      </c>
      <c r="T39" s="35">
        <f>+S39/'# Yrs of Data'!D31</f>
        <v>0.5714285714285714</v>
      </c>
      <c r="U39" s="2">
        <f t="shared" si="7"/>
        <v>7</v>
      </c>
      <c r="V39" s="35">
        <f>+U39/'# Yrs of Data'!D31</f>
        <v>0.25</v>
      </c>
      <c r="W39" s="1"/>
    </row>
    <row r="40" spans="1:23">
      <c r="A40" s="1"/>
      <c r="B40" s="453">
        <f t="shared" si="1"/>
        <v>1978</v>
      </c>
      <c r="C40" s="236">
        <f>(COUNTIF('Database - Whole Tornadoes'!$P$5:$P$2005, "1978F0"))</f>
        <v>14</v>
      </c>
      <c r="D40" s="236">
        <f>(COUNTIF('Database - Whole Tornadoes'!$P$5:$P$2005, "1978F1"))</f>
        <v>0</v>
      </c>
      <c r="E40" s="236">
        <f>(COUNTIF('Database - Whole Tornadoes'!$P$5:$P$2005, "1978F2"))</f>
        <v>1</v>
      </c>
      <c r="F40" s="236">
        <f>(COUNTIF('Database - Whole Tornadoes'!$P$5:$P$2005, "1978F3"))</f>
        <v>1</v>
      </c>
      <c r="G40" s="236">
        <f>(COUNTIF('Database - Whole Tornadoes'!$P$5:$P$2005, "1978F4"))</f>
        <v>0</v>
      </c>
      <c r="H40" s="236">
        <f>(COUNTIF('Database - Whole Tornadoes'!$P$5:$P$2005, "1978F5"))</f>
        <v>0</v>
      </c>
      <c r="I40" s="240">
        <f t="shared" si="0"/>
        <v>16</v>
      </c>
      <c r="J40" s="236">
        <f t="shared" si="8"/>
        <v>16.399999999999999</v>
      </c>
      <c r="K40" s="240">
        <f t="shared" si="2"/>
        <v>367</v>
      </c>
      <c r="L40" s="454">
        <f>K40/'# Yrs of Data'!D32</f>
        <v>12.655172413793103</v>
      </c>
      <c r="M40" s="2">
        <f t="shared" si="3"/>
        <v>163</v>
      </c>
      <c r="N40" s="35">
        <f>+M40/'# Yrs of Data'!D32</f>
        <v>5.6206896551724137</v>
      </c>
      <c r="O40" s="2">
        <f t="shared" si="4"/>
        <v>114</v>
      </c>
      <c r="P40" s="35">
        <f>+O40/'# Yrs of Data'!D32</f>
        <v>3.9310344827586206</v>
      </c>
      <c r="Q40" s="2">
        <f t="shared" si="5"/>
        <v>66</v>
      </c>
      <c r="R40" s="35">
        <f>+Q40/'# Yrs of Data'!D32</f>
        <v>2.2758620689655173</v>
      </c>
      <c r="S40" s="2">
        <f t="shared" si="6"/>
        <v>17</v>
      </c>
      <c r="T40" s="35">
        <f>+S40/'# Yrs of Data'!D32</f>
        <v>0.58620689655172409</v>
      </c>
      <c r="U40" s="2">
        <f t="shared" si="7"/>
        <v>7</v>
      </c>
      <c r="V40" s="35">
        <f>+U40/'# Yrs of Data'!D32</f>
        <v>0.2413793103448276</v>
      </c>
      <c r="W40" s="1"/>
    </row>
    <row r="41" spans="1:23">
      <c r="A41" s="1"/>
      <c r="B41" s="453">
        <f t="shared" si="1"/>
        <v>1979</v>
      </c>
      <c r="C41" s="236">
        <f>(COUNTIF('Database - Whole Tornadoes'!$P$5:$P$2005, "1979F0"))</f>
        <v>10</v>
      </c>
      <c r="D41" s="236">
        <f>(COUNTIF('Database - Whole Tornadoes'!$P$5:$P$2005, "1979F1"))</f>
        <v>1</v>
      </c>
      <c r="E41" s="236">
        <f>(COUNTIF('Database - Whole Tornadoes'!$P$5:$P$2005, "1979F2"))</f>
        <v>0</v>
      </c>
      <c r="F41" s="236">
        <f>(COUNTIF('Database - Whole Tornadoes'!$P$5:$P$2005, "1979F3"))</f>
        <v>0</v>
      </c>
      <c r="G41" s="236">
        <f>(COUNTIF('Database - Whole Tornadoes'!$P$5:$P$2005, "1979F4"))</f>
        <v>0</v>
      </c>
      <c r="H41" s="236">
        <f>(COUNTIF('Database - Whole Tornadoes'!$P$5:$P$2005, "1979F5"))</f>
        <v>0</v>
      </c>
      <c r="I41" s="240">
        <f t="shared" si="0"/>
        <v>11</v>
      </c>
      <c r="J41" s="236">
        <f t="shared" si="8"/>
        <v>15.9</v>
      </c>
      <c r="K41" s="240">
        <f t="shared" si="2"/>
        <v>378</v>
      </c>
      <c r="L41" s="454">
        <f>K41/'# Yrs of Data'!D33</f>
        <v>12.6</v>
      </c>
      <c r="M41" s="2">
        <f t="shared" si="3"/>
        <v>173</v>
      </c>
      <c r="N41" s="35">
        <f>+M41/'# Yrs of Data'!D33</f>
        <v>5.7666666666666666</v>
      </c>
      <c r="O41" s="2">
        <f t="shared" si="4"/>
        <v>115</v>
      </c>
      <c r="P41" s="35">
        <f>+O41/'# Yrs of Data'!D33</f>
        <v>3.8333333333333335</v>
      </c>
      <c r="Q41" s="2">
        <f t="shared" si="5"/>
        <v>66</v>
      </c>
      <c r="R41" s="35">
        <f>+Q41/'# Yrs of Data'!D33</f>
        <v>2.2000000000000002</v>
      </c>
      <c r="S41" s="2">
        <f t="shared" si="6"/>
        <v>17</v>
      </c>
      <c r="T41" s="35">
        <f>+S41/'# Yrs of Data'!D33</f>
        <v>0.56666666666666665</v>
      </c>
      <c r="U41" s="2">
        <f t="shared" si="7"/>
        <v>7</v>
      </c>
      <c r="V41" s="35">
        <f>+U41/'# Yrs of Data'!D33</f>
        <v>0.23333333333333334</v>
      </c>
      <c r="W41" s="1"/>
    </row>
    <row r="42" spans="1:23">
      <c r="A42" s="1"/>
      <c r="B42" s="453">
        <f t="shared" si="1"/>
        <v>1980</v>
      </c>
      <c r="C42" s="236">
        <f>(COUNTIF('Database - Whole Tornadoes'!$P$5:$P$2005, "1980F0"))</f>
        <v>6</v>
      </c>
      <c r="D42" s="236">
        <f>(COUNTIF('Database - Whole Tornadoes'!$P$5:$P$2005, "1980F1"))</f>
        <v>4</v>
      </c>
      <c r="E42" s="236">
        <f>(COUNTIF('Database - Whole Tornadoes'!$P$5:$P$2005, "1980F2"))</f>
        <v>3</v>
      </c>
      <c r="F42" s="236">
        <f>(COUNTIF('Database - Whole Tornadoes'!$P$5:$P$2005, "1980F3"))</f>
        <v>0</v>
      </c>
      <c r="G42" s="236">
        <f>(COUNTIF('Database - Whole Tornadoes'!$P$5:$P$2005, "1980F4"))</f>
        <v>0</v>
      </c>
      <c r="H42" s="236">
        <f>(COUNTIF('Database - Whole Tornadoes'!$P$5:$P$2005, "1980F5"))</f>
        <v>0</v>
      </c>
      <c r="I42" s="240">
        <f t="shared" si="0"/>
        <v>13</v>
      </c>
      <c r="J42" s="236">
        <f t="shared" si="8"/>
        <v>16.600000000000001</v>
      </c>
      <c r="K42" s="240">
        <f t="shared" si="2"/>
        <v>391</v>
      </c>
      <c r="L42" s="454">
        <f>K42/'# Yrs of Data'!D34</f>
        <v>12.612903225806452</v>
      </c>
      <c r="M42" s="2">
        <f t="shared" si="3"/>
        <v>179</v>
      </c>
      <c r="N42" s="35">
        <f>+M42/'# Yrs of Data'!D34</f>
        <v>5.774193548387097</v>
      </c>
      <c r="O42" s="2">
        <f t="shared" si="4"/>
        <v>119</v>
      </c>
      <c r="P42" s="35">
        <f>+O42/'# Yrs of Data'!D34</f>
        <v>3.838709677419355</v>
      </c>
      <c r="Q42" s="2">
        <f t="shared" si="5"/>
        <v>69</v>
      </c>
      <c r="R42" s="35">
        <f>+Q42/'# Yrs of Data'!D34</f>
        <v>2.225806451612903</v>
      </c>
      <c r="S42" s="2">
        <f t="shared" si="6"/>
        <v>17</v>
      </c>
      <c r="T42" s="35">
        <f>+S42/'# Yrs of Data'!D34</f>
        <v>0.54838709677419351</v>
      </c>
      <c r="U42" s="2">
        <f t="shared" si="7"/>
        <v>7</v>
      </c>
      <c r="V42" s="35">
        <f>+U42/'# Yrs of Data'!D34</f>
        <v>0.22580645161290322</v>
      </c>
      <c r="W42" s="1"/>
    </row>
    <row r="43" spans="1:23">
      <c r="A43" s="1"/>
      <c r="B43" s="453">
        <f t="shared" si="1"/>
        <v>1981</v>
      </c>
      <c r="C43" s="236">
        <f>(COUNTIF('Database - Whole Tornadoes'!$P$5:$P$2005, "1981F0"))</f>
        <v>10</v>
      </c>
      <c r="D43" s="236">
        <f>(COUNTIF('Database - Whole Tornadoes'!$P$5:$P$2005, "1981F1"))</f>
        <v>3</v>
      </c>
      <c r="E43" s="236">
        <f>(COUNTIF('Database - Whole Tornadoes'!$P$5:$P$2005, "1981F2"))</f>
        <v>1</v>
      </c>
      <c r="F43" s="236">
        <f>(COUNTIF('Database - Whole Tornadoes'!$P$5:$P$2005, "1981F3"))</f>
        <v>0</v>
      </c>
      <c r="G43" s="236">
        <f>(COUNTIF('Database - Whole Tornadoes'!$P$5:$P$2005, "1981F4"))</f>
        <v>0</v>
      </c>
      <c r="H43" s="236">
        <f>(COUNTIF('Database - Whole Tornadoes'!$P$5:$P$2005, "1981F5"))</f>
        <v>0</v>
      </c>
      <c r="I43" s="240">
        <f t="shared" si="0"/>
        <v>14</v>
      </c>
      <c r="J43" s="236">
        <f t="shared" si="8"/>
        <v>14.1</v>
      </c>
      <c r="K43" s="240">
        <f t="shared" si="2"/>
        <v>405</v>
      </c>
      <c r="L43" s="454">
        <f>K43/'# Yrs of Data'!D35</f>
        <v>12.65625</v>
      </c>
      <c r="M43" s="2">
        <f t="shared" si="3"/>
        <v>189</v>
      </c>
      <c r="N43" s="35">
        <f>+M43/'# Yrs of Data'!D35</f>
        <v>5.90625</v>
      </c>
      <c r="O43" s="2">
        <f t="shared" si="4"/>
        <v>122</v>
      </c>
      <c r="P43" s="35">
        <f>+O43/'# Yrs of Data'!D35</f>
        <v>3.8125</v>
      </c>
      <c r="Q43" s="2">
        <f t="shared" si="5"/>
        <v>70</v>
      </c>
      <c r="R43" s="35">
        <f>+Q43/'# Yrs of Data'!D35</f>
        <v>2.1875</v>
      </c>
      <c r="S43" s="2">
        <f t="shared" si="6"/>
        <v>17</v>
      </c>
      <c r="T43" s="35">
        <f>+S43/'# Yrs of Data'!D35</f>
        <v>0.53125</v>
      </c>
      <c r="U43" s="2">
        <f t="shared" si="7"/>
        <v>7</v>
      </c>
      <c r="V43" s="35">
        <f>+U43/'# Yrs of Data'!D35</f>
        <v>0.21875</v>
      </c>
      <c r="W43" s="1"/>
    </row>
    <row r="44" spans="1:23">
      <c r="A44" s="1"/>
      <c r="B44" s="453">
        <f t="shared" si="1"/>
        <v>1982</v>
      </c>
      <c r="C44" s="236">
        <f>(COUNTIF('Database - Whole Tornadoes'!$P$5:$P$2005, "1982F0"))</f>
        <v>19</v>
      </c>
      <c r="D44" s="236">
        <f>(COUNTIF('Database - Whole Tornadoes'!$P$5:$P$2005, "1982F1"))</f>
        <v>7</v>
      </c>
      <c r="E44" s="236">
        <f>(COUNTIF('Database - Whole Tornadoes'!$P$5:$P$2005, "1982F2"))</f>
        <v>5</v>
      </c>
      <c r="F44" s="236">
        <f>(COUNTIF('Database - Whole Tornadoes'!$P$5:$P$2005, "1982F3"))</f>
        <v>4</v>
      </c>
      <c r="G44" s="236">
        <f>(COUNTIF('Database - Whole Tornadoes'!$P$5:$P$2005, "1982F4"))</f>
        <v>1</v>
      </c>
      <c r="H44" s="236">
        <f>(COUNTIF('Database - Whole Tornadoes'!$P$5:$P$2005, "1982F5"))</f>
        <v>0</v>
      </c>
      <c r="I44" s="240">
        <f t="shared" si="0"/>
        <v>36</v>
      </c>
      <c r="J44" s="236">
        <f t="shared" si="8"/>
        <v>15.8</v>
      </c>
      <c r="K44" s="240">
        <f t="shared" si="2"/>
        <v>441</v>
      </c>
      <c r="L44" s="454">
        <f>K44/'# Yrs of Data'!D36</f>
        <v>13.363636363636363</v>
      </c>
      <c r="M44" s="2">
        <f t="shared" si="3"/>
        <v>208</v>
      </c>
      <c r="N44" s="35">
        <f>+M44/'# Yrs of Data'!D36</f>
        <v>6.3030303030303028</v>
      </c>
      <c r="O44" s="2">
        <f t="shared" si="4"/>
        <v>129</v>
      </c>
      <c r="P44" s="35">
        <f>+O44/'# Yrs of Data'!D36</f>
        <v>3.9090909090909092</v>
      </c>
      <c r="Q44" s="2">
        <f t="shared" si="5"/>
        <v>75</v>
      </c>
      <c r="R44" s="35">
        <f>+Q44/'# Yrs of Data'!D36</f>
        <v>2.2727272727272729</v>
      </c>
      <c r="S44" s="2">
        <f t="shared" si="6"/>
        <v>21</v>
      </c>
      <c r="T44" s="35">
        <f>+S44/'# Yrs of Data'!D36</f>
        <v>0.63636363636363635</v>
      </c>
      <c r="U44" s="2">
        <f t="shared" si="7"/>
        <v>8</v>
      </c>
      <c r="V44" s="35">
        <f>+U44/'# Yrs of Data'!D36</f>
        <v>0.24242424242424243</v>
      </c>
      <c r="W44" s="1"/>
    </row>
    <row r="45" spans="1:23">
      <c r="A45" s="1"/>
      <c r="B45" s="453">
        <f t="shared" si="1"/>
        <v>1983</v>
      </c>
      <c r="C45" s="236">
        <f>(COUNTIF('Database - Whole Tornadoes'!$P$5:$P$2005, "1983F0"))</f>
        <v>8</v>
      </c>
      <c r="D45" s="236">
        <f>(COUNTIF('Database - Whole Tornadoes'!$P$5:$P$2005, "1983F1"))</f>
        <v>4</v>
      </c>
      <c r="E45" s="236">
        <f>(COUNTIF('Database - Whole Tornadoes'!$P$5:$P$2005, "1983F2"))</f>
        <v>2</v>
      </c>
      <c r="F45" s="236">
        <f>(COUNTIF('Database - Whole Tornadoes'!$P$5:$P$2005, "1983F3"))</f>
        <v>0</v>
      </c>
      <c r="G45" s="236">
        <f>(COUNTIF('Database - Whole Tornadoes'!$P$5:$P$2005, "1983F4"))</f>
        <v>0</v>
      </c>
      <c r="H45" s="236">
        <f>(COUNTIF('Database - Whole Tornadoes'!$P$5:$P$2005, "1983F5"))</f>
        <v>0</v>
      </c>
      <c r="I45" s="240">
        <f t="shared" si="0"/>
        <v>14</v>
      </c>
      <c r="J45" s="236">
        <f t="shared" si="8"/>
        <v>16.399999999999999</v>
      </c>
      <c r="K45" s="240">
        <f t="shared" si="2"/>
        <v>455</v>
      </c>
      <c r="L45" s="454">
        <f>K45/'# Yrs of Data'!D37</f>
        <v>13.382352941176471</v>
      </c>
      <c r="M45" s="2">
        <f t="shared" si="3"/>
        <v>216</v>
      </c>
      <c r="N45" s="35">
        <f>+M45/'# Yrs of Data'!D37</f>
        <v>6.3529411764705879</v>
      </c>
      <c r="O45" s="2">
        <f t="shared" si="4"/>
        <v>133</v>
      </c>
      <c r="P45" s="35">
        <f>+O45/'# Yrs of Data'!D37</f>
        <v>3.9117647058823528</v>
      </c>
      <c r="Q45" s="2">
        <f t="shared" si="5"/>
        <v>77</v>
      </c>
      <c r="R45" s="35">
        <f>+Q45/'# Yrs of Data'!D37</f>
        <v>2.2647058823529411</v>
      </c>
      <c r="S45" s="2">
        <f t="shared" si="6"/>
        <v>21</v>
      </c>
      <c r="T45" s="35">
        <f>+S45/'# Yrs of Data'!D37</f>
        <v>0.61764705882352944</v>
      </c>
      <c r="U45" s="2">
        <f t="shared" si="7"/>
        <v>8</v>
      </c>
      <c r="V45" s="35">
        <f>+U45/'# Yrs of Data'!D37</f>
        <v>0.23529411764705882</v>
      </c>
      <c r="W45" s="1"/>
    </row>
    <row r="46" spans="1:23">
      <c r="A46" s="1"/>
      <c r="B46" s="453">
        <f t="shared" si="1"/>
        <v>1984</v>
      </c>
      <c r="C46" s="236">
        <f>(COUNTIF('Database - Whole Tornadoes'!$P$5:$P$2005, "1984F0"))</f>
        <v>6</v>
      </c>
      <c r="D46" s="236">
        <f>(COUNTIF('Database - Whole Tornadoes'!$P$5:$P$2005, "1984F1"))</f>
        <v>2</v>
      </c>
      <c r="E46" s="236">
        <f>(COUNTIF('Database - Whole Tornadoes'!$P$5:$P$2005, "1984F2"))</f>
        <v>0</v>
      </c>
      <c r="F46" s="236">
        <f>(COUNTIF('Database - Whole Tornadoes'!$P$5:$P$2005, "1984F3"))</f>
        <v>0</v>
      </c>
      <c r="G46" s="236">
        <f>(COUNTIF('Database - Whole Tornadoes'!$P$5:$P$2005, "1984F4"))</f>
        <v>0</v>
      </c>
      <c r="H46" s="236">
        <f>(COUNTIF('Database - Whole Tornadoes'!$P$5:$P$2005, "1984F5"))</f>
        <v>0</v>
      </c>
      <c r="I46" s="240">
        <f t="shared" si="0"/>
        <v>8</v>
      </c>
      <c r="J46" s="236">
        <f t="shared" si="8"/>
        <v>15.9</v>
      </c>
      <c r="K46" s="240">
        <f t="shared" si="2"/>
        <v>463</v>
      </c>
      <c r="L46" s="454">
        <f>K46/'# Yrs of Data'!D38</f>
        <v>13.228571428571428</v>
      </c>
      <c r="M46" s="2">
        <f t="shared" si="3"/>
        <v>222</v>
      </c>
      <c r="N46" s="35">
        <f>+M46/'# Yrs of Data'!D38</f>
        <v>6.3428571428571425</v>
      </c>
      <c r="O46" s="2">
        <f t="shared" si="4"/>
        <v>135</v>
      </c>
      <c r="P46" s="35">
        <f>+O46/'# Yrs of Data'!D38</f>
        <v>3.8571428571428572</v>
      </c>
      <c r="Q46" s="2">
        <f t="shared" si="5"/>
        <v>77</v>
      </c>
      <c r="R46" s="35">
        <f>+Q46/'# Yrs of Data'!D38</f>
        <v>2.2000000000000002</v>
      </c>
      <c r="S46" s="2">
        <f t="shared" si="6"/>
        <v>21</v>
      </c>
      <c r="T46" s="35">
        <f>+S46/'# Yrs of Data'!D38</f>
        <v>0.6</v>
      </c>
      <c r="U46" s="2">
        <f t="shared" si="7"/>
        <v>8</v>
      </c>
      <c r="V46" s="35">
        <f>+U46/'# Yrs of Data'!D38</f>
        <v>0.22857142857142856</v>
      </c>
      <c r="W46" s="1"/>
    </row>
    <row r="47" spans="1:23">
      <c r="A47" s="1"/>
      <c r="B47" s="453">
        <f t="shared" si="1"/>
        <v>1985</v>
      </c>
      <c r="C47" s="236">
        <f>(COUNTIF('Database - Whole Tornadoes'!$P$5:$P$2005, "1985F0"))</f>
        <v>3</v>
      </c>
      <c r="D47" s="236">
        <f>(COUNTIF('Database - Whole Tornadoes'!$P$5:$P$2005, "1985F1"))</f>
        <v>0</v>
      </c>
      <c r="E47" s="236">
        <f>(COUNTIF('Database - Whole Tornadoes'!$P$5:$P$2005, "1985F2"))</f>
        <v>0</v>
      </c>
      <c r="F47" s="236">
        <f>(COUNTIF('Database - Whole Tornadoes'!$P$5:$P$2005, "1985F3"))</f>
        <v>0</v>
      </c>
      <c r="G47" s="236">
        <f>(COUNTIF('Database - Whole Tornadoes'!$P$5:$P$2005, "1985F4"))</f>
        <v>0</v>
      </c>
      <c r="H47" s="236">
        <f>(COUNTIF('Database - Whole Tornadoes'!$P$5:$P$2005, "1985F5"))</f>
        <v>0</v>
      </c>
      <c r="I47" s="240">
        <f t="shared" si="0"/>
        <v>3</v>
      </c>
      <c r="J47" s="236">
        <f t="shared" si="8"/>
        <v>14.6</v>
      </c>
      <c r="K47" s="240">
        <f t="shared" si="2"/>
        <v>466</v>
      </c>
      <c r="L47" s="454">
        <f>K47/'# Yrs of Data'!D39</f>
        <v>12.944444444444445</v>
      </c>
      <c r="M47" s="2">
        <f t="shared" si="3"/>
        <v>225</v>
      </c>
      <c r="N47" s="35">
        <f>+M47/'# Yrs of Data'!D39</f>
        <v>6.25</v>
      </c>
      <c r="O47" s="2">
        <f t="shared" si="4"/>
        <v>135</v>
      </c>
      <c r="P47" s="35">
        <f>+O47/'# Yrs of Data'!D39</f>
        <v>3.75</v>
      </c>
      <c r="Q47" s="2">
        <f t="shared" si="5"/>
        <v>77</v>
      </c>
      <c r="R47" s="35">
        <f>+Q47/'# Yrs of Data'!D39</f>
        <v>2.1388888888888888</v>
      </c>
      <c r="S47" s="2">
        <f t="shared" si="6"/>
        <v>21</v>
      </c>
      <c r="T47" s="35">
        <f>+S47/'# Yrs of Data'!D39</f>
        <v>0.58333333333333337</v>
      </c>
      <c r="U47" s="2">
        <f t="shared" si="7"/>
        <v>8</v>
      </c>
      <c r="V47" s="35">
        <f>+U47/'# Yrs of Data'!D39</f>
        <v>0.22222222222222221</v>
      </c>
      <c r="W47" s="1"/>
    </row>
    <row r="48" spans="1:23">
      <c r="A48" s="1"/>
      <c r="B48" s="453">
        <f t="shared" si="1"/>
        <v>1986</v>
      </c>
      <c r="C48" s="236">
        <f>(COUNTIF('Database - Whole Tornadoes'!$P$5:$P$2005, "1986F0"))</f>
        <v>14</v>
      </c>
      <c r="D48" s="236">
        <f>(COUNTIF('Database - Whole Tornadoes'!$P$5:$P$2005, "1986F1"))</f>
        <v>0</v>
      </c>
      <c r="E48" s="236">
        <f>(COUNTIF('Database - Whole Tornadoes'!$P$5:$P$2005, "1986F2"))</f>
        <v>1</v>
      </c>
      <c r="F48" s="236">
        <f>(COUNTIF('Database - Whole Tornadoes'!$P$5:$P$2005, "1986F3"))</f>
        <v>1</v>
      </c>
      <c r="G48" s="236">
        <f>(COUNTIF('Database - Whole Tornadoes'!$P$5:$P$2005, "1986F4"))</f>
        <v>0</v>
      </c>
      <c r="H48" s="236">
        <f>(COUNTIF('Database - Whole Tornadoes'!$P$5:$P$2005, "1986F5"))</f>
        <v>0</v>
      </c>
      <c r="I48" s="240">
        <f t="shared" si="0"/>
        <v>16</v>
      </c>
      <c r="J48" s="236">
        <f t="shared" si="8"/>
        <v>15.2</v>
      </c>
      <c r="K48" s="240">
        <f t="shared" si="2"/>
        <v>482</v>
      </c>
      <c r="L48" s="454">
        <f>K48/'# Yrs of Data'!D40</f>
        <v>13.027027027027026</v>
      </c>
      <c r="M48" s="2">
        <f t="shared" si="3"/>
        <v>239</v>
      </c>
      <c r="N48" s="35">
        <f>+M48/'# Yrs of Data'!D40</f>
        <v>6.4594594594594597</v>
      </c>
      <c r="O48" s="2">
        <f t="shared" si="4"/>
        <v>135</v>
      </c>
      <c r="P48" s="35">
        <f>+O48/'# Yrs of Data'!D40</f>
        <v>3.6486486486486487</v>
      </c>
      <c r="Q48" s="2">
        <f t="shared" si="5"/>
        <v>78</v>
      </c>
      <c r="R48" s="35">
        <f>+Q48/'# Yrs of Data'!D40</f>
        <v>2.1081081081081079</v>
      </c>
      <c r="S48" s="2">
        <f t="shared" si="6"/>
        <v>22</v>
      </c>
      <c r="T48" s="35">
        <f>+S48/'# Yrs of Data'!D40</f>
        <v>0.59459459459459463</v>
      </c>
      <c r="U48" s="2">
        <f t="shared" si="7"/>
        <v>8</v>
      </c>
      <c r="V48" s="35">
        <f>+U48/'# Yrs of Data'!D40</f>
        <v>0.21621621621621623</v>
      </c>
    </row>
    <row r="49" spans="1:23">
      <c r="A49" s="1"/>
      <c r="B49" s="453">
        <f t="shared" si="1"/>
        <v>1987</v>
      </c>
      <c r="C49" s="236">
        <f>(COUNTIF('Database - Whole Tornadoes'!$P$5:$P$2005, "1987F0"))</f>
        <v>13</v>
      </c>
      <c r="D49" s="236">
        <f>(COUNTIF('Database - Whole Tornadoes'!$P$5:$P$2005, "1987F1"))</f>
        <v>8</v>
      </c>
      <c r="E49" s="236">
        <f>(COUNTIF('Database - Whole Tornadoes'!$P$5:$P$2005, "1987F2"))</f>
        <v>8</v>
      </c>
      <c r="F49" s="236">
        <f>(COUNTIF('Database - Whole Tornadoes'!$P$5:$P$2005, "1987F3"))</f>
        <v>3</v>
      </c>
      <c r="G49" s="236">
        <f>(COUNTIF('Database - Whole Tornadoes'!$P$5:$P$2005, "1987F4"))</f>
        <v>0</v>
      </c>
      <c r="H49" s="236">
        <f>(COUNTIF('Database - Whole Tornadoes'!$P$5:$P$2005, "1987F5"))</f>
        <v>0</v>
      </c>
      <c r="I49" s="240">
        <f t="shared" si="0"/>
        <v>32</v>
      </c>
      <c r="J49" s="236">
        <f t="shared" si="8"/>
        <v>16.3</v>
      </c>
      <c r="K49" s="240">
        <f t="shared" si="2"/>
        <v>514</v>
      </c>
      <c r="L49" s="454">
        <f>K49/'# Yrs of Data'!D41</f>
        <v>13.526315789473685</v>
      </c>
      <c r="M49" s="2">
        <f t="shared" si="3"/>
        <v>252</v>
      </c>
      <c r="N49" s="35">
        <f>+M49/'# Yrs of Data'!D41</f>
        <v>6.6315789473684212</v>
      </c>
      <c r="O49" s="2">
        <f t="shared" si="4"/>
        <v>143</v>
      </c>
      <c r="P49" s="35">
        <f>+O49/'# Yrs of Data'!D41</f>
        <v>3.763157894736842</v>
      </c>
      <c r="Q49" s="2">
        <f t="shared" si="5"/>
        <v>86</v>
      </c>
      <c r="R49" s="35">
        <f>+Q49/'# Yrs of Data'!D41</f>
        <v>2.263157894736842</v>
      </c>
      <c r="S49" s="2">
        <f t="shared" si="6"/>
        <v>25</v>
      </c>
      <c r="T49" s="35">
        <f>+S49/'# Yrs of Data'!D41</f>
        <v>0.65789473684210531</v>
      </c>
      <c r="U49" s="2">
        <f t="shared" si="7"/>
        <v>8</v>
      </c>
      <c r="V49" s="35">
        <f>+U49/'# Yrs of Data'!D41</f>
        <v>0.21052631578947367</v>
      </c>
    </row>
    <row r="50" spans="1:23">
      <c r="A50" s="1"/>
      <c r="B50" s="453">
        <f t="shared" si="1"/>
        <v>1988</v>
      </c>
      <c r="C50" s="236">
        <f>(COUNTIF('Database - Whole Tornadoes'!$P$5:$P$2005, "1988F0"))</f>
        <v>2</v>
      </c>
      <c r="D50" s="236">
        <f>(COUNTIF('Database - Whole Tornadoes'!$P$5:$P$2005, "1988F1"))</f>
        <v>1</v>
      </c>
      <c r="E50" s="236">
        <f>(COUNTIF('Database - Whole Tornadoes'!$P$5:$P$2005, "1988F2"))</f>
        <v>1</v>
      </c>
      <c r="F50" s="236">
        <f>(COUNTIF('Database - Whole Tornadoes'!$P$5:$P$2005, "1988F3"))</f>
        <v>0</v>
      </c>
      <c r="G50" s="236">
        <f>(COUNTIF('Database - Whole Tornadoes'!$P$5:$P$2005, "1988F4"))</f>
        <v>0</v>
      </c>
      <c r="H50" s="236">
        <f>(COUNTIF('Database - Whole Tornadoes'!$P$5:$P$2005, "1988F5"))</f>
        <v>0</v>
      </c>
      <c r="I50" s="240">
        <f t="shared" si="0"/>
        <v>4</v>
      </c>
      <c r="J50" s="236">
        <f t="shared" si="8"/>
        <v>15.1</v>
      </c>
      <c r="K50" s="240">
        <f t="shared" si="2"/>
        <v>518</v>
      </c>
      <c r="L50" s="454">
        <f>K50/'# Yrs of Data'!D42</f>
        <v>13.282051282051283</v>
      </c>
      <c r="M50" s="2">
        <f t="shared" si="3"/>
        <v>254</v>
      </c>
      <c r="N50" s="35">
        <f>+M50/'# Yrs of Data'!D42</f>
        <v>6.5128205128205128</v>
      </c>
      <c r="O50" s="2">
        <f t="shared" si="4"/>
        <v>144</v>
      </c>
      <c r="P50" s="35">
        <f>+O50/'# Yrs of Data'!D42</f>
        <v>3.6923076923076925</v>
      </c>
      <c r="Q50" s="2">
        <f t="shared" si="5"/>
        <v>87</v>
      </c>
      <c r="R50" s="35">
        <f>+Q50/'# Yrs of Data'!D42</f>
        <v>2.2307692307692308</v>
      </c>
      <c r="S50" s="2">
        <f t="shared" si="6"/>
        <v>25</v>
      </c>
      <c r="T50" s="35">
        <f>+S50/'# Yrs of Data'!D42</f>
        <v>0.64102564102564108</v>
      </c>
      <c r="U50" s="2">
        <f t="shared" si="7"/>
        <v>8</v>
      </c>
      <c r="V50" s="35">
        <f>+U50/'# Yrs of Data'!D42</f>
        <v>0.20512820512820512</v>
      </c>
    </row>
    <row r="51" spans="1:23">
      <c r="A51" s="1"/>
      <c r="B51" s="453">
        <f t="shared" si="1"/>
        <v>1989</v>
      </c>
      <c r="C51" s="236">
        <f>(COUNTIF('Database - Whole Tornadoes'!$P$5:$P$2005, "1989F0"))</f>
        <v>23</v>
      </c>
      <c r="D51" s="236">
        <f>(COUNTIF('Database - Whole Tornadoes'!$P$5:$P$2005, "1989F1"))</f>
        <v>7</v>
      </c>
      <c r="E51" s="236">
        <f>(COUNTIF('Database - Whole Tornadoes'!$P$5:$P$2005, "1989F2"))</f>
        <v>2</v>
      </c>
      <c r="F51" s="236">
        <f>(COUNTIF('Database - Whole Tornadoes'!$P$5:$P$2005, "1989F3"))</f>
        <v>0</v>
      </c>
      <c r="G51" s="236">
        <f>(COUNTIF('Database - Whole Tornadoes'!$P$5:$P$2005, "1989F4"))</f>
        <v>0</v>
      </c>
      <c r="H51" s="236">
        <f>(COUNTIF('Database - Whole Tornadoes'!$P$5:$P$2005, "1989F5"))</f>
        <v>0</v>
      </c>
      <c r="I51" s="240">
        <f t="shared" si="0"/>
        <v>32</v>
      </c>
      <c r="J51" s="236">
        <f t="shared" si="8"/>
        <v>17.2</v>
      </c>
      <c r="K51" s="240">
        <f t="shared" si="2"/>
        <v>550</v>
      </c>
      <c r="L51" s="454">
        <f>K51/'# Yrs of Data'!D43</f>
        <v>13.75</v>
      </c>
      <c r="M51" s="2">
        <f t="shared" si="3"/>
        <v>277</v>
      </c>
      <c r="N51" s="35">
        <f>+M51/'# Yrs of Data'!D43</f>
        <v>6.9249999999999998</v>
      </c>
      <c r="O51" s="2">
        <f t="shared" si="4"/>
        <v>151</v>
      </c>
      <c r="P51" s="35">
        <f>+O51/'# Yrs of Data'!D43</f>
        <v>3.7749999999999999</v>
      </c>
      <c r="Q51" s="2">
        <f t="shared" si="5"/>
        <v>89</v>
      </c>
      <c r="R51" s="35">
        <f>+Q51/'# Yrs of Data'!D43</f>
        <v>2.2250000000000001</v>
      </c>
      <c r="S51" s="2">
        <f t="shared" si="6"/>
        <v>25</v>
      </c>
      <c r="T51" s="35">
        <f>+S51/'# Yrs of Data'!D43</f>
        <v>0.625</v>
      </c>
      <c r="U51" s="2">
        <f t="shared" si="7"/>
        <v>8</v>
      </c>
      <c r="V51" s="35">
        <f>+U51/'# Yrs of Data'!D43</f>
        <v>0.2</v>
      </c>
      <c r="W51" s="1"/>
    </row>
    <row r="52" spans="1:23">
      <c r="A52" s="1"/>
      <c r="B52" s="453">
        <f t="shared" si="1"/>
        <v>1990</v>
      </c>
      <c r="C52" s="236">
        <f>(COUNTIF('Database - Whole Tornadoes'!$P$5:$P$2005, "1990F0"))</f>
        <v>24</v>
      </c>
      <c r="D52" s="236">
        <f>(COUNTIF('Database - Whole Tornadoes'!$P$5:$P$2005, "1990F1"))</f>
        <v>9</v>
      </c>
      <c r="E52" s="236">
        <f>(COUNTIF('Database - Whole Tornadoes'!$P$5:$P$2005, "1990F2"))</f>
        <v>4</v>
      </c>
      <c r="F52" s="236">
        <f>(COUNTIF('Database - Whole Tornadoes'!$P$5:$P$2005, "1990F3"))</f>
        <v>1</v>
      </c>
      <c r="G52" s="236">
        <f>(COUNTIF('Database - Whole Tornadoes'!$P$5:$P$2005, "1990F4"))</f>
        <v>0</v>
      </c>
      <c r="H52" s="236">
        <f>(COUNTIF('Database - Whole Tornadoes'!$P$5:$P$2005, "1990F5"))</f>
        <v>0</v>
      </c>
      <c r="I52" s="240">
        <f t="shared" si="0"/>
        <v>38</v>
      </c>
      <c r="J52" s="236">
        <f t="shared" si="8"/>
        <v>19.7</v>
      </c>
      <c r="K52" s="240">
        <f t="shared" si="2"/>
        <v>588</v>
      </c>
      <c r="L52" s="454">
        <f>K52/'# Yrs of Data'!D44</f>
        <v>14.341463414634147</v>
      </c>
      <c r="M52" s="2">
        <f t="shared" si="3"/>
        <v>301</v>
      </c>
      <c r="N52" s="35">
        <f>+M52/'# Yrs of Data'!D44</f>
        <v>7.3414634146341466</v>
      </c>
      <c r="O52" s="2">
        <f t="shared" si="4"/>
        <v>160</v>
      </c>
      <c r="P52" s="35">
        <f>+O52/'# Yrs of Data'!D44</f>
        <v>3.9024390243902438</v>
      </c>
      <c r="Q52" s="2">
        <f t="shared" si="5"/>
        <v>93</v>
      </c>
      <c r="R52" s="35">
        <f>+Q52/'# Yrs of Data'!D44</f>
        <v>2.2682926829268291</v>
      </c>
      <c r="S52" s="2">
        <f t="shared" si="6"/>
        <v>26</v>
      </c>
      <c r="T52" s="35">
        <f>+S52/'# Yrs of Data'!D44</f>
        <v>0.63414634146341464</v>
      </c>
      <c r="U52" s="2">
        <f t="shared" si="7"/>
        <v>8</v>
      </c>
      <c r="V52" s="35">
        <f>+U52/'# Yrs of Data'!D44</f>
        <v>0.1951219512195122</v>
      </c>
      <c r="W52" s="1"/>
    </row>
    <row r="53" spans="1:23">
      <c r="A53" s="1"/>
      <c r="B53" s="453">
        <f t="shared" si="1"/>
        <v>1991</v>
      </c>
      <c r="C53" s="236">
        <f>(COUNTIF('Database - Whole Tornadoes'!$P$5:$P$2005, "1991F0"))</f>
        <v>19</v>
      </c>
      <c r="D53" s="236">
        <f>(COUNTIF('Database - Whole Tornadoes'!$P$5:$P$2005, "1991F1"))</f>
        <v>1</v>
      </c>
      <c r="E53" s="236">
        <f>(COUNTIF('Database - Whole Tornadoes'!$P$5:$P$2005, "1991F2"))</f>
        <v>0</v>
      </c>
      <c r="F53" s="236">
        <f>(COUNTIF('Database - Whole Tornadoes'!$P$5:$P$2005, "1991F3"))</f>
        <v>1</v>
      </c>
      <c r="G53" s="236">
        <f>(COUNTIF('Database - Whole Tornadoes'!$P$5:$P$2005, "1991F4"))</f>
        <v>0</v>
      </c>
      <c r="H53" s="236">
        <f>(COUNTIF('Database - Whole Tornadoes'!$P$5:$P$2005, "1991F5"))</f>
        <v>0</v>
      </c>
      <c r="I53" s="240">
        <f t="shared" si="0"/>
        <v>21</v>
      </c>
      <c r="J53" s="236">
        <f t="shared" si="8"/>
        <v>20.399999999999999</v>
      </c>
      <c r="K53" s="240">
        <f t="shared" si="2"/>
        <v>609</v>
      </c>
      <c r="L53" s="454">
        <f>K53/'# Yrs of Data'!D45</f>
        <v>14.5</v>
      </c>
      <c r="M53" s="2">
        <f t="shared" si="3"/>
        <v>320</v>
      </c>
      <c r="N53" s="35">
        <f>+M53/'# Yrs of Data'!D45</f>
        <v>7.6190476190476186</v>
      </c>
      <c r="O53" s="2">
        <f t="shared" si="4"/>
        <v>161</v>
      </c>
      <c r="P53" s="35">
        <f>+O53/'# Yrs of Data'!D45</f>
        <v>3.8333333333333335</v>
      </c>
      <c r="Q53" s="2">
        <f t="shared" si="5"/>
        <v>93</v>
      </c>
      <c r="R53" s="35">
        <f>+Q53/'# Yrs of Data'!D45</f>
        <v>2.2142857142857144</v>
      </c>
      <c r="S53" s="2">
        <f t="shared" si="6"/>
        <v>27</v>
      </c>
      <c r="T53" s="35">
        <f>+S53/'# Yrs of Data'!D45</f>
        <v>0.6428571428571429</v>
      </c>
      <c r="U53" s="2">
        <f t="shared" si="7"/>
        <v>8</v>
      </c>
      <c r="V53" s="35">
        <f>+U53/'# Yrs of Data'!D45</f>
        <v>0.19047619047619047</v>
      </c>
      <c r="W53" s="1"/>
    </row>
    <row r="54" spans="1:23">
      <c r="A54" s="1"/>
      <c r="B54" s="453">
        <f t="shared" si="1"/>
        <v>1992</v>
      </c>
      <c r="C54" s="236">
        <f>(COUNTIF('Database - Whole Tornadoes'!$P$5:$P$2005, "1992F0"))</f>
        <v>13</v>
      </c>
      <c r="D54" s="236">
        <f>(COUNTIF('Database - Whole Tornadoes'!$P$5:$P$2005, "1992F1"))</f>
        <v>3</v>
      </c>
      <c r="E54" s="236">
        <f>(COUNTIF('Database - Whole Tornadoes'!$P$5:$P$2005, "1992F2"))</f>
        <v>1</v>
      </c>
      <c r="F54" s="236">
        <f>(COUNTIF('Database - Whole Tornadoes'!$P$5:$P$2005, "1992F3"))</f>
        <v>1</v>
      </c>
      <c r="G54" s="236">
        <f>(COUNTIF('Database - Whole Tornadoes'!$P$5:$P$2005, "1992F4"))</f>
        <v>1</v>
      </c>
      <c r="H54" s="236">
        <f>(COUNTIF('Database - Whole Tornadoes'!$P$5:$P$2005, "1992F5"))</f>
        <v>0</v>
      </c>
      <c r="I54" s="240">
        <f t="shared" si="0"/>
        <v>19</v>
      </c>
      <c r="J54" s="236">
        <f t="shared" si="8"/>
        <v>18.7</v>
      </c>
      <c r="K54" s="240">
        <f t="shared" si="2"/>
        <v>628</v>
      </c>
      <c r="L54" s="454">
        <f>K54/'# Yrs of Data'!D46</f>
        <v>14.604651162790697</v>
      </c>
      <c r="M54" s="2">
        <f t="shared" si="3"/>
        <v>333</v>
      </c>
      <c r="N54" s="35">
        <f>+M54/'# Yrs of Data'!D46</f>
        <v>7.7441860465116283</v>
      </c>
      <c r="O54" s="2">
        <f t="shared" si="4"/>
        <v>164</v>
      </c>
      <c r="P54" s="35">
        <f>+O54/'# Yrs of Data'!D46</f>
        <v>3.8139534883720931</v>
      </c>
      <c r="Q54" s="2">
        <f t="shared" si="5"/>
        <v>94</v>
      </c>
      <c r="R54" s="35">
        <f>+Q54/'# Yrs of Data'!D46</f>
        <v>2.1860465116279069</v>
      </c>
      <c r="S54" s="2">
        <f t="shared" si="6"/>
        <v>28</v>
      </c>
      <c r="T54" s="35">
        <f>+S54/'# Yrs of Data'!D46</f>
        <v>0.65116279069767447</v>
      </c>
      <c r="U54" s="2">
        <f t="shared" si="7"/>
        <v>9</v>
      </c>
      <c r="V54" s="35">
        <f>+U54/'# Yrs of Data'!D46</f>
        <v>0.20930232558139536</v>
      </c>
      <c r="W54" s="1"/>
    </row>
    <row r="55" spans="1:23">
      <c r="A55" s="1"/>
      <c r="B55" s="453">
        <f t="shared" si="1"/>
        <v>1993</v>
      </c>
      <c r="C55" s="236">
        <f>(COUNTIF('Database - Whole Tornadoes'!$P$5:$P$2005, "1993F0"))</f>
        <v>12</v>
      </c>
      <c r="D55" s="236">
        <f>(COUNTIF('Database - Whole Tornadoes'!$P$5:$P$2005, "1993F1"))</f>
        <v>4</v>
      </c>
      <c r="E55" s="236">
        <f>(COUNTIF('Database - Whole Tornadoes'!$P$5:$P$2005, "1993F2"))</f>
        <v>0</v>
      </c>
      <c r="F55" s="236">
        <f>(COUNTIF('Database - Whole Tornadoes'!$P$5:$P$2005, "1993F3"))</f>
        <v>2</v>
      </c>
      <c r="G55" s="236">
        <f>(COUNTIF('Database - Whole Tornadoes'!$P$5:$P$2005, "1993F4"))</f>
        <v>0</v>
      </c>
      <c r="H55" s="236">
        <f>(COUNTIF('Database - Whole Tornadoes'!$P$5:$P$2005, "1993F5"))</f>
        <v>0</v>
      </c>
      <c r="I55" s="240">
        <f t="shared" si="0"/>
        <v>18</v>
      </c>
      <c r="J55" s="236">
        <f t="shared" si="8"/>
        <v>19.100000000000001</v>
      </c>
      <c r="K55" s="240">
        <f t="shared" si="2"/>
        <v>646</v>
      </c>
      <c r="L55" s="454">
        <f>K55/'# Yrs of Data'!D47</f>
        <v>14.681818181818182</v>
      </c>
      <c r="M55" s="2">
        <f t="shared" si="3"/>
        <v>345</v>
      </c>
      <c r="N55" s="35">
        <f>+M55/'# Yrs of Data'!D47</f>
        <v>7.8409090909090908</v>
      </c>
      <c r="O55" s="2">
        <f t="shared" si="4"/>
        <v>168</v>
      </c>
      <c r="P55" s="35">
        <f>+O55/'# Yrs of Data'!D47</f>
        <v>3.8181818181818183</v>
      </c>
      <c r="Q55" s="2">
        <f t="shared" si="5"/>
        <v>94</v>
      </c>
      <c r="R55" s="35">
        <f>+Q55/'# Yrs of Data'!D47</f>
        <v>2.1363636363636362</v>
      </c>
      <c r="S55" s="2">
        <f t="shared" si="6"/>
        <v>30</v>
      </c>
      <c r="T55" s="35">
        <f>+S55/'# Yrs of Data'!D47</f>
        <v>0.68181818181818177</v>
      </c>
      <c r="U55" s="2">
        <f t="shared" si="7"/>
        <v>9</v>
      </c>
      <c r="V55" s="35">
        <f>+U55/'# Yrs of Data'!D47</f>
        <v>0.20454545454545456</v>
      </c>
      <c r="W55" s="1"/>
    </row>
    <row r="56" spans="1:23">
      <c r="A56" s="1"/>
      <c r="B56" s="453">
        <f t="shared" si="1"/>
        <v>1994</v>
      </c>
      <c r="C56" s="236">
        <f>(COUNTIF('Database - Whole Tornadoes'!$P$5:$P$2005, "1994F0"))</f>
        <v>3</v>
      </c>
      <c r="D56" s="236">
        <f>(COUNTIF('Database - Whole Tornadoes'!$P$5:$P$2005, "1994F1"))</f>
        <v>2</v>
      </c>
      <c r="E56" s="236">
        <f>(COUNTIF('Database - Whole Tornadoes'!$P$5:$P$2005, "1994F2"))</f>
        <v>0</v>
      </c>
      <c r="F56" s="236">
        <f>(COUNTIF('Database - Whole Tornadoes'!$P$5:$P$2005, "1994F3"))</f>
        <v>0</v>
      </c>
      <c r="G56" s="236">
        <f>(COUNTIF('Database - Whole Tornadoes'!$P$5:$P$2005, "1994F4"))</f>
        <v>0</v>
      </c>
      <c r="H56" s="236">
        <f>(COUNTIF('Database - Whole Tornadoes'!$P$5:$P$2005, "1994F5"))</f>
        <v>0</v>
      </c>
      <c r="I56" s="240">
        <f t="shared" si="0"/>
        <v>5</v>
      </c>
      <c r="J56" s="236">
        <f t="shared" si="8"/>
        <v>18.8</v>
      </c>
      <c r="K56" s="240">
        <f t="shared" si="2"/>
        <v>651</v>
      </c>
      <c r="L56" s="454">
        <f>K56/'# Yrs of Data'!D48</f>
        <v>14.466666666666667</v>
      </c>
      <c r="M56" s="2">
        <f t="shared" si="3"/>
        <v>348</v>
      </c>
      <c r="N56" s="35">
        <f>+M56/'# Yrs of Data'!D48</f>
        <v>7.7333333333333334</v>
      </c>
      <c r="O56" s="2">
        <f t="shared" si="4"/>
        <v>170</v>
      </c>
      <c r="P56" s="35">
        <f>+O56/'# Yrs of Data'!D48</f>
        <v>3.7777777777777777</v>
      </c>
      <c r="Q56" s="2">
        <f t="shared" si="5"/>
        <v>94</v>
      </c>
      <c r="R56" s="35">
        <f>+Q56/'# Yrs of Data'!D48</f>
        <v>2.088888888888889</v>
      </c>
      <c r="S56" s="2">
        <f t="shared" si="6"/>
        <v>30</v>
      </c>
      <c r="T56" s="35">
        <f>+S56/'# Yrs of Data'!D48</f>
        <v>0.66666666666666663</v>
      </c>
      <c r="U56" s="2">
        <f t="shared" si="7"/>
        <v>9</v>
      </c>
      <c r="V56" s="35">
        <f>+U56/'# Yrs of Data'!D48</f>
        <v>0.2</v>
      </c>
    </row>
    <row r="57" spans="1:23">
      <c r="A57" s="1"/>
      <c r="B57" s="453">
        <f t="shared" si="1"/>
        <v>1995</v>
      </c>
      <c r="C57" s="236">
        <f>(COUNTIF('Database - Whole Tornadoes'!$P$5:$P$2005, "1995F0"))</f>
        <v>25</v>
      </c>
      <c r="D57" s="236">
        <f>(COUNTIF('Database - Whole Tornadoes'!$P$5:$P$2005, "1995F1"))</f>
        <v>8</v>
      </c>
      <c r="E57" s="236">
        <f>(COUNTIF('Database - Whole Tornadoes'!$P$5:$P$2005, "1995F2"))</f>
        <v>5</v>
      </c>
      <c r="F57" s="236">
        <f>(COUNTIF('Database - Whole Tornadoes'!$P$5:$P$2005, "1995F3"))</f>
        <v>0</v>
      </c>
      <c r="G57" s="236">
        <f>(COUNTIF('Database - Whole Tornadoes'!$P$5:$P$2005, "1995F4"))</f>
        <v>3</v>
      </c>
      <c r="H57" s="236">
        <f>(COUNTIF('Database - Whole Tornadoes'!$P$5:$P$2005, "1995F5"))</f>
        <v>0</v>
      </c>
      <c r="I57" s="240">
        <f t="shared" si="0"/>
        <v>41</v>
      </c>
      <c r="J57" s="236">
        <f t="shared" si="8"/>
        <v>22.6</v>
      </c>
      <c r="K57" s="240">
        <f t="shared" si="2"/>
        <v>692</v>
      </c>
      <c r="L57" s="454">
        <f>K57/'# Yrs of Data'!D49</f>
        <v>15.043478260869565</v>
      </c>
      <c r="M57" s="2">
        <f t="shared" si="3"/>
        <v>373</v>
      </c>
      <c r="N57" s="35">
        <f>+M57/'# Yrs of Data'!D49</f>
        <v>8.1086956521739122</v>
      </c>
      <c r="O57" s="2">
        <f t="shared" si="4"/>
        <v>178</v>
      </c>
      <c r="P57" s="35">
        <f>+O57/'# Yrs of Data'!D49</f>
        <v>3.8695652173913042</v>
      </c>
      <c r="Q57" s="2">
        <f t="shared" si="5"/>
        <v>99</v>
      </c>
      <c r="R57" s="35">
        <f>+Q57/'# Yrs of Data'!D49</f>
        <v>2.152173913043478</v>
      </c>
      <c r="S57" s="2">
        <f t="shared" si="6"/>
        <v>30</v>
      </c>
      <c r="T57" s="35">
        <f>+S57/'# Yrs of Data'!D49</f>
        <v>0.65217391304347827</v>
      </c>
      <c r="U57" s="2">
        <f t="shared" si="7"/>
        <v>12</v>
      </c>
      <c r="V57" s="35">
        <f>+U57/'# Yrs of Data'!D49</f>
        <v>0.2608695652173913</v>
      </c>
      <c r="W57" s="1"/>
    </row>
    <row r="58" spans="1:23">
      <c r="A58" s="1"/>
      <c r="B58" s="453">
        <f t="shared" si="1"/>
        <v>1996</v>
      </c>
      <c r="C58" s="236">
        <f>(COUNTIF('Database - Whole Tornadoes'!$P$5:$P$2005, "1996F0"))</f>
        <v>32</v>
      </c>
      <c r="D58" s="236">
        <f>(COUNTIF('Database - Whole Tornadoes'!$P$5:$P$2005, "1996F1"))</f>
        <v>2</v>
      </c>
      <c r="E58" s="236">
        <f>(COUNTIF('Database - Whole Tornadoes'!$P$5:$P$2005, "1996F2"))</f>
        <v>1</v>
      </c>
      <c r="F58" s="236">
        <f>(COUNTIF('Database - Whole Tornadoes'!$P$5:$P$2005, "1996F3"))</f>
        <v>0</v>
      </c>
      <c r="G58" s="236">
        <f>(COUNTIF('Database - Whole Tornadoes'!$P$5:$P$2005, "1996F4"))</f>
        <v>0</v>
      </c>
      <c r="H58" s="236">
        <f>(COUNTIF('Database - Whole Tornadoes'!$P$5:$P$2005, "1996F5"))</f>
        <v>0</v>
      </c>
      <c r="I58" s="240">
        <f t="shared" si="0"/>
        <v>35</v>
      </c>
      <c r="J58" s="236">
        <f t="shared" si="8"/>
        <v>24.5</v>
      </c>
      <c r="K58" s="240">
        <f t="shared" si="2"/>
        <v>727</v>
      </c>
      <c r="L58" s="454">
        <f>K58/'# Yrs of Data'!D50</f>
        <v>15.468085106382979</v>
      </c>
      <c r="M58" s="2">
        <f t="shared" si="3"/>
        <v>405</v>
      </c>
      <c r="N58" s="35">
        <f>+M58/'# Yrs of Data'!D50</f>
        <v>8.6170212765957448</v>
      </c>
      <c r="O58" s="2">
        <f t="shared" si="4"/>
        <v>180</v>
      </c>
      <c r="P58" s="35">
        <f>+O58/'# Yrs of Data'!D50</f>
        <v>3.8297872340425534</v>
      </c>
      <c r="Q58" s="2">
        <f t="shared" si="5"/>
        <v>100</v>
      </c>
      <c r="R58" s="35">
        <f>+Q58/'# Yrs of Data'!D50</f>
        <v>2.1276595744680851</v>
      </c>
      <c r="S58" s="2">
        <f t="shared" si="6"/>
        <v>30</v>
      </c>
      <c r="T58" s="35">
        <f>+S58/'# Yrs of Data'!D50</f>
        <v>0.63829787234042556</v>
      </c>
      <c r="U58" s="2">
        <f t="shared" si="7"/>
        <v>12</v>
      </c>
      <c r="V58" s="35">
        <f>+U58/'# Yrs of Data'!D50</f>
        <v>0.25531914893617019</v>
      </c>
    </row>
    <row r="59" spans="1:23">
      <c r="A59" s="1"/>
      <c r="B59" s="453">
        <f t="shared" si="1"/>
        <v>1997</v>
      </c>
      <c r="C59" s="236">
        <f>(COUNTIF('Database - Whole Tornadoes'!$P$5:$P$2005, "1997F0"))</f>
        <v>22</v>
      </c>
      <c r="D59" s="236">
        <f>(COUNTIF('Database - Whole Tornadoes'!$P$5:$P$2005, "1997F1"))</f>
        <v>6</v>
      </c>
      <c r="E59" s="236">
        <f>(COUNTIF('Database - Whole Tornadoes'!$P$5:$P$2005, "1997F2"))</f>
        <v>0</v>
      </c>
      <c r="F59" s="236">
        <f>(COUNTIF('Database - Whole Tornadoes'!$P$5:$P$2005, "1997F3"))</f>
        <v>1</v>
      </c>
      <c r="G59" s="236">
        <f>(COUNTIF('Database - Whole Tornadoes'!$P$5:$P$2005, "1997F4"))</f>
        <v>0</v>
      </c>
      <c r="H59" s="236">
        <f>(COUNTIF('Database - Whole Tornadoes'!$P$5:$P$2005, "1997F5"))</f>
        <v>0</v>
      </c>
      <c r="I59" s="240">
        <f t="shared" si="0"/>
        <v>29</v>
      </c>
      <c r="J59" s="236">
        <f t="shared" si="8"/>
        <v>24.2</v>
      </c>
      <c r="K59" s="240">
        <f t="shared" si="2"/>
        <v>756</v>
      </c>
      <c r="L59" s="454">
        <f>K59/'# Yrs of Data'!D51</f>
        <v>15.75</v>
      </c>
      <c r="M59" s="2">
        <f t="shared" si="3"/>
        <v>427</v>
      </c>
      <c r="N59" s="35">
        <f>+M59/'# Yrs of Data'!D51</f>
        <v>8.8958333333333339</v>
      </c>
      <c r="O59" s="2">
        <f t="shared" si="4"/>
        <v>186</v>
      </c>
      <c r="P59" s="35">
        <f>+O59/'# Yrs of Data'!D51</f>
        <v>3.875</v>
      </c>
      <c r="Q59" s="2">
        <f t="shared" si="5"/>
        <v>100</v>
      </c>
      <c r="R59" s="35">
        <f>+Q59/'# Yrs of Data'!D51</f>
        <v>2.0833333333333335</v>
      </c>
      <c r="S59" s="2">
        <f t="shared" si="6"/>
        <v>31</v>
      </c>
      <c r="T59" s="35">
        <f>+S59/'# Yrs of Data'!D51</f>
        <v>0.64583333333333337</v>
      </c>
      <c r="U59" s="2">
        <f t="shared" si="7"/>
        <v>12</v>
      </c>
      <c r="V59" s="35">
        <f>+U59/'# Yrs of Data'!D51</f>
        <v>0.25</v>
      </c>
    </row>
    <row r="60" spans="1:23">
      <c r="A60" s="1"/>
      <c r="B60" s="453">
        <f t="shared" si="1"/>
        <v>1998</v>
      </c>
      <c r="C60" s="236">
        <f>(COUNTIF('Database - Whole Tornadoes'!$P$5:$P$2005, "1998F0"))</f>
        <v>1</v>
      </c>
      <c r="D60" s="236">
        <f>(COUNTIF('Database - Whole Tornadoes'!$P$5:$P$2005, "1998F1"))</f>
        <v>1</v>
      </c>
      <c r="E60" s="236">
        <f>(COUNTIF('Database - Whole Tornadoes'!$P$5:$P$2005, "1998F2"))</f>
        <v>0</v>
      </c>
      <c r="F60" s="236">
        <f>(COUNTIF('Database - Whole Tornadoes'!$P$5:$P$2005, "1998F3"))</f>
        <v>0</v>
      </c>
      <c r="G60" s="236">
        <f>(COUNTIF('Database - Whole Tornadoes'!$P$5:$P$2005, "1998F4"))</f>
        <v>0</v>
      </c>
      <c r="H60" s="236">
        <f>(COUNTIF('Database - Whole Tornadoes'!$P$5:$P$2005, "1998F5"))</f>
        <v>0</v>
      </c>
      <c r="I60" s="240">
        <f t="shared" si="0"/>
        <v>2</v>
      </c>
      <c r="J60" s="236">
        <f t="shared" si="8"/>
        <v>24</v>
      </c>
      <c r="K60" s="240">
        <f t="shared" si="2"/>
        <v>758</v>
      </c>
      <c r="L60" s="454">
        <f>K60/'# Yrs of Data'!D52</f>
        <v>15.469387755102041</v>
      </c>
      <c r="M60" s="2">
        <f t="shared" si="3"/>
        <v>428</v>
      </c>
      <c r="N60" s="35">
        <f>+M60/'# Yrs of Data'!D52</f>
        <v>8.7346938775510203</v>
      </c>
      <c r="O60" s="2">
        <f t="shared" si="4"/>
        <v>187</v>
      </c>
      <c r="P60" s="35">
        <f>+O60/'# Yrs of Data'!D52</f>
        <v>3.8163265306122449</v>
      </c>
      <c r="Q60" s="2">
        <f t="shared" si="5"/>
        <v>100</v>
      </c>
      <c r="R60" s="35">
        <f>+Q60/'# Yrs of Data'!D52</f>
        <v>2.0408163265306123</v>
      </c>
      <c r="S60" s="2">
        <f t="shared" si="6"/>
        <v>31</v>
      </c>
      <c r="T60" s="35">
        <f>+S60/'# Yrs of Data'!D52</f>
        <v>0.63265306122448983</v>
      </c>
      <c r="U60" s="2">
        <f t="shared" si="7"/>
        <v>12</v>
      </c>
      <c r="V60" s="35">
        <f>+U60/'# Yrs of Data'!D52</f>
        <v>0.24489795918367346</v>
      </c>
      <c r="W60" s="1"/>
    </row>
    <row r="61" spans="1:23">
      <c r="A61" s="1"/>
      <c r="B61" s="453">
        <f t="shared" si="1"/>
        <v>1999</v>
      </c>
      <c r="C61" s="236">
        <f>(COUNTIF('Database - Whole Tornadoes'!$P$5:$P$2005, "1999F0"))</f>
        <v>25</v>
      </c>
      <c r="D61" s="236">
        <f>(COUNTIF('Database - Whole Tornadoes'!$P$5:$P$2005, "1999F1"))</f>
        <v>0</v>
      </c>
      <c r="E61" s="236">
        <f>(COUNTIF('Database - Whole Tornadoes'!$P$5:$P$2005, "1999F2"))</f>
        <v>0</v>
      </c>
      <c r="F61" s="236">
        <f>(COUNTIF('Database - Whole Tornadoes'!$P$5:$P$2005, "1999F3"))</f>
        <v>0</v>
      </c>
      <c r="G61" s="236">
        <f>(COUNTIF('Database - Whole Tornadoes'!$P$5:$P$2005, "1999F4"))</f>
        <v>0</v>
      </c>
      <c r="H61" s="236">
        <f>(COUNTIF('Database - Whole Tornadoes'!$P$5:$P$2005, "1999F5"))</f>
        <v>0</v>
      </c>
      <c r="I61" s="240">
        <f t="shared" si="0"/>
        <v>25</v>
      </c>
      <c r="J61" s="236">
        <f t="shared" si="8"/>
        <v>23.3</v>
      </c>
      <c r="K61" s="240">
        <f t="shared" si="2"/>
        <v>783</v>
      </c>
      <c r="L61" s="454">
        <f>K61/'# Yrs of Data'!D53</f>
        <v>15.66</v>
      </c>
      <c r="M61" s="2">
        <f t="shared" si="3"/>
        <v>453</v>
      </c>
      <c r="N61" s="35">
        <f>+M61/'# Yrs of Data'!D53</f>
        <v>9.06</v>
      </c>
      <c r="O61" s="2">
        <f t="shared" si="4"/>
        <v>187</v>
      </c>
      <c r="P61" s="35">
        <f>+O61/'# Yrs of Data'!D53</f>
        <v>3.74</v>
      </c>
      <c r="Q61" s="2">
        <f t="shared" si="5"/>
        <v>100</v>
      </c>
      <c r="R61" s="35">
        <f>+Q61/'# Yrs of Data'!D53</f>
        <v>2</v>
      </c>
      <c r="S61" s="2">
        <f t="shared" si="6"/>
        <v>31</v>
      </c>
      <c r="T61" s="35">
        <f>+S61/'# Yrs of Data'!D53</f>
        <v>0.62</v>
      </c>
      <c r="U61" s="2">
        <f t="shared" si="7"/>
        <v>12</v>
      </c>
      <c r="V61" s="35">
        <f>+U61/'# Yrs of Data'!D53</f>
        <v>0.24</v>
      </c>
      <c r="W61" s="1"/>
    </row>
    <row r="62" spans="1:23">
      <c r="A62" s="1"/>
      <c r="B62" s="453">
        <f t="shared" si="1"/>
        <v>2000</v>
      </c>
      <c r="C62" s="236">
        <f>(COUNTIF('Database - Whole Tornadoes'!$P$5:$P$2005, "2000F0"))</f>
        <v>7</v>
      </c>
      <c r="D62" s="236">
        <f>(COUNTIF('Database - Whole Tornadoes'!$P$5:$P$2005, "2000F1"))</f>
        <v>1</v>
      </c>
      <c r="E62" s="236">
        <f>(COUNTIF('Database - Whole Tornadoes'!$P$5:$P$2005, "2000F2"))</f>
        <v>0</v>
      </c>
      <c r="F62" s="236">
        <f>(COUNTIF('Database - Whole Tornadoes'!$P$5:$P$2005, "2000F3"))</f>
        <v>0</v>
      </c>
      <c r="G62" s="236">
        <f>(COUNTIF('Database - Whole Tornadoes'!$P$5:$P$2005, "2000F4"))</f>
        <v>0</v>
      </c>
      <c r="H62" s="236">
        <f>(COUNTIF('Database - Whole Tornadoes'!$P$5:$P$2005, "2000F5"))</f>
        <v>0</v>
      </c>
      <c r="I62" s="240">
        <f t="shared" si="0"/>
        <v>8</v>
      </c>
      <c r="J62" s="236">
        <f t="shared" si="8"/>
        <v>20.3</v>
      </c>
      <c r="K62" s="240">
        <f t="shared" si="2"/>
        <v>791</v>
      </c>
      <c r="L62" s="454">
        <f>K62/'# Yrs of Data'!D54</f>
        <v>15.509803921568627</v>
      </c>
      <c r="M62" s="2">
        <f t="shared" si="3"/>
        <v>460</v>
      </c>
      <c r="N62" s="35">
        <f>+M62/'# Yrs of Data'!D54</f>
        <v>9.0196078431372548</v>
      </c>
      <c r="O62" s="2">
        <f t="shared" si="4"/>
        <v>188</v>
      </c>
      <c r="P62" s="35">
        <f>+O62/'# Yrs of Data'!D54</f>
        <v>3.6862745098039214</v>
      </c>
      <c r="Q62" s="2">
        <f t="shared" si="5"/>
        <v>100</v>
      </c>
      <c r="R62" s="35">
        <f>+Q62/'# Yrs of Data'!D54</f>
        <v>1.9607843137254901</v>
      </c>
      <c r="S62" s="2">
        <f t="shared" si="6"/>
        <v>31</v>
      </c>
      <c r="T62" s="35">
        <f>+S62/'# Yrs of Data'!D54</f>
        <v>0.60784313725490191</v>
      </c>
      <c r="U62" s="2">
        <f t="shared" si="7"/>
        <v>12</v>
      </c>
      <c r="V62" s="35">
        <f>+U62/'# Yrs of Data'!D54</f>
        <v>0.23529411764705882</v>
      </c>
      <c r="W62" s="1"/>
    </row>
    <row r="63" spans="1:23">
      <c r="A63" s="1"/>
      <c r="B63" s="453">
        <f t="shared" si="1"/>
        <v>2001</v>
      </c>
      <c r="C63" s="236">
        <f>(COUNTIF('Database - Whole Tornadoes'!$P$5:$P$2005, "2001F0"))</f>
        <v>13</v>
      </c>
      <c r="D63" s="236">
        <f>(COUNTIF('Database - Whole Tornadoes'!$P$5:$P$2005, "2001F1"))</f>
        <v>3</v>
      </c>
      <c r="E63" s="236">
        <f>(COUNTIF('Database - Whole Tornadoes'!$P$5:$P$2005, "2001F2"))</f>
        <v>3</v>
      </c>
      <c r="F63" s="236">
        <f>(COUNTIF('Database - Whole Tornadoes'!$P$5:$P$2005, "2001F3"))</f>
        <v>1</v>
      </c>
      <c r="G63" s="236">
        <f>(COUNTIF('Database - Whole Tornadoes'!$P$5:$P$2005, "2001F4"))</f>
        <v>0</v>
      </c>
      <c r="H63" s="236">
        <f>(COUNTIF('Database - Whole Tornadoes'!$P$5:$P$2005, "2001F5"))</f>
        <v>0</v>
      </c>
      <c r="I63" s="240">
        <f t="shared" si="0"/>
        <v>20</v>
      </c>
      <c r="J63" s="236">
        <f t="shared" si="8"/>
        <v>20.2</v>
      </c>
      <c r="K63" s="240">
        <f t="shared" si="2"/>
        <v>811</v>
      </c>
      <c r="L63" s="454">
        <f>K63/'# Yrs of Data'!D55</f>
        <v>15.596153846153847</v>
      </c>
      <c r="M63" s="2">
        <f t="shared" si="3"/>
        <v>473</v>
      </c>
      <c r="N63" s="35">
        <f>+M63/'# Yrs of Data'!D55</f>
        <v>9.0961538461538467</v>
      </c>
      <c r="O63" s="2">
        <f t="shared" si="4"/>
        <v>191</v>
      </c>
      <c r="P63" s="35">
        <f>+O63/'# Yrs of Data'!D55</f>
        <v>3.6730769230769229</v>
      </c>
      <c r="Q63" s="2">
        <f t="shared" si="5"/>
        <v>103</v>
      </c>
      <c r="R63" s="35">
        <f>+Q63/'# Yrs of Data'!D55</f>
        <v>1.9807692307692308</v>
      </c>
      <c r="S63" s="2">
        <f t="shared" si="6"/>
        <v>32</v>
      </c>
      <c r="T63" s="35">
        <f>+S63/'# Yrs of Data'!D55</f>
        <v>0.61538461538461542</v>
      </c>
      <c r="U63" s="2">
        <f t="shared" si="7"/>
        <v>12</v>
      </c>
      <c r="V63" s="35">
        <f>+U63/'# Yrs of Data'!D55</f>
        <v>0.23076923076923078</v>
      </c>
    </row>
    <row r="64" spans="1:23">
      <c r="A64" s="1"/>
      <c r="B64" s="453">
        <f t="shared" si="1"/>
        <v>2002</v>
      </c>
      <c r="C64" s="236">
        <f>(COUNTIF('Database - Whole Tornadoes'!$P$5:$P$2005, "2002F0"))</f>
        <v>19</v>
      </c>
      <c r="D64" s="236">
        <f>(COUNTIF('Database - Whole Tornadoes'!$P$5:$P$2005, "2002F1"))</f>
        <v>2</v>
      </c>
      <c r="E64" s="236">
        <f>(COUNTIF('Database - Whole Tornadoes'!$P$5:$P$2005, "2002F2"))</f>
        <v>1</v>
      </c>
      <c r="F64" s="236">
        <f>(COUNTIF('Database - Whole Tornadoes'!$P$5:$P$2005, "2002F3"))</f>
        <v>0</v>
      </c>
      <c r="G64" s="236">
        <f>(COUNTIF('Database - Whole Tornadoes'!$P$5:$P$2005, "2002F4"))</f>
        <v>0</v>
      </c>
      <c r="H64" s="236">
        <f>(COUNTIF('Database - Whole Tornadoes'!$P$5:$P$2005, "2002F5"))</f>
        <v>0</v>
      </c>
      <c r="I64" s="240">
        <f t="shared" si="0"/>
        <v>22</v>
      </c>
      <c r="J64" s="236">
        <f t="shared" si="8"/>
        <v>20.5</v>
      </c>
      <c r="K64" s="240">
        <f t="shared" si="2"/>
        <v>833</v>
      </c>
      <c r="L64" s="454">
        <f>K64/'# Yrs of Data'!D56</f>
        <v>15.716981132075471</v>
      </c>
      <c r="M64" s="2">
        <f t="shared" si="3"/>
        <v>492</v>
      </c>
      <c r="N64" s="35">
        <f>+M64/'# Yrs of Data'!D56</f>
        <v>9.2830188679245289</v>
      </c>
      <c r="O64" s="2">
        <f t="shared" si="4"/>
        <v>193</v>
      </c>
      <c r="P64" s="35">
        <f>+O64/'# Yrs of Data'!D56</f>
        <v>3.641509433962264</v>
      </c>
      <c r="Q64" s="2">
        <f t="shared" si="5"/>
        <v>104</v>
      </c>
      <c r="R64" s="35">
        <f>+Q64/'# Yrs of Data'!D56</f>
        <v>1.9622641509433962</v>
      </c>
      <c r="S64" s="2">
        <f t="shared" si="6"/>
        <v>32</v>
      </c>
      <c r="T64" s="35">
        <f>+S64/'# Yrs of Data'!D56</f>
        <v>0.60377358490566035</v>
      </c>
      <c r="U64" s="2">
        <f t="shared" si="7"/>
        <v>12</v>
      </c>
      <c r="V64" s="35">
        <f>+U64/'# Yrs of Data'!D56</f>
        <v>0.22641509433962265</v>
      </c>
    </row>
    <row r="65" spans="1:23">
      <c r="A65" s="1"/>
      <c r="B65" s="453">
        <f t="shared" si="1"/>
        <v>2003</v>
      </c>
      <c r="C65" s="236">
        <f>(COUNTIF('Database - Whole Tornadoes'!$P$5:$P$2005, "2003F0"))</f>
        <v>27</v>
      </c>
      <c r="D65" s="236">
        <f>(COUNTIF('Database - Whole Tornadoes'!$P$5:$P$2005, "2003F1"))</f>
        <v>5</v>
      </c>
      <c r="E65" s="236">
        <f>(COUNTIF('Database - Whole Tornadoes'!$P$5:$P$2005, "2003F2"))</f>
        <v>1</v>
      </c>
      <c r="F65" s="236">
        <f>(COUNTIF('Database - Whole Tornadoes'!$P$5:$P$2005, "2003F3"))</f>
        <v>0</v>
      </c>
      <c r="G65" s="236">
        <f>(COUNTIF('Database - Whole Tornadoes'!$P$5:$P$2005, "2003F4"))</f>
        <v>0</v>
      </c>
      <c r="H65" s="236">
        <f>(COUNTIF('Database - Whole Tornadoes'!$P$5:$P$2005, "2003F5"))</f>
        <v>0</v>
      </c>
      <c r="I65" s="240">
        <f t="shared" si="0"/>
        <v>33</v>
      </c>
      <c r="J65" s="236">
        <f t="shared" si="8"/>
        <v>22</v>
      </c>
      <c r="K65" s="240">
        <f t="shared" si="2"/>
        <v>866</v>
      </c>
      <c r="L65" s="454">
        <f>K65/'# Yrs of Data'!D57</f>
        <v>16.037037037037038</v>
      </c>
      <c r="M65" s="2">
        <f t="shared" si="3"/>
        <v>519</v>
      </c>
      <c r="N65" s="35">
        <f>+M65/'# Yrs of Data'!D57</f>
        <v>9.6111111111111107</v>
      </c>
      <c r="O65" s="2">
        <f t="shared" si="4"/>
        <v>198</v>
      </c>
      <c r="P65" s="35">
        <f>+O65/'# Yrs of Data'!D57</f>
        <v>3.6666666666666665</v>
      </c>
      <c r="Q65" s="2">
        <f t="shared" si="5"/>
        <v>105</v>
      </c>
      <c r="R65" s="35">
        <f>+Q65/'# Yrs of Data'!D57</f>
        <v>1.9444444444444444</v>
      </c>
      <c r="S65" s="2">
        <f t="shared" si="6"/>
        <v>32</v>
      </c>
      <c r="T65" s="35">
        <f>+S65/'# Yrs of Data'!D57</f>
        <v>0.59259259259259256</v>
      </c>
      <c r="U65" s="2">
        <f t="shared" si="7"/>
        <v>12</v>
      </c>
      <c r="V65" s="35">
        <f>+U65/'# Yrs of Data'!D57</f>
        <v>0.22222222222222221</v>
      </c>
      <c r="W65" s="1"/>
    </row>
    <row r="66" spans="1:23">
      <c r="A66" s="1"/>
      <c r="B66" s="453">
        <f t="shared" si="1"/>
        <v>2004</v>
      </c>
      <c r="C66" s="236">
        <f>(COUNTIF('Database - Whole Tornadoes'!$P$5:$P$2005, "2004F0"))</f>
        <v>13</v>
      </c>
      <c r="D66" s="236">
        <f>(COUNTIF('Database - Whole Tornadoes'!$P$5:$P$2005, "2004F1"))</f>
        <v>1</v>
      </c>
      <c r="E66" s="236">
        <f>(COUNTIF('Database - Whole Tornadoes'!$P$5:$P$2005, "2004F2"))</f>
        <v>0</v>
      </c>
      <c r="F66" s="236">
        <f>(COUNTIF('Database - Whole Tornadoes'!$P$5:$P$2005, "2004F3"))</f>
        <v>0</v>
      </c>
      <c r="G66" s="236">
        <f>(COUNTIF('Database - Whole Tornadoes'!$P$5:$P$2005, "2004F4"))</f>
        <v>0</v>
      </c>
      <c r="H66" s="236">
        <f>(COUNTIF('Database - Whole Tornadoes'!$P$5:$P$2005, "2004F5"))</f>
        <v>0</v>
      </c>
      <c r="I66" s="240">
        <f t="shared" si="0"/>
        <v>14</v>
      </c>
      <c r="J66" s="236">
        <f t="shared" si="8"/>
        <v>22.9</v>
      </c>
      <c r="K66" s="240">
        <f t="shared" si="2"/>
        <v>880</v>
      </c>
      <c r="L66" s="454">
        <f>K66/'# Yrs of Data'!D58</f>
        <v>16</v>
      </c>
      <c r="M66" s="2">
        <f t="shared" si="3"/>
        <v>532</v>
      </c>
      <c r="N66" s="35">
        <f>+M66/'# Yrs of Data'!D58</f>
        <v>9.672727272727272</v>
      </c>
      <c r="O66" s="2">
        <f t="shared" si="4"/>
        <v>199</v>
      </c>
      <c r="P66" s="35">
        <f>+O66/'# Yrs of Data'!D58</f>
        <v>3.6181818181818182</v>
      </c>
      <c r="Q66" s="2">
        <f t="shared" si="5"/>
        <v>105</v>
      </c>
      <c r="R66" s="35">
        <f>+Q66/'# Yrs of Data'!D58</f>
        <v>1.9090909090909092</v>
      </c>
      <c r="S66" s="2">
        <f t="shared" si="6"/>
        <v>32</v>
      </c>
      <c r="T66" s="35">
        <f>+S66/'# Yrs of Data'!D58</f>
        <v>0.58181818181818179</v>
      </c>
      <c r="U66" s="2">
        <f t="shared" si="7"/>
        <v>12</v>
      </c>
      <c r="V66" s="35">
        <f>+U66/'# Yrs of Data'!D58</f>
        <v>0.21818181818181817</v>
      </c>
    </row>
    <row r="67" spans="1:23">
      <c r="A67" s="1"/>
      <c r="B67" s="453">
        <f t="shared" si="1"/>
        <v>2005</v>
      </c>
      <c r="C67" s="236">
        <f>(COUNTIF('Database - Whole Tornadoes'!$P$5:$P$2005, "2005F0"))</f>
        <v>15</v>
      </c>
      <c r="D67" s="236">
        <f>(COUNTIF('Database - Whole Tornadoes'!$P$5:$P$2005, "2005F1"))</f>
        <v>0</v>
      </c>
      <c r="E67" s="236">
        <f>(COUNTIF('Database - Whole Tornadoes'!$P$5:$P$2005, "2005F2"))</f>
        <v>0</v>
      </c>
      <c r="F67" s="236">
        <f>(COUNTIF('Database - Whole Tornadoes'!$P$5:$P$2005, "2005F3"))</f>
        <v>0</v>
      </c>
      <c r="G67" s="236">
        <f>(COUNTIF('Database - Whole Tornadoes'!$P$5:$P$2005, "2005F4"))</f>
        <v>0</v>
      </c>
      <c r="H67" s="236">
        <f>(COUNTIF('Database - Whole Tornadoes'!$P$5:$P$2005, "2005F5"))</f>
        <v>0</v>
      </c>
      <c r="I67" s="240">
        <f t="shared" si="0"/>
        <v>15</v>
      </c>
      <c r="J67" s="236">
        <f t="shared" si="8"/>
        <v>20.3</v>
      </c>
      <c r="K67" s="240">
        <f t="shared" si="2"/>
        <v>895</v>
      </c>
      <c r="L67" s="454">
        <f>K67/'# Yrs of Data'!D59</f>
        <v>15.982142857142858</v>
      </c>
      <c r="M67" s="2">
        <f t="shared" si="3"/>
        <v>547</v>
      </c>
      <c r="N67" s="35">
        <f>+M67/'# Yrs of Data'!D59</f>
        <v>9.7678571428571423</v>
      </c>
      <c r="O67" s="2">
        <f t="shared" si="4"/>
        <v>199</v>
      </c>
      <c r="P67" s="35">
        <f>+O67/'# Yrs of Data'!D59</f>
        <v>3.5535714285714284</v>
      </c>
      <c r="Q67" s="2">
        <f t="shared" si="5"/>
        <v>105</v>
      </c>
      <c r="R67" s="35">
        <f>+Q67/'# Yrs of Data'!D59</f>
        <v>1.875</v>
      </c>
      <c r="S67" s="2">
        <f t="shared" si="6"/>
        <v>32</v>
      </c>
      <c r="T67" s="35">
        <f>+S67/'# Yrs of Data'!D59</f>
        <v>0.5714285714285714</v>
      </c>
      <c r="U67" s="2">
        <f t="shared" si="7"/>
        <v>12</v>
      </c>
      <c r="V67" s="35">
        <f>+U67/'# Yrs of Data'!D59</f>
        <v>0.21428571428571427</v>
      </c>
    </row>
    <row r="68" spans="1:23">
      <c r="A68" s="1"/>
      <c r="B68" s="453">
        <f t="shared" si="1"/>
        <v>2006</v>
      </c>
      <c r="C68" s="236">
        <f>(COUNTIF('Database - Whole Tornadoes'!$P$5:$P$2005, "2006F0"))</f>
        <v>12</v>
      </c>
      <c r="D68" s="236">
        <f>(COUNTIF('Database - Whole Tornadoes'!$P$5:$P$2005, "2006F1"))</f>
        <v>1</v>
      </c>
      <c r="E68" s="236">
        <f>(COUNTIF('Database - Whole Tornadoes'!$P$5:$P$2005, "2006F2"))</f>
        <v>0</v>
      </c>
      <c r="F68" s="236">
        <f>(COUNTIF('Database - Whole Tornadoes'!$P$5:$P$2005, "2006F3"))</f>
        <v>0</v>
      </c>
      <c r="G68" s="236">
        <f>(COUNTIF('Database - Whole Tornadoes'!$P$5:$P$2005, "2006F4"))</f>
        <v>0</v>
      </c>
      <c r="H68" s="236">
        <f>(COUNTIF('Database - Whole Tornadoes'!$P$5:$P$2005, "2006F5"))</f>
        <v>0</v>
      </c>
      <c r="I68" s="240">
        <f t="shared" si="0"/>
        <v>13</v>
      </c>
      <c r="J68" s="236">
        <f t="shared" si="8"/>
        <v>18.100000000000001</v>
      </c>
      <c r="K68" s="240">
        <f t="shared" si="2"/>
        <v>908</v>
      </c>
      <c r="L68" s="454">
        <f>K68/'# Yrs of Data'!D60</f>
        <v>15.929824561403509</v>
      </c>
      <c r="M68" s="2">
        <f t="shared" si="3"/>
        <v>559</v>
      </c>
      <c r="N68" s="35">
        <f>+M68/'# Yrs of Data'!D60</f>
        <v>9.807017543859649</v>
      </c>
      <c r="O68" s="2">
        <f t="shared" si="4"/>
        <v>200</v>
      </c>
      <c r="P68" s="35">
        <f>+O68/'# Yrs of Data'!D60</f>
        <v>3.5087719298245612</v>
      </c>
      <c r="Q68" s="2">
        <f t="shared" si="5"/>
        <v>105</v>
      </c>
      <c r="R68" s="35">
        <f>+Q68/'# Yrs of Data'!D60</f>
        <v>1.8421052631578947</v>
      </c>
      <c r="S68" s="2">
        <f t="shared" si="6"/>
        <v>32</v>
      </c>
      <c r="T68" s="35">
        <f>+S68/'# Yrs of Data'!D60</f>
        <v>0.56140350877192979</v>
      </c>
      <c r="U68" s="2">
        <f t="shared" si="7"/>
        <v>12</v>
      </c>
      <c r="V68" s="35">
        <f>+U68/'# Yrs of Data'!D60</f>
        <v>0.21052631578947367</v>
      </c>
      <c r="W68" s="1"/>
    </row>
    <row r="69" spans="1:23">
      <c r="A69" s="1"/>
      <c r="B69" s="453">
        <f t="shared" si="1"/>
        <v>2007</v>
      </c>
      <c r="C69" s="236">
        <f>(COUNTIF('Database - Whole Tornadoes'!$P$5:$P$2005, "2007EF0"))</f>
        <v>30</v>
      </c>
      <c r="D69" s="236">
        <f>(COUNTIF('Database - Whole Tornadoes'!$P$5:$P$2005, "2007EF1"))</f>
        <v>15</v>
      </c>
      <c r="E69" s="236">
        <f>(COUNTIF('Database - Whole Tornadoes'!$P$5:$P$2005, "2007EF2"))</f>
        <v>10</v>
      </c>
      <c r="F69" s="236">
        <f>(COUNTIF('Database - Whole Tornadoes'!$P$5:$P$2005, "2007EF3"))</f>
        <v>3</v>
      </c>
      <c r="G69" s="236">
        <f>(COUNTIF('Database - Whole Tornadoes'!$P$5:$P$2005, "2007EF4"))</f>
        <v>0</v>
      </c>
      <c r="H69" s="236">
        <f>(COUNTIF('Database - Whole Tornadoes'!$P$5:$P$2005, "2007EF5"))</f>
        <v>0</v>
      </c>
      <c r="I69" s="240">
        <f t="shared" si="0"/>
        <v>58</v>
      </c>
      <c r="J69" s="236">
        <f t="shared" si="8"/>
        <v>21</v>
      </c>
      <c r="K69" s="240">
        <f t="shared" si="2"/>
        <v>966</v>
      </c>
      <c r="L69" s="454">
        <f>K69/'# Yrs of Data'!D61</f>
        <v>16.655172413793103</v>
      </c>
      <c r="M69" s="2">
        <f t="shared" si="3"/>
        <v>589</v>
      </c>
      <c r="N69" s="35">
        <f>+M69/'# Yrs of Data'!D61</f>
        <v>10.155172413793103</v>
      </c>
      <c r="O69" s="2">
        <f t="shared" si="4"/>
        <v>215</v>
      </c>
      <c r="P69" s="35">
        <f>+O69/'# Yrs of Data'!D61</f>
        <v>3.7068965517241379</v>
      </c>
      <c r="Q69" s="2">
        <f t="shared" si="5"/>
        <v>115</v>
      </c>
      <c r="R69" s="35">
        <f>+Q69/'# Yrs of Data'!D61</f>
        <v>1.9827586206896552</v>
      </c>
      <c r="S69" s="2">
        <f t="shared" si="6"/>
        <v>35</v>
      </c>
      <c r="T69" s="35">
        <f>+S69/'# Yrs of Data'!D61</f>
        <v>0.60344827586206895</v>
      </c>
      <c r="U69" s="2">
        <f t="shared" si="7"/>
        <v>12</v>
      </c>
      <c r="V69" s="35">
        <f>+U69/'# Yrs of Data'!D61</f>
        <v>0.20689655172413793</v>
      </c>
      <c r="W69" s="1"/>
    </row>
    <row r="70" spans="1:23">
      <c r="A70" s="1"/>
      <c r="B70" s="453">
        <f t="shared" si="1"/>
        <v>2008</v>
      </c>
      <c r="C70" s="236">
        <f>(COUNTIF('Database - Whole Tornadoes'!$P$5:$P$2005, "2008EF0"))</f>
        <v>10</v>
      </c>
      <c r="D70" s="236">
        <f>(COUNTIF('Database - Whole Tornadoes'!$P$5:$P$2005, "2008EF1"))</f>
        <v>0</v>
      </c>
      <c r="E70" s="236">
        <f>(COUNTIF('Database - Whole Tornadoes'!$P$5:$P$2005, "2008EF2"))</f>
        <v>1</v>
      </c>
      <c r="F70" s="236">
        <f>(COUNTIF('Database - Whole Tornadoes'!$P$5:$P$2005, "2008EF3"))</f>
        <v>0</v>
      </c>
      <c r="G70" s="236">
        <f>(COUNTIF('Database - Whole Tornadoes'!$P$5:$P$2005, "2008EF4"))</f>
        <v>0</v>
      </c>
      <c r="H70" s="236">
        <f>(COUNTIF('Database - Whole Tornadoes'!$P$5:$P$2005, "2008EF5"))</f>
        <v>0</v>
      </c>
      <c r="I70" s="240">
        <f t="shared" si="0"/>
        <v>11</v>
      </c>
      <c r="J70" s="236">
        <f t="shared" si="8"/>
        <v>21.9</v>
      </c>
      <c r="K70" s="240">
        <f t="shared" si="2"/>
        <v>977</v>
      </c>
      <c r="L70" s="454">
        <f>K70/'# Yrs of Data'!D62</f>
        <v>16.559322033898304</v>
      </c>
      <c r="M70" s="2">
        <f t="shared" si="3"/>
        <v>599</v>
      </c>
      <c r="N70" s="35">
        <f>+M70/'# Yrs of Data'!D62</f>
        <v>10.152542372881356</v>
      </c>
      <c r="O70" s="2">
        <f t="shared" si="4"/>
        <v>215</v>
      </c>
      <c r="P70" s="35">
        <f>+O70/'# Yrs of Data'!D62</f>
        <v>3.6440677966101696</v>
      </c>
      <c r="Q70" s="2">
        <f t="shared" si="5"/>
        <v>116</v>
      </c>
      <c r="R70" s="35">
        <f>+Q70/'# Yrs of Data'!D62</f>
        <v>1.9661016949152543</v>
      </c>
      <c r="S70" s="2">
        <f t="shared" si="6"/>
        <v>35</v>
      </c>
      <c r="T70" s="35">
        <f>+S70/'# Yrs of Data'!D62</f>
        <v>0.59322033898305082</v>
      </c>
      <c r="U70" s="2">
        <f t="shared" si="7"/>
        <v>12</v>
      </c>
      <c r="V70" s="35">
        <f>+U70/'# Yrs of Data'!D62</f>
        <v>0.20338983050847459</v>
      </c>
    </row>
    <row r="71" spans="1:23">
      <c r="A71" s="1"/>
      <c r="B71" s="453">
        <f t="shared" si="1"/>
        <v>2009</v>
      </c>
      <c r="C71" s="236">
        <f>(COUNTIF('Database - Whole Tornadoes'!$P$5:$P$2005, "2009EF0"))</f>
        <v>10</v>
      </c>
      <c r="D71" s="236">
        <f>(COUNTIF('Database - Whole Tornadoes'!$P$5:$P$2005, "2009EF1"))</f>
        <v>2</v>
      </c>
      <c r="E71" s="236">
        <f>(COUNTIF('Database - Whole Tornadoes'!$P$5:$P$2005, "2009EF2"))</f>
        <v>1</v>
      </c>
      <c r="F71" s="236">
        <f>(COUNTIF('Database - Whole Tornadoes'!$P$5:$P$2005, "2009EF3"))</f>
        <v>0</v>
      </c>
      <c r="G71" s="236">
        <f>(COUNTIF('Database - Whole Tornadoes'!$P$5:$P$2005, "2009EF4"))</f>
        <v>0</v>
      </c>
      <c r="H71" s="236">
        <f>(COUNTIF('Database - Whole Tornadoes'!$P$5:$P$2005, "2009EF5"))</f>
        <v>0</v>
      </c>
      <c r="I71" s="240">
        <f t="shared" si="0"/>
        <v>13</v>
      </c>
      <c r="J71" s="236">
        <f t="shared" si="8"/>
        <v>20.7</v>
      </c>
      <c r="K71" s="240">
        <f t="shared" si="2"/>
        <v>990</v>
      </c>
      <c r="L71" s="454">
        <f>K71/'# Yrs of Data'!D63</f>
        <v>16.5</v>
      </c>
      <c r="M71" s="2">
        <f t="shared" si="3"/>
        <v>609</v>
      </c>
      <c r="N71" s="35">
        <f>+M71/'# Yrs of Data'!D63</f>
        <v>10.15</v>
      </c>
      <c r="O71" s="2">
        <f t="shared" si="4"/>
        <v>217</v>
      </c>
      <c r="P71" s="35">
        <f>+O71/'# Yrs of Data'!D63</f>
        <v>3.6166666666666667</v>
      </c>
      <c r="Q71" s="2">
        <f t="shared" si="5"/>
        <v>117</v>
      </c>
      <c r="R71" s="35">
        <f>+Q71/'# Yrs of Data'!D63</f>
        <v>1.95</v>
      </c>
      <c r="S71" s="2">
        <f t="shared" si="6"/>
        <v>35</v>
      </c>
      <c r="T71" s="35">
        <f>+S71/'# Yrs of Data'!D63</f>
        <v>0.58333333333333337</v>
      </c>
      <c r="U71" s="2">
        <f t="shared" si="7"/>
        <v>12</v>
      </c>
      <c r="V71" s="35">
        <f>+U71/'# Yrs of Data'!D63</f>
        <v>0.2</v>
      </c>
      <c r="W71" s="1"/>
    </row>
    <row r="72" spans="1:23">
      <c r="A72" s="1"/>
      <c r="B72" s="453">
        <f t="shared" si="1"/>
        <v>2010</v>
      </c>
      <c r="C72" s="236">
        <f>(COUNTIF('Database - Whole Tornadoes'!$P$5:$P$2005, "2010EF0"))</f>
        <v>34</v>
      </c>
      <c r="D72" s="236">
        <f>(COUNTIF('Database - Whole Tornadoes'!$P$5:$P$2005, "2010EF1"))</f>
        <v>3</v>
      </c>
      <c r="E72" s="236">
        <f>(COUNTIF('Database - Whole Tornadoes'!$P$5:$P$2005, "2010EF2"))</f>
        <v>1</v>
      </c>
      <c r="F72" s="236">
        <f>(COUNTIF('Database - Whole Tornadoes'!$P$5:$P$2005, "2010EF3"))</f>
        <v>0</v>
      </c>
      <c r="G72" s="236">
        <f>(COUNTIF('Database - Whole Tornadoes'!$P$5:$P$2005, "2010EF4"))</f>
        <v>0</v>
      </c>
      <c r="H72" s="236">
        <f>(COUNTIF('Database - Whole Tornadoes'!$P$5:$P$2005, "2010EF5"))</f>
        <v>0</v>
      </c>
      <c r="I72" s="240">
        <f t="shared" si="0"/>
        <v>38</v>
      </c>
      <c r="J72" s="236">
        <f t="shared" si="8"/>
        <v>23.7</v>
      </c>
      <c r="K72" s="240">
        <f t="shared" si="2"/>
        <v>1028</v>
      </c>
      <c r="L72" s="454">
        <f>K72/'# Yrs of Data'!D64</f>
        <v>16.852459016393443</v>
      </c>
      <c r="M72" s="2">
        <f t="shared" si="3"/>
        <v>643</v>
      </c>
      <c r="N72" s="35">
        <f>+M72/'# Yrs of Data'!D64</f>
        <v>10.540983606557377</v>
      </c>
      <c r="O72" s="2">
        <f t="shared" si="4"/>
        <v>220</v>
      </c>
      <c r="P72" s="35">
        <f>+O72/'# Yrs of Data'!D64</f>
        <v>3.6065573770491803</v>
      </c>
      <c r="Q72" s="2">
        <f t="shared" si="5"/>
        <v>118</v>
      </c>
      <c r="R72" s="35">
        <f>+Q72/'# Yrs of Data'!D64</f>
        <v>1.9344262295081966</v>
      </c>
      <c r="S72" s="2">
        <f t="shared" si="6"/>
        <v>35</v>
      </c>
      <c r="T72" s="35">
        <f>+S72/'# Yrs of Data'!D64</f>
        <v>0.57377049180327866</v>
      </c>
      <c r="U72" s="2">
        <f t="shared" si="7"/>
        <v>12</v>
      </c>
      <c r="V72" s="35">
        <f>+U72/'# Yrs of Data'!D64</f>
        <v>0.19672131147540983</v>
      </c>
      <c r="W72" s="1"/>
    </row>
    <row r="73" spans="1:23">
      <c r="A73" s="1"/>
      <c r="B73" s="453">
        <f t="shared" si="1"/>
        <v>2011</v>
      </c>
      <c r="C73" s="236">
        <f>(COUNTIF('Database - Whole Tornadoes'!$P$5:$P$2005, "2011EF0"))</f>
        <v>4</v>
      </c>
      <c r="D73" s="236">
        <f>(COUNTIF('Database - Whole Tornadoes'!$P$5:$P$2005, "2011EF1"))</f>
        <v>0</v>
      </c>
      <c r="E73" s="236">
        <f>(COUNTIF('Database - Whole Tornadoes'!$P$5:$P$2005, "2011EF2"))</f>
        <v>0</v>
      </c>
      <c r="F73" s="236">
        <f>(COUNTIF('Database - Whole Tornadoes'!$P$5:$P$2005, "2011EF3"))</f>
        <v>0</v>
      </c>
      <c r="G73" s="236">
        <f>(COUNTIF('Database - Whole Tornadoes'!$P$5:$P$2005, "2011EF4"))</f>
        <v>0</v>
      </c>
      <c r="H73" s="236">
        <f>(COUNTIF('Database - Whole Tornadoes'!$P$5:$P$2005, "2011EF5"))</f>
        <v>0</v>
      </c>
      <c r="I73" s="240">
        <f t="shared" si="0"/>
        <v>4</v>
      </c>
      <c r="J73" s="236">
        <f t="shared" si="8"/>
        <v>22.1</v>
      </c>
      <c r="K73" s="240">
        <f t="shared" si="2"/>
        <v>1032</v>
      </c>
      <c r="L73" s="454">
        <f>K73/'# Yrs of Data'!D65</f>
        <v>16.64516129032258</v>
      </c>
      <c r="M73" s="2">
        <f t="shared" si="3"/>
        <v>647</v>
      </c>
      <c r="N73" s="35">
        <f>+M73/'# Yrs of Data'!D65</f>
        <v>10.435483870967742</v>
      </c>
      <c r="O73" s="2">
        <f t="shared" si="4"/>
        <v>220</v>
      </c>
      <c r="P73" s="35">
        <f>+O73/'# Yrs of Data'!D65</f>
        <v>3.5483870967741935</v>
      </c>
      <c r="Q73" s="2">
        <f t="shared" si="5"/>
        <v>118</v>
      </c>
      <c r="R73" s="35">
        <f>+Q73/'# Yrs of Data'!D65</f>
        <v>1.903225806451613</v>
      </c>
      <c r="S73" s="2">
        <f t="shared" si="6"/>
        <v>35</v>
      </c>
      <c r="T73" s="35">
        <f>+S73/'# Yrs of Data'!D65</f>
        <v>0.56451612903225812</v>
      </c>
      <c r="U73" s="2">
        <f t="shared" si="7"/>
        <v>12</v>
      </c>
      <c r="V73" s="35">
        <f>+U73/'# Yrs of Data'!D65</f>
        <v>0.19354838709677419</v>
      </c>
    </row>
    <row r="74" spans="1:23">
      <c r="A74" s="1"/>
      <c r="B74" s="453">
        <f t="shared" si="1"/>
        <v>2012</v>
      </c>
      <c r="C74" s="236">
        <f>(COUNTIF('Database - Whole Tornadoes'!$P$5:$P$2005, "2012EF0"))</f>
        <v>5</v>
      </c>
      <c r="D74" s="236">
        <f>(COUNTIF('Database - Whole Tornadoes'!$P$5:$P$2005, "2012EF1"))</f>
        <v>1</v>
      </c>
      <c r="E74" s="236">
        <f>(COUNTIF('Database - Whole Tornadoes'!$P$5:$P$2005, "2012EF2"))</f>
        <v>0</v>
      </c>
      <c r="F74" s="236">
        <f>(COUNTIF('Database - Whole Tornadoes'!$P$5:$P$2005, "2012EF3"))</f>
        <v>0</v>
      </c>
      <c r="G74" s="236">
        <f>(COUNTIF('Database - Whole Tornadoes'!$P$5:$P$2005, "2012EF4"))</f>
        <v>0</v>
      </c>
      <c r="H74" s="236">
        <f>(COUNTIF('Database - Whole Tornadoes'!$P$5:$P$2005, "2012EF5"))</f>
        <v>0</v>
      </c>
      <c r="I74" s="240">
        <f t="shared" si="0"/>
        <v>6</v>
      </c>
      <c r="J74" s="236">
        <f t="shared" si="8"/>
        <v>20.5</v>
      </c>
      <c r="K74" s="240">
        <f t="shared" si="2"/>
        <v>1038</v>
      </c>
      <c r="L74" s="454">
        <f>K74/'# Yrs of Data'!D66</f>
        <v>16.476190476190474</v>
      </c>
      <c r="M74" s="2">
        <f t="shared" si="3"/>
        <v>652</v>
      </c>
      <c r="N74" s="35">
        <f>+M74/'# Yrs of Data'!D66</f>
        <v>10.34920634920635</v>
      </c>
      <c r="O74" s="2">
        <f t="shared" si="4"/>
        <v>221</v>
      </c>
      <c r="P74" s="35">
        <f>+O74/'# Yrs of Data'!D66</f>
        <v>3.5079365079365079</v>
      </c>
      <c r="Q74" s="2">
        <f t="shared" si="5"/>
        <v>118</v>
      </c>
      <c r="R74" s="35">
        <f>+Q74/'# Yrs of Data'!D66</f>
        <v>1.873015873015873</v>
      </c>
      <c r="S74" s="2">
        <f t="shared" si="6"/>
        <v>35</v>
      </c>
      <c r="T74" s="35">
        <f>+S74/'# Yrs of Data'!D66</f>
        <v>0.55555555555555558</v>
      </c>
      <c r="U74" s="2">
        <f t="shared" si="7"/>
        <v>12</v>
      </c>
      <c r="V74" s="35">
        <f>+U74/'# Yrs of Data'!D66</f>
        <v>0.19047619047619047</v>
      </c>
    </row>
    <row r="75" spans="1:23">
      <c r="A75" s="1"/>
      <c r="B75" s="453">
        <f t="shared" si="1"/>
        <v>2013</v>
      </c>
      <c r="C75" s="236">
        <f>(COUNTIF('Database - Whole Tornadoes'!$P$5:$P$2005, "2013EF0"))</f>
        <v>7</v>
      </c>
      <c r="D75" s="236">
        <f>(COUNTIF('Database - Whole Tornadoes'!$P$5:$P$2005, "2013EF1"))</f>
        <v>0</v>
      </c>
      <c r="E75" s="236">
        <f>(COUNTIF('Database - Whole Tornadoes'!$P$5:$P$2005, "2013EF2"))</f>
        <v>0</v>
      </c>
      <c r="F75" s="236">
        <f>(COUNTIF('Database - Whole Tornadoes'!$P$5:$P$2005, "2013EF3"))</f>
        <v>0</v>
      </c>
      <c r="G75" s="236">
        <f>(COUNTIF('Database - Whole Tornadoes'!$P$5:$P$2005, "2013EF4"))</f>
        <v>0</v>
      </c>
      <c r="H75" s="236">
        <f>(COUNTIF('Database - Whole Tornadoes'!$P$5:$P$2005, "2013EF5"))</f>
        <v>0</v>
      </c>
      <c r="I75" s="240">
        <f t="shared" si="0"/>
        <v>7</v>
      </c>
      <c r="J75" s="236">
        <f t="shared" si="8"/>
        <v>17.899999999999999</v>
      </c>
      <c r="K75" s="240">
        <f t="shared" si="2"/>
        <v>1045</v>
      </c>
      <c r="L75" s="454">
        <f>K75/'# Yrs of Data'!D67</f>
        <v>16.328125</v>
      </c>
      <c r="M75" s="2">
        <f t="shared" si="3"/>
        <v>659</v>
      </c>
      <c r="N75" s="35">
        <f>+M75/'# Yrs of Data'!D67</f>
        <v>10.296875</v>
      </c>
      <c r="O75" s="2">
        <f t="shared" si="4"/>
        <v>221</v>
      </c>
      <c r="P75" s="35">
        <f>+O75/'# Yrs of Data'!D67</f>
        <v>3.453125</v>
      </c>
      <c r="Q75" s="2">
        <f t="shared" si="5"/>
        <v>118</v>
      </c>
      <c r="R75" s="35">
        <f>+Q75/'# Yrs of Data'!D67</f>
        <v>1.84375</v>
      </c>
      <c r="S75" s="2">
        <f t="shared" si="6"/>
        <v>35</v>
      </c>
      <c r="T75" s="35">
        <f>+S75/'# Yrs of Data'!D67</f>
        <v>0.546875</v>
      </c>
      <c r="U75" s="2">
        <f t="shared" si="7"/>
        <v>12</v>
      </c>
      <c r="V75" s="35">
        <f>+U75/'# Yrs of Data'!D67</f>
        <v>0.1875</v>
      </c>
    </row>
    <row r="76" spans="1:23">
      <c r="A76" s="1"/>
      <c r="B76" s="453">
        <f t="shared" si="1"/>
        <v>2014</v>
      </c>
      <c r="C76" s="236">
        <f>(COUNTIF('Database - Whole Tornadoes'!$P$5:$P$2005, "2014EF0"))</f>
        <v>9</v>
      </c>
      <c r="D76" s="236">
        <f>(COUNTIF('Database - Whole Tornadoes'!$P$5:$P$2005, "2014EF1"))</f>
        <v>3</v>
      </c>
      <c r="E76" s="236">
        <f>(COUNTIF('Database - Whole Tornadoes'!$P$5:$P$2005, "2014EF2"))</f>
        <v>0</v>
      </c>
      <c r="F76" s="236">
        <f>(COUNTIF('Database - Whole Tornadoes'!$P$5:$P$2005, "2014EF3"))</f>
        <v>0</v>
      </c>
      <c r="G76" s="236">
        <f>(COUNTIF('Database - Whole Tornadoes'!$P$5:$P$2005, "2014EF4"))</f>
        <v>0</v>
      </c>
      <c r="H76" s="236">
        <f>(COUNTIF('Database - Whole Tornadoes'!$P$5:$P$2005, "2014EF5"))</f>
        <v>0</v>
      </c>
      <c r="I76" s="240">
        <f>SUM(C76:H76)</f>
        <v>12</v>
      </c>
      <c r="J76" s="236">
        <f t="shared" si="8"/>
        <v>17.7</v>
      </c>
      <c r="K76" s="240">
        <f t="shared" si="2"/>
        <v>1057</v>
      </c>
      <c r="L76" s="454">
        <f>K76/'# Yrs of Data'!D68</f>
        <v>16.261538461538461</v>
      </c>
      <c r="M76" s="2">
        <f t="shared" si="3"/>
        <v>668</v>
      </c>
      <c r="N76" s="35">
        <f>+M76/'# Yrs of Data'!D68</f>
        <v>10.276923076923078</v>
      </c>
      <c r="O76" s="2">
        <f t="shared" si="4"/>
        <v>224</v>
      </c>
      <c r="P76" s="35">
        <f>+O76/'# Yrs of Data'!D68</f>
        <v>3.4461538461538463</v>
      </c>
      <c r="Q76" s="2">
        <f t="shared" si="5"/>
        <v>118</v>
      </c>
      <c r="R76" s="35">
        <f>+Q76/'# Yrs of Data'!D68</f>
        <v>1.8153846153846154</v>
      </c>
      <c r="S76" s="2">
        <f t="shared" si="6"/>
        <v>35</v>
      </c>
      <c r="T76" s="35">
        <f>+S76/'# Yrs of Data'!D68</f>
        <v>0.53846153846153844</v>
      </c>
      <c r="U76" s="2">
        <f t="shared" si="7"/>
        <v>12</v>
      </c>
      <c r="V76" s="35">
        <f>+U76/'# Yrs of Data'!D68</f>
        <v>0.18461538461538463</v>
      </c>
    </row>
    <row r="77" spans="1:23">
      <c r="A77" s="1"/>
      <c r="B77" s="453">
        <f t="shared" ref="B77:B98" si="9">B76+1</f>
        <v>2015</v>
      </c>
      <c r="C77" s="236">
        <f>(COUNTIF('Database - Whole Tornadoes'!$P$5:$P$2005, "2015EF0"))</f>
        <v>22</v>
      </c>
      <c r="D77" s="236">
        <f>(COUNTIF('Database - Whole Tornadoes'!$P$5:$P$2005, "2015EF1"))</f>
        <v>9</v>
      </c>
      <c r="E77" s="236">
        <f>(COUNTIF('Database - Whole Tornadoes'!$P$5:$P$2005, "2015EF2"))</f>
        <v>2</v>
      </c>
      <c r="F77" s="236">
        <f>(COUNTIF('Database - Whole Tornadoes'!$P$5:$P$2005, "2015EF3"))</f>
        <v>2</v>
      </c>
      <c r="G77" s="236">
        <f>(COUNTIF('Database - Whole Tornadoes'!$P$5:$P$2005, "2015EF4"))</f>
        <v>0</v>
      </c>
      <c r="H77" s="236">
        <f>(COUNTIF('Database - Whole Tornadoes'!$P$5:$P$2005, "2015EF5"))</f>
        <v>0</v>
      </c>
      <c r="I77" s="240">
        <f>SUM(C77:H77)</f>
        <v>35</v>
      </c>
      <c r="J77" s="236">
        <f t="shared" si="8"/>
        <v>19.7</v>
      </c>
      <c r="K77" s="240">
        <f t="shared" ref="K77:K86" si="10">K76+I77</f>
        <v>1092</v>
      </c>
      <c r="L77" s="454">
        <f>K77/'# Yrs of Data'!D69</f>
        <v>16.545454545454547</v>
      </c>
      <c r="M77" s="2">
        <f t="shared" ref="M77:M86" si="11">+M76+C77</f>
        <v>690</v>
      </c>
      <c r="N77" s="35">
        <f>+M77/'# Yrs of Data'!D69</f>
        <v>10.454545454545455</v>
      </c>
      <c r="O77" s="2">
        <f t="shared" ref="O77:O86" si="12">+O76+D77</f>
        <v>233</v>
      </c>
      <c r="P77" s="35">
        <f>+O77/'# Yrs of Data'!D69</f>
        <v>3.5303030303030303</v>
      </c>
      <c r="Q77" s="2">
        <f t="shared" ref="Q77:Q86" si="13">+Q76+E77</f>
        <v>120</v>
      </c>
      <c r="R77" s="35">
        <f>+Q77/'# Yrs of Data'!D69</f>
        <v>1.8181818181818181</v>
      </c>
      <c r="S77" s="2">
        <f t="shared" ref="S77:S86" si="14">+S76+F77</f>
        <v>37</v>
      </c>
      <c r="T77" s="35">
        <f>+S77/'# Yrs of Data'!D69</f>
        <v>0.56060606060606055</v>
      </c>
      <c r="U77" s="2">
        <f t="shared" ref="U77:U86" si="15">+U76+G77</f>
        <v>12</v>
      </c>
      <c r="V77" s="35">
        <f>+U77/'# Yrs of Data'!D69</f>
        <v>0.18181818181818182</v>
      </c>
    </row>
    <row r="78" spans="1:23">
      <c r="A78" s="1"/>
      <c r="B78" s="453">
        <f t="shared" si="9"/>
        <v>2016</v>
      </c>
      <c r="C78" s="236">
        <f>(COUNTIF('Database - Whole Tornadoes'!$P$5:$P$2005, "2016EF0"))</f>
        <v>21</v>
      </c>
      <c r="D78" s="236">
        <f>(COUNTIF('Database - Whole Tornadoes'!$P$5:$P$2005, "2016EF1"))</f>
        <v>7</v>
      </c>
      <c r="E78" s="236">
        <f>(COUNTIF('Database - Whole Tornadoes'!$P$5:$P$2005, "2016EF2"))</f>
        <v>0</v>
      </c>
      <c r="F78" s="236">
        <f>(COUNTIF('Database - Whole Tornadoes'!$P$5:$P$2005, "2016EF3"))</f>
        <v>0</v>
      </c>
      <c r="G78" s="236">
        <f>(COUNTIF('Database - Whole Tornadoes'!$P$5:$P$2005, "2016EF4"))</f>
        <v>0</v>
      </c>
      <c r="H78" s="236">
        <f>(COUNTIF('Database - Whole Tornadoes'!$P$5:$P$2005, "2016EF5"))</f>
        <v>0</v>
      </c>
      <c r="I78" s="240">
        <f t="shared" ref="I78:I86" si="16">SUM(C78:H78)</f>
        <v>28</v>
      </c>
      <c r="J78" s="236">
        <f t="shared" si="8"/>
        <v>21.2</v>
      </c>
      <c r="K78" s="240">
        <f t="shared" si="10"/>
        <v>1120</v>
      </c>
      <c r="L78" s="454">
        <f>K78/'# Yrs of Data'!D70</f>
        <v>16.71641791044776</v>
      </c>
      <c r="M78" s="2">
        <f t="shared" si="11"/>
        <v>711</v>
      </c>
      <c r="N78" s="35">
        <f>+M78/'# Yrs of Data'!D70</f>
        <v>10.611940298507463</v>
      </c>
      <c r="O78" s="2">
        <f t="shared" si="12"/>
        <v>240</v>
      </c>
      <c r="P78" s="35">
        <f>+O78/'# Yrs of Data'!D70</f>
        <v>3.5820895522388061</v>
      </c>
      <c r="Q78" s="2">
        <f t="shared" si="13"/>
        <v>120</v>
      </c>
      <c r="R78" s="35">
        <f>+Q78/'# Yrs of Data'!D70</f>
        <v>1.791044776119403</v>
      </c>
      <c r="S78" s="2">
        <f t="shared" si="14"/>
        <v>37</v>
      </c>
      <c r="T78" s="35">
        <f>+S78/'# Yrs of Data'!D70</f>
        <v>0.55223880597014929</v>
      </c>
      <c r="U78" s="2">
        <f t="shared" si="15"/>
        <v>12</v>
      </c>
      <c r="V78" s="35">
        <f>+U78/'# Yrs of Data'!D70</f>
        <v>0.17910447761194029</v>
      </c>
    </row>
    <row r="79" spans="1:23">
      <c r="A79" s="1"/>
      <c r="B79" s="453">
        <f t="shared" si="9"/>
        <v>2017</v>
      </c>
      <c r="C79" s="236">
        <f>(COUNTIF('Database - Whole Tornadoes'!$P$5:$P$2005, "2017EF0"))</f>
        <v>9</v>
      </c>
      <c r="D79" s="236">
        <f>(COUNTIF('Database - Whole Tornadoes'!$P$5:$P$2005, "2017EF1"))</f>
        <v>3</v>
      </c>
      <c r="E79" s="236">
        <f>(COUNTIF('Database - Whole Tornadoes'!$P$5:$P$2005, "2017EF2"))</f>
        <v>1</v>
      </c>
      <c r="F79" s="236">
        <f>(COUNTIF('Database - Whole Tornadoes'!$P$5:$P$2005, "2017EF3"))</f>
        <v>0</v>
      </c>
      <c r="G79" s="236">
        <f>(COUNTIF('Database - Whole Tornadoes'!$P$5:$P$2005, "2017EF4"))</f>
        <v>0</v>
      </c>
      <c r="H79" s="236">
        <f>(COUNTIF('Database - Whole Tornadoes'!$P$5:$P$2005, "2017EF5"))</f>
        <v>0</v>
      </c>
      <c r="I79" s="240">
        <f t="shared" si="16"/>
        <v>13</v>
      </c>
      <c r="J79" s="236">
        <f t="shared" si="8"/>
        <v>16.7</v>
      </c>
      <c r="K79" s="240">
        <f t="shared" si="10"/>
        <v>1133</v>
      </c>
      <c r="L79" s="454">
        <f>K79/'# Yrs of Data'!D71</f>
        <v>16.661764705882351</v>
      </c>
      <c r="M79" s="2">
        <f t="shared" si="11"/>
        <v>720</v>
      </c>
      <c r="N79" s="35">
        <f>+M79/'# Yrs of Data'!D71</f>
        <v>10.588235294117647</v>
      </c>
      <c r="O79" s="2">
        <f t="shared" si="12"/>
        <v>243</v>
      </c>
      <c r="P79" s="35">
        <f>+O79/'# Yrs of Data'!D71</f>
        <v>3.5735294117647061</v>
      </c>
      <c r="Q79" s="2">
        <f t="shared" si="13"/>
        <v>121</v>
      </c>
      <c r="R79" s="35">
        <f>+Q79/'# Yrs of Data'!D71</f>
        <v>1.7794117647058822</v>
      </c>
      <c r="S79" s="2">
        <f t="shared" si="14"/>
        <v>37</v>
      </c>
      <c r="T79" s="35">
        <f>+S79/'# Yrs of Data'!D71</f>
        <v>0.54411764705882348</v>
      </c>
      <c r="U79" s="2">
        <f t="shared" si="15"/>
        <v>12</v>
      </c>
      <c r="V79" s="35">
        <f>+U79/'# Yrs of Data'!D71</f>
        <v>0.17647058823529413</v>
      </c>
    </row>
    <row r="80" spans="1:23">
      <c r="A80" s="1"/>
      <c r="B80" s="453">
        <f t="shared" si="9"/>
        <v>2018</v>
      </c>
      <c r="C80" s="236">
        <f>(COUNTIF('Database - Whole Tornadoes'!$P$5:$P$2005, "2018EF0"))</f>
        <v>8</v>
      </c>
      <c r="D80" s="236">
        <f>(COUNTIF('Database - Whole Tornadoes'!$P$5:$P$2005, "2018EF1"))</f>
        <v>2</v>
      </c>
      <c r="E80" s="236">
        <f>(COUNTIF('Database - Whole Tornadoes'!$P$5:$P$2005, "2018EF2"))</f>
        <v>0</v>
      </c>
      <c r="F80" s="236">
        <f>(COUNTIF('Database - Whole Tornadoes'!$P$5:$P$2005, "2018EF3"))</f>
        <v>0</v>
      </c>
      <c r="G80" s="236">
        <f>(COUNTIF('Database - Whole Tornadoes'!$P$5:$P$2005, "2018EF4"))</f>
        <v>0</v>
      </c>
      <c r="H80" s="236">
        <f>(COUNTIF('Database - Whole Tornadoes'!$P$5:$P$2005, "2018EF5"))</f>
        <v>0</v>
      </c>
      <c r="I80" s="240">
        <f t="shared" si="16"/>
        <v>10</v>
      </c>
      <c r="J80" s="236">
        <f t="shared" si="8"/>
        <v>16.600000000000001</v>
      </c>
      <c r="K80" s="240">
        <f t="shared" si="10"/>
        <v>1143</v>
      </c>
      <c r="L80" s="454">
        <f>K80/'# Yrs of Data'!D72</f>
        <v>16.565217391304348</v>
      </c>
      <c r="M80" s="2">
        <f t="shared" si="11"/>
        <v>728</v>
      </c>
      <c r="N80" s="35">
        <f>+M80/'# Yrs of Data'!D72</f>
        <v>10.55072463768116</v>
      </c>
      <c r="O80" s="2">
        <f t="shared" si="12"/>
        <v>245</v>
      </c>
      <c r="P80" s="35">
        <f>+O80/'# Yrs of Data'!D72</f>
        <v>3.5507246376811592</v>
      </c>
      <c r="Q80" s="2">
        <f t="shared" si="13"/>
        <v>121</v>
      </c>
      <c r="R80" s="35">
        <f>+Q80/'# Yrs of Data'!D72</f>
        <v>1.7536231884057971</v>
      </c>
      <c r="S80" s="2">
        <f t="shared" si="14"/>
        <v>37</v>
      </c>
      <c r="T80" s="35">
        <f>+S80/'# Yrs of Data'!D72</f>
        <v>0.53623188405797106</v>
      </c>
      <c r="U80" s="2">
        <f t="shared" si="15"/>
        <v>12</v>
      </c>
      <c r="V80" s="35">
        <f>+U80/'# Yrs of Data'!D72</f>
        <v>0.17391304347826086</v>
      </c>
    </row>
    <row r="81" spans="1:22">
      <c r="A81" s="1"/>
      <c r="B81" s="453">
        <f t="shared" si="9"/>
        <v>2019</v>
      </c>
      <c r="C81" s="236">
        <f>(COUNTIF('Database - Whole Tornadoes'!$P$5:$P$2005, "2019EF0"))</f>
        <v>33</v>
      </c>
      <c r="D81" s="236">
        <f>(COUNTIF('Database - Whole Tornadoes'!$P$5:$P$2005, "2019EF1"))</f>
        <v>1</v>
      </c>
      <c r="E81" s="236">
        <f>(COUNTIF('Database - Whole Tornadoes'!$P$5:$P$2005, "2019EF2"))</f>
        <v>3</v>
      </c>
      <c r="F81" s="236">
        <f>(COUNTIF('Database - Whole Tornadoes'!$P$5:$P$2005, "2019EF3"))</f>
        <v>0</v>
      </c>
      <c r="G81" s="236">
        <f>(COUNTIF('Database - Whole Tornadoes'!$P$5:$P$2005, "2019EF4"))</f>
        <v>0</v>
      </c>
      <c r="H81" s="236">
        <f>(COUNTIF('Database - Whole Tornadoes'!$P$5:$P$2005, "2019EF5"))</f>
        <v>0</v>
      </c>
      <c r="I81" s="240">
        <f t="shared" si="16"/>
        <v>37</v>
      </c>
      <c r="J81" s="236">
        <f t="shared" si="8"/>
        <v>19</v>
      </c>
      <c r="K81" s="240">
        <f t="shared" si="10"/>
        <v>1180</v>
      </c>
      <c r="L81" s="454">
        <f>K81/'# Yrs of Data'!D73</f>
        <v>16.857142857142858</v>
      </c>
      <c r="M81" s="2">
        <f t="shared" si="11"/>
        <v>761</v>
      </c>
      <c r="N81" s="35">
        <f>+M81/'# Yrs of Data'!D73</f>
        <v>10.871428571428572</v>
      </c>
      <c r="O81" s="2">
        <f t="shared" si="12"/>
        <v>246</v>
      </c>
      <c r="P81" s="35">
        <f>+O81/'# Yrs of Data'!D73</f>
        <v>3.5142857142857142</v>
      </c>
      <c r="Q81" s="2">
        <f t="shared" si="13"/>
        <v>124</v>
      </c>
      <c r="R81" s="35">
        <f>+Q81/'# Yrs of Data'!D73</f>
        <v>1.7714285714285714</v>
      </c>
      <c r="S81" s="2">
        <f t="shared" si="14"/>
        <v>37</v>
      </c>
      <c r="T81" s="35">
        <f>+S81/'# Yrs of Data'!D73</f>
        <v>0.52857142857142858</v>
      </c>
      <c r="U81" s="2">
        <f t="shared" si="15"/>
        <v>12</v>
      </c>
      <c r="V81" s="35">
        <f>+U81/'# Yrs of Data'!D73</f>
        <v>0.17142857142857143</v>
      </c>
    </row>
    <row r="82" spans="1:22">
      <c r="A82" s="1"/>
      <c r="B82" s="453">
        <f t="shared" si="9"/>
        <v>2020</v>
      </c>
      <c r="C82" s="236">
        <f>(COUNTIF('Database - Whole Tornadoes'!$P$5:$P$2005, "2020EF0"))</f>
        <v>7</v>
      </c>
      <c r="D82" s="236">
        <f>(COUNTIF('Database - Whole Tornadoes'!$P$5:$P$2005, "2020EF1"))</f>
        <v>1</v>
      </c>
      <c r="E82" s="236">
        <f>(COUNTIF('Database - Whole Tornadoes'!$P$5:$P$2005, "2020EF2"))</f>
        <v>0</v>
      </c>
      <c r="F82" s="236">
        <f>(COUNTIF('Database - Whole Tornadoes'!$P$5:$P$2005, "2020EF3"))</f>
        <v>0</v>
      </c>
      <c r="G82" s="236">
        <f>(COUNTIF('Database - Whole Tornadoes'!$P$5:$P$2005, "2020EF4"))</f>
        <v>0</v>
      </c>
      <c r="H82" s="236">
        <f>(COUNTIF('Database - Whole Tornadoes'!$P$5:$P$2005, "2020EF5"))</f>
        <v>0</v>
      </c>
      <c r="I82" s="240">
        <f t="shared" si="16"/>
        <v>8</v>
      </c>
      <c r="J82" s="236">
        <f t="shared" si="8"/>
        <v>16</v>
      </c>
      <c r="K82" s="240">
        <f t="shared" si="10"/>
        <v>1188</v>
      </c>
      <c r="L82" s="454">
        <f>K82/'# Yrs of Data'!D74</f>
        <v>16.732394366197184</v>
      </c>
      <c r="M82" s="2">
        <f t="shared" si="11"/>
        <v>768</v>
      </c>
      <c r="N82" s="35">
        <f>+M82/'# Yrs of Data'!D74</f>
        <v>10.816901408450704</v>
      </c>
      <c r="O82" s="2">
        <f t="shared" si="12"/>
        <v>247</v>
      </c>
      <c r="P82" s="35">
        <f>+O82/'# Yrs of Data'!D74</f>
        <v>3.4788732394366195</v>
      </c>
      <c r="Q82" s="2">
        <f t="shared" si="13"/>
        <v>124</v>
      </c>
      <c r="R82" s="35">
        <f>+Q82/'# Yrs of Data'!D74</f>
        <v>1.7464788732394365</v>
      </c>
      <c r="S82" s="2">
        <f t="shared" si="14"/>
        <v>37</v>
      </c>
      <c r="T82" s="35">
        <f>+S82/'# Yrs of Data'!D74</f>
        <v>0.52112676056338025</v>
      </c>
      <c r="U82" s="2">
        <f t="shared" si="15"/>
        <v>12</v>
      </c>
      <c r="V82" s="35">
        <f>+U82/'# Yrs of Data'!D74</f>
        <v>0.16901408450704225</v>
      </c>
    </row>
    <row r="83" spans="1:22">
      <c r="A83" s="1"/>
      <c r="B83" s="453">
        <f t="shared" si="9"/>
        <v>2021</v>
      </c>
      <c r="C83" s="236">
        <f>(COUNTIF('Database - Whole Tornadoes'!$P$5:$P$2005, "2021EF0"))</f>
        <v>23</v>
      </c>
      <c r="D83" s="236">
        <f>(COUNTIF('Database - Whole Tornadoes'!$P$5:$P$2005, "2021EF1"))</f>
        <v>4</v>
      </c>
      <c r="E83" s="236">
        <f>(COUNTIF('Database - Whole Tornadoes'!$P$5:$P$2005, "2021EF2"))</f>
        <v>2</v>
      </c>
      <c r="F83" s="236">
        <f>(COUNTIF('Database - Whole Tornadoes'!$P$5:$P$2005, "2021EF3"))</f>
        <v>0</v>
      </c>
      <c r="G83" s="236">
        <f>(COUNTIF('Database - Whole Tornadoes'!$P$5:$P$2005, "2021EF4"))</f>
        <v>0</v>
      </c>
      <c r="H83" s="236">
        <f>(COUNTIF('Database - Whole Tornadoes'!$P$5:$P$2005, "2021EF5"))</f>
        <v>0</v>
      </c>
      <c r="I83" s="240">
        <f t="shared" si="16"/>
        <v>29</v>
      </c>
      <c r="J83" s="236">
        <f t="shared" si="8"/>
        <v>18.5</v>
      </c>
      <c r="K83" s="240">
        <f t="shared" si="10"/>
        <v>1217</v>
      </c>
      <c r="L83" s="454">
        <f>K83/'# Yrs of Data'!D75</f>
        <v>16.902777777777779</v>
      </c>
      <c r="M83" s="2">
        <f t="shared" si="11"/>
        <v>791</v>
      </c>
      <c r="N83" s="35">
        <f>+M83/'# Yrs of Data'!D75</f>
        <v>10.986111111111111</v>
      </c>
      <c r="O83" s="2">
        <f t="shared" si="12"/>
        <v>251</v>
      </c>
      <c r="P83" s="35">
        <f>+O83/'# Yrs of Data'!D75</f>
        <v>3.4861111111111112</v>
      </c>
      <c r="Q83" s="2">
        <f t="shared" si="13"/>
        <v>126</v>
      </c>
      <c r="R83" s="35">
        <f>+Q83/'# Yrs of Data'!D75</f>
        <v>1.75</v>
      </c>
      <c r="S83" s="2">
        <f t="shared" si="14"/>
        <v>37</v>
      </c>
      <c r="T83" s="35">
        <f>+S83/'# Yrs of Data'!D75</f>
        <v>0.51388888888888884</v>
      </c>
      <c r="U83" s="2">
        <f t="shared" si="15"/>
        <v>12</v>
      </c>
      <c r="V83" s="35">
        <f>+U83/'# Yrs of Data'!D75</f>
        <v>0.16666666666666666</v>
      </c>
    </row>
    <row r="84" spans="1:22">
      <c r="A84" s="1"/>
      <c r="B84" s="453">
        <f t="shared" si="9"/>
        <v>2022</v>
      </c>
      <c r="C84" s="236">
        <f>(COUNTIF('Database - Whole Tornadoes'!$P$5:$P$2005, "2022EF0"))</f>
        <v>6</v>
      </c>
      <c r="D84" s="236">
        <f>(COUNTIF('Database - Whole Tornadoes'!$P$5:$P$2005, "2022EF1"))</f>
        <v>0</v>
      </c>
      <c r="E84" s="236">
        <f>(COUNTIF('Database - Whole Tornadoes'!$P$5:$P$2005, "2022EF2"))</f>
        <v>0</v>
      </c>
      <c r="F84" s="236">
        <f>(COUNTIF('Database - Whole Tornadoes'!$P$5:$P$2005, "2022EF3"))</f>
        <v>0</v>
      </c>
      <c r="G84" s="236">
        <f>(COUNTIF('Database - Whole Tornadoes'!$P$5:$P$2005, "2022EF4"))</f>
        <v>0</v>
      </c>
      <c r="H84" s="236">
        <f>(COUNTIF('Database - Whole Tornadoes'!$P$5:$P$2005, "2022EF5"))</f>
        <v>0</v>
      </c>
      <c r="I84" s="240">
        <f t="shared" si="16"/>
        <v>6</v>
      </c>
      <c r="J84" s="236">
        <f t="shared" si="8"/>
        <v>18.5</v>
      </c>
      <c r="K84" s="240">
        <f t="shared" si="10"/>
        <v>1223</v>
      </c>
      <c r="L84" s="454">
        <f>K84/'# Yrs of Data'!D76</f>
        <v>16.753424657534246</v>
      </c>
      <c r="M84" s="2">
        <f t="shared" si="11"/>
        <v>797</v>
      </c>
      <c r="N84" s="35">
        <f>+M84/'# Yrs of Data'!D76</f>
        <v>10.917808219178083</v>
      </c>
      <c r="O84" s="2">
        <f t="shared" si="12"/>
        <v>251</v>
      </c>
      <c r="P84" s="35">
        <f>+O84/'# Yrs of Data'!D76</f>
        <v>3.4383561643835616</v>
      </c>
      <c r="Q84" s="2">
        <f t="shared" si="13"/>
        <v>126</v>
      </c>
      <c r="R84" s="35">
        <f>+Q84/'# Yrs of Data'!D76</f>
        <v>1.726027397260274</v>
      </c>
      <c r="S84" s="2">
        <f t="shared" si="14"/>
        <v>37</v>
      </c>
      <c r="T84" s="35">
        <f>+S84/'# Yrs of Data'!D76</f>
        <v>0.50684931506849318</v>
      </c>
      <c r="U84" s="2">
        <f t="shared" si="15"/>
        <v>12</v>
      </c>
      <c r="V84" s="35">
        <f>+U84/'# Yrs of Data'!D76</f>
        <v>0.16438356164383561</v>
      </c>
    </row>
    <row r="85" spans="1:22">
      <c r="A85" s="1"/>
      <c r="B85" s="453">
        <f t="shared" si="9"/>
        <v>2023</v>
      </c>
      <c r="C85" s="236">
        <f>(COUNTIF('Database - Whole Tornadoes'!$P$5:$P$2005, "2023EF0"))</f>
        <v>0</v>
      </c>
      <c r="D85" s="236">
        <f>(COUNTIF('Database - Whole Tornadoes'!$P$5:$P$2005, "2023EF1"))</f>
        <v>0</v>
      </c>
      <c r="E85" s="236">
        <f>(COUNTIF('Database - Whole Tornadoes'!$P$5:$P$2005, "2023EF2"))</f>
        <v>0</v>
      </c>
      <c r="F85" s="236">
        <f>(COUNTIF('Database - Whole Tornadoes'!$P$5:$P$2005, "2023EF3"))</f>
        <v>0</v>
      </c>
      <c r="G85" s="236">
        <f>(COUNTIF('Database - Whole Tornadoes'!$P$5:$P$2005, "2023EF4"))</f>
        <v>0</v>
      </c>
      <c r="H85" s="236">
        <f>(COUNTIF('Database - Whole Tornadoes'!$P$5:$P$2005, "2023EF5"))</f>
        <v>0</v>
      </c>
      <c r="I85" s="240">
        <f t="shared" si="16"/>
        <v>0</v>
      </c>
      <c r="J85" s="236">
        <f>SUM(I76:I85)/10</f>
        <v>17.8</v>
      </c>
      <c r="K85" s="240">
        <f t="shared" si="10"/>
        <v>1223</v>
      </c>
      <c r="L85" s="454" t="e">
        <f>K85/'# Yrs of Data'!D77</f>
        <v>#DIV/0!</v>
      </c>
      <c r="M85" s="2">
        <f t="shared" si="11"/>
        <v>797</v>
      </c>
      <c r="N85" s="35" t="e">
        <f>+M85/'# Yrs of Data'!D77</f>
        <v>#DIV/0!</v>
      </c>
      <c r="O85" s="2">
        <f t="shared" si="12"/>
        <v>251</v>
      </c>
      <c r="P85" s="35" t="e">
        <f>+O85/'# Yrs of Data'!D77</f>
        <v>#DIV/0!</v>
      </c>
      <c r="Q85" s="2">
        <f t="shared" si="13"/>
        <v>126</v>
      </c>
      <c r="R85" s="35" t="e">
        <f>+Q85/'# Yrs of Data'!D77</f>
        <v>#DIV/0!</v>
      </c>
      <c r="S85" s="2">
        <f t="shared" si="14"/>
        <v>37</v>
      </c>
      <c r="T85" s="35" t="e">
        <f>+S85/'# Yrs of Data'!D77</f>
        <v>#DIV/0!</v>
      </c>
      <c r="U85" s="2">
        <f t="shared" si="15"/>
        <v>12</v>
      </c>
      <c r="V85" s="35" t="e">
        <f>+U85/'# Yrs of Data'!D77</f>
        <v>#DIV/0!</v>
      </c>
    </row>
    <row r="86" spans="1:22">
      <c r="A86" s="1"/>
      <c r="B86" s="453">
        <f t="shared" si="9"/>
        <v>2024</v>
      </c>
      <c r="C86" s="236">
        <f>(COUNTIF('Database - Whole Tornadoes'!$P$5:$P$2005, "2024EF0"))</f>
        <v>0</v>
      </c>
      <c r="D86" s="236">
        <f>(COUNTIF('Database - Whole Tornadoes'!$P$5:$P$2005, "2024EF1"))</f>
        <v>0</v>
      </c>
      <c r="E86" s="236">
        <f>(COUNTIF('Database - Whole Tornadoes'!$P$5:$P$2005, "2024EF2"))</f>
        <v>0</v>
      </c>
      <c r="F86" s="236">
        <f>(COUNTIF('Database - Whole Tornadoes'!$P$5:$P$2005, "2024EF3"))</f>
        <v>0</v>
      </c>
      <c r="G86" s="236">
        <f>(COUNTIF('Database - Whole Tornadoes'!$P$5:$P$2005, "2024EF4"))</f>
        <v>0</v>
      </c>
      <c r="H86" s="236">
        <f>(COUNTIF('Database - Whole Tornadoes'!$P$5:$P$2005, "2024EF5"))</f>
        <v>0</v>
      </c>
      <c r="I86" s="240">
        <f t="shared" si="16"/>
        <v>0</v>
      </c>
      <c r="J86" s="236">
        <f>SUM(I77:I86)/10</f>
        <v>16.600000000000001</v>
      </c>
      <c r="K86" s="240">
        <f t="shared" si="10"/>
        <v>1223</v>
      </c>
      <c r="L86" s="454" t="e">
        <f>K86/'# Yrs of Data'!D78</f>
        <v>#DIV/0!</v>
      </c>
      <c r="M86" s="2">
        <f t="shared" si="11"/>
        <v>797</v>
      </c>
      <c r="N86" s="35" t="e">
        <f>+M86/'# Yrs of Data'!D78</f>
        <v>#DIV/0!</v>
      </c>
      <c r="O86" s="2">
        <f t="shared" si="12"/>
        <v>251</v>
      </c>
      <c r="P86" s="35" t="e">
        <f>+O86/'# Yrs of Data'!D78</f>
        <v>#DIV/0!</v>
      </c>
      <c r="Q86" s="2">
        <f t="shared" si="13"/>
        <v>126</v>
      </c>
      <c r="R86" s="35" t="e">
        <f>+Q86/'# Yrs of Data'!D78</f>
        <v>#DIV/0!</v>
      </c>
      <c r="S86" s="2">
        <f t="shared" si="14"/>
        <v>37</v>
      </c>
      <c r="T86" s="35" t="e">
        <f>+S86/'# Yrs of Data'!D78</f>
        <v>#DIV/0!</v>
      </c>
      <c r="U86" s="2">
        <f t="shared" si="15"/>
        <v>12</v>
      </c>
      <c r="V86" s="35" t="e">
        <f>+U86/'# Yrs of Data'!D78</f>
        <v>#DIV/0!</v>
      </c>
    </row>
    <row r="87" spans="1:22">
      <c r="A87" s="1"/>
      <c r="B87" s="453">
        <f t="shared" si="9"/>
        <v>2025</v>
      </c>
      <c r="C87" s="236">
        <f>(COUNTIF('Database - Whole Tornadoes'!$P$5:$P$2005, "2024EF0"))</f>
        <v>0</v>
      </c>
      <c r="D87" s="236">
        <f>(COUNTIF('Database - Whole Tornadoes'!$P$5:$P$2005, "2024EF1"))</f>
        <v>0</v>
      </c>
      <c r="E87" s="236">
        <f>(COUNTIF('Database - Whole Tornadoes'!$P$5:$P$2005, "2024EF2"))</f>
        <v>0</v>
      </c>
      <c r="F87" s="236">
        <f>(COUNTIF('Database - Whole Tornadoes'!$P$5:$P$2005, "2024EF3"))</f>
        <v>0</v>
      </c>
      <c r="G87" s="236">
        <f>(COUNTIF('Database - Whole Tornadoes'!$P$5:$P$2005, "2024EF4"))</f>
        <v>0</v>
      </c>
      <c r="H87" s="236">
        <f>(COUNTIF('Database - Whole Tornadoes'!$P$5:$P$2005, "2024EF5"))</f>
        <v>0</v>
      </c>
      <c r="I87" s="240">
        <f t="shared" ref="I87:I98" si="17">SUM(C87:H87)</f>
        <v>0</v>
      </c>
      <c r="J87" s="236">
        <f t="shared" ref="J87:J98" si="18">SUM(I78:I87)/10</f>
        <v>13.1</v>
      </c>
      <c r="K87" s="240">
        <f t="shared" ref="K87:K98" si="19">K86+I87</f>
        <v>1223</v>
      </c>
      <c r="L87" s="454" t="e">
        <f>K87/'# Yrs of Data'!D79</f>
        <v>#DIV/0!</v>
      </c>
      <c r="M87" s="2">
        <f t="shared" ref="M87:M98" si="20">+M86+C87</f>
        <v>797</v>
      </c>
      <c r="N87" s="35" t="e">
        <f>+M87/'# Yrs of Data'!D79</f>
        <v>#DIV/0!</v>
      </c>
      <c r="O87" s="2">
        <f t="shared" ref="O87:O98" si="21">+O86+D87</f>
        <v>251</v>
      </c>
      <c r="P87" s="35" t="e">
        <f>+O87/'# Yrs of Data'!D79</f>
        <v>#DIV/0!</v>
      </c>
      <c r="Q87" s="2">
        <f t="shared" ref="Q87:Q98" si="22">+Q86+E87</f>
        <v>126</v>
      </c>
      <c r="R87" s="35" t="e">
        <f>+Q87/'# Yrs of Data'!D79</f>
        <v>#DIV/0!</v>
      </c>
      <c r="S87" s="2">
        <f t="shared" ref="S87:S98" si="23">+S86+F87</f>
        <v>37</v>
      </c>
      <c r="T87" s="35" t="e">
        <f>+S87/'# Yrs of Data'!D79</f>
        <v>#DIV/0!</v>
      </c>
      <c r="U87" s="2">
        <f t="shared" ref="U87:U98" si="24">+U86+G87</f>
        <v>12</v>
      </c>
      <c r="V87" s="35" t="e">
        <f>+U87/'# Yrs of Data'!D79</f>
        <v>#DIV/0!</v>
      </c>
    </row>
    <row r="88" spans="1:22">
      <c r="A88" s="1"/>
      <c r="B88" s="453">
        <f t="shared" si="9"/>
        <v>2026</v>
      </c>
      <c r="C88" s="236">
        <f>(COUNTIF('Database - Whole Tornadoes'!$P$5:$P$2005, "2024EF0"))</f>
        <v>0</v>
      </c>
      <c r="D88" s="236">
        <f>(COUNTIF('Database - Whole Tornadoes'!$P$5:$P$2005, "2024EF1"))</f>
        <v>0</v>
      </c>
      <c r="E88" s="236">
        <f>(COUNTIF('Database - Whole Tornadoes'!$P$5:$P$2005, "2024EF2"))</f>
        <v>0</v>
      </c>
      <c r="F88" s="236">
        <f>(COUNTIF('Database - Whole Tornadoes'!$P$5:$P$2005, "2024EF3"))</f>
        <v>0</v>
      </c>
      <c r="G88" s="236">
        <f>(COUNTIF('Database - Whole Tornadoes'!$P$5:$P$2005, "2024EF4"))</f>
        <v>0</v>
      </c>
      <c r="H88" s="236">
        <f>(COUNTIF('Database - Whole Tornadoes'!$P$5:$P$2005, "2024EF5"))</f>
        <v>0</v>
      </c>
      <c r="I88" s="240">
        <f t="shared" si="17"/>
        <v>0</v>
      </c>
      <c r="J88" s="236">
        <f t="shared" si="18"/>
        <v>10.3</v>
      </c>
      <c r="K88" s="240">
        <f t="shared" si="19"/>
        <v>1223</v>
      </c>
      <c r="L88" s="454" t="e">
        <f>K88/'# Yrs of Data'!D80</f>
        <v>#DIV/0!</v>
      </c>
      <c r="M88" s="2">
        <f t="shared" si="20"/>
        <v>797</v>
      </c>
      <c r="N88" s="35" t="e">
        <f>+M88/'# Yrs of Data'!D80</f>
        <v>#DIV/0!</v>
      </c>
      <c r="O88" s="2">
        <f t="shared" si="21"/>
        <v>251</v>
      </c>
      <c r="P88" s="35" t="e">
        <f>+O88/'# Yrs of Data'!D80</f>
        <v>#DIV/0!</v>
      </c>
      <c r="Q88" s="2">
        <f t="shared" si="22"/>
        <v>126</v>
      </c>
      <c r="R88" s="35" t="e">
        <f>+Q88/'# Yrs of Data'!D80</f>
        <v>#DIV/0!</v>
      </c>
      <c r="S88" s="2">
        <f t="shared" si="23"/>
        <v>37</v>
      </c>
      <c r="T88" s="35" t="e">
        <f>+S88/'# Yrs of Data'!D80</f>
        <v>#DIV/0!</v>
      </c>
      <c r="U88" s="2">
        <f t="shared" si="24"/>
        <v>12</v>
      </c>
      <c r="V88" s="35" t="e">
        <f>+U88/'# Yrs of Data'!D80</f>
        <v>#DIV/0!</v>
      </c>
    </row>
    <row r="89" spans="1:22">
      <c r="A89" s="1"/>
      <c r="B89" s="453">
        <f t="shared" si="9"/>
        <v>2027</v>
      </c>
      <c r="C89" s="236">
        <f>(COUNTIF('Database - Whole Tornadoes'!$P$5:$P$2005, "2024EF0"))</f>
        <v>0</v>
      </c>
      <c r="D89" s="236">
        <f>(COUNTIF('Database - Whole Tornadoes'!$P$5:$P$2005, "2024EF1"))</f>
        <v>0</v>
      </c>
      <c r="E89" s="236">
        <f>(COUNTIF('Database - Whole Tornadoes'!$P$5:$P$2005, "2024EF2"))</f>
        <v>0</v>
      </c>
      <c r="F89" s="236">
        <f>(COUNTIF('Database - Whole Tornadoes'!$P$5:$P$2005, "2024EF3"))</f>
        <v>0</v>
      </c>
      <c r="G89" s="236">
        <f>(COUNTIF('Database - Whole Tornadoes'!$P$5:$P$2005, "2024EF4"))</f>
        <v>0</v>
      </c>
      <c r="H89" s="236">
        <f>(COUNTIF('Database - Whole Tornadoes'!$P$5:$P$2005, "2024EF5"))</f>
        <v>0</v>
      </c>
      <c r="I89" s="240">
        <f t="shared" si="17"/>
        <v>0</v>
      </c>
      <c r="J89" s="236">
        <f t="shared" si="18"/>
        <v>9</v>
      </c>
      <c r="K89" s="240">
        <f t="shared" si="19"/>
        <v>1223</v>
      </c>
      <c r="L89" s="454" t="e">
        <f>K89/'# Yrs of Data'!D81</f>
        <v>#DIV/0!</v>
      </c>
      <c r="M89" s="2">
        <f t="shared" si="20"/>
        <v>797</v>
      </c>
      <c r="N89" s="35" t="e">
        <f>+M89/'# Yrs of Data'!D81</f>
        <v>#DIV/0!</v>
      </c>
      <c r="O89" s="2">
        <f t="shared" si="21"/>
        <v>251</v>
      </c>
      <c r="P89" s="35" t="e">
        <f>+O89/'# Yrs of Data'!D81</f>
        <v>#DIV/0!</v>
      </c>
      <c r="Q89" s="2">
        <f t="shared" si="22"/>
        <v>126</v>
      </c>
      <c r="R89" s="35" t="e">
        <f>+Q89/'# Yrs of Data'!D81</f>
        <v>#DIV/0!</v>
      </c>
      <c r="S89" s="2">
        <f t="shared" si="23"/>
        <v>37</v>
      </c>
      <c r="T89" s="35" t="e">
        <f>+S89/'# Yrs of Data'!D81</f>
        <v>#DIV/0!</v>
      </c>
      <c r="U89" s="2">
        <f t="shared" si="24"/>
        <v>12</v>
      </c>
      <c r="V89" s="35" t="e">
        <f>+U89/'# Yrs of Data'!D81</f>
        <v>#DIV/0!</v>
      </c>
    </row>
    <row r="90" spans="1:22">
      <c r="A90" s="1"/>
      <c r="B90" s="453">
        <f t="shared" si="9"/>
        <v>2028</v>
      </c>
      <c r="C90" s="236">
        <f>(COUNTIF('Database - Whole Tornadoes'!$P$5:$P$2005, "2024EF0"))</f>
        <v>0</v>
      </c>
      <c r="D90" s="236">
        <f>(COUNTIF('Database - Whole Tornadoes'!$P$5:$P$2005, "2024EF1"))</f>
        <v>0</v>
      </c>
      <c r="E90" s="236">
        <f>(COUNTIF('Database - Whole Tornadoes'!$P$5:$P$2005, "2024EF2"))</f>
        <v>0</v>
      </c>
      <c r="F90" s="236">
        <f>(COUNTIF('Database - Whole Tornadoes'!$P$5:$P$2005, "2024EF3"))</f>
        <v>0</v>
      </c>
      <c r="G90" s="236">
        <f>(COUNTIF('Database - Whole Tornadoes'!$P$5:$P$2005, "2024EF4"))</f>
        <v>0</v>
      </c>
      <c r="H90" s="236">
        <f>(COUNTIF('Database - Whole Tornadoes'!$P$5:$P$2005, "2024EF5"))</f>
        <v>0</v>
      </c>
      <c r="I90" s="240">
        <f t="shared" si="17"/>
        <v>0</v>
      </c>
      <c r="J90" s="236">
        <f t="shared" si="18"/>
        <v>8</v>
      </c>
      <c r="K90" s="240">
        <f t="shared" si="19"/>
        <v>1223</v>
      </c>
      <c r="L90" s="454" t="e">
        <f>K90/'# Yrs of Data'!D82</f>
        <v>#DIV/0!</v>
      </c>
      <c r="M90" s="2">
        <f t="shared" si="20"/>
        <v>797</v>
      </c>
      <c r="N90" s="35" t="e">
        <f>+M90/'# Yrs of Data'!D82</f>
        <v>#DIV/0!</v>
      </c>
      <c r="O90" s="2">
        <f t="shared" si="21"/>
        <v>251</v>
      </c>
      <c r="P90" s="35" t="e">
        <f>+O90/'# Yrs of Data'!D82</f>
        <v>#DIV/0!</v>
      </c>
      <c r="Q90" s="2">
        <f t="shared" si="22"/>
        <v>126</v>
      </c>
      <c r="R90" s="35" t="e">
        <f>+Q90/'# Yrs of Data'!D82</f>
        <v>#DIV/0!</v>
      </c>
      <c r="S90" s="2">
        <f t="shared" si="23"/>
        <v>37</v>
      </c>
      <c r="T90" s="35" t="e">
        <f>+S90/'# Yrs of Data'!D82</f>
        <v>#DIV/0!</v>
      </c>
      <c r="U90" s="2">
        <f t="shared" si="24"/>
        <v>12</v>
      </c>
      <c r="V90" s="35" t="e">
        <f>+U90/'# Yrs of Data'!D82</f>
        <v>#DIV/0!</v>
      </c>
    </row>
    <row r="91" spans="1:22">
      <c r="A91" s="1"/>
      <c r="B91" s="453">
        <f t="shared" si="9"/>
        <v>2029</v>
      </c>
      <c r="C91" s="236">
        <f>(COUNTIF('Database - Whole Tornadoes'!$P$5:$P$2005, "2024EF0"))</f>
        <v>0</v>
      </c>
      <c r="D91" s="236">
        <f>(COUNTIF('Database - Whole Tornadoes'!$P$5:$P$2005, "2024EF1"))</f>
        <v>0</v>
      </c>
      <c r="E91" s="236">
        <f>(COUNTIF('Database - Whole Tornadoes'!$P$5:$P$2005, "2024EF2"))</f>
        <v>0</v>
      </c>
      <c r="F91" s="236">
        <f>(COUNTIF('Database - Whole Tornadoes'!$P$5:$P$2005, "2024EF3"))</f>
        <v>0</v>
      </c>
      <c r="G91" s="236">
        <f>(COUNTIF('Database - Whole Tornadoes'!$P$5:$P$2005, "2024EF4"))</f>
        <v>0</v>
      </c>
      <c r="H91" s="236">
        <f>(COUNTIF('Database - Whole Tornadoes'!$P$5:$P$2005, "2024EF5"))</f>
        <v>0</v>
      </c>
      <c r="I91" s="240">
        <f t="shared" si="17"/>
        <v>0</v>
      </c>
      <c r="J91" s="236">
        <f t="shared" si="18"/>
        <v>4.3</v>
      </c>
      <c r="K91" s="240">
        <f t="shared" si="19"/>
        <v>1223</v>
      </c>
      <c r="L91" s="454" t="e">
        <f>K91/'# Yrs of Data'!D83</f>
        <v>#DIV/0!</v>
      </c>
      <c r="M91" s="2">
        <f t="shared" si="20"/>
        <v>797</v>
      </c>
      <c r="N91" s="35" t="e">
        <f>+M91/'# Yrs of Data'!D83</f>
        <v>#DIV/0!</v>
      </c>
      <c r="O91" s="2">
        <f t="shared" si="21"/>
        <v>251</v>
      </c>
      <c r="P91" s="35" t="e">
        <f>+O91/'# Yrs of Data'!D83</f>
        <v>#DIV/0!</v>
      </c>
      <c r="Q91" s="2">
        <f t="shared" si="22"/>
        <v>126</v>
      </c>
      <c r="R91" s="35" t="e">
        <f>+Q91/'# Yrs of Data'!D83</f>
        <v>#DIV/0!</v>
      </c>
      <c r="S91" s="2">
        <f t="shared" si="23"/>
        <v>37</v>
      </c>
      <c r="T91" s="35" t="e">
        <f>+S91/'# Yrs of Data'!D83</f>
        <v>#DIV/0!</v>
      </c>
      <c r="U91" s="2">
        <f t="shared" si="24"/>
        <v>12</v>
      </c>
      <c r="V91" s="35" t="e">
        <f>+U91/'# Yrs of Data'!D83</f>
        <v>#DIV/0!</v>
      </c>
    </row>
    <row r="92" spans="1:22">
      <c r="A92" s="1"/>
      <c r="B92" s="453">
        <f t="shared" si="9"/>
        <v>2030</v>
      </c>
      <c r="C92" s="236">
        <f>(COUNTIF('Database - Whole Tornadoes'!$P$5:$P$2005, "2024EF0"))</f>
        <v>0</v>
      </c>
      <c r="D92" s="236">
        <f>(COUNTIF('Database - Whole Tornadoes'!$P$5:$P$2005, "2024EF1"))</f>
        <v>0</v>
      </c>
      <c r="E92" s="236">
        <f>(COUNTIF('Database - Whole Tornadoes'!$P$5:$P$2005, "2024EF2"))</f>
        <v>0</v>
      </c>
      <c r="F92" s="236">
        <f>(COUNTIF('Database - Whole Tornadoes'!$P$5:$P$2005, "2024EF3"))</f>
        <v>0</v>
      </c>
      <c r="G92" s="236">
        <f>(COUNTIF('Database - Whole Tornadoes'!$P$5:$P$2005, "2024EF4"))</f>
        <v>0</v>
      </c>
      <c r="H92" s="236">
        <f>(COUNTIF('Database - Whole Tornadoes'!$P$5:$P$2005, "2024EF5"))</f>
        <v>0</v>
      </c>
      <c r="I92" s="240">
        <f t="shared" si="17"/>
        <v>0</v>
      </c>
      <c r="J92" s="236">
        <f t="shared" si="18"/>
        <v>3.5</v>
      </c>
      <c r="K92" s="240">
        <f t="shared" si="19"/>
        <v>1223</v>
      </c>
      <c r="L92" s="454" t="e">
        <f>K92/'# Yrs of Data'!D84</f>
        <v>#DIV/0!</v>
      </c>
      <c r="M92" s="2">
        <f t="shared" si="20"/>
        <v>797</v>
      </c>
      <c r="N92" s="35" t="e">
        <f>+M92/'# Yrs of Data'!D84</f>
        <v>#DIV/0!</v>
      </c>
      <c r="O92" s="2">
        <f t="shared" si="21"/>
        <v>251</v>
      </c>
      <c r="P92" s="35" t="e">
        <f>+O92/'# Yrs of Data'!D84</f>
        <v>#DIV/0!</v>
      </c>
      <c r="Q92" s="2">
        <f t="shared" si="22"/>
        <v>126</v>
      </c>
      <c r="R92" s="35" t="e">
        <f>+Q92/'# Yrs of Data'!D84</f>
        <v>#DIV/0!</v>
      </c>
      <c r="S92" s="2">
        <f t="shared" si="23"/>
        <v>37</v>
      </c>
      <c r="T92" s="35" t="e">
        <f>+S92/'# Yrs of Data'!D84</f>
        <v>#DIV/0!</v>
      </c>
      <c r="U92" s="2">
        <f t="shared" si="24"/>
        <v>12</v>
      </c>
      <c r="V92" s="35" t="e">
        <f>+U92/'# Yrs of Data'!D84</f>
        <v>#DIV/0!</v>
      </c>
    </row>
    <row r="93" spans="1:22">
      <c r="A93" s="1"/>
      <c r="B93" s="453">
        <f t="shared" si="9"/>
        <v>2031</v>
      </c>
      <c r="C93" s="236">
        <f>(COUNTIF('Database - Whole Tornadoes'!$P$5:$P$2005, "2024EF0"))</f>
        <v>0</v>
      </c>
      <c r="D93" s="236">
        <f>(COUNTIF('Database - Whole Tornadoes'!$P$5:$P$2005, "2024EF1"))</f>
        <v>0</v>
      </c>
      <c r="E93" s="236">
        <f>(COUNTIF('Database - Whole Tornadoes'!$P$5:$P$2005, "2024EF2"))</f>
        <v>0</v>
      </c>
      <c r="F93" s="236">
        <f>(COUNTIF('Database - Whole Tornadoes'!$P$5:$P$2005, "2024EF3"))</f>
        <v>0</v>
      </c>
      <c r="G93" s="236">
        <f>(COUNTIF('Database - Whole Tornadoes'!$P$5:$P$2005, "2024EF4"))</f>
        <v>0</v>
      </c>
      <c r="H93" s="236">
        <f>(COUNTIF('Database - Whole Tornadoes'!$P$5:$P$2005, "2024EF5"))</f>
        <v>0</v>
      </c>
      <c r="I93" s="240">
        <f t="shared" si="17"/>
        <v>0</v>
      </c>
      <c r="J93" s="236">
        <f t="shared" si="18"/>
        <v>0.6</v>
      </c>
      <c r="K93" s="240">
        <f t="shared" si="19"/>
        <v>1223</v>
      </c>
      <c r="L93" s="454" t="e">
        <f>K93/'# Yrs of Data'!D85</f>
        <v>#DIV/0!</v>
      </c>
      <c r="M93" s="2">
        <f t="shared" si="20"/>
        <v>797</v>
      </c>
      <c r="N93" s="35" t="e">
        <f>+M93/'# Yrs of Data'!D85</f>
        <v>#DIV/0!</v>
      </c>
      <c r="O93" s="2">
        <f t="shared" si="21"/>
        <v>251</v>
      </c>
      <c r="P93" s="35" t="e">
        <f>+O93/'# Yrs of Data'!D85</f>
        <v>#DIV/0!</v>
      </c>
      <c r="Q93" s="2">
        <f t="shared" si="22"/>
        <v>126</v>
      </c>
      <c r="R93" s="35" t="e">
        <f>+Q93/'# Yrs of Data'!D85</f>
        <v>#DIV/0!</v>
      </c>
      <c r="S93" s="2">
        <f t="shared" si="23"/>
        <v>37</v>
      </c>
      <c r="T93" s="35" t="e">
        <f>+S93/'# Yrs of Data'!D85</f>
        <v>#DIV/0!</v>
      </c>
      <c r="U93" s="2">
        <f t="shared" si="24"/>
        <v>12</v>
      </c>
      <c r="V93" s="35" t="e">
        <f>+U93/'# Yrs of Data'!D85</f>
        <v>#DIV/0!</v>
      </c>
    </row>
    <row r="94" spans="1:22">
      <c r="A94" s="1"/>
      <c r="B94" s="453">
        <f t="shared" si="9"/>
        <v>2032</v>
      </c>
      <c r="C94" s="236">
        <f>(COUNTIF('Database - Whole Tornadoes'!$P$5:$P$2005, "2024EF0"))</f>
        <v>0</v>
      </c>
      <c r="D94" s="236">
        <f>(COUNTIF('Database - Whole Tornadoes'!$P$5:$P$2005, "2024EF1"))</f>
        <v>0</v>
      </c>
      <c r="E94" s="236">
        <f>(COUNTIF('Database - Whole Tornadoes'!$P$5:$P$2005, "2024EF2"))</f>
        <v>0</v>
      </c>
      <c r="F94" s="236">
        <f>(COUNTIF('Database - Whole Tornadoes'!$P$5:$P$2005, "2024EF3"))</f>
        <v>0</v>
      </c>
      <c r="G94" s="236">
        <f>(COUNTIF('Database - Whole Tornadoes'!$P$5:$P$2005, "2024EF4"))</f>
        <v>0</v>
      </c>
      <c r="H94" s="236">
        <f>(COUNTIF('Database - Whole Tornadoes'!$P$5:$P$2005, "2024EF5"))</f>
        <v>0</v>
      </c>
      <c r="I94" s="240">
        <f t="shared" si="17"/>
        <v>0</v>
      </c>
      <c r="J94" s="236">
        <f t="shared" si="18"/>
        <v>0</v>
      </c>
      <c r="K94" s="240">
        <f t="shared" si="19"/>
        <v>1223</v>
      </c>
      <c r="L94" s="454" t="e">
        <f>K94/'# Yrs of Data'!D86</f>
        <v>#DIV/0!</v>
      </c>
      <c r="M94" s="2">
        <f t="shared" si="20"/>
        <v>797</v>
      </c>
      <c r="N94" s="35" t="e">
        <f>+M94/'# Yrs of Data'!D86</f>
        <v>#DIV/0!</v>
      </c>
      <c r="O94" s="2">
        <f t="shared" si="21"/>
        <v>251</v>
      </c>
      <c r="P94" s="35" t="e">
        <f>+O94/'# Yrs of Data'!D86</f>
        <v>#DIV/0!</v>
      </c>
      <c r="Q94" s="2">
        <f t="shared" si="22"/>
        <v>126</v>
      </c>
      <c r="R94" s="35" t="e">
        <f>+Q94/'# Yrs of Data'!D86</f>
        <v>#DIV/0!</v>
      </c>
      <c r="S94" s="2">
        <f t="shared" si="23"/>
        <v>37</v>
      </c>
      <c r="T94" s="35" t="e">
        <f>+S94/'# Yrs of Data'!D86</f>
        <v>#DIV/0!</v>
      </c>
      <c r="U94" s="2">
        <f t="shared" si="24"/>
        <v>12</v>
      </c>
      <c r="V94" s="35" t="e">
        <f>+U94/'# Yrs of Data'!D86</f>
        <v>#DIV/0!</v>
      </c>
    </row>
    <row r="95" spans="1:22">
      <c r="A95" s="1"/>
      <c r="B95" s="453">
        <f t="shared" si="9"/>
        <v>2033</v>
      </c>
      <c r="C95" s="236">
        <f>(COUNTIF('Database - Whole Tornadoes'!$P$5:$P$2005, "2024EF0"))</f>
        <v>0</v>
      </c>
      <c r="D95" s="236">
        <f>(COUNTIF('Database - Whole Tornadoes'!$P$5:$P$2005, "2024EF1"))</f>
        <v>0</v>
      </c>
      <c r="E95" s="236">
        <f>(COUNTIF('Database - Whole Tornadoes'!$P$5:$P$2005, "2024EF2"))</f>
        <v>0</v>
      </c>
      <c r="F95" s="236">
        <f>(COUNTIF('Database - Whole Tornadoes'!$P$5:$P$2005, "2024EF3"))</f>
        <v>0</v>
      </c>
      <c r="G95" s="236">
        <f>(COUNTIF('Database - Whole Tornadoes'!$P$5:$P$2005, "2024EF4"))</f>
        <v>0</v>
      </c>
      <c r="H95" s="236">
        <f>(COUNTIF('Database - Whole Tornadoes'!$P$5:$P$2005, "2024EF5"))</f>
        <v>0</v>
      </c>
      <c r="I95" s="240">
        <f t="shared" si="17"/>
        <v>0</v>
      </c>
      <c r="J95" s="236">
        <f t="shared" si="18"/>
        <v>0</v>
      </c>
      <c r="K95" s="240">
        <f t="shared" si="19"/>
        <v>1223</v>
      </c>
      <c r="L95" s="454" t="e">
        <f>K95/'# Yrs of Data'!D87</f>
        <v>#DIV/0!</v>
      </c>
      <c r="M95" s="2">
        <f t="shared" si="20"/>
        <v>797</v>
      </c>
      <c r="N95" s="35" t="e">
        <f>+M95/'# Yrs of Data'!D87</f>
        <v>#DIV/0!</v>
      </c>
      <c r="O95" s="2">
        <f t="shared" si="21"/>
        <v>251</v>
      </c>
      <c r="P95" s="35" t="e">
        <f>+O95/'# Yrs of Data'!D87</f>
        <v>#DIV/0!</v>
      </c>
      <c r="Q95" s="2">
        <f t="shared" si="22"/>
        <v>126</v>
      </c>
      <c r="R95" s="35" t="e">
        <f>+Q95/'# Yrs of Data'!D87</f>
        <v>#DIV/0!</v>
      </c>
      <c r="S95" s="2">
        <f t="shared" si="23"/>
        <v>37</v>
      </c>
      <c r="T95" s="35" t="e">
        <f>+S95/'# Yrs of Data'!D87</f>
        <v>#DIV/0!</v>
      </c>
      <c r="U95" s="2">
        <f t="shared" si="24"/>
        <v>12</v>
      </c>
      <c r="V95" s="35" t="e">
        <f>+U95/'# Yrs of Data'!D87</f>
        <v>#DIV/0!</v>
      </c>
    </row>
    <row r="96" spans="1:22">
      <c r="A96" s="1"/>
      <c r="B96" s="453">
        <f t="shared" si="9"/>
        <v>2034</v>
      </c>
      <c r="C96" s="236">
        <f>(COUNTIF('Database - Whole Tornadoes'!$P$5:$P$2005, "2024EF0"))</f>
        <v>0</v>
      </c>
      <c r="D96" s="236">
        <f>(COUNTIF('Database - Whole Tornadoes'!$P$5:$P$2005, "2024EF1"))</f>
        <v>0</v>
      </c>
      <c r="E96" s="236">
        <f>(COUNTIF('Database - Whole Tornadoes'!$P$5:$P$2005, "2024EF2"))</f>
        <v>0</v>
      </c>
      <c r="F96" s="236">
        <f>(COUNTIF('Database - Whole Tornadoes'!$P$5:$P$2005, "2024EF3"))</f>
        <v>0</v>
      </c>
      <c r="G96" s="236">
        <f>(COUNTIF('Database - Whole Tornadoes'!$P$5:$P$2005, "2024EF4"))</f>
        <v>0</v>
      </c>
      <c r="H96" s="236">
        <f>(COUNTIF('Database - Whole Tornadoes'!$P$5:$P$2005, "2024EF5"))</f>
        <v>0</v>
      </c>
      <c r="I96" s="240">
        <f t="shared" si="17"/>
        <v>0</v>
      </c>
      <c r="J96" s="236">
        <f t="shared" si="18"/>
        <v>0</v>
      </c>
      <c r="K96" s="240">
        <f t="shared" si="19"/>
        <v>1223</v>
      </c>
      <c r="L96" s="454" t="e">
        <f>K96/'# Yrs of Data'!D88</f>
        <v>#DIV/0!</v>
      </c>
      <c r="M96" s="2">
        <f t="shared" si="20"/>
        <v>797</v>
      </c>
      <c r="N96" s="35" t="e">
        <f>+M96/'# Yrs of Data'!D88</f>
        <v>#DIV/0!</v>
      </c>
      <c r="O96" s="2">
        <f t="shared" si="21"/>
        <v>251</v>
      </c>
      <c r="P96" s="35" t="e">
        <f>+O96/'# Yrs of Data'!D88</f>
        <v>#DIV/0!</v>
      </c>
      <c r="Q96" s="2">
        <f t="shared" si="22"/>
        <v>126</v>
      </c>
      <c r="R96" s="35" t="e">
        <f>+Q96/'# Yrs of Data'!D88</f>
        <v>#DIV/0!</v>
      </c>
      <c r="S96" s="2">
        <f t="shared" si="23"/>
        <v>37</v>
      </c>
      <c r="T96" s="35" t="e">
        <f>+S96/'# Yrs of Data'!D88</f>
        <v>#DIV/0!</v>
      </c>
      <c r="U96" s="2">
        <f t="shared" si="24"/>
        <v>12</v>
      </c>
      <c r="V96" s="35" t="e">
        <f>+U96/'# Yrs of Data'!D88</f>
        <v>#DIV/0!</v>
      </c>
    </row>
    <row r="97" spans="1:23">
      <c r="A97" s="1"/>
      <c r="B97" s="453">
        <f t="shared" si="9"/>
        <v>2035</v>
      </c>
      <c r="C97" s="236">
        <f>(COUNTIF('Database - Whole Tornadoes'!$P$5:$P$2005, "2024EF0"))</f>
        <v>0</v>
      </c>
      <c r="D97" s="236">
        <f>(COUNTIF('Database - Whole Tornadoes'!$P$5:$P$2005, "2024EF1"))</f>
        <v>0</v>
      </c>
      <c r="E97" s="236">
        <f>(COUNTIF('Database - Whole Tornadoes'!$P$5:$P$2005, "2024EF2"))</f>
        <v>0</v>
      </c>
      <c r="F97" s="236">
        <f>(COUNTIF('Database - Whole Tornadoes'!$P$5:$P$2005, "2024EF3"))</f>
        <v>0</v>
      </c>
      <c r="G97" s="236">
        <f>(COUNTIF('Database - Whole Tornadoes'!$P$5:$P$2005, "2024EF4"))</f>
        <v>0</v>
      </c>
      <c r="H97" s="236">
        <f>(COUNTIF('Database - Whole Tornadoes'!$P$5:$P$2005, "2024EF5"))</f>
        <v>0</v>
      </c>
      <c r="I97" s="240">
        <f t="shared" si="17"/>
        <v>0</v>
      </c>
      <c r="J97" s="236">
        <f t="shared" si="18"/>
        <v>0</v>
      </c>
      <c r="K97" s="240">
        <f t="shared" si="19"/>
        <v>1223</v>
      </c>
      <c r="L97" s="454" t="e">
        <f>K97/'# Yrs of Data'!D89</f>
        <v>#DIV/0!</v>
      </c>
      <c r="M97" s="2">
        <f t="shared" si="20"/>
        <v>797</v>
      </c>
      <c r="N97" s="35" t="e">
        <f>+M97/'# Yrs of Data'!D89</f>
        <v>#DIV/0!</v>
      </c>
      <c r="O97" s="2">
        <f t="shared" si="21"/>
        <v>251</v>
      </c>
      <c r="P97" s="35" t="e">
        <f>+O97/'# Yrs of Data'!D89</f>
        <v>#DIV/0!</v>
      </c>
      <c r="Q97" s="2">
        <f t="shared" si="22"/>
        <v>126</v>
      </c>
      <c r="R97" s="35" t="e">
        <f>+Q97/'# Yrs of Data'!D89</f>
        <v>#DIV/0!</v>
      </c>
      <c r="S97" s="2">
        <f t="shared" si="23"/>
        <v>37</v>
      </c>
      <c r="T97" s="35" t="e">
        <f>+S97/'# Yrs of Data'!D89</f>
        <v>#DIV/0!</v>
      </c>
      <c r="U97" s="2">
        <f t="shared" si="24"/>
        <v>12</v>
      </c>
      <c r="V97" s="35" t="e">
        <f>+U97/'# Yrs of Data'!D89</f>
        <v>#DIV/0!</v>
      </c>
    </row>
    <row r="98" spans="1:23">
      <c r="A98" s="1"/>
      <c r="B98" s="453">
        <f t="shared" si="9"/>
        <v>2036</v>
      </c>
      <c r="C98" s="236">
        <f>(COUNTIF('Database - Whole Tornadoes'!$P$5:$P$2005, "2024EF0"))</f>
        <v>0</v>
      </c>
      <c r="D98" s="236">
        <f>(COUNTIF('Database - Whole Tornadoes'!$P$5:$P$2005, "2024EF1"))</f>
        <v>0</v>
      </c>
      <c r="E98" s="236">
        <f>(COUNTIF('Database - Whole Tornadoes'!$P$5:$P$2005, "2024EF2"))</f>
        <v>0</v>
      </c>
      <c r="F98" s="236">
        <f>(COUNTIF('Database - Whole Tornadoes'!$P$5:$P$2005, "2024EF3"))</f>
        <v>0</v>
      </c>
      <c r="G98" s="236">
        <f>(COUNTIF('Database - Whole Tornadoes'!$P$5:$P$2005, "2024EF4"))</f>
        <v>0</v>
      </c>
      <c r="H98" s="236">
        <f>(COUNTIF('Database - Whole Tornadoes'!$P$5:$P$2005, "2024EF5"))</f>
        <v>0</v>
      </c>
      <c r="I98" s="240">
        <f t="shared" si="17"/>
        <v>0</v>
      </c>
      <c r="J98" s="236">
        <f t="shared" si="18"/>
        <v>0</v>
      </c>
      <c r="K98" s="240">
        <f t="shared" si="19"/>
        <v>1223</v>
      </c>
      <c r="L98" s="454" t="e">
        <f>K98/'# Yrs of Data'!D90</f>
        <v>#DIV/0!</v>
      </c>
      <c r="M98" s="2">
        <f t="shared" si="20"/>
        <v>797</v>
      </c>
      <c r="N98" s="35" t="e">
        <f>+M98/'# Yrs of Data'!D90</f>
        <v>#DIV/0!</v>
      </c>
      <c r="O98" s="2">
        <f t="shared" si="21"/>
        <v>251</v>
      </c>
      <c r="P98" s="35" t="e">
        <f>+O98/'# Yrs of Data'!D90</f>
        <v>#DIV/0!</v>
      </c>
      <c r="Q98" s="2">
        <f t="shared" si="22"/>
        <v>126</v>
      </c>
      <c r="R98" s="35" t="e">
        <f>+Q98/'# Yrs of Data'!D90</f>
        <v>#DIV/0!</v>
      </c>
      <c r="S98" s="2">
        <f t="shared" si="23"/>
        <v>37</v>
      </c>
      <c r="T98" s="35" t="e">
        <f>+S98/'# Yrs of Data'!D90</f>
        <v>#DIV/0!</v>
      </c>
      <c r="U98" s="2">
        <f t="shared" si="24"/>
        <v>12</v>
      </c>
      <c r="V98" s="35" t="e">
        <f>+U98/'# Yrs of Data'!D90</f>
        <v>#DIV/0!</v>
      </c>
    </row>
    <row r="99" spans="1:23">
      <c r="A99" s="1"/>
      <c r="B99" s="453"/>
      <c r="C99" s="240"/>
      <c r="D99" s="240"/>
      <c r="E99" s="240"/>
      <c r="F99" s="240"/>
      <c r="G99" s="240"/>
      <c r="H99" s="240"/>
      <c r="I99" s="240"/>
      <c r="J99" s="241"/>
      <c r="K99" s="241"/>
      <c r="L99" s="455"/>
      <c r="M99" s="1"/>
      <c r="N99" s="1"/>
      <c r="O99" s="1"/>
      <c r="P99" s="1"/>
      <c r="Q99" s="1"/>
      <c r="R99" s="1"/>
      <c r="S99" s="1"/>
      <c r="T99" s="1"/>
      <c r="U99" s="1"/>
      <c r="V99" s="1"/>
      <c r="W99" s="1"/>
    </row>
    <row r="100" spans="1:23" ht="16.5" thickBot="1">
      <c r="A100" s="1"/>
      <c r="B100" s="456" t="s">
        <v>97</v>
      </c>
      <c r="C100" s="446">
        <f t="shared" ref="C100:I100" si="25">SUM(C12:C99)</f>
        <v>797</v>
      </c>
      <c r="D100" s="446">
        <f t="shared" si="25"/>
        <v>251</v>
      </c>
      <c r="E100" s="446">
        <f t="shared" si="25"/>
        <v>126</v>
      </c>
      <c r="F100" s="446">
        <f t="shared" si="25"/>
        <v>37</v>
      </c>
      <c r="G100" s="446">
        <f t="shared" si="25"/>
        <v>12</v>
      </c>
      <c r="H100" s="446">
        <f t="shared" si="25"/>
        <v>0</v>
      </c>
      <c r="I100" s="446">
        <f t="shared" si="25"/>
        <v>1223</v>
      </c>
      <c r="J100" s="2"/>
      <c r="K100" s="2"/>
      <c r="L100" s="457"/>
      <c r="M100" s="1"/>
      <c r="N100" s="1"/>
      <c r="O100" s="1"/>
      <c r="P100" s="1"/>
      <c r="Q100" s="1"/>
      <c r="R100" s="1"/>
      <c r="S100" s="1"/>
      <c r="T100" s="1"/>
      <c r="U100" s="1"/>
      <c r="V100" s="1"/>
      <c r="W100" s="1"/>
    </row>
    <row r="101" spans="1:23" ht="16.5" thickBot="1">
      <c r="A101" s="1"/>
      <c r="B101" s="458"/>
      <c r="C101" s="7"/>
      <c r="D101" s="7"/>
      <c r="E101" s="7"/>
      <c r="F101" s="7"/>
      <c r="G101" s="7"/>
      <c r="H101" s="7"/>
      <c r="I101" s="7"/>
      <c r="J101" s="2"/>
      <c r="K101" s="2"/>
      <c r="L101" s="457"/>
      <c r="M101" s="1"/>
      <c r="N101" s="1"/>
      <c r="O101" s="1"/>
      <c r="P101" s="1"/>
      <c r="Q101" s="1"/>
      <c r="R101" s="1"/>
      <c r="S101" s="1"/>
      <c r="T101" s="1"/>
      <c r="U101" s="1"/>
      <c r="V101" s="1"/>
      <c r="W101" s="1"/>
    </row>
    <row r="102" spans="1:23" ht="16.5" thickBot="1">
      <c r="A102" s="1"/>
      <c r="B102" s="459" t="s">
        <v>134</v>
      </c>
      <c r="C102" s="447">
        <f t="shared" ref="C102:H102" si="26">+C100/$D$5</f>
        <v>10.917808219178083</v>
      </c>
      <c r="D102" s="447">
        <f t="shared" si="26"/>
        <v>3.4383561643835616</v>
      </c>
      <c r="E102" s="447">
        <f t="shared" si="26"/>
        <v>1.726027397260274</v>
      </c>
      <c r="F102" s="447">
        <f t="shared" si="26"/>
        <v>0.50684931506849318</v>
      </c>
      <c r="G102" s="447">
        <f t="shared" si="26"/>
        <v>0.16438356164383561</v>
      </c>
      <c r="H102" s="447">
        <f t="shared" si="26"/>
        <v>0</v>
      </c>
      <c r="I102" s="447">
        <f>SUM(C102:H102)</f>
        <v>16.753424657534246</v>
      </c>
      <c r="J102" s="2"/>
      <c r="K102" s="2"/>
      <c r="L102" s="457"/>
      <c r="M102" s="1"/>
      <c r="N102" s="1"/>
      <c r="O102" s="1"/>
      <c r="P102" s="1"/>
      <c r="Q102" s="1"/>
      <c r="R102" s="1"/>
      <c r="S102" s="1"/>
      <c r="T102" s="1"/>
      <c r="U102" s="1"/>
      <c r="V102" s="1"/>
      <c r="W102" s="1"/>
    </row>
    <row r="103" spans="1:23" ht="16.5" thickBot="1">
      <c r="A103" s="1"/>
      <c r="B103" s="460"/>
      <c r="C103" s="1"/>
      <c r="D103" s="1"/>
      <c r="E103" s="1"/>
      <c r="F103" s="1"/>
      <c r="G103" s="1"/>
      <c r="H103" s="1"/>
      <c r="I103" s="1"/>
      <c r="J103" s="2"/>
      <c r="K103" s="2"/>
      <c r="L103" s="457"/>
      <c r="M103" s="1"/>
      <c r="N103" s="1"/>
      <c r="O103" s="1"/>
      <c r="P103" s="1"/>
      <c r="Q103" s="1"/>
      <c r="R103" s="1"/>
      <c r="S103" s="1"/>
      <c r="T103" s="1"/>
      <c r="U103" s="1"/>
      <c r="V103" s="1"/>
      <c r="W103" s="1"/>
    </row>
    <row r="104" spans="1:23" ht="15.75" thickTop="1">
      <c r="A104" s="1"/>
      <c r="B104" s="539"/>
      <c r="C104" s="540"/>
      <c r="D104" s="540"/>
      <c r="E104" s="540"/>
      <c r="F104" s="540"/>
      <c r="G104" s="540"/>
      <c r="H104" s="540"/>
      <c r="I104" s="540"/>
      <c r="J104" s="540"/>
      <c r="K104" s="540"/>
      <c r="L104" s="540"/>
      <c r="M104" s="1"/>
      <c r="N104" s="1"/>
      <c r="O104" s="1"/>
      <c r="P104" s="1"/>
      <c r="Q104" s="1"/>
      <c r="R104" s="1"/>
      <c r="S104" s="1"/>
      <c r="T104" s="1"/>
      <c r="U104" s="1"/>
      <c r="V104" s="1"/>
      <c r="W104" s="1"/>
    </row>
    <row r="105" spans="1:23">
      <c r="A105" s="1"/>
      <c r="B105" s="541"/>
      <c r="C105" s="1"/>
      <c r="D105" s="1"/>
      <c r="E105" s="1"/>
      <c r="F105" s="1"/>
      <c r="G105" s="1"/>
      <c r="H105" s="1"/>
      <c r="I105" s="1"/>
      <c r="J105" s="1"/>
      <c r="K105" s="1"/>
      <c r="L105" s="1"/>
      <c r="M105" s="1"/>
      <c r="N105" s="1"/>
      <c r="O105" s="1"/>
      <c r="P105" s="1"/>
      <c r="Q105" s="1"/>
      <c r="R105" s="1"/>
      <c r="S105" s="1"/>
      <c r="T105" s="1"/>
      <c r="U105" s="1"/>
      <c r="V105" s="1"/>
      <c r="W105" s="1"/>
    </row>
    <row r="106" spans="1:23">
      <c r="A106" s="28"/>
      <c r="B106" s="541"/>
      <c r="C106" s="28"/>
      <c r="D106" s="28"/>
      <c r="E106" s="28"/>
      <c r="F106" s="28"/>
      <c r="G106" s="28"/>
      <c r="H106" s="28"/>
      <c r="I106" s="28"/>
      <c r="J106" s="28"/>
      <c r="K106" s="28"/>
      <c r="L106" s="28"/>
      <c r="M106" s="28"/>
      <c r="N106" s="28"/>
      <c r="O106" s="28"/>
      <c r="P106" s="28"/>
      <c r="Q106" s="28"/>
      <c r="R106" s="28"/>
      <c r="S106" s="34"/>
      <c r="T106" s="34"/>
      <c r="U106" s="34"/>
      <c r="V106" s="34"/>
      <c r="W106" s="28"/>
    </row>
    <row r="107" spans="1:23">
      <c r="A107" s="28"/>
      <c r="B107" s="28"/>
      <c r="C107" s="28"/>
      <c r="D107" s="28"/>
      <c r="E107" s="28"/>
      <c r="F107" s="28"/>
      <c r="G107" s="28"/>
      <c r="H107" s="28"/>
      <c r="I107" s="28"/>
      <c r="J107" s="28"/>
      <c r="K107" s="28"/>
      <c r="L107" s="28"/>
      <c r="M107" s="28"/>
      <c r="N107" s="28"/>
      <c r="O107" s="28"/>
      <c r="P107" s="28"/>
      <c r="Q107" s="28"/>
      <c r="R107" s="28"/>
      <c r="S107" s="28"/>
      <c r="T107" s="28"/>
      <c r="U107" s="28"/>
      <c r="V107" s="28"/>
      <c r="W107" s="28"/>
    </row>
  </sheetData>
  <mergeCells count="4">
    <mergeCell ref="B1:L1"/>
    <mergeCell ref="B2:L2"/>
    <mergeCell ref="B8:B10"/>
    <mergeCell ref="C8:H9"/>
  </mergeCells>
  <printOptions horizontalCentered="1"/>
  <pageMargins left="0.7" right="0.7" top="1.25" bottom="0.5" header="0.3" footer="0"/>
  <pageSetup firstPageNumber="85" orientation="landscape" useFirstPageNumber="1" r:id="rId1"/>
  <headerFooter scaleWithDoc="0">
    <oddFooter>&amp;CPage &amp;P of 172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091"/>
  <sheetViews>
    <sheetView topLeftCell="A25" zoomScaleNormal="100" workbookViewId="0">
      <selection activeCell="M15" sqref="M15"/>
    </sheetView>
  </sheetViews>
  <sheetFormatPr defaultColWidth="0" defaultRowHeight="15" zeroHeight="1"/>
  <cols>
    <col min="1" max="1" width="12.109375" customWidth="1"/>
    <col min="2" max="10" width="8.88671875" customWidth="1"/>
    <col min="11" max="18" width="8.33203125" customWidth="1"/>
    <col min="19" max="19" width="8.77734375" customWidth="1"/>
    <col min="20" max="41" width="4.77734375" customWidth="1"/>
    <col min="42" max="42" width="9.44140625" customWidth="1"/>
    <col min="43" max="44" width="4.77734375" customWidth="1"/>
  </cols>
  <sheetData>
    <row r="1" spans="1:49" ht="23.25">
      <c r="A1" s="1066" t="s">
        <v>841</v>
      </c>
      <c r="B1" s="1067"/>
      <c r="C1" s="1067"/>
      <c r="D1" s="1067"/>
      <c r="E1" s="1067"/>
      <c r="F1" s="1067"/>
      <c r="G1" s="1067"/>
      <c r="H1" s="1067"/>
      <c r="I1" s="1067"/>
      <c r="J1" s="1067"/>
      <c r="K1" s="1067"/>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c r="AP1" s="418"/>
      <c r="AQ1" s="418"/>
    </row>
    <row r="2" spans="1:49" ht="15" customHeight="1">
      <c r="A2" s="649" t="s">
        <v>903</v>
      </c>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row>
    <row r="3" spans="1:49" s="543" customFormat="1" ht="15" customHeight="1">
      <c r="A3" s="650" t="s">
        <v>902</v>
      </c>
      <c r="C3" s="569"/>
      <c r="D3" s="569"/>
      <c r="E3" s="569"/>
      <c r="F3" s="569"/>
      <c r="G3" s="569"/>
      <c r="H3" s="569"/>
      <c r="I3" s="569"/>
      <c r="J3" s="569"/>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row>
    <row r="4" spans="1:49" ht="15.75">
      <c r="A4" s="651" t="s">
        <v>960</v>
      </c>
    </row>
    <row r="5" spans="1:49" ht="15" customHeight="1">
      <c r="A5" s="517"/>
      <c r="B5" s="430"/>
      <c r="C5" s="216"/>
      <c r="D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1"/>
      <c r="AS5" s="1"/>
      <c r="AT5" s="1"/>
      <c r="AU5" s="1"/>
      <c r="AV5" s="1"/>
      <c r="AW5" s="1"/>
    </row>
    <row r="6" spans="1:49" ht="23.25">
      <c r="A6" s="8" t="s">
        <v>842</v>
      </c>
      <c r="B6" s="1"/>
      <c r="C6" s="1"/>
      <c r="D6" s="1"/>
      <c r="E6" s="1"/>
      <c r="F6" s="1"/>
      <c r="G6" s="1"/>
      <c r="H6" s="1"/>
      <c r="I6" s="2"/>
      <c r="J6" s="2"/>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row>
    <row r="7" spans="1:49">
      <c r="A7" s="3"/>
      <c r="B7" s="1"/>
      <c r="C7" s="1"/>
      <c r="D7" s="1"/>
      <c r="E7" s="1"/>
      <c r="F7" s="1"/>
      <c r="G7" s="1"/>
      <c r="H7" s="1"/>
      <c r="I7" s="2"/>
      <c r="J7" s="2"/>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row>
    <row r="8" spans="1:49">
      <c r="A8" s="3"/>
      <c r="B8" s="1"/>
      <c r="C8" s="1"/>
      <c r="D8" s="1"/>
      <c r="E8" s="1"/>
      <c r="F8" s="1"/>
      <c r="G8" s="1"/>
      <c r="H8" s="1"/>
      <c r="I8" s="2"/>
      <c r="J8" s="2"/>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row>
    <row r="9" spans="1:49">
      <c r="A9" s="3"/>
      <c r="B9" s="1"/>
      <c r="C9" s="1"/>
      <c r="D9" s="1"/>
      <c r="E9" s="1"/>
      <c r="F9" s="1"/>
      <c r="G9" s="1"/>
      <c r="H9" s="1"/>
      <c r="I9" s="2"/>
      <c r="J9" s="2"/>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row>
    <row r="10" spans="1:49">
      <c r="A10" s="3"/>
      <c r="B10" s="1"/>
      <c r="C10" s="1"/>
      <c r="D10" s="1"/>
      <c r="E10" s="1"/>
      <c r="F10" s="1"/>
      <c r="G10" s="1"/>
      <c r="H10" s="1"/>
      <c r="I10" s="2"/>
      <c r="J10" s="2"/>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row>
    <row r="11" spans="1:49">
      <c r="A11" s="3"/>
      <c r="B11" s="1"/>
      <c r="C11" s="1"/>
      <c r="D11" s="1"/>
      <c r="E11" s="1"/>
      <c r="F11" s="1"/>
      <c r="G11" s="1"/>
      <c r="H11" s="1"/>
      <c r="I11" s="2"/>
      <c r="J11" s="2"/>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row>
    <row r="12" spans="1:49">
      <c r="A12" s="3"/>
      <c r="B12" s="1"/>
      <c r="C12" s="1"/>
      <c r="D12" s="1"/>
      <c r="E12" s="1"/>
      <c r="F12" s="1"/>
      <c r="G12" s="1"/>
      <c r="H12" s="1"/>
      <c r="I12" s="2"/>
      <c r="J12" s="2"/>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c r="A13" s="3"/>
      <c r="B13" s="1"/>
      <c r="C13" s="1"/>
      <c r="D13" s="1"/>
      <c r="E13" s="1"/>
      <c r="F13" s="1"/>
      <c r="G13" s="1"/>
      <c r="H13" s="1"/>
      <c r="I13" s="2"/>
      <c r="J13" s="2"/>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c r="A14" s="3"/>
      <c r="B14" s="1"/>
      <c r="C14" s="1"/>
      <c r="D14" s="1"/>
      <c r="E14" s="1"/>
      <c r="F14" s="1"/>
      <c r="G14" s="1"/>
      <c r="H14" s="1"/>
      <c r="I14" s="2"/>
      <c r="J14" s="2"/>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c r="A15" s="3"/>
      <c r="B15" s="1"/>
      <c r="C15" s="1"/>
      <c r="D15" s="1"/>
      <c r="E15" s="1"/>
      <c r="F15" s="1"/>
      <c r="G15" s="1"/>
      <c r="H15" s="1"/>
      <c r="I15" s="2"/>
      <c r="J15" s="2"/>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c r="A16" s="3"/>
      <c r="B16" s="1"/>
      <c r="C16" s="1"/>
      <c r="D16" s="1"/>
      <c r="E16" s="1"/>
      <c r="F16" s="1"/>
      <c r="G16" s="1"/>
      <c r="H16" s="1"/>
      <c r="I16" s="2"/>
      <c r="J16" s="2"/>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c r="A17" s="3"/>
      <c r="B17" s="1"/>
      <c r="C17" s="1"/>
      <c r="D17" s="1"/>
      <c r="E17" s="1"/>
      <c r="F17" s="1"/>
      <c r="G17" s="1"/>
      <c r="H17" s="1"/>
      <c r="I17" s="2"/>
      <c r="J17" s="2"/>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c r="A18" s="3"/>
      <c r="B18" s="1"/>
      <c r="C18" s="1"/>
      <c r="D18" s="1"/>
      <c r="E18" s="1"/>
      <c r="F18" s="1"/>
      <c r="G18" s="1"/>
      <c r="H18" s="1"/>
      <c r="I18" s="2"/>
      <c r="J18" s="2"/>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c r="A19" s="3"/>
      <c r="B19" s="1"/>
      <c r="C19" s="1"/>
      <c r="D19" s="1"/>
      <c r="E19" s="1"/>
      <c r="F19" s="1"/>
      <c r="G19" s="1"/>
      <c r="H19" s="1"/>
      <c r="I19" s="2"/>
      <c r="J19" s="2"/>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c r="A20" s="3"/>
      <c r="B20" s="1"/>
      <c r="C20" s="1"/>
      <c r="D20" s="1"/>
      <c r="E20" s="1"/>
      <c r="F20" s="1"/>
      <c r="G20" s="1"/>
      <c r="H20" s="1"/>
      <c r="I20" s="2"/>
      <c r="J20" s="2"/>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c r="A21" s="3"/>
      <c r="B21" s="1"/>
      <c r="C21" s="1"/>
      <c r="D21" s="1"/>
      <c r="E21" s="1"/>
      <c r="F21" s="1"/>
      <c r="G21" s="1"/>
      <c r="H21" s="1"/>
      <c r="I21" s="2"/>
      <c r="J21" s="2"/>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c r="A22" s="3"/>
      <c r="B22" s="1"/>
      <c r="C22" s="1"/>
      <c r="D22" s="1"/>
      <c r="E22" s="1"/>
      <c r="F22" s="1"/>
      <c r="G22" s="1"/>
      <c r="H22" s="1"/>
      <c r="I22" s="2"/>
      <c r="J22" s="2"/>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c r="A23" s="3"/>
      <c r="B23" s="1"/>
      <c r="C23" s="1"/>
      <c r="D23" s="1"/>
      <c r="E23" s="1"/>
      <c r="F23" s="1"/>
      <c r="G23" s="1"/>
      <c r="H23" s="1"/>
      <c r="I23" s="2"/>
      <c r="J23" s="2"/>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c r="A24" s="3"/>
      <c r="B24" s="1"/>
      <c r="C24" s="1"/>
      <c r="D24" s="1"/>
      <c r="E24" s="1"/>
      <c r="F24" s="1"/>
      <c r="G24" s="1"/>
      <c r="H24" s="1"/>
      <c r="I24" s="2"/>
      <c r="J24" s="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c r="A25" s="3"/>
      <c r="B25" s="1"/>
      <c r="C25" s="1"/>
      <c r="D25" s="1"/>
      <c r="E25" s="1"/>
      <c r="F25" s="1"/>
      <c r="G25" s="1"/>
      <c r="H25" s="1"/>
      <c r="I25" s="2"/>
      <c r="J25" s="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c r="A26" s="3"/>
      <c r="B26" s="1"/>
      <c r="C26" s="1"/>
      <c r="D26" s="1"/>
      <c r="E26" s="1"/>
      <c r="F26" s="1"/>
      <c r="G26" s="1"/>
      <c r="H26" s="1"/>
      <c r="I26" s="2"/>
      <c r="J26" s="2"/>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c r="A27" s="3"/>
      <c r="B27" s="1"/>
      <c r="C27" s="1"/>
      <c r="D27" s="1"/>
      <c r="E27" s="1"/>
      <c r="F27" s="1"/>
      <c r="G27" s="1"/>
      <c r="H27" s="1"/>
      <c r="I27" s="2"/>
      <c r="J27" s="2"/>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49">
      <c r="A28" s="3"/>
      <c r="B28" s="1"/>
      <c r="C28" s="1"/>
      <c r="D28" s="1"/>
      <c r="E28" s="1"/>
      <c r="F28" s="1"/>
      <c r="G28" s="1"/>
      <c r="H28" s="1"/>
      <c r="I28" s="2"/>
      <c r="J28" s="2"/>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row>
    <row r="29" spans="1:49">
      <c r="A29" s="3"/>
      <c r="B29" s="1"/>
      <c r="C29" s="1"/>
      <c r="D29" s="1"/>
      <c r="E29" s="1"/>
      <c r="F29" s="1"/>
      <c r="G29" s="1"/>
      <c r="H29" s="1"/>
      <c r="I29" s="2"/>
      <c r="J29" s="2"/>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row>
    <row r="30" spans="1:49">
      <c r="A30" s="3"/>
      <c r="B30" s="1"/>
      <c r="C30" s="1"/>
      <c r="D30" s="1"/>
      <c r="E30" s="1"/>
      <c r="F30" s="1"/>
      <c r="G30" s="1"/>
      <c r="H30" s="1"/>
      <c r="I30" s="2"/>
      <c r="J30" s="2"/>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row>
    <row r="31" spans="1:49">
      <c r="A31" s="3"/>
      <c r="B31" s="1"/>
      <c r="C31" s="1"/>
      <c r="D31" s="1"/>
      <c r="E31" s="1"/>
      <c r="F31" s="1"/>
      <c r="G31" s="1"/>
      <c r="H31" s="1"/>
      <c r="I31" s="2"/>
      <c r="J31" s="2"/>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row>
    <row r="32" spans="1:49">
      <c r="A32" s="3"/>
      <c r="B32" s="1"/>
      <c r="C32" s="1"/>
      <c r="D32" s="1"/>
      <c r="E32" s="1"/>
      <c r="F32" s="1"/>
      <c r="G32" s="1"/>
      <c r="H32" s="1"/>
      <c r="I32" s="2"/>
      <c r="J32" s="2"/>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c r="A33" s="3"/>
      <c r="B33" s="1"/>
      <c r="C33" s="1"/>
      <c r="D33" s="1"/>
      <c r="E33" s="1"/>
      <c r="F33" s="1"/>
      <c r="G33" s="1"/>
      <c r="H33" s="1"/>
      <c r="I33" s="2"/>
      <c r="J33" s="2"/>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49">
      <c r="A34" s="3"/>
      <c r="B34" s="1"/>
      <c r="C34" s="1"/>
      <c r="D34" s="1"/>
      <c r="E34" s="1"/>
      <c r="F34" s="1"/>
      <c r="G34" s="1"/>
      <c r="H34" s="1"/>
      <c r="I34" s="2"/>
      <c r="J34" s="2"/>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row>
    <row r="35" spans="1:49">
      <c r="A35" s="3"/>
      <c r="B35" s="1"/>
      <c r="C35" s="1"/>
      <c r="D35" s="1"/>
      <c r="E35" s="1"/>
      <c r="F35" s="1"/>
      <c r="G35" s="1"/>
      <c r="H35" s="1"/>
      <c r="I35" s="2"/>
      <c r="J35" s="2"/>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row>
    <row r="36" spans="1:49">
      <c r="A36" s="3"/>
      <c r="B36" s="1"/>
      <c r="C36" s="1"/>
      <c r="D36" s="1"/>
      <c r="E36" s="1"/>
      <c r="F36" s="1"/>
      <c r="G36" s="1"/>
      <c r="H36" s="1"/>
      <c r="I36" s="2"/>
      <c r="J36" s="2"/>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c r="A37" s="3"/>
      <c r="B37" s="1"/>
      <c r="C37" s="1"/>
      <c r="D37" s="1"/>
      <c r="E37" s="1"/>
      <c r="F37" s="1"/>
      <c r="G37" s="1"/>
      <c r="H37" s="1"/>
      <c r="I37" s="2"/>
      <c r="J37" s="2"/>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c r="A38" s="3"/>
      <c r="B38" s="1"/>
      <c r="C38" s="1"/>
      <c r="D38" s="1"/>
      <c r="E38" s="1"/>
      <c r="F38" s="1"/>
      <c r="G38" s="1"/>
      <c r="H38" s="1"/>
      <c r="I38" s="2"/>
      <c r="J38" s="2"/>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row>
    <row r="39" spans="1:49">
      <c r="A39" s="3"/>
      <c r="B39" s="1"/>
      <c r="C39" s="1"/>
      <c r="D39" s="1"/>
      <c r="E39" s="1"/>
      <c r="F39" s="1"/>
      <c r="G39" s="1"/>
      <c r="H39" s="1"/>
      <c r="I39" s="2"/>
      <c r="J39" s="2"/>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row>
    <row r="40" spans="1:49">
      <c r="A40" s="3"/>
      <c r="B40" s="1"/>
      <c r="C40" s="1"/>
      <c r="D40" s="1"/>
      <c r="E40" s="1"/>
      <c r="F40" s="1"/>
      <c r="G40" s="1"/>
      <c r="H40" s="1"/>
      <c r="I40" s="2"/>
      <c r="J40" s="2"/>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row>
    <row r="41" spans="1:49">
      <c r="A41" s="3"/>
      <c r="B41" s="1"/>
      <c r="C41" s="1"/>
      <c r="D41" s="1"/>
      <c r="E41" s="1"/>
      <c r="F41" s="1"/>
      <c r="G41" s="1"/>
      <c r="H41" s="1"/>
      <c r="I41" s="2"/>
      <c r="J41" s="2"/>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row>
    <row r="42" spans="1:49">
      <c r="A42" s="3"/>
      <c r="B42" s="1"/>
      <c r="C42" s="1"/>
      <c r="D42" s="1"/>
      <c r="E42" s="1"/>
      <c r="F42" s="1"/>
      <c r="G42" s="1"/>
      <c r="H42" s="1"/>
      <c r="I42" s="2"/>
      <c r="J42" s="2"/>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row>
    <row r="43" spans="1:49">
      <c r="A43" s="3"/>
      <c r="B43" s="1"/>
      <c r="C43" s="1"/>
      <c r="D43" s="1"/>
      <c r="E43" s="1"/>
      <c r="F43" s="1"/>
      <c r="G43" s="1"/>
      <c r="H43" s="1"/>
      <c r="I43" s="2"/>
      <c r="J43" s="2"/>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c r="A44" s="3"/>
      <c r="B44" s="1"/>
      <c r="C44" s="1"/>
      <c r="D44" s="1"/>
      <c r="E44" s="1"/>
      <c r="F44" s="1"/>
      <c r="G44" s="1"/>
      <c r="H44" s="1"/>
      <c r="I44" s="2"/>
      <c r="J44" s="2"/>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c r="A45" s="3"/>
      <c r="B45" s="1"/>
      <c r="C45" s="1"/>
      <c r="D45" s="1"/>
      <c r="E45" s="1"/>
      <c r="F45" s="1"/>
      <c r="G45" s="1"/>
      <c r="H45" s="1"/>
      <c r="I45" s="2"/>
      <c r="J45" s="2"/>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c r="A46" s="3"/>
      <c r="B46" s="1"/>
      <c r="C46" s="1"/>
      <c r="D46" s="1"/>
      <c r="E46" s="1"/>
      <c r="F46" s="1"/>
      <c r="G46" s="1"/>
      <c r="H46" s="1"/>
      <c r="I46" s="2"/>
      <c r="J46" s="2"/>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c r="A47" s="3"/>
      <c r="B47" s="1"/>
      <c r="C47" s="1"/>
      <c r="D47" s="1"/>
      <c r="E47" s="1"/>
      <c r="F47" s="1"/>
      <c r="G47" s="1"/>
      <c r="H47" s="1"/>
      <c r="I47" s="2"/>
      <c r="J47" s="2"/>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c r="A48" s="3"/>
      <c r="B48" s="1"/>
      <c r="C48" s="1"/>
      <c r="D48" s="1"/>
      <c r="E48" s="1"/>
      <c r="F48" s="1"/>
      <c r="G48" s="1"/>
      <c r="H48" s="1"/>
      <c r="I48" s="2"/>
      <c r="J48" s="2"/>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c r="A49" s="3"/>
      <c r="B49" s="1"/>
      <c r="C49" s="1"/>
      <c r="D49" s="1"/>
      <c r="E49" s="1"/>
      <c r="F49" s="1"/>
      <c r="G49" s="1"/>
      <c r="H49" s="1"/>
      <c r="I49" s="2"/>
      <c r="J49" s="2"/>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c r="A50" s="3"/>
      <c r="B50" s="1"/>
      <c r="C50" s="1"/>
      <c r="D50" s="1"/>
      <c r="E50" s="1"/>
      <c r="F50" s="1"/>
      <c r="G50" s="1"/>
      <c r="H50" s="1"/>
      <c r="I50" s="2"/>
      <c r="J50" s="2"/>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c r="A51" s="3"/>
      <c r="B51" s="1"/>
      <c r="C51" s="1"/>
      <c r="D51" s="1"/>
      <c r="E51" s="1"/>
      <c r="F51" s="1"/>
      <c r="G51" s="1"/>
      <c r="H51" s="1"/>
      <c r="I51" s="2"/>
      <c r="J51" s="2"/>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c r="A52" s="3"/>
      <c r="B52" s="1"/>
      <c r="C52" s="1"/>
      <c r="D52" s="1"/>
      <c r="E52" s="1"/>
      <c r="F52" s="1"/>
      <c r="G52" s="1"/>
      <c r="H52" s="1"/>
      <c r="I52" s="2"/>
      <c r="J52" s="2"/>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c r="A53" s="3"/>
      <c r="B53" s="1"/>
      <c r="C53" s="1"/>
      <c r="D53" s="1"/>
      <c r="E53" s="1"/>
      <c r="F53" s="1"/>
      <c r="G53" s="1"/>
      <c r="H53" s="1"/>
      <c r="I53" s="2"/>
      <c r="J53" s="2"/>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c r="A54" s="3"/>
      <c r="B54" s="1"/>
      <c r="C54" s="1"/>
      <c r="D54" s="1"/>
      <c r="E54" s="1"/>
      <c r="F54" s="1"/>
      <c r="G54" s="1"/>
      <c r="H54" s="1"/>
      <c r="I54" s="2"/>
      <c r="J54" s="2"/>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c r="A55" s="3"/>
      <c r="B55" s="1"/>
      <c r="C55" s="1"/>
      <c r="D55" s="1"/>
      <c r="E55" s="1"/>
      <c r="F55" s="1"/>
      <c r="G55" s="1"/>
      <c r="H55" s="1"/>
      <c r="I55" s="2"/>
      <c r="J55" s="2"/>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c r="A56" s="3"/>
      <c r="B56" s="1"/>
      <c r="C56" s="1"/>
      <c r="D56" s="1"/>
      <c r="E56" s="1"/>
      <c r="F56" s="1"/>
      <c r="G56" s="1"/>
      <c r="H56" s="1"/>
      <c r="I56" s="2"/>
      <c r="J56" s="2"/>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c r="A57" s="3"/>
      <c r="B57" s="1"/>
      <c r="C57" s="1"/>
      <c r="D57" s="1"/>
      <c r="E57" s="1"/>
      <c r="F57" s="1"/>
      <c r="G57" s="1"/>
      <c r="H57" s="1"/>
      <c r="I57" s="2"/>
      <c r="J57" s="2"/>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c r="A58" s="3"/>
      <c r="B58" s="1"/>
      <c r="C58" s="1"/>
      <c r="D58" s="1"/>
      <c r="E58" s="1"/>
      <c r="F58" s="1"/>
      <c r="G58" s="1"/>
      <c r="H58" s="1"/>
      <c r="I58" s="2"/>
      <c r="J58" s="2"/>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c r="A59" s="3"/>
      <c r="B59" s="1"/>
      <c r="C59" s="1"/>
      <c r="D59" s="1"/>
      <c r="E59" s="1"/>
      <c r="F59" s="1"/>
      <c r="G59" s="1"/>
      <c r="H59" s="1"/>
      <c r="I59" s="2"/>
      <c r="J59" s="2"/>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c r="A60" s="3"/>
      <c r="B60" s="1"/>
      <c r="C60" s="1"/>
      <c r="D60" s="1"/>
      <c r="E60" s="1"/>
      <c r="F60" s="1"/>
      <c r="G60" s="1"/>
      <c r="H60" s="1"/>
      <c r="I60" s="2"/>
      <c r="J60" s="2"/>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c r="A61" s="3"/>
      <c r="B61" s="1"/>
      <c r="C61" s="1"/>
      <c r="D61" s="1"/>
      <c r="E61" s="1"/>
      <c r="F61" s="1"/>
      <c r="G61" s="1"/>
      <c r="H61" s="1"/>
      <c r="I61" s="2"/>
      <c r="J61" s="2"/>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c r="A62" s="3"/>
      <c r="B62" s="1"/>
      <c r="C62" s="1"/>
      <c r="D62" s="1"/>
      <c r="E62" s="1"/>
      <c r="F62" s="1"/>
      <c r="G62" s="1"/>
      <c r="H62" s="1"/>
      <c r="I62" s="2"/>
      <c r="J62" s="2"/>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c r="A63" s="3"/>
      <c r="B63" s="1"/>
      <c r="C63" s="1"/>
      <c r="D63" s="1"/>
      <c r="E63" s="1"/>
      <c r="F63" s="1"/>
      <c r="G63" s="1"/>
      <c r="H63" s="1"/>
      <c r="I63" s="2"/>
      <c r="J63" s="2"/>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c r="A64" s="3"/>
      <c r="B64" s="1"/>
      <c r="C64" s="1"/>
      <c r="D64" s="1"/>
      <c r="E64" s="1"/>
      <c r="F64" s="1"/>
      <c r="G64" s="1"/>
      <c r="H64" s="1"/>
      <c r="I64" s="2"/>
      <c r="J64" s="2"/>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c r="A65" s="3"/>
      <c r="B65" s="1"/>
      <c r="C65" s="1"/>
      <c r="D65" s="1"/>
      <c r="E65" s="1"/>
      <c r="F65" s="1"/>
      <c r="G65" s="1"/>
      <c r="H65" s="1"/>
      <c r="I65" s="2"/>
      <c r="J65" s="2"/>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c r="A66" s="3"/>
      <c r="B66" s="1"/>
      <c r="C66" s="1"/>
      <c r="D66" s="1"/>
      <c r="E66" s="1"/>
      <c r="F66" s="1"/>
      <c r="G66" s="1"/>
      <c r="H66" s="1"/>
      <c r="I66" s="2"/>
      <c r="J66" s="2"/>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c r="A67" s="3"/>
      <c r="B67" s="1"/>
      <c r="C67" s="1"/>
      <c r="D67" s="1"/>
      <c r="E67" s="1"/>
      <c r="F67" s="1"/>
      <c r="G67" s="1"/>
      <c r="H67" s="1"/>
      <c r="I67" s="2"/>
      <c r="J67" s="2"/>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c r="A68" s="3"/>
      <c r="B68" s="1"/>
      <c r="C68" s="1"/>
      <c r="D68" s="1"/>
      <c r="E68" s="1"/>
      <c r="F68" s="1"/>
      <c r="G68" s="1"/>
      <c r="H68" s="1"/>
      <c r="I68" s="2"/>
      <c r="J68" s="2"/>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c r="A69" s="3"/>
      <c r="B69" s="1"/>
      <c r="C69" s="1"/>
      <c r="D69" s="1"/>
      <c r="E69" s="1"/>
      <c r="F69" s="1"/>
      <c r="G69" s="1"/>
      <c r="H69" s="1"/>
      <c r="I69" s="2"/>
      <c r="J69" s="2"/>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c r="A70" s="3"/>
      <c r="B70" s="1"/>
      <c r="C70" s="1"/>
      <c r="D70" s="1"/>
      <c r="E70" s="1"/>
      <c r="F70" s="1"/>
      <c r="G70" s="1"/>
      <c r="H70" s="1"/>
      <c r="I70" s="2"/>
      <c r="J70" s="2"/>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c r="A71" s="3"/>
      <c r="B71" s="1"/>
      <c r="C71" s="1"/>
      <c r="D71" s="1"/>
      <c r="E71" s="1"/>
      <c r="F71" s="1"/>
      <c r="G71" s="1"/>
      <c r="H71" s="1"/>
      <c r="I71" s="2"/>
      <c r="J71" s="2"/>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c r="A72" s="3"/>
      <c r="B72" s="1"/>
      <c r="C72" s="1"/>
      <c r="D72" s="1"/>
      <c r="E72" s="1"/>
      <c r="F72" s="1"/>
      <c r="G72" s="1"/>
      <c r="H72" s="1"/>
      <c r="I72" s="2"/>
      <c r="J72" s="2"/>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c r="A73" s="3"/>
      <c r="B73" s="1"/>
      <c r="C73" s="1"/>
      <c r="D73" s="1"/>
      <c r="E73" s="1"/>
      <c r="F73" s="1"/>
      <c r="G73" s="1"/>
      <c r="H73" s="1"/>
      <c r="I73" s="2"/>
      <c r="J73" s="2"/>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c r="A74" s="3"/>
      <c r="B74" s="1"/>
      <c r="C74" s="1"/>
      <c r="D74" s="1"/>
      <c r="E74" s="1"/>
      <c r="F74" s="1"/>
      <c r="G74" s="1"/>
      <c r="H74" s="1"/>
      <c r="I74" s="2"/>
      <c r="J74" s="2"/>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c r="A75" s="3"/>
      <c r="B75" s="1"/>
      <c r="C75" s="1"/>
      <c r="D75" s="1"/>
      <c r="E75" s="1"/>
      <c r="F75" s="1"/>
      <c r="G75" s="1"/>
      <c r="H75" s="1"/>
      <c r="I75" s="2"/>
      <c r="J75" s="2"/>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c r="A76" s="3"/>
      <c r="B76" s="1"/>
      <c r="C76" s="1"/>
      <c r="D76" s="1"/>
      <c r="E76" s="1"/>
      <c r="F76" s="1"/>
      <c r="G76" s="1"/>
      <c r="H76" s="1"/>
      <c r="I76" s="2"/>
      <c r="J76" s="2"/>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c r="A77" s="3"/>
      <c r="B77" s="1"/>
      <c r="C77" s="1"/>
      <c r="D77" s="1"/>
      <c r="E77" s="1"/>
      <c r="F77" s="1"/>
      <c r="G77" s="1"/>
      <c r="H77" s="1"/>
      <c r="I77" s="2"/>
      <c r="J77" s="2"/>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c r="A78" s="3"/>
      <c r="B78" s="1"/>
      <c r="C78" s="1"/>
      <c r="D78" s="1"/>
      <c r="E78" s="1"/>
      <c r="F78" s="1"/>
      <c r="G78" s="1"/>
      <c r="H78" s="1"/>
      <c r="I78" s="2"/>
      <c r="J78" s="2"/>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c r="A79" s="3"/>
      <c r="B79" s="1"/>
      <c r="C79" s="1"/>
      <c r="D79" s="1"/>
      <c r="E79" s="1"/>
      <c r="F79" s="1"/>
      <c r="G79" s="1"/>
      <c r="H79" s="1"/>
      <c r="I79" s="2"/>
      <c r="J79" s="2"/>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c r="A80" s="3"/>
      <c r="B80" s="1"/>
      <c r="C80" s="1"/>
      <c r="D80" s="1"/>
      <c r="E80" s="1"/>
      <c r="F80" s="1"/>
      <c r="G80" s="1"/>
      <c r="H80" s="1"/>
      <c r="I80" s="2"/>
      <c r="J80" s="2"/>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c r="A81" s="3"/>
      <c r="B81" s="1"/>
      <c r="C81" s="1"/>
      <c r="D81" s="1"/>
      <c r="E81" s="1"/>
      <c r="F81" s="1"/>
      <c r="G81" s="1"/>
      <c r="H81" s="1"/>
      <c r="I81" s="2"/>
      <c r="J81" s="2"/>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c r="A82" s="3"/>
      <c r="B82" s="1"/>
      <c r="C82" s="1"/>
      <c r="D82" s="1"/>
      <c r="E82" s="1"/>
      <c r="F82" s="1"/>
      <c r="G82" s="1"/>
      <c r="H82" s="1"/>
      <c r="I82" s="2"/>
      <c r="J82" s="2"/>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c r="A83" s="3"/>
      <c r="B83" s="1"/>
      <c r="C83" s="1"/>
      <c r="D83" s="1"/>
      <c r="E83" s="1"/>
      <c r="F83" s="1"/>
      <c r="G83" s="1"/>
      <c r="H83" s="1"/>
      <c r="I83" s="2"/>
      <c r="J83" s="2"/>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c r="A84" s="3"/>
      <c r="B84" s="1"/>
      <c r="C84" s="1"/>
      <c r="D84" s="1"/>
      <c r="E84" s="1"/>
      <c r="F84" s="1"/>
      <c r="G84" s="1"/>
      <c r="H84" s="1"/>
      <c r="I84" s="2"/>
      <c r="J84" s="2"/>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c r="A85" s="3"/>
      <c r="B85" s="1"/>
      <c r="C85" s="1"/>
      <c r="D85" s="1"/>
      <c r="E85" s="1"/>
      <c r="F85" s="1"/>
      <c r="G85" s="1"/>
      <c r="H85" s="1"/>
      <c r="I85" s="2"/>
      <c r="J85" s="2"/>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c r="A86" s="3"/>
      <c r="B86" s="1"/>
      <c r="C86" s="1"/>
      <c r="D86" s="1"/>
      <c r="E86" s="1"/>
      <c r="F86" s="1"/>
      <c r="G86" s="1"/>
      <c r="H86" s="1"/>
      <c r="I86" s="2"/>
      <c r="J86" s="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c r="A87" s="3"/>
      <c r="B87" s="1"/>
      <c r="C87" s="1"/>
      <c r="D87" s="1"/>
      <c r="E87" s="1"/>
      <c r="F87" s="1"/>
      <c r="G87" s="1"/>
      <c r="H87" s="1"/>
      <c r="I87" s="2"/>
      <c r="J87" s="2"/>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c r="A88" s="3"/>
      <c r="B88" s="1"/>
      <c r="C88" s="1"/>
      <c r="D88" s="1"/>
      <c r="E88" s="1"/>
      <c r="F88" s="1"/>
      <c r="G88" s="1"/>
      <c r="H88" s="1"/>
      <c r="I88" s="2"/>
      <c r="J88" s="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c r="A89" s="3"/>
      <c r="B89" s="1"/>
      <c r="C89" s="1"/>
      <c r="D89" s="1"/>
      <c r="E89" s="1"/>
      <c r="F89" s="1"/>
      <c r="G89" s="1"/>
      <c r="H89" s="1"/>
      <c r="I89" s="2"/>
      <c r="J89" s="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c r="A90" s="3"/>
      <c r="B90" s="1"/>
      <c r="C90" s="1"/>
      <c r="D90" s="1"/>
      <c r="E90" s="1"/>
      <c r="F90" s="1"/>
      <c r="G90" s="1"/>
      <c r="H90" s="1"/>
      <c r="I90" s="2"/>
      <c r="J90" s="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c r="A91" s="3"/>
      <c r="B91" s="1"/>
      <c r="C91" s="1"/>
      <c r="D91" s="1"/>
      <c r="E91" s="1"/>
      <c r="F91" s="1"/>
      <c r="G91" s="1"/>
      <c r="H91" s="1"/>
      <c r="I91" s="2"/>
      <c r="J91" s="2"/>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c r="A92" s="3"/>
      <c r="B92" s="1"/>
      <c r="C92" s="1"/>
      <c r="D92" s="1"/>
      <c r="E92" s="1"/>
      <c r="F92" s="1"/>
      <c r="G92" s="1"/>
      <c r="H92" s="1"/>
      <c r="I92" s="2"/>
      <c r="J92" s="2"/>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c r="A93" s="3"/>
      <c r="B93" s="1"/>
      <c r="C93" s="1"/>
      <c r="D93" s="1"/>
      <c r="E93" s="1"/>
      <c r="F93" s="1"/>
      <c r="G93" s="1"/>
      <c r="H93" s="1"/>
      <c r="I93" s="2"/>
      <c r="J93" s="2"/>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c r="A94" s="3"/>
      <c r="B94" s="1"/>
      <c r="C94" s="1"/>
      <c r="D94" s="1"/>
      <c r="E94" s="1"/>
      <c r="F94" s="1"/>
      <c r="G94" s="1"/>
      <c r="H94" s="1"/>
      <c r="I94" s="2"/>
      <c r="J94" s="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c r="A95" s="3"/>
      <c r="B95" s="1"/>
      <c r="C95" s="1"/>
      <c r="D95" s="1"/>
      <c r="E95" s="1"/>
      <c r="F95" s="1"/>
      <c r="G95" s="1"/>
      <c r="H95" s="1"/>
      <c r="I95" s="2"/>
      <c r="J95" s="2"/>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c r="A96" s="3"/>
      <c r="B96" s="1"/>
      <c r="C96" s="1"/>
      <c r="D96" s="1"/>
      <c r="E96" s="1"/>
      <c r="F96" s="1"/>
      <c r="G96" s="1"/>
      <c r="H96" s="1"/>
      <c r="I96" s="2"/>
      <c r="J96" s="2"/>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c r="A97" s="3"/>
      <c r="B97" s="1"/>
      <c r="C97" s="1"/>
      <c r="D97" s="1"/>
      <c r="E97" s="1"/>
      <c r="F97" s="1"/>
      <c r="G97" s="1"/>
      <c r="H97" s="1"/>
      <c r="I97" s="2"/>
      <c r="J97" s="2"/>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c r="A98" s="3"/>
      <c r="B98" s="1"/>
      <c r="C98" s="1"/>
      <c r="D98" s="1"/>
      <c r="E98" s="1"/>
      <c r="F98" s="1"/>
      <c r="G98" s="1"/>
      <c r="H98" s="1"/>
      <c r="I98" s="2"/>
      <c r="J98" s="2"/>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c r="A99" s="3"/>
      <c r="B99" s="1"/>
      <c r="C99" s="1"/>
      <c r="D99" s="1"/>
      <c r="E99" s="1"/>
      <c r="F99" s="1"/>
      <c r="G99" s="1"/>
      <c r="H99" s="1"/>
      <c r="I99" s="2"/>
      <c r="J99" s="2"/>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c r="A100" s="3"/>
      <c r="B100" s="1"/>
      <c r="C100" s="1"/>
      <c r="D100" s="1"/>
      <c r="E100" s="1"/>
      <c r="F100" s="1"/>
      <c r="G100" s="1"/>
      <c r="H100" s="1"/>
      <c r="I100" s="2"/>
      <c r="J100" s="2"/>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c r="A101" s="3"/>
      <c r="B101" s="1"/>
      <c r="C101" s="1"/>
      <c r="D101" s="1"/>
      <c r="E101" s="1"/>
      <c r="F101" s="1"/>
      <c r="G101" s="1"/>
      <c r="H101" s="1"/>
      <c r="I101" s="2"/>
      <c r="J101" s="2"/>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c r="A102" s="3"/>
      <c r="B102" s="1"/>
      <c r="C102" s="1"/>
      <c r="D102" s="1"/>
      <c r="E102" s="1"/>
      <c r="F102" s="1"/>
      <c r="G102" s="1"/>
      <c r="H102" s="1"/>
      <c r="I102" s="2"/>
      <c r="J102" s="2"/>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c r="A103" s="3"/>
      <c r="B103" s="1"/>
      <c r="C103" s="1"/>
      <c r="D103" s="1"/>
      <c r="E103" s="1"/>
      <c r="F103" s="1"/>
      <c r="G103" s="1"/>
      <c r="H103" s="1"/>
      <c r="I103" s="2"/>
      <c r="J103" s="2"/>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c r="A104" s="3"/>
      <c r="B104" s="1"/>
      <c r="C104" s="1"/>
      <c r="D104" s="1"/>
      <c r="E104" s="1"/>
      <c r="F104" s="1"/>
      <c r="G104" s="1"/>
      <c r="H104" s="1"/>
      <c r="I104" s="2"/>
      <c r="J104" s="2"/>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c r="A105" s="3"/>
      <c r="B105" s="1"/>
      <c r="C105" s="1"/>
      <c r="D105" s="1"/>
      <c r="E105" s="1"/>
      <c r="F105" s="1"/>
      <c r="G105" s="1"/>
      <c r="H105" s="1"/>
      <c r="I105" s="2"/>
      <c r="J105" s="2"/>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c r="A106" s="3"/>
      <c r="B106" s="1"/>
      <c r="C106" s="1"/>
      <c r="D106" s="1"/>
      <c r="E106" s="1"/>
      <c r="F106" s="1"/>
      <c r="G106" s="1"/>
      <c r="H106" s="1"/>
      <c r="I106" s="2"/>
      <c r="J106" s="2"/>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c r="A107" s="3"/>
      <c r="B107" s="1"/>
      <c r="C107" s="1"/>
      <c r="D107" s="1"/>
      <c r="E107" s="1"/>
      <c r="F107" s="1"/>
      <c r="G107" s="1"/>
      <c r="H107" s="1"/>
      <c r="I107" s="2"/>
      <c r="J107" s="2"/>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c r="A108" s="3"/>
      <c r="B108" s="1"/>
      <c r="C108" s="1"/>
      <c r="D108" s="1"/>
      <c r="E108" s="1"/>
      <c r="F108" s="1"/>
      <c r="G108" s="1"/>
      <c r="H108" s="1"/>
      <c r="I108" s="2"/>
      <c r="J108" s="2"/>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c r="A109" s="3"/>
      <c r="B109" s="1"/>
      <c r="C109" s="1"/>
      <c r="D109" s="1"/>
      <c r="E109" s="1"/>
      <c r="F109" s="1"/>
      <c r="G109" s="1"/>
      <c r="H109" s="1"/>
      <c r="I109" s="2"/>
      <c r="J109" s="2"/>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c r="A110" s="3"/>
      <c r="B110" s="1"/>
      <c r="C110" s="1"/>
      <c r="D110" s="1"/>
      <c r="E110" s="1"/>
      <c r="F110" s="1"/>
      <c r="G110" s="1"/>
      <c r="H110" s="1"/>
      <c r="I110" s="2"/>
      <c r="J110" s="2"/>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c r="A111" s="3"/>
      <c r="B111" s="1"/>
      <c r="C111" s="1"/>
      <c r="D111" s="1"/>
      <c r="E111" s="1"/>
      <c r="F111" s="1"/>
      <c r="G111" s="1"/>
      <c r="H111" s="1"/>
      <c r="I111" s="2"/>
      <c r="J111" s="2"/>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c r="A112" s="3"/>
      <c r="B112" s="1"/>
      <c r="C112" s="1"/>
      <c r="D112" s="1"/>
      <c r="E112" s="1"/>
      <c r="F112" s="1"/>
      <c r="G112" s="1"/>
      <c r="H112" s="1"/>
      <c r="I112" s="2"/>
      <c r="J112" s="2"/>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c r="A113" s="3"/>
      <c r="B113" s="1"/>
      <c r="C113" s="1"/>
      <c r="D113" s="1"/>
      <c r="E113" s="1"/>
      <c r="F113" s="1"/>
      <c r="G113" s="1"/>
      <c r="H113" s="1"/>
      <c r="I113" s="2"/>
      <c r="J113" s="2"/>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c r="A114" s="3"/>
      <c r="B114" s="1"/>
      <c r="C114" s="1"/>
      <c r="D114" s="1"/>
      <c r="E114" s="1"/>
      <c r="F114" s="1"/>
      <c r="G114" s="1"/>
      <c r="H114" s="1"/>
      <c r="I114" s="2"/>
      <c r="J114" s="2"/>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c r="A115" s="3"/>
      <c r="B115" s="1"/>
      <c r="C115" s="1"/>
      <c r="D115" s="1"/>
      <c r="E115" s="1"/>
      <c r="F115" s="1"/>
      <c r="G115" s="1"/>
      <c r="H115" s="1"/>
      <c r="I115" s="2"/>
      <c r="J115" s="2"/>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c r="A116" s="3"/>
      <c r="B116" s="1"/>
      <c r="C116" s="1"/>
      <c r="D116" s="1"/>
      <c r="E116" s="1"/>
      <c r="F116" s="1"/>
      <c r="G116" s="1"/>
      <c r="H116" s="1"/>
      <c r="I116" s="2"/>
      <c r="J116" s="2"/>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c r="A117" s="3"/>
      <c r="B117" s="1"/>
      <c r="C117" s="1"/>
      <c r="D117" s="1"/>
      <c r="E117" s="1"/>
      <c r="F117" s="1"/>
      <c r="G117" s="1"/>
      <c r="H117" s="1"/>
      <c r="I117" s="2"/>
      <c r="J117" s="2"/>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c r="A118" s="3"/>
      <c r="B118" s="1"/>
      <c r="C118" s="1"/>
      <c r="D118" s="1"/>
      <c r="E118" s="1"/>
      <c r="F118" s="1"/>
      <c r="G118" s="1"/>
      <c r="H118" s="1"/>
      <c r="I118" s="2"/>
      <c r="J118" s="2"/>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c r="A119" s="3"/>
      <c r="B119" s="1"/>
      <c r="C119" s="1"/>
      <c r="D119" s="1"/>
      <c r="E119" s="1"/>
      <c r="F119" s="1"/>
      <c r="G119" s="1"/>
      <c r="H119" s="1"/>
      <c r="I119" s="2"/>
      <c r="J119" s="2"/>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c r="A120" s="3"/>
      <c r="B120" s="1"/>
      <c r="C120" s="1"/>
      <c r="D120" s="1"/>
      <c r="E120" s="1"/>
      <c r="F120" s="1"/>
      <c r="G120" s="1"/>
      <c r="H120" s="1"/>
      <c r="I120" s="2"/>
      <c r="J120" s="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c r="A121" s="3"/>
      <c r="B121" s="1"/>
      <c r="C121" s="1"/>
      <c r="D121" s="1"/>
      <c r="E121" s="1"/>
      <c r="F121" s="1"/>
      <c r="G121" s="1"/>
      <c r="H121" s="1"/>
      <c r="I121" s="2"/>
      <c r="J121" s="2"/>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c r="A122" s="3"/>
      <c r="B122" s="1"/>
      <c r="C122" s="1"/>
      <c r="D122" s="1"/>
      <c r="E122" s="1"/>
      <c r="F122" s="1"/>
      <c r="G122" s="1"/>
      <c r="H122" s="1"/>
      <c r="I122" s="2"/>
      <c r="J122" s="2"/>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c r="A123" s="3"/>
      <c r="B123" s="1"/>
      <c r="C123" s="1"/>
      <c r="D123" s="1"/>
      <c r="E123" s="1"/>
      <c r="F123" s="1"/>
      <c r="G123" s="1"/>
      <c r="H123" s="1"/>
      <c r="I123" s="2"/>
      <c r="J123" s="2"/>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c r="A124" s="3"/>
      <c r="B124" s="1"/>
      <c r="C124" s="1"/>
      <c r="D124" s="1"/>
      <c r="E124" s="1"/>
      <c r="F124" s="1"/>
      <c r="G124" s="1"/>
      <c r="H124" s="1"/>
      <c r="I124" s="2"/>
      <c r="J124" s="2"/>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c r="A125" s="3"/>
      <c r="B125" s="1"/>
      <c r="C125" s="1"/>
      <c r="D125" s="1"/>
      <c r="E125" s="1"/>
      <c r="F125" s="1"/>
      <c r="G125" s="1"/>
      <c r="H125" s="1"/>
      <c r="I125" s="2"/>
      <c r="J125" s="2"/>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c r="A126" s="3"/>
      <c r="B126" s="1"/>
      <c r="C126" s="1"/>
      <c r="D126" s="1"/>
      <c r="E126" s="1"/>
      <c r="F126" s="1"/>
      <c r="G126" s="1"/>
      <c r="H126" s="1"/>
      <c r="I126" s="2"/>
      <c r="J126" s="2"/>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c r="A127" s="3"/>
      <c r="B127" s="1"/>
      <c r="C127" s="1"/>
      <c r="D127" s="1"/>
      <c r="E127" s="1"/>
      <c r="F127" s="1"/>
      <c r="G127" s="1"/>
      <c r="H127" s="1"/>
      <c r="I127" s="2"/>
      <c r="J127" s="2"/>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c r="A128" s="3"/>
      <c r="B128" s="1"/>
      <c r="C128" s="1"/>
      <c r="D128" s="1"/>
      <c r="E128" s="1"/>
      <c r="F128" s="1"/>
      <c r="G128" s="1"/>
      <c r="H128" s="1"/>
      <c r="I128" s="2"/>
      <c r="J128" s="2"/>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c r="A129" s="3"/>
      <c r="B129" s="1"/>
      <c r="C129" s="1"/>
      <c r="D129" s="1"/>
      <c r="E129" s="1"/>
      <c r="F129" s="1"/>
      <c r="G129" s="1"/>
      <c r="H129" s="1"/>
      <c r="I129" s="2"/>
      <c r="J129" s="2"/>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c r="A130" s="3"/>
      <c r="B130" s="1"/>
      <c r="C130" s="1"/>
      <c r="D130" s="1"/>
      <c r="E130" s="1"/>
      <c r="F130" s="1"/>
      <c r="G130" s="1"/>
      <c r="H130" s="1"/>
      <c r="I130" s="2"/>
      <c r="J130" s="2"/>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c r="A131" s="3"/>
      <c r="B131" s="1"/>
      <c r="C131" s="1"/>
      <c r="D131" s="1"/>
      <c r="E131" s="1"/>
      <c r="F131" s="1"/>
      <c r="G131" s="1"/>
      <c r="H131" s="1"/>
      <c r="I131" s="2"/>
      <c r="J131" s="2"/>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c r="A132" s="3"/>
      <c r="B132" s="1"/>
      <c r="C132" s="1"/>
      <c r="D132" s="1"/>
      <c r="E132" s="1"/>
      <c r="F132" s="1"/>
      <c r="G132" s="1"/>
      <c r="H132" s="1"/>
      <c r="I132" s="2"/>
      <c r="J132" s="2"/>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c r="A133" s="3"/>
      <c r="B133" s="1"/>
      <c r="C133" s="1"/>
      <c r="D133" s="1"/>
      <c r="E133" s="1"/>
      <c r="F133" s="1"/>
      <c r="G133" s="1"/>
      <c r="H133" s="1"/>
      <c r="I133" s="2"/>
      <c r="J133" s="2"/>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c r="A134" s="3"/>
      <c r="B134" s="1"/>
      <c r="C134" s="1"/>
      <c r="D134" s="1"/>
      <c r="E134" s="1"/>
      <c r="F134" s="1"/>
      <c r="G134" s="1"/>
      <c r="H134" s="1"/>
      <c r="I134" s="2"/>
      <c r="J134" s="2"/>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c r="A135" s="3"/>
      <c r="B135" s="1"/>
      <c r="C135" s="1"/>
      <c r="D135" s="1"/>
      <c r="E135" s="1"/>
      <c r="F135" s="1"/>
      <c r="G135" s="1"/>
      <c r="H135" s="1"/>
      <c r="I135" s="2"/>
      <c r="J135" s="2"/>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c r="A136" s="3"/>
      <c r="B136" s="1"/>
      <c r="C136" s="1"/>
      <c r="D136" s="1"/>
      <c r="E136" s="1"/>
      <c r="F136" s="1"/>
      <c r="G136" s="1"/>
      <c r="H136" s="1"/>
      <c r="I136" s="2"/>
      <c r="J136" s="2"/>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c r="A137" s="3"/>
      <c r="B137" s="1"/>
      <c r="C137" s="1"/>
      <c r="D137" s="1"/>
      <c r="E137" s="1"/>
      <c r="F137" s="1"/>
      <c r="G137" s="1"/>
      <c r="H137" s="1"/>
      <c r="I137" s="2"/>
      <c r="J137" s="2"/>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c r="A138" s="3"/>
      <c r="B138" s="1"/>
      <c r="C138" s="1"/>
      <c r="D138" s="1"/>
      <c r="E138" s="1"/>
      <c r="F138" s="1"/>
      <c r="G138" s="1"/>
      <c r="H138" s="1"/>
      <c r="I138" s="2"/>
      <c r="J138" s="2"/>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c r="A139" s="3"/>
      <c r="B139" s="1"/>
      <c r="C139" s="1"/>
      <c r="D139" s="1"/>
      <c r="E139" s="1"/>
      <c r="F139" s="1"/>
      <c r="G139" s="1"/>
      <c r="H139" s="1"/>
      <c r="I139" s="2"/>
      <c r="J139" s="2"/>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c r="A140" s="3"/>
      <c r="B140" s="1"/>
      <c r="C140" s="1"/>
      <c r="D140" s="1"/>
      <c r="E140" s="1"/>
      <c r="F140" s="1"/>
      <c r="G140" s="1"/>
      <c r="H140" s="1"/>
      <c r="I140" s="2"/>
      <c r="J140" s="2"/>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c r="A141" s="3"/>
      <c r="B141" s="1"/>
      <c r="C141" s="1"/>
      <c r="D141" s="1"/>
      <c r="E141" s="1"/>
      <c r="F141" s="1"/>
      <c r="G141" s="1"/>
      <c r="H141" s="1"/>
      <c r="I141" s="2"/>
      <c r="J141" s="2"/>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c r="A142" s="3"/>
      <c r="B142" s="1"/>
      <c r="C142" s="1"/>
      <c r="D142" s="1"/>
      <c r="E142" s="1"/>
      <c r="F142" s="1"/>
      <c r="G142" s="1"/>
      <c r="H142" s="1"/>
      <c r="I142" s="2"/>
      <c r="J142" s="2"/>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c r="A143" s="3"/>
      <c r="B143" s="1"/>
      <c r="C143" s="1"/>
      <c r="D143" s="1"/>
      <c r="E143" s="1"/>
      <c r="F143" s="1"/>
      <c r="G143" s="1"/>
      <c r="H143" s="1"/>
      <c r="I143" s="2"/>
      <c r="J143" s="2"/>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c r="A144" s="3"/>
      <c r="B144" s="1"/>
      <c r="C144" s="1"/>
      <c r="D144" s="1"/>
      <c r="E144" s="1"/>
      <c r="F144" s="1"/>
      <c r="G144" s="1"/>
      <c r="H144" s="1"/>
      <c r="I144" s="2"/>
      <c r="J144" s="2"/>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c r="A145" s="3"/>
      <c r="B145" s="1"/>
      <c r="C145" s="1"/>
      <c r="D145" s="1"/>
      <c r="E145" s="1"/>
      <c r="F145" s="1"/>
      <c r="G145" s="1"/>
      <c r="H145" s="1"/>
      <c r="I145" s="2"/>
      <c r="J145" s="2"/>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c r="A146" s="3"/>
      <c r="B146" s="1"/>
      <c r="C146" s="1"/>
      <c r="D146" s="1"/>
      <c r="E146" s="1"/>
      <c r="F146" s="1"/>
      <c r="G146" s="1"/>
      <c r="H146" s="1"/>
      <c r="I146" s="2"/>
      <c r="J146" s="2"/>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c r="A147" s="3"/>
      <c r="B147" s="1"/>
      <c r="C147" s="1"/>
      <c r="D147" s="1"/>
      <c r="E147" s="1"/>
      <c r="F147" s="1"/>
      <c r="G147" s="1"/>
      <c r="H147" s="1"/>
      <c r="I147" s="2"/>
      <c r="J147" s="2"/>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c r="A148" s="3"/>
      <c r="B148" s="1"/>
      <c r="C148" s="1"/>
      <c r="D148" s="1"/>
      <c r="E148" s="1"/>
      <c r="F148" s="1"/>
      <c r="G148" s="1"/>
      <c r="H148" s="1"/>
      <c r="I148" s="2"/>
      <c r="J148" s="2"/>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c r="A149" s="3"/>
      <c r="B149" s="1"/>
      <c r="C149" s="1"/>
      <c r="D149" s="1"/>
      <c r="E149" s="1"/>
      <c r="F149" s="1"/>
      <c r="G149" s="1"/>
      <c r="H149" s="1"/>
      <c r="I149" s="2"/>
      <c r="J149" s="2"/>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c r="A150" s="3"/>
      <c r="B150" s="1"/>
      <c r="C150" s="1"/>
      <c r="D150" s="1"/>
      <c r="E150" s="1"/>
      <c r="F150" s="1"/>
      <c r="G150" s="1"/>
      <c r="H150" s="1"/>
      <c r="I150" s="2"/>
      <c r="J150" s="2"/>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c r="A151" s="3"/>
      <c r="B151" s="1"/>
      <c r="C151" s="1"/>
      <c r="D151" s="1"/>
      <c r="E151" s="1"/>
      <c r="F151" s="1"/>
      <c r="G151" s="1"/>
      <c r="H151" s="1"/>
      <c r="I151" s="2"/>
      <c r="J151" s="2"/>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c r="A152" s="3"/>
      <c r="B152" s="1"/>
      <c r="C152" s="1"/>
      <c r="D152" s="1"/>
      <c r="E152" s="1"/>
      <c r="F152" s="1"/>
      <c r="G152" s="1"/>
      <c r="H152" s="1"/>
      <c r="I152" s="2"/>
      <c r="J152" s="2"/>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c r="A153" s="3"/>
      <c r="B153" s="1"/>
      <c r="C153" s="1"/>
      <c r="D153" s="1"/>
      <c r="E153" s="1"/>
      <c r="F153" s="1"/>
      <c r="G153" s="1"/>
      <c r="H153" s="1"/>
      <c r="I153" s="2"/>
      <c r="J153" s="2"/>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c r="A154" s="3"/>
      <c r="B154" s="1"/>
      <c r="C154" s="1"/>
      <c r="D154" s="1"/>
      <c r="E154" s="1"/>
      <c r="F154" s="1"/>
      <c r="G154" s="1"/>
      <c r="H154" s="1"/>
      <c r="I154" s="2"/>
      <c r="J154" s="2"/>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c r="A155" s="3"/>
      <c r="B155" s="1"/>
      <c r="C155" s="1"/>
      <c r="D155" s="1"/>
      <c r="E155" s="1"/>
      <c r="F155" s="1"/>
      <c r="G155" s="1"/>
      <c r="H155" s="1"/>
      <c r="I155" s="2"/>
      <c r="J155" s="2"/>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c r="A156" s="3"/>
      <c r="B156" s="1"/>
      <c r="C156" s="1"/>
      <c r="D156" s="1"/>
      <c r="E156" s="1"/>
      <c r="F156" s="1"/>
      <c r="G156" s="1"/>
      <c r="H156" s="1"/>
      <c r="I156" s="2"/>
      <c r="J156" s="2"/>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c r="A157" s="3"/>
      <c r="B157" s="1"/>
      <c r="C157" s="1"/>
      <c r="D157" s="1"/>
      <c r="E157" s="1"/>
      <c r="F157" s="1"/>
      <c r="G157" s="1"/>
      <c r="H157" s="1"/>
      <c r="I157" s="2"/>
      <c r="J157" s="2"/>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c r="A158" s="3"/>
      <c r="B158" s="1"/>
      <c r="C158" s="1"/>
      <c r="D158" s="1"/>
      <c r="E158" s="1"/>
      <c r="F158" s="1"/>
      <c r="G158" s="1"/>
      <c r="H158" s="1"/>
      <c r="I158" s="2"/>
      <c r="J158" s="2"/>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c r="A159" s="3"/>
      <c r="B159" s="1"/>
      <c r="C159" s="1"/>
      <c r="D159" s="1"/>
      <c r="E159" s="1"/>
      <c r="F159" s="1"/>
      <c r="G159" s="1"/>
      <c r="H159" s="1"/>
      <c r="I159" s="2"/>
      <c r="J159" s="2"/>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c r="A160" s="3"/>
      <c r="B160" s="1"/>
      <c r="C160" s="1"/>
      <c r="D160" s="1"/>
      <c r="E160" s="1"/>
      <c r="F160" s="1"/>
      <c r="G160" s="1"/>
      <c r="H160" s="1"/>
      <c r="I160" s="2"/>
      <c r="J160" s="2"/>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c r="A161" s="3"/>
      <c r="B161" s="1"/>
      <c r="C161" s="1"/>
      <c r="D161" s="1"/>
      <c r="E161" s="1"/>
      <c r="F161" s="1"/>
      <c r="G161" s="1"/>
      <c r="H161" s="1"/>
      <c r="I161" s="2"/>
      <c r="J161" s="2"/>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c r="A162" s="3"/>
      <c r="B162" s="1"/>
      <c r="C162" s="1"/>
      <c r="D162" s="1"/>
      <c r="E162" s="1"/>
      <c r="F162" s="1"/>
      <c r="G162" s="1"/>
      <c r="H162" s="1"/>
      <c r="I162" s="2"/>
      <c r="J162" s="2"/>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c r="A163" s="3"/>
      <c r="B163" s="1"/>
      <c r="C163" s="1"/>
      <c r="D163" s="1"/>
      <c r="E163" s="1"/>
      <c r="F163" s="1"/>
      <c r="G163" s="1"/>
      <c r="H163" s="1"/>
      <c r="I163" s="2"/>
      <c r="J163" s="2"/>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c r="A164" s="3"/>
      <c r="B164" s="1"/>
      <c r="C164" s="1"/>
      <c r="D164" s="1"/>
      <c r="E164" s="1"/>
      <c r="F164" s="1"/>
      <c r="G164" s="1"/>
      <c r="H164" s="1"/>
      <c r="I164" s="2"/>
      <c r="J164" s="2"/>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c r="A165" s="3"/>
      <c r="B165" s="1"/>
      <c r="C165" s="1"/>
      <c r="D165" s="1"/>
      <c r="E165" s="1"/>
      <c r="F165" s="1"/>
      <c r="G165" s="1"/>
      <c r="H165" s="1"/>
      <c r="I165" s="2"/>
      <c r="J165" s="2"/>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c r="A166" s="3"/>
      <c r="B166" s="1"/>
      <c r="C166" s="1"/>
      <c r="D166" s="1"/>
      <c r="E166" s="1"/>
      <c r="F166" s="1"/>
      <c r="G166" s="1"/>
      <c r="H166" s="1"/>
      <c r="I166" s="2"/>
      <c r="J166" s="2"/>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c r="A167" s="3"/>
      <c r="B167" s="1"/>
      <c r="C167" s="1"/>
      <c r="D167" s="1"/>
      <c r="E167" s="1"/>
      <c r="F167" s="1"/>
      <c r="G167" s="1"/>
      <c r="H167" s="1"/>
      <c r="I167" s="2"/>
      <c r="J167" s="2"/>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c r="A168" s="3"/>
      <c r="B168" s="1"/>
      <c r="C168" s="1"/>
      <c r="D168" s="1"/>
      <c r="E168" s="1"/>
      <c r="F168" s="1"/>
      <c r="G168" s="1"/>
      <c r="H168" s="1"/>
      <c r="I168" s="2"/>
      <c r="J168" s="2"/>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c r="A169" s="3"/>
      <c r="B169" s="1"/>
      <c r="C169" s="1"/>
      <c r="D169" s="1"/>
      <c r="E169" s="1"/>
      <c r="F169" s="1"/>
      <c r="G169" s="1"/>
      <c r="H169" s="1"/>
      <c r="I169" s="2"/>
      <c r="J169" s="2"/>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c r="A170" s="3"/>
      <c r="B170" s="1"/>
      <c r="C170" s="1"/>
      <c r="D170" s="1"/>
      <c r="E170" s="1"/>
      <c r="F170" s="1"/>
      <c r="G170" s="1"/>
      <c r="H170" s="1"/>
      <c r="I170" s="2"/>
      <c r="J170" s="2"/>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c r="A171" s="3"/>
      <c r="B171" s="1"/>
      <c r="C171" s="1"/>
      <c r="D171" s="1"/>
      <c r="E171" s="1"/>
      <c r="F171" s="1"/>
      <c r="G171" s="1"/>
      <c r="H171" s="1"/>
      <c r="I171" s="2"/>
      <c r="J171" s="2"/>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c r="A172" s="3"/>
      <c r="B172" s="1"/>
      <c r="C172" s="1"/>
      <c r="D172" s="1"/>
      <c r="E172" s="1"/>
      <c r="F172" s="1"/>
      <c r="G172" s="1"/>
      <c r="H172" s="1"/>
      <c r="I172" s="2"/>
      <c r="J172" s="2"/>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c r="A173" s="3"/>
      <c r="B173" s="1"/>
      <c r="C173" s="1"/>
      <c r="D173" s="1"/>
      <c r="E173" s="1"/>
      <c r="F173" s="1"/>
      <c r="G173" s="1"/>
      <c r="H173" s="1"/>
      <c r="I173" s="2"/>
      <c r="J173" s="2"/>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c r="A174" s="3"/>
      <c r="B174" s="1"/>
      <c r="C174" s="1"/>
      <c r="D174" s="1"/>
      <c r="E174" s="1"/>
      <c r="F174" s="1"/>
      <c r="G174" s="1"/>
      <c r="H174" s="1"/>
      <c r="I174" s="2"/>
      <c r="J174" s="2"/>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c r="A175" s="3"/>
      <c r="B175" s="1"/>
      <c r="C175" s="1"/>
      <c r="D175" s="1"/>
      <c r="E175" s="1"/>
      <c r="F175" s="1"/>
      <c r="G175" s="1"/>
      <c r="H175" s="1"/>
      <c r="I175" s="2"/>
      <c r="J175" s="2"/>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c r="A176" s="6"/>
      <c r="B176" s="1"/>
      <c r="C176" s="1"/>
      <c r="D176" s="1"/>
      <c r="E176" s="1"/>
      <c r="F176" s="1"/>
      <c r="G176" s="1"/>
      <c r="H176" s="1"/>
      <c r="I176" s="2"/>
      <c r="J176" s="2"/>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23.25">
      <c r="A177" s="8" t="s">
        <v>525</v>
      </c>
      <c r="B177" s="1"/>
      <c r="C177" s="1"/>
      <c r="D177" s="1"/>
      <c r="E177" s="1"/>
      <c r="F177" s="1"/>
      <c r="G177" s="1"/>
      <c r="H177" s="1"/>
      <c r="I177" s="2"/>
      <c r="J177" s="2"/>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c r="A178" s="9" t="s">
        <v>201</v>
      </c>
      <c r="B178" s="1"/>
      <c r="C178" s="1"/>
      <c r="D178" s="1"/>
      <c r="E178" s="1"/>
      <c r="F178" s="1"/>
      <c r="G178" s="1"/>
      <c r="H178" s="1"/>
      <c r="I178" s="2"/>
      <c r="J178" s="2"/>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c r="A179" s="6"/>
      <c r="B179" s="1"/>
      <c r="C179" s="1"/>
      <c r="D179" s="1"/>
      <c r="E179" s="1"/>
      <c r="F179" s="1"/>
      <c r="G179" s="1"/>
      <c r="H179" s="1"/>
      <c r="I179" s="2"/>
      <c r="J179" s="2"/>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5.75">
      <c r="A180" s="4" t="s">
        <v>98</v>
      </c>
      <c r="B180" s="4" t="s">
        <v>166</v>
      </c>
      <c r="C180" s="4" t="s">
        <v>167</v>
      </c>
      <c r="D180" s="4" t="s">
        <v>168</v>
      </c>
      <c r="E180" s="4" t="s">
        <v>169</v>
      </c>
      <c r="F180" s="4" t="s">
        <v>170</v>
      </c>
      <c r="G180" s="4" t="s">
        <v>171</v>
      </c>
      <c r="H180" s="4" t="s">
        <v>129</v>
      </c>
      <c r="I180" s="24" t="s">
        <v>129</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5.75">
      <c r="A181" s="6"/>
      <c r="B181" s="1"/>
      <c r="C181" s="1"/>
      <c r="D181" s="1"/>
      <c r="E181" s="1"/>
      <c r="F181" s="1"/>
      <c r="G181" s="1"/>
      <c r="H181" s="20" t="s">
        <v>164</v>
      </c>
      <c r="I181" s="24" t="s">
        <v>165</v>
      </c>
      <c r="J181" s="24" t="s">
        <v>193</v>
      </c>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1"/>
      <c r="AS181" s="1"/>
      <c r="AT181" s="1"/>
      <c r="AU181" s="1"/>
      <c r="AV181" s="1"/>
      <c r="AW181" s="1"/>
    </row>
    <row r="182" spans="1:49">
      <c r="A182" s="10" t="s">
        <v>114</v>
      </c>
      <c r="B182" s="2">
        <f>(COUNTIF('Database - Tornado Segments'!$U$8:$U$2008, "CarsonF0")+COUNTIF('Database - Tornado Segments'!$U$8:$U$2008, "CarsonEF0"))</f>
        <v>65</v>
      </c>
      <c r="C182" s="2">
        <f>(COUNTIF('Database - Tornado Segments'!$U$8:$U$2008, "CarsonF1")+COUNTIF('Database - Tornado Segments'!$U$8:$U$2008, "CarsonEF1"))</f>
        <v>12</v>
      </c>
      <c r="D182" s="2">
        <f>(COUNTIF('Database - Tornado Segments'!$U$8:$U$2008, "CarsonF2")+COUNTIF('Database - Tornado Segments'!$U$8:$U$2008, "CarsonEF2"))</f>
        <v>10</v>
      </c>
      <c r="E182" s="2">
        <f>(COUNTIF('Database - Tornado Segments'!$U$8:$U$2008, "CarsonF3")+COUNTIF('Database - Tornado Segments'!$U$8:$U$2008, "CarsonEF3"))</f>
        <v>3</v>
      </c>
      <c r="F182" s="2">
        <f>(COUNTIF('Database - Tornado Segments'!$U$8:$U$2008, "CarsonF4")+COUNTIF('Database - Tornado Segments'!$U$8:$U$2008, "CarsonEF4"))</f>
        <v>1</v>
      </c>
      <c r="G182" s="2">
        <f>(COUNTIF('Database - Tornado Segments'!$U$8:$U$2008, "CarsonF5")+COUNTIF('Database - Tornado Segments'!$U$8:$U$2008, "CarsonEF5"))</f>
        <v>0</v>
      </c>
      <c r="H182" s="1">
        <f t="shared" ref="H182:H204" si="0">SUM(B182:G182)</f>
        <v>91</v>
      </c>
      <c r="I182" s="1">
        <f>COUNTIF('Database - Tornado Segments'!$G$8:$G$2008,"Carson")</f>
        <v>91</v>
      </c>
      <c r="J182" s="25">
        <f t="shared" ref="J182:J204" si="1">+H182/$H$206</f>
        <v>7.1540880503144652E-2</v>
      </c>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c r="A183" s="10" t="s">
        <v>115</v>
      </c>
      <c r="B183" s="2">
        <f>(COUNTIF('Database - Tornado Segments'!$U$8:$U$2008, "GrayF0")+COUNTIF('Database - Tornado Segments'!$U$8:$U$2008, "GrayEF0"))</f>
        <v>43</v>
      </c>
      <c r="C183" s="2">
        <f>(COUNTIF('Database - Tornado Segments'!$U$8:$U$2008, "GrayF1")+COUNTIF('Database - Tornado Segments'!$U$8:$U$2008, "GrayEF1"))</f>
        <v>20</v>
      </c>
      <c r="D183" s="2">
        <f>(COUNTIF('Database - Tornado Segments'!$U$8:$U$2008, "GrayF2")+COUNTIF('Database - Tornado Segments'!$U$8:$U$2008, "GrayEF2"))</f>
        <v>12</v>
      </c>
      <c r="E183" s="2">
        <f>(COUNTIF('Database - Tornado Segments'!$U$8:$U$2008, "GrayF3")+COUNTIF('Database - Tornado Segments'!$U$8:$U$2008, "GrayEF3"))</f>
        <v>8</v>
      </c>
      <c r="F183" s="2">
        <f>(COUNTIF('Database - Tornado Segments'!$U$8:$U$2008, "GrayF4")+COUNTIF('Database - Tornado Segments'!$U$8:$U$2008, "GrayEF4"))</f>
        <v>4</v>
      </c>
      <c r="G183" s="2">
        <f>(COUNTIF('Database - Tornado Segments'!$U$8:$U$2008, "GrayF5")+COUNTIF('Database - Tornado Segments'!$U$8:$U$2008, "GrayEF5"))</f>
        <v>0</v>
      </c>
      <c r="H183" s="1">
        <f>SUM(B183:G183)</f>
        <v>87</v>
      </c>
      <c r="I183" s="1">
        <f>COUNTIF('Database - Tornado Segments'!$G$8:$G$2008,"Gray")</f>
        <v>87</v>
      </c>
      <c r="J183" s="25">
        <f t="shared" si="1"/>
        <v>6.8396226415094338E-2</v>
      </c>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c r="A184" s="10" t="s">
        <v>118</v>
      </c>
      <c r="B184" s="2">
        <f>(COUNTIF('Database - Tornado Segments'!$U$8:$U$2008, "RandallF0")+COUNTIF('Database - Tornado Segments'!$U$8:$U$2008, "RandallEF0"))</f>
        <v>57</v>
      </c>
      <c r="C184" s="2">
        <f>(COUNTIF('Database - Tornado Segments'!$U$8:$U$2008, "RandallF1")+COUNTIF('Database - Tornado Segments'!$U$8:$U$2008, "RandallEF1"))</f>
        <v>15</v>
      </c>
      <c r="D184" s="2">
        <f>(COUNTIF('Database - Tornado Segments'!$U$8:$U$2008, "RandallF2")+COUNTIF('Database - Tornado Segments'!$U$8:$U$2008, "RandallEF2"))</f>
        <v>10</v>
      </c>
      <c r="E184" s="2">
        <f>(COUNTIF('Database - Tornado Segments'!$U$8:$U$2008, "RandallF3")+COUNTIF('Database - Tornado Segments'!$U$8:$U$2008, "RandallEF3"))</f>
        <v>1</v>
      </c>
      <c r="F184" s="2">
        <f>(COUNTIF('Database - Tornado Segments'!$U$8:$U$2008, "RandallF4")+COUNTIF('Database - Tornado Segments'!$U$8:$U$2008, "RandallEF4"))</f>
        <v>1</v>
      </c>
      <c r="G184" s="2">
        <f>(COUNTIF('Database - Tornado Segments'!$U$8:$U$2008, "RandallF5")+COUNTIF('Database - Tornado Segments'!$U$8:$U$2008, "RandallEF5"))</f>
        <v>0</v>
      </c>
      <c r="H184" s="1">
        <f>SUM(B184:G184)</f>
        <v>84</v>
      </c>
      <c r="I184" s="1">
        <f>COUNTIF('Database - Tornado Segments'!$G$8:$G$2008,"Randall")</f>
        <v>84</v>
      </c>
      <c r="J184" s="25">
        <f t="shared" si="1"/>
        <v>6.6037735849056603E-2</v>
      </c>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c r="A185" s="10" t="s">
        <v>100</v>
      </c>
      <c r="B185" s="2">
        <f>(COUNTIF('Database - Tornado Segments'!$U$8:$U$2008, "TexasF0")+COUNTIF('Database - Tornado Segments'!$U$8:$U$2008, "TexasEF0"))</f>
        <v>48</v>
      </c>
      <c r="C185" s="2">
        <f>(COUNTIF('Database - Tornado Segments'!$U$8:$U$2008, "TexasF1")+COUNTIF('Database - Tornado Segments'!$U$8:$U$2008, "TexasEF1"))</f>
        <v>18</v>
      </c>
      <c r="D185" s="2">
        <f>(COUNTIF('Database - Tornado Segments'!$U$8:$U$2008, "TexasF2")+COUNTIF('Database - Tornado Segments'!$U$8:$U$2008, "TexasEF2"))</f>
        <v>7</v>
      </c>
      <c r="E185" s="2">
        <f>(COUNTIF('Database - Tornado Segments'!$U$8:$U$2008, "TexasF3")+COUNTIF('Database - Tornado Segments'!$U$8:$U$2008, "TexasEF3"))</f>
        <v>2</v>
      </c>
      <c r="F185" s="2">
        <f>(COUNTIF('Database - Tornado Segments'!$U$8:$U$2008, "TexasF4")+COUNTIF('Database - Tornado Segments'!$U$8:$U$2008, "TexasEF4"))</f>
        <v>0</v>
      </c>
      <c r="G185" s="2">
        <f>(COUNTIF('Database - Tornado Segments'!$U$8:$U$2008, "TexasF5")+COUNTIF('Database - Tornado Segments'!$U$8:$U$2008, "TexasEF5"))</f>
        <v>0</v>
      </c>
      <c r="H185" s="1">
        <f>SUM(B185:G185)</f>
        <v>75</v>
      </c>
      <c r="I185" s="1">
        <f>COUNTIF('Database - Tornado Segments'!$G$8:$G$2008,"Texas")</f>
        <v>75</v>
      </c>
      <c r="J185" s="25">
        <f t="shared" si="1"/>
        <v>5.8962264150943397E-2</v>
      </c>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c r="A186" s="10" t="s">
        <v>109</v>
      </c>
      <c r="B186" s="2">
        <f>(COUNTIF('Database - Tornado Segments'!$U$8:$U$2008, "HutchinsonF0")+COUNTIF('Database - Tornado Segments'!$U$8:$U$2008, "HutchinsonEF0"))</f>
        <v>42</v>
      </c>
      <c r="C186" s="2">
        <f>(COUNTIF('Database - Tornado Segments'!$U$8:$U$2008, "HutchinsonF1")+COUNTIF('Database - Tornado Segments'!$U$8:$U$2008, "HutchinsonEF1"))</f>
        <v>19</v>
      </c>
      <c r="D186" s="2">
        <f>(COUNTIF('Database - Tornado Segments'!$U$8:$U$2008, "HutchinsonF2")+COUNTIF('Database - Tornado Segments'!$U$8:$U$2008, "HutchinsonEF2"))</f>
        <v>11</v>
      </c>
      <c r="E186" s="2">
        <f>(COUNTIF('Database - Tornado Segments'!$U$8:$U$2008, "HutchinsonF3")+COUNTIF('Database - Tornado Segments'!$U$8:$U$2008, "HutchinsonEF3"))</f>
        <v>1</v>
      </c>
      <c r="F186" s="2">
        <f>(COUNTIF('Database - Tornado Segments'!$U$8:$U$2008, "HutchinsonF4")+COUNTIF('Database - Tornado Segments'!$U$8:$U$2008, "HutchinsonEF4"))</f>
        <v>1</v>
      </c>
      <c r="G186" s="2">
        <f>(COUNTIF('Database - Tornado Segments'!$U$8:$U$2008, "HutchinsonF5")+COUNTIF('Database - Tornado Segments'!$U$8:$U$2008, "HutchinsonEF5"))</f>
        <v>0</v>
      </c>
      <c r="H186" s="1">
        <f>SUM(B186:G186)</f>
        <v>74</v>
      </c>
      <c r="I186" s="1">
        <f>COUNTIF('Database - Tornado Segments'!$G$8:$G$2008,"Hutchinson")</f>
        <v>74</v>
      </c>
      <c r="J186" s="25">
        <f t="shared" si="1"/>
        <v>5.8176100628930819E-2</v>
      </c>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c r="A187" s="10" t="s">
        <v>101</v>
      </c>
      <c r="B187" s="2">
        <f>(COUNTIF('Database - Tornado Segments'!$U$8:$U$2008, "BeaverF0")+COUNTIF('Database - Tornado Segments'!$U$8:$U$2008, "BeaverEF0"))</f>
        <v>45</v>
      </c>
      <c r="C187" s="2">
        <f>(COUNTIF('Database - Tornado Segments'!$U$8:$U$2008, "BeaverF1")+COUNTIF('Database - Tornado Segments'!$U$8:$U$2008, "BeaverEF1"))</f>
        <v>16</v>
      </c>
      <c r="D187" s="2">
        <f>(COUNTIF('Database - Tornado Segments'!$U$8:$U$2008, "BeaverF2")+COUNTIF('Database - Tornado Segments'!$U$8:$U$2008, "BeaverEF2"))</f>
        <v>11</v>
      </c>
      <c r="E187" s="2">
        <f>(COUNTIF('Database - Tornado Segments'!$U$8:$U$2008, "BeaverF3")+COUNTIF('Database - Tornado Segments'!$U$8:$U$2008, "BeaverEF3"))</f>
        <v>2</v>
      </c>
      <c r="F187" s="2">
        <f>(COUNTIF('Database - Tornado Segments'!$U$8:$U$2008, "BeaverF4")+COUNTIF('Database - Tornado Segments'!$U$8:$U$2008, "BeaverEF4"))</f>
        <v>0</v>
      </c>
      <c r="G187" s="2">
        <f>(COUNTIF('Database - Tornado Segments'!$U$8:$U$2008, "BeaverF5")+COUNTIF('Database - Tornado Segments'!$U$8:$U$2008, "BeaverEF5"))</f>
        <v>0</v>
      </c>
      <c r="H187" s="1">
        <f t="shared" si="0"/>
        <v>74</v>
      </c>
      <c r="I187" s="1">
        <f>COUNTIF('Database - Tornado Segments'!$G$8:$G$2008,"Beaver")</f>
        <v>74</v>
      </c>
      <c r="J187" s="25">
        <f t="shared" si="1"/>
        <v>5.8176100628930819E-2</v>
      </c>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c r="A188" s="10" t="s">
        <v>105</v>
      </c>
      <c r="B188" s="2">
        <f>(COUNTIF('Database - Tornado Segments'!$U$8:$U$2008, "OchiltreeF0")+COUNTIF('Database - Tornado Segments'!$U$8:$U$2008, "OchiltreeEF0"))</f>
        <v>34</v>
      </c>
      <c r="C188" s="2">
        <f>(COUNTIF('Database - Tornado Segments'!$U$8:$U$2008, "OchiltreeF1")+COUNTIF('Database - Tornado Segments'!$U$8:$U$2008, "OchiltreeEF1"))</f>
        <v>19</v>
      </c>
      <c r="D188" s="2">
        <f>(COUNTIF('Database - Tornado Segments'!$U$8:$U$2008, "OchiltreeF2")+COUNTIF('Database - Tornado Segments'!$U$8:$U$2008, "OchiltreeEF2"))</f>
        <v>8</v>
      </c>
      <c r="E188" s="2">
        <f>(COUNTIF('Database - Tornado Segments'!$U$8:$U$2008, "OchiltreeF3")+COUNTIF('Database - Tornado Segments'!$U$8:$U$2008, "OchiltreeEF3"))</f>
        <v>3</v>
      </c>
      <c r="F188" s="2">
        <f>(COUNTIF('Database - Tornado Segments'!$U$8:$U$2008, "OchiltreeF4")+COUNTIF('Database - Tornado Segments'!$U$8:$U$2008, "OchiltreeEF4"))</f>
        <v>1</v>
      </c>
      <c r="G188" s="2">
        <f>(COUNTIF('Database - Tornado Segments'!$U$8:$U$2008, "OchiltreeF5")+COUNTIF('Database - Tornado Segments'!$U$8:$U$2008, "OchiltreeEF5"))</f>
        <v>0</v>
      </c>
      <c r="H188" s="1">
        <f>SUM(B188:G188)</f>
        <v>65</v>
      </c>
      <c r="I188" s="1">
        <f>COUNTIF('Database - Tornado Segments'!$G$8:$G$2008,"Ochiltree")</f>
        <v>65</v>
      </c>
      <c r="J188" s="25">
        <f t="shared" si="1"/>
        <v>5.1100628930817613E-2</v>
      </c>
      <c r="K188" s="365" t="s">
        <v>1610</v>
      </c>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c r="A189" s="10" t="s">
        <v>104</v>
      </c>
      <c r="B189" s="2">
        <f>(COUNTIF('Database - Tornado Segments'!$U$8:$U$2008, "HansfordF0")+COUNTIF('Database - Tornado Segments'!$U$8:$U$2008, "HansfordEF0"))</f>
        <v>47</v>
      </c>
      <c r="C189" s="2">
        <f>(COUNTIF('Database - Tornado Segments'!$U$8:$U$2008, "HansfordF1")+COUNTIF('Database - Tornado Segments'!$U$8:$U$2008, "HansfordEF1"))</f>
        <v>9</v>
      </c>
      <c r="D189" s="2">
        <f>(COUNTIF('Database - Tornado Segments'!$U$8:$U$2008, "HansfordF2")+COUNTIF('Database - Tornado Segments'!$U$8:$U$2008, "HansfordEF2"))</f>
        <v>4</v>
      </c>
      <c r="E189" s="2">
        <f>(COUNTIF('Database - Tornado Segments'!$U$8:$U$2008, "HansfordF3")+COUNTIF('Database - Tornado Segments'!$U$8:$U$2008, "HansfordEF3"))</f>
        <v>1</v>
      </c>
      <c r="F189" s="2">
        <f>(COUNTIF('Database - Tornado Segments'!$U$8:$U$2008, "HansfordF4")+COUNTIF('Database - Tornado Segments'!$U$8:$U$2008, "HansfordEF4"))</f>
        <v>2</v>
      </c>
      <c r="G189" s="2">
        <f>(COUNTIF('Database - Tornado Segments'!$U$8:$U$2008, "HansfordF5")+COUNTIF('Database - Tornado Segments'!$U$8:$U$2008, "HansfordEF5"))</f>
        <v>0</v>
      </c>
      <c r="H189" s="1">
        <f>SUM(B189:G189)</f>
        <v>63</v>
      </c>
      <c r="I189" s="1">
        <f>COUNTIF('Database - Tornado Segments'!$G$8:$G$2008,"Hansford")</f>
        <v>63</v>
      </c>
      <c r="J189" s="25">
        <f t="shared" si="1"/>
        <v>4.9528301886792456E-2</v>
      </c>
      <c r="K189" s="365" t="s">
        <v>129</v>
      </c>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c r="A190" s="10" t="s">
        <v>120</v>
      </c>
      <c r="B190" s="2">
        <f>(COUNTIF('Database - Tornado Segments'!$U$8:$U$2008, "DonleyF0")+COUNTIF('Database - Tornado Segments'!$U$8:$U$2008, "DonleyEF0"))</f>
        <v>39</v>
      </c>
      <c r="C190" s="2">
        <f>(COUNTIF('Database - Tornado Segments'!$U$8:$U$2008, "DonleyF1")+COUNTIF('Database - Tornado Segments'!$U$8:$U$2008, "DonleyEF1"))</f>
        <v>8</v>
      </c>
      <c r="D190" s="2">
        <f>(COUNTIF('Database - Tornado Segments'!$U$8:$U$2008, "DonleyF2")+COUNTIF('Database - Tornado Segments'!$U$8:$U$2008, "DonleyEF2"))</f>
        <v>9</v>
      </c>
      <c r="E190" s="2">
        <f>(COUNTIF('Database - Tornado Segments'!$U$8:$U$2008, "DonleyF3")+COUNTIF('Database - Tornado Segments'!$U$8:$U$2008, "DonleyEF3"))</f>
        <v>2</v>
      </c>
      <c r="F190" s="2">
        <f>(COUNTIF('Database - Tornado Segments'!$U$8:$U$2008, "DonleyF4")+COUNTIF('Database - Tornado Segments'!$U$8:$U$2008, "DonleyEF4"))</f>
        <v>4</v>
      </c>
      <c r="G190" s="2">
        <f>(COUNTIF('Database - Tornado Segments'!$U$8:$U$2008, "DonleyF5")+COUNTIF('Database - Tornado Segments'!$U$8:$U$2008, "DonleyEF5"))</f>
        <v>0</v>
      </c>
      <c r="H190" s="1">
        <f>SUM(B190:G190)</f>
        <v>62</v>
      </c>
      <c r="I190" s="1">
        <f>COUNTIF('Database - Tornado Segments'!$G$8:$G$2008,"Donley")</f>
        <v>62</v>
      </c>
      <c r="J190" s="25">
        <f t="shared" si="1"/>
        <v>4.8742138364779877E-2</v>
      </c>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c r="A191" s="10" t="s">
        <v>108</v>
      </c>
      <c r="B191" s="2">
        <f>(COUNTIF('Database - Tornado Segments'!$U$8:$U$2008, "MooreF0")+COUNTIF('Database - Tornado Segments'!$U$8:$U$2008, "MooreEF0"))</f>
        <v>41</v>
      </c>
      <c r="C191" s="2">
        <f>(COUNTIF('Database - Tornado Segments'!$U$8:$U$2008, "MooreF1")+COUNTIF('Database - Tornado Segments'!$U$8:$U$2008, "MooreEF1"))</f>
        <v>8</v>
      </c>
      <c r="D191" s="2">
        <f>(COUNTIF('Database - Tornado Segments'!$U$8:$U$2008, "MooreF2")+COUNTIF('Database - Tornado Segments'!$U$8:$U$2008, "MooreEF2"))</f>
        <v>6</v>
      </c>
      <c r="E191" s="2">
        <f>(COUNTIF('Database - Tornado Segments'!$U$8:$U$2008, "MooreF3")+COUNTIF('Database - Tornado Segments'!$U$8:$U$2008, "MooreEF3"))</f>
        <v>1</v>
      </c>
      <c r="F191" s="2">
        <f>(COUNTIF('Database - Tornado Segments'!$U$8:$U$2008, "MooreF4")+COUNTIF('Database - Tornado Segments'!$U$8:$U$2008, "MooreEF4"))</f>
        <v>2</v>
      </c>
      <c r="G191" s="2">
        <f>(COUNTIF('Database - Tornado Segments'!$U$8:$U$2008, "MooreF5")+COUNTIF('Database - Tornado Segments'!$U$8:$U$2008, "MooreEF5"))</f>
        <v>0</v>
      </c>
      <c r="H191" s="1">
        <f>SUM(B191:G191)</f>
        <v>58</v>
      </c>
      <c r="I191" s="1">
        <f>COUNTIF('Database - Tornado Segments'!$G$8:$G$2008,"Moore")</f>
        <v>58</v>
      </c>
      <c r="J191" s="25">
        <f t="shared" si="1"/>
        <v>4.5597484276729557E-2</v>
      </c>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c r="A192" s="10" t="s">
        <v>116</v>
      </c>
      <c r="B192" s="2">
        <f>(COUNTIF('Database - Tornado Segments'!$U$8:$U$2008, "WheelerF0")+COUNTIF('Database - Tornado Segments'!$U$8:$U$2008, "WheelerEF0"))</f>
        <v>30</v>
      </c>
      <c r="C192" s="2">
        <f>(COUNTIF('Database - Tornado Segments'!$U$8:$U$2008, "WheelerF1")+COUNTIF('Database - Tornado Segments'!$U$8:$U$2008, "WheelerEF1"))</f>
        <v>8</v>
      </c>
      <c r="D192" s="2">
        <f>(COUNTIF('Database - Tornado Segments'!$U$8:$U$2008, "WheelerF2")+COUNTIF('Database - Tornado Segments'!$U$8:$U$2008, "WheelerEF2"))</f>
        <v>7</v>
      </c>
      <c r="E192" s="2">
        <f>(COUNTIF('Database - Tornado Segments'!$U$8:$U$2008, "WheelerF3")+COUNTIF('Database - Tornado Segments'!$U$8:$U$2008, "WheelerEF3"))</f>
        <v>6</v>
      </c>
      <c r="F192" s="2">
        <f>(COUNTIF('Database - Tornado Segments'!$U$8:$U$2008, "WheelerF4")+COUNTIF('Database - Tornado Segments'!$U$8:$U$2008, "WheelerEF4"))</f>
        <v>3</v>
      </c>
      <c r="G192" s="2">
        <f>(COUNTIF('Database - Tornado Segments'!$U$8:$U$2008, "WheelerF5")+COUNTIF('Database - Tornado Segments'!$U$8:$U$2008, "WheelerEF5"))</f>
        <v>0</v>
      </c>
      <c r="H192" s="1">
        <f t="shared" si="0"/>
        <v>54</v>
      </c>
      <c r="I192" s="1">
        <f>COUNTIF('Database - Tornado Segments'!$G$8:$G$2008,"Wheeler")</f>
        <v>54</v>
      </c>
      <c r="J192" s="25">
        <f t="shared" si="1"/>
        <v>4.2452830188679243E-2</v>
      </c>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c r="A193" s="10" t="s">
        <v>111</v>
      </c>
      <c r="B193" s="2">
        <f>(COUNTIF('Database - Tornado Segments'!$U$8:$U$2008, "HemphillF0")+COUNTIF('Database - Tornado Segments'!$U$8:$U$2008, "HemphillEF0"))</f>
        <v>33</v>
      </c>
      <c r="C193" s="2">
        <f>(COUNTIF('Database - Tornado Segments'!$U$8:$U$2008, "HemphillF1")+COUNTIF('Database - Tornado Segments'!$U$8:$U$2008, "HemphillEF1"))</f>
        <v>11</v>
      </c>
      <c r="D193" s="2">
        <f>(COUNTIF('Database - Tornado Segments'!$U$8:$U$2008, "HemphillF2")+COUNTIF('Database - Tornado Segments'!$U$8:$U$2008, "HemphillEF2"))</f>
        <v>3</v>
      </c>
      <c r="E193" s="2">
        <f>(COUNTIF('Database - Tornado Segments'!$U$8:$U$2008, "HemphillF3")+COUNTIF('Database - Tornado Segments'!$U$8:$U$2008, "HemphillEF3"))</f>
        <v>2</v>
      </c>
      <c r="F193" s="2">
        <f>(COUNTIF('Database - Tornado Segments'!$U$8:$U$2008, "HemphillF4")+COUNTIF('Database - Tornado Segments'!$U$8:$U$2008, "HemphillEF4"))</f>
        <v>1</v>
      </c>
      <c r="G193" s="2">
        <f>(COUNTIF('Database - Tornado Segments'!$U$8:$U$2008, "HemphillF5")+COUNTIF('Database - Tornado Segments'!$U$8:$U$2008, "HemphillEF5"))</f>
        <v>0</v>
      </c>
      <c r="H193" s="1">
        <f t="shared" ref="H193:H198" si="2">SUM(B193:G193)</f>
        <v>50</v>
      </c>
      <c r="I193" s="1">
        <f>COUNTIF('Database - Tornado Segments'!$G$8:$G$2008,"Hemphill")</f>
        <v>50</v>
      </c>
      <c r="J193" s="25">
        <f t="shared" si="1"/>
        <v>3.9308176100628929E-2</v>
      </c>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c r="A194" s="10" t="s">
        <v>99</v>
      </c>
      <c r="B194" s="2">
        <f>(COUNTIF('Database - Tornado Segments'!$U$8:$U$2008, "CimarronF0")+COUNTIF('Database - Tornado Segments'!$U$8:$U$2008, "CimarronEF0"))</f>
        <v>35</v>
      </c>
      <c r="C194" s="2">
        <f>(COUNTIF('Database - Tornado Segments'!$U$8:$U$2008, "CimarronF1")+COUNTIF('Database - Tornado Segments'!$U$8:$U$2008, "CimarronEF1"))</f>
        <v>10</v>
      </c>
      <c r="D194" s="2">
        <f>(COUNTIF('Database - Tornado Segments'!$U$8:$U$2008, "CimarronF2")+COUNTIF('Database - Tornado Segments'!$U$8:$U$2008, "CimarronEF2"))</f>
        <v>3</v>
      </c>
      <c r="E194" s="2">
        <f>(COUNTIF('Database - Tornado Segments'!$U$8:$U$2008, "CimarronF3")+COUNTIF('Database - Tornado Segments'!$U$8:$U$2008, "CimarronEF3"))</f>
        <v>0</v>
      </c>
      <c r="F194" s="2">
        <f>(COUNTIF('Database - Tornado Segments'!$U$8:$U$2008, "CimarronF4")+COUNTIF('Database - Tornado Segments'!$U$8:$U$2008, "CimarronEF4"))</f>
        <v>1</v>
      </c>
      <c r="G194" s="2">
        <f>(COUNTIF('Database - Tornado Segments'!$U$8:$U$2008, "CimarronF5")+COUNTIF('Database - Tornado Segments'!$U$8:$U$2008, "CimarronEF5"))</f>
        <v>0</v>
      </c>
      <c r="H194" s="1">
        <f>SUM(B194:G194)</f>
        <v>49</v>
      </c>
      <c r="I194" s="1">
        <f>COUNTIF('Database - Tornado Segments'!$G$8:$G$2008,"Cimarron")</f>
        <v>49</v>
      </c>
      <c r="J194" s="25">
        <f t="shared" si="1"/>
        <v>3.8522012578616351E-2</v>
      </c>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c r="A195" s="10" t="s">
        <v>119</v>
      </c>
      <c r="B195" s="2">
        <f>(COUNTIF('Database - Tornado Segments'!$U$8:$U$2008, "ArmstrongF0")+COUNTIF('Database - Tornado Segments'!$U$8:$U$2008, "ArmstrongEF0"))</f>
        <v>33</v>
      </c>
      <c r="C195" s="2">
        <f>(COUNTIF('Database - Tornado Segments'!$U$8:$U$2008, "ArmstrongF1")+COUNTIF('Database - Tornado Segments'!$U$8:$U$2008, "ArmstrongEF1"))</f>
        <v>9</v>
      </c>
      <c r="D195" s="2">
        <f>(COUNTIF('Database - Tornado Segments'!$U$8:$U$2008, "ArmstrongF2")+COUNTIF('Database - Tornado Segments'!$U$8:$U$2008, "ArmstrongEF2"))</f>
        <v>4</v>
      </c>
      <c r="E195" s="2">
        <f>(COUNTIF('Database - Tornado Segments'!$U$8:$U$2008, "ArmstrongF3")+COUNTIF('Database - Tornado Segments'!$U$8:$U$2008, "ArmstrongEF3"))</f>
        <v>0</v>
      </c>
      <c r="F195" s="2">
        <f>(COUNTIF('Database - Tornado Segments'!$U$8:$U$2008, "ArmstrongF4")+COUNTIF('Database - Tornado Segments'!$U$8:$U$2008, "ArmstrongEF4"))</f>
        <v>0</v>
      </c>
      <c r="G195" s="2">
        <f>(COUNTIF('Database - Tornado Segments'!$U$8:$U$2008, "ArmstrongF5")+COUNTIF('Database - Tornado Segments'!$U$8:$U$2008, "ArmstrongEF5"))</f>
        <v>0</v>
      </c>
      <c r="H195" s="1">
        <f t="shared" si="2"/>
        <v>46</v>
      </c>
      <c r="I195" s="1">
        <f>COUNTIF('Database - Tornado Segments'!$G$8:$G$2008,"Armstrong")</f>
        <v>46</v>
      </c>
      <c r="J195" s="25">
        <f t="shared" si="1"/>
        <v>3.6163522012578615E-2</v>
      </c>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c r="A196" s="10" t="s">
        <v>121</v>
      </c>
      <c r="B196" s="2">
        <f>(COUNTIF('Database - Tornado Segments'!$U$8:$U$2008, "CollingsworthF0")+COUNTIF('Database - Tornado Segments'!$U$8:$U$2008, "CollingsworthEF0"))</f>
        <v>24</v>
      </c>
      <c r="C196" s="2">
        <f>(COUNTIF('Database - Tornado Segments'!$U$8:$U$2008, "CollingsworthF1")+COUNTIF('Database - Tornado Segments'!$U$8:$U$2008, "CollingsworthEF1"))</f>
        <v>11</v>
      </c>
      <c r="D196" s="2">
        <f>(COUNTIF('Database - Tornado Segments'!$U$8:$U$2008, "CollingsworthF2")+COUNTIF('Database - Tornado Segments'!$U$8:$U$2008, "CollingsworthEF2"))</f>
        <v>3</v>
      </c>
      <c r="E196" s="2">
        <f>(COUNTIF('Database - Tornado Segments'!$U$8:$U$2008, "CollingsworthF3")+COUNTIF('Database - Tornado Segments'!$U$8:$U$2008, "CollingsworthEF3"))</f>
        <v>5</v>
      </c>
      <c r="F196" s="2">
        <f>(COUNTIF('Database - Tornado Segments'!$U$8:$U$2008, "CollingsworthF4")+COUNTIF('Database - Tornado Segments'!$U$8:$U$2008, "CollingsworthEF4"))</f>
        <v>1</v>
      </c>
      <c r="G196" s="2">
        <f>(COUNTIF('Database - Tornado Segments'!$U$8:$U$2008, "CollingsworthF5")+COUNTIF('Database - Tornado Segments'!$U$8:$U$2008, "CollingsworthEF5"))</f>
        <v>0</v>
      </c>
      <c r="H196" s="1">
        <f t="shared" si="2"/>
        <v>44</v>
      </c>
      <c r="I196" s="1">
        <f>COUNTIF('Database - Tornado Segments'!$G$8:$G$2008,"Collingsworth")</f>
        <v>44</v>
      </c>
      <c r="J196" s="25">
        <f t="shared" si="1"/>
        <v>3.4591194968553458E-2</v>
      </c>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c r="A197" s="10" t="s">
        <v>110</v>
      </c>
      <c r="B197" s="2">
        <f>(COUNTIF('Database - Tornado Segments'!$U$8:$U$2008, "RobertsF0")+COUNTIF('Database - Tornado Segments'!$U$8:$U$2008, "RobertsEF0"))</f>
        <v>24</v>
      </c>
      <c r="C197" s="2">
        <f>(COUNTIF('Database - Tornado Segments'!$U$8:$U$2008, "RobertsF1")+COUNTIF('Database - Tornado Segments'!$U$8:$U$2008, "RobertsEF1"))</f>
        <v>12</v>
      </c>
      <c r="D197" s="2">
        <f>(COUNTIF('Database - Tornado Segments'!$U$8:$U$2008, "RobertsF2")+COUNTIF('Database - Tornado Segments'!$U$8:$U$2008, "RobertsEF2"))</f>
        <v>3</v>
      </c>
      <c r="E197" s="2">
        <f>(COUNTIF('Database - Tornado Segments'!$U$8:$U$2008, "RobertsF3")+COUNTIF('Database - Tornado Segments'!$U$8:$U$2008, "RobertsEF3"))</f>
        <v>2</v>
      </c>
      <c r="F197" s="2">
        <f>(COUNTIF('Database - Tornado Segments'!$U$8:$U$2008, "RobertsF4")+COUNTIF('Database - Tornado Segments'!$U$8:$U$2008, "RobertsEF4"))</f>
        <v>0</v>
      </c>
      <c r="G197" s="2">
        <f>(COUNTIF('Database - Tornado Segments'!$U$8:$U$2008, "RobertsF5")+COUNTIF('Database - Tornado Segments'!$U$8:$U$2008, "RobertsEF5"))</f>
        <v>0</v>
      </c>
      <c r="H197" s="1">
        <f t="shared" si="2"/>
        <v>41</v>
      </c>
      <c r="I197" s="1">
        <f>COUNTIF('Database - Tornado Segments'!$G$8:$G$2008,"Roberts")</f>
        <v>41</v>
      </c>
      <c r="J197" s="25">
        <f t="shared" si="1"/>
        <v>3.2232704402515723E-2</v>
      </c>
      <c r="K197" s="365" t="s">
        <v>1611</v>
      </c>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c r="A198" s="10" t="s">
        <v>106</v>
      </c>
      <c r="B198" s="2">
        <f>(COUNTIF('Database - Tornado Segments'!$U$8:$U$2008, "LipscombF0")+COUNTIF('Database - Tornado Segments'!$U$8:$U$2008, "LipscombEF0"))</f>
        <v>19</v>
      </c>
      <c r="C198" s="2">
        <f>(COUNTIF('Database - Tornado Segments'!$U$8:$U$2008, "LipscombF1")+COUNTIF('Database - Tornado Segments'!$U$8:$U$2008, "LipscombEF1"))</f>
        <v>12</v>
      </c>
      <c r="D198" s="2">
        <f>(COUNTIF('Database - Tornado Segments'!$U$8:$U$2008, "LipscombF2")+COUNTIF('Database - Tornado Segments'!$U$8:$U$2008, "LipscombEF2"))</f>
        <v>8</v>
      </c>
      <c r="E198" s="2">
        <f>(COUNTIF('Database - Tornado Segments'!$U$8:$U$2008, "LipscombF3")+COUNTIF('Database - Tornado Segments'!$U$8:$U$2008, "LipscombEF3"))</f>
        <v>2</v>
      </c>
      <c r="F198" s="2">
        <f>(COUNTIF('Database - Tornado Segments'!$U$8:$U$2008, "LipscombF4")+COUNTIF('Database - Tornado Segments'!$U$8:$U$2008, "LipscombEF4"))</f>
        <v>0</v>
      </c>
      <c r="G198" s="2">
        <f>(COUNTIF('Database - Tornado Segments'!$U$8:$U$2008, "LipscombF5")+COUNTIF('Database - Tornado Segments'!$U$8:$U$2008, "LipscombEF5"))</f>
        <v>0</v>
      </c>
      <c r="H198" s="1">
        <f t="shared" si="2"/>
        <v>41</v>
      </c>
      <c r="I198" s="1">
        <f>COUNTIF('Database - Tornado Segments'!$G$8:$G$2008,"Lipscomb")</f>
        <v>41</v>
      </c>
      <c r="J198" s="25">
        <f t="shared" si="1"/>
        <v>3.2232704402515723E-2</v>
      </c>
      <c r="K198" s="365" t="s">
        <v>129</v>
      </c>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c r="A199" s="10" t="s">
        <v>103</v>
      </c>
      <c r="B199" s="2">
        <f>(COUNTIF('Database - Tornado Segments'!$U$8:$U$2008, "ShermanF0")+COUNTIF('Database - Tornado Segments'!$U$8:$U$2008, "ShermanEF0"))</f>
        <v>30</v>
      </c>
      <c r="C199" s="2">
        <f>(COUNTIF('Database - Tornado Segments'!$U$8:$U$2008, "ShermanF1")+COUNTIF('Database - Tornado Segments'!$U$8:$U$2008, "ShermanEF1"))</f>
        <v>6</v>
      </c>
      <c r="D199" s="2">
        <f>(COUNTIF('Database - Tornado Segments'!$U$8:$U$2008, "ShermanF2")+COUNTIF('Database - Tornado Segments'!$U$8:$U$2008, "ShermanEF2"))</f>
        <v>4</v>
      </c>
      <c r="E199" s="2">
        <f>(COUNTIF('Database - Tornado Segments'!$U$8:$U$2008, "ShermanF3")+COUNTIF('Database - Tornado Segments'!$U$8:$U$2008, "ShermanEF3"))</f>
        <v>0</v>
      </c>
      <c r="F199" s="2">
        <f>(COUNTIF('Database - Tornado Segments'!$U$8:$U$2008, "ShermanF4")+COUNTIF('Database - Tornado Segments'!$U$8:$U$2008, "ShermanEF4"))</f>
        <v>1</v>
      </c>
      <c r="G199" s="2">
        <f>(COUNTIF('Database - Tornado Segments'!$U$8:$U$2008, "ShermanF5")+COUNTIF('Database - Tornado Segments'!$U$8:$U$2008, "ShermanEF5"))</f>
        <v>0</v>
      </c>
      <c r="H199" s="1">
        <f>SUM(B199:G199)</f>
        <v>41</v>
      </c>
      <c r="I199" s="1">
        <f>COUNTIF('Database - Tornado Segments'!$G$8:$G$2008,"Sherman")</f>
        <v>41</v>
      </c>
      <c r="J199" s="25">
        <f t="shared" si="1"/>
        <v>3.2232704402515723E-2</v>
      </c>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c r="A200" s="10" t="s">
        <v>113</v>
      </c>
      <c r="B200" s="2">
        <f>(COUNTIF('Database - Tornado Segments'!$U$8:$U$2008, "PotterF0")+COUNTIF('Database - Tornado Segments'!$U$8:$U$2008, "PotterEF0"))</f>
        <v>23</v>
      </c>
      <c r="C200" s="2">
        <f>(COUNTIF('Database - Tornado Segments'!$U$8:$U$2008, "PotterF1")+COUNTIF('Database - Tornado Segments'!$U$8:$U$2008, "PotterEF1"))</f>
        <v>10</v>
      </c>
      <c r="D200" s="2">
        <f>(COUNTIF('Database - Tornado Segments'!$U$8:$U$2008, "PotterF2")+COUNTIF('Database - Tornado Segments'!$U$8:$U$2008, "PotterEF2"))</f>
        <v>5</v>
      </c>
      <c r="E200" s="2">
        <f>(COUNTIF('Database - Tornado Segments'!$U$8:$U$2008, "PotterF3")+COUNTIF('Database - Tornado Segments'!$U$8:$U$2008, "PotterEF3"))</f>
        <v>1</v>
      </c>
      <c r="F200" s="2">
        <f>(COUNTIF('Database - Tornado Segments'!$U$8:$U$2008, "PotterF4")+COUNTIF('Database - Tornado Segments'!$U$8:$U$2008, "PotterEF4"))</f>
        <v>0</v>
      </c>
      <c r="G200" s="2">
        <f>(COUNTIF('Database - Tornado Segments'!$U$8:$U$2008, "PotterF5")+COUNTIF('Database - Tornado Segments'!$U$8:$U$2008, "PotterEF5"))</f>
        <v>0</v>
      </c>
      <c r="H200" s="1">
        <f t="shared" ref="H200" si="3">SUM(B200:G200)</f>
        <v>39</v>
      </c>
      <c r="I200" s="1">
        <f>COUNTIF('Database - Tornado Segments'!$G$8:$G$2008,"Potter")</f>
        <v>39</v>
      </c>
      <c r="J200" s="25">
        <f t="shared" si="1"/>
        <v>3.0660377358490566E-2</v>
      </c>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c r="A201" s="10" t="s">
        <v>117</v>
      </c>
      <c r="B201" s="2">
        <f>(COUNTIF('Database - Tornado Segments'!$U$8:$U$2008, "Deaf SmithF0")+COUNTIF('Database - Tornado Segments'!$U$8:$U$2008, "Deaf SmithEF0"))</f>
        <v>27</v>
      </c>
      <c r="C201" s="2">
        <f>(COUNTIF('Database - Tornado Segments'!$U$8:$U$2008, "Deaf SmithF1")+COUNTIF('Database - Tornado Segments'!$U$8:$U$2008, "Deaf SmithEF1"))</f>
        <v>8</v>
      </c>
      <c r="D201" s="2">
        <f>(COUNTIF('Database - Tornado Segments'!$U$8:$U$2008, "Deaf SmithF2")+COUNTIF('Database - Tornado Segments'!$U$8:$U$2008, "Deaf SmithEF2"))</f>
        <v>2</v>
      </c>
      <c r="E201" s="2">
        <f>(COUNTIF('Database - Tornado Segments'!$U$8:$U$2008, "Deaf SmithF3")+COUNTIF('Database - Tornado Segments'!$U$8:$U$2008, "Deaf SmithEF3"))</f>
        <v>1</v>
      </c>
      <c r="F201" s="2">
        <f>(COUNTIF('Database - Tornado Segments'!$U$8:$U$2008, "Deaf SmithF4")+COUNTIF('Database - Tornado Segments'!$U$8:$U$2008, "Deaf SmithEF4"))</f>
        <v>0</v>
      </c>
      <c r="G201" s="2">
        <f>(COUNTIF('Database - Tornado Segments'!$U$8:$U$2008, "Deaf SmithF5")+COUNTIF('Database - Tornado Segments'!$U$8:$U$2008, "Deaf SmithEF5"))</f>
        <v>0</v>
      </c>
      <c r="H201" s="1">
        <f t="shared" si="0"/>
        <v>38</v>
      </c>
      <c r="I201" s="1">
        <f>COUNTIF('Database - Tornado Segments'!$G$8:$G$2008,"Deaf Smith")</f>
        <v>38</v>
      </c>
      <c r="J201" s="25">
        <f t="shared" si="1"/>
        <v>2.9874213836477988E-2</v>
      </c>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c r="A202" s="10" t="s">
        <v>107</v>
      </c>
      <c r="B202" s="2">
        <f>(COUNTIF('Database - Tornado Segments'!$U$8:$U$2008, "HartleyF0")+COUNTIF('Database - Tornado Segments'!$U$8:$U$2008, "HartleyEF0"))</f>
        <v>26</v>
      </c>
      <c r="C202" s="2">
        <f>(COUNTIF('Database - Tornado Segments'!$U$8:$U$2008, "HartleyF1")+COUNTIF('Database - Tornado Segments'!$U$8:$U$2008, "HartleyEF1"))</f>
        <v>7</v>
      </c>
      <c r="D202" s="2">
        <f>(COUNTIF('Database - Tornado Segments'!$U$8:$U$2008, "HartleyF2")+COUNTIF('Database - Tornado Segments'!$U$8:$U$2008, "HartleyEF2"))</f>
        <v>3</v>
      </c>
      <c r="E202" s="2">
        <f>(COUNTIF('Database - Tornado Segments'!$U$8:$U$2008, "HartleyF3")+COUNTIF('Database - Tornado Segments'!$U$8:$U$2008, "HartleyEF3"))</f>
        <v>0</v>
      </c>
      <c r="F202" s="2">
        <f>(COUNTIF('Database - Tornado Segments'!$U$8:$U$2008, "HartleyF4")+COUNTIF('Database - Tornado Segments'!$U$8:$U$2008, "HartleyEF4"))</f>
        <v>0</v>
      </c>
      <c r="G202" s="2">
        <f>(COUNTIF('Database - Tornado Segments'!$U$8:$U$2008, "HartleyF5")+COUNTIF('Database - Tornado Segments'!$U$8:$U$2008, "HartleyEF5"))</f>
        <v>0</v>
      </c>
      <c r="H202" s="1">
        <f>SUM(B202:G202)</f>
        <v>36</v>
      </c>
      <c r="I202" s="1">
        <f>COUNTIF('Database - Tornado Segments'!$G$8:$G$2008,"Hartley")</f>
        <v>36</v>
      </c>
      <c r="J202" s="25">
        <f t="shared" si="1"/>
        <v>2.8301886792452831E-2</v>
      </c>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c r="A203" s="10" t="s">
        <v>102</v>
      </c>
      <c r="B203" s="2">
        <f>(COUNTIF('Database - Tornado Segments'!$U$8:$U$2008, "DallamF0")+COUNTIF('Database - Tornado Segments'!$U$8:$U$2008, "DallamEF0"))</f>
        <v>21</v>
      </c>
      <c r="C203" s="2">
        <f>(COUNTIF('Database - Tornado Segments'!$U$8:$U$2008, "DallamF1")+COUNTIF('Database - Tornado Segments'!$U$8:$U$2008, "DallamEF1"))</f>
        <v>10</v>
      </c>
      <c r="D203" s="2">
        <f>(COUNTIF('Database - Tornado Segments'!$U$8:$U$2008, "DallamF2")+COUNTIF('Database - Tornado Segments'!$U$8:$U$2008, "DallamEF2"))</f>
        <v>4</v>
      </c>
      <c r="E203" s="2">
        <f>(COUNTIF('Database - Tornado Segments'!$U$8:$U$2008, "DallamF3")+COUNTIF('Database - Tornado Segments'!$U$8:$U$2008, "DallamEF3"))</f>
        <v>0</v>
      </c>
      <c r="F203" s="2">
        <f>(COUNTIF('Database - Tornado Segments'!$U$8:$U$2008, "DallamF4")+COUNTIF('Database - Tornado Segments'!$U$8:$U$2008, "DallamEF4"))</f>
        <v>0</v>
      </c>
      <c r="G203" s="2">
        <f>(COUNTIF('Database - Tornado Segments'!$U$8:$U$2008, "DallamF5")+COUNTIF('Database - Tornado Segments'!$U$8:$U$2008, "DallamEF5"))</f>
        <v>0</v>
      </c>
      <c r="H203" s="1">
        <f t="shared" si="0"/>
        <v>35</v>
      </c>
      <c r="I203" s="1">
        <f>COUNTIF('Database - Tornado Segments'!$G$8:$G$2008,"Dallam")</f>
        <v>35</v>
      </c>
      <c r="J203" s="25">
        <f t="shared" si="1"/>
        <v>2.7515723270440252E-2</v>
      </c>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c r="A204" s="10" t="s">
        <v>112</v>
      </c>
      <c r="B204" s="2">
        <f>(COUNTIF('Database - Tornado Segments'!$U$8:$U$2008, "OldhamF0")+COUNTIF('Database - Tornado Segments'!$U$8:$U$2008, "OldhamEF0"))</f>
        <v>21</v>
      </c>
      <c r="C204" s="2">
        <f>(COUNTIF('Database - Tornado Segments'!$U$8:$U$2008, "OldhamF1")+COUNTIF('Database - Tornado Segments'!$U$8:$U$2008, "OldhamEF1"))</f>
        <v>4</v>
      </c>
      <c r="D204" s="2">
        <f>(COUNTIF('Database - Tornado Segments'!$U$8:$U$2008, "OldhamF2")+COUNTIF('Database - Tornado Segments'!$U$8:$U$2008, "OldhamEF2"))</f>
        <v>0</v>
      </c>
      <c r="E204" s="2">
        <f>(COUNTIF('Database - Tornado Segments'!$U$8:$U$2008, "OldhamF3")+COUNTIF('Database - Tornado Segments'!$U$8:$U$2008, "OldhamEF3"))</f>
        <v>0</v>
      </c>
      <c r="F204" s="2">
        <f>(COUNTIF('Database - Tornado Segments'!$U$8:$U$2008, "OldhamF4")+COUNTIF('Database - Tornado Segments'!$U$8:$U$2008, "OldhamEF4"))</f>
        <v>0</v>
      </c>
      <c r="G204" s="2">
        <f>(COUNTIF('Database - Tornado Segments'!$U$8:$U$2008, "OldhamF5")+COUNTIF('Database - Tornado Segments'!$U$8:$U$2008, "OldhamEF5"))</f>
        <v>0</v>
      </c>
      <c r="H204" s="1">
        <f t="shared" si="0"/>
        <v>25</v>
      </c>
      <c r="I204" s="1">
        <f>COUNTIF('Database - Tornado Segments'!$G$8:$G$2008,"Oldham")</f>
        <v>25</v>
      </c>
      <c r="J204" s="25">
        <f t="shared" si="1"/>
        <v>1.9654088050314465E-2</v>
      </c>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c r="A205" s="10"/>
      <c r="B205" s="1"/>
      <c r="C205" s="1"/>
      <c r="D205" s="1"/>
      <c r="E205" s="1"/>
      <c r="F205" s="1"/>
      <c r="G205" s="1"/>
      <c r="H205" s="1"/>
      <c r="I205" s="2"/>
      <c r="J205" s="2"/>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5.75">
      <c r="A206" s="4" t="s">
        <v>97</v>
      </c>
      <c r="B206" s="7">
        <f>SUM(B182:B204)</f>
        <v>807</v>
      </c>
      <c r="C206" s="7">
        <f>SUM(C182:C204)</f>
        <v>262</v>
      </c>
      <c r="D206" s="7">
        <f>SUM(D182:D204)</f>
        <v>137</v>
      </c>
      <c r="E206" s="7">
        <f>SUM(E182:E204)</f>
        <v>43</v>
      </c>
      <c r="F206" s="7">
        <f>SUM(F82:F204)</f>
        <v>23</v>
      </c>
      <c r="G206" s="7">
        <f>SUM(G182:G204)</f>
        <v>0</v>
      </c>
      <c r="H206" s="7">
        <f>SUM(H182:H204)</f>
        <v>1272</v>
      </c>
      <c r="I206" s="7">
        <f>SUM(I182:I204)</f>
        <v>1272</v>
      </c>
      <c r="J206" s="2"/>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c r="A207" s="6"/>
      <c r="B207" s="1"/>
      <c r="C207" s="1"/>
      <c r="D207" s="1"/>
      <c r="E207" s="1"/>
      <c r="F207" s="1"/>
      <c r="G207" s="1"/>
      <c r="H207" s="1"/>
      <c r="I207" s="2"/>
      <c r="J207" s="2"/>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c r="A208" s="6"/>
      <c r="B208" s="1"/>
      <c r="C208" s="1"/>
      <c r="D208" s="1"/>
      <c r="E208" s="1"/>
      <c r="F208" s="1"/>
      <c r="G208" s="1"/>
      <c r="H208" s="1"/>
      <c r="I208" s="2"/>
      <c r="J208" s="2"/>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5.75">
      <c r="A209" s="193" t="s">
        <v>1592</v>
      </c>
      <c r="B209" s="196"/>
      <c r="D209" s="159">
        <f>+H206-D210</f>
        <v>1074</v>
      </c>
      <c r="E209" s="193" t="s">
        <v>586</v>
      </c>
      <c r="F209" s="16"/>
      <c r="G209" s="16"/>
      <c r="H209" s="194" t="s">
        <v>158</v>
      </c>
      <c r="I209" s="195" t="s">
        <v>159</v>
      </c>
      <c r="J209" s="2"/>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c r="A210" s="193" t="s">
        <v>1593</v>
      </c>
      <c r="B210" s="196"/>
      <c r="D210" s="159">
        <f>+H185+H187+H194</f>
        <v>198</v>
      </c>
      <c r="E210" s="1"/>
      <c r="F210" s="1"/>
      <c r="G210" s="1"/>
      <c r="H210" s="163">
        <f>+D209/'Summary - Tornado Segments'!$D$5/Counties!H13</f>
        <v>7.114622934921073E-4</v>
      </c>
      <c r="I210" s="163">
        <f>+D210/'Summary - Tornado Segments'!$D$5/Counties!H12</f>
        <v>4.7518023250232795E-4</v>
      </c>
      <c r="J210" s="2"/>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c r="A211" s="193"/>
      <c r="C211" s="197" t="s">
        <v>500</v>
      </c>
      <c r="D211" s="415">
        <f>+D209+D210</f>
        <v>1272</v>
      </c>
      <c r="E211" s="1"/>
      <c r="F211" s="1"/>
      <c r="G211" s="1"/>
      <c r="H211" s="1"/>
      <c r="I211" s="2"/>
      <c r="J211" s="2"/>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5.75">
      <c r="A212" s="16"/>
      <c r="B212" s="21"/>
      <c r="C212" s="22"/>
      <c r="D212" s="23"/>
      <c r="E212" s="1"/>
      <c r="F212" s="1"/>
      <c r="G212" s="1"/>
      <c r="H212" s="1"/>
      <c r="I212" s="2"/>
      <c r="J212" s="2"/>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5.75">
      <c r="A213" s="16"/>
      <c r="B213" s="21"/>
      <c r="C213" s="22"/>
      <c r="D213" s="23"/>
      <c r="E213" s="1"/>
      <c r="F213" s="1"/>
      <c r="G213" s="1"/>
      <c r="H213" s="1"/>
      <c r="I213" s="2"/>
      <c r="J213" s="2"/>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5.75">
      <c r="A214" s="16"/>
      <c r="B214" s="21"/>
      <c r="C214" s="22"/>
      <c r="D214" s="23"/>
      <c r="E214" s="1"/>
      <c r="F214" s="1"/>
      <c r="G214" s="1"/>
      <c r="H214" s="1"/>
      <c r="I214" s="2"/>
      <c r="J214" s="2"/>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5.75">
      <c r="A215" s="16"/>
      <c r="B215" s="21"/>
      <c r="C215" s="22"/>
      <c r="D215" s="23"/>
      <c r="E215" s="1"/>
      <c r="F215" s="1"/>
      <c r="G215" s="1"/>
      <c r="H215" s="1"/>
      <c r="I215" s="2"/>
      <c r="J215" s="2"/>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5.75">
      <c r="A216" s="16"/>
      <c r="B216" s="21"/>
      <c r="C216" s="22"/>
      <c r="D216" s="23"/>
      <c r="E216" s="1"/>
      <c r="F216" s="1"/>
      <c r="G216" s="1"/>
      <c r="H216" s="1"/>
      <c r="I216" s="2"/>
      <c r="J216" s="2"/>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5.75">
      <c r="A217" s="16"/>
      <c r="B217" s="21"/>
      <c r="C217" s="22"/>
      <c r="D217" s="23"/>
      <c r="E217" s="1"/>
      <c r="F217" s="1"/>
      <c r="G217" s="1"/>
      <c r="H217" s="1"/>
      <c r="I217" s="2"/>
      <c r="J217" s="2"/>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5.75">
      <c r="A218" s="16"/>
      <c r="B218" s="21"/>
      <c r="C218" s="22"/>
      <c r="D218" s="23"/>
      <c r="E218" s="1"/>
      <c r="F218" s="1"/>
      <c r="G218" s="1"/>
      <c r="H218" s="1"/>
      <c r="I218" s="2"/>
      <c r="J218" s="2"/>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5.75">
      <c r="A219" s="16"/>
      <c r="B219" s="21"/>
      <c r="C219" s="22"/>
      <c r="D219" s="23"/>
      <c r="E219" s="1"/>
      <c r="F219" s="1"/>
      <c r="G219" s="1"/>
      <c r="H219" s="1"/>
      <c r="I219" s="2"/>
      <c r="J219" s="2"/>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5.75">
      <c r="A220" s="16"/>
      <c r="B220" s="21"/>
      <c r="C220" s="22"/>
      <c r="D220" s="23"/>
      <c r="E220" s="1"/>
      <c r="F220" s="1"/>
      <c r="G220" s="1"/>
      <c r="H220" s="1"/>
      <c r="I220" s="2"/>
      <c r="J220" s="2"/>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5.75">
      <c r="A221" s="16"/>
      <c r="B221" s="21"/>
      <c r="C221" s="22"/>
      <c r="D221" s="23"/>
      <c r="E221" s="1"/>
      <c r="F221" s="1"/>
      <c r="G221" s="1"/>
      <c r="H221" s="1"/>
      <c r="I221" s="2"/>
      <c r="J221" s="2"/>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5.75">
      <c r="A222" s="16"/>
      <c r="B222" s="21"/>
      <c r="C222" s="22"/>
      <c r="D222" s="23"/>
      <c r="E222" s="1"/>
      <c r="F222" s="1"/>
      <c r="G222" s="1"/>
      <c r="H222" s="1"/>
      <c r="I222" s="2"/>
      <c r="J222" s="2"/>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5.75">
      <c r="A223" s="16"/>
      <c r="B223" s="21"/>
      <c r="C223" s="22"/>
      <c r="D223" s="23"/>
      <c r="E223" s="1"/>
      <c r="F223" s="1"/>
      <c r="G223" s="1"/>
      <c r="H223" s="1"/>
      <c r="I223" s="2"/>
      <c r="J223" s="2"/>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5.75">
      <c r="A224" s="16"/>
      <c r="B224" s="21"/>
      <c r="C224" s="22"/>
      <c r="D224" s="23"/>
      <c r="E224" s="1"/>
      <c r="F224" s="1"/>
      <c r="G224" s="1"/>
      <c r="H224" s="1"/>
      <c r="I224" s="2"/>
      <c r="J224" s="2"/>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5.75">
      <c r="A225" s="16"/>
      <c r="B225" s="21"/>
      <c r="C225" s="22"/>
      <c r="D225" s="23"/>
      <c r="E225" s="1"/>
      <c r="F225" s="1"/>
      <c r="G225" s="1"/>
      <c r="H225" s="1"/>
      <c r="I225" s="2"/>
      <c r="J225" s="2"/>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5.75">
      <c r="A226" s="16"/>
      <c r="B226" s="21"/>
      <c r="C226" s="22"/>
      <c r="D226" s="23"/>
      <c r="E226" s="1"/>
      <c r="F226" s="1"/>
      <c r="G226" s="1"/>
      <c r="H226" s="1"/>
      <c r="I226" s="2"/>
      <c r="J226" s="2"/>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5.75">
      <c r="A227" s="16"/>
      <c r="B227" s="21"/>
      <c r="C227" s="22"/>
      <c r="D227" s="23"/>
      <c r="E227" s="1"/>
      <c r="F227" s="1"/>
      <c r="G227" s="1"/>
      <c r="H227" s="1"/>
      <c r="I227" s="2"/>
      <c r="J227" s="2"/>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5.75">
      <c r="A228" s="16"/>
      <c r="B228" s="21"/>
      <c r="C228" s="22"/>
      <c r="D228" s="23"/>
      <c r="E228" s="1"/>
      <c r="F228" s="1"/>
      <c r="G228" s="1"/>
      <c r="H228" s="1"/>
      <c r="I228" s="2"/>
      <c r="J228" s="2"/>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5.75">
      <c r="A229" s="16"/>
      <c r="B229" s="21"/>
      <c r="C229" s="22"/>
      <c r="D229" s="23"/>
      <c r="E229" s="1"/>
      <c r="F229" s="1"/>
      <c r="G229" s="1"/>
      <c r="H229" s="1"/>
      <c r="I229" s="2"/>
      <c r="J229" s="2"/>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5.75">
      <c r="A230" s="16"/>
      <c r="B230" s="21"/>
      <c r="C230" s="22"/>
      <c r="D230" s="23"/>
      <c r="E230" s="1"/>
      <c r="F230" s="1"/>
      <c r="G230" s="1"/>
      <c r="H230" s="1"/>
      <c r="I230" s="2"/>
      <c r="J230" s="2"/>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5.75">
      <c r="A231" s="16"/>
      <c r="B231" s="21"/>
      <c r="C231" s="22"/>
      <c r="D231" s="23"/>
      <c r="E231" s="1"/>
      <c r="F231" s="1"/>
      <c r="G231" s="1"/>
      <c r="H231" s="1"/>
      <c r="I231" s="2"/>
      <c r="J231" s="2"/>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5.75">
      <c r="A232" s="16"/>
      <c r="B232" s="21"/>
      <c r="C232" s="22"/>
      <c r="D232" s="23"/>
      <c r="E232" s="1"/>
      <c r="F232" s="1"/>
      <c r="G232" s="1"/>
      <c r="H232" s="1"/>
      <c r="I232" s="2"/>
      <c r="J232" s="2"/>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5.75">
      <c r="A233" s="16"/>
      <c r="B233" s="21"/>
      <c r="C233" s="22"/>
      <c r="D233" s="23"/>
      <c r="E233" s="1"/>
      <c r="F233" s="1"/>
      <c r="G233" s="1"/>
      <c r="H233" s="1"/>
      <c r="I233" s="2"/>
      <c r="J233" s="2"/>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5.75">
      <c r="A234" s="16"/>
      <c r="B234" s="21"/>
      <c r="C234" s="22"/>
      <c r="D234" s="23"/>
      <c r="E234" s="1"/>
      <c r="F234" s="1"/>
      <c r="G234" s="1"/>
      <c r="H234" s="1"/>
      <c r="I234" s="2"/>
      <c r="J234" s="2"/>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5.75">
      <c r="A235" s="16"/>
      <c r="B235" s="21"/>
      <c r="C235" s="22"/>
      <c r="D235" s="23"/>
      <c r="E235" s="1"/>
      <c r="F235" s="1"/>
      <c r="G235" s="1"/>
      <c r="H235" s="1"/>
      <c r="I235" s="2"/>
      <c r="J235" s="2"/>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5.75">
      <c r="A236" s="16"/>
      <c r="B236" s="21"/>
      <c r="C236" s="22"/>
      <c r="D236" s="23"/>
      <c r="E236" s="1"/>
      <c r="F236" s="1"/>
      <c r="G236" s="1"/>
      <c r="H236" s="1"/>
      <c r="I236" s="2"/>
      <c r="J236" s="2"/>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5.75">
      <c r="A237" s="16"/>
      <c r="B237" s="21"/>
      <c r="C237" s="22"/>
      <c r="D237" s="23"/>
      <c r="E237" s="1"/>
      <c r="F237" s="1"/>
      <c r="G237" s="1"/>
      <c r="H237" s="1"/>
      <c r="I237" s="2"/>
      <c r="J237" s="2"/>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5.75">
      <c r="A238" s="16"/>
      <c r="B238" s="21"/>
      <c r="C238" s="22"/>
      <c r="D238" s="23"/>
      <c r="E238" s="1"/>
      <c r="F238" s="1"/>
      <c r="G238" s="1"/>
      <c r="H238" s="1"/>
      <c r="I238" s="2"/>
      <c r="J238" s="2"/>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5.75">
      <c r="A239" s="16"/>
      <c r="B239" s="21"/>
      <c r="C239" s="22"/>
      <c r="D239" s="23"/>
      <c r="E239" s="1"/>
      <c r="F239" s="1"/>
      <c r="G239" s="1"/>
      <c r="H239" s="1"/>
      <c r="I239" s="2"/>
      <c r="J239" s="2"/>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5.75">
      <c r="A240" s="16"/>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spans="1:49" ht="15.75">
      <c r="A241" s="16"/>
      <c r="B241" s="1068" t="s">
        <v>795</v>
      </c>
      <c r="C241" s="1069"/>
      <c r="D241" s="1069"/>
      <c r="E241" s="1069"/>
      <c r="F241" s="1069"/>
      <c r="G241" s="1069"/>
      <c r="H241" s="1069"/>
      <c r="I241" s="106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row>
    <row r="242" spans="1:49" ht="16.5" thickBot="1">
      <c r="A242" s="16"/>
      <c r="B242" s="21"/>
      <c r="C242" s="22"/>
      <c r="D242" s="23"/>
      <c r="E242" s="1"/>
      <c r="F242" s="1"/>
      <c r="G242" s="1"/>
      <c r="H242" s="1"/>
      <c r="I242" s="2"/>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row>
    <row r="243" spans="1:49" ht="30.75" thickTop="1">
      <c r="A243" s="16"/>
      <c r="B243" s="21"/>
      <c r="C243" s="1073">
        <f>+H194</f>
        <v>49</v>
      </c>
      <c r="D243" s="1074"/>
      <c r="E243" s="1075">
        <f>+H185</f>
        <v>75</v>
      </c>
      <c r="F243" s="1076"/>
      <c r="G243" s="1075">
        <f>+H187</f>
        <v>74</v>
      </c>
      <c r="H243" s="1077"/>
      <c r="I243" s="2"/>
      <c r="J243" s="2"/>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row>
    <row r="244" spans="1:49" ht="16.5" thickBot="1">
      <c r="A244" s="16"/>
      <c r="B244" s="21"/>
      <c r="C244" s="1078" t="s">
        <v>56</v>
      </c>
      <c r="D244" s="1079"/>
      <c r="E244" s="1070" t="s">
        <v>100</v>
      </c>
      <c r="F244" s="1071"/>
      <c r="G244" s="1070" t="s">
        <v>101</v>
      </c>
      <c r="H244" s="1072"/>
      <c r="I244" s="2"/>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row>
    <row r="245" spans="1:49" ht="31.5" thickTop="1" thickBot="1">
      <c r="A245" s="16"/>
      <c r="B245" s="21"/>
      <c r="C245" s="1086">
        <f>+H203</f>
        <v>35</v>
      </c>
      <c r="D245" s="1087"/>
      <c r="E245" s="883">
        <f>+H199</f>
        <v>41</v>
      </c>
      <c r="F245" s="781">
        <f>+H189</f>
        <v>63</v>
      </c>
      <c r="G245" s="781">
        <f>+H188</f>
        <v>65</v>
      </c>
      <c r="H245" s="890">
        <f>+H198</f>
        <v>41</v>
      </c>
      <c r="I245" s="2"/>
      <c r="J245" s="2"/>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row>
    <row r="246" spans="1:49" ht="17.25" thickTop="1" thickBot="1">
      <c r="A246" s="16"/>
      <c r="B246" s="21"/>
      <c r="C246" s="1088" t="s">
        <v>102</v>
      </c>
      <c r="D246" s="1089"/>
      <c r="E246" s="884" t="s">
        <v>103</v>
      </c>
      <c r="F246" s="398" t="s">
        <v>104</v>
      </c>
      <c r="G246" s="398" t="s">
        <v>105</v>
      </c>
      <c r="H246" s="891" t="s">
        <v>106</v>
      </c>
      <c r="I246" s="2"/>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row>
    <row r="247" spans="1:49" ht="31.5" thickTop="1" thickBot="1">
      <c r="A247" s="16"/>
      <c r="B247" s="21"/>
      <c r="C247" s="1086">
        <f>+H202</f>
        <v>36</v>
      </c>
      <c r="D247" s="1087"/>
      <c r="E247" s="784">
        <f>+H191</f>
        <v>58</v>
      </c>
      <c r="F247" s="824">
        <f>+H186</f>
        <v>74</v>
      </c>
      <c r="G247" s="883">
        <f>+H197</f>
        <v>41</v>
      </c>
      <c r="H247" s="792">
        <f>+H193</f>
        <v>50</v>
      </c>
      <c r="I247" s="2"/>
      <c r="J247" s="2"/>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row>
    <row r="248" spans="1:49" ht="17.25" thickTop="1" thickBot="1">
      <c r="A248" s="16"/>
      <c r="B248" s="21"/>
      <c r="C248" s="1090" t="s">
        <v>107</v>
      </c>
      <c r="D248" s="1089"/>
      <c r="E248" s="605" t="s">
        <v>108</v>
      </c>
      <c r="F248" s="827" t="s">
        <v>109</v>
      </c>
      <c r="G248" s="884" t="s">
        <v>110</v>
      </c>
      <c r="H248" s="823" t="s">
        <v>111</v>
      </c>
      <c r="I248" s="2"/>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row>
    <row r="249" spans="1:49" ht="31.5" thickTop="1" thickBot="1">
      <c r="A249" s="16"/>
      <c r="B249" s="21"/>
      <c r="C249" s="1093">
        <f>+H204</f>
        <v>25</v>
      </c>
      <c r="D249" s="1094"/>
      <c r="E249" s="783">
        <f>+H200</f>
        <v>39</v>
      </c>
      <c r="F249" s="938">
        <f>+H182</f>
        <v>91</v>
      </c>
      <c r="G249" s="825">
        <f>+H183</f>
        <v>87</v>
      </c>
      <c r="H249" s="792">
        <f>+H192</f>
        <v>54</v>
      </c>
      <c r="I249" s="2"/>
      <c r="J249" s="2"/>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row>
    <row r="250" spans="1:49" ht="17.25" thickTop="1" thickBot="1">
      <c r="A250" s="16"/>
      <c r="B250" s="21"/>
      <c r="C250" s="1095" t="s">
        <v>112</v>
      </c>
      <c r="D250" s="1096"/>
      <c r="E250" s="407" t="s">
        <v>113</v>
      </c>
      <c r="F250" s="939" t="s">
        <v>114</v>
      </c>
      <c r="G250" s="826" t="s">
        <v>115</v>
      </c>
      <c r="H250" s="823" t="s">
        <v>116</v>
      </c>
      <c r="I250" s="2"/>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row>
    <row r="251" spans="1:49" ht="31.5" thickTop="1" thickBot="1">
      <c r="A251" s="16"/>
      <c r="B251" s="22"/>
      <c r="C251" s="1086">
        <f>+H201</f>
        <v>38</v>
      </c>
      <c r="D251" s="1087"/>
      <c r="E251" s="825">
        <f>+H184</f>
        <v>84</v>
      </c>
      <c r="F251" s="892">
        <f>+H195</f>
        <v>46</v>
      </c>
      <c r="G251" s="781">
        <f>+H190</f>
        <v>62</v>
      </c>
      <c r="H251" s="785">
        <f>+H196</f>
        <v>44</v>
      </c>
      <c r="I251" s="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row>
    <row r="252" spans="1:49" ht="17.25" thickTop="1" thickBot="1">
      <c r="A252" s="16"/>
      <c r="B252" s="21"/>
      <c r="C252" s="1091" t="s">
        <v>117</v>
      </c>
      <c r="D252" s="1092"/>
      <c r="E252" s="979" t="s">
        <v>118</v>
      </c>
      <c r="F252" s="893" t="s">
        <v>119</v>
      </c>
      <c r="G252" s="894" t="s">
        <v>120</v>
      </c>
      <c r="H252" s="791" t="s">
        <v>121</v>
      </c>
      <c r="I252" s="2"/>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row>
    <row r="253" spans="1:49" ht="16.5" thickTop="1">
      <c r="A253" s="16"/>
      <c r="B253" s="21"/>
      <c r="C253" s="22"/>
      <c r="D253" s="23"/>
      <c r="E253" s="1"/>
      <c r="F253" s="1"/>
      <c r="G253" s="1"/>
      <c r="H253" s="1"/>
      <c r="I253" s="2"/>
      <c r="J253" s="2"/>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row>
    <row r="254" spans="1:49" ht="15.75">
      <c r="A254" s="404" t="s">
        <v>756</v>
      </c>
      <c r="B254" s="405" t="s">
        <v>749</v>
      </c>
      <c r="C254" s="788" t="s">
        <v>750</v>
      </c>
      <c r="D254" s="789" t="s">
        <v>751</v>
      </c>
      <c r="E254" s="419" t="s">
        <v>752</v>
      </c>
      <c r="F254" s="406" t="s">
        <v>753</v>
      </c>
      <c r="G254" s="402" t="s">
        <v>754</v>
      </c>
      <c r="H254" s="822" t="s">
        <v>755</v>
      </c>
      <c r="I254" s="821" t="s">
        <v>757</v>
      </c>
      <c r="J254" s="403" t="s">
        <v>796</v>
      </c>
      <c r="AR254" s="1"/>
      <c r="AS254" s="1"/>
      <c r="AT254" s="1"/>
      <c r="AU254" s="1"/>
      <c r="AV254" s="1"/>
      <c r="AW254" s="1"/>
    </row>
    <row r="255" spans="1:49" ht="15.75">
      <c r="A255" s="16"/>
      <c r="B255" s="21"/>
      <c r="C255" s="782"/>
      <c r="D255" s="23"/>
      <c r="E255" s="1"/>
      <c r="F255" s="1"/>
      <c r="G255" s="1"/>
      <c r="H255" s="1"/>
      <c r="I255" s="2"/>
      <c r="J255" s="2"/>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row>
    <row r="256" spans="1:49" ht="15.75">
      <c r="A256" s="16"/>
      <c r="B256" s="21"/>
      <c r="C256" s="22"/>
      <c r="D256" s="23"/>
      <c r="E256" s="1"/>
      <c r="F256" s="1"/>
      <c r="G256" s="1"/>
      <c r="H256" s="1"/>
      <c r="I256" s="2"/>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row>
    <row r="257" spans="1:49" ht="15.75">
      <c r="A257" s="16"/>
      <c r="B257" s="21"/>
      <c r="C257" s="22"/>
      <c r="D257" s="23"/>
      <c r="E257" s="1"/>
      <c r="F257" s="1"/>
      <c r="G257" s="1"/>
      <c r="H257" s="1"/>
      <c r="I257" s="2"/>
      <c r="J257" s="2"/>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row>
    <row r="258" spans="1:49" ht="23.25">
      <c r="A258" s="11" t="s">
        <v>1617</v>
      </c>
      <c r="B258" s="1"/>
      <c r="C258" s="1"/>
      <c r="D258" s="1"/>
      <c r="E258" s="1"/>
      <c r="F258" s="1"/>
      <c r="G258" s="1"/>
      <c r="H258" s="1"/>
      <c r="I258" s="2"/>
      <c r="J258" s="2"/>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row>
    <row r="259" spans="1:49" ht="15.75">
      <c r="A259" s="19"/>
      <c r="B259" s="1"/>
      <c r="C259" s="1"/>
      <c r="D259" s="1"/>
      <c r="E259" s="1"/>
      <c r="F259" s="1"/>
      <c r="G259" s="1"/>
      <c r="H259" s="1"/>
      <c r="I259" s="2"/>
      <c r="J259" s="2"/>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row>
    <row r="260" spans="1:49">
      <c r="A260" s="1" t="s">
        <v>166</v>
      </c>
      <c r="B260" s="13">
        <f t="shared" ref="B260:B265" si="4">C260/$C$267</f>
        <v>0.65167620605069498</v>
      </c>
      <c r="C260" s="12">
        <f>'Summary - Whole Tornadoes'!C100</f>
        <v>797</v>
      </c>
      <c r="D260" s="1"/>
      <c r="E260" s="1"/>
      <c r="F260" s="3"/>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row>
    <row r="261" spans="1:49">
      <c r="A261" s="12" t="s">
        <v>167</v>
      </c>
      <c r="B261" s="13">
        <f t="shared" si="4"/>
        <v>0.20523303352412101</v>
      </c>
      <c r="C261" s="12">
        <f>'Summary - Whole Tornadoes'!D100</f>
        <v>251</v>
      </c>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row>
    <row r="262" spans="1:49">
      <c r="A262" s="12" t="s">
        <v>168</v>
      </c>
      <c r="B262" s="13">
        <f t="shared" si="4"/>
        <v>0.10302534750613246</v>
      </c>
      <c r="C262" s="12">
        <f>'Summary - Whole Tornadoes'!E100</f>
        <v>126</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row>
    <row r="263" spans="1:49">
      <c r="A263" s="12" t="s">
        <v>169</v>
      </c>
      <c r="B263" s="13">
        <f t="shared" si="4"/>
        <v>3.025347506132461E-2</v>
      </c>
      <c r="C263" s="12">
        <f>'Summary - Whole Tornadoes'!F100</f>
        <v>37</v>
      </c>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row>
    <row r="264" spans="1:49">
      <c r="A264" s="12" t="s">
        <v>170</v>
      </c>
      <c r="B264" s="13">
        <f t="shared" si="4"/>
        <v>9.8119378577269014E-3</v>
      </c>
      <c r="C264" s="12">
        <f>'Summary - Whole Tornadoes'!G100</f>
        <v>12</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row>
    <row r="265" spans="1:49">
      <c r="A265" s="12" t="s">
        <v>171</v>
      </c>
      <c r="B265" s="13">
        <f t="shared" si="4"/>
        <v>0</v>
      </c>
      <c r="C265" s="12">
        <f>'Summary - Whole Tornadoes'!H100</f>
        <v>0</v>
      </c>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row>
    <row r="266" spans="1:49">
      <c r="A266" s="12"/>
      <c r="B266" s="1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row>
    <row r="267" spans="1:49" ht="15.75">
      <c r="A267" s="12"/>
      <c r="B267" s="54" t="s">
        <v>500</v>
      </c>
      <c r="C267" s="16">
        <f>SUM(C260:C265)</f>
        <v>1223</v>
      </c>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row>
    <row r="268" spans="1:49">
      <c r="A268" s="12"/>
      <c r="B268" s="13"/>
      <c r="C268" s="12"/>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row>
    <row r="269" spans="1:49" ht="15" customHeight="1">
      <c r="A269" s="12"/>
      <c r="B269" s="13"/>
      <c r="C269" s="12"/>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row>
    <row r="270" spans="1:49">
      <c r="A270" s="12"/>
      <c r="B270" s="13"/>
      <c r="C270" s="12"/>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row>
    <row r="271" spans="1:49">
      <c r="A271" s="12"/>
      <c r="B271" s="13"/>
      <c r="C271" s="12"/>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row>
    <row r="272" spans="1:49">
      <c r="A272" s="12"/>
      <c r="B272" s="13"/>
      <c r="C272" s="12"/>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row>
    <row r="273" spans="1:49">
      <c r="A273" s="12"/>
      <c r="B273" s="13"/>
      <c r="C273" s="12"/>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row>
    <row r="274" spans="1:49">
      <c r="A274" s="12"/>
      <c r="B274" s="13"/>
      <c r="C274" s="12"/>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row>
    <row r="275" spans="1:49">
      <c r="A275" s="12"/>
      <c r="B275" s="13"/>
      <c r="C275" s="12"/>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row>
    <row r="276" spans="1:49">
      <c r="A276" s="12"/>
      <c r="B276" s="13"/>
      <c r="C276" s="12"/>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row>
    <row r="277" spans="1:49">
      <c r="A277" s="12"/>
      <c r="B277" s="13"/>
      <c r="C277" s="12"/>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row>
    <row r="278" spans="1:49">
      <c r="A278" s="12"/>
      <c r="B278" s="13"/>
      <c r="C278" s="12"/>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row>
    <row r="279" spans="1:49">
      <c r="A279" s="12"/>
      <c r="B279" s="13"/>
      <c r="C279" s="12"/>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row>
    <row r="280" spans="1:49">
      <c r="A280" s="12"/>
      <c r="B280" s="13"/>
      <c r="C280" s="12"/>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row>
    <row r="281" spans="1:49">
      <c r="A281" s="12"/>
      <c r="B281" s="13"/>
      <c r="C281" s="12"/>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row>
    <row r="282" spans="1:49">
      <c r="A282" s="12"/>
      <c r="B282" s="13"/>
      <c r="C282" s="12"/>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row>
    <row r="283" spans="1:49">
      <c r="A283" s="12"/>
      <c r="B283" s="13"/>
      <c r="C283" s="12"/>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row>
    <row r="284" spans="1:49">
      <c r="A284" s="12"/>
      <c r="B284" s="13"/>
      <c r="C284" s="12"/>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row>
    <row r="285" spans="1:49">
      <c r="A285" s="12"/>
      <c r="B285" s="13"/>
      <c r="C285" s="12"/>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row>
    <row r="286" spans="1:49">
      <c r="A286" s="12"/>
      <c r="B286" s="13"/>
      <c r="C286" s="12"/>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row>
    <row r="287" spans="1:49">
      <c r="A287" s="12"/>
      <c r="B287" s="13"/>
      <c r="C287" s="12"/>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row>
    <row r="288" spans="1:49">
      <c r="A288" s="12"/>
      <c r="B288" s="13"/>
      <c r="C288" s="12"/>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row>
    <row r="289" spans="1:49">
      <c r="A289" s="12"/>
      <c r="B289" s="13"/>
      <c r="C289" s="12"/>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row>
    <row r="290" spans="1:49">
      <c r="A290" s="12"/>
      <c r="B290" s="13"/>
      <c r="C290" s="12"/>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row>
    <row r="291" spans="1:49">
      <c r="A291" s="12"/>
      <c r="B291" s="13"/>
      <c r="C291" s="12"/>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row>
    <row r="292" spans="1:49">
      <c r="A292" s="12"/>
      <c r="B292" s="13"/>
      <c r="C292" s="12"/>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row>
    <row r="293" spans="1:49">
      <c r="A293" s="12"/>
      <c r="B293" s="13"/>
      <c r="C293" s="12"/>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row>
    <row r="294" spans="1:49">
      <c r="A294" s="12"/>
      <c r="B294" s="13"/>
      <c r="C294" s="12"/>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row>
    <row r="295" spans="1:49">
      <c r="A295" s="12"/>
      <c r="B295" s="13"/>
      <c r="C295" s="12"/>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row>
    <row r="296" spans="1:49">
      <c r="A296" s="12"/>
      <c r="B296" s="13"/>
      <c r="C296" s="12"/>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row>
    <row r="297" spans="1:49" ht="23.25">
      <c r="A297" s="8" t="s">
        <v>1618</v>
      </c>
      <c r="B297" s="14"/>
      <c r="C297" s="12"/>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row>
    <row r="298" spans="1:49" ht="15.75">
      <c r="A298" s="16"/>
      <c r="B298" s="14"/>
      <c r="C298" s="12"/>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row>
    <row r="299" spans="1:49">
      <c r="A299" s="12" t="s">
        <v>1361</v>
      </c>
      <c r="B299" s="1"/>
      <c r="C299" s="1"/>
      <c r="D299" s="13">
        <f>B260+B261</f>
        <v>0.85690923957481602</v>
      </c>
      <c r="E299" s="1">
        <f>+C260+C261</f>
        <v>1048</v>
      </c>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row>
    <row r="300" spans="1:49">
      <c r="A300" s="12" t="s">
        <v>172</v>
      </c>
      <c r="B300" s="1"/>
      <c r="C300" s="1"/>
      <c r="D300" s="13">
        <f>B262+B263</f>
        <v>0.13327882256745707</v>
      </c>
      <c r="E300" s="1">
        <f>+C262+C263</f>
        <v>163</v>
      </c>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row>
    <row r="301" spans="1:49">
      <c r="A301" s="12" t="s">
        <v>173</v>
      </c>
      <c r="B301" s="1"/>
      <c r="C301" s="1"/>
      <c r="D301" s="13">
        <f>B264+B265</f>
        <v>9.8119378577269014E-3</v>
      </c>
      <c r="E301" s="1">
        <f>+C264+C265</f>
        <v>12</v>
      </c>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row>
    <row r="302" spans="1:49">
      <c r="A302" s="12"/>
      <c r="B302" s="1"/>
      <c r="C302" s="1"/>
      <c r="D302" s="14"/>
      <c r="E302" s="13"/>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row>
    <row r="303" spans="1:49" ht="15.75">
      <c r="A303" s="12"/>
      <c r="B303" s="1"/>
      <c r="C303" s="1"/>
      <c r="D303" s="54" t="s">
        <v>500</v>
      </c>
      <c r="E303" s="16">
        <f>SUM(E299:E301)</f>
        <v>1223</v>
      </c>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row>
    <row r="304" spans="1:49" ht="15.75">
      <c r="A304" s="12"/>
      <c r="B304" s="14"/>
      <c r="C304" s="16"/>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row>
    <row r="305" spans="1:49" ht="15.75">
      <c r="A305" s="12"/>
      <c r="B305" s="14"/>
      <c r="C305" s="16"/>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row>
    <row r="306" spans="1:49" ht="15.75">
      <c r="A306" s="12"/>
      <c r="B306" s="14"/>
      <c r="C306" s="16"/>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row>
    <row r="307" spans="1:49" ht="15.75">
      <c r="A307" s="12"/>
      <c r="B307" s="14"/>
      <c r="C307" s="16"/>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row>
    <row r="308" spans="1:49" ht="15.75">
      <c r="A308" s="12"/>
      <c r="B308" s="14"/>
      <c r="C308" s="16"/>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row>
    <row r="309" spans="1:49" ht="15.75">
      <c r="A309" s="12"/>
      <c r="B309" s="14"/>
      <c r="C309" s="16"/>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row>
    <row r="310" spans="1:49" ht="15.75">
      <c r="A310" s="12"/>
      <c r="B310" s="14"/>
      <c r="C310" s="16"/>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row>
    <row r="311" spans="1:49" ht="15.75">
      <c r="A311" s="12"/>
      <c r="B311" s="14"/>
      <c r="C311" s="16"/>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row>
    <row r="312" spans="1:49" ht="15.75">
      <c r="A312" s="12"/>
      <c r="B312" s="14"/>
      <c r="C312" s="16"/>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row>
    <row r="313" spans="1:49" ht="15.75">
      <c r="A313" s="12"/>
      <c r="B313" s="14"/>
      <c r="C313" s="16"/>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row>
    <row r="314" spans="1:49" ht="15.75">
      <c r="A314" s="12"/>
      <c r="B314" s="14"/>
      <c r="C314" s="16"/>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row>
    <row r="315" spans="1:49" ht="15.75">
      <c r="A315" s="12"/>
      <c r="B315" s="14"/>
      <c r="C315" s="16"/>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row>
    <row r="316" spans="1:49" ht="15.75">
      <c r="A316" s="12"/>
      <c r="B316" s="14"/>
      <c r="C316" s="16"/>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row>
    <row r="317" spans="1:49" ht="15.75">
      <c r="A317" s="12"/>
      <c r="B317" s="14"/>
      <c r="C317" s="16"/>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row>
    <row r="318" spans="1:49" ht="15.75">
      <c r="A318" s="12"/>
      <c r="B318" s="14"/>
      <c r="C318" s="16"/>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row>
    <row r="319" spans="1:49" ht="15.75">
      <c r="A319" s="12"/>
      <c r="B319" s="14"/>
      <c r="C319" s="16"/>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row>
    <row r="320" spans="1:49" ht="15.75">
      <c r="A320" s="12"/>
      <c r="B320" s="14"/>
      <c r="C320" s="16"/>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row>
    <row r="321" spans="1:49">
      <c r="A321" s="12"/>
      <c r="B321" s="14"/>
      <c r="C321" s="13"/>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row>
    <row r="322" spans="1:49">
      <c r="A322" s="12"/>
      <c r="B322" s="14"/>
      <c r="C322" s="13"/>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row>
    <row r="323" spans="1:49">
      <c r="A323" s="12"/>
      <c r="B323" s="14"/>
      <c r="C323" s="13"/>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row>
    <row r="324" spans="1:49">
      <c r="A324" s="12"/>
      <c r="B324" s="14"/>
      <c r="C324" s="13"/>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row>
    <row r="325" spans="1:4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row>
    <row r="326" spans="1:4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row>
    <row r="327" spans="1:4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row>
    <row r="328" spans="1:4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row>
    <row r="329" spans="1:4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row>
    <row r="330" spans="1:4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row>
    <row r="331" spans="1:4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row>
    <row r="332" spans="1:4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row>
    <row r="333" spans="1:49" ht="23.25">
      <c r="A333" s="8" t="s">
        <v>1619</v>
      </c>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row>
    <row r="334" spans="1:4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row>
    <row r="335" spans="1:49" ht="15.75">
      <c r="A335" s="1" t="s">
        <v>144</v>
      </c>
      <c r="B335" s="16">
        <f>COUNTIF('Database - Whole Tornadoes'!D5:D2005,"January")</f>
        <v>0</v>
      </c>
      <c r="C335" s="15">
        <f t="shared" ref="C335:C346" si="5">+B335/$B$348</f>
        <v>0</v>
      </c>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row>
    <row r="336" spans="1:49" ht="15.75">
      <c r="A336" s="1" t="s">
        <v>145</v>
      </c>
      <c r="B336" s="16">
        <f>COUNTIF('Database - Whole Tornadoes'!D5:D2005,"February")</f>
        <v>4</v>
      </c>
      <c r="C336" s="15">
        <f t="shared" si="5"/>
        <v>3.2706459525756338E-3</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row>
    <row r="337" spans="1:49" ht="15.75">
      <c r="A337" s="1" t="s">
        <v>146</v>
      </c>
      <c r="B337" s="16">
        <f>COUNTIF('Database - Whole Tornadoes'!D5:D2005,"March")</f>
        <v>54</v>
      </c>
      <c r="C337" s="15">
        <f t="shared" si="5"/>
        <v>4.4153720359771054E-2</v>
      </c>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row>
    <row r="338" spans="1:49" ht="15.75">
      <c r="A338" s="1" t="s">
        <v>147</v>
      </c>
      <c r="B338" s="16">
        <f>COUNTIF('Database - Whole Tornadoes'!D5:D2005,"April")</f>
        <v>121</v>
      </c>
      <c r="C338" s="15">
        <f t="shared" si="5"/>
        <v>9.8937040065412915E-2</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row>
    <row r="339" spans="1:49" ht="15.75">
      <c r="A339" s="1" t="s">
        <v>148</v>
      </c>
      <c r="B339" s="16">
        <f>COUNTIF('Database - Whole Tornadoes'!D5:D2005,"May")</f>
        <v>509</v>
      </c>
      <c r="C339" s="15">
        <f t="shared" si="5"/>
        <v>0.41618969746524936</v>
      </c>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row>
    <row r="340" spans="1:49" ht="15.75">
      <c r="A340" s="1" t="s">
        <v>149</v>
      </c>
      <c r="B340" s="16">
        <f>COUNTIF('Database - Whole Tornadoes'!D5:D2005,"June")</f>
        <v>370</v>
      </c>
      <c r="C340" s="15">
        <f t="shared" si="5"/>
        <v>0.30253475061324614</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row>
    <row r="341" spans="1:49" ht="15.75">
      <c r="A341" s="1" t="s">
        <v>150</v>
      </c>
      <c r="B341" s="16">
        <f>COUNTIF('Database - Whole Tornadoes'!D5:D2005,"July")</f>
        <v>65</v>
      </c>
      <c r="C341" s="15">
        <f t="shared" si="5"/>
        <v>5.3147996729354045E-2</v>
      </c>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row>
    <row r="342" spans="1:49" ht="15.75">
      <c r="A342" s="1" t="s">
        <v>151</v>
      </c>
      <c r="B342" s="16">
        <f>COUNTIF('Database - Whole Tornadoes'!D5:D2005,"August")</f>
        <v>39</v>
      </c>
      <c r="C342" s="15">
        <f t="shared" si="5"/>
        <v>3.188879803761243E-2</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row>
    <row r="343" spans="1:49" ht="15.75">
      <c r="A343" s="1" t="s">
        <v>152</v>
      </c>
      <c r="B343" s="16">
        <f>COUNTIF('Database - Whole Tornadoes'!D5:D2005,"September")</f>
        <v>19</v>
      </c>
      <c r="C343" s="15">
        <f t="shared" si="5"/>
        <v>1.5535568274734259E-2</v>
      </c>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row>
    <row r="344" spans="1:49" ht="15.75">
      <c r="A344" s="1" t="s">
        <v>153</v>
      </c>
      <c r="B344" s="16">
        <f>COUNTIF('Database - Whole Tornadoes'!D5:D2005,"October")</f>
        <v>15</v>
      </c>
      <c r="C344" s="15">
        <f t="shared" si="5"/>
        <v>1.2264922322158627E-2</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row>
    <row r="345" spans="1:49" ht="15.75">
      <c r="A345" s="1" t="s">
        <v>154</v>
      </c>
      <c r="B345" s="16">
        <f>COUNTIF('Database - Whole Tornadoes'!D5:D2005,"November")</f>
        <v>20</v>
      </c>
      <c r="C345" s="15">
        <f t="shared" si="5"/>
        <v>1.6353229762878167E-2</v>
      </c>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row>
    <row r="346" spans="1:49" ht="15.75">
      <c r="A346" s="1" t="s">
        <v>155</v>
      </c>
      <c r="B346" s="16">
        <f>COUNTIF('Database - Whole Tornadoes'!D5:D2005,"December")</f>
        <v>7</v>
      </c>
      <c r="C346" s="15">
        <f t="shared" si="5"/>
        <v>5.7236304170073587E-3</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row>
    <row r="347" spans="1:4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row>
    <row r="348" spans="1:49" ht="15.75">
      <c r="A348" s="54" t="s">
        <v>500</v>
      </c>
      <c r="B348" s="16">
        <f>SUM(B335:B346)</f>
        <v>1223</v>
      </c>
      <c r="C348" s="13"/>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row>
    <row r="349" spans="1:49" ht="15.75">
      <c r="A349" s="12"/>
      <c r="B349" s="16"/>
      <c r="C349" s="13"/>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row>
    <row r="350" spans="1:49" ht="15.75">
      <c r="A350" s="12"/>
      <c r="B350" s="16"/>
      <c r="C350" s="13"/>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row>
    <row r="351" spans="1:49" ht="15.75">
      <c r="A351" s="12"/>
      <c r="B351" s="16"/>
      <c r="C351" s="13"/>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row>
    <row r="352" spans="1:49" ht="15.75">
      <c r="A352" s="12"/>
      <c r="B352" s="16"/>
      <c r="C352" s="13"/>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row>
    <row r="353" spans="1:49" ht="15.75">
      <c r="A353" s="12"/>
      <c r="B353" s="16"/>
      <c r="C353" s="13"/>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row>
    <row r="354" spans="1:49" ht="15.75">
      <c r="A354" s="12"/>
      <c r="B354" s="16"/>
      <c r="C354" s="13"/>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row>
    <row r="355" spans="1:49" ht="15.75">
      <c r="A355" s="12"/>
      <c r="B355" s="16"/>
      <c r="C355" s="13"/>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row>
    <row r="356" spans="1:49" ht="15.75">
      <c r="A356" s="12"/>
      <c r="B356" s="16"/>
      <c r="C356" s="13"/>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row>
    <row r="357" spans="1:49" ht="15.75">
      <c r="A357" s="12"/>
      <c r="B357" s="16"/>
      <c r="C357" s="13"/>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row>
    <row r="358" spans="1:49" ht="15.75">
      <c r="A358" s="12"/>
      <c r="B358" s="16"/>
      <c r="C358" s="13"/>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row>
    <row r="359" spans="1:49" ht="15.75">
      <c r="A359" s="12"/>
      <c r="B359" s="16"/>
      <c r="C359" s="13"/>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row>
    <row r="360" spans="1:49" ht="15.75">
      <c r="A360" s="12"/>
      <c r="B360" s="16"/>
      <c r="C360" s="13"/>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row>
    <row r="361" spans="1:49" ht="16.5" thickBot="1">
      <c r="A361" s="12"/>
      <c r="B361" s="16"/>
      <c r="C361" s="13"/>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row>
    <row r="362" spans="1:49" ht="17.25" thickTop="1" thickBot="1">
      <c r="A362" s="672" t="s">
        <v>156</v>
      </c>
      <c r="B362" s="673" t="s">
        <v>967</v>
      </c>
      <c r="C362" s="674" t="s">
        <v>968</v>
      </c>
      <c r="D362" s="673" t="s">
        <v>969</v>
      </c>
      <c r="E362" s="673" t="s">
        <v>970</v>
      </c>
      <c r="F362" s="673" t="s">
        <v>148</v>
      </c>
      <c r="G362" s="673" t="s">
        <v>971</v>
      </c>
      <c r="H362" s="673" t="s">
        <v>972</v>
      </c>
      <c r="I362" s="673" t="s">
        <v>973</v>
      </c>
      <c r="J362" s="673" t="s">
        <v>974</v>
      </c>
      <c r="K362" s="673" t="s">
        <v>975</v>
      </c>
      <c r="L362" s="673" t="s">
        <v>976</v>
      </c>
      <c r="M362" s="673" t="s">
        <v>977</v>
      </c>
      <c r="N362" s="697" t="s">
        <v>190</v>
      </c>
      <c r="O362" s="699"/>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row>
    <row r="363" spans="1:49" ht="17.25" thickTop="1" thickBot="1">
      <c r="A363" s="683" t="s">
        <v>190</v>
      </c>
      <c r="B363" s="684">
        <f t="shared" ref="B363:M363" si="6">SUM(B365:B370)</f>
        <v>0</v>
      </c>
      <c r="C363" s="684">
        <f t="shared" si="6"/>
        <v>4</v>
      </c>
      <c r="D363" s="684">
        <f t="shared" si="6"/>
        <v>54</v>
      </c>
      <c r="E363" s="684">
        <f t="shared" si="6"/>
        <v>121</v>
      </c>
      <c r="F363" s="684">
        <f t="shared" si="6"/>
        <v>509</v>
      </c>
      <c r="G363" s="684">
        <f t="shared" si="6"/>
        <v>370</v>
      </c>
      <c r="H363" s="684">
        <f t="shared" si="6"/>
        <v>65</v>
      </c>
      <c r="I363" s="684">
        <f t="shared" si="6"/>
        <v>39</v>
      </c>
      <c r="J363" s="684">
        <f t="shared" si="6"/>
        <v>19</v>
      </c>
      <c r="K363" s="684">
        <f t="shared" si="6"/>
        <v>15</v>
      </c>
      <c r="L363" s="684">
        <f t="shared" si="6"/>
        <v>20</v>
      </c>
      <c r="M363" s="684">
        <f t="shared" si="6"/>
        <v>7</v>
      </c>
      <c r="N363" s="698">
        <f>SUM(B363:M363)</f>
        <v>1223</v>
      </c>
      <c r="O363" s="700"/>
      <c r="P363" s="842"/>
      <c r="Q363" s="842"/>
      <c r="R363" s="842"/>
      <c r="S363" s="842"/>
      <c r="T363" s="842"/>
      <c r="U363" s="842"/>
      <c r="V363" s="842"/>
      <c r="W363" s="842"/>
      <c r="X363" s="842"/>
      <c r="Y363" s="842"/>
      <c r="Z363" s="842"/>
      <c r="AA363" s="842"/>
      <c r="AB363" s="842"/>
      <c r="AC363" s="842"/>
      <c r="AD363" s="842"/>
      <c r="AE363" s="842"/>
      <c r="AF363" s="842"/>
      <c r="AG363" s="842"/>
      <c r="AH363" s="842"/>
      <c r="AI363" s="842"/>
      <c r="AJ363" s="842"/>
      <c r="AK363" s="842"/>
      <c r="AL363" s="842"/>
      <c r="AM363" s="842"/>
      <c r="AN363" s="1"/>
      <c r="AO363" s="1"/>
      <c r="AP363" s="1"/>
      <c r="AQ363" s="1"/>
      <c r="AR363" s="1"/>
      <c r="AS363" s="1"/>
      <c r="AT363" s="1"/>
      <c r="AU363" s="1"/>
      <c r="AV363" s="1"/>
      <c r="AW363" s="1"/>
    </row>
    <row r="364" spans="1:49" ht="16.5" thickTop="1">
      <c r="A364" s="685" t="s">
        <v>978</v>
      </c>
      <c r="B364" s="686">
        <f>+(B363/$N$363)</f>
        <v>0</v>
      </c>
      <c r="C364" s="686">
        <f t="shared" ref="C364:M364" si="7">+(C363/$N$363)</f>
        <v>3.2706459525756338E-3</v>
      </c>
      <c r="D364" s="686">
        <f t="shared" si="7"/>
        <v>4.4153720359771054E-2</v>
      </c>
      <c r="E364" s="686">
        <f t="shared" si="7"/>
        <v>9.8937040065412915E-2</v>
      </c>
      <c r="F364" s="686">
        <f t="shared" si="7"/>
        <v>0.41618969746524936</v>
      </c>
      <c r="G364" s="686">
        <f t="shared" si="7"/>
        <v>0.30253475061324614</v>
      </c>
      <c r="H364" s="686">
        <f t="shared" si="7"/>
        <v>5.3147996729354045E-2</v>
      </c>
      <c r="I364" s="686">
        <f t="shared" si="7"/>
        <v>3.188879803761243E-2</v>
      </c>
      <c r="J364" s="686">
        <f t="shared" si="7"/>
        <v>1.5535568274734259E-2</v>
      </c>
      <c r="K364" s="686">
        <f t="shared" si="7"/>
        <v>1.2264922322158627E-2</v>
      </c>
      <c r="L364" s="686">
        <f t="shared" si="7"/>
        <v>1.6353229762878167E-2</v>
      </c>
      <c r="M364" s="686">
        <f t="shared" si="7"/>
        <v>5.7236304170073587E-3</v>
      </c>
      <c r="N364" s="696">
        <f>SUM(B364:M364)</f>
        <v>1</v>
      </c>
      <c r="O364" s="696">
        <f>SUM(O365:O370)</f>
        <v>1</v>
      </c>
      <c r="P364" s="843"/>
      <c r="Q364" s="843"/>
      <c r="R364" s="843"/>
      <c r="S364" s="843"/>
      <c r="T364" s="843"/>
      <c r="U364" s="843"/>
      <c r="V364" s="843"/>
      <c r="W364" s="843"/>
      <c r="X364" s="843"/>
      <c r="Y364" s="843"/>
      <c r="Z364" s="843"/>
      <c r="AA364" s="843"/>
      <c r="AB364" s="843"/>
      <c r="AC364" s="843"/>
      <c r="AD364" s="843"/>
      <c r="AE364" s="843"/>
      <c r="AF364" s="843"/>
      <c r="AG364" s="843"/>
      <c r="AH364" s="843"/>
      <c r="AI364" s="843"/>
      <c r="AJ364" s="843"/>
      <c r="AK364" s="843"/>
      <c r="AL364" s="843"/>
      <c r="AM364" s="843"/>
      <c r="AN364" s="1"/>
      <c r="AO364" s="1"/>
      <c r="AP364" s="1"/>
      <c r="AQ364" s="1"/>
      <c r="AR364" s="1"/>
      <c r="AS364" s="1"/>
      <c r="AT364" s="1"/>
      <c r="AU364" s="1"/>
      <c r="AV364" s="1"/>
      <c r="AW364" s="1"/>
    </row>
    <row r="365" spans="1:49" ht="15.75">
      <c r="A365" s="681" t="s">
        <v>979</v>
      </c>
      <c r="B365" s="682">
        <f>COUNTIF('Database - Whole Tornadoes'!$R$5:$R$2005,"JanuaryF5")+COUNTIF('Database - Whole Tornadoes'!$R$5:$R$2005,"JanuaryEF5")</f>
        <v>0</v>
      </c>
      <c r="C365" s="682">
        <f>COUNTIF('Database - Whole Tornadoes'!$R$5:$R$2005,"FebruaryF5")+COUNTIF('Database - Whole Tornadoes'!$R$5:$R$2005,"FebruaryEF5")</f>
        <v>0</v>
      </c>
      <c r="D365" s="682">
        <f>COUNTIF('Database - Whole Tornadoes'!$R$5:$R$2005,"MarchF5")+COUNTIF('Database - Whole Tornadoes'!$R$5:$R$2005,"MarchEF5")</f>
        <v>0</v>
      </c>
      <c r="E365" s="682">
        <f>COUNTIF('Database - Whole Tornadoes'!$R$5:$R$2005,"AprilF5")+COUNTIF('Database - Whole Tornadoes'!$R$5:$R$2005,"AprilEF5")</f>
        <v>0</v>
      </c>
      <c r="F365" s="682">
        <f>COUNTIF('Database - Whole Tornadoes'!$R$5:$R$2005,"MayF5")+COUNTIF('Database - Whole Tornadoes'!$R$5:$R$2005,"MayEF5")</f>
        <v>0</v>
      </c>
      <c r="G365" s="682">
        <f>COUNTIF('Database - Whole Tornadoes'!$R$5:$R$2005,"JuneF5")+COUNTIF('Database - Whole Tornadoes'!$R$5:$R$2005,"JuneEF5")</f>
        <v>0</v>
      </c>
      <c r="H365" s="682">
        <f>COUNTIF('Database - Whole Tornadoes'!$R$5:$R$2005,"JulyF5")+COUNTIF('Database - Whole Tornadoes'!$R$5:$R$2005,"JulyEF5")</f>
        <v>0</v>
      </c>
      <c r="I365" s="682">
        <f>COUNTIF('Database - Whole Tornadoes'!$R$5:$R$2005,"AugustF5")+COUNTIF('Database - Whole Tornadoes'!$R$5:$R$2005,"AugustEF5")</f>
        <v>0</v>
      </c>
      <c r="J365" s="682">
        <f>COUNTIF('Database - Whole Tornadoes'!$R$5:$R$2005,"SeptemberF5")+COUNTIF('Database - Whole Tornadoes'!$R$5:$R$2005,"SeptemberEF5")</f>
        <v>0</v>
      </c>
      <c r="K365" s="682">
        <f>COUNTIF('Database - Whole Tornadoes'!$R$5:$R$2005,"OctoberF5")+COUNTIF('Database - Whole Tornadoes'!$R$5:$R$2005,"OctoberEF5")</f>
        <v>0</v>
      </c>
      <c r="L365" s="682">
        <f>COUNTIF('Database - Whole Tornadoes'!$R$5:$R$2005,"NovemberF5")+COUNTIF('Database - Whole Tornadoes'!$R$5:$R$2005,"NovemberEF5")</f>
        <v>0</v>
      </c>
      <c r="M365" s="682">
        <f>COUNTIF('Database - Whole Tornadoes'!$R$5:$R$2005,"DecemberF5")+COUNTIF('Database - Whole Tornadoes'!$R$5:$R$2005,"DecemberEF5")</f>
        <v>0</v>
      </c>
      <c r="N365" s="682">
        <f t="shared" ref="N365:N370" si="8">SUM(B365:M365)</f>
        <v>0</v>
      </c>
      <c r="O365" s="689">
        <f t="shared" ref="O365:O369" si="9">+N365/$N$363</f>
        <v>0</v>
      </c>
      <c r="P365" s="842"/>
      <c r="Q365" s="842"/>
      <c r="R365" s="842"/>
      <c r="S365" s="842"/>
      <c r="T365" s="842"/>
      <c r="U365" s="842"/>
      <c r="V365" s="842"/>
      <c r="W365" s="842"/>
      <c r="X365" s="842"/>
      <c r="Y365" s="842"/>
      <c r="Z365" s="842"/>
      <c r="AA365" s="842"/>
      <c r="AB365" s="842"/>
      <c r="AC365" s="842"/>
      <c r="AD365" s="842"/>
      <c r="AE365" s="842"/>
      <c r="AF365" s="842"/>
      <c r="AG365" s="842"/>
      <c r="AH365" s="842"/>
      <c r="AI365" s="842"/>
      <c r="AJ365" s="842"/>
      <c r="AK365" s="842"/>
      <c r="AL365" s="842"/>
      <c r="AM365" s="842"/>
      <c r="AN365" s="1"/>
      <c r="AO365" s="1"/>
      <c r="AP365" s="1"/>
      <c r="AQ365" s="1"/>
      <c r="AR365" s="1"/>
      <c r="AS365" s="1"/>
      <c r="AT365" s="1"/>
      <c r="AU365" s="1"/>
      <c r="AV365" s="1"/>
      <c r="AW365" s="1"/>
    </row>
    <row r="366" spans="1:49" ht="15.75">
      <c r="A366" s="681" t="s">
        <v>983</v>
      </c>
      <c r="B366" s="682">
        <f>COUNTIF('Database - Whole Tornadoes'!$R$5:$R$2005,"JanuaryF4")+COUNTIF('Database - Whole Tornadoes'!$R$5:$R$2005,"JanuaryEF4")</f>
        <v>0</v>
      </c>
      <c r="C366" s="682">
        <f>COUNTIF('Database - Whole Tornadoes'!$R$5:$R$2005,"FebruaryF4")+COUNTIF('Database - Whole Tornadoes'!$R$5:$R$2005,"FebruaryEF4")</f>
        <v>0</v>
      </c>
      <c r="D366" s="682">
        <f>COUNTIF('Database - Whole Tornadoes'!$R$5:$R$2005,"MarchF4")+COUNTIF('Database - Whole Tornadoes'!$R$5:$R$2005,"MarchEF4")</f>
        <v>1</v>
      </c>
      <c r="E366" s="682">
        <f>COUNTIF('Database - Whole Tornadoes'!$R$5:$R$2005,"AprilF4")+COUNTIF('Database - Whole Tornadoes'!$R$5:$R$2005,"AprilEF4")</f>
        <v>3</v>
      </c>
      <c r="F366" s="682">
        <f>COUNTIF('Database - Whole Tornadoes'!$R$5:$R$2005,"MayF4")+COUNTIF('Database - Whole Tornadoes'!$R$5:$R$2005,"MayEF4")</f>
        <v>2</v>
      </c>
      <c r="G366" s="682">
        <f>COUNTIF('Database - Whole Tornadoes'!$R$5:$R$2005,"JuneF4")+COUNTIF('Database - Whole Tornadoes'!$R$5:$R$2005,"JuneEF4")</f>
        <v>6</v>
      </c>
      <c r="H366" s="682">
        <f>COUNTIF('Database - Whole Tornadoes'!$R$5:$R$2005,"JulyF4")+COUNTIF('Database - Whole Tornadoes'!$R$5:$R$2005,"JulyEF4")</f>
        <v>0</v>
      </c>
      <c r="I366" s="682">
        <f>COUNTIF('Database - Whole Tornadoes'!$R$5:$R$2005,"AugustF4")+COUNTIF('Database - Whole Tornadoes'!$R$5:$R$2005,"AugustEF4")</f>
        <v>0</v>
      </c>
      <c r="J366" s="682">
        <f>COUNTIF('Database - Whole Tornadoes'!$R$5:$R$2005,"SeptemberF4")+COUNTIF('Database - Whole Tornadoes'!$R$5:$R$2005,"SeptemberEF4")</f>
        <v>0</v>
      </c>
      <c r="K366" s="682">
        <f>COUNTIF('Database - Whole Tornadoes'!$R$5:$R$2005,"OctoberF4")+COUNTIF('Database - Whole Tornadoes'!$R$5:$R$2005,"OctoberEF4")</f>
        <v>0</v>
      </c>
      <c r="L366" s="682">
        <f>COUNTIF('Database - Whole Tornadoes'!$R$5:$R$2005,"NovemberF4")+COUNTIF('Database - Whole Tornadoes'!$R$5:$R$2005,"NovemberEF4")</f>
        <v>0</v>
      </c>
      <c r="M366" s="682">
        <f>COUNTIF('Database - Whole Tornadoes'!$R$5:$R$2005,"DecemberF4")+COUNTIF('Database - Whole Tornadoes'!$R$5:$R$2005,"DecemberEF4")</f>
        <v>0</v>
      </c>
      <c r="N366" s="682">
        <f t="shared" si="8"/>
        <v>12</v>
      </c>
      <c r="O366" s="689">
        <f t="shared" si="9"/>
        <v>9.8119378577269014E-3</v>
      </c>
      <c r="P366" s="842"/>
      <c r="Q366" s="842"/>
      <c r="R366" s="842"/>
      <c r="S366" s="842"/>
      <c r="T366" s="842"/>
      <c r="U366" s="842"/>
      <c r="V366" s="842"/>
      <c r="W366" s="842"/>
      <c r="X366" s="842"/>
      <c r="Y366" s="842"/>
      <c r="Z366" s="842"/>
      <c r="AA366" s="842"/>
      <c r="AB366" s="842"/>
      <c r="AC366" s="842"/>
      <c r="AD366" s="842"/>
      <c r="AE366" s="842"/>
      <c r="AF366" s="842"/>
      <c r="AG366" s="842"/>
      <c r="AH366" s="842"/>
      <c r="AI366" s="842"/>
      <c r="AJ366" s="842"/>
      <c r="AK366" s="842"/>
      <c r="AL366" s="842"/>
      <c r="AM366" s="842"/>
      <c r="AN366" s="1"/>
      <c r="AO366" s="1"/>
      <c r="AP366" s="1"/>
      <c r="AQ366" s="1"/>
      <c r="AR366" s="1"/>
      <c r="AS366" s="1"/>
      <c r="AT366" s="1"/>
      <c r="AU366" s="1"/>
      <c r="AV366" s="1"/>
      <c r="AW366" s="1"/>
    </row>
    <row r="367" spans="1:49" ht="15.75">
      <c r="A367" s="679" t="s">
        <v>982</v>
      </c>
      <c r="B367" s="680">
        <f>COUNTIF('Database - Whole Tornadoes'!$R$5:$R$2005,"JanuaryF3")+COUNTIF('Database - Whole Tornadoes'!$R$5:$R$2005,"JanuaryEF3")</f>
        <v>0</v>
      </c>
      <c r="C367" s="680">
        <f>COUNTIF('Database - Whole Tornadoes'!$R$5:$R$2005,"FebruaryF3")+COUNTIF('Database - Whole Tornadoes'!$R$5:$R$2005,"FebruaryEF3")</f>
        <v>0</v>
      </c>
      <c r="D367" s="680">
        <f>COUNTIF('Database - Whole Tornadoes'!$R$5:$R$2005,"MarchF3")+COUNTIF('Database - Whole Tornadoes'!$R$5:$R$2005,"MarchEF3")</f>
        <v>5</v>
      </c>
      <c r="E367" s="680">
        <f>COUNTIF('Database - Whole Tornadoes'!$R$5:$R$2005,"AprilF3")+COUNTIF('Database - Whole Tornadoes'!$R$5:$R$2005,"AprilEF3")</f>
        <v>3</v>
      </c>
      <c r="F367" s="680">
        <f>COUNTIF('Database - Whole Tornadoes'!$R$5:$R$2005,"MayF3")+COUNTIF('Database - Whole Tornadoes'!$R$5:$R$2005,"MayEF3")</f>
        <v>17</v>
      </c>
      <c r="G367" s="680">
        <f>COUNTIF('Database - Whole Tornadoes'!$R$5:$R$2005,"JuneF3")+COUNTIF('Database - Whole Tornadoes'!$R$5:$R$2005,"JuneEF3")</f>
        <v>7</v>
      </c>
      <c r="H367" s="680">
        <f>COUNTIF('Database - Whole Tornadoes'!$R$5:$R$2005,"JulyF3")+COUNTIF('Database - Whole Tornadoes'!$R$5:$R$2005,"JulyEF3")</f>
        <v>2</v>
      </c>
      <c r="I367" s="680">
        <f>COUNTIF('Database - Whole Tornadoes'!$R$5:$R$2005,"AugustF3")+COUNTIF('Database - Whole Tornadoes'!$R$5:$R$2005,"AugustEF3")</f>
        <v>0</v>
      </c>
      <c r="J367" s="680">
        <f>COUNTIF('Database - Whole Tornadoes'!$R$5:$R$2005,"SeptemberF3")+COUNTIF('Database - Whole Tornadoes'!$R$5:$R$2005,"SeptemberEF3")</f>
        <v>0</v>
      </c>
      <c r="K367" s="680">
        <f>COUNTIF('Database - Whole Tornadoes'!$R$5:$R$2005,"OctoberF3")+COUNTIF('Database - Whole Tornadoes'!$R$5:$R$2005,"OctoberEF3")</f>
        <v>1</v>
      </c>
      <c r="L367" s="680">
        <f>COUNTIF('Database - Whole Tornadoes'!$R$5:$R$2005,"NovemberF3")+COUNTIF('Database - Whole Tornadoes'!$R$5:$R$2005,"NovemberEF3")</f>
        <v>2</v>
      </c>
      <c r="M367" s="680">
        <f>COUNTIF('Database - Whole Tornadoes'!$R$5:$R$2005,"DecemberF3")+COUNTIF('Database - Whole Tornadoes'!$R$5:$R$2005,"DecemberEF3")</f>
        <v>0</v>
      </c>
      <c r="N367" s="680">
        <f t="shared" si="8"/>
        <v>37</v>
      </c>
      <c r="O367" s="690">
        <f t="shared" si="9"/>
        <v>3.025347506132461E-2</v>
      </c>
      <c r="P367" s="842"/>
      <c r="Q367" s="842"/>
      <c r="R367" s="842"/>
      <c r="S367" s="842"/>
      <c r="T367" s="842"/>
      <c r="U367" s="842"/>
      <c r="V367" s="842"/>
      <c r="W367" s="842"/>
      <c r="X367" s="842"/>
      <c r="Y367" s="842"/>
      <c r="Z367" s="842"/>
      <c r="AA367" s="842"/>
      <c r="AB367" s="842"/>
      <c r="AC367" s="842"/>
      <c r="AD367" s="842"/>
      <c r="AE367" s="842"/>
      <c r="AF367" s="842"/>
      <c r="AG367" s="842"/>
      <c r="AH367" s="842"/>
      <c r="AI367" s="842"/>
      <c r="AJ367" s="842"/>
      <c r="AK367" s="842"/>
      <c r="AL367" s="842"/>
      <c r="AM367" s="842"/>
      <c r="AN367" s="1"/>
      <c r="AO367" s="1"/>
      <c r="AP367" s="1"/>
      <c r="AQ367" s="1"/>
      <c r="AR367" s="1"/>
      <c r="AS367" s="1"/>
      <c r="AT367" s="1"/>
      <c r="AU367" s="1"/>
      <c r="AV367" s="1"/>
      <c r="AW367" s="1"/>
    </row>
    <row r="368" spans="1:49" ht="15.75">
      <c r="A368" s="679" t="s">
        <v>981</v>
      </c>
      <c r="B368" s="680">
        <f>COUNTIF('Database - Whole Tornadoes'!$R$5:$R$2005,"JanuaryF2")+COUNTIF('Database - Whole Tornadoes'!$R$5:$R$2005,"JanuaryEF2")</f>
        <v>0</v>
      </c>
      <c r="C368" s="680">
        <f>COUNTIF('Database - Whole Tornadoes'!$R$5:$R$2005,"FebruaryF2")+COUNTIF('Database - Whole Tornadoes'!$R$5:$R$2005,"FebruaryEF2")</f>
        <v>0</v>
      </c>
      <c r="D368" s="680">
        <f>COUNTIF('Database - Whole Tornadoes'!$R$5:$R$2005,"MarchF2")+COUNTIF('Database - Whole Tornadoes'!$R$5:$R$2005,"MarchEF2")</f>
        <v>11</v>
      </c>
      <c r="E368" s="680">
        <f>COUNTIF('Database - Whole Tornadoes'!$R$5:$R$2005,"AprilF2")+COUNTIF('Database - Whole Tornadoes'!$R$5:$R$2005,"AprilEF2")</f>
        <v>16</v>
      </c>
      <c r="F368" s="680">
        <f>COUNTIF('Database - Whole Tornadoes'!$R$5:$R$2005,"MayF2")+COUNTIF('Database - Whole Tornadoes'!$R$5:$R$2005,"MayEF2")</f>
        <v>41</v>
      </c>
      <c r="G368" s="680">
        <f>COUNTIF('Database - Whole Tornadoes'!$R$5:$R$2005,"JuneF2")+COUNTIF('Database - Whole Tornadoes'!$R$5:$R$2005,"JuneEF2")</f>
        <v>46</v>
      </c>
      <c r="H368" s="680">
        <f>COUNTIF('Database - Whole Tornadoes'!$R$5:$R$2005,"JulyF2")+COUNTIF('Database - Whole Tornadoes'!$R$5:$R$2005,"JulyEF2")</f>
        <v>7</v>
      </c>
      <c r="I368" s="680">
        <f>COUNTIF('Database - Whole Tornadoes'!$R$5:$R$2005,"AugustF2")+COUNTIF('Database - Whole Tornadoes'!$R$5:$R$2005,"AugustEF2")</f>
        <v>1</v>
      </c>
      <c r="J368" s="680">
        <f>COUNTIF('Database - Whole Tornadoes'!$R$5:$R$2005,"SeptemberF2")+COUNTIF('Database - Whole Tornadoes'!$R$5:$R$2005,"SeptemberEF2")</f>
        <v>2</v>
      </c>
      <c r="K368" s="680">
        <f>COUNTIF('Database - Whole Tornadoes'!$R$5:$R$2005,"OctoberF2")+COUNTIF('Database - Whole Tornadoes'!$R$5:$R$2005,"OctoberEF2")</f>
        <v>0</v>
      </c>
      <c r="L368" s="680">
        <f>COUNTIF('Database - Whole Tornadoes'!$R$5:$R$2005,"NovemberF2")+COUNTIF('Database - Whole Tornadoes'!$R$5:$R$2005,"NovemberEF2")</f>
        <v>2</v>
      </c>
      <c r="M368" s="680">
        <f>COUNTIF('Database - Whole Tornadoes'!$R$5:$R$2005,"DecemberF2")+COUNTIF('Database - Whole Tornadoes'!$R$5:$R$2005,"DecemberEF2")</f>
        <v>0</v>
      </c>
      <c r="N368" s="680">
        <f t="shared" si="8"/>
        <v>126</v>
      </c>
      <c r="O368" s="690">
        <f t="shared" si="9"/>
        <v>0.10302534750613246</v>
      </c>
      <c r="P368" s="842"/>
      <c r="Q368" s="842"/>
      <c r="R368" s="842"/>
      <c r="S368" s="842"/>
      <c r="T368" s="842"/>
      <c r="U368" s="842"/>
      <c r="V368" s="842"/>
      <c r="W368" s="842"/>
      <c r="X368" s="842"/>
      <c r="Y368" s="842"/>
      <c r="Z368" s="842"/>
      <c r="AA368" s="842"/>
      <c r="AB368" s="842"/>
      <c r="AC368" s="842"/>
      <c r="AD368" s="842"/>
      <c r="AE368" s="842"/>
      <c r="AF368" s="842"/>
      <c r="AG368" s="842"/>
      <c r="AH368" s="842"/>
      <c r="AI368" s="842"/>
      <c r="AJ368" s="842"/>
      <c r="AK368" s="842"/>
      <c r="AL368" s="842"/>
      <c r="AM368" s="842"/>
      <c r="AN368" s="1"/>
      <c r="AO368" s="1"/>
      <c r="AP368" s="1"/>
      <c r="AQ368" s="1"/>
      <c r="AR368" s="1"/>
      <c r="AS368" s="1"/>
      <c r="AT368" s="1"/>
      <c r="AU368" s="1"/>
      <c r="AV368" s="1"/>
      <c r="AW368" s="1"/>
    </row>
    <row r="369" spans="1:49" ht="15.75">
      <c r="A369" s="675" t="s">
        <v>980</v>
      </c>
      <c r="B369" s="676">
        <f>COUNTIF('Database - Whole Tornadoes'!$R$5:$R$2005,"JanuaryF1")+COUNTIF('Database - Whole Tornadoes'!$R$5:$R$2005,"JanuaryEF1")</f>
        <v>0</v>
      </c>
      <c r="C369" s="676">
        <f>COUNTIF('Database - Whole Tornadoes'!$R$5:$R$2005,"FebruaryF1")+COUNTIF('Database - Whole Tornadoes'!$R$5:$R$2005,"FebruaryEF1")</f>
        <v>2</v>
      </c>
      <c r="D369" s="676">
        <f>COUNTIF('Database - Whole Tornadoes'!$R$5:$R$2005,"MarchF1")+COUNTIF('Database - Whole Tornadoes'!$R$5:$R$2005,"MarchEF1")</f>
        <v>13</v>
      </c>
      <c r="E369" s="676">
        <f>COUNTIF('Database - Whole Tornadoes'!$R$5:$R$2005,"AprilF1")+COUNTIF('Database - Whole Tornadoes'!$R$5:$R$2005,"AprilEF1")</f>
        <v>37</v>
      </c>
      <c r="F369" s="676">
        <f>COUNTIF('Database - Whole Tornadoes'!$R$5:$R$2005,"MayF1")+COUNTIF('Database - Whole Tornadoes'!$R$5:$R$2005,"MayEF1")</f>
        <v>82</v>
      </c>
      <c r="G369" s="676">
        <f>COUNTIF('Database - Whole Tornadoes'!$R$5:$R$2005,"JuneF1")+COUNTIF('Database - Whole Tornadoes'!$R$5:$R$2005,"JuneEF1")</f>
        <v>75</v>
      </c>
      <c r="H369" s="676">
        <f>COUNTIF('Database - Whole Tornadoes'!$R$5:$R$2005,"JulyF1")+COUNTIF('Database - Whole Tornadoes'!$R$5:$R$2005,"JulyEF1")</f>
        <v>16</v>
      </c>
      <c r="I369" s="676">
        <f>COUNTIF('Database - Whole Tornadoes'!$R$5:$R$2005,"AugustF1")+COUNTIF('Database - Whole Tornadoes'!$R$5:$R$2005,"AugustEF1")</f>
        <v>9</v>
      </c>
      <c r="J369" s="676">
        <f>COUNTIF('Database - Whole Tornadoes'!$R$5:$R$2005,"SeptemberF1")+COUNTIF('Database - Whole Tornadoes'!$R$5:$R$2005,"SeptemberEF1")</f>
        <v>2</v>
      </c>
      <c r="K369" s="676">
        <f>COUNTIF('Database - Whole Tornadoes'!$R$5:$R$2005,"OctoberF1")+COUNTIF('Database - Whole Tornadoes'!$R$5:$R$2005,"OctoberEF1")</f>
        <v>9</v>
      </c>
      <c r="L369" s="676">
        <f>COUNTIF('Database - Whole Tornadoes'!$R$5:$R$2005,"NovemberF1")+COUNTIF('Database - Whole Tornadoes'!$R$5:$R$2005,"NovemberEF1")</f>
        <v>6</v>
      </c>
      <c r="M369" s="676">
        <f>COUNTIF('Database - Whole Tornadoes'!$R$5:$R$2005,"DecemberF1")+COUNTIF('Database - Whole Tornadoes'!$R$5:$R$2005,"DecemberEF1")</f>
        <v>0</v>
      </c>
      <c r="N369" s="676">
        <f t="shared" si="8"/>
        <v>251</v>
      </c>
      <c r="O369" s="687">
        <f t="shared" si="9"/>
        <v>0.20523303352412101</v>
      </c>
      <c r="P369" s="842"/>
      <c r="Q369" s="842"/>
      <c r="R369" s="842"/>
      <c r="S369" s="842"/>
      <c r="T369" s="842"/>
      <c r="U369" s="842"/>
      <c r="V369" s="842"/>
      <c r="W369" s="842"/>
      <c r="X369" s="842"/>
      <c r="Y369" s="842"/>
      <c r="Z369" s="842"/>
      <c r="AA369" s="842"/>
      <c r="AB369" s="842"/>
      <c r="AC369" s="842"/>
      <c r="AD369" s="842"/>
      <c r="AE369" s="842"/>
      <c r="AF369" s="842"/>
      <c r="AG369" s="842"/>
      <c r="AH369" s="842"/>
      <c r="AI369" s="842"/>
      <c r="AJ369" s="842"/>
      <c r="AK369" s="842"/>
      <c r="AL369" s="842"/>
      <c r="AM369" s="842"/>
      <c r="AN369" s="1"/>
      <c r="AO369" s="1"/>
      <c r="AP369" s="1"/>
      <c r="AQ369" s="1"/>
      <c r="AR369" s="1"/>
      <c r="AS369" s="1"/>
      <c r="AT369" s="1"/>
      <c r="AU369" s="1"/>
      <c r="AV369" s="1"/>
      <c r="AW369" s="1"/>
    </row>
    <row r="370" spans="1:49" ht="16.5" thickBot="1">
      <c r="A370" s="677" t="s">
        <v>1368</v>
      </c>
      <c r="B370" s="678">
        <f>COUNTIF('Database - Whole Tornadoes'!$R$5:$R$2005,"JanuaryF0")+COUNTIF('Database - Whole Tornadoes'!$R$5:$R$2005,"JanuaryEF0")</f>
        <v>0</v>
      </c>
      <c r="C370" s="678">
        <f>COUNTIF('Database - Whole Tornadoes'!$R$5:$R$2005,"FebruaryF0")+COUNTIF('Database - Whole Tornadoes'!$R$5:$R$2005,"FebruaryEF0")</f>
        <v>2</v>
      </c>
      <c r="D370" s="678">
        <f>COUNTIF('Database - Whole Tornadoes'!$R$5:$R$2005,"MarchF0")+COUNTIF('Database - Whole Tornadoes'!$R$5:$R$2005,"MarchEF0")</f>
        <v>24</v>
      </c>
      <c r="E370" s="678">
        <f>COUNTIF('Database - Whole Tornadoes'!$R$5:$R$2005,"AprilF0")+COUNTIF('Database - Whole Tornadoes'!$R$5:$R$2005,"AprilEF0")</f>
        <v>62</v>
      </c>
      <c r="F370" s="678">
        <f>COUNTIF('Database - Whole Tornadoes'!$R$5:$R$2005,"MayF0")+COUNTIF('Database - Whole Tornadoes'!$R$5:$R$2005,"MayEF0")</f>
        <v>367</v>
      </c>
      <c r="G370" s="678">
        <f>COUNTIF('Database - Whole Tornadoes'!$R$5:$R$2005,"JuneF0")+COUNTIF('Database - Whole Tornadoes'!$R$5:$R$2005,"JuneEF0")</f>
        <v>236</v>
      </c>
      <c r="H370" s="678">
        <f>COUNTIF('Database - Whole Tornadoes'!$R$5:$R$2005,"JulyF0")+COUNTIF('Database - Whole Tornadoes'!$R$5:$R$2005,"JulyEF0")</f>
        <v>40</v>
      </c>
      <c r="I370" s="678">
        <f>COUNTIF('Database - Whole Tornadoes'!$R$5:$R$2005,"AugustF0")+COUNTIF('Database - Whole Tornadoes'!$R$5:$R$2005,"AugustEF0")</f>
        <v>29</v>
      </c>
      <c r="J370" s="678">
        <f>COUNTIF('Database - Whole Tornadoes'!$R$5:$R$2005,"SeptemberF0")+COUNTIF('Database - Whole Tornadoes'!$R$5:$R$2005,"SeptemberEF0")</f>
        <v>15</v>
      </c>
      <c r="K370" s="678">
        <f>COUNTIF('Database - Whole Tornadoes'!$R$5:$R$2005,"OctoberF0")+COUNTIF('Database - Whole Tornadoes'!$R$5:$R$2005,"OctoberEF0")</f>
        <v>5</v>
      </c>
      <c r="L370" s="678">
        <f>COUNTIF('Database - Whole Tornadoes'!$R$5:$R$2005,"NovemberF0")+COUNTIF('Database - Whole Tornadoes'!$R$5:$R$2005,"NovemberEF0")</f>
        <v>10</v>
      </c>
      <c r="M370" s="678">
        <f>COUNTIF('Database - Whole Tornadoes'!$R$5:$R$2005,"DecemberF0")+COUNTIF('Database - Whole Tornadoes'!$R$5:$R$2005,"DecemberEF0")</f>
        <v>7</v>
      </c>
      <c r="N370" s="678">
        <f t="shared" si="8"/>
        <v>797</v>
      </c>
      <c r="O370" s="688">
        <f>+N370/$N$363</f>
        <v>0.65167620605069498</v>
      </c>
      <c r="P370" s="842"/>
      <c r="Q370" s="842"/>
      <c r="R370" s="842"/>
      <c r="S370" s="842"/>
      <c r="T370" s="842"/>
      <c r="U370" s="842"/>
      <c r="V370" s="842"/>
      <c r="W370" s="842"/>
      <c r="X370" s="842"/>
      <c r="Y370" s="842"/>
      <c r="Z370" s="842"/>
      <c r="AA370" s="842"/>
      <c r="AB370" s="842"/>
      <c r="AC370" s="842"/>
      <c r="AD370" s="842"/>
      <c r="AE370" s="842"/>
      <c r="AF370" s="842"/>
      <c r="AG370" s="842"/>
      <c r="AH370" s="842"/>
      <c r="AI370" s="842"/>
      <c r="AJ370" s="842"/>
      <c r="AK370" s="842"/>
      <c r="AL370" s="842"/>
      <c r="AM370" s="842"/>
      <c r="AN370" s="1"/>
      <c r="AO370" s="1"/>
      <c r="AP370" s="1"/>
      <c r="AQ370" s="1"/>
      <c r="AR370" s="1"/>
      <c r="AS370" s="1"/>
      <c r="AT370" s="1"/>
      <c r="AU370" s="1"/>
      <c r="AV370" s="1"/>
      <c r="AW370" s="1"/>
    </row>
    <row r="371" spans="1:49" ht="16.5" thickTop="1">
      <c r="A371" s="12"/>
      <c r="B371" s="16"/>
      <c r="C371" s="13"/>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row>
    <row r="372" spans="1:49" ht="15.75">
      <c r="A372" s="12"/>
      <c r="B372" s="16"/>
      <c r="C372" s="13"/>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row>
    <row r="373" spans="1:49" ht="15.75">
      <c r="A373" s="12"/>
      <c r="B373" s="16"/>
      <c r="C373" s="13"/>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row>
    <row r="374" spans="1:49" ht="15.75">
      <c r="A374" s="12"/>
      <c r="B374" s="16"/>
      <c r="C374" s="13"/>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row>
    <row r="375" spans="1:49" ht="15.75">
      <c r="A375" s="12"/>
      <c r="B375" s="16"/>
      <c r="C375" s="13"/>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row>
    <row r="376" spans="1:49" ht="23.25">
      <c r="A376" s="8" t="s">
        <v>1620</v>
      </c>
      <c r="B376" s="16"/>
      <c r="C376" s="13"/>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row>
    <row r="377" spans="1:49" ht="15.75">
      <c r="A377" s="12"/>
      <c r="B377" s="16"/>
      <c r="C377" s="13"/>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row>
    <row r="378" spans="1:49" ht="15.75">
      <c r="A378" s="432" t="s">
        <v>797</v>
      </c>
      <c r="B378" s="16">
        <f>COUNTIF('Database - Whole Tornadoes'!$K$5:$K$2005,0)</f>
        <v>17</v>
      </c>
      <c r="C378" s="13">
        <f>+B378/$B$403</f>
        <v>1.3900245298446443E-2</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row>
    <row r="379" spans="1:49" ht="15.75">
      <c r="A379" s="432" t="s">
        <v>798</v>
      </c>
      <c r="B379" s="16">
        <f>COUNTIF('Database - Whole Tornadoes'!$K$5:$K$2005,1)</f>
        <v>10</v>
      </c>
      <c r="C379" s="13">
        <f t="shared" ref="C379:C401" si="10">+B379/$B$403</f>
        <v>8.1766148814390836E-3</v>
      </c>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row>
    <row r="380" spans="1:49" ht="15.75">
      <c r="A380" s="432" t="s">
        <v>799</v>
      </c>
      <c r="B380" s="16">
        <f>COUNTIF('Database - Whole Tornadoes'!$K$5:$K$2005,2)</f>
        <v>6</v>
      </c>
      <c r="C380" s="13">
        <f t="shared" si="10"/>
        <v>4.9059689288634507E-3</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row>
    <row r="381" spans="1:49" ht="15.75">
      <c r="A381" s="432" t="s">
        <v>800</v>
      </c>
      <c r="B381" s="16">
        <f>COUNTIF('Database - Whole Tornadoes'!$K$5:$K$2005,3)</f>
        <v>4</v>
      </c>
      <c r="C381" s="13">
        <f t="shared" si="10"/>
        <v>3.2706459525756338E-3</v>
      </c>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row>
    <row r="382" spans="1:49" ht="15.75">
      <c r="A382" s="433" t="s">
        <v>801</v>
      </c>
      <c r="B382" s="16">
        <f>COUNTIF('Database - Whole Tornadoes'!$K$5:$K$2005,4)</f>
        <v>1</v>
      </c>
      <c r="C382" s="13">
        <f t="shared" si="10"/>
        <v>8.1766148814390845E-4</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row>
    <row r="383" spans="1:49" ht="15.75">
      <c r="A383" s="432" t="s">
        <v>802</v>
      </c>
      <c r="B383" s="16">
        <f>COUNTIF('Database - Whole Tornadoes'!$K$5:$K$2005,5)</f>
        <v>0</v>
      </c>
      <c r="C383" s="13">
        <f t="shared" si="10"/>
        <v>0</v>
      </c>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row>
    <row r="384" spans="1:49" ht="15.75">
      <c r="A384" s="432" t="s">
        <v>803</v>
      </c>
      <c r="B384" s="16">
        <f>COUNTIF('Database - Whole Tornadoes'!$K$5:$K$2005,6)</f>
        <v>1</v>
      </c>
      <c r="C384" s="13">
        <f t="shared" si="10"/>
        <v>8.1766148814390845E-4</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row>
    <row r="385" spans="1:49" ht="15.75">
      <c r="A385" s="432" t="s">
        <v>804</v>
      </c>
      <c r="B385" s="16">
        <f>COUNTIF('Database - Whole Tornadoes'!$K$5:$K$2005,7)</f>
        <v>2</v>
      </c>
      <c r="C385" s="13">
        <f t="shared" si="10"/>
        <v>1.6353229762878169E-3</v>
      </c>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row>
    <row r="386" spans="1:49" ht="15.75">
      <c r="A386" s="432" t="s">
        <v>805</v>
      </c>
      <c r="B386" s="16">
        <f>COUNTIF('Database - Whole Tornadoes'!$K$5:$K$2005,8)</f>
        <v>2</v>
      </c>
      <c r="C386" s="13">
        <f t="shared" si="10"/>
        <v>1.6353229762878169E-3</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row>
    <row r="387" spans="1:49" ht="15.75">
      <c r="A387" s="432" t="s">
        <v>806</v>
      </c>
      <c r="B387" s="16">
        <f>COUNTIF('Database - Whole Tornadoes'!$K$5:$K$2005,9)</f>
        <v>2</v>
      </c>
      <c r="C387" s="13">
        <f t="shared" si="10"/>
        <v>1.6353229762878169E-3</v>
      </c>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row>
    <row r="388" spans="1:49" ht="15.75">
      <c r="A388" s="432" t="s">
        <v>807</v>
      </c>
      <c r="B388" s="16">
        <f>COUNTIF('Database - Whole Tornadoes'!$K$5:$K$2005,10)</f>
        <v>0</v>
      </c>
      <c r="C388" s="13">
        <f t="shared" si="10"/>
        <v>0</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row>
    <row r="389" spans="1:49" ht="15.75">
      <c r="A389" s="432" t="s">
        <v>808</v>
      </c>
      <c r="B389" s="16">
        <f>COUNTIF('Database - Whole Tornadoes'!$K$5:$K$2005,11)</f>
        <v>2</v>
      </c>
      <c r="C389" s="13">
        <f t="shared" si="10"/>
        <v>1.6353229762878169E-3</v>
      </c>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row>
    <row r="390" spans="1:49" ht="15.75">
      <c r="A390" s="432" t="s">
        <v>797</v>
      </c>
      <c r="B390" s="16">
        <f>COUNTIF('Database - Whole Tornadoes'!$K$5:$K$2005,12)</f>
        <v>11</v>
      </c>
      <c r="C390" s="13">
        <f t="shared" si="10"/>
        <v>8.9942763695829934E-3</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row>
    <row r="391" spans="1:49" ht="15.75">
      <c r="A391" s="433" t="s">
        <v>809</v>
      </c>
      <c r="B391" s="16">
        <f>COUNTIF('Database - Whole Tornadoes'!$K$5:$K$2005,13)</f>
        <v>27</v>
      </c>
      <c r="C391" s="13">
        <f t="shared" si="10"/>
        <v>2.2076860179885527E-2</v>
      </c>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row>
    <row r="392" spans="1:49" ht="15.75">
      <c r="A392" s="432" t="s">
        <v>810</v>
      </c>
      <c r="B392" s="16">
        <f>COUNTIF('Database - Whole Tornadoes'!$K$5:$K$2005,14)</f>
        <v>50</v>
      </c>
      <c r="C392" s="13">
        <f t="shared" si="10"/>
        <v>4.0883074407195422E-2</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row>
    <row r="393" spans="1:49" ht="15.75">
      <c r="A393" s="432" t="s">
        <v>811</v>
      </c>
      <c r="B393" s="16">
        <f>COUNTIF('Database - Whole Tornadoes'!$K$5:$K$2005,15)</f>
        <v>93</v>
      </c>
      <c r="C393" s="13">
        <f t="shared" si="10"/>
        <v>7.6042518397383477E-2</v>
      </c>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row>
    <row r="394" spans="1:49" ht="15.75">
      <c r="A394" s="432" t="s">
        <v>812</v>
      </c>
      <c r="B394" s="16">
        <f>COUNTIF('Database - Whole Tornadoes'!$K$5:$K$2005,16)</f>
        <v>179</v>
      </c>
      <c r="C394" s="13">
        <f t="shared" si="10"/>
        <v>0.1463614063777596</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row>
    <row r="395" spans="1:49" ht="15.75">
      <c r="A395" s="432" t="s">
        <v>813</v>
      </c>
      <c r="B395" s="16">
        <f>COUNTIF('Database - Whole Tornadoes'!$K$5:$K$2005,17)</f>
        <v>206</v>
      </c>
      <c r="C395" s="13">
        <f t="shared" si="10"/>
        <v>0.16843826655764513</v>
      </c>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row>
    <row r="396" spans="1:49" ht="15.75">
      <c r="A396" s="432" t="s">
        <v>814</v>
      </c>
      <c r="B396" s="16">
        <f>COUNTIF('Database - Whole Tornadoes'!$K$5:$K$2005,18)</f>
        <v>207</v>
      </c>
      <c r="C396" s="13">
        <f t="shared" si="10"/>
        <v>0.16925592804578904</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row>
    <row r="397" spans="1:49" ht="15.75">
      <c r="A397" s="432" t="s">
        <v>815</v>
      </c>
      <c r="B397" s="16">
        <f>COUNTIF('Database - Whole Tornadoes'!$K$5:$K$2005,19)</f>
        <v>185</v>
      </c>
      <c r="C397" s="13">
        <f t="shared" si="10"/>
        <v>0.15126737530662307</v>
      </c>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row>
    <row r="398" spans="1:49" ht="15.75">
      <c r="A398" s="432" t="s">
        <v>816</v>
      </c>
      <c r="B398" s="16">
        <f>COUNTIF('Database - Whole Tornadoes'!$K$5:$K$2005,20)</f>
        <v>103</v>
      </c>
      <c r="C398" s="13">
        <f t="shared" si="10"/>
        <v>8.4219133278822564E-2</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row>
    <row r="399" spans="1:49" ht="15.75">
      <c r="A399" s="432" t="s">
        <v>817</v>
      </c>
      <c r="B399" s="16">
        <f>COUNTIF('Database - Whole Tornadoes'!$K$5:$K$2005,21)</f>
        <v>54</v>
      </c>
      <c r="C399" s="13">
        <f t="shared" si="10"/>
        <v>4.4153720359771054E-2</v>
      </c>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row>
    <row r="400" spans="1:49" ht="15.75">
      <c r="A400" s="432" t="s">
        <v>818</v>
      </c>
      <c r="B400" s="16">
        <f>COUNTIF('Database - Whole Tornadoes'!$K$5:$K$2005,22)</f>
        <v>30</v>
      </c>
      <c r="C400" s="13">
        <f t="shared" si="10"/>
        <v>2.4529844644317254E-2</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row>
    <row r="401" spans="1:49" ht="15.75">
      <c r="A401" s="432" t="s">
        <v>819</v>
      </c>
      <c r="B401" s="16">
        <f>COUNTIF('Database - Whole Tornadoes'!$K$5:$K$2005,23)</f>
        <v>31</v>
      </c>
      <c r="C401" s="13">
        <f t="shared" si="10"/>
        <v>2.5347506132461162E-2</v>
      </c>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row>
    <row r="402" spans="1:49">
      <c r="A402" s="12"/>
      <c r="B402" s="1"/>
      <c r="C402" s="13"/>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row>
    <row r="403" spans="1:49" ht="15.75">
      <c r="A403" s="54" t="s">
        <v>500</v>
      </c>
      <c r="B403" s="16">
        <f>SUM(B378:B401)</f>
        <v>1223</v>
      </c>
      <c r="C403" s="13"/>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row>
    <row r="404" spans="1:49" ht="15.75">
      <c r="A404" s="12"/>
      <c r="B404" s="16"/>
      <c r="C404" s="13"/>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row>
    <row r="405" spans="1:49" ht="15.75">
      <c r="A405" s="12"/>
      <c r="B405" s="16"/>
      <c r="C405" s="13"/>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row>
    <row r="406" spans="1:49" ht="23.25">
      <c r="A406" s="8" t="s">
        <v>844</v>
      </c>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row>
    <row r="407" spans="1:49"/>
    <row r="408" spans="1:49" ht="15.75">
      <c r="A408" s="432" t="s">
        <v>797</v>
      </c>
      <c r="B408" s="408">
        <f>COUNTIF('Database - Whole Tornadoes'!$Q$5:$Q$2005,"F40")+COUNTIF('Database - Whole Tornadoes'!$Q$5:$Q$2005,"EF40")+COUNTIF('Database - Whole Tornadoes'!$Q$5:$Q$2005,"F50")+COUNTIF('Database - Whole Tornadoes'!$Q$5:$Q$2005,"EF50")</f>
        <v>0</v>
      </c>
      <c r="C408" s="410">
        <f t="shared" ref="C408:C431" si="11">+B408/$B$433</f>
        <v>0</v>
      </c>
    </row>
    <row r="409" spans="1:49" ht="15.75">
      <c r="A409" s="432" t="s">
        <v>798</v>
      </c>
      <c r="B409" s="408">
        <f>COUNTIF('Database - Whole Tornadoes'!$Q$5:$Q$2005,"F41")+COUNTIF('Database - Whole Tornadoes'!$Q$5:$Q$2005,"EF41")+COUNTIF('Database - Whole Tornadoes'!$Q$5:$Q$2005,"F51")+COUNTIF('Database - Whole Tornadoes'!$Q$5:$Q$2005,"EF51")</f>
        <v>1</v>
      </c>
      <c r="C409" s="410">
        <f t="shared" si="11"/>
        <v>8.3333333333333329E-2</v>
      </c>
    </row>
    <row r="410" spans="1:49" ht="15.75">
      <c r="A410" s="432" t="s">
        <v>799</v>
      </c>
      <c r="B410" s="408">
        <f>COUNTIF('Database - Whole Tornadoes'!$Q$5:$Q$2005,"F42")+COUNTIF('Database - Whole Tornadoes'!$Q$5:$Q$2005,"EF42")+COUNTIF('Database - Whole Tornadoes'!$Q$5:$Q$2005,"F52")+COUNTIF('Database - Whole Tornadoes'!$Q$5:$Q$2005,"EF52")</f>
        <v>0</v>
      </c>
      <c r="C410" s="410">
        <f t="shared" si="11"/>
        <v>0</v>
      </c>
    </row>
    <row r="411" spans="1:49" ht="15.75">
      <c r="A411" s="432" t="s">
        <v>800</v>
      </c>
      <c r="B411" s="408">
        <f>COUNTIF('Database - Whole Tornadoes'!$Q$5:$Q$2005,"F43")+COUNTIF('Database - Whole Tornadoes'!$Q$5:$Q$2005,"EF43")+COUNTIF('Database - Whole Tornadoes'!$Q$5:$Q$2005,"F53")+COUNTIF('Database - Whole Tornadoes'!$Q$5:$Q$2005,"EF53")</f>
        <v>0</v>
      </c>
      <c r="C411" s="410">
        <f t="shared" si="11"/>
        <v>0</v>
      </c>
    </row>
    <row r="412" spans="1:49" ht="15.75">
      <c r="A412" s="433" t="s">
        <v>801</v>
      </c>
      <c r="B412" s="408">
        <f>COUNTIF('Database - Whole Tornadoes'!$Q$5:$Q$2005,"F44")+COUNTIF('Database - Whole Tornadoes'!$Q$5:$Q$2005,"EF44")+COUNTIF('Database - Whole Tornadoes'!$Q$5:$Q$2005,"F54")+COUNTIF('Database - Whole Tornadoes'!$Q$5:$Q$2005,"EF54")</f>
        <v>0</v>
      </c>
      <c r="C412" s="410">
        <f t="shared" si="11"/>
        <v>0</v>
      </c>
    </row>
    <row r="413" spans="1:49" ht="15.75">
      <c r="A413" s="432" t="s">
        <v>802</v>
      </c>
      <c r="B413" s="408">
        <f>COUNTIF('Database - Whole Tornadoes'!$Q$5:$Q$2005,"F45")+COUNTIF('Database - Whole Tornadoes'!$Q$5:$Q$2005,"EF45")+COUNTIF('Database - Whole Tornadoes'!$Q$5:$Q$2005,"F55")+COUNTIF('Database - Whole Tornadoes'!$Q$5:$Q$2005,"EF55")</f>
        <v>0</v>
      </c>
      <c r="C413" s="410">
        <f t="shared" si="11"/>
        <v>0</v>
      </c>
    </row>
    <row r="414" spans="1:49" ht="15.75">
      <c r="A414" s="432" t="s">
        <v>803</v>
      </c>
      <c r="B414" s="408">
        <f>COUNTIF('Database - Whole Tornadoes'!$Q$5:$Q$2005,"F46")+COUNTIF('Database - Whole Tornadoes'!$Q$5:$Q$2005,"EF46")+COUNTIF('Database - Whole Tornadoes'!$Q$5:$Q$2005,"F56")+COUNTIF('Database - Whole Tornadoes'!$Q$5:$Q$2005,"EF56")</f>
        <v>0</v>
      </c>
      <c r="C414" s="410">
        <f t="shared" si="11"/>
        <v>0</v>
      </c>
    </row>
    <row r="415" spans="1:49" ht="15.75">
      <c r="A415" s="432" t="s">
        <v>804</v>
      </c>
      <c r="B415" s="408">
        <f>COUNTIF('Database - Whole Tornadoes'!$Q$5:$Q$2005,"F47")+COUNTIF('Database - Whole Tornadoes'!$Q$5:$Q$2005,"EF47")+COUNTIF('Database - Whole Tornadoes'!$Q$5:$Q$2005,"F57")+COUNTIF('Database - Whole Tornadoes'!$Q$5:$Q$2005,"EF57")</f>
        <v>0</v>
      </c>
      <c r="C415" s="410">
        <f t="shared" si="11"/>
        <v>0</v>
      </c>
    </row>
    <row r="416" spans="1:49" ht="15.75">
      <c r="A416" s="432" t="s">
        <v>805</v>
      </c>
      <c r="B416" s="408">
        <f>COUNTIF('Database - Whole Tornadoes'!$Q$5:$Q$2005,"F48")+COUNTIF('Database - Whole Tornadoes'!$Q$5:$Q$2005,"EF48")+COUNTIF('Database - Whole Tornadoes'!$Q$5:$Q$2005,"F58")+COUNTIF('Database - Whole Tornadoes'!$Q$5:$Q$2005,"EF58")</f>
        <v>0</v>
      </c>
      <c r="C416" s="410">
        <f t="shared" si="11"/>
        <v>0</v>
      </c>
    </row>
    <row r="417" spans="1:3" ht="15.75">
      <c r="A417" s="432" t="s">
        <v>806</v>
      </c>
      <c r="B417" s="408">
        <f>COUNTIF('Database - Whole Tornadoes'!$Q$5:$Q$2005,"F49")+COUNTIF('Database - Whole Tornadoes'!$Q$5:$Q$2005,"EF49")+COUNTIF('Database - Whole Tornadoes'!$Q$5:$Q$2005,"F59")+COUNTIF('Database - Whole Tornadoes'!$Q$5:$Q$2005,"EF59")</f>
        <v>0</v>
      </c>
      <c r="C417" s="410">
        <f t="shared" si="11"/>
        <v>0</v>
      </c>
    </row>
    <row r="418" spans="1:3" ht="15.75">
      <c r="A418" s="432" t="s">
        <v>807</v>
      </c>
      <c r="B418" s="408">
        <f>COUNTIF('Database - Whole Tornadoes'!$Q$5:$Q$2005,"F410")+COUNTIF('Database - Whole Tornadoes'!$Q$5:$Q$2005,"EF410")+COUNTIF('Database - Whole Tornadoes'!$Q$5:$Q$2005,"F510")+COUNTIF('Database - Whole Tornadoes'!$Q$5:$Q$2005,"EF510")</f>
        <v>0</v>
      </c>
      <c r="C418" s="410">
        <f t="shared" si="11"/>
        <v>0</v>
      </c>
    </row>
    <row r="419" spans="1:3" ht="15.75">
      <c r="A419" s="432" t="s">
        <v>808</v>
      </c>
      <c r="B419" s="408">
        <f>COUNTIF('Database - Whole Tornadoes'!$Q$5:$Q$2005,"F411")+COUNTIF('Database - Whole Tornadoes'!$Q$5:$Q$2005,"EF411")+COUNTIF('Database - Whole Tornadoes'!$Q$5:$Q$2005,"F511")+COUNTIF('Database - Whole Tornadoes'!$Q$5:$Q$2005,"EF511")</f>
        <v>0</v>
      </c>
      <c r="C419" s="410">
        <f t="shared" si="11"/>
        <v>0</v>
      </c>
    </row>
    <row r="420" spans="1:3" ht="15.75">
      <c r="A420" s="432" t="s">
        <v>797</v>
      </c>
      <c r="B420" s="408">
        <f>COUNTIF('Database - Whole Tornadoes'!$Q$5:$Q$2005,"F412")+COUNTIF('Database - Whole Tornadoes'!$Q$5:$Q$2005,"EF412")+COUNTIF('Database - Whole Tornadoes'!$Q$5:$Q$2005,"F512")+COUNTIF('Database - Whole Tornadoes'!$Q$5:$Q$2005,"EF512")</f>
        <v>0</v>
      </c>
      <c r="C420" s="410">
        <f t="shared" si="11"/>
        <v>0</v>
      </c>
    </row>
    <row r="421" spans="1:3" ht="15.75">
      <c r="A421" s="433" t="s">
        <v>809</v>
      </c>
      <c r="B421" s="408">
        <f>COUNTIF('Database - Whole Tornadoes'!$Q$5:$Q$2005,"F413")+COUNTIF('Database - Whole Tornadoes'!$Q$5:$Q$2005,"EF413")+COUNTIF('Database - Whole Tornadoes'!$Q$5:$Q$2005,"F513")+COUNTIF('Database - Whole Tornadoes'!$Q$5:$Q$2005,"EF513")</f>
        <v>1</v>
      </c>
      <c r="C421" s="410">
        <f t="shared" si="11"/>
        <v>8.3333333333333329E-2</v>
      </c>
    </row>
    <row r="422" spans="1:3" ht="15.75">
      <c r="A422" s="432" t="s">
        <v>810</v>
      </c>
      <c r="B422" s="408">
        <f>COUNTIF('Database - Whole Tornadoes'!$Q$5:$Q$2005,"F414")+COUNTIF('Database - Whole Tornadoes'!$Q$5:$Q$2005,"EF414")+COUNTIF('Database - Whole Tornadoes'!$Q$5:$Q$2005,"F514")+COUNTIF('Database - Whole Tornadoes'!$Q$5:$Q$2005,"EF514")</f>
        <v>0</v>
      </c>
      <c r="C422" s="410">
        <f t="shared" si="11"/>
        <v>0</v>
      </c>
    </row>
    <row r="423" spans="1:3" ht="15.75">
      <c r="A423" s="432" t="s">
        <v>811</v>
      </c>
      <c r="B423" s="408">
        <f>COUNTIF('Database - Whole Tornadoes'!$Q$5:$Q$2005,"F415")+COUNTIF('Database - Whole Tornadoes'!$Q$5:$Q$2005,"EF415")+COUNTIF('Database - Whole Tornadoes'!$Q$5:$Q$2005,"F515")+COUNTIF('Database - Whole Tornadoes'!$Q$5:$Q$2005,"EF515")</f>
        <v>2</v>
      </c>
      <c r="C423" s="410">
        <f t="shared" si="11"/>
        <v>0.16666666666666666</v>
      </c>
    </row>
    <row r="424" spans="1:3" ht="15.75">
      <c r="A424" s="432" t="s">
        <v>812</v>
      </c>
      <c r="B424" s="408">
        <f>COUNTIF('Database - Whole Tornadoes'!$Q$5:$Q$2005,"F416")+COUNTIF('Database - Whole Tornadoes'!$Q$5:$Q$2005,"EF416")+COUNTIF('Database - Whole Tornadoes'!$Q$5:$Q$2005,"F516")+COUNTIF('Database - Whole Tornadoes'!$Q$5:$Q$2005,"EF516")</f>
        <v>0</v>
      </c>
      <c r="C424" s="410">
        <f t="shared" si="11"/>
        <v>0</v>
      </c>
    </row>
    <row r="425" spans="1:3" ht="15.75">
      <c r="A425" s="432" t="s">
        <v>813</v>
      </c>
      <c r="B425" s="408">
        <f>COUNTIF('Database - Whole Tornadoes'!$Q$5:$Q$2005,"F417")+COUNTIF('Database - Whole Tornadoes'!$Q$5:$Q$2005,"EF417")+COUNTIF('Database - Whole Tornadoes'!$Q$5:$Q$2005,"F517")+COUNTIF('Database - Whole Tornadoes'!$Q$5:$Q$2005,"EF517")</f>
        <v>2</v>
      </c>
      <c r="C425" s="410">
        <f t="shared" si="11"/>
        <v>0.16666666666666666</v>
      </c>
    </row>
    <row r="426" spans="1:3" ht="15.75">
      <c r="A426" s="432" t="s">
        <v>814</v>
      </c>
      <c r="B426" s="408">
        <f>COUNTIF('Database - Whole Tornadoes'!$Q$5:$Q$2005,"F418")+COUNTIF('Database - Whole Tornadoes'!$Q$5:$Q$2005,"EF418")+COUNTIF('Database - Whole Tornadoes'!$Q$5:$Q$2005,"F518")+COUNTIF('Database - Whole Tornadoes'!$Q$5:$Q$2005,"EF518")</f>
        <v>2</v>
      </c>
      <c r="C426" s="410">
        <f t="shared" si="11"/>
        <v>0.16666666666666666</v>
      </c>
    </row>
    <row r="427" spans="1:3" ht="15.75">
      <c r="A427" s="432" t="s">
        <v>815</v>
      </c>
      <c r="B427" s="408">
        <f>COUNTIF('Database - Whole Tornadoes'!$Q$5:$Q$2005,"F419")+COUNTIF('Database - Whole Tornadoes'!$Q$5:$Q$2005,"EF419")+COUNTIF('Database - Whole Tornadoes'!$Q$5:$Q$2005,"F519")+COUNTIF('Database - Whole Tornadoes'!$Q$5:$Q$2005,"EF519")</f>
        <v>0</v>
      </c>
      <c r="C427" s="410">
        <f t="shared" si="11"/>
        <v>0</v>
      </c>
    </row>
    <row r="428" spans="1:3" ht="15.75">
      <c r="A428" s="432" t="s">
        <v>816</v>
      </c>
      <c r="B428" s="408">
        <f>COUNTIF('Database - Whole Tornadoes'!$Q$5:$Q$2005,"F420")+COUNTIF('Database - Whole Tornadoes'!$Q$5:$Q$2005,"EF420")+COUNTIF('Database - Whole Tornadoes'!$Q$5:$Q$2005,"F520")+COUNTIF('Database - Whole Tornadoes'!$Q$5:$Q$2005,"EF520")</f>
        <v>1</v>
      </c>
      <c r="C428" s="410">
        <f t="shared" si="11"/>
        <v>8.3333333333333329E-2</v>
      </c>
    </row>
    <row r="429" spans="1:3" ht="15.75">
      <c r="A429" s="432" t="s">
        <v>817</v>
      </c>
      <c r="B429" s="408">
        <f>COUNTIF('Database - Whole Tornadoes'!$Q$5:$Q$2005,"F421")+COUNTIF('Database - Whole Tornadoes'!$Q$5:$Q$2005,"EF421")+COUNTIF('Database - Whole Tornadoes'!$Q$5:$Q$2005,"F521")+COUNTIF('Database - Whole Tornadoes'!$Q$5:$Q$2005,"EF521")</f>
        <v>0</v>
      </c>
      <c r="C429" s="410">
        <f t="shared" si="11"/>
        <v>0</v>
      </c>
    </row>
    <row r="430" spans="1:3" ht="15.75">
      <c r="A430" s="432" t="s">
        <v>818</v>
      </c>
      <c r="B430" s="408">
        <f>COUNTIF('Database - Whole Tornadoes'!$Q$5:$Q$2005,"F422")+COUNTIF('Database - Whole Tornadoes'!$Q$5:$Q$2005,"EF422")+COUNTIF('Database - Whole Tornadoes'!$Q$5:$Q$2005,"F522")+COUNTIF('Database - Whole Tornadoes'!$Q$5:$Q$2005,"EF522")</f>
        <v>1</v>
      </c>
      <c r="C430" s="410">
        <f t="shared" si="11"/>
        <v>8.3333333333333329E-2</v>
      </c>
    </row>
    <row r="431" spans="1:3" ht="15.75">
      <c r="A431" s="432" t="s">
        <v>819</v>
      </c>
      <c r="B431" s="408">
        <f>COUNTIF('Database - Whole Tornadoes'!$Q$5:$Q$2005,"F423")+COUNTIF('Database - Whole Tornadoes'!$Q$5:$Q$2005,"EF423")+COUNTIF('Database - Whole Tornadoes'!$Q$5:$Q$2005,"F523")+COUNTIF('Database - Whole Tornadoes'!$Q$5:$AC$2005,"EF523")</f>
        <v>2</v>
      </c>
      <c r="C431" s="410">
        <f t="shared" si="11"/>
        <v>0.16666666666666666</v>
      </c>
    </row>
    <row r="432" spans="1:3">
      <c r="A432" s="12"/>
    </row>
    <row r="433" spans="1:49" ht="15.75">
      <c r="A433" s="54" t="s">
        <v>500</v>
      </c>
      <c r="B433" s="409">
        <f>SUM(B408:B431)</f>
        <v>12</v>
      </c>
    </row>
    <row r="434" spans="1:49" ht="15.75">
      <c r="A434" s="54"/>
      <c r="B434" s="409"/>
    </row>
    <row r="435" spans="1:49" ht="15.75">
      <c r="A435" s="12"/>
      <c r="B435" s="16"/>
      <c r="C435" s="13"/>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row>
    <row r="436" spans="1:49" ht="23.25">
      <c r="A436" s="8" t="s">
        <v>845</v>
      </c>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row>
    <row r="437" spans="1:49"/>
    <row r="438" spans="1:49" ht="15.75">
      <c r="A438" s="432" t="s">
        <v>797</v>
      </c>
      <c r="B438" s="408">
        <f>COUNTIF('Database - Whole Tornadoes'!$Q$5:$Q$2005,"F20")+COUNTIF('Database - Whole Tornadoes'!$Q$5:$Q$2005,"EF20")+COUNTIF('Database - Whole Tornadoes'!$Q$5:$Q$2005,"F30")+COUNTIF('Database - Whole Tornadoes'!$Q$5:$Q$2005,"EF30")</f>
        <v>5</v>
      </c>
      <c r="C438" s="410">
        <f>+B438/$B$463</f>
        <v>3.0674846625766871E-2</v>
      </c>
    </row>
    <row r="439" spans="1:49" ht="15.75">
      <c r="A439" s="432" t="s">
        <v>798</v>
      </c>
      <c r="B439" s="408">
        <f>COUNTIF('Database - Whole Tornadoes'!$Q$5:$Q$2005,"F21")+COUNTIF('Database - Whole Tornadoes'!$Q$5:$Q$2005,"EF21")+COUNTIF('Database - Whole Tornadoes'!$Q$5:$Q$2005,"F31")+COUNTIF('Database - Whole Tornadoes'!$Q$5:$Q$2005,"EF31")</f>
        <v>1</v>
      </c>
      <c r="C439" s="410">
        <f t="shared" ref="C439:C461" si="12">+B439/$B$463</f>
        <v>6.1349693251533744E-3</v>
      </c>
    </row>
    <row r="440" spans="1:49" ht="15.75">
      <c r="A440" s="432" t="s">
        <v>799</v>
      </c>
      <c r="B440" s="408">
        <f>COUNTIF('Database - Whole Tornadoes'!$Q$5:$Q$2005,"F22")+COUNTIF('Database - Whole Tornadoes'!$Q$5:$Q$2005,"EF22")+COUNTIF('Database - Whole Tornadoes'!$Q$5:$Q$2005,"F32")+COUNTIF('Database - Whole Tornadoes'!$Q$5:$Q$2005,"EF32")</f>
        <v>0</v>
      </c>
      <c r="C440" s="410">
        <f t="shared" si="12"/>
        <v>0</v>
      </c>
    </row>
    <row r="441" spans="1:49" ht="15.75">
      <c r="A441" s="432" t="s">
        <v>800</v>
      </c>
      <c r="B441" s="408">
        <f>COUNTIF('Database - Whole Tornadoes'!$Q$5:$Q$2005,"F23")+COUNTIF('Database - Whole Tornadoes'!$Q$5:$Q$2005,"EF23")+COUNTIF('Database - Whole Tornadoes'!$Q$5:$Q$2005,"F33")+COUNTIF('Database - Whole Tornadoes'!$Q$5:$Q$2005,"EF33")</f>
        <v>1</v>
      </c>
      <c r="C441" s="410">
        <f t="shared" si="12"/>
        <v>6.1349693251533744E-3</v>
      </c>
    </row>
    <row r="442" spans="1:49" ht="15.75">
      <c r="A442" s="433" t="s">
        <v>801</v>
      </c>
      <c r="B442" s="408">
        <f>COUNTIF('Database - Whole Tornadoes'!$Q$5:$Q$2005,"F24")+COUNTIF('Database - Whole Tornadoes'!$Q$5:$Q$2005,"EF24")+COUNTIF('Database - Whole Tornadoes'!$Q$5:$Q$2005,"F34")+COUNTIF('Database - Whole Tornadoes'!$Q$5:$Q$2005,"EF34")</f>
        <v>0</v>
      </c>
      <c r="C442" s="410">
        <f t="shared" si="12"/>
        <v>0</v>
      </c>
    </row>
    <row r="443" spans="1:49" ht="15.75">
      <c r="A443" s="432" t="s">
        <v>802</v>
      </c>
      <c r="B443" s="408">
        <f>COUNTIF('Database - Whole Tornadoes'!$Q$5:$Q$2005,"F25")+COUNTIF('Database - Whole Tornadoes'!$Q$5:$Q$2005,"EF25")+COUNTIF('Database - Whole Tornadoes'!$Q$5:$Q$2005,"F35")+COUNTIF('Database - Whole Tornadoes'!$Q$5:$Q$2005,"EF35")</f>
        <v>0</v>
      </c>
      <c r="C443" s="410">
        <f t="shared" si="12"/>
        <v>0</v>
      </c>
    </row>
    <row r="444" spans="1:49" ht="15.75">
      <c r="A444" s="432" t="s">
        <v>803</v>
      </c>
      <c r="B444" s="408">
        <f>COUNTIF('Database - Whole Tornadoes'!$Q$5:$Q$2005,"F26")+COUNTIF('Database - Whole Tornadoes'!$Q$5:$Q$2005,"EF26")+COUNTIF('Database - Whole Tornadoes'!$Q$5:$Q$2005,"F36")+COUNTIF('Database - Whole Tornadoes'!$Q$5:$Q$2005,"EF36")</f>
        <v>0</v>
      </c>
      <c r="C444" s="410">
        <f t="shared" si="12"/>
        <v>0</v>
      </c>
    </row>
    <row r="445" spans="1:49" ht="15.75">
      <c r="A445" s="432" t="s">
        <v>804</v>
      </c>
      <c r="B445" s="408">
        <f>COUNTIF('Database - Whole Tornadoes'!$Q$5:$Q$2005,"F27")+COUNTIF('Database - Whole Tornadoes'!$Q$5:$Q$2005,"EF27")+COUNTIF('Database - Whole Tornadoes'!$Q$5:$Q$2005,"F37")+COUNTIF('Database - Whole Tornadoes'!$Q$5:$Q$2005,"EF37")</f>
        <v>0</v>
      </c>
      <c r="C445" s="410">
        <f t="shared" si="12"/>
        <v>0</v>
      </c>
    </row>
    <row r="446" spans="1:49" ht="15.75">
      <c r="A446" s="432" t="s">
        <v>805</v>
      </c>
      <c r="B446" s="408">
        <f>COUNTIF('Database - Whole Tornadoes'!$Q$5:$Q$2005,"F28")+COUNTIF('Database - Whole Tornadoes'!$Q$5:$Q$2005,"EF28")+COUNTIF('Database - Whole Tornadoes'!$Q$5:$Q$2005,"F38")+COUNTIF('Database - Whole Tornadoes'!$Q$5:$Q$2005,"EF38")</f>
        <v>0</v>
      </c>
      <c r="C446" s="410">
        <f t="shared" si="12"/>
        <v>0</v>
      </c>
    </row>
    <row r="447" spans="1:49" ht="15.75">
      <c r="A447" s="432" t="s">
        <v>806</v>
      </c>
      <c r="B447" s="408">
        <f>COUNTIF('Database - Whole Tornadoes'!$Q$5:$Q$2005,"F29")+COUNTIF('Database - Whole Tornadoes'!$Q$5:$Q$2005,"EF29")+COUNTIF('Database - Whole Tornadoes'!$Q$5:$Q$2005,"F39")+COUNTIF('Database - Whole Tornadoes'!$Q$5:$Q$2005,"EF39")</f>
        <v>0</v>
      </c>
      <c r="C447" s="410">
        <f t="shared" si="12"/>
        <v>0</v>
      </c>
    </row>
    <row r="448" spans="1:49" ht="15.75">
      <c r="A448" s="432" t="s">
        <v>807</v>
      </c>
      <c r="B448" s="408">
        <f>COUNTIF('Database - Whole Tornadoes'!$Q$5:$Q$2005,"F210")+COUNTIF('Database - Whole Tornadoes'!$Q$5:$Q$2005,"EF210")+COUNTIF('Database - Whole Tornadoes'!$Q$5:$Q$2005,"F310")+COUNTIF('Database - Whole Tornadoes'!$Q$5:$Q$2005,"EF310")</f>
        <v>0</v>
      </c>
      <c r="C448" s="410">
        <f t="shared" si="12"/>
        <v>0</v>
      </c>
    </row>
    <row r="449" spans="1:3" ht="15.75">
      <c r="A449" s="432" t="s">
        <v>808</v>
      </c>
      <c r="B449" s="408">
        <f>COUNTIF('Database - Whole Tornadoes'!$Q$5:$Q$2005,"F211")+COUNTIF('Database - Whole Tornadoes'!$Q$5:$Q$2005,"EF211")+COUNTIF('Database - Whole Tornadoes'!$Q$5:$Q$2005,"F311")+COUNTIF('Database - Whole Tornadoes'!$Q$5:$Q$2005,"EF311")</f>
        <v>0</v>
      </c>
      <c r="C449" s="410">
        <f t="shared" si="12"/>
        <v>0</v>
      </c>
    </row>
    <row r="450" spans="1:3" ht="15.75">
      <c r="A450" s="432" t="s">
        <v>797</v>
      </c>
      <c r="B450" s="408">
        <f>COUNTIF('Database - Whole Tornadoes'!$Q$5:$Q$2005,"F212")+COUNTIF('Database - Whole Tornadoes'!$Q$5:$Q$2005,"EF212")+COUNTIF('Database - Whole Tornadoes'!$Q$5:$Q$2005,"F312")+COUNTIF('Database - Whole Tornadoes'!$Q$5:$Q$2005,"EF312")</f>
        <v>0</v>
      </c>
      <c r="C450" s="410">
        <f t="shared" si="12"/>
        <v>0</v>
      </c>
    </row>
    <row r="451" spans="1:3" ht="15.75">
      <c r="A451" s="433" t="s">
        <v>809</v>
      </c>
      <c r="B451" s="408">
        <f>COUNTIF('Database - Whole Tornadoes'!$Q$5:$Q$2005,"F213")+COUNTIF('Database - Whole Tornadoes'!$Q$5:$Q$2005,"EF213")+COUNTIF('Database - Whole Tornadoes'!$Q$5:$Q$2005,"F313")+COUNTIF('Database - Whole Tornadoes'!$Q$5:$Q$2005,"EF313")</f>
        <v>1</v>
      </c>
      <c r="C451" s="410">
        <f t="shared" si="12"/>
        <v>6.1349693251533744E-3</v>
      </c>
    </row>
    <row r="452" spans="1:3" ht="15.75">
      <c r="A452" s="432" t="s">
        <v>810</v>
      </c>
      <c r="B452" s="408">
        <f>COUNTIF('Database - Whole Tornadoes'!$Q$5:$Q$2005,"F214")+COUNTIF('Database - Whole Tornadoes'!$Q$5:$Q$2005,"EF214")+COUNTIF('Database - Whole Tornadoes'!$Q$5:$Q$2005,"F314")+COUNTIF('Database - Whole Tornadoes'!$Q$5:$Q$2005,"EF314")</f>
        <v>2</v>
      </c>
      <c r="C452" s="410">
        <f t="shared" si="12"/>
        <v>1.2269938650306749E-2</v>
      </c>
    </row>
    <row r="453" spans="1:3" ht="15.75">
      <c r="A453" s="432" t="s">
        <v>811</v>
      </c>
      <c r="B453" s="408">
        <f>COUNTIF('Database - Whole Tornadoes'!$Q$5:$Q$2005,"F215")+COUNTIF('Database - Whole Tornadoes'!$Q$5:$Q$2005,"EF215")+COUNTIF('Database - Whole Tornadoes'!$Q$5:$Q$2005,"F315")+COUNTIF('Database - Whole Tornadoes'!$Q$5:$Q$2005,"EF315")</f>
        <v>9</v>
      </c>
      <c r="C453" s="410">
        <f t="shared" si="12"/>
        <v>5.5214723926380369E-2</v>
      </c>
    </row>
    <row r="454" spans="1:3" ht="15.75">
      <c r="A454" s="432" t="s">
        <v>812</v>
      </c>
      <c r="B454" s="408">
        <f>COUNTIF('Database - Whole Tornadoes'!$Q$5:$Q$2005,"F216")+COUNTIF('Database - Whole Tornadoes'!$Q$5:$Q$2005,"EF216")+COUNTIF('Database - Whole Tornadoes'!$Q$5:$Q$2005,"F316")+COUNTIF('Database - Whole Tornadoes'!$Q$5:$Q$2005,"EF316")</f>
        <v>22</v>
      </c>
      <c r="C454" s="410">
        <f t="shared" si="12"/>
        <v>0.13496932515337423</v>
      </c>
    </row>
    <row r="455" spans="1:3" ht="15.75">
      <c r="A455" s="432" t="s">
        <v>813</v>
      </c>
      <c r="B455" s="408">
        <f>COUNTIF('Database - Whole Tornadoes'!$Q$5:$Q$2005,"F217")+COUNTIF('Database - Whole Tornadoes'!$Q$5:$Q$2005,"EF217")+COUNTIF('Database - Whole Tornadoes'!$Q$5:$Q$2005,"F317")+COUNTIF('Database - Whole Tornadoes'!$Q$5:$Q$2005,"EF317")</f>
        <v>29</v>
      </c>
      <c r="C455" s="410">
        <f t="shared" si="12"/>
        <v>0.17791411042944785</v>
      </c>
    </row>
    <row r="456" spans="1:3" ht="15.75">
      <c r="A456" s="432" t="s">
        <v>814</v>
      </c>
      <c r="B456" s="408">
        <f>COUNTIF('Database - Whole Tornadoes'!$Q$5:$Q$2005,"F218")+COUNTIF('Database - Whole Tornadoes'!$Q$5:$Q$2005,"EF218")+COUNTIF('Database - Whole Tornadoes'!$Q$5:$Q$2005,"F318")+COUNTIF('Database - Whole Tornadoes'!$Q$5:$Q$2005,"EF318")</f>
        <v>35</v>
      </c>
      <c r="C456" s="410">
        <f t="shared" si="12"/>
        <v>0.21472392638036811</v>
      </c>
    </row>
    <row r="457" spans="1:3" ht="15.75">
      <c r="A457" s="432" t="s">
        <v>815</v>
      </c>
      <c r="B457" s="408">
        <f>COUNTIF('Database - Whole Tornadoes'!$Q$5:$Q$2005,"F219")+COUNTIF('Database - Whole Tornadoes'!$Q$5:$Q$2005,"EF219")+COUNTIF('Database - Whole Tornadoes'!$Q$5:$Q$2005,"F319")+COUNTIF('Database - Whole Tornadoes'!$Q$5:$Q$2005,"EF319")</f>
        <v>23</v>
      </c>
      <c r="C457" s="410">
        <f t="shared" si="12"/>
        <v>0.1411042944785276</v>
      </c>
    </row>
    <row r="458" spans="1:3" ht="15.75">
      <c r="A458" s="432" t="s">
        <v>816</v>
      </c>
      <c r="B458" s="408">
        <f>COUNTIF('Database - Whole Tornadoes'!$Q$5:$Q$2005,"F220")+COUNTIF('Database - Whole Tornadoes'!$Q$5:$Q$2005,"EF220")+COUNTIF('Database - Whole Tornadoes'!$Q$5:$Q$2005,"F320")+COUNTIF('Database - Whole Tornadoes'!$Q$5:$Q$2005,"EF320")</f>
        <v>15</v>
      </c>
      <c r="C458" s="410">
        <f t="shared" si="12"/>
        <v>9.202453987730061E-2</v>
      </c>
    </row>
    <row r="459" spans="1:3" ht="15.75">
      <c r="A459" s="432" t="s">
        <v>817</v>
      </c>
      <c r="B459" s="408">
        <f>COUNTIF('Database - Whole Tornadoes'!$Q$5:$Q$2005,"F221")+COUNTIF('Database - Whole Tornadoes'!$Q$5:$Q$2005,"EF221")+COUNTIF('Database - Whole Tornadoes'!$Q$5:$Q$2005,"F321")+COUNTIF('Database - Whole Tornadoes'!$Q$5:$Q$2005,"EF321")</f>
        <v>11</v>
      </c>
      <c r="C459" s="410">
        <f t="shared" si="12"/>
        <v>6.7484662576687116E-2</v>
      </c>
    </row>
    <row r="460" spans="1:3" ht="15.75">
      <c r="A460" s="432" t="s">
        <v>818</v>
      </c>
      <c r="B460" s="408">
        <f>COUNTIF('Database - Whole Tornadoes'!$Q$5:$Q$2005,"F222")+COUNTIF('Database - Whole Tornadoes'!$Q$5:$Q$2005,"EF222")+COUNTIF('Database - Whole Tornadoes'!$Q$5:$Q$2005,"F322")+COUNTIF('Database - Whole Tornadoes'!$Q$5:$Q$2005,"EF322")</f>
        <v>6</v>
      </c>
      <c r="C460" s="410">
        <f t="shared" si="12"/>
        <v>3.6809815950920248E-2</v>
      </c>
    </row>
    <row r="461" spans="1:3" ht="15.75">
      <c r="A461" s="432" t="s">
        <v>819</v>
      </c>
      <c r="B461" s="408">
        <f>COUNTIF('Database - Whole Tornadoes'!$Q$5:$Q$2005,"F223")+COUNTIF('Database - Whole Tornadoes'!$Q$5:$Q$2005,"EF223")+COUNTIF('Database - Whole Tornadoes'!$Q$5:$Q$2005,"F323")+COUNTIF('Database - Whole Tornadoes'!$Q$5:$AC$2005,"EF323")</f>
        <v>3</v>
      </c>
      <c r="C461" s="410">
        <f t="shared" si="12"/>
        <v>1.8404907975460124E-2</v>
      </c>
    </row>
    <row r="462" spans="1:3">
      <c r="A462" s="12"/>
    </row>
    <row r="463" spans="1:3" ht="15.75">
      <c r="A463" s="54" t="s">
        <v>500</v>
      </c>
      <c r="B463" s="409">
        <f>SUM(B438:B461)</f>
        <v>163</v>
      </c>
    </row>
    <row r="464" spans="1:3" ht="15.75">
      <c r="A464" s="54"/>
      <c r="B464" s="409"/>
    </row>
    <row r="465" spans="1:49" ht="15.75">
      <c r="A465" s="12"/>
      <c r="B465" s="16"/>
      <c r="C465" s="13"/>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row>
    <row r="466" spans="1:49" ht="23.25">
      <c r="A466" s="8" t="s">
        <v>846</v>
      </c>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row>
    <row r="467" spans="1:49"/>
    <row r="468" spans="1:49" ht="15.75">
      <c r="A468" s="432" t="s">
        <v>797</v>
      </c>
      <c r="B468" s="408">
        <f>COUNTIF('Database - Whole Tornadoes'!$Q$5:$Q$2005,"F00")+COUNTIF('Database - Whole Tornadoes'!$Q$5:$Q$2005,"EF00")+COUNTIF('Database - Whole Tornadoes'!$Q$5:$Q$2005,"F10")+COUNTIF('Database - Whole Tornadoes'!$Q$5:$Q$2005,"EF10")</f>
        <v>12</v>
      </c>
      <c r="C468" s="410">
        <f>+B468/$B$493</f>
        <v>1.1450381679389313E-2</v>
      </c>
    </row>
    <row r="469" spans="1:49" ht="15.75">
      <c r="A469" s="432" t="s">
        <v>798</v>
      </c>
      <c r="B469" s="408">
        <f>COUNTIF('Database - Whole Tornadoes'!$Q$5:$Q$2005,"F01")+COUNTIF('Database - Whole Tornadoes'!$Q$5:$Q$2005,"EF01")+COUNTIF('Database - Whole Tornadoes'!$Q$5:$Q$2005,"F11")+COUNTIF('Database - Whole Tornadoes'!$Q$5:$Q$2005,"EF11")</f>
        <v>8</v>
      </c>
      <c r="C469" s="410">
        <f t="shared" ref="C469:C491" si="13">+B469/$B$493</f>
        <v>7.6335877862595417E-3</v>
      </c>
    </row>
    <row r="470" spans="1:49" ht="15.75">
      <c r="A470" s="432" t="s">
        <v>799</v>
      </c>
      <c r="B470" s="408">
        <f>COUNTIF('Database - Whole Tornadoes'!$Q$5:$Q$2005,"F02")+COUNTIF('Database - Whole Tornadoes'!$Q$5:$Q$2005,"EF02")+COUNTIF('Database - Whole Tornadoes'!$Q$5:$Q$2005,"F12")+COUNTIF('Database - Whole Tornadoes'!$Q$5:$Q$2005,"EF12")</f>
        <v>6</v>
      </c>
      <c r="C470" s="410">
        <f t="shared" si="13"/>
        <v>5.7251908396946565E-3</v>
      </c>
    </row>
    <row r="471" spans="1:49" ht="15.75">
      <c r="A471" s="432" t="s">
        <v>800</v>
      </c>
      <c r="B471" s="408">
        <f>COUNTIF('Database - Whole Tornadoes'!$Q$5:$Q$2005,"F03")+COUNTIF('Database - Whole Tornadoes'!$Q$5:$Q$2005,"EF03")+COUNTIF('Database - Whole Tornadoes'!$Q$5:$Q$2005,"F13")+COUNTIF('Database - Whole Tornadoes'!$Q$5:$Q$2005,"EF13")</f>
        <v>3</v>
      </c>
      <c r="C471" s="410">
        <f t="shared" si="13"/>
        <v>2.8625954198473282E-3</v>
      </c>
    </row>
    <row r="472" spans="1:49" ht="15.75">
      <c r="A472" s="433" t="s">
        <v>801</v>
      </c>
      <c r="B472" s="408">
        <f>COUNTIF('Database - Whole Tornadoes'!$Q$5:$Q$2005,"F04")+COUNTIF('Database - Whole Tornadoes'!$Q$5:$Q$2005,"EF04")+COUNTIF('Database - Whole Tornadoes'!$Q$5:$Q$2005,"F14")+COUNTIF('Database - Whole Tornadoes'!$Q$5:$Q$2005,"EF14")</f>
        <v>1</v>
      </c>
      <c r="C472" s="410">
        <f t="shared" si="13"/>
        <v>9.5419847328244271E-4</v>
      </c>
    </row>
    <row r="473" spans="1:49" ht="15.75">
      <c r="A473" s="432" t="s">
        <v>802</v>
      </c>
      <c r="B473" s="408">
        <f>COUNTIF('Database - Whole Tornadoes'!$Q$5:$Q$2005,"F05")+COUNTIF('Database - Whole Tornadoes'!$Q$5:$Q$2005,"EF05")+COUNTIF('Database - Whole Tornadoes'!$Q$5:$Q$2005,"F15")+COUNTIF('Database - Whole Tornadoes'!$Q$5:$Q$2005,"EF15")</f>
        <v>0</v>
      </c>
      <c r="C473" s="410">
        <f t="shared" si="13"/>
        <v>0</v>
      </c>
    </row>
    <row r="474" spans="1:49" ht="15.75">
      <c r="A474" s="432" t="s">
        <v>803</v>
      </c>
      <c r="B474" s="408">
        <f>COUNTIF('Database - Whole Tornadoes'!$Q$5:$Q$2005,"F06")+COUNTIF('Database - Whole Tornadoes'!$Q$5:$Q$2005,"EF06")+COUNTIF('Database - Whole Tornadoes'!$Q$5:$Q$2005,"F16")+COUNTIF('Database - Whole Tornadoes'!$Q$5:$Q$2005,"EF16")</f>
        <v>1</v>
      </c>
      <c r="C474" s="410">
        <f t="shared" si="13"/>
        <v>9.5419847328244271E-4</v>
      </c>
    </row>
    <row r="475" spans="1:49" ht="15.75">
      <c r="A475" s="432" t="s">
        <v>804</v>
      </c>
      <c r="B475" s="408">
        <f>COUNTIF('Database - Whole Tornadoes'!$Q$5:$Q$2005,"F07")+COUNTIF('Database - Whole Tornadoes'!$Q$5:$Q$2005,"EF07")+COUNTIF('Database - Whole Tornadoes'!$Q$5:$Q$2005,"F17")+COUNTIF('Database - Whole Tornadoes'!$Q$5:$Q$2005,"EF17")</f>
        <v>2</v>
      </c>
      <c r="C475" s="410">
        <f t="shared" si="13"/>
        <v>1.9083969465648854E-3</v>
      </c>
    </row>
    <row r="476" spans="1:49" ht="15.75">
      <c r="A476" s="432" t="s">
        <v>805</v>
      </c>
      <c r="B476" s="408">
        <f>COUNTIF('Database - Whole Tornadoes'!$Q$5:$Q$2005,"F08")+COUNTIF('Database - Whole Tornadoes'!$Q$5:$Q$2005,"EF08")+COUNTIF('Database - Whole Tornadoes'!$Q$5:$Q$2005,"F18")+COUNTIF('Database - Whole Tornadoes'!$Q$5:$Q$2005,"EF18")</f>
        <v>2</v>
      </c>
      <c r="C476" s="410">
        <f t="shared" si="13"/>
        <v>1.9083969465648854E-3</v>
      </c>
    </row>
    <row r="477" spans="1:49" ht="15.75">
      <c r="A477" s="432" t="s">
        <v>806</v>
      </c>
      <c r="B477" s="408">
        <f>COUNTIF('Database - Whole Tornadoes'!$Q$5:$Q$2005,"F09")+COUNTIF('Database - Whole Tornadoes'!$Q$5:$Q$2005,"EF09")+COUNTIF('Database - Whole Tornadoes'!$Q$5:$Q$2005,"F19")+COUNTIF('Database - Whole Tornadoes'!$Q$5:$Q$2005,"EF19")</f>
        <v>2</v>
      </c>
      <c r="C477" s="410">
        <f t="shared" si="13"/>
        <v>1.9083969465648854E-3</v>
      </c>
    </row>
    <row r="478" spans="1:49" ht="15.75">
      <c r="A478" s="432" t="s">
        <v>807</v>
      </c>
      <c r="B478" s="408">
        <f>COUNTIF('Database - Whole Tornadoes'!$Q$5:$Q$2005,"F010")+COUNTIF('Database - Whole Tornadoes'!$Q$5:$Q$2005,"EF010")+COUNTIF('Database - Whole Tornadoes'!$Q$5:$Q$2005,"F110")+COUNTIF('Database - Whole Tornadoes'!$Q$5:$Q$2005,"EF110")</f>
        <v>0</v>
      </c>
      <c r="C478" s="410">
        <f t="shared" si="13"/>
        <v>0</v>
      </c>
    </row>
    <row r="479" spans="1:49" ht="15.75">
      <c r="A479" s="432" t="s">
        <v>808</v>
      </c>
      <c r="B479" s="408">
        <f>COUNTIF('Database - Whole Tornadoes'!$Q$5:$Q$2005,"F011")+COUNTIF('Database - Whole Tornadoes'!$Q$5:$Q$2005,"EF011")+COUNTIF('Database - Whole Tornadoes'!$Q$5:$Q$2005,"F111")+COUNTIF('Database - Whole Tornadoes'!$Q$5:$Q$2005,"EF111")</f>
        <v>2</v>
      </c>
      <c r="C479" s="410">
        <f t="shared" si="13"/>
        <v>1.9083969465648854E-3</v>
      </c>
    </row>
    <row r="480" spans="1:49" ht="15.75">
      <c r="A480" s="432" t="s">
        <v>797</v>
      </c>
      <c r="B480" s="408">
        <f>COUNTIF('Database - Whole Tornadoes'!$Q$5:$Q$2005,"F012")+COUNTIF('Database - Whole Tornadoes'!$Q$5:$Q$2005,"EF012")+COUNTIF('Database - Whole Tornadoes'!$Q$5:$Q$2005,"F112")+COUNTIF('Database - Whole Tornadoes'!$Q$5:$Q$2005,"EF112")</f>
        <v>11</v>
      </c>
      <c r="C480" s="410">
        <f t="shared" si="13"/>
        <v>1.049618320610687E-2</v>
      </c>
    </row>
    <row r="481" spans="1:49" ht="15.75">
      <c r="A481" s="433" t="s">
        <v>809</v>
      </c>
      <c r="B481" s="408">
        <f>COUNTIF('Database - Whole Tornadoes'!$Q$5:$Q$2005,"F013")+COUNTIF('Database - Whole Tornadoes'!$Q$5:$Q$2005,"EF013")+COUNTIF('Database - Whole Tornadoes'!$Q$5:$Q$2005,"F113")+COUNTIF('Database - Whole Tornadoes'!$Q$5:$Q$2005,"EF113")</f>
        <v>25</v>
      </c>
      <c r="C481" s="410">
        <f t="shared" si="13"/>
        <v>2.385496183206107E-2</v>
      </c>
    </row>
    <row r="482" spans="1:49" ht="15.75">
      <c r="A482" s="432" t="s">
        <v>810</v>
      </c>
      <c r="B482" s="408">
        <f>COUNTIF('Database - Whole Tornadoes'!$Q$5:$Q$2005,"F014")+COUNTIF('Database - Whole Tornadoes'!$Q$5:$Q$2005,"EF014")+COUNTIF('Database - Whole Tornadoes'!$Q$5:$Q$2005,"F114")+COUNTIF('Database - Whole Tornadoes'!$Q$5:$Q$2005,"EF114")</f>
        <v>48</v>
      </c>
      <c r="C482" s="410">
        <f t="shared" si="13"/>
        <v>4.5801526717557252E-2</v>
      </c>
    </row>
    <row r="483" spans="1:49" ht="15.75">
      <c r="A483" s="432" t="s">
        <v>811</v>
      </c>
      <c r="B483" s="408">
        <f>COUNTIF('Database - Whole Tornadoes'!$Q$5:$Q$2005,"F015")+COUNTIF('Database - Whole Tornadoes'!$Q$5:$Q$2005,"EF015")+COUNTIF('Database - Whole Tornadoes'!$Q$5:$Q$2005,"F115")+COUNTIF('Database - Whole Tornadoes'!$Q$5:$Q$2005,"EF115")</f>
        <v>83</v>
      </c>
      <c r="C483" s="410">
        <f t="shared" si="13"/>
        <v>7.9198473282442741E-2</v>
      </c>
    </row>
    <row r="484" spans="1:49" ht="15.75">
      <c r="A484" s="432" t="s">
        <v>812</v>
      </c>
      <c r="B484" s="408">
        <f>COUNTIF('Database - Whole Tornadoes'!$Q$5:$Q$2005,"F016")+COUNTIF('Database - Whole Tornadoes'!$Q$5:$Q$2005,"EF016")+COUNTIF('Database - Whole Tornadoes'!$Q$5:$Q$2005,"F116")+COUNTIF('Database - Whole Tornadoes'!$Q$5:$Q$2005,"EF116")</f>
        <v>157</v>
      </c>
      <c r="C484" s="410">
        <f t="shared" si="13"/>
        <v>0.14980916030534353</v>
      </c>
    </row>
    <row r="485" spans="1:49" ht="15.75">
      <c r="A485" s="432" t="s">
        <v>813</v>
      </c>
      <c r="B485" s="408">
        <f>COUNTIF('Database - Whole Tornadoes'!$Q$5:$Q$2005,"F017")+COUNTIF('Database - Whole Tornadoes'!$Q$5:$Q$2005,"EF017")+COUNTIF('Database - Whole Tornadoes'!$Q$5:$Q$2005,"F117")+COUNTIF('Database - Whole Tornadoes'!$Q$5:$Q$2005,"EF117")</f>
        <v>175</v>
      </c>
      <c r="C485" s="410">
        <f t="shared" si="13"/>
        <v>0.16698473282442747</v>
      </c>
    </row>
    <row r="486" spans="1:49" ht="15.75">
      <c r="A486" s="432" t="s">
        <v>814</v>
      </c>
      <c r="B486" s="408">
        <f>COUNTIF('Database - Whole Tornadoes'!$Q$5:$Q$2005,"F018")+COUNTIF('Database - Whole Tornadoes'!$Q$5:$Q$2005,"EF018")+COUNTIF('Database - Whole Tornadoes'!$Q$5:$Q$2005,"F118")+COUNTIF('Database - Whole Tornadoes'!$Q$5:$Q$2005,"EF118")</f>
        <v>169</v>
      </c>
      <c r="C486" s="410">
        <f t="shared" si="13"/>
        <v>0.16125954198473283</v>
      </c>
    </row>
    <row r="487" spans="1:49" ht="15.75">
      <c r="A487" s="432" t="s">
        <v>815</v>
      </c>
      <c r="B487" s="408">
        <f>COUNTIF('Database - Whole Tornadoes'!$Q$5:$Q$2005,"F019")+COUNTIF('Database - Whole Tornadoes'!$Q$5:$Q$2005,"EF019")+COUNTIF('Database - Whole Tornadoes'!$Q$5:$Q$2005,"F119")+COUNTIF('Database - Whole Tornadoes'!$Q$5:$Q$2005,"EF119")</f>
        <v>162</v>
      </c>
      <c r="C487" s="410">
        <f t="shared" si="13"/>
        <v>0.15458015267175573</v>
      </c>
    </row>
    <row r="488" spans="1:49" ht="15.75">
      <c r="A488" s="432" t="s">
        <v>816</v>
      </c>
      <c r="B488" s="408">
        <f>COUNTIF('Database - Whole Tornadoes'!$Q$5:$Q$2005,"F020")+COUNTIF('Database - Whole Tornadoes'!$Q$5:$Q$2005,"EF020")+COUNTIF('Database - Whole Tornadoes'!$Q$5:$Q$2005,"F120")+COUNTIF('Database - Whole Tornadoes'!$Q$5:$Q$2005,"EF120")</f>
        <v>87</v>
      </c>
      <c r="C488" s="410">
        <f t="shared" si="13"/>
        <v>8.3015267175572519E-2</v>
      </c>
    </row>
    <row r="489" spans="1:49" ht="15.75">
      <c r="A489" s="432" t="s">
        <v>817</v>
      </c>
      <c r="B489" s="408">
        <f>COUNTIF('Database - Whole Tornadoes'!$Q$5:$Q$2005,"F021")+COUNTIF('Database - Whole Tornadoes'!$Q$5:$Q$2005,"EF021")+COUNTIF('Database - Whole Tornadoes'!$Q$5:$Q$2005,"F121")+COUNTIF('Database - Whole Tornadoes'!$Q$5:$Q$2005,"EF121")</f>
        <v>43</v>
      </c>
      <c r="C489" s="410">
        <f t="shared" si="13"/>
        <v>4.1030534351145037E-2</v>
      </c>
    </row>
    <row r="490" spans="1:49" ht="15.75">
      <c r="A490" s="432" t="s">
        <v>818</v>
      </c>
      <c r="B490" s="408">
        <f>COUNTIF('Database - Whole Tornadoes'!$Q$5:$Q$2005,"F022")+COUNTIF('Database - Whole Tornadoes'!$Q$5:$Q$2005,"EF022")+COUNTIF('Database - Whole Tornadoes'!$Q$5:$Q$2005,"F122")+COUNTIF('Database - Whole Tornadoes'!$Q$5:$Q$2005,"EF122")</f>
        <v>23</v>
      </c>
      <c r="C490" s="410">
        <f t="shared" si="13"/>
        <v>2.1946564885496182E-2</v>
      </c>
    </row>
    <row r="491" spans="1:49" ht="15.75">
      <c r="A491" s="432" t="s">
        <v>819</v>
      </c>
      <c r="B491" s="408">
        <f>COUNTIF('Database - Whole Tornadoes'!$Q$5:$Q$2005,"F023")+COUNTIF('Database - Whole Tornadoes'!$Q$5:$Q$2005,"EF023")+COUNTIF('Database - Whole Tornadoes'!$Q$5:$Q$2005,"F123")+COUNTIF('Database - Whole Tornadoes'!$Q$5:$AC$2005,"EF123")</f>
        <v>26</v>
      </c>
      <c r="C491" s="410">
        <f t="shared" si="13"/>
        <v>2.4809160305343511E-2</v>
      </c>
    </row>
    <row r="492" spans="1:49">
      <c r="A492" s="12"/>
    </row>
    <row r="493" spans="1:49" ht="15.75">
      <c r="A493" s="54" t="s">
        <v>500</v>
      </c>
      <c r="B493" s="409">
        <f>SUM(B468:B491)</f>
        <v>1048</v>
      </c>
    </row>
    <row r="494" spans="1:49" ht="15.75">
      <c r="A494" s="54"/>
      <c r="B494" s="409"/>
    </row>
    <row r="495" spans="1:49" ht="16.5" thickBot="1">
      <c r="A495" s="12"/>
      <c r="B495" s="16"/>
      <c r="C495" s="13"/>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row>
    <row r="496" spans="1:49" ht="24" thickBot="1">
      <c r="A496" s="8" t="s">
        <v>1621</v>
      </c>
      <c r="B496" s="16"/>
      <c r="C496" s="13"/>
      <c r="D496" s="1"/>
      <c r="E496" s="1"/>
      <c r="F496" s="1"/>
      <c r="H496" s="1216" t="s">
        <v>1362</v>
      </c>
      <c r="I496" s="1217"/>
      <c r="J496" s="1217"/>
      <c r="K496" s="12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row>
    <row r="497" spans="1:49" ht="15.75">
      <c r="A497" s="12"/>
      <c r="B497" s="16"/>
      <c r="C497" s="13"/>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row>
    <row r="498" spans="1:49" ht="15.75">
      <c r="A498" s="12">
        <v>1</v>
      </c>
      <c r="B498" s="16">
        <f>COUNTIF('Database - Whole Tornadoes'!$E$5:$E$2005,1)</f>
        <v>14</v>
      </c>
      <c r="C498" s="15">
        <f t="shared" ref="C498:C528" si="14">+B498/$B$529</f>
        <v>1.1447260834014717E-2</v>
      </c>
      <c r="D498" s="16"/>
      <c r="E498" s="1"/>
      <c r="F498" s="16"/>
      <c r="G498" s="1"/>
      <c r="H498" s="16"/>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row>
    <row r="499" spans="1:49" ht="15.75">
      <c r="A499" s="12">
        <v>2</v>
      </c>
      <c r="B499" s="16">
        <f>COUNTIF('Database - Whole Tornadoes'!$E$5:$E$2005,2)</f>
        <v>26</v>
      </c>
      <c r="C499" s="15">
        <f t="shared" si="14"/>
        <v>2.1259198691741619E-2</v>
      </c>
      <c r="D499" s="16"/>
      <c r="E499" s="1"/>
      <c r="F499" s="16"/>
      <c r="G499" s="1"/>
      <c r="H499" s="16"/>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row>
    <row r="500" spans="1:49" ht="15.75">
      <c r="A500" s="12">
        <v>3</v>
      </c>
      <c r="B500" s="16">
        <f>COUNTIF('Database - Whole Tornadoes'!$E$5:$E$2005,3)</f>
        <v>26</v>
      </c>
      <c r="C500" s="15">
        <f t="shared" si="14"/>
        <v>2.1259198691741619E-2</v>
      </c>
      <c r="D500" s="16"/>
      <c r="E500" s="1"/>
      <c r="F500" s="16"/>
      <c r="G500" s="1"/>
      <c r="H500" s="16"/>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row>
    <row r="501" spans="1:49" ht="15.75">
      <c r="A501" s="12">
        <v>4</v>
      </c>
      <c r="B501" s="16">
        <f>COUNTIF('Database - Whole Tornadoes'!$E$5:$E$2005,4)</f>
        <v>25</v>
      </c>
      <c r="C501" s="15">
        <f t="shared" si="14"/>
        <v>2.0441537203597711E-2</v>
      </c>
      <c r="D501" s="16"/>
      <c r="E501" s="1"/>
      <c r="F501" s="16"/>
      <c r="G501" s="1"/>
      <c r="H501" s="16"/>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row>
    <row r="502" spans="1:49" ht="15.75">
      <c r="A502" s="12">
        <v>5</v>
      </c>
      <c r="B502" s="16">
        <f>COUNTIF('Database - Whole Tornadoes'!$E$5:$E$2005,5)</f>
        <v>52</v>
      </c>
      <c r="C502" s="15">
        <f t="shared" si="14"/>
        <v>4.2518397383483238E-2</v>
      </c>
      <c r="D502" s="16"/>
      <c r="E502" s="1"/>
      <c r="F502" s="16"/>
      <c r="G502" s="1"/>
      <c r="H502" s="16"/>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row>
    <row r="503" spans="1:49" ht="15.75">
      <c r="A503" s="12">
        <v>6</v>
      </c>
      <c r="B503" s="16">
        <f>COUNTIF('Database - Whole Tornadoes'!$E$5:$E$2005,6)</f>
        <v>23</v>
      </c>
      <c r="C503" s="15">
        <f t="shared" si="14"/>
        <v>1.8806214227309895E-2</v>
      </c>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row>
    <row r="504" spans="1:49" ht="15.75">
      <c r="A504" s="12">
        <v>7</v>
      </c>
      <c r="B504" s="16">
        <f>COUNTIF('Database - Whole Tornadoes'!$E$5:$E$2005,7)</f>
        <v>42</v>
      </c>
      <c r="C504" s="15">
        <f t="shared" si="14"/>
        <v>3.4341782502044151E-2</v>
      </c>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row>
    <row r="505" spans="1:49" ht="15.75">
      <c r="A505" s="12">
        <v>8</v>
      </c>
      <c r="B505" s="16">
        <f>COUNTIF('Database - Whole Tornadoes'!$E$5:$E$2005,8)</f>
        <v>49</v>
      </c>
      <c r="C505" s="15">
        <f t="shared" si="14"/>
        <v>4.006541291905151E-2</v>
      </c>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row>
    <row r="506" spans="1:49" ht="15.75">
      <c r="A506" s="12">
        <v>9</v>
      </c>
      <c r="B506" s="16">
        <f>COUNTIF('Database - Whole Tornadoes'!$E$5:$E$2005,9)</f>
        <v>47</v>
      </c>
      <c r="C506" s="15">
        <f t="shared" si="14"/>
        <v>3.8430089942763694E-2</v>
      </c>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row>
    <row r="507" spans="1:49" ht="15.75">
      <c r="A507" s="12">
        <v>10</v>
      </c>
      <c r="B507" s="16">
        <f>COUNTIF('Database - Whole Tornadoes'!$E$5:$E$2005,10)</f>
        <v>37</v>
      </c>
      <c r="C507" s="15">
        <f t="shared" si="14"/>
        <v>3.025347506132461E-2</v>
      </c>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row>
    <row r="508" spans="1:49" ht="15.75">
      <c r="A508" s="1">
        <v>11</v>
      </c>
      <c r="B508" s="16">
        <f>COUNTIF('Database - Whole Tornadoes'!$E$5:$E$2005,11)</f>
        <v>46</v>
      </c>
      <c r="C508" s="15">
        <f t="shared" si="14"/>
        <v>3.761242845461979E-2</v>
      </c>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row>
    <row r="509" spans="1:49" ht="15.75">
      <c r="A509" s="1">
        <v>12</v>
      </c>
      <c r="B509" s="16">
        <f>COUNTIF('Database - Whole Tornadoes'!$E$5:$E$2005,12)</f>
        <v>25</v>
      </c>
      <c r="C509" s="15">
        <f t="shared" si="14"/>
        <v>2.0441537203597711E-2</v>
      </c>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row>
    <row r="510" spans="1:49" ht="15.75">
      <c r="A510" s="1">
        <v>13</v>
      </c>
      <c r="B510" s="16">
        <f>COUNTIF('Database - Whole Tornadoes'!$E$5:$E$2005,13)</f>
        <v>33</v>
      </c>
      <c r="C510" s="15">
        <f t="shared" si="14"/>
        <v>2.6982829108748978E-2</v>
      </c>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row>
    <row r="511" spans="1:49" ht="15.75">
      <c r="A511" s="1">
        <v>14</v>
      </c>
      <c r="B511" s="16">
        <f>COUNTIF('Database - Whole Tornadoes'!$E$5:$E$2005,14)</f>
        <v>44</v>
      </c>
      <c r="C511" s="15">
        <f t="shared" si="14"/>
        <v>3.5977105478331974E-2</v>
      </c>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row>
    <row r="512" spans="1:49" ht="15.75">
      <c r="A512" s="1">
        <v>15</v>
      </c>
      <c r="B512" s="16">
        <f>COUNTIF('Database - Whole Tornadoes'!$E$5:$E$2005,15)</f>
        <v>74</v>
      </c>
      <c r="C512" s="15">
        <f t="shared" si="14"/>
        <v>6.0506950122649221E-2</v>
      </c>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row>
    <row r="513" spans="1:49" ht="15.75">
      <c r="A513" s="1">
        <v>16</v>
      </c>
      <c r="B513" s="16">
        <f>COUNTIF('Database - Whole Tornadoes'!$E$5:$E$2005,16)</f>
        <v>82</v>
      </c>
      <c r="C513" s="15">
        <f t="shared" si="14"/>
        <v>6.7048242027800492E-2</v>
      </c>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row>
    <row r="514" spans="1:49" ht="15.75">
      <c r="A514" s="1">
        <v>17</v>
      </c>
      <c r="B514" s="16">
        <f>COUNTIF('Database - Whole Tornadoes'!$E$5:$E$2005,17)</f>
        <v>43</v>
      </c>
      <c r="C514" s="15">
        <f t="shared" si="14"/>
        <v>3.5159443990188062E-2</v>
      </c>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row>
    <row r="515" spans="1:49" ht="15.75">
      <c r="A515" s="1">
        <v>18</v>
      </c>
      <c r="B515" s="16">
        <f>COUNTIF('Database - Whole Tornadoes'!$E$5:$E$2005,18)</f>
        <v>39</v>
      </c>
      <c r="C515" s="15">
        <f t="shared" si="14"/>
        <v>3.188879803761243E-2</v>
      </c>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row>
    <row r="516" spans="1:49" ht="15.75">
      <c r="A516" s="1">
        <v>19</v>
      </c>
      <c r="B516" s="16">
        <f>COUNTIF('Database - Whole Tornadoes'!$E$5:$E$2005,19)</f>
        <v>43</v>
      </c>
      <c r="C516" s="15">
        <f t="shared" si="14"/>
        <v>3.5159443990188062E-2</v>
      </c>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row>
    <row r="517" spans="1:49" ht="15.75">
      <c r="A517" s="1">
        <v>20</v>
      </c>
      <c r="B517" s="16">
        <f>COUNTIF('Database - Whole Tornadoes'!$E$5:$E$2005,20)</f>
        <v>15</v>
      </c>
      <c r="C517" s="15">
        <f t="shared" si="14"/>
        <v>1.2264922322158627E-2</v>
      </c>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row>
    <row r="518" spans="1:49" ht="15.75">
      <c r="A518" s="1">
        <v>21</v>
      </c>
      <c r="B518" s="16">
        <f>COUNTIF('Database - Whole Tornadoes'!$E$5:$E$2005,21)</f>
        <v>41</v>
      </c>
      <c r="C518" s="15">
        <f t="shared" si="14"/>
        <v>3.3524121013900246E-2</v>
      </c>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row>
    <row r="519" spans="1:49" ht="15.75">
      <c r="A519" s="1">
        <v>22</v>
      </c>
      <c r="B519" s="16">
        <f>COUNTIF('Database - Whole Tornadoes'!$E$5:$E$2005,22)</f>
        <v>49</v>
      </c>
      <c r="C519" s="15">
        <f t="shared" si="14"/>
        <v>4.006541291905151E-2</v>
      </c>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row>
    <row r="520" spans="1:49" ht="15.75">
      <c r="A520" s="1">
        <v>23</v>
      </c>
      <c r="B520" s="16">
        <f>COUNTIF('Database - Whole Tornadoes'!$E$5:$E$2005,23)</f>
        <v>47</v>
      </c>
      <c r="C520" s="15">
        <f t="shared" si="14"/>
        <v>3.8430089942763694E-2</v>
      </c>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row>
    <row r="521" spans="1:49" ht="15.75">
      <c r="A521" s="1">
        <v>24</v>
      </c>
      <c r="B521" s="16">
        <f>COUNTIF('Database - Whole Tornadoes'!$E$5:$E$2005,24)</f>
        <v>41</v>
      </c>
      <c r="C521" s="15">
        <f t="shared" si="14"/>
        <v>3.3524121013900246E-2</v>
      </c>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row>
    <row r="522" spans="1:49" ht="15.75">
      <c r="A522" s="1">
        <v>25</v>
      </c>
      <c r="B522" s="16">
        <f>COUNTIF('Database - Whole Tornadoes'!$E$5:$E$2005,25)</f>
        <v>44</v>
      </c>
      <c r="C522" s="15">
        <f t="shared" si="14"/>
        <v>3.5977105478331974E-2</v>
      </c>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row>
    <row r="523" spans="1:49" ht="15.75">
      <c r="A523" s="1">
        <v>26</v>
      </c>
      <c r="B523" s="16">
        <f>COUNTIF('Database - Whole Tornadoes'!$E$5:$E$2005,26)</f>
        <v>29</v>
      </c>
      <c r="C523" s="15">
        <f t="shared" si="14"/>
        <v>2.3712183156173343E-2</v>
      </c>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row>
    <row r="524" spans="1:49" ht="15.75">
      <c r="A524" s="1">
        <v>27</v>
      </c>
      <c r="B524" s="16">
        <f>COUNTIF('Database - Whole Tornadoes'!$E$5:$E$2005,27)</f>
        <v>32</v>
      </c>
      <c r="C524" s="15">
        <f t="shared" si="14"/>
        <v>2.616516762060507E-2</v>
      </c>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row>
    <row r="525" spans="1:49" ht="15.75">
      <c r="A525" s="1">
        <v>28</v>
      </c>
      <c r="B525" s="16">
        <f>COUNTIF('Database - Whole Tornadoes'!$E$5:$E$2005,28)</f>
        <v>45</v>
      </c>
      <c r="C525" s="15">
        <f t="shared" si="14"/>
        <v>3.6794766966475878E-2</v>
      </c>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row>
    <row r="526" spans="1:49" ht="15.75">
      <c r="A526" s="1">
        <v>29</v>
      </c>
      <c r="B526" s="16">
        <f>COUNTIF('Database - Whole Tornadoes'!$E$5:$E$2005,29)</f>
        <v>40</v>
      </c>
      <c r="C526" s="15">
        <f t="shared" si="14"/>
        <v>3.2706459525756335E-2</v>
      </c>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row>
    <row r="527" spans="1:49" ht="15.75">
      <c r="A527" s="1">
        <v>30</v>
      </c>
      <c r="B527" s="16">
        <f>COUNTIF('Database - Whole Tornadoes'!$E$5:$E$2005,30)</f>
        <v>36</v>
      </c>
      <c r="C527" s="15">
        <f t="shared" si="14"/>
        <v>2.9435813573180702E-2</v>
      </c>
      <c r="D527" s="1"/>
      <c r="E527" s="1"/>
      <c r="F527" s="1"/>
      <c r="G527" s="1"/>
      <c r="H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row>
    <row r="528" spans="1:49" ht="15.75">
      <c r="A528" s="1">
        <v>31</v>
      </c>
      <c r="B528" s="16">
        <f>COUNTIF('Database - Whole Tornadoes'!$E$5:$E$2005,31)</f>
        <v>34</v>
      </c>
      <c r="C528" s="15">
        <f t="shared" si="14"/>
        <v>2.7800490596892886E-2</v>
      </c>
      <c r="D528" s="1"/>
      <c r="E528" s="1"/>
      <c r="F528" s="1"/>
      <c r="G528" s="1"/>
      <c r="H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row>
    <row r="529" spans="1:49" ht="15.75">
      <c r="A529" s="54" t="s">
        <v>500</v>
      </c>
      <c r="B529" s="16">
        <f>SUM(B498:B528)</f>
        <v>1223</v>
      </c>
      <c r="C529" s="13"/>
      <c r="D529" s="1"/>
      <c r="E529" s="1"/>
      <c r="F529" s="1"/>
      <c r="G529" s="1"/>
      <c r="H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row>
    <row r="530" spans="1:49">
      <c r="A530" s="12"/>
      <c r="B530" s="14"/>
      <c r="C530" s="12"/>
      <c r="D530" s="1"/>
      <c r="E530" s="15"/>
      <c r="F530" s="1"/>
      <c r="G530" s="1"/>
      <c r="H530" s="12"/>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row>
    <row r="531" spans="1:49">
      <c r="A531" s="12"/>
      <c r="B531" s="14"/>
      <c r="C531" s="12"/>
      <c r="D531" s="1"/>
      <c r="E531" s="15"/>
      <c r="F531" s="1"/>
      <c r="G531" s="1"/>
      <c r="H531" s="12"/>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row>
    <row r="532" spans="1:49" ht="23.25">
      <c r="A532" s="8" t="s">
        <v>1034</v>
      </c>
    </row>
    <row r="533" spans="1:49">
      <c r="A533" s="1057" t="s">
        <v>1037</v>
      </c>
      <c r="B533" s="1057"/>
      <c r="C533" s="1057"/>
      <c r="D533" s="1057"/>
      <c r="E533" s="1057"/>
    </row>
    <row r="534" spans="1:49"/>
    <row r="535" spans="1:49" ht="15.75">
      <c r="A535" s="4" t="s">
        <v>1036</v>
      </c>
      <c r="B535" s="4" t="s">
        <v>136</v>
      </c>
      <c r="C535" s="693" t="s">
        <v>1035</v>
      </c>
    </row>
    <row r="536" spans="1:49">
      <c r="A536" s="671">
        <v>1</v>
      </c>
      <c r="B536" s="774">
        <v>37756</v>
      </c>
      <c r="C536" s="671">
        <v>26</v>
      </c>
    </row>
    <row r="537" spans="1:49">
      <c r="A537" s="671">
        <v>2</v>
      </c>
      <c r="B537" s="774">
        <v>42324</v>
      </c>
      <c r="C537" s="671">
        <v>19</v>
      </c>
    </row>
    <row r="538" spans="1:49">
      <c r="A538" s="671">
        <v>3</v>
      </c>
      <c r="B538" s="774">
        <v>34858</v>
      </c>
      <c r="C538" s="671">
        <v>18</v>
      </c>
    </row>
    <row r="539" spans="1:49">
      <c r="A539" s="671">
        <v>4</v>
      </c>
      <c r="B539" s="774">
        <v>39169</v>
      </c>
      <c r="C539" s="671">
        <v>15</v>
      </c>
    </row>
    <row r="540" spans="1:49">
      <c r="A540" s="775" t="s">
        <v>1203</v>
      </c>
      <c r="B540" s="774">
        <v>39193</v>
      </c>
      <c r="C540" s="671">
        <v>14</v>
      </c>
    </row>
    <row r="541" spans="1:49">
      <c r="A541" s="775" t="s">
        <v>1203</v>
      </c>
      <c r="B541" s="774">
        <v>39225</v>
      </c>
      <c r="C541" s="671">
        <v>14</v>
      </c>
    </row>
    <row r="542" spans="1:49">
      <c r="A542" s="775" t="s">
        <v>1204</v>
      </c>
      <c r="B542" s="774">
        <v>44346</v>
      </c>
      <c r="C542" s="671">
        <v>13</v>
      </c>
    </row>
    <row r="543" spans="1:49">
      <c r="A543" s="775" t="s">
        <v>1204</v>
      </c>
      <c r="B543" s="774">
        <v>36340</v>
      </c>
      <c r="C543" s="671">
        <v>13</v>
      </c>
    </row>
    <row r="544" spans="1:49">
      <c r="A544" s="775" t="s">
        <v>1204</v>
      </c>
      <c r="B544" s="774">
        <v>33024</v>
      </c>
      <c r="C544" s="671">
        <v>13</v>
      </c>
    </row>
    <row r="545" spans="1:44">
      <c r="A545" s="775" t="s">
        <v>1584</v>
      </c>
      <c r="B545" s="774">
        <v>40316</v>
      </c>
      <c r="C545" s="671">
        <v>12</v>
      </c>
    </row>
    <row r="546" spans="1:44">
      <c r="A546" s="775" t="s">
        <v>1584</v>
      </c>
      <c r="B546" s="774">
        <v>37381</v>
      </c>
      <c r="C546" s="671">
        <v>12</v>
      </c>
      <c r="AR546" s="1"/>
    </row>
    <row r="547" spans="1:44">
      <c r="A547" s="775" t="s">
        <v>1584</v>
      </c>
      <c r="B547" s="774">
        <v>33032</v>
      </c>
      <c r="C547" s="671">
        <v>12</v>
      </c>
    </row>
    <row r="548" spans="1:44">
      <c r="A548" s="671">
        <v>13</v>
      </c>
      <c r="B548" s="774">
        <v>31922</v>
      </c>
      <c r="C548" s="671">
        <v>11</v>
      </c>
    </row>
    <row r="549" spans="1:44">
      <c r="A549" s="775" t="s">
        <v>1585</v>
      </c>
      <c r="B549" s="774">
        <v>30090</v>
      </c>
      <c r="C549" s="671">
        <v>10</v>
      </c>
    </row>
    <row r="550" spans="1:44">
      <c r="A550" s="775" t="s">
        <v>1585</v>
      </c>
      <c r="B550" s="774">
        <v>26093</v>
      </c>
      <c r="C550" s="671">
        <v>10</v>
      </c>
    </row>
    <row r="551" spans="1:44">
      <c r="A551" s="775" t="s">
        <v>1586</v>
      </c>
      <c r="B551" s="774">
        <v>44268</v>
      </c>
      <c r="C551" s="671">
        <v>9</v>
      </c>
    </row>
    <row r="552" spans="1:44">
      <c r="A552" s="775" t="s">
        <v>1586</v>
      </c>
      <c r="B552" s="774">
        <v>38889</v>
      </c>
      <c r="C552" s="671">
        <v>9</v>
      </c>
    </row>
    <row r="553" spans="1:44">
      <c r="A553" s="775" t="s">
        <v>1586</v>
      </c>
      <c r="B553" s="774">
        <v>35592</v>
      </c>
      <c r="C553" s="671">
        <v>9</v>
      </c>
    </row>
    <row r="554" spans="1:44">
      <c r="A554" s="775" t="s">
        <v>1587</v>
      </c>
      <c r="B554" s="774">
        <v>43608</v>
      </c>
      <c r="C554" s="671">
        <v>8</v>
      </c>
    </row>
    <row r="555" spans="1:44">
      <c r="A555" s="775" t="s">
        <v>1587</v>
      </c>
      <c r="B555" s="774">
        <v>43592</v>
      </c>
      <c r="C555" s="671">
        <v>8</v>
      </c>
    </row>
    <row r="556" spans="1:44">
      <c r="A556" s="775" t="s">
        <v>1587</v>
      </c>
      <c r="B556" s="774">
        <v>42871</v>
      </c>
      <c r="C556" s="671">
        <v>8</v>
      </c>
    </row>
    <row r="557" spans="1:44">
      <c r="A557" s="775" t="s">
        <v>1587</v>
      </c>
      <c r="B557" s="774">
        <v>42512</v>
      </c>
      <c r="C557" s="671">
        <v>8</v>
      </c>
    </row>
    <row r="558" spans="1:44">
      <c r="A558" s="775" t="s">
        <v>1587</v>
      </c>
      <c r="B558" s="774">
        <v>40290</v>
      </c>
      <c r="C558" s="671">
        <v>8</v>
      </c>
    </row>
    <row r="559" spans="1:44">
      <c r="A559" s="775" t="s">
        <v>1587</v>
      </c>
      <c r="B559" s="774">
        <v>38159</v>
      </c>
      <c r="C559" s="671">
        <v>8</v>
      </c>
    </row>
    <row r="560" spans="1:44">
      <c r="A560" s="775" t="s">
        <v>1587</v>
      </c>
      <c r="B560" s="774">
        <v>35209</v>
      </c>
      <c r="C560" s="671">
        <v>8</v>
      </c>
    </row>
    <row r="561" spans="1:3">
      <c r="A561" s="775" t="s">
        <v>1587</v>
      </c>
      <c r="B561" s="774">
        <v>33387</v>
      </c>
      <c r="C561" s="671">
        <v>8</v>
      </c>
    </row>
    <row r="562" spans="1:3">
      <c r="A562" s="775" t="s">
        <v>1587</v>
      </c>
      <c r="B562" s="774">
        <v>26089</v>
      </c>
      <c r="C562" s="671">
        <v>8</v>
      </c>
    </row>
    <row r="563" spans="1:3">
      <c r="A563" s="775" t="s">
        <v>1587</v>
      </c>
      <c r="B563" s="774">
        <v>20256</v>
      </c>
      <c r="C563" s="671">
        <v>8</v>
      </c>
    </row>
    <row r="564" spans="1:3">
      <c r="A564" s="775" t="s">
        <v>1588</v>
      </c>
      <c r="B564" s="774">
        <v>42506</v>
      </c>
      <c r="C564" s="671">
        <v>7</v>
      </c>
    </row>
    <row r="565" spans="1:3">
      <c r="A565" s="775" t="s">
        <v>1588</v>
      </c>
      <c r="B565" s="774">
        <v>37040</v>
      </c>
      <c r="C565" s="671">
        <v>7</v>
      </c>
    </row>
    <row r="566" spans="1:3" ht="15" customHeight="1">
      <c r="A566" s="775" t="s">
        <v>1588</v>
      </c>
      <c r="B566" s="774">
        <v>34094</v>
      </c>
      <c r="C566" s="671">
        <v>7</v>
      </c>
    </row>
    <row r="567" spans="1:3">
      <c r="A567" s="775" t="s">
        <v>1588</v>
      </c>
      <c r="B567" s="774">
        <v>32987</v>
      </c>
      <c r="C567" s="671">
        <v>7</v>
      </c>
    </row>
    <row r="568" spans="1:3">
      <c r="A568" s="775" t="s">
        <v>1588</v>
      </c>
      <c r="B568" s="774">
        <v>26042</v>
      </c>
      <c r="C568" s="671">
        <v>7</v>
      </c>
    </row>
    <row r="569" spans="1:3">
      <c r="A569" s="775" t="s">
        <v>1588</v>
      </c>
      <c r="B569" s="774">
        <v>24656</v>
      </c>
      <c r="C569" s="671">
        <v>7</v>
      </c>
    </row>
    <row r="570" spans="1:3">
      <c r="A570" s="775" t="s">
        <v>1588</v>
      </c>
      <c r="B570" s="774">
        <v>22793</v>
      </c>
      <c r="C570" s="671">
        <v>7</v>
      </c>
    </row>
    <row r="571" spans="1:3">
      <c r="A571" s="775" t="s">
        <v>1589</v>
      </c>
      <c r="B571" s="774">
        <v>42475</v>
      </c>
      <c r="C571" s="671">
        <v>6</v>
      </c>
    </row>
    <row r="572" spans="1:3">
      <c r="A572" s="775" t="s">
        <v>1589</v>
      </c>
      <c r="B572" s="774">
        <v>42110</v>
      </c>
      <c r="C572" s="671">
        <v>6</v>
      </c>
    </row>
    <row r="573" spans="1:3">
      <c r="A573" s="775" t="s">
        <v>1589</v>
      </c>
      <c r="B573" s="774">
        <v>38514</v>
      </c>
      <c r="C573" s="671">
        <v>6</v>
      </c>
    </row>
    <row r="574" spans="1:3">
      <c r="A574" s="775" t="s">
        <v>1589</v>
      </c>
      <c r="B574" s="774">
        <v>36991</v>
      </c>
      <c r="C574" s="671">
        <v>6</v>
      </c>
    </row>
    <row r="575" spans="1:3">
      <c r="A575" s="775" t="s">
        <v>1589</v>
      </c>
      <c r="B575" s="774">
        <v>31539</v>
      </c>
      <c r="C575" s="671">
        <v>6</v>
      </c>
    </row>
    <row r="576" spans="1:3">
      <c r="A576" s="775" t="s">
        <v>1589</v>
      </c>
      <c r="B576" s="774">
        <v>30080</v>
      </c>
      <c r="C576" s="671">
        <v>6</v>
      </c>
    </row>
    <row r="577" spans="1:5">
      <c r="A577" s="775" t="s">
        <v>1589</v>
      </c>
      <c r="B577" s="774">
        <v>28262</v>
      </c>
      <c r="C577" s="671">
        <v>6</v>
      </c>
    </row>
    <row r="578" spans="1:5">
      <c r="A578" s="775" t="s">
        <v>1589</v>
      </c>
      <c r="B578" s="774">
        <v>24597</v>
      </c>
      <c r="C578" s="671">
        <v>6</v>
      </c>
    </row>
    <row r="579" spans="1:5">
      <c r="A579" s="940"/>
      <c r="B579" s="941"/>
      <c r="C579" s="942"/>
    </row>
    <row r="580" spans="1:5"/>
    <row r="581" spans="1:5"/>
    <row r="582" spans="1:5" ht="23.25">
      <c r="A582" s="1066" t="s">
        <v>1301</v>
      </c>
      <c r="B582" s="1066"/>
    </row>
    <row r="583" spans="1:5" ht="15.75" thickBot="1"/>
    <row r="584" spans="1:5" ht="24.75" customHeight="1" thickTop="1" thickBot="1">
      <c r="B584" s="803"/>
      <c r="C584" s="1084" t="s">
        <v>1304</v>
      </c>
      <c r="D584" s="804"/>
      <c r="E584" s="811"/>
    </row>
    <row r="585" spans="1:5" ht="31.5" thickTop="1" thickBot="1">
      <c r="A585" s="819" t="s">
        <v>140</v>
      </c>
      <c r="B585" s="820" t="s">
        <v>1302</v>
      </c>
      <c r="C585" s="1085"/>
      <c r="D585" s="804"/>
      <c r="E585" s="811"/>
    </row>
    <row r="586" spans="1:5" ht="15.75" thickTop="1">
      <c r="A586" s="807"/>
      <c r="B586" s="812"/>
      <c r="C586" s="801"/>
      <c r="D586" s="804"/>
    </row>
    <row r="587" spans="1:5">
      <c r="A587" s="808" t="s">
        <v>168</v>
      </c>
      <c r="B587" s="813">
        <v>81</v>
      </c>
      <c r="C587" s="806">
        <f>MAX('F2 - EF2'!A7:A200)/'Summary - Tornado Segments'!$D$5</f>
        <v>1.8767123287671232</v>
      </c>
      <c r="D587" s="804"/>
    </row>
    <row r="588" spans="1:5">
      <c r="A588" s="807"/>
      <c r="B588" s="812"/>
      <c r="C588" s="806"/>
      <c r="D588" s="804"/>
    </row>
    <row r="589" spans="1:5">
      <c r="A589" s="808" t="s">
        <v>169</v>
      </c>
      <c r="B589" s="813">
        <v>29</v>
      </c>
      <c r="C589" s="806">
        <f>MAX('F3 - EF3'!A7:A101)/'Summary - Tornado Segments'!$D$5</f>
        <v>0.58904109589041098</v>
      </c>
      <c r="D589" s="804"/>
    </row>
    <row r="590" spans="1:5">
      <c r="A590" s="807"/>
      <c r="B590" s="812"/>
      <c r="C590" s="806"/>
      <c r="D590" s="804"/>
    </row>
    <row r="591" spans="1:5">
      <c r="A591" s="808" t="s">
        <v>170</v>
      </c>
      <c r="B591" s="813">
        <v>8</v>
      </c>
      <c r="C591" s="806">
        <f>MAX('F4 - EF4'!A7:A49)/'Summary - Tornado Segments'!$D$5</f>
        <v>0.31506849315068491</v>
      </c>
      <c r="D591" s="804"/>
    </row>
    <row r="592" spans="1:5">
      <c r="A592" s="807"/>
      <c r="B592" s="812"/>
      <c r="C592" s="806"/>
      <c r="D592" s="804"/>
    </row>
    <row r="593" spans="1:42">
      <c r="A593" s="809" t="s">
        <v>171</v>
      </c>
      <c r="B593" s="814" t="s">
        <v>1303</v>
      </c>
      <c r="C593" s="815"/>
      <c r="D593" s="804"/>
    </row>
    <row r="594" spans="1:42">
      <c r="A594" s="804"/>
      <c r="C594" s="801"/>
      <c r="D594" s="804"/>
    </row>
    <row r="595" spans="1:42">
      <c r="A595" s="805" t="s">
        <v>1464</v>
      </c>
      <c r="C595" s="801"/>
      <c r="D595" s="804"/>
    </row>
    <row r="596" spans="1:42" ht="15.75" thickBot="1">
      <c r="A596" s="810" t="s">
        <v>1463</v>
      </c>
      <c r="B596" s="802"/>
      <c r="C596" s="803"/>
      <c r="D596" s="804"/>
    </row>
    <row r="597" spans="1:42" ht="15.75" thickTop="1"/>
    <row r="598" spans="1:42"/>
    <row r="599" spans="1:42" ht="23.25">
      <c r="A599" s="8" t="s">
        <v>1310</v>
      </c>
    </row>
    <row r="600" spans="1:42" ht="15.75" thickBot="1"/>
    <row r="601" spans="1:42" ht="16.5" thickTop="1">
      <c r="S601" s="844"/>
      <c r="T601" s="1082" t="s">
        <v>1465</v>
      </c>
      <c r="U601" s="1083"/>
      <c r="V601" s="1083"/>
      <c r="W601" s="1083"/>
      <c r="X601" s="1083"/>
      <c r="Y601" s="1083"/>
      <c r="Z601" s="1083"/>
      <c r="AA601" s="1083"/>
      <c r="AB601" s="1083"/>
      <c r="AC601" s="1083"/>
      <c r="AD601" s="1083"/>
      <c r="AE601" s="1083"/>
      <c r="AF601" s="1083"/>
      <c r="AG601" s="1083"/>
      <c r="AH601" s="1083"/>
      <c r="AI601" s="1083"/>
      <c r="AJ601" s="1083"/>
      <c r="AK601" s="1083"/>
      <c r="AL601" s="1083"/>
      <c r="AM601" s="1083"/>
      <c r="AN601" s="1083"/>
      <c r="AO601" s="852"/>
      <c r="AP601" s="853"/>
    </row>
    <row r="602" spans="1:42" ht="15.75">
      <c r="S602" s="845" t="s">
        <v>96</v>
      </c>
      <c r="T602" s="4">
        <v>6</v>
      </c>
      <c r="U602" s="4">
        <f t="shared" ref="U602:AN602" si="15">+T602+1</f>
        <v>7</v>
      </c>
      <c r="V602" s="4">
        <f t="shared" si="15"/>
        <v>8</v>
      </c>
      <c r="W602" s="4">
        <f t="shared" si="15"/>
        <v>9</v>
      </c>
      <c r="X602" s="4">
        <f t="shared" si="15"/>
        <v>10</v>
      </c>
      <c r="Y602" s="4">
        <f t="shared" si="15"/>
        <v>11</v>
      </c>
      <c r="Z602" s="4">
        <f t="shared" si="15"/>
        <v>12</v>
      </c>
      <c r="AA602" s="4">
        <f t="shared" si="15"/>
        <v>13</v>
      </c>
      <c r="AB602" s="4">
        <f t="shared" si="15"/>
        <v>14</v>
      </c>
      <c r="AC602" s="4">
        <f t="shared" si="15"/>
        <v>15</v>
      </c>
      <c r="AD602" s="4">
        <f t="shared" si="15"/>
        <v>16</v>
      </c>
      <c r="AE602" s="4">
        <f t="shared" si="15"/>
        <v>17</v>
      </c>
      <c r="AF602" s="4">
        <f t="shared" si="15"/>
        <v>18</v>
      </c>
      <c r="AG602" s="4">
        <f t="shared" si="15"/>
        <v>19</v>
      </c>
      <c r="AH602" s="4">
        <f t="shared" si="15"/>
        <v>20</v>
      </c>
      <c r="AI602" s="4">
        <f t="shared" si="15"/>
        <v>21</v>
      </c>
      <c r="AJ602" s="4">
        <f t="shared" si="15"/>
        <v>22</v>
      </c>
      <c r="AK602" s="4">
        <f t="shared" si="15"/>
        <v>23</v>
      </c>
      <c r="AL602" s="4">
        <f t="shared" si="15"/>
        <v>24</v>
      </c>
      <c r="AM602" s="4">
        <f t="shared" si="15"/>
        <v>25</v>
      </c>
      <c r="AN602" s="4">
        <f t="shared" si="15"/>
        <v>26</v>
      </c>
      <c r="AP602" s="895" t="s">
        <v>1466</v>
      </c>
    </row>
    <row r="603" spans="1:42">
      <c r="S603" s="846">
        <v>1950</v>
      </c>
      <c r="AP603" s="847">
        <v>4</v>
      </c>
    </row>
    <row r="604" spans="1:42">
      <c r="S604" s="846">
        <f>+S603+1</f>
        <v>1951</v>
      </c>
      <c r="AP604" s="847">
        <v>6</v>
      </c>
    </row>
    <row r="605" spans="1:42">
      <c r="S605" s="846">
        <f t="shared" ref="S605:S668" si="16">+S604+1</f>
        <v>1952</v>
      </c>
      <c r="AP605" s="847">
        <v>1</v>
      </c>
    </row>
    <row r="606" spans="1:42">
      <c r="S606" s="846">
        <f t="shared" si="16"/>
        <v>1953</v>
      </c>
      <c r="AP606" s="847">
        <v>2</v>
      </c>
    </row>
    <row r="607" spans="1:42">
      <c r="S607" s="846">
        <f t="shared" si="16"/>
        <v>1954</v>
      </c>
      <c r="AP607" s="847">
        <v>2</v>
      </c>
    </row>
    <row r="608" spans="1:42">
      <c r="S608" s="846">
        <f t="shared" si="16"/>
        <v>1955</v>
      </c>
      <c r="V608">
        <v>8</v>
      </c>
      <c r="AP608" s="847">
        <v>8</v>
      </c>
    </row>
    <row r="609" spans="19:42">
      <c r="S609" s="846">
        <f t="shared" si="16"/>
        <v>1956</v>
      </c>
      <c r="AP609" s="847">
        <v>2</v>
      </c>
    </row>
    <row r="610" spans="19:42">
      <c r="S610" s="846">
        <f t="shared" si="16"/>
        <v>1957</v>
      </c>
      <c r="AP610" s="847">
        <v>7</v>
      </c>
    </row>
    <row r="611" spans="19:42">
      <c r="S611" s="846">
        <f t="shared" si="16"/>
        <v>1958</v>
      </c>
      <c r="AP611" s="847">
        <v>10</v>
      </c>
    </row>
    <row r="612" spans="19:42">
      <c r="S612" s="846">
        <f t="shared" si="16"/>
        <v>1959</v>
      </c>
      <c r="AP612" s="847">
        <v>6</v>
      </c>
    </row>
    <row r="613" spans="19:42">
      <c r="S613" s="846">
        <f t="shared" si="16"/>
        <v>1960</v>
      </c>
      <c r="AP613" s="847">
        <v>6</v>
      </c>
    </row>
    <row r="614" spans="19:42">
      <c r="S614" s="846">
        <f t="shared" si="16"/>
        <v>1961</v>
      </c>
      <c r="AP614" s="847">
        <v>7</v>
      </c>
    </row>
    <row r="615" spans="19:42">
      <c r="S615" s="846">
        <f t="shared" si="16"/>
        <v>1962</v>
      </c>
      <c r="U615">
        <v>7</v>
      </c>
      <c r="AP615" s="847">
        <v>9</v>
      </c>
    </row>
    <row r="616" spans="19:42">
      <c r="S616" s="846">
        <f t="shared" si="16"/>
        <v>1963</v>
      </c>
      <c r="AP616" s="847">
        <v>4</v>
      </c>
    </row>
    <row r="617" spans="19:42">
      <c r="S617" s="846">
        <f t="shared" si="16"/>
        <v>1964</v>
      </c>
      <c r="AP617" s="847">
        <v>4</v>
      </c>
    </row>
    <row r="618" spans="19:42">
      <c r="S618" s="846">
        <f t="shared" si="16"/>
        <v>1965</v>
      </c>
      <c r="AP618" s="847">
        <v>8</v>
      </c>
    </row>
    <row r="619" spans="19:42">
      <c r="S619" s="846">
        <f t="shared" si="16"/>
        <v>1966</v>
      </c>
      <c r="AP619" s="847">
        <v>8</v>
      </c>
    </row>
    <row r="620" spans="19:42">
      <c r="S620" s="846">
        <f t="shared" si="16"/>
        <v>1967</v>
      </c>
      <c r="T620">
        <v>6</v>
      </c>
      <c r="U620">
        <v>7</v>
      </c>
      <c r="AP620" s="847">
        <v>13</v>
      </c>
    </row>
    <row r="621" spans="19:42">
      <c r="S621" s="846">
        <f t="shared" si="16"/>
        <v>1968</v>
      </c>
      <c r="AP621" s="847">
        <v>15</v>
      </c>
    </row>
    <row r="622" spans="19:42">
      <c r="S622" s="846">
        <f t="shared" si="16"/>
        <v>1969</v>
      </c>
      <c r="AP622" s="847">
        <v>9</v>
      </c>
    </row>
    <row r="623" spans="19:42">
      <c r="S623" s="846">
        <f t="shared" si="16"/>
        <v>1970</v>
      </c>
      <c r="AP623" s="847">
        <v>4</v>
      </c>
    </row>
    <row r="624" spans="19:42">
      <c r="S624" s="846">
        <f t="shared" si="16"/>
        <v>1971</v>
      </c>
      <c r="U624">
        <v>7</v>
      </c>
      <c r="V624">
        <v>8</v>
      </c>
      <c r="X624">
        <v>10</v>
      </c>
      <c r="AP624" s="847">
        <v>11</v>
      </c>
    </row>
    <row r="625" spans="1:42">
      <c r="S625" s="846">
        <f t="shared" si="16"/>
        <v>1972</v>
      </c>
      <c r="AP625" s="847">
        <v>12</v>
      </c>
    </row>
    <row r="626" spans="1:42">
      <c r="S626" s="846">
        <f t="shared" si="16"/>
        <v>1973</v>
      </c>
      <c r="AP626" s="847">
        <v>8</v>
      </c>
    </row>
    <row r="627" spans="1:42">
      <c r="S627" s="846">
        <f t="shared" si="16"/>
        <v>1974</v>
      </c>
      <c r="AP627" s="847">
        <v>11</v>
      </c>
    </row>
    <row r="628" spans="1:42" ht="23.25">
      <c r="A628" s="8" t="s">
        <v>1311</v>
      </c>
      <c r="S628" s="846">
        <f t="shared" si="16"/>
        <v>1975</v>
      </c>
      <c r="AP628" s="847">
        <v>10</v>
      </c>
    </row>
    <row r="629" spans="1:42">
      <c r="S629" s="846">
        <f t="shared" si="16"/>
        <v>1976</v>
      </c>
      <c r="AP629" s="847">
        <v>5</v>
      </c>
    </row>
    <row r="630" spans="1:42">
      <c r="S630" s="846">
        <f t="shared" si="16"/>
        <v>1977</v>
      </c>
      <c r="T630">
        <v>6</v>
      </c>
      <c r="AP630" s="847">
        <v>12</v>
      </c>
    </row>
    <row r="631" spans="1:42">
      <c r="S631" s="846">
        <f t="shared" si="16"/>
        <v>1978</v>
      </c>
      <c r="AP631" s="847">
        <v>11</v>
      </c>
    </row>
    <row r="632" spans="1:42">
      <c r="S632" s="846">
        <f t="shared" si="16"/>
        <v>1979</v>
      </c>
      <c r="AP632" s="847">
        <v>9</v>
      </c>
    </row>
    <row r="633" spans="1:42">
      <c r="S633" s="846">
        <f t="shared" si="16"/>
        <v>1980</v>
      </c>
      <c r="AP633" s="847">
        <v>7</v>
      </c>
    </row>
    <row r="634" spans="1:42">
      <c r="S634" s="846">
        <f t="shared" si="16"/>
        <v>1981</v>
      </c>
      <c r="AP634" s="847">
        <v>9</v>
      </c>
    </row>
    <row r="635" spans="1:42">
      <c r="S635" s="846">
        <f t="shared" si="16"/>
        <v>1982</v>
      </c>
      <c r="T635">
        <v>6</v>
      </c>
      <c r="X635">
        <v>10</v>
      </c>
      <c r="AP635" s="847">
        <v>15</v>
      </c>
    </row>
    <row r="636" spans="1:42">
      <c r="S636" s="846">
        <f t="shared" si="16"/>
        <v>1983</v>
      </c>
      <c r="AP636" s="847">
        <v>8</v>
      </c>
    </row>
    <row r="637" spans="1:42">
      <c r="S637" s="846">
        <f t="shared" si="16"/>
        <v>1984</v>
      </c>
      <c r="AP637" s="847">
        <v>3</v>
      </c>
    </row>
    <row r="638" spans="1:42">
      <c r="S638" s="846">
        <f t="shared" si="16"/>
        <v>1985</v>
      </c>
      <c r="AP638" s="847">
        <v>3</v>
      </c>
    </row>
    <row r="639" spans="1:42">
      <c r="S639" s="846">
        <f t="shared" si="16"/>
        <v>1986</v>
      </c>
      <c r="T639">
        <v>6</v>
      </c>
      <c r="AP639" s="847">
        <v>8</v>
      </c>
    </row>
    <row r="640" spans="1:42">
      <c r="S640" s="846">
        <f t="shared" si="16"/>
        <v>1987</v>
      </c>
      <c r="Y640">
        <v>11</v>
      </c>
      <c r="AP640" s="847">
        <v>14</v>
      </c>
    </row>
    <row r="641" spans="1:42">
      <c r="S641" s="846">
        <f t="shared" si="16"/>
        <v>1988</v>
      </c>
      <c r="AP641" s="847">
        <v>3</v>
      </c>
    </row>
    <row r="642" spans="1:42">
      <c r="S642" s="846">
        <f t="shared" si="16"/>
        <v>1989</v>
      </c>
      <c r="AP642" s="847">
        <v>10</v>
      </c>
    </row>
    <row r="643" spans="1:42">
      <c r="S643" s="846">
        <f t="shared" si="16"/>
        <v>1990</v>
      </c>
      <c r="U643">
        <v>7</v>
      </c>
      <c r="Z643">
        <v>12</v>
      </c>
      <c r="AA643">
        <v>13</v>
      </c>
      <c r="AP643" s="847">
        <v>6</v>
      </c>
    </row>
    <row r="644" spans="1:42">
      <c r="S644" s="846">
        <f t="shared" si="16"/>
        <v>1991</v>
      </c>
      <c r="V644">
        <v>8</v>
      </c>
      <c r="AP644" s="847">
        <v>8</v>
      </c>
    </row>
    <row r="645" spans="1:42">
      <c r="S645" s="846">
        <f t="shared" si="16"/>
        <v>1992</v>
      </c>
      <c r="AP645" s="847">
        <v>8</v>
      </c>
    </row>
    <row r="646" spans="1:42">
      <c r="S646" s="846">
        <f t="shared" si="16"/>
        <v>1993</v>
      </c>
      <c r="U646">
        <v>7</v>
      </c>
      <c r="AP646" s="847">
        <v>8</v>
      </c>
    </row>
    <row r="647" spans="1:42">
      <c r="S647" s="846">
        <f t="shared" si="16"/>
        <v>1994</v>
      </c>
      <c r="AP647" s="847">
        <v>4</v>
      </c>
    </row>
    <row r="648" spans="1:42">
      <c r="S648" s="846">
        <f t="shared" si="16"/>
        <v>1995</v>
      </c>
      <c r="AF648">
        <v>18</v>
      </c>
      <c r="AP648" s="847">
        <v>13</v>
      </c>
    </row>
    <row r="649" spans="1:42">
      <c r="S649" s="846">
        <f t="shared" si="16"/>
        <v>1996</v>
      </c>
      <c r="V649">
        <v>8</v>
      </c>
      <c r="AP649" s="847">
        <v>13</v>
      </c>
    </row>
    <row r="650" spans="1:42">
      <c r="S650" s="846">
        <f t="shared" si="16"/>
        <v>1997</v>
      </c>
      <c r="W650">
        <v>9</v>
      </c>
      <c r="AP650" s="847">
        <v>10</v>
      </c>
    </row>
    <row r="651" spans="1:42">
      <c r="S651" s="846">
        <f t="shared" si="16"/>
        <v>1998</v>
      </c>
      <c r="AP651" s="847">
        <v>2</v>
      </c>
    </row>
    <row r="652" spans="1:42" ht="23.25">
      <c r="A652" s="8" t="s">
        <v>985</v>
      </c>
      <c r="B652" s="1"/>
      <c r="C652" s="1"/>
      <c r="D652" s="1"/>
      <c r="E652" s="1"/>
      <c r="S652" s="846">
        <f t="shared" si="16"/>
        <v>1999</v>
      </c>
      <c r="AA652">
        <v>13</v>
      </c>
      <c r="AP652" s="847">
        <v>7</v>
      </c>
    </row>
    <row r="653" spans="1:42" ht="16.5" thickBot="1">
      <c r="D653" s="1" t="s">
        <v>1359</v>
      </c>
      <c r="E653" s="1" t="s">
        <v>166</v>
      </c>
      <c r="F653" s="1" t="s">
        <v>167</v>
      </c>
      <c r="G653" t="s">
        <v>168</v>
      </c>
      <c r="H653" t="s">
        <v>169</v>
      </c>
      <c r="I653" t="s">
        <v>170</v>
      </c>
      <c r="J653" t="s">
        <v>171</v>
      </c>
      <c r="S653" s="846">
        <f t="shared" si="16"/>
        <v>2000</v>
      </c>
      <c r="AP653" s="847">
        <v>5</v>
      </c>
    </row>
    <row r="654" spans="1:42" ht="15.75" thickTop="1">
      <c r="A654" s="867" t="s">
        <v>986</v>
      </c>
      <c r="B654" s="876">
        <f>+D654</f>
        <v>66</v>
      </c>
      <c r="C654" s="868"/>
      <c r="D654" s="950">
        <f>SUM(E654:J654)</f>
        <v>66</v>
      </c>
      <c r="E654" s="948">
        <f>COUNTIF('Database - Whole Tornadoes'!$P$5:$P$2005,"1950F0")+COUNTIF('Database - Whole Tornadoes'!$P$5:$P$2005,"1951F0")+COUNTIF('Database - Whole Tornadoes'!$P$5:$P$2005,"1952F0")+COUNTIF('Database - Whole Tornadoes'!$P$5:$P$2005,"1953F0")+COUNTIF('Database - Whole Tornadoes'!$P$5:$P$2005,"1954F0")+COUNTIF('Database - Whole Tornadoes'!$P$5:$P$2005,"1955F0")+COUNTIF('Database - Whole Tornadoes'!$P$5:$P$2005,"1956F0")+COUNTIF('Database - Whole Tornadoes'!$P$5:$P$2005,"1957F0")+COUNTIF('Database - Whole Tornadoes'!$P$5:$P$2005,"1958F0")+COUNTIF('Database - Whole Tornadoes'!$P$5:$P$2005,"1959F0")</f>
        <v>26</v>
      </c>
      <c r="F654" s="866">
        <f>COUNTIF('Database - Whole Tornadoes'!$P$5:$P$2005,"1950F1")+COUNTIF('Database - Whole Tornadoes'!$P$5:$P$2005,"1951F1")+COUNTIF('Database - Whole Tornadoes'!$P$5:$P$2005,"1952F1")+COUNTIF('Database - Whole Tornadoes'!$P$5:$P$2005,"1953F1")+COUNTIF('Database - Whole Tornadoes'!$P$5:$P$2005,"1954F1")+COUNTIF('Database - Whole Tornadoes'!$P$5:$P$2005,"1955F1")+COUNTIF('Database - Whole Tornadoes'!$P$5:$P$2005,"1956F1")+COUNTIF('Database - Whole Tornadoes'!$P$5:$P$2005,"1957F1")+COUNTIF('Database - Whole Tornadoes'!$P$5:$P$2005,"1958F1")+COUNTIF('Database - Whole Tornadoes'!$P$5:$P$2005,"1959F1")</f>
        <v>27</v>
      </c>
      <c r="G654" s="866">
        <f>COUNTIF('Database - Whole Tornadoes'!$P$5:$P$2005,"1950F2")+COUNTIF('Database - Whole Tornadoes'!$P$5:$P$2005,"1951F2")+COUNTIF('Database - Whole Tornadoes'!$P$5:$P$2005,"1952F2")+COUNTIF('Database - Whole Tornadoes'!$P$5:$P$2005,"1953F2")+COUNTIF('Database - Whole Tornadoes'!$P$5:$P$2005,"1954F2")+COUNTIF('Database - Whole Tornadoes'!$P$5:$P$2005,"1955F2")+COUNTIF('Database - Whole Tornadoes'!$P$5:$P$2005,"1956F2")+COUNTIF('Database - Whole Tornadoes'!$P$5:$P$2005,"1957F2")+COUNTIF('Database - Whole Tornadoes'!$P$5:$P$2005,"1958F2")+COUNTIF('Database - Whole Tornadoes'!$P$5:$P$2005,"1959F2")</f>
        <v>8</v>
      </c>
      <c r="H654" s="866">
        <f>COUNTIF('Database - Whole Tornadoes'!$P$5:$P$2005,"1950F3")+COUNTIF('Database - Whole Tornadoes'!$P$5:$P$2005,"1951F3")+COUNTIF('Database - Whole Tornadoes'!$P$5:$P$2005,"1952F3")+COUNTIF('Database - Whole Tornadoes'!$P$5:$P$2005,"1953F3")+COUNTIF('Database - Whole Tornadoes'!$P$5:$P$2005,"1954F3")+COUNTIF('Database - Whole Tornadoes'!$P$5:$P$2005,"1955F3")+COUNTIF('Database - Whole Tornadoes'!$P$5:$P$2005,"1956F3")+COUNTIF('Database - Whole Tornadoes'!$P$5:$P$2005,"1957F3")+COUNTIF('Database - Whole Tornadoes'!$P$5:$P$2005,"1958F3")+COUNTIF('Database - Whole Tornadoes'!$P$5:$P$2005,"1959F3")</f>
        <v>4</v>
      </c>
      <c r="I654" s="866">
        <f>COUNTIF('Database - Whole Tornadoes'!$P$5:$P$2005,"1950F4")+COUNTIF('Database - Whole Tornadoes'!$P$5:$P$2005,"1951F4")+COUNTIF('Database - Whole Tornadoes'!$P$5:$P$2005,"1952F4")+COUNTIF('Database - Whole Tornadoes'!$P$5:$P$2005,"1953F4")+COUNTIF('Database - Whole Tornadoes'!$P$5:$P$2005,"1954F4")+COUNTIF('Database - Whole Tornadoes'!$P$5:$P$2005,"1955F4")+COUNTIF('Database - Whole Tornadoes'!$P$5:$P$2005,"1956F4")+COUNTIF('Database - Whole Tornadoes'!$P$5:$P$2005,"1957F4")+COUNTIF('Database - Whole Tornadoes'!$P$5:$P$2005,"1958F4")+COUNTIF('Database - Whole Tornadoes'!$P$5:$P$2005,"1959F4")</f>
        <v>1</v>
      </c>
      <c r="J654" s="866">
        <f>COUNTIF('Database - Whole Tornadoes'!$P$5:$P$2005,"1950F5")+COUNTIF('Database - Whole Tornadoes'!$P$5:$P$2005,"1951F5")+COUNTIF('Database - Whole Tornadoes'!$P$5:$P$2005,"1952F5")+COUNTIF('Database - Whole Tornadoes'!$P$5:$P$2005,"1953F5")+COUNTIF('Database - Whole Tornadoes'!$P$5:$P$2005,"1954F5")+COUNTIF('Database - Whole Tornadoes'!$P$5:$P$2005,"1955F5")+COUNTIF('Database - Whole Tornadoes'!$P$5:$P$2005,"1956F5")+COUNTIF('Database - Whole Tornadoes'!$P$5:$P$2005,"1957F5")+COUNTIF('Database - Whole Tornadoes'!$P$5:$P$2005,"1958F5")+COUNTIF('Database - Whole Tornadoes'!$P$5:$P$2005,"1959F5")</f>
        <v>0</v>
      </c>
      <c r="S654" s="846">
        <f t="shared" si="16"/>
        <v>2001</v>
      </c>
      <c r="T654">
        <v>6</v>
      </c>
      <c r="U654">
        <v>7</v>
      </c>
      <c r="AP654" s="847">
        <v>8</v>
      </c>
    </row>
    <row r="655" spans="1:42">
      <c r="A655" s="869" t="s">
        <v>987</v>
      </c>
      <c r="B655" s="250">
        <f>+D655</f>
        <v>153</v>
      </c>
      <c r="C655" s="870"/>
      <c r="D655" s="950">
        <f t="shared" ref="D655:D661" si="17">SUM(E655:J655)</f>
        <v>153</v>
      </c>
      <c r="E655" s="948">
        <f>COUNTIF('Database - Whole Tornadoes'!$P$5:$P$2005,"1960F0")+COUNTIF('Database - Whole Tornadoes'!$P$5:$P$2005,"1961F0")+COUNTIF('Database - Whole Tornadoes'!$P$5:$P$2005,"1962F0")+COUNTIF('Database - Whole Tornadoes'!$P$5:$P$2005,"1963F0")+COUNTIF('Database - Whole Tornadoes'!$P$5:$P$2005,"1964F0")+COUNTIF('Database - Whole Tornadoes'!$P$5:$P$2005,"1965F0")+COUNTIF('Database - Whole Tornadoes'!$P$5:$P$2005,"1966F0")+COUNTIF('Database - Whole Tornadoes'!$P$5:$P$2005,"1967F0")+COUNTIF('Database - Whole Tornadoes'!$P$5:$P$2005,"1968F0")+COUNTIF('Database - Whole Tornadoes'!$P$5:$P$2005,"1969F0")</f>
        <v>84</v>
      </c>
      <c r="F655" s="866">
        <f>COUNTIF('Database - Whole Tornadoes'!$P$5:$P$2005,"1960F1")+COUNTIF('Database - Whole Tornadoes'!$P$5:$P$2005,"1961F1")+COUNTIF('Database - Whole Tornadoes'!$P$5:$P$2005,"1962F1")+COUNTIF('Database - Whole Tornadoes'!$P$5:$P$2005,"1963F1")+COUNTIF('Database - Whole Tornadoes'!$P$5:$P$2005,"1964F1")+COUNTIF('Database - Whole Tornadoes'!$P$5:$P$2005,"1965F1")+COUNTIF('Database - Whole Tornadoes'!$P$5:$P$2005,"1966F1")+COUNTIF('Database - Whole Tornadoes'!$P$5:$P$2005,"1967F1")+COUNTIF('Database - Whole Tornadoes'!$P$5:$P$2005,"1968F1")+COUNTIF('Database - Whole Tornadoes'!$P$5:$P$2005,"1969F1")</f>
        <v>35</v>
      </c>
      <c r="G655" s="866">
        <f>COUNTIF('Database - Whole Tornadoes'!$P$5:$P$2005,"1960F2")+COUNTIF('Database - Whole Tornadoes'!$P$5:$P$2005,"1961F2")+COUNTIF('Database - Whole Tornadoes'!$P$5:$P$2005,"1962F2")+COUNTIF('Database - Whole Tornadoes'!$P$5:$P$2005,"1963F2")+COUNTIF('Database - Whole Tornadoes'!$P$5:$P$2005,"1964F2")+COUNTIF('Database - Whole Tornadoes'!$P$5:$P$2005,"1965F2")+COUNTIF('Database - Whole Tornadoes'!$P$5:$P$2005,"1966F2")+COUNTIF('Database - Whole Tornadoes'!$P$5:$P$2005,"1967F2")+COUNTIF('Database - Whole Tornadoes'!$P$5:$P$2005,"1968F2")+COUNTIF('Database - Whole Tornadoes'!$P$5:$P$2005,"1969F2")</f>
        <v>28</v>
      </c>
      <c r="H655" s="866">
        <f>COUNTIF('Database - Whole Tornadoes'!$P$5:$P$2005,"1960F3")+COUNTIF('Database - Whole Tornadoes'!$P$5:$P$2005,"1961F3")+COUNTIF('Database - Whole Tornadoes'!$P$5:$P$2005,"1962F3")+COUNTIF('Database - Whole Tornadoes'!$P$5:$P$2005,"1963F3")+COUNTIF('Database - Whole Tornadoes'!$P$5:$P$2005,"1964F3")+COUNTIF('Database - Whole Tornadoes'!$P$5:$P$2005,"1965F3")+COUNTIF('Database - Whole Tornadoes'!$P$5:$P$2005,"1966F3")+COUNTIF('Database - Whole Tornadoes'!$P$5:$P$2005,"1967F3")+COUNTIF('Database - Whole Tornadoes'!$P$5:$P$2005,"1968F3")+COUNTIF('Database - Whole Tornadoes'!$P$5:$P$2005,"1969F3")</f>
        <v>6</v>
      </c>
      <c r="I655" s="866">
        <f>COUNTIF('Database - Whole Tornadoes'!$P$5:$P$2005,"1960F4")+COUNTIF('Database - Whole Tornadoes'!$P$5:$P$2005,"1961F4")+COUNTIF('Database - Whole Tornadoes'!$P$5:$P$2005,"1962F4")+COUNTIF('Database - Whole Tornadoes'!$P$5:$P$2005,"1963F4")+COUNTIF('Database - Whole Tornadoes'!$P$5:$P$2005,"1964F4")+COUNTIF('Database - Whole Tornadoes'!$P$5:$P$2005,"1965F4")+COUNTIF('Database - Whole Tornadoes'!$P$5:$P$2005,"1966F4")+COUNTIF('Database - Whole Tornadoes'!$P$5:$P$2005,"1967F4")+COUNTIF('Database - Whole Tornadoes'!$P$5:$P$2005,"1968F4")+COUNTIF('Database - Whole Tornadoes'!$P$5:$P$2005,"1969F4")</f>
        <v>0</v>
      </c>
      <c r="J655" s="866">
        <f>COUNTIF('Database - Whole Tornadoes'!$P$5:$P$2005,"1960F5")+COUNTIF('Database - Whole Tornadoes'!$P$5:$P$2005,"1961F5")+COUNTIF('Database - Whole Tornadoes'!$P$5:$P$2005,"1962F5")+COUNTIF('Database - Whole Tornadoes'!$P$5:$P$2005,"1963F5")+COUNTIF('Database - Whole Tornadoes'!$P$5:$P$2005,"1964F5")+COUNTIF('Database - Whole Tornadoes'!$P$5:$P$2005,"1965F5")+COUNTIF('Database - Whole Tornadoes'!$P$5:$P$2005,"1966F5")+COUNTIF('Database - Whole Tornadoes'!$P$5:$P$2005,"1967F5")+COUNTIF('Database - Whole Tornadoes'!$P$5:$P$2005,"1968F5")+COUNTIF('Database - Whole Tornadoes'!$P$5:$P$2005,"1969F5")</f>
        <v>0</v>
      </c>
      <c r="S655" s="846">
        <f t="shared" si="16"/>
        <v>2002</v>
      </c>
      <c r="U655" t="s">
        <v>1364</v>
      </c>
      <c r="Z655">
        <v>12</v>
      </c>
      <c r="AP655" s="847">
        <v>6</v>
      </c>
    </row>
    <row r="656" spans="1:42">
      <c r="A656" s="869" t="s">
        <v>988</v>
      </c>
      <c r="B656" s="250">
        <f t="shared" ref="B656:B661" si="18">+D656</f>
        <v>159</v>
      </c>
      <c r="C656" s="870"/>
      <c r="D656" s="950">
        <f t="shared" si="17"/>
        <v>159</v>
      </c>
      <c r="E656" s="948">
        <f>COUNTIF('Database - Whole Tornadoes'!$P$5:$P$2005,"1970F0")+COUNTIF('Database - Whole Tornadoes'!$P$5:$P$2005,"1971F0")+COUNTIF('Database - Whole Tornadoes'!$P$5:$P$2005,"1972F0")+COUNTIF('Database - Whole Tornadoes'!$P$5:$P$2005,"1973F0")+COUNTIF('Database - Whole Tornadoes'!$P$5:$P$2005,"1974F0")+COUNTIF('Database - Whole Tornadoes'!$P$5:$P$2005,"1975F0")+COUNTIF('Database - Whole Tornadoes'!$P$5:$P$2005,"1976F0")+COUNTIF('Database - Whole Tornadoes'!$P$5:$P$2005,"1977F0")+COUNTIF('Database - Whole Tornadoes'!$P$5:$P$2005,"1978F0")+COUNTIF('Database - Whole Tornadoes'!$P$5:$P$2005,"1979F0")</f>
        <v>63</v>
      </c>
      <c r="F656" s="866">
        <f>COUNTIF('Database - Whole Tornadoes'!$P$5:$P$2005,"1970F1")+COUNTIF('Database - Whole Tornadoes'!$P$5:$P$2005,"1971F1")+COUNTIF('Database - Whole Tornadoes'!$P$5:$P$2005,"1972F1")+COUNTIF('Database - Whole Tornadoes'!$P$5:$P$2005,"1973F1")+COUNTIF('Database - Whole Tornadoes'!$P$5:$P$2005,"1974F1")+COUNTIF('Database - Whole Tornadoes'!$P$5:$P$2005,"1975F1")+COUNTIF('Database - Whole Tornadoes'!$P$5:$P$2005,"1976F1")+COUNTIF('Database - Whole Tornadoes'!$P$5:$P$2005,"1977F1")+COUNTIF('Database - Whole Tornadoes'!$P$5:$P$2005,"1978F1")+COUNTIF('Database - Whole Tornadoes'!$P$5:$P$2005,"1979F1")</f>
        <v>53</v>
      </c>
      <c r="G656" s="866">
        <f>COUNTIF('Database - Whole Tornadoes'!$P$5:$P$2005,"1970F2")+COUNTIF('Database - Whole Tornadoes'!$P$5:$P$2005,"1971F2")+COUNTIF('Database - Whole Tornadoes'!$P$5:$P$2005,"1972F2")+COUNTIF('Database - Whole Tornadoes'!$P$5:$P$2005,"1973F2")+COUNTIF('Database - Whole Tornadoes'!$P$5:$P$2005,"1974F2")+COUNTIF('Database - Whole Tornadoes'!$P$5:$P$2005,"1975F2")+COUNTIF('Database - Whole Tornadoes'!$P$5:$P$2005,"1976F2")+COUNTIF('Database - Whole Tornadoes'!$P$5:$P$2005,"1977F2")+COUNTIF('Database - Whole Tornadoes'!$P$5:$P$2005,"1978F2")+COUNTIF('Database - Whole Tornadoes'!$P$5:$P$2005,"1979F2")</f>
        <v>30</v>
      </c>
      <c r="H656" s="866">
        <f>COUNTIF('Database - Whole Tornadoes'!$P$5:$P$2005,"1970F3")+COUNTIF('Database - Whole Tornadoes'!$P$5:$P$2005,"1971F3")+COUNTIF('Database - Whole Tornadoes'!$P$5:$P$2005,"1972F3")+COUNTIF('Database - Whole Tornadoes'!$P$5:$P$2005,"1973F3")+COUNTIF('Database - Whole Tornadoes'!$P$5:$P$2005,"1974F3")+COUNTIF('Database - Whole Tornadoes'!$P$5:$P$2005,"1975F3")+COUNTIF('Database - Whole Tornadoes'!$P$5:$P$2005,"1976F3")+COUNTIF('Database - Whole Tornadoes'!$P$5:$P$2005,"1977F3")+COUNTIF('Database - Whole Tornadoes'!$P$5:$P$2005,"1978F3")+COUNTIF('Database - Whole Tornadoes'!$P$5:$P$2005,"1979F3")</f>
        <v>7</v>
      </c>
      <c r="I656" s="866">
        <f>COUNTIF('Database - Whole Tornadoes'!$P$5:$P$2005,"1970F4")+COUNTIF('Database - Whole Tornadoes'!$P$5:$P$2005,"1971F4")+COUNTIF('Database - Whole Tornadoes'!$P$5:$P$2005,"1972F4")+COUNTIF('Database - Whole Tornadoes'!$P$5:$P$2005,"1973F4")+COUNTIF('Database - Whole Tornadoes'!$P$5:$P$2005,"1974F4")+COUNTIF('Database - Whole Tornadoes'!$P$5:$P$2005,"1975F4")+COUNTIF('Database - Whole Tornadoes'!$P$5:$P$2005,"1976F4")+COUNTIF('Database - Whole Tornadoes'!$P$5:$P$2005,"1977F4")+COUNTIF('Database - Whole Tornadoes'!$P$5:$P$2005,"1978F4")+COUNTIF('Database - Whole Tornadoes'!$P$5:$P$2005,"1979F4")</f>
        <v>6</v>
      </c>
      <c r="J656" s="866">
        <f>COUNTIF('Database - Whole Tornadoes'!$P$5:$P$2005,"1970F5")+COUNTIF('Database - Whole Tornadoes'!$P$5:$P$2005,"1971F5")+COUNTIF('Database - Whole Tornadoes'!$P$5:$P$2005,"1972F5")+COUNTIF('Database - Whole Tornadoes'!$P$5:$P$2005,"1973F5")+COUNTIF('Database - Whole Tornadoes'!$P$5:$P$2005,"1974F5")+COUNTIF('Database - Whole Tornadoes'!$P$5:$P$2005,"1975F5")+COUNTIF('Database - Whole Tornadoes'!$P$5:$P$2005,"1976F5")+COUNTIF('Database - Whole Tornadoes'!$P$5:$P$2005,"1977F5")+COUNTIF('Database - Whole Tornadoes'!$P$5:$P$2005,"1978F5")+COUNTIF('Database - Whole Tornadoes'!$P$5:$P$2005,"1979F5")</f>
        <v>0</v>
      </c>
      <c r="S656" s="846">
        <f t="shared" si="16"/>
        <v>2003</v>
      </c>
      <c r="AN656">
        <v>26</v>
      </c>
      <c r="AP656" s="847">
        <v>6</v>
      </c>
    </row>
    <row r="657" spans="1:42">
      <c r="A657" s="869" t="s">
        <v>989</v>
      </c>
      <c r="B657" s="250">
        <f t="shared" si="18"/>
        <v>172</v>
      </c>
      <c r="C657" s="870"/>
      <c r="D657" s="950">
        <f t="shared" si="17"/>
        <v>172</v>
      </c>
      <c r="E657" s="948">
        <f>COUNTIF('Database - Whole Tornadoes'!$P$5:$P$2005,"1980F0")+COUNTIF('Database - Whole Tornadoes'!$P$5:$P$2005,"1981F0")+COUNTIF('Database - Whole Tornadoes'!$P$5:$P$2005,"1982F0")+COUNTIF('Database - Whole Tornadoes'!$P$5:$P$2005,"1983F0")+COUNTIF('Database - Whole Tornadoes'!$P$5:$P$2005,"1984F0")+COUNTIF('Database - Whole Tornadoes'!$P$5:$P$2005,"1985F0")+COUNTIF('Database - Whole Tornadoes'!$P$5:$P$2005,"1986F0")+COUNTIF('Database - Whole Tornadoes'!$P$5:$P$2005,"1987F0")+COUNTIF('Database - Whole Tornadoes'!$P$5:$P$2005,"1988F0")+COUNTIF('Database - Whole Tornadoes'!$P$5:$P$2005,"1989F0")</f>
        <v>104</v>
      </c>
      <c r="F657" s="866">
        <f>COUNTIF('Database - Whole Tornadoes'!$P$5:$P$2005,"1980F1")+COUNTIF('Database - Whole Tornadoes'!$P$5:$P$2005,"1981F1")+COUNTIF('Database - Whole Tornadoes'!$P$5:$P$2005,"1982F1")+COUNTIF('Database - Whole Tornadoes'!$P$5:$P$2005,"1983F1")+COUNTIF('Database - Whole Tornadoes'!$P$5:$P$2005,"1984F1")+COUNTIF('Database - Whole Tornadoes'!$P$5:$P$2005,"1985F1")+COUNTIF('Database - Whole Tornadoes'!$P$5:$P$2005,"1986F1")+COUNTIF('Database - Whole Tornadoes'!$P$5:$P$2005,"1987F1")+COUNTIF('Database - Whole Tornadoes'!$P$5:$P$2005,"1988F1")+COUNTIF('Database - Whole Tornadoes'!$P$5:$P$2005,"1989F1")</f>
        <v>36</v>
      </c>
      <c r="G657" s="866">
        <f>COUNTIF('Database - Whole Tornadoes'!$P$5:$P$2005,"1980F2")+COUNTIF('Database - Whole Tornadoes'!$P$5:$P$2005,"1981F2")+COUNTIF('Database - Whole Tornadoes'!$P$5:$P$2005,"1982F2")+COUNTIF('Database - Whole Tornadoes'!$P$5:$P$2005,"1983F2")+COUNTIF('Database - Whole Tornadoes'!$P$5:$P$2005,"1984F2")+COUNTIF('Database - Whole Tornadoes'!$P$5:$P$2005,"1985F2")+COUNTIF('Database - Whole Tornadoes'!$P$5:$P$2005,"1986F2")+COUNTIF('Database - Whole Tornadoes'!$P$5:$P$2005,"1987F2")+COUNTIF('Database - Whole Tornadoes'!$P$5:$P$2005,"1988F2")+COUNTIF('Database - Whole Tornadoes'!$P$5:$P$2005,"1989F2")</f>
        <v>23</v>
      </c>
      <c r="H657" s="866">
        <f>COUNTIF('Database - Whole Tornadoes'!$P$5:$P$2005,"1980F3")+COUNTIF('Database - Whole Tornadoes'!$P$5:$P$2005,"1981F3")+COUNTIF('Database - Whole Tornadoes'!$P$5:$P$2005,"1982F3")+COUNTIF('Database - Whole Tornadoes'!$P$5:$P$2005,"1983F3")+COUNTIF('Database - Whole Tornadoes'!$P$5:$P$2005,"1984F3")+COUNTIF('Database - Whole Tornadoes'!$P$5:$P$2005,"1985F3")+COUNTIF('Database - Whole Tornadoes'!$P$5:$P$2005,"1986F3")+COUNTIF('Database - Whole Tornadoes'!$P$5:$P$2005,"1987F3")+COUNTIF('Database - Whole Tornadoes'!$P$5:$P$2005,"1988F3")+COUNTIF('Database - Whole Tornadoes'!$P$5:$P$2005,"1989F3")</f>
        <v>8</v>
      </c>
      <c r="I657" s="866">
        <f>COUNTIF('Database - Whole Tornadoes'!$P$5:$P$2005,"1980F4")+COUNTIF('Database - Whole Tornadoes'!$P$5:$P$2005,"1981F4")+COUNTIF('Database - Whole Tornadoes'!$P$5:$P$2005,"1982F4")+COUNTIF('Database - Whole Tornadoes'!$P$5:$P$2005,"1983F4")+COUNTIF('Database - Whole Tornadoes'!$P$5:$P$2005,"1984F4")+COUNTIF('Database - Whole Tornadoes'!$P$5:$P$2005,"1985F4")+COUNTIF('Database - Whole Tornadoes'!$P$5:$P$2005,"1986F4")+COUNTIF('Database - Whole Tornadoes'!$P$5:$P$2005,"1987F4")+COUNTIF('Database - Whole Tornadoes'!$P$5:$P$2005,"1988F4")+COUNTIF('Database - Whole Tornadoes'!$P$5:$P$2005,"1989F4")</f>
        <v>1</v>
      </c>
      <c r="J657" s="866">
        <f>COUNTIF('Database - Whole Tornadoes'!$P$5:$P$2005,"1980F5")+COUNTIF('Database - Whole Tornadoes'!$P$5:$P$2005,"1981F5")+COUNTIF('Database - Whole Tornadoes'!$P$5:$P$2005,"1982F5")+COUNTIF('Database - Whole Tornadoes'!$P$5:$P$2005,"1983F5")+COUNTIF('Database - Whole Tornadoes'!$P$5:$P$2005,"1984F5")+COUNTIF('Database - Whole Tornadoes'!$P$5:$P$2005,"1985F5")+COUNTIF('Database - Whole Tornadoes'!$P$5:$P$2005,"1986F5")+COUNTIF('Database - Whole Tornadoes'!$P$5:$P$2005,"1987F5")+COUNTIF('Database - Whole Tornadoes'!$P$5:$P$2005,"1988F5")+COUNTIF('Database - Whole Tornadoes'!$P$5:$P$2005,"1989F5")</f>
        <v>0</v>
      </c>
      <c r="S657" s="846">
        <f t="shared" si="16"/>
        <v>2004</v>
      </c>
      <c r="V657">
        <v>8</v>
      </c>
      <c r="AP657" s="847">
        <v>5</v>
      </c>
    </row>
    <row r="658" spans="1:42">
      <c r="A658" s="869" t="s">
        <v>990</v>
      </c>
      <c r="B658" s="250">
        <f t="shared" si="18"/>
        <v>233</v>
      </c>
      <c r="C658" s="870"/>
      <c r="D658" s="950">
        <f t="shared" si="17"/>
        <v>233</v>
      </c>
      <c r="E658" s="948">
        <f>COUNTIF('Database - Whole Tornadoes'!$P$5:$P$2005,"1990F0")+COUNTIF('Database - Whole Tornadoes'!$P$5:$P$2005,"1991F0")+COUNTIF('Database - Whole Tornadoes'!$P$5:$P$2005,"1992F0")+COUNTIF('Database - Whole Tornadoes'!$P$5:$P$2005,"1993F0")+COUNTIF('Database - Whole Tornadoes'!$P$5:$P$2005,"1994F0")+COUNTIF('Database - Whole Tornadoes'!$P$5:$P$2005,"1995F0")+COUNTIF('Database - Whole Tornadoes'!$P$5:$P$2005,"1996F0")+COUNTIF('Database - Whole Tornadoes'!$P$5:$P$2005,"1997F0")+COUNTIF('Database - Whole Tornadoes'!$P$5:$P$2005,"1998F0")+COUNTIF('Database - Whole Tornadoes'!$P$5:$P$2005,"1999F0")</f>
        <v>176</v>
      </c>
      <c r="F658" s="866">
        <f>COUNTIF('Database - Whole Tornadoes'!$P$5:$P$2005,"1990F1")+COUNTIF('Database - Whole Tornadoes'!$P$5:$P$2005,"1991F1")+COUNTIF('Database - Whole Tornadoes'!$P$5:$P$2005,"1992F1")+COUNTIF('Database - Whole Tornadoes'!$P$5:$P$2005,"1993F1")+COUNTIF('Database - Whole Tornadoes'!$P$5:$P$2005,"1994F1")+COUNTIF('Database - Whole Tornadoes'!$P$5:$P$2005,"1995F1")+COUNTIF('Database - Whole Tornadoes'!$P$5:$P$2005,"1996F1")+COUNTIF('Database - Whole Tornadoes'!$P$5:$P$2005,"1997F1")+COUNTIF('Database - Whole Tornadoes'!$P$5:$P$2005,"1998F1")+COUNTIF('Database - Whole Tornadoes'!$P$5:$P$2005,"1999F1")</f>
        <v>36</v>
      </c>
      <c r="G658" s="866">
        <f>COUNTIF('Database - Whole Tornadoes'!$P$5:$P$2005,"1990F2")+COUNTIF('Database - Whole Tornadoes'!$P$5:$P$2005,"1991F2")+COUNTIF('Database - Whole Tornadoes'!$P$5:$P$2005,"1992F2")+COUNTIF('Database - Whole Tornadoes'!$P$5:$P$2005,"1993F2")+COUNTIF('Database - Whole Tornadoes'!$P$5:$P$2005,"1994F2")+COUNTIF('Database - Whole Tornadoes'!$P$5:$P$2005,"1995F2")+COUNTIF('Database - Whole Tornadoes'!$P$5:$P$2005,"1996F2")+COUNTIF('Database - Whole Tornadoes'!$P$5:$P$2005,"1997F2")+COUNTIF('Database - Whole Tornadoes'!$P$5:$P$2005,"1998F2")+COUNTIF('Database - Whole Tornadoes'!$P$5:$P$2005,"1999F2")</f>
        <v>11</v>
      </c>
      <c r="H658" s="866">
        <f>COUNTIF('Database - Whole Tornadoes'!$P$5:$P$2005,"1990F3")+COUNTIF('Database - Whole Tornadoes'!$P$5:$P$2005,"1991F3")+COUNTIF('Database - Whole Tornadoes'!$P$5:$P$2005,"1992F3")+COUNTIF('Database - Whole Tornadoes'!$P$5:$P$2005,"1993F3")+COUNTIF('Database - Whole Tornadoes'!$P$5:$P$2005,"1994F3")+COUNTIF('Database - Whole Tornadoes'!$P$5:$P$2005,"1995F3")+COUNTIF('Database - Whole Tornadoes'!$P$5:$P$2005,"1996F3")+COUNTIF('Database - Whole Tornadoes'!$P$5:$P$2005,"1997F3")+COUNTIF('Database - Whole Tornadoes'!$P$5:$P$2005,"1998F3")+COUNTIF('Database - Whole Tornadoes'!$P$5:$P$2005,"1999F3")</f>
        <v>6</v>
      </c>
      <c r="I658" s="866">
        <f>COUNTIF('Database - Whole Tornadoes'!$P$5:$P$2005,"1990F4")+COUNTIF('Database - Whole Tornadoes'!$P$5:$P$2005,"1991F4")+COUNTIF('Database - Whole Tornadoes'!$P$5:$P$2005,"1992F4")+COUNTIF('Database - Whole Tornadoes'!$P$5:$P$2005,"1993F4")+COUNTIF('Database - Whole Tornadoes'!$P$5:$P$2005,"1994F4")+COUNTIF('Database - Whole Tornadoes'!$P$5:$P$2005,"1995F4")+COUNTIF('Database - Whole Tornadoes'!$P$5:$P$2005,"1996F4")+COUNTIF('Database - Whole Tornadoes'!$P$5:$P$2005,"1997F4")+COUNTIF('Database - Whole Tornadoes'!$P$5:$P$2005,"1998F4")+COUNTIF('Database - Whole Tornadoes'!$P$5:$P$2005,"1999F4")</f>
        <v>4</v>
      </c>
      <c r="J658" s="866">
        <f>COUNTIF('Database - Whole Tornadoes'!$P$5:$P$2005,"1990F5")+COUNTIF('Database - Whole Tornadoes'!$P$5:$P$2005,"1991F5")+COUNTIF('Database - Whole Tornadoes'!$P$5:$P$2005,"1992F5")+COUNTIF('Database - Whole Tornadoes'!$P$5:$P$2005,"1993F5")+COUNTIF('Database - Whole Tornadoes'!$P$5:$P$2005,"1994F5")+COUNTIF('Database - Whole Tornadoes'!$P$5:$P$2005,"1995F5")+COUNTIF('Database - Whole Tornadoes'!$P$5:$P$2005,"1996F5")+COUNTIF('Database - Whole Tornadoes'!$P$5:$P$2005,"1997F5")+COUNTIF('Database - Whole Tornadoes'!$P$5:$P$2005,"1998F5")+COUNTIF('Database - Whole Tornadoes'!$P$5:$P$2005,"1999F5")</f>
        <v>0</v>
      </c>
      <c r="S658" s="846">
        <f t="shared" si="16"/>
        <v>2005</v>
      </c>
      <c r="T658">
        <v>6</v>
      </c>
      <c r="AP658" s="847">
        <v>7</v>
      </c>
    </row>
    <row r="659" spans="1:42">
      <c r="A659" s="869" t="s">
        <v>991</v>
      </c>
      <c r="B659" s="250">
        <f t="shared" si="18"/>
        <v>207</v>
      </c>
      <c r="C659" s="870"/>
      <c r="D659" s="950">
        <f t="shared" si="17"/>
        <v>207</v>
      </c>
      <c r="E659" s="948">
        <f>COUNTIF('Database - Whole Tornadoes'!$P$5:$P$2005,"2000F0")+COUNTIF('Database - Whole Tornadoes'!$P$5:$P$2005,"2001F0")+COUNTIF('Database - Whole Tornadoes'!$P$5:$P$2005,"2002F0")+COUNTIF('Database - Whole Tornadoes'!$P$5:$P$2005,"2003F0")+COUNTIF('Database - Whole Tornadoes'!$P$5:$P$2005,"2004F0")+COUNTIF('Database - Whole Tornadoes'!$P$5:$P$2005,"2005F0")+COUNTIF('Database - Whole Tornadoes'!$P$5:$P$2005,"2006F0")+COUNTIF('Database - Whole Tornadoes'!$P$5:$P$2005,"2007EF0")+COUNTIF('Database - Whole Tornadoes'!$P$5:$P$2005,"2008EF0")+COUNTIF('Database - Whole Tornadoes'!$P$5:$P$2005,"2009EF0")</f>
        <v>156</v>
      </c>
      <c r="F659" s="866">
        <f>COUNTIF('Database - Whole Tornadoes'!$P$5:$P$2005,"2000F1")+COUNTIF('Database - Whole Tornadoes'!$P$5:$P$2005,"2001F1")+COUNTIF('Database - Whole Tornadoes'!$P$5:$P$2005,"2002F1")+COUNTIF('Database - Whole Tornadoes'!$P$5:$P$2005,"2003F1")+COUNTIF('Database - Whole Tornadoes'!$P$5:$P$2005,"2004F1")+COUNTIF('Database - Whole Tornadoes'!$P$5:$P$2005,"2005F1")+COUNTIF('Database - Whole Tornadoes'!$P$5:$P$2005,"2006F1")+COUNTIF('Database - Whole Tornadoes'!$P$5:$P$2005,"2007EF1")+COUNTIF('Database - Whole Tornadoes'!$P$5:$P$2005,"2008EF1")+COUNTIF('Database - Whole Tornadoes'!$P$5:$P$2005,"2009EF1")</f>
        <v>30</v>
      </c>
      <c r="G659" s="866">
        <f>COUNTIF('Database - Whole Tornadoes'!$P$5:$P$2005,"2000F2")+COUNTIF('Database - Whole Tornadoes'!$P$5:$P$2005,"2001F2")+COUNTIF('Database - Whole Tornadoes'!$P$5:$P$2005,"2002F2")+COUNTIF('Database - Whole Tornadoes'!$P$5:$P$2005,"2003F2")+COUNTIF('Database - Whole Tornadoes'!$P$5:$P$2005,"2004F2")+COUNTIF('Database - Whole Tornadoes'!$P$5:$P$2005,"2005F2")+COUNTIF('Database - Whole Tornadoes'!$P$5:$P$2005,"2006F2")+COUNTIF('Database - Whole Tornadoes'!$P$5:$P$2005,"2007EF2")+COUNTIF('Database - Whole Tornadoes'!$P$5:$P$2005,"2008EF2")+COUNTIF('Database - Whole Tornadoes'!$P$5:$P$2005,"2009EF2")</f>
        <v>17</v>
      </c>
      <c r="H659" s="866">
        <f>COUNTIF('Database - Whole Tornadoes'!$P$5:$P$2005,"2000F3")+COUNTIF('Database - Whole Tornadoes'!$P$5:$P$2005,"2001F3")+COUNTIF('Database - Whole Tornadoes'!$P$5:$P$2005,"2002F3")+COUNTIF('Database - Whole Tornadoes'!$P$5:$P$2005,"2003F3")+COUNTIF('Database - Whole Tornadoes'!$P$5:$P$2005,"2004F3")+COUNTIF('Database - Whole Tornadoes'!$P$5:$P$2005,"2005F3")+COUNTIF('Database - Whole Tornadoes'!$P$5:$P$2005,"2006F3")+COUNTIF('Database - Whole Tornadoes'!$P$5:$P$2005,"2007EF3")+COUNTIF('Database - Whole Tornadoes'!$P$5:$P$2005,"2008EF3")+COUNTIF('Database - Whole Tornadoes'!$P$5:$P$2005,"2009EF3")</f>
        <v>4</v>
      </c>
      <c r="I659" s="866">
        <f>COUNTIF('Database - Whole Tornadoes'!$P$5:$P$2005,"2000F4")+COUNTIF('Database - Whole Tornadoes'!$P$5:$P$2005,"2001F4")+COUNTIF('Database - Whole Tornadoes'!$P$5:$P$2005,"2002F4")+COUNTIF('Database - Whole Tornadoes'!$P$5:$P$2005,"2003F4")+COUNTIF('Database - Whole Tornadoes'!$P$5:$P$2005,"2004F4")+COUNTIF('Database - Whole Tornadoes'!$P$5:$P$2005,"2005F4")+COUNTIF('Database - Whole Tornadoes'!$P$5:$P$2005,"2006F4")+COUNTIF('Database - Whole Tornadoes'!$P$5:$P$2005,"2007EF4")+COUNTIF('Database - Whole Tornadoes'!$P$5:$P$2005,"2008EF4")+COUNTIF('Database - Whole Tornadoes'!$P$5:$P$2005,"2009EF4")</f>
        <v>0</v>
      </c>
      <c r="J659" s="866">
        <f>COUNTIF('Database - Whole Tornadoes'!$P$5:$P$2005,"2000F5")+COUNTIF('Database - Whole Tornadoes'!$P$5:$P$2005,"2001F5")+COUNTIF('Database - Whole Tornadoes'!$P$5:$P$2005,"2002F5")+COUNTIF('Database - Whole Tornadoes'!$P$5:$P$2005,"2003F5")+COUNTIF('Database - Whole Tornadoes'!$P$5:$P$2005,"2004F5")+COUNTIF('Database - Whole Tornadoes'!$P$5:$P$2005,"2005F5")+COUNTIF('Database - Whole Tornadoes'!$P$5:$P$2005,"2006F5")+COUNTIF('Database - Whole Tornadoes'!$P$5:$P$2005,"2007EF5")+COUNTIF('Database - Whole Tornadoes'!$P$5:$P$2005,"2008EF5")+COUNTIF('Database - Whole Tornadoes'!$P$5:$P$2005,"2009EF5")</f>
        <v>0</v>
      </c>
      <c r="S659" s="846">
        <f t="shared" si="16"/>
        <v>2006</v>
      </c>
      <c r="W659">
        <v>9</v>
      </c>
      <c r="AP659" s="847">
        <v>5</v>
      </c>
    </row>
    <row r="660" spans="1:42">
      <c r="A660" s="869" t="s">
        <v>992</v>
      </c>
      <c r="B660" s="250">
        <f t="shared" si="18"/>
        <v>190</v>
      </c>
      <c r="C660" s="896"/>
      <c r="D660" s="950">
        <f t="shared" si="17"/>
        <v>190</v>
      </c>
      <c r="E660" s="948">
        <f>COUNTIF('Database - Whole Tornadoes'!$P$5:$P$2005,"2010EF0")+COUNTIF('Database - Whole Tornadoes'!$P$5:$P$2005,"2011EF0")+COUNTIF('Database - Whole Tornadoes'!$P$5:$P$2005,"2012EF0")+COUNTIF('Database - Whole Tornadoes'!$P$5:$P$2005,"2013EF0")+COUNTIF('Database - Whole Tornadoes'!$P$5:$P$2005,"2014EF0")+COUNTIF('Database - Whole Tornadoes'!$P$5:$P$2005,"2015EF0")+COUNTIF('Database - Whole Tornadoes'!$P$5:$P$2005,"2016EF0")+COUNTIF('Database - Whole Tornadoes'!$P$5:$P$2005,"2017EF0")+COUNTIF('Database - Whole Tornadoes'!$P$5:$P$2005,"2018EF0")+COUNTIF('Database - Whole Tornadoes'!$P$5:$P$2005,"2019EF0")</f>
        <v>152</v>
      </c>
      <c r="F660" s="866">
        <f>COUNTIF('Database - Whole Tornadoes'!$P$5:$P$2005,"2010EF1")+COUNTIF('Database - Whole Tornadoes'!$P$5:$P$2005,"2011EF1")+COUNTIF('Database - Whole Tornadoes'!$P$5:$P$2005,"2012EF1")+COUNTIF('Database - Whole Tornadoes'!$P$5:$P$2005,"2013EF1")+COUNTIF('Database - Whole Tornadoes'!$P$5:$P$2005,"2014EF1")+COUNTIF('Database - Whole Tornadoes'!$P$5:$P$2005,"2015EF1")+COUNTIF('Database - Whole Tornadoes'!$P$5:$P$2005,"2016EF1")+COUNTIF('Database - Whole Tornadoes'!$P$5:$P$2005,"2017EF1")+COUNTIF('Database - Whole Tornadoes'!$P$5:$P$2005,"2018EF1")+COUNTIF('Database - Whole Tornadoes'!$P$5:$P$2005,"2019EF1")</f>
        <v>29</v>
      </c>
      <c r="G660" s="866">
        <f>COUNTIF('Database - Whole Tornadoes'!$P$5:$P$2005,"2010EF2")+COUNTIF('Database - Whole Tornadoes'!$P$5:$P$2005,"2011EF2")+COUNTIF('Database - Whole Tornadoes'!$P$5:$P$2005,"2012EF2")+COUNTIF('Database - Whole Tornadoes'!$P$5:$P$2005,"2013EF2")+COUNTIF('Database - Whole Tornadoes'!$P$5:$P$2005,"2014EF2")+COUNTIF('Database - Whole Tornadoes'!$P$5:$P$2005,"2015EF2")+COUNTIF('Database - Whole Tornadoes'!$P$5:$P$2005,"2016EF2")+COUNTIF('Database - Whole Tornadoes'!$P$5:$P$2005,"2017EF2")+COUNTIF('Database - Whole Tornadoes'!$P$5:$P$2005,"2018EF2")+COUNTIF('Database - Whole Tornadoes'!$P$5:$P$2005,"2019EF2")</f>
        <v>7</v>
      </c>
      <c r="H660" s="866">
        <f>COUNTIF('Database - Whole Tornadoes'!$P$5:$P$2005,"2010EF3")+COUNTIF('Database - Whole Tornadoes'!$P$5:$P$2005,"2011EF3")+COUNTIF('Database - Whole Tornadoes'!$P$5:$P$2005,"2012EF3")+COUNTIF('Database - Whole Tornadoes'!$P$5:$P$2005,"2013EF3")+COUNTIF('Database - Whole Tornadoes'!$P$5:$P$2005,"2014EF3")+COUNTIF('Database - Whole Tornadoes'!$P$5:$P$2005,"2015EF3")+COUNTIF('Database - Whole Tornadoes'!$P$5:$P$2005,"2016EF3")+COUNTIF('Database - Whole Tornadoes'!$P$5:$P$2005,"2017EF3")+COUNTIF('Database - Whole Tornadoes'!$P$5:$P$2005,"2018EF3")+COUNTIF('Database - Whole Tornadoes'!$P$5:$P$2005,"2019EF3")</f>
        <v>2</v>
      </c>
      <c r="I660" s="866">
        <f>COUNTIF('Database - Whole Tornadoes'!$P$5:$P$2005,"2010EF4")+COUNTIF('Database - Whole Tornadoes'!$P$5:$P$2005,"2011EF4")+COUNTIF('Database - Whole Tornadoes'!$P$5:$P$2005,"2012EF4")+COUNTIF('Database - Whole Tornadoes'!$P$5:$P$2005,"2013EF4")+COUNTIF('Database - Whole Tornadoes'!$P$5:$P$2005,"2014EF4")+COUNTIF('Database - Whole Tornadoes'!$P$5:$P$2005,"2015EF4")+COUNTIF('Database - Whole Tornadoes'!$P$5:$P$2005,"2016EF4")+COUNTIF('Database - Whole Tornadoes'!$P$5:$P$2005,"2017EF4")+COUNTIF('Database - Whole Tornadoes'!$P$5:$P$2005,"2018EF4")+COUNTIF('Database - Whole Tornadoes'!$P$5:$P$2005,"2019EF4")</f>
        <v>0</v>
      </c>
      <c r="J660" s="866">
        <f>COUNTIF('Database - Whole Tornadoes'!$P$5:$P$2005,"2010EF5")+COUNTIF('Database - Whole Tornadoes'!$P$5:$P$2005,"2011EF5")+COUNTIF('Database - Whole Tornadoes'!$P$5:$P$2005,"2012EF5")+COUNTIF('Database - Whole Tornadoes'!$P$5:$P$2005,"2013EF5")+COUNTIF('Database - Whole Tornadoes'!$P$5:$P$2005,"2014EF5")+COUNTIF('Database - Whole Tornadoes'!$P$5:$P$2005,"2015EF5")+COUNTIF('Database - Whole Tornadoes'!$P$5:$P$2005,"2016EF5")+COUNTIF('Database - Whole Tornadoes'!$P$5:$P$2005,"2017EF5")+COUNTIF('Database - Whole Tornadoes'!$P$5:$P$2005,"2018EF5")+COUNTIF('Database - Whole Tornadoes'!$P$5:$P$2005,"2019EF5")</f>
        <v>0</v>
      </c>
      <c r="S660" s="846">
        <f t="shared" si="16"/>
        <v>2007</v>
      </c>
      <c r="AB660">
        <v>14</v>
      </c>
      <c r="AC660">
        <v>15</v>
      </c>
      <c r="AP660" s="847">
        <v>10</v>
      </c>
    </row>
    <row r="661" spans="1:42">
      <c r="A661" s="869" t="s">
        <v>1360</v>
      </c>
      <c r="B661" s="250">
        <f t="shared" si="18"/>
        <v>43</v>
      </c>
      <c r="D661" s="950">
        <f t="shared" si="17"/>
        <v>43</v>
      </c>
      <c r="E661" s="948">
        <f>COUNTIF('Database - Whole Tornadoes'!$P$5:$P$2005,"2020EF0")+COUNTIF('Database - Whole Tornadoes'!$P$5:$P$2005,"2021EF0")+COUNTIF('Database - Whole Tornadoes'!$P$5:$P$2005,"2022EF0")+COUNTIF('Database - Whole Tornadoes'!$P$5:$P$2005,"2023EF0")+COUNTIF('Database - Whole Tornadoes'!$P$5:$P$2005,"2024EF0")+COUNTIF('Database - Whole Tornadoes'!$P$5:$P$2005,"2025EF0")+COUNTIF('Database - Whole Tornadoes'!$P$5:$P$2005,"2026EF0")+COUNTIF('Database - Whole Tornadoes'!$P$5:$P$2005,"2027EF0")+COUNTIF('Database - Whole Tornadoes'!$P$5:$P$2005,"2028EF0")+COUNTIF('Database - Whole Tornadoes'!$P$5:$P$2005,"2029EF0")</f>
        <v>36</v>
      </c>
      <c r="F661" s="866">
        <f>COUNTIF('Database - Whole Tornadoes'!$P$5:$P$2005,"2020EF1")+COUNTIF('Database - Whole Tornadoes'!$P$5:$P$2005,"2021EF1")+COUNTIF('Database - Whole Tornadoes'!$P$5:$P$2005,"2022EF1")+COUNTIF('Database - Whole Tornadoes'!$P$5:$P$2005,"2023EF1")+COUNTIF('Database - Whole Tornadoes'!$P$5:$P$2005,"2024EF1")+COUNTIF('Database - Whole Tornadoes'!$P$5:$P$2005,"2025EF1")+COUNTIF('Database - Whole Tornadoes'!$P$5:$P$2005,"2026EF1")+COUNTIF('Database - Whole Tornadoes'!$P$5:$P$2005,"2027EF1")+COUNTIF('Database - Whole Tornadoes'!$P$5:$P$2005,"2028EF1")+COUNTIF('Database - Whole Tornadoes'!$P$5:$P$2005,"2029EF1")</f>
        <v>5</v>
      </c>
      <c r="G661" s="866">
        <f>COUNTIF('Database - Whole Tornadoes'!$P$5:$P$2005,"2020EF2")+COUNTIF('Database - Whole Tornadoes'!$P$5:$P$2005,"2021EF2")+COUNTIF('Database - Whole Tornadoes'!$P$5:$P$2005,"2022EF2")+COUNTIF('Database - Whole Tornadoes'!$P$5:$P$2005,"2023EF2")+COUNTIF('Database - Whole Tornadoes'!$P$5:$P$2005,"2024EF2")+COUNTIF('Database - Whole Tornadoes'!$P$5:$P$2005,"2025EF2")+COUNTIF('Database - Whole Tornadoes'!$P$5:$P$2005,"2026EF2")+COUNTIF('Database - Whole Tornadoes'!$P$5:$P$2005,"2027EF2")+COUNTIF('Database - Whole Tornadoes'!$P$5:$P$2005,"2028EF2")+COUNTIF('Database - Whole Tornadoes'!$P$5:$P$2005,"2029EF2")</f>
        <v>2</v>
      </c>
      <c r="H661" s="866">
        <f>COUNTIF('Database - Whole Tornadoes'!$P$5:$P$2005,"2020EF3")+COUNTIF('Database - Whole Tornadoes'!$P$5:$P$2005,"2021EF3")+COUNTIF('Database - Whole Tornadoes'!$P$5:$P$2005,"2022EF3")+COUNTIF('Database - Whole Tornadoes'!$P$5:$P$2005,"2023EF3")+COUNTIF('Database - Whole Tornadoes'!$P$5:$P$2005,"2024EF3")+COUNTIF('Database - Whole Tornadoes'!$P$5:$P$2005,"2025EF3")+COUNTIF('Database - Whole Tornadoes'!$P$5:$P$2005,"2026EF3")+COUNTIF('Database - Whole Tornadoes'!$P$5:$P$2005,"2027EF3")+COUNTIF('Database - Whole Tornadoes'!$P$5:$P$2005,"2028EF3")+COUNTIF('Database - Whole Tornadoes'!$P$5:$P$2005,"2029EF3")</f>
        <v>0</v>
      </c>
      <c r="I661" s="866">
        <f>COUNTIF('Database - Whole Tornadoes'!$P$5:$P$2005,"2020EF4")+COUNTIF('Database - Whole Tornadoes'!$P$5:$P$2005,"2021EF4")+COUNTIF('Database - Whole Tornadoes'!$P$5:$P$2005,"2022EF4")+COUNTIF('Database - Whole Tornadoes'!$P$5:$P$2005,"2023EF4")+COUNTIF('Database - Whole Tornadoes'!$P$5:$P$2005,"2024EF4")+COUNTIF('Database - Whole Tornadoes'!$P$5:$P$2005,"2025EF4")+COUNTIF('Database - Whole Tornadoes'!$P$5:$P$2005,"2026EF4")+COUNTIF('Database - Whole Tornadoes'!$P$5:$P$2005,"2027EF4")+COUNTIF('Database - Whole Tornadoes'!$P$5:$P$2005,"2028EF4")+COUNTIF('Database - Whole Tornadoes'!$P$5:$P$2005,"2029EF4")</f>
        <v>0</v>
      </c>
      <c r="J661" s="866">
        <f>COUNTIF('Database - Whole Tornadoes'!$P$5:$P$2005,"2020EF5")+COUNTIF('Database - Whole Tornadoes'!$P$5:$P$2005,"2021EF5")+COUNTIF('Database - Whole Tornadoes'!$P$5:$P$2005,"2022EF5")+COUNTIF('Database - Whole Tornadoes'!$P$5:$P$2005,"2023EF5")+COUNTIF('Database - Whole Tornadoes'!$P$5:$P$2005,"2024EF5")+COUNTIF('Database - Whole Tornadoes'!$P$5:$P$2005,"2025EF5")+COUNTIF('Database - Whole Tornadoes'!$P$5:$P$2005,"2026EF5")+COUNTIF('Database - Whole Tornadoes'!$P$5:$P$2005,"2027EF5")+COUNTIF('Database - Whole Tornadoes'!$P$5:$P$2005,"2028EF5")+COUNTIF('Database - Whole Tornadoes'!$P$5:$P$2005,"2029EF5")</f>
        <v>0</v>
      </c>
      <c r="S661" s="846">
        <f t="shared" si="16"/>
        <v>2008</v>
      </c>
      <c r="AP661" s="847">
        <v>7</v>
      </c>
    </row>
    <row r="662" spans="1:42" ht="16.5" thickBot="1">
      <c r="A662" s="869" t="s">
        <v>1363</v>
      </c>
      <c r="B662" s="871"/>
      <c r="C662" s="872"/>
      <c r="D662" s="951"/>
      <c r="E662" s="949"/>
      <c r="F662" s="945"/>
      <c r="G662" s="945"/>
      <c r="H662" s="945"/>
      <c r="I662" s="945"/>
      <c r="J662" s="945"/>
      <c r="K662" s="1" t="s">
        <v>1366</v>
      </c>
      <c r="S662" s="846">
        <f t="shared" si="16"/>
        <v>2009</v>
      </c>
      <c r="AP662" s="847">
        <v>5</v>
      </c>
    </row>
    <row r="663" spans="1:42" ht="16.5" thickTop="1" thickBot="1">
      <c r="A663" s="952" t="s">
        <v>1493</v>
      </c>
      <c r="D663" s="944">
        <f>SUM(D654:D661)</f>
        <v>1223</v>
      </c>
      <c r="E663" s="946">
        <f>SUM(E654:E662)</f>
        <v>797</v>
      </c>
      <c r="F663" s="947">
        <f t="shared" ref="F663:J663" si="19">SUM(F654:F662)</f>
        <v>251</v>
      </c>
      <c r="G663" s="947">
        <f t="shared" si="19"/>
        <v>126</v>
      </c>
      <c r="H663" s="947">
        <f t="shared" si="19"/>
        <v>37</v>
      </c>
      <c r="I663" s="947">
        <f t="shared" si="19"/>
        <v>12</v>
      </c>
      <c r="J663" s="947">
        <f t="shared" si="19"/>
        <v>0</v>
      </c>
      <c r="K663" s="947">
        <f>SUM(E663:J663)</f>
        <v>1223</v>
      </c>
      <c r="S663" s="846">
        <f t="shared" si="16"/>
        <v>2010</v>
      </c>
      <c r="V663">
        <v>8</v>
      </c>
      <c r="Z663">
        <v>12</v>
      </c>
      <c r="AP663" s="847">
        <v>9</v>
      </c>
    </row>
    <row r="664" spans="1:42" ht="16.5" thickTop="1">
      <c r="D664" s="296" t="s">
        <v>1365</v>
      </c>
      <c r="S664" s="846">
        <f t="shared" si="16"/>
        <v>2011</v>
      </c>
      <c r="AP664" s="854">
        <v>1</v>
      </c>
    </row>
    <row r="665" spans="1:42">
      <c r="S665" s="846">
        <f t="shared" si="16"/>
        <v>2012</v>
      </c>
      <c r="AP665" s="854">
        <v>4</v>
      </c>
    </row>
    <row r="666" spans="1:42">
      <c r="S666" s="846">
        <f t="shared" si="16"/>
        <v>2013</v>
      </c>
      <c r="AP666" s="854">
        <v>3</v>
      </c>
    </row>
    <row r="667" spans="1:42">
      <c r="S667" s="846">
        <f t="shared" si="16"/>
        <v>2014</v>
      </c>
      <c r="AP667" s="854">
        <v>4</v>
      </c>
    </row>
    <row r="668" spans="1:42">
      <c r="S668" s="846">
        <f t="shared" si="16"/>
        <v>2015</v>
      </c>
      <c r="T668">
        <v>6</v>
      </c>
      <c r="AG668">
        <v>19</v>
      </c>
      <c r="AP668" s="854">
        <v>7</v>
      </c>
    </row>
    <row r="669" spans="1:42">
      <c r="S669" s="846">
        <f t="shared" ref="S669:S683" si="20">+S668+1</f>
        <v>2016</v>
      </c>
      <c r="T669">
        <v>6</v>
      </c>
      <c r="U669">
        <v>7</v>
      </c>
      <c r="V669">
        <v>8</v>
      </c>
      <c r="AP669" s="854">
        <v>8</v>
      </c>
    </row>
    <row r="670" spans="1:42">
      <c r="S670" s="846">
        <f t="shared" si="20"/>
        <v>2017</v>
      </c>
      <c r="V670">
        <v>8</v>
      </c>
      <c r="AP670" s="854">
        <v>5</v>
      </c>
    </row>
    <row r="671" spans="1:42">
      <c r="S671" s="846">
        <f t="shared" si="20"/>
        <v>2018</v>
      </c>
      <c r="AP671" s="854">
        <v>6</v>
      </c>
    </row>
    <row r="672" spans="1:42">
      <c r="S672" s="846">
        <f t="shared" si="20"/>
        <v>2019</v>
      </c>
      <c r="V672">
        <v>8</v>
      </c>
      <c r="AP672" s="847">
        <v>14</v>
      </c>
    </row>
    <row r="673" spans="19:42">
      <c r="S673" s="846">
        <f t="shared" si="20"/>
        <v>2020</v>
      </c>
      <c r="T673" s="665"/>
      <c r="U673" s="665"/>
      <c r="V673" s="665"/>
      <c r="W673" s="665"/>
      <c r="X673" s="665"/>
      <c r="Y673" s="665"/>
      <c r="Z673" s="665"/>
      <c r="AA673" s="665"/>
      <c r="AB673" s="665"/>
      <c r="AC673" s="665"/>
      <c r="AD673" s="665"/>
      <c r="AE673" s="665"/>
      <c r="AF673" s="665"/>
      <c r="AG673" s="665"/>
      <c r="AH673" s="665"/>
      <c r="AI673" s="665"/>
      <c r="AJ673" s="665"/>
      <c r="AK673" s="665"/>
      <c r="AL673" s="665"/>
      <c r="AM673" s="665"/>
      <c r="AN673" s="665"/>
      <c r="AO673" s="665"/>
      <c r="AP673" s="943">
        <v>6</v>
      </c>
    </row>
    <row r="674" spans="19:42">
      <c r="S674" s="846">
        <f t="shared" si="20"/>
        <v>2021</v>
      </c>
      <c r="W674">
        <v>9</v>
      </c>
      <c r="AA674">
        <v>13</v>
      </c>
      <c r="AP674" s="847">
        <v>6</v>
      </c>
    </row>
    <row r="675" spans="19:42">
      <c r="S675" s="846">
        <f t="shared" si="20"/>
        <v>2022</v>
      </c>
      <c r="AP675" s="847">
        <v>3</v>
      </c>
    </row>
    <row r="676" spans="19:42">
      <c r="S676" s="846">
        <f t="shared" si="20"/>
        <v>2023</v>
      </c>
      <c r="T676" s="258"/>
      <c r="U676" s="258"/>
      <c r="V676" s="258"/>
      <c r="W676" s="258"/>
      <c r="X676" s="258"/>
      <c r="Y676" s="258"/>
      <c r="Z676" s="258"/>
      <c r="AA676" s="258"/>
      <c r="AB676" s="258"/>
      <c r="AC676" s="258"/>
      <c r="AD676" s="258"/>
      <c r="AE676" s="258"/>
      <c r="AF676" s="258"/>
      <c r="AG676" s="258"/>
      <c r="AH676" s="258"/>
      <c r="AI676" s="258"/>
      <c r="AJ676" s="258"/>
      <c r="AK676" s="258"/>
      <c r="AL676" s="258"/>
      <c r="AM676" s="258"/>
      <c r="AN676" s="258"/>
      <c r="AP676" s="848"/>
    </row>
    <row r="677" spans="19:42">
      <c r="S677" s="846">
        <f t="shared" si="20"/>
        <v>2024</v>
      </c>
      <c r="T677" s="258"/>
      <c r="U677" s="258"/>
      <c r="V677" s="258"/>
      <c r="W677" s="258"/>
      <c r="X677" s="258"/>
      <c r="Y677" s="258"/>
      <c r="Z677" s="258"/>
      <c r="AA677" s="258"/>
      <c r="AB677" s="258"/>
      <c r="AC677" s="258"/>
      <c r="AD677" s="258"/>
      <c r="AE677" s="258"/>
      <c r="AF677" s="258"/>
      <c r="AG677" s="258"/>
      <c r="AH677" s="258"/>
      <c r="AI677" s="258"/>
      <c r="AJ677" s="258"/>
      <c r="AK677" s="258"/>
      <c r="AL677" s="258"/>
      <c r="AM677" s="258"/>
      <c r="AN677" s="258"/>
      <c r="AP677" s="848"/>
    </row>
    <row r="678" spans="19:42">
      <c r="S678" s="846">
        <f t="shared" si="20"/>
        <v>2025</v>
      </c>
      <c r="T678" s="258"/>
      <c r="U678" s="258"/>
      <c r="V678" s="258"/>
      <c r="W678" s="258"/>
      <c r="X678" s="258"/>
      <c r="Y678" s="258"/>
      <c r="Z678" s="258"/>
      <c r="AA678" s="258"/>
      <c r="AB678" s="258"/>
      <c r="AC678" s="258"/>
      <c r="AD678" s="258"/>
      <c r="AE678" s="258"/>
      <c r="AF678" s="258"/>
      <c r="AG678" s="258"/>
      <c r="AH678" s="258"/>
      <c r="AI678" s="258"/>
      <c r="AJ678" s="258"/>
      <c r="AK678" s="258"/>
      <c r="AL678" s="258"/>
      <c r="AM678" s="258"/>
      <c r="AN678" s="258"/>
      <c r="AP678" s="848"/>
    </row>
    <row r="679" spans="19:42">
      <c r="S679" s="846">
        <f t="shared" si="20"/>
        <v>2026</v>
      </c>
      <c r="T679" s="258"/>
      <c r="U679" s="258"/>
      <c r="V679" s="258"/>
      <c r="W679" s="258"/>
      <c r="X679" s="258"/>
      <c r="Y679" s="258"/>
      <c r="Z679" s="258"/>
      <c r="AA679" s="258"/>
      <c r="AB679" s="258"/>
      <c r="AC679" s="258"/>
      <c r="AD679" s="258"/>
      <c r="AE679" s="258"/>
      <c r="AF679" s="258"/>
      <c r="AG679" s="258"/>
      <c r="AH679" s="258"/>
      <c r="AI679" s="258"/>
      <c r="AJ679" s="258"/>
      <c r="AK679" s="258"/>
      <c r="AL679" s="258"/>
      <c r="AM679" s="258"/>
      <c r="AN679" s="258"/>
      <c r="AP679" s="848"/>
    </row>
    <row r="680" spans="19:42">
      <c r="S680" s="846">
        <f t="shared" si="20"/>
        <v>2027</v>
      </c>
      <c r="T680" s="258"/>
      <c r="U680" s="258"/>
      <c r="V680" s="258"/>
      <c r="W680" s="258"/>
      <c r="X680" s="258"/>
      <c r="Y680" s="258"/>
      <c r="Z680" s="258"/>
      <c r="AA680" s="258"/>
      <c r="AB680" s="258"/>
      <c r="AC680" s="258"/>
      <c r="AD680" s="258"/>
      <c r="AE680" s="258"/>
      <c r="AF680" s="258"/>
      <c r="AG680" s="258"/>
      <c r="AH680" s="258"/>
      <c r="AI680" s="258"/>
      <c r="AJ680" s="258"/>
      <c r="AK680" s="258"/>
      <c r="AL680" s="258"/>
      <c r="AM680" s="258"/>
      <c r="AN680" s="258"/>
      <c r="AP680" s="848"/>
    </row>
    <row r="681" spans="19:42">
      <c r="S681" s="846">
        <f t="shared" si="20"/>
        <v>2028</v>
      </c>
      <c r="T681" s="258"/>
      <c r="U681" s="258"/>
      <c r="V681" s="258"/>
      <c r="W681" s="258"/>
      <c r="X681" s="258"/>
      <c r="Y681" s="258"/>
      <c r="Z681" s="258"/>
      <c r="AA681" s="258"/>
      <c r="AB681" s="258"/>
      <c r="AC681" s="258"/>
      <c r="AD681" s="258"/>
      <c r="AE681" s="258"/>
      <c r="AF681" s="258"/>
      <c r="AG681" s="258"/>
      <c r="AH681" s="258"/>
      <c r="AI681" s="258"/>
      <c r="AJ681" s="258"/>
      <c r="AK681" s="258"/>
      <c r="AL681" s="258"/>
      <c r="AM681" s="258"/>
      <c r="AN681" s="258"/>
      <c r="AP681" s="848"/>
    </row>
    <row r="682" spans="19:42">
      <c r="S682" s="846">
        <f t="shared" si="20"/>
        <v>2029</v>
      </c>
      <c r="T682" s="258"/>
      <c r="U682" s="258"/>
      <c r="V682" s="258"/>
      <c r="W682" s="258"/>
      <c r="X682" s="258"/>
      <c r="Y682" s="258"/>
      <c r="Z682" s="258"/>
      <c r="AA682" s="258"/>
      <c r="AB682" s="258"/>
      <c r="AC682" s="258"/>
      <c r="AD682" s="258"/>
      <c r="AE682" s="258"/>
      <c r="AF682" s="258"/>
      <c r="AG682" s="258"/>
      <c r="AH682" s="258"/>
      <c r="AI682" s="258"/>
      <c r="AJ682" s="258"/>
      <c r="AK682" s="258"/>
      <c r="AL682" s="258"/>
      <c r="AM682" s="258"/>
      <c r="AN682" s="258"/>
      <c r="AP682" s="848"/>
    </row>
    <row r="683" spans="19:42" ht="15.75" thickBot="1">
      <c r="S683" s="849">
        <f t="shared" si="20"/>
        <v>2030</v>
      </c>
      <c r="T683" s="850"/>
      <c r="U683" s="850"/>
      <c r="V683" s="850"/>
      <c r="W683" s="850"/>
      <c r="X683" s="850"/>
      <c r="Y683" s="850"/>
      <c r="Z683" s="850"/>
      <c r="AA683" s="850"/>
      <c r="AB683" s="850"/>
      <c r="AC683" s="850"/>
      <c r="AD683" s="850"/>
      <c r="AE683" s="850"/>
      <c r="AF683" s="850"/>
      <c r="AG683" s="850"/>
      <c r="AH683" s="850"/>
      <c r="AI683" s="850"/>
      <c r="AJ683" s="850"/>
      <c r="AK683" s="850"/>
      <c r="AL683" s="850"/>
      <c r="AM683" s="850"/>
      <c r="AN683" s="850"/>
      <c r="AO683" s="855"/>
      <c r="AP683" s="851"/>
    </row>
    <row r="684" spans="19:42" ht="15.75" thickTop="1"/>
    <row r="685" spans="19:42"/>
    <row r="686" spans="19:42"/>
    <row r="687" spans="19:42"/>
    <row r="688" spans="19:42"/>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spans="1:12"/>
    <row r="722" spans="1:12"/>
    <row r="723" spans="1:12"/>
    <row r="724" spans="1:12"/>
    <row r="725" spans="1:12"/>
    <row r="726" spans="1:12"/>
    <row r="727" spans="1:12"/>
    <row r="728" spans="1:12"/>
    <row r="729" spans="1:12" ht="23.25">
      <c r="A729" s="8" t="s">
        <v>1545</v>
      </c>
    </row>
    <row r="730" spans="1:12" ht="15.75" thickBot="1">
      <c r="D730" s="1057" t="s">
        <v>1546</v>
      </c>
      <c r="E730" s="1057"/>
      <c r="F730" s="1057"/>
      <c r="G730" s="1057"/>
      <c r="H730" s="1057"/>
      <c r="I730" s="1057"/>
      <c r="J730" s="1057"/>
      <c r="K730" s="1057"/>
      <c r="L730" s="1057"/>
    </row>
    <row r="731" spans="1:12" ht="15.75" thickTop="1">
      <c r="A731" s="970" t="s">
        <v>986</v>
      </c>
      <c r="B731" s="1080">
        <f>SUM('Database - Tornado Segments'!$L$8:$L$74)</f>
        <v>1617000</v>
      </c>
      <c r="C731" s="1081"/>
      <c r="D731" s="1060"/>
      <c r="E731" s="1061"/>
      <c r="F731" s="1061"/>
      <c r="G731" s="1061"/>
      <c r="H731" s="1061"/>
      <c r="I731" s="1061"/>
      <c r="J731" s="1061"/>
      <c r="K731" s="1061"/>
      <c r="L731" s="1061"/>
    </row>
    <row r="732" spans="1:12">
      <c r="A732" s="971" t="s">
        <v>987</v>
      </c>
      <c r="B732" s="1062">
        <f>SUM('Database - Tornado Segments'!$L$75:$L$227)</f>
        <v>6588000</v>
      </c>
      <c r="C732" s="1063"/>
      <c r="D732" s="1060"/>
      <c r="E732" s="1061"/>
      <c r="F732" s="1061"/>
      <c r="G732" s="1061"/>
      <c r="H732" s="1061"/>
      <c r="I732" s="1061"/>
      <c r="J732" s="1061"/>
      <c r="K732" s="1061"/>
      <c r="L732" s="1061"/>
    </row>
    <row r="733" spans="1:12">
      <c r="A733" s="971" t="s">
        <v>988</v>
      </c>
      <c r="B733" s="1062">
        <f>SUM('Database - Tornado Segments'!$L$228:$L$392)</f>
        <v>15964000</v>
      </c>
      <c r="C733" s="1063"/>
      <c r="D733" s="1060"/>
      <c r="E733" s="1061"/>
      <c r="F733" s="1061"/>
      <c r="G733" s="1061"/>
      <c r="H733" s="1061"/>
      <c r="I733" s="1061"/>
      <c r="J733" s="1061"/>
      <c r="K733" s="1061"/>
      <c r="L733" s="1061"/>
    </row>
    <row r="734" spans="1:12">
      <c r="A734" s="971" t="s">
        <v>989</v>
      </c>
      <c r="B734" s="1062">
        <f>SUM('Database - Tornado Segments'!$L$393:$L$570)</f>
        <v>30112000</v>
      </c>
      <c r="C734" s="1063"/>
      <c r="D734" s="1060"/>
      <c r="E734" s="1061"/>
      <c r="F734" s="1061"/>
      <c r="G734" s="1061"/>
      <c r="H734" s="1061"/>
      <c r="I734" s="1061"/>
      <c r="J734" s="1061"/>
      <c r="K734" s="1061"/>
      <c r="L734" s="1061"/>
    </row>
    <row r="735" spans="1:12">
      <c r="A735" s="971" t="s">
        <v>990</v>
      </c>
      <c r="B735" s="1062">
        <f>SUM('Database - Tornado Segments'!$L$571:$L$811)</f>
        <v>132271000</v>
      </c>
      <c r="C735" s="1063"/>
      <c r="D735" s="1" t="s">
        <v>1547</v>
      </c>
    </row>
    <row r="736" spans="1:12">
      <c r="A736" s="971" t="s">
        <v>991</v>
      </c>
      <c r="B736" s="1062">
        <f>SUM('Database - Tornado Segments'!$L$812:$L$1029)</f>
        <v>11243000</v>
      </c>
      <c r="C736" s="1063"/>
      <c r="D736" s="1060"/>
      <c r="E736" s="1061"/>
      <c r="F736" s="1061"/>
      <c r="G736" s="1061"/>
      <c r="H736" s="1061"/>
      <c r="I736" s="1061"/>
      <c r="J736" s="1061"/>
      <c r="K736" s="1061"/>
      <c r="L736" s="1061"/>
    </row>
    <row r="737" spans="1:14">
      <c r="A737" s="971" t="s">
        <v>992</v>
      </c>
      <c r="B737" s="1062">
        <f>SUM('Database - Tornado Segments'!$L$1030:$L$1234)</f>
        <v>399000</v>
      </c>
      <c r="C737" s="1063"/>
      <c r="D737" s="1060"/>
      <c r="E737" s="1061"/>
      <c r="F737" s="1061"/>
      <c r="G737" s="1061"/>
      <c r="H737" s="1061"/>
      <c r="I737" s="1061"/>
      <c r="J737" s="1061"/>
      <c r="K737" s="1061"/>
      <c r="L737" s="1061"/>
    </row>
    <row r="738" spans="1:14">
      <c r="A738" s="971" t="s">
        <v>1360</v>
      </c>
      <c r="B738" s="1062">
        <f>SUM('Database - Tornado Segments'!$L$1235:$L$1400)</f>
        <v>1505000</v>
      </c>
      <c r="C738" s="1063"/>
      <c r="D738" s="1064" t="s">
        <v>1583</v>
      </c>
      <c r="E738" s="1065"/>
      <c r="F738" s="1065"/>
      <c r="G738" s="1065"/>
      <c r="H738" s="1065"/>
      <c r="I738" s="1065"/>
      <c r="J738" s="1065"/>
      <c r="K738" s="1065"/>
      <c r="L738" s="1065"/>
      <c r="M738" s="1065"/>
    </row>
    <row r="739" spans="1:14" ht="15.75" thickBot="1">
      <c r="A739" s="971" t="s">
        <v>1363</v>
      </c>
      <c r="B739" s="1058"/>
      <c r="C739" s="1059"/>
      <c r="D739" s="1060"/>
      <c r="E739" s="1061"/>
      <c r="F739" s="1061"/>
      <c r="G739" s="1061"/>
      <c r="H739" s="1061"/>
      <c r="I739" s="1061"/>
      <c r="J739" s="1061"/>
      <c r="K739" s="1061"/>
      <c r="L739" s="1061"/>
    </row>
    <row r="740" spans="1:14" ht="16.5" thickTop="1" thickBot="1">
      <c r="A740" s="972" t="s">
        <v>1612</v>
      </c>
    </row>
    <row r="741" spans="1:14" ht="15.75" thickTop="1"/>
    <row r="742" spans="1:14">
      <c r="A742" s="1057" t="s">
        <v>1548</v>
      </c>
      <c r="B742" s="1057"/>
      <c r="C742" s="1057"/>
      <c r="D742" s="1057"/>
      <c r="E742" s="1057"/>
      <c r="F742" s="1057"/>
      <c r="G742" s="1057"/>
      <c r="H742" s="1057"/>
      <c r="I742" s="1057"/>
      <c r="J742" s="1057"/>
      <c r="K742" s="1057"/>
      <c r="L742" s="1057"/>
      <c r="M742" s="1057"/>
      <c r="N742" s="1057"/>
    </row>
    <row r="743" spans="1:14"/>
    <row r="744" spans="1:14"/>
    <row r="745" spans="1:14"/>
    <row r="746" spans="1:14"/>
    <row r="747" spans="1:14"/>
    <row r="748" spans="1:14"/>
    <row r="749" spans="1:14"/>
    <row r="750" spans="1:14"/>
    <row r="751" spans="1:14"/>
    <row r="752" spans="1:14"/>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sheetData>
  <customSheetViews>
    <customSheetView guid="{CFA9FB8A-52FF-44B9-AE70-27339693E196}">
      <selection activeCell="B3" sqref="B3"/>
      <rowBreaks count="13" manualBreakCount="13">
        <brk id="33" max="16383" man="1"/>
        <brk id="61" max="16383" man="1"/>
        <brk id="89" max="16383" man="1"/>
        <brk id="117" max="16383" man="1"/>
        <brk id="145" max="16383" man="1"/>
        <brk id="173" max="16383" man="1"/>
        <brk id="210" max="16383" man="1"/>
        <brk id="237" max="16383" man="1"/>
        <brk id="253" max="16383" man="1"/>
        <brk id="292" max="16383" man="1"/>
        <brk id="328" max="16383" man="1"/>
        <brk id="357" max="16383" man="1"/>
        <brk id="388" max="16383" man="1"/>
      </rowBreaks>
      <pageMargins left="0.7" right="0.7" top="0.75" bottom="0.75" header="0.3" footer="0.3"/>
      <pageSetup scale="64" orientation="portrait" r:id="rId1"/>
    </customSheetView>
  </customSheetViews>
  <mergeCells count="39">
    <mergeCell ref="T601:AN601"/>
    <mergeCell ref="C584:C585"/>
    <mergeCell ref="A533:E533"/>
    <mergeCell ref="C245:D245"/>
    <mergeCell ref="C246:D246"/>
    <mergeCell ref="C248:D248"/>
    <mergeCell ref="C252:D252"/>
    <mergeCell ref="C247:D247"/>
    <mergeCell ref="C249:D249"/>
    <mergeCell ref="C250:D250"/>
    <mergeCell ref="C251:D251"/>
    <mergeCell ref="A582:B582"/>
    <mergeCell ref="D730:L730"/>
    <mergeCell ref="B731:C731"/>
    <mergeCell ref="B732:C732"/>
    <mergeCell ref="B733:C733"/>
    <mergeCell ref="D731:L731"/>
    <mergeCell ref="D732:L732"/>
    <mergeCell ref="D733:L733"/>
    <mergeCell ref="A1:K1"/>
    <mergeCell ref="B241:I241"/>
    <mergeCell ref="E244:F244"/>
    <mergeCell ref="G244:H244"/>
    <mergeCell ref="C243:D243"/>
    <mergeCell ref="E243:F243"/>
    <mergeCell ref="G243:H243"/>
    <mergeCell ref="C244:D244"/>
    <mergeCell ref="B734:C734"/>
    <mergeCell ref="D738:M738"/>
    <mergeCell ref="D734:L734"/>
    <mergeCell ref="D736:L736"/>
    <mergeCell ref="B736:C736"/>
    <mergeCell ref="B737:C737"/>
    <mergeCell ref="B738:C738"/>
    <mergeCell ref="A742:N742"/>
    <mergeCell ref="B739:C739"/>
    <mergeCell ref="D737:L737"/>
    <mergeCell ref="D739:L739"/>
    <mergeCell ref="B735:C735"/>
  </mergeCells>
  <printOptions horizontalCentered="1"/>
  <pageMargins left="0.7" right="0.7" top="1.25" bottom="0.5" header="0.3" footer="0"/>
  <pageSetup firstPageNumber="90" orientation="portrait" r:id="rId2"/>
  <headerFooter scaleWithDoc="0">
    <oddFooter>&amp;CPage &amp;P of 172</oddFooter>
  </headerFooter>
  <rowBreaks count="15" manualBreakCount="15">
    <brk id="5" max="11" man="1"/>
    <brk id="35" max="11" man="1"/>
    <brk id="63" max="11" man="1"/>
    <brk id="91" max="11" man="1"/>
    <brk id="119" max="11" man="1"/>
    <brk id="147" max="11" man="1"/>
    <brk id="176" max="11" man="1"/>
    <brk id="211" max="16383" man="1"/>
    <brk id="239" max="11" man="1"/>
    <brk id="256" max="11" man="1"/>
    <brk id="267" max="11" man="1"/>
    <brk id="295" max="11" man="1"/>
    <brk id="303" max="11" man="1"/>
    <brk id="331" max="11" man="1"/>
    <brk id="374" max="11"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8"/>
  <sheetViews>
    <sheetView topLeftCell="H1" zoomScaleNormal="100" workbookViewId="0">
      <pane ySplit="1" topLeftCell="A2" activePane="bottomLeft" state="frozen"/>
      <selection pane="bottomLeft" activeCell="U28" sqref="U28"/>
    </sheetView>
  </sheetViews>
  <sheetFormatPr defaultRowHeight="15"/>
  <cols>
    <col min="29" max="29" width="9.5546875" customWidth="1"/>
  </cols>
  <sheetData>
    <row r="1" spans="1:37" s="874" customFormat="1" ht="20.25">
      <c r="A1" s="1001" t="s">
        <v>1326</v>
      </c>
      <c r="B1" s="1001"/>
      <c r="C1" s="1001"/>
      <c r="D1" s="1001"/>
      <c r="E1" s="1001"/>
      <c r="F1" s="1001"/>
      <c r="G1" s="1001"/>
      <c r="H1" s="1001"/>
      <c r="I1" s="1001"/>
      <c r="J1" s="1001"/>
      <c r="K1" s="1001"/>
      <c r="L1" s="1001"/>
      <c r="M1" s="1001"/>
      <c r="N1" s="1001"/>
      <c r="O1" s="1097"/>
      <c r="P1" s="875"/>
      <c r="Q1" s="875"/>
      <c r="R1" s="875"/>
      <c r="S1" s="875"/>
      <c r="T1" s="875"/>
      <c r="U1" s="875"/>
      <c r="V1" s="875"/>
      <c r="W1" s="875"/>
      <c r="X1" s="875"/>
      <c r="Y1" s="873" t="s">
        <v>143</v>
      </c>
      <c r="Z1" s="873" t="s">
        <v>1314</v>
      </c>
      <c r="AA1" s="873" t="s">
        <v>1315</v>
      </c>
      <c r="AB1" s="873" t="s">
        <v>1316</v>
      </c>
      <c r="AC1" s="873" t="s">
        <v>1317</v>
      </c>
      <c r="AD1" s="873" t="s">
        <v>1318</v>
      </c>
      <c r="AE1" s="873" t="s">
        <v>1319</v>
      </c>
      <c r="AF1" s="873" t="s">
        <v>1320</v>
      </c>
      <c r="AG1" s="873" t="s">
        <v>1321</v>
      </c>
      <c r="AH1" s="873" t="s">
        <v>1322</v>
      </c>
      <c r="AI1" s="873" t="s">
        <v>1323</v>
      </c>
      <c r="AJ1" s="873" t="s">
        <v>1324</v>
      </c>
      <c r="AK1" s="873" t="s">
        <v>1325</v>
      </c>
    </row>
    <row r="2" spans="1:37">
      <c r="Y2" s="859">
        <v>1950</v>
      </c>
      <c r="Z2" s="860">
        <v>-1.5</v>
      </c>
      <c r="AA2" s="860">
        <v>-1.3</v>
      </c>
      <c r="AB2" s="860">
        <v>-1.2</v>
      </c>
      <c r="AC2" s="860">
        <v>-1.2</v>
      </c>
      <c r="AD2" s="860">
        <v>-1.1000000000000001</v>
      </c>
      <c r="AE2" s="860">
        <v>-0.9</v>
      </c>
      <c r="AF2" s="860">
        <v>-0.5</v>
      </c>
      <c r="AG2" s="861">
        <v>-0.4</v>
      </c>
      <c r="AH2" s="861">
        <v>-0.4</v>
      </c>
      <c r="AI2" s="861">
        <v>-0.4</v>
      </c>
      <c r="AJ2" s="861">
        <v>-0.6</v>
      </c>
      <c r="AK2" s="861">
        <v>-0.8</v>
      </c>
    </row>
    <row r="3" spans="1:37">
      <c r="Y3" s="859">
        <v>1951</v>
      </c>
      <c r="Z3" s="861">
        <v>-0.8</v>
      </c>
      <c r="AA3" s="861">
        <v>-0.5</v>
      </c>
      <c r="AB3" s="861">
        <v>-0.2</v>
      </c>
      <c r="AC3" s="861">
        <v>0.2</v>
      </c>
      <c r="AD3" s="861">
        <v>0.4</v>
      </c>
      <c r="AE3" s="862">
        <v>0.6</v>
      </c>
      <c r="AF3" s="862">
        <v>0.7</v>
      </c>
      <c r="AG3" s="862">
        <v>0.9</v>
      </c>
      <c r="AH3" s="862">
        <v>1</v>
      </c>
      <c r="AI3" s="862">
        <v>1.2</v>
      </c>
      <c r="AJ3" s="862">
        <v>1</v>
      </c>
      <c r="AK3" s="862">
        <v>0.8</v>
      </c>
    </row>
    <row r="4" spans="1:37">
      <c r="Y4" s="859">
        <v>1952</v>
      </c>
      <c r="Z4" s="862">
        <v>0.5</v>
      </c>
      <c r="AA4" s="861">
        <v>0.4</v>
      </c>
      <c r="AB4" s="861">
        <v>0.3</v>
      </c>
      <c r="AC4" s="861">
        <v>0.3</v>
      </c>
      <c r="AD4" s="861">
        <v>0.2</v>
      </c>
      <c r="AE4" s="861">
        <v>0</v>
      </c>
      <c r="AF4" s="861">
        <v>-0.1</v>
      </c>
      <c r="AG4" s="861">
        <v>0</v>
      </c>
      <c r="AH4" s="861">
        <v>0.2</v>
      </c>
      <c r="AI4" s="861">
        <v>0.1</v>
      </c>
      <c r="AJ4" s="861">
        <v>0</v>
      </c>
      <c r="AK4" s="861">
        <v>0.1</v>
      </c>
    </row>
    <row r="5" spans="1:37">
      <c r="Y5" s="859">
        <v>1953</v>
      </c>
      <c r="Z5" s="861">
        <v>0.4</v>
      </c>
      <c r="AA5" s="862">
        <v>0.6</v>
      </c>
      <c r="AB5" s="862">
        <v>0.6</v>
      </c>
      <c r="AC5" s="862">
        <v>0.7</v>
      </c>
      <c r="AD5" s="862">
        <v>0.8</v>
      </c>
      <c r="AE5" s="862">
        <v>0.8</v>
      </c>
      <c r="AF5" s="862">
        <v>0.7</v>
      </c>
      <c r="AG5" s="862">
        <v>0.7</v>
      </c>
      <c r="AH5" s="862">
        <v>0.8</v>
      </c>
      <c r="AI5" s="862">
        <v>0.8</v>
      </c>
      <c r="AJ5" s="862">
        <v>0.8</v>
      </c>
      <c r="AK5" s="862">
        <v>0.8</v>
      </c>
    </row>
    <row r="6" spans="1:37">
      <c r="Y6" s="859">
        <v>1954</v>
      </c>
      <c r="Z6" s="862">
        <v>0.8</v>
      </c>
      <c r="AA6" s="862">
        <v>0.5</v>
      </c>
      <c r="AB6" s="861">
        <v>0</v>
      </c>
      <c r="AC6" s="861">
        <v>-0.4</v>
      </c>
      <c r="AD6" s="860">
        <v>-0.5</v>
      </c>
      <c r="AE6" s="860">
        <v>-0.5</v>
      </c>
      <c r="AF6" s="860">
        <v>-0.6</v>
      </c>
      <c r="AG6" s="860">
        <v>-0.8</v>
      </c>
      <c r="AH6" s="860">
        <v>-0.9</v>
      </c>
      <c r="AI6" s="860">
        <v>-0.8</v>
      </c>
      <c r="AJ6" s="860">
        <v>-0.7</v>
      </c>
      <c r="AK6" s="860">
        <v>-0.7</v>
      </c>
    </row>
    <row r="7" spans="1:37">
      <c r="Y7" s="859">
        <v>1955</v>
      </c>
      <c r="Z7" s="860">
        <v>-0.7</v>
      </c>
      <c r="AA7" s="860">
        <v>-0.6</v>
      </c>
      <c r="AB7" s="860">
        <v>-0.7</v>
      </c>
      <c r="AC7" s="860">
        <v>-0.8</v>
      </c>
      <c r="AD7" s="860">
        <v>-0.8</v>
      </c>
      <c r="AE7" s="860">
        <v>-0.7</v>
      </c>
      <c r="AF7" s="860">
        <v>-0.7</v>
      </c>
      <c r="AG7" s="860">
        <v>-0.7</v>
      </c>
      <c r="AH7" s="860">
        <v>-1.1000000000000001</v>
      </c>
      <c r="AI7" s="860">
        <v>-1.4</v>
      </c>
      <c r="AJ7" s="860">
        <v>-1.7</v>
      </c>
      <c r="AK7" s="860">
        <v>-1.5</v>
      </c>
    </row>
    <row r="8" spans="1:37">
      <c r="Y8" s="859">
        <v>1956</v>
      </c>
      <c r="Z8" s="860">
        <v>-1.1000000000000001</v>
      </c>
      <c r="AA8" s="860">
        <v>-0.8</v>
      </c>
      <c r="AB8" s="860">
        <v>-0.6</v>
      </c>
      <c r="AC8" s="860">
        <v>-0.5</v>
      </c>
      <c r="AD8" s="860">
        <v>-0.5</v>
      </c>
      <c r="AE8" s="860">
        <v>-0.5</v>
      </c>
      <c r="AF8" s="860">
        <v>-0.6</v>
      </c>
      <c r="AG8" s="860">
        <v>-0.6</v>
      </c>
      <c r="AH8" s="860">
        <v>-0.5</v>
      </c>
      <c r="AI8" s="861">
        <v>-0.4</v>
      </c>
      <c r="AJ8" s="861">
        <v>-0.4</v>
      </c>
      <c r="AK8" s="861">
        <v>-0.4</v>
      </c>
    </row>
    <row r="9" spans="1:37">
      <c r="Y9" s="859">
        <v>1957</v>
      </c>
      <c r="Z9" s="861">
        <v>-0.2</v>
      </c>
      <c r="AA9" s="861">
        <v>0.1</v>
      </c>
      <c r="AB9" s="861">
        <v>0.4</v>
      </c>
      <c r="AC9" s="862">
        <v>0.7</v>
      </c>
      <c r="AD9" s="862">
        <v>0.9</v>
      </c>
      <c r="AE9" s="862">
        <v>1.1000000000000001</v>
      </c>
      <c r="AF9" s="862">
        <v>1.3</v>
      </c>
      <c r="AG9" s="862">
        <v>1.3</v>
      </c>
      <c r="AH9" s="862">
        <v>1.3</v>
      </c>
      <c r="AI9" s="862">
        <v>1.4</v>
      </c>
      <c r="AJ9" s="862">
        <v>1.5</v>
      </c>
      <c r="AK9" s="862">
        <v>1.7</v>
      </c>
    </row>
    <row r="10" spans="1:37">
      <c r="Y10" s="859">
        <v>1958</v>
      </c>
      <c r="Z10" s="862">
        <v>1.8</v>
      </c>
      <c r="AA10" s="862">
        <v>1.7</v>
      </c>
      <c r="AB10" s="862">
        <v>1.3</v>
      </c>
      <c r="AC10" s="862">
        <v>0.9</v>
      </c>
      <c r="AD10" s="862">
        <v>0.7</v>
      </c>
      <c r="AE10" s="862">
        <v>0.6</v>
      </c>
      <c r="AF10" s="862">
        <v>0.6</v>
      </c>
      <c r="AG10" s="861">
        <v>0.4</v>
      </c>
      <c r="AH10" s="861">
        <v>0.4</v>
      </c>
      <c r="AI10" s="861">
        <v>0.4</v>
      </c>
      <c r="AJ10" s="862">
        <v>0.5</v>
      </c>
      <c r="AK10" s="862">
        <v>0.6</v>
      </c>
    </row>
    <row r="11" spans="1:37">
      <c r="Y11" s="859">
        <v>1959</v>
      </c>
      <c r="Z11" s="862">
        <v>0.6</v>
      </c>
      <c r="AA11" s="862">
        <v>0.6</v>
      </c>
      <c r="AB11" s="862">
        <v>0.5</v>
      </c>
      <c r="AC11" s="861">
        <v>0.3</v>
      </c>
      <c r="AD11" s="861">
        <v>0.2</v>
      </c>
      <c r="AE11" s="861">
        <v>-0.1</v>
      </c>
      <c r="AF11" s="861">
        <v>-0.2</v>
      </c>
      <c r="AG11" s="861">
        <v>-0.3</v>
      </c>
      <c r="AH11" s="861">
        <v>-0.1</v>
      </c>
      <c r="AI11" s="861">
        <v>0</v>
      </c>
      <c r="AJ11" s="861">
        <v>0</v>
      </c>
      <c r="AK11" s="861">
        <v>0</v>
      </c>
    </row>
    <row r="12" spans="1:37">
      <c r="Y12" s="859">
        <v>1960</v>
      </c>
      <c r="Z12" s="861">
        <v>-0.1</v>
      </c>
      <c r="AA12" s="861">
        <v>-0.1</v>
      </c>
      <c r="AB12" s="861">
        <v>-0.1</v>
      </c>
      <c r="AC12" s="861">
        <v>0</v>
      </c>
      <c r="AD12" s="861">
        <v>0</v>
      </c>
      <c r="AE12" s="861">
        <v>0</v>
      </c>
      <c r="AF12" s="861">
        <v>0.1</v>
      </c>
      <c r="AG12" s="861">
        <v>0.2</v>
      </c>
      <c r="AH12" s="861">
        <v>0.3</v>
      </c>
      <c r="AI12" s="861">
        <v>0.2</v>
      </c>
      <c r="AJ12" s="861">
        <v>0.1</v>
      </c>
      <c r="AK12" s="861">
        <v>0.1</v>
      </c>
    </row>
    <row r="13" spans="1:37">
      <c r="Y13" s="859">
        <v>1961</v>
      </c>
      <c r="Z13" s="861">
        <v>0</v>
      </c>
      <c r="AA13" s="861">
        <v>0</v>
      </c>
      <c r="AB13" s="861">
        <v>0</v>
      </c>
      <c r="AC13" s="861">
        <v>0.1</v>
      </c>
      <c r="AD13" s="861">
        <v>0.2</v>
      </c>
      <c r="AE13" s="861">
        <v>0.3</v>
      </c>
      <c r="AF13" s="861">
        <v>0.1</v>
      </c>
      <c r="AG13" s="861">
        <v>-0.1</v>
      </c>
      <c r="AH13" s="861">
        <v>-0.3</v>
      </c>
      <c r="AI13" s="861">
        <v>-0.3</v>
      </c>
      <c r="AJ13" s="861">
        <v>-0.2</v>
      </c>
      <c r="AK13" s="861">
        <v>-0.2</v>
      </c>
    </row>
    <row r="14" spans="1:37">
      <c r="Y14" s="859">
        <v>1962</v>
      </c>
      <c r="Z14" s="861">
        <v>-0.2</v>
      </c>
      <c r="AA14" s="861">
        <v>-0.2</v>
      </c>
      <c r="AB14" s="861">
        <v>-0.2</v>
      </c>
      <c r="AC14" s="861">
        <v>-0.3</v>
      </c>
      <c r="AD14" s="861">
        <v>-0.3</v>
      </c>
      <c r="AE14" s="861">
        <v>-0.2</v>
      </c>
      <c r="AF14" s="861">
        <v>0</v>
      </c>
      <c r="AG14" s="861">
        <v>-0.1</v>
      </c>
      <c r="AH14" s="861">
        <v>-0.1</v>
      </c>
      <c r="AI14" s="861">
        <v>-0.2</v>
      </c>
      <c r="AJ14" s="861">
        <v>-0.3</v>
      </c>
      <c r="AK14" s="861">
        <v>-0.4</v>
      </c>
    </row>
    <row r="15" spans="1:37">
      <c r="Y15" s="859">
        <v>1963</v>
      </c>
      <c r="Z15" s="861">
        <v>-0.4</v>
      </c>
      <c r="AA15" s="861">
        <v>-0.2</v>
      </c>
      <c r="AB15" s="861">
        <v>0.2</v>
      </c>
      <c r="AC15" s="861">
        <v>0.3</v>
      </c>
      <c r="AD15" s="861">
        <v>0.3</v>
      </c>
      <c r="AE15" s="862">
        <v>0.5</v>
      </c>
      <c r="AF15" s="862">
        <v>0.9</v>
      </c>
      <c r="AG15" s="862">
        <v>1.1000000000000001</v>
      </c>
      <c r="AH15" s="862">
        <v>1.2</v>
      </c>
      <c r="AI15" s="862">
        <v>1.3</v>
      </c>
      <c r="AJ15" s="862">
        <v>1.4</v>
      </c>
      <c r="AK15" s="862">
        <v>1.3</v>
      </c>
    </row>
    <row r="16" spans="1:37">
      <c r="Y16" s="859">
        <v>1964</v>
      </c>
      <c r="Z16" s="862">
        <v>1.1000000000000001</v>
      </c>
      <c r="AA16" s="862">
        <v>0.6</v>
      </c>
      <c r="AB16" s="861">
        <v>0.1</v>
      </c>
      <c r="AC16" s="861">
        <v>-0.3</v>
      </c>
      <c r="AD16" s="860">
        <v>-0.6</v>
      </c>
      <c r="AE16" s="860">
        <v>-0.6</v>
      </c>
      <c r="AF16" s="860">
        <v>-0.6</v>
      </c>
      <c r="AG16" s="860">
        <v>-0.7</v>
      </c>
      <c r="AH16" s="860">
        <v>-0.8</v>
      </c>
      <c r="AI16" s="860">
        <v>-0.8</v>
      </c>
      <c r="AJ16" s="860">
        <v>-0.8</v>
      </c>
      <c r="AK16" s="860">
        <v>-0.8</v>
      </c>
    </row>
    <row r="17" spans="2:37">
      <c r="Y17" s="859">
        <v>1965</v>
      </c>
      <c r="Z17" s="860">
        <v>-0.6</v>
      </c>
      <c r="AA17" s="861">
        <v>-0.3</v>
      </c>
      <c r="AB17" s="861">
        <v>-0.1</v>
      </c>
      <c r="AC17" s="861">
        <v>0.2</v>
      </c>
      <c r="AD17" s="862">
        <v>0.5</v>
      </c>
      <c r="AE17" s="862">
        <v>0.8</v>
      </c>
      <c r="AF17" s="862">
        <v>1.2</v>
      </c>
      <c r="AG17" s="862">
        <v>1.5</v>
      </c>
      <c r="AH17" s="862">
        <v>1.9</v>
      </c>
      <c r="AI17" s="862">
        <v>2</v>
      </c>
      <c r="AJ17" s="862">
        <v>2</v>
      </c>
      <c r="AK17" s="862">
        <v>1.7</v>
      </c>
    </row>
    <row r="18" spans="2:37">
      <c r="Y18" s="859">
        <v>1966</v>
      </c>
      <c r="Z18" s="862">
        <v>1.4</v>
      </c>
      <c r="AA18" s="862">
        <v>1.2</v>
      </c>
      <c r="AB18" s="862">
        <v>1</v>
      </c>
      <c r="AC18" s="862">
        <v>0.7</v>
      </c>
      <c r="AD18" s="861">
        <v>0.4</v>
      </c>
      <c r="AE18" s="861">
        <v>0.2</v>
      </c>
      <c r="AF18" s="861">
        <v>0.2</v>
      </c>
      <c r="AG18" s="861">
        <v>0.1</v>
      </c>
      <c r="AH18" s="861">
        <v>-0.1</v>
      </c>
      <c r="AI18" s="861">
        <v>-0.1</v>
      </c>
      <c r="AJ18" s="861">
        <v>-0.2</v>
      </c>
      <c r="AK18" s="861">
        <v>-0.3</v>
      </c>
    </row>
    <row r="19" spans="2:37">
      <c r="Y19" s="859">
        <v>1967</v>
      </c>
      <c r="Z19" s="861">
        <v>-0.4</v>
      </c>
      <c r="AA19" s="861">
        <v>-0.5</v>
      </c>
      <c r="AB19" s="861">
        <v>-0.5</v>
      </c>
      <c r="AC19" s="861">
        <v>-0.4</v>
      </c>
      <c r="AD19" s="861">
        <v>-0.2</v>
      </c>
      <c r="AE19" s="861">
        <v>0</v>
      </c>
      <c r="AF19" s="861">
        <v>0</v>
      </c>
      <c r="AG19" s="861">
        <v>-0.2</v>
      </c>
      <c r="AH19" s="861">
        <v>-0.3</v>
      </c>
      <c r="AI19" s="861">
        <v>-0.4</v>
      </c>
      <c r="AJ19" s="861">
        <v>-0.3</v>
      </c>
      <c r="AK19" s="861">
        <v>-0.4</v>
      </c>
    </row>
    <row r="20" spans="2:37">
      <c r="Y20" s="859">
        <v>1968</v>
      </c>
      <c r="Z20" s="861">
        <v>-0.6</v>
      </c>
      <c r="AA20" s="861">
        <v>-0.7</v>
      </c>
      <c r="AB20" s="861">
        <v>-0.6</v>
      </c>
      <c r="AC20" s="861">
        <v>-0.4</v>
      </c>
      <c r="AD20" s="861">
        <v>0</v>
      </c>
      <c r="AE20" s="861">
        <v>0.3</v>
      </c>
      <c r="AF20" s="861">
        <v>0.6</v>
      </c>
      <c r="AG20" s="861">
        <v>0.5</v>
      </c>
      <c r="AH20" s="861">
        <v>0.4</v>
      </c>
      <c r="AI20" s="862">
        <v>0.5</v>
      </c>
      <c r="AJ20" s="862">
        <v>0.7</v>
      </c>
      <c r="AK20" s="862">
        <v>1</v>
      </c>
    </row>
    <row r="21" spans="2:37">
      <c r="Y21" s="859">
        <v>1969</v>
      </c>
      <c r="Z21" s="862">
        <v>1.1000000000000001</v>
      </c>
      <c r="AA21" s="862">
        <v>1.1000000000000001</v>
      </c>
      <c r="AB21" s="862">
        <v>0.9</v>
      </c>
      <c r="AC21" s="862">
        <v>0.8</v>
      </c>
      <c r="AD21" s="862">
        <v>0.6</v>
      </c>
      <c r="AE21" s="861">
        <v>0.4</v>
      </c>
      <c r="AF21" s="861">
        <v>0.4</v>
      </c>
      <c r="AG21" s="862">
        <v>0.5</v>
      </c>
      <c r="AH21" s="862">
        <v>0.8</v>
      </c>
      <c r="AI21" s="862">
        <v>0.9</v>
      </c>
      <c r="AJ21" s="862">
        <v>0.8</v>
      </c>
      <c r="AK21" s="862">
        <v>0.6</v>
      </c>
    </row>
    <row r="22" spans="2:37">
      <c r="Y22" s="859">
        <v>1970</v>
      </c>
      <c r="Z22" s="862">
        <v>0.5</v>
      </c>
      <c r="AA22" s="861">
        <v>0.3</v>
      </c>
      <c r="AB22" s="861">
        <v>0.3</v>
      </c>
      <c r="AC22" s="861">
        <v>0.2</v>
      </c>
      <c r="AD22" s="861">
        <v>0</v>
      </c>
      <c r="AE22" s="861">
        <v>-0.3</v>
      </c>
      <c r="AF22" s="860">
        <v>-0.6</v>
      </c>
      <c r="AG22" s="860">
        <v>-0.8</v>
      </c>
      <c r="AH22" s="860">
        <v>-0.8</v>
      </c>
      <c r="AI22" s="860">
        <v>-0.7</v>
      </c>
      <c r="AJ22" s="860">
        <v>-0.9</v>
      </c>
      <c r="AK22" s="860">
        <v>-1.1000000000000001</v>
      </c>
    </row>
    <row r="23" spans="2:37">
      <c r="Y23" s="859">
        <v>1971</v>
      </c>
      <c r="Z23" s="860">
        <v>-1.4</v>
      </c>
      <c r="AA23" s="860">
        <v>-1.4</v>
      </c>
      <c r="AB23" s="860">
        <v>-1.1000000000000001</v>
      </c>
      <c r="AC23" s="860">
        <v>-0.8</v>
      </c>
      <c r="AD23" s="860">
        <v>-0.7</v>
      </c>
      <c r="AE23" s="860">
        <v>-0.7</v>
      </c>
      <c r="AF23" s="860">
        <v>-0.8</v>
      </c>
      <c r="AG23" s="860">
        <v>-0.8</v>
      </c>
      <c r="AH23" s="860">
        <v>-0.8</v>
      </c>
      <c r="AI23" s="860">
        <v>-0.9</v>
      </c>
      <c r="AJ23" s="860">
        <v>-1</v>
      </c>
      <c r="AK23" s="860">
        <v>-0.9</v>
      </c>
    </row>
    <row r="24" spans="2:37">
      <c r="B24" s="1098" t="s">
        <v>1496</v>
      </c>
      <c r="C24" s="1098"/>
      <c r="D24" s="1098"/>
      <c r="E24" s="1098"/>
      <c r="F24" s="1098"/>
      <c r="G24" s="1098"/>
      <c r="H24" s="1098"/>
      <c r="I24" s="1098"/>
      <c r="J24" s="1098"/>
      <c r="K24" s="1098"/>
      <c r="L24" s="1098"/>
      <c r="M24" s="1098"/>
      <c r="N24" s="1098"/>
      <c r="O24" s="1098"/>
      <c r="Y24" s="859">
        <v>1972</v>
      </c>
      <c r="Z24" s="860">
        <v>-0.7</v>
      </c>
      <c r="AA24" s="861">
        <v>-0.4</v>
      </c>
      <c r="AB24" s="861">
        <v>0.1</v>
      </c>
      <c r="AC24" s="861">
        <v>0.4</v>
      </c>
      <c r="AD24" s="862">
        <v>0.7</v>
      </c>
      <c r="AE24" s="862">
        <v>0.9</v>
      </c>
      <c r="AF24" s="862">
        <v>1.1000000000000001</v>
      </c>
      <c r="AG24" s="862">
        <v>1.4</v>
      </c>
      <c r="AH24" s="862">
        <v>1.6</v>
      </c>
      <c r="AI24" s="862">
        <v>1.8</v>
      </c>
      <c r="AJ24" s="862">
        <v>2.1</v>
      </c>
      <c r="AK24" s="862">
        <v>2.1</v>
      </c>
    </row>
    <row r="25" spans="2:37">
      <c r="Y25" s="859">
        <v>1973</v>
      </c>
      <c r="Z25" s="862">
        <v>1.8</v>
      </c>
      <c r="AA25" s="862">
        <v>1.2</v>
      </c>
      <c r="AB25" s="862">
        <v>0.5</v>
      </c>
      <c r="AC25" s="861">
        <v>-0.1</v>
      </c>
      <c r="AD25" s="860">
        <v>-0.5</v>
      </c>
      <c r="AE25" s="860">
        <v>-0.9</v>
      </c>
      <c r="AF25" s="860">
        <v>-1.1000000000000001</v>
      </c>
      <c r="AG25" s="860">
        <v>-1.3</v>
      </c>
      <c r="AH25" s="860">
        <v>-1.5</v>
      </c>
      <c r="AI25" s="860">
        <v>-1.7</v>
      </c>
      <c r="AJ25" s="860">
        <v>-1.9</v>
      </c>
      <c r="AK25" s="860">
        <v>-2</v>
      </c>
    </row>
    <row r="26" spans="2:37">
      <c r="B26" s="1099" t="s">
        <v>1495</v>
      </c>
      <c r="C26" s="1098"/>
      <c r="D26" s="1098"/>
      <c r="E26" s="1098"/>
      <c r="F26" s="1098"/>
      <c r="G26" s="1098"/>
      <c r="H26" s="1098"/>
      <c r="I26" s="1098"/>
      <c r="J26" s="1098"/>
      <c r="K26" s="1098"/>
      <c r="L26" s="1098"/>
      <c r="M26" s="1098"/>
      <c r="N26" s="1098"/>
      <c r="O26" s="1098"/>
      <c r="Y26" s="859">
        <v>1974</v>
      </c>
      <c r="Z26" s="860">
        <v>-1.8</v>
      </c>
      <c r="AA26" s="860">
        <v>-1.6</v>
      </c>
      <c r="AB26" s="860">
        <v>-1.2</v>
      </c>
      <c r="AC26" s="860">
        <v>-1</v>
      </c>
      <c r="AD26" s="860">
        <v>-0.9</v>
      </c>
      <c r="AE26" s="860">
        <v>-0.8</v>
      </c>
      <c r="AF26" s="860">
        <v>-0.5</v>
      </c>
      <c r="AG26" s="861">
        <v>-0.4</v>
      </c>
      <c r="AH26" s="861">
        <v>-0.4</v>
      </c>
      <c r="AI26" s="860">
        <v>-0.6</v>
      </c>
      <c r="AJ26" s="860">
        <v>-0.8</v>
      </c>
      <c r="AK26" s="860">
        <v>-0.6</v>
      </c>
    </row>
    <row r="27" spans="2:37">
      <c r="Y27" s="859">
        <v>1975</v>
      </c>
      <c r="Z27" s="860">
        <v>-0.5</v>
      </c>
      <c r="AA27" s="860">
        <v>-0.6</v>
      </c>
      <c r="AB27" s="860">
        <v>-0.7</v>
      </c>
      <c r="AC27" s="860">
        <v>-0.7</v>
      </c>
      <c r="AD27" s="860">
        <v>-0.8</v>
      </c>
      <c r="AE27" s="860">
        <v>-1</v>
      </c>
      <c r="AF27" s="860">
        <v>-1.1000000000000001</v>
      </c>
      <c r="AG27" s="860">
        <v>-1.2</v>
      </c>
      <c r="AH27" s="860">
        <v>-1.4</v>
      </c>
      <c r="AI27" s="860">
        <v>-1.4</v>
      </c>
      <c r="AJ27" s="860">
        <v>-1.6</v>
      </c>
      <c r="AK27" s="860">
        <v>-1.7</v>
      </c>
    </row>
    <row r="28" spans="2:37">
      <c r="Y28" s="859">
        <v>1976</v>
      </c>
      <c r="Z28" s="860">
        <v>-1.6</v>
      </c>
      <c r="AA28" s="860">
        <v>-1.2</v>
      </c>
      <c r="AB28" s="860">
        <v>-0.7</v>
      </c>
      <c r="AC28" s="860">
        <v>-0.5</v>
      </c>
      <c r="AD28" s="861">
        <v>-0.3</v>
      </c>
      <c r="AE28" s="861">
        <v>0</v>
      </c>
      <c r="AF28" s="861">
        <v>0.2</v>
      </c>
      <c r="AG28" s="861">
        <v>0.4</v>
      </c>
      <c r="AH28" s="862">
        <v>0.6</v>
      </c>
      <c r="AI28" s="862">
        <v>0.8</v>
      </c>
      <c r="AJ28" s="862">
        <v>0.9</v>
      </c>
      <c r="AK28" s="862">
        <v>0.8</v>
      </c>
    </row>
    <row r="29" spans="2:37">
      <c r="Y29" s="859">
        <v>1977</v>
      </c>
      <c r="Z29" s="862">
        <v>0.7</v>
      </c>
      <c r="AA29" s="862">
        <v>0.6</v>
      </c>
      <c r="AB29" s="861">
        <v>0.3</v>
      </c>
      <c r="AC29" s="861">
        <v>0.2</v>
      </c>
      <c r="AD29" s="861">
        <v>0.2</v>
      </c>
      <c r="AE29" s="861">
        <v>0.3</v>
      </c>
      <c r="AF29" s="861">
        <v>0.4</v>
      </c>
      <c r="AG29" s="861">
        <v>0.4</v>
      </c>
      <c r="AH29" s="862">
        <v>0.6</v>
      </c>
      <c r="AI29" s="862">
        <v>0.7</v>
      </c>
      <c r="AJ29" s="862">
        <v>0.8</v>
      </c>
      <c r="AK29" s="862">
        <v>0.8</v>
      </c>
    </row>
    <row r="30" spans="2:37">
      <c r="Y30" s="859">
        <v>1978</v>
      </c>
      <c r="Z30" s="862">
        <v>0.7</v>
      </c>
      <c r="AA30" s="861">
        <v>0.4</v>
      </c>
      <c r="AB30" s="861">
        <v>0.1</v>
      </c>
      <c r="AC30" s="861">
        <v>-0.2</v>
      </c>
      <c r="AD30" s="861">
        <v>-0.3</v>
      </c>
      <c r="AE30" s="861">
        <v>-0.3</v>
      </c>
      <c r="AF30" s="861">
        <v>-0.4</v>
      </c>
      <c r="AG30" s="861">
        <v>-0.4</v>
      </c>
      <c r="AH30" s="861">
        <v>-0.4</v>
      </c>
      <c r="AI30" s="861">
        <v>-0.3</v>
      </c>
      <c r="AJ30" s="861">
        <v>-0.1</v>
      </c>
      <c r="AK30" s="861">
        <v>0</v>
      </c>
    </row>
    <row r="31" spans="2:37">
      <c r="Y31" s="859">
        <v>1979</v>
      </c>
      <c r="Z31" s="861">
        <v>0</v>
      </c>
      <c r="AA31" s="861">
        <v>0.1</v>
      </c>
      <c r="AB31" s="861">
        <v>0.2</v>
      </c>
      <c r="AC31" s="861">
        <v>0.3</v>
      </c>
      <c r="AD31" s="861">
        <v>0.2</v>
      </c>
      <c r="AE31" s="861">
        <v>0</v>
      </c>
      <c r="AF31" s="861">
        <v>0</v>
      </c>
      <c r="AG31" s="861">
        <v>0.2</v>
      </c>
      <c r="AH31" s="861">
        <v>0.3</v>
      </c>
      <c r="AI31" s="862">
        <v>0.5</v>
      </c>
      <c r="AJ31" s="862">
        <v>0.5</v>
      </c>
      <c r="AK31" s="862">
        <v>0.6</v>
      </c>
    </row>
    <row r="32" spans="2:37">
      <c r="Y32" s="859">
        <v>1980</v>
      </c>
      <c r="Z32" s="862">
        <v>0.6</v>
      </c>
      <c r="AA32" s="862">
        <v>0.5</v>
      </c>
      <c r="AB32" s="861">
        <v>0.3</v>
      </c>
      <c r="AC32" s="861">
        <v>0.4</v>
      </c>
      <c r="AD32" s="861">
        <v>0.5</v>
      </c>
      <c r="AE32" s="861">
        <v>0.5</v>
      </c>
      <c r="AF32" s="861">
        <v>0.3</v>
      </c>
      <c r="AG32" s="861">
        <v>0</v>
      </c>
      <c r="AH32" s="861">
        <v>-0.1</v>
      </c>
      <c r="AI32" s="861">
        <v>0</v>
      </c>
      <c r="AJ32" s="861">
        <v>0.1</v>
      </c>
      <c r="AK32" s="861">
        <v>0</v>
      </c>
    </row>
    <row r="33" spans="25:37">
      <c r="Y33" s="859">
        <v>1981</v>
      </c>
      <c r="Z33" s="861">
        <v>-0.3</v>
      </c>
      <c r="AA33" s="861">
        <v>-0.5</v>
      </c>
      <c r="AB33" s="861">
        <v>-0.5</v>
      </c>
      <c r="AC33" s="861">
        <v>-0.4</v>
      </c>
      <c r="AD33" s="861">
        <v>-0.3</v>
      </c>
      <c r="AE33" s="861">
        <v>-0.3</v>
      </c>
      <c r="AF33" s="861">
        <v>-0.3</v>
      </c>
      <c r="AG33" s="861">
        <v>-0.2</v>
      </c>
      <c r="AH33" s="861">
        <v>-0.2</v>
      </c>
      <c r="AI33" s="861">
        <v>-0.1</v>
      </c>
      <c r="AJ33" s="861">
        <v>-0.2</v>
      </c>
      <c r="AK33" s="861">
        <v>-0.1</v>
      </c>
    </row>
    <row r="34" spans="25:37">
      <c r="Y34" s="859">
        <v>1982</v>
      </c>
      <c r="Z34" s="861">
        <v>0</v>
      </c>
      <c r="AA34" s="861">
        <v>0.1</v>
      </c>
      <c r="AB34" s="861">
        <v>0.2</v>
      </c>
      <c r="AC34" s="862">
        <v>0.5</v>
      </c>
      <c r="AD34" s="862">
        <v>0.7</v>
      </c>
      <c r="AE34" s="862">
        <v>0.7</v>
      </c>
      <c r="AF34" s="862">
        <v>0.8</v>
      </c>
      <c r="AG34" s="862">
        <v>1.1000000000000001</v>
      </c>
      <c r="AH34" s="862">
        <v>1.6</v>
      </c>
      <c r="AI34" s="862">
        <v>2</v>
      </c>
      <c r="AJ34" s="862">
        <v>2.2000000000000002</v>
      </c>
      <c r="AK34" s="862">
        <v>2.2000000000000002</v>
      </c>
    </row>
    <row r="35" spans="25:37">
      <c r="Y35" s="859">
        <v>1983</v>
      </c>
      <c r="Z35" s="862">
        <v>2.2000000000000002</v>
      </c>
      <c r="AA35" s="862">
        <v>1.9</v>
      </c>
      <c r="AB35" s="862">
        <v>1.5</v>
      </c>
      <c r="AC35" s="862">
        <v>1.3</v>
      </c>
      <c r="AD35" s="862">
        <v>1.1000000000000001</v>
      </c>
      <c r="AE35" s="862">
        <v>0.7</v>
      </c>
      <c r="AF35" s="861">
        <v>0.3</v>
      </c>
      <c r="AG35" s="861">
        <v>-0.1</v>
      </c>
      <c r="AH35" s="860">
        <v>-0.5</v>
      </c>
      <c r="AI35" s="860">
        <v>-0.8</v>
      </c>
      <c r="AJ35" s="860">
        <v>-1</v>
      </c>
      <c r="AK35" s="860">
        <v>-0.9</v>
      </c>
    </row>
    <row r="36" spans="25:37">
      <c r="Y36" s="859">
        <v>1984</v>
      </c>
      <c r="Z36" s="860">
        <v>-0.6</v>
      </c>
      <c r="AA36" s="861">
        <v>-0.4</v>
      </c>
      <c r="AB36" s="861">
        <v>-0.3</v>
      </c>
      <c r="AC36" s="861">
        <v>-0.4</v>
      </c>
      <c r="AD36" s="861">
        <v>-0.5</v>
      </c>
      <c r="AE36" s="861">
        <v>-0.4</v>
      </c>
      <c r="AF36" s="861">
        <v>-0.3</v>
      </c>
      <c r="AG36" s="861">
        <v>-0.2</v>
      </c>
      <c r="AH36" s="861">
        <v>-0.2</v>
      </c>
      <c r="AI36" s="860">
        <v>-0.6</v>
      </c>
      <c r="AJ36" s="860">
        <v>-0.9</v>
      </c>
      <c r="AK36" s="860">
        <v>-1.1000000000000001</v>
      </c>
    </row>
    <row r="37" spans="25:37">
      <c r="Y37" s="859">
        <v>1985</v>
      </c>
      <c r="Z37" s="860">
        <v>-1</v>
      </c>
      <c r="AA37" s="860">
        <v>-0.8</v>
      </c>
      <c r="AB37" s="860">
        <v>-0.8</v>
      </c>
      <c r="AC37" s="860">
        <v>-0.8</v>
      </c>
      <c r="AD37" s="860">
        <v>-0.8</v>
      </c>
      <c r="AE37" s="860">
        <v>-0.6</v>
      </c>
      <c r="AF37" s="860">
        <v>-0.5</v>
      </c>
      <c r="AG37" s="860">
        <v>-0.5</v>
      </c>
      <c r="AH37" s="861">
        <v>-0.4</v>
      </c>
      <c r="AI37" s="861">
        <v>-0.3</v>
      </c>
      <c r="AJ37" s="861">
        <v>-0.3</v>
      </c>
      <c r="AK37" s="861">
        <v>-0.4</v>
      </c>
    </row>
    <row r="38" spans="25:37">
      <c r="Y38" s="859">
        <v>1986</v>
      </c>
      <c r="Z38" s="861">
        <v>-0.5</v>
      </c>
      <c r="AA38" s="861">
        <v>-0.5</v>
      </c>
      <c r="AB38" s="861">
        <v>-0.3</v>
      </c>
      <c r="AC38" s="861">
        <v>-0.2</v>
      </c>
      <c r="AD38" s="861">
        <v>-0.1</v>
      </c>
      <c r="AE38" s="861">
        <v>0</v>
      </c>
      <c r="AF38" s="861">
        <v>0.2</v>
      </c>
      <c r="AG38" s="861">
        <v>0.4</v>
      </c>
      <c r="AH38" s="862">
        <v>0.7</v>
      </c>
      <c r="AI38" s="862">
        <v>0.9</v>
      </c>
      <c r="AJ38" s="862">
        <v>1.1000000000000001</v>
      </c>
      <c r="AK38" s="862">
        <v>1.2</v>
      </c>
    </row>
    <row r="39" spans="25:37">
      <c r="Y39" s="859">
        <v>1987</v>
      </c>
      <c r="Z39" s="862">
        <v>1.2</v>
      </c>
      <c r="AA39" s="862">
        <v>1.2</v>
      </c>
      <c r="AB39" s="862">
        <v>1.1000000000000001</v>
      </c>
      <c r="AC39" s="862">
        <v>0.9</v>
      </c>
      <c r="AD39" s="862">
        <v>1</v>
      </c>
      <c r="AE39" s="862">
        <v>1.2</v>
      </c>
      <c r="AF39" s="862">
        <v>1.5</v>
      </c>
      <c r="AG39" s="862">
        <v>1.7</v>
      </c>
      <c r="AH39" s="862">
        <v>1.6</v>
      </c>
      <c r="AI39" s="862">
        <v>1.5</v>
      </c>
      <c r="AJ39" s="862">
        <v>1.3</v>
      </c>
      <c r="AK39" s="862">
        <v>1.1000000000000001</v>
      </c>
    </row>
    <row r="40" spans="25:37">
      <c r="Y40" s="859">
        <v>1988</v>
      </c>
      <c r="Z40" s="862">
        <v>0.8</v>
      </c>
      <c r="AA40" s="862">
        <v>0.5</v>
      </c>
      <c r="AB40" s="861">
        <v>0.1</v>
      </c>
      <c r="AC40" s="861">
        <v>-0.3</v>
      </c>
      <c r="AD40" s="860">
        <v>-0.9</v>
      </c>
      <c r="AE40" s="860">
        <v>-1.3</v>
      </c>
      <c r="AF40" s="860">
        <v>-1.3</v>
      </c>
      <c r="AG40" s="860">
        <v>-1.1000000000000001</v>
      </c>
      <c r="AH40" s="860">
        <v>-1.2</v>
      </c>
      <c r="AI40" s="860">
        <v>-1.5</v>
      </c>
      <c r="AJ40" s="860">
        <v>-1.8</v>
      </c>
      <c r="AK40" s="860">
        <v>-1.8</v>
      </c>
    </row>
    <row r="41" spans="25:37">
      <c r="Y41" s="859">
        <v>1989</v>
      </c>
      <c r="Z41" s="860">
        <v>-1.7</v>
      </c>
      <c r="AA41" s="860">
        <v>-1.4</v>
      </c>
      <c r="AB41" s="860">
        <v>-1.1000000000000001</v>
      </c>
      <c r="AC41" s="860">
        <v>-0.8</v>
      </c>
      <c r="AD41" s="860">
        <v>-0.6</v>
      </c>
      <c r="AE41" s="861">
        <v>-0.4</v>
      </c>
      <c r="AF41" s="861">
        <v>-0.3</v>
      </c>
      <c r="AG41" s="861">
        <v>-0.3</v>
      </c>
      <c r="AH41" s="861">
        <v>-0.2</v>
      </c>
      <c r="AI41" s="861">
        <v>-0.2</v>
      </c>
      <c r="AJ41" s="861">
        <v>-0.2</v>
      </c>
      <c r="AK41" s="861">
        <v>-0.1</v>
      </c>
    </row>
    <row r="42" spans="25:37">
      <c r="Y42" s="859">
        <v>1990</v>
      </c>
      <c r="Z42" s="861">
        <v>0.1</v>
      </c>
      <c r="AA42" s="861">
        <v>0.2</v>
      </c>
      <c r="AB42" s="861">
        <v>0.3</v>
      </c>
      <c r="AC42" s="861">
        <v>0.3</v>
      </c>
      <c r="AD42" s="861">
        <v>0.3</v>
      </c>
      <c r="AE42" s="861">
        <v>0.3</v>
      </c>
      <c r="AF42" s="861">
        <v>0.3</v>
      </c>
      <c r="AG42" s="861">
        <v>0.4</v>
      </c>
      <c r="AH42" s="861">
        <v>0.4</v>
      </c>
      <c r="AI42" s="861">
        <v>0.3</v>
      </c>
      <c r="AJ42" s="861">
        <v>0.4</v>
      </c>
      <c r="AK42" s="861">
        <v>0.4</v>
      </c>
    </row>
    <row r="43" spans="25:37">
      <c r="Y43" s="859">
        <v>1991</v>
      </c>
      <c r="Z43" s="861">
        <v>0.4</v>
      </c>
      <c r="AA43" s="861">
        <v>0.3</v>
      </c>
      <c r="AB43" s="861">
        <v>0.2</v>
      </c>
      <c r="AC43" s="861">
        <v>0.3</v>
      </c>
      <c r="AD43" s="862">
        <v>0.5</v>
      </c>
      <c r="AE43" s="862">
        <v>0.6</v>
      </c>
      <c r="AF43" s="862">
        <v>0.7</v>
      </c>
      <c r="AG43" s="862">
        <v>0.6</v>
      </c>
      <c r="AH43" s="862">
        <v>0.6</v>
      </c>
      <c r="AI43" s="862">
        <v>0.8</v>
      </c>
      <c r="AJ43" s="862">
        <v>1.2</v>
      </c>
      <c r="AK43" s="862">
        <v>1.5</v>
      </c>
    </row>
    <row r="44" spans="25:37">
      <c r="Y44" s="859">
        <v>1992</v>
      </c>
      <c r="Z44" s="862">
        <v>1.7</v>
      </c>
      <c r="AA44" s="862">
        <v>1.6</v>
      </c>
      <c r="AB44" s="862">
        <v>1.5</v>
      </c>
      <c r="AC44" s="862">
        <v>1.3</v>
      </c>
      <c r="AD44" s="862">
        <v>1.1000000000000001</v>
      </c>
      <c r="AE44" s="862">
        <v>0.7</v>
      </c>
      <c r="AF44" s="861">
        <v>0.4</v>
      </c>
      <c r="AG44" s="861">
        <v>0.1</v>
      </c>
      <c r="AH44" s="861">
        <v>-0.1</v>
      </c>
      <c r="AI44" s="861">
        <v>-0.2</v>
      </c>
      <c r="AJ44" s="861">
        <v>-0.3</v>
      </c>
      <c r="AK44" s="861">
        <v>-0.1</v>
      </c>
    </row>
    <row r="45" spans="25:37">
      <c r="Y45" s="859">
        <v>1993</v>
      </c>
      <c r="Z45" s="861">
        <v>0.1</v>
      </c>
      <c r="AA45" s="861">
        <v>0.3</v>
      </c>
      <c r="AB45" s="861">
        <v>0.5</v>
      </c>
      <c r="AC45" s="861">
        <v>0.7</v>
      </c>
      <c r="AD45" s="861">
        <v>0.7</v>
      </c>
      <c r="AE45" s="861">
        <v>0.6</v>
      </c>
      <c r="AF45" s="861">
        <v>0.3</v>
      </c>
      <c r="AG45" s="861">
        <v>0.3</v>
      </c>
      <c r="AH45" s="861">
        <v>0.2</v>
      </c>
      <c r="AI45" s="861">
        <v>0.1</v>
      </c>
      <c r="AJ45" s="861">
        <v>0</v>
      </c>
      <c r="AK45" s="861">
        <v>0.1</v>
      </c>
    </row>
    <row r="46" spans="25:37">
      <c r="Y46" s="859">
        <v>1994</v>
      </c>
      <c r="Z46" s="861">
        <v>0.1</v>
      </c>
      <c r="AA46" s="861">
        <v>0.1</v>
      </c>
      <c r="AB46" s="861">
        <v>0.2</v>
      </c>
      <c r="AC46" s="861">
        <v>0.3</v>
      </c>
      <c r="AD46" s="861">
        <v>0.4</v>
      </c>
      <c r="AE46" s="861">
        <v>0.4</v>
      </c>
      <c r="AF46" s="861">
        <v>0.4</v>
      </c>
      <c r="AG46" s="861">
        <v>0.4</v>
      </c>
      <c r="AH46" s="862">
        <v>0.6</v>
      </c>
      <c r="AI46" s="862">
        <v>0.7</v>
      </c>
      <c r="AJ46" s="862">
        <v>1</v>
      </c>
      <c r="AK46" s="862">
        <v>1.1000000000000001</v>
      </c>
    </row>
    <row r="47" spans="25:37">
      <c r="Y47" s="859">
        <v>1995</v>
      </c>
      <c r="Z47" s="862">
        <v>1</v>
      </c>
      <c r="AA47" s="862">
        <v>0.7</v>
      </c>
      <c r="AB47" s="862">
        <v>0.5</v>
      </c>
      <c r="AC47" s="861">
        <v>0.3</v>
      </c>
      <c r="AD47" s="861">
        <v>0.1</v>
      </c>
      <c r="AE47" s="861">
        <v>0</v>
      </c>
      <c r="AF47" s="861">
        <v>-0.2</v>
      </c>
      <c r="AG47" s="860">
        <v>-0.5</v>
      </c>
      <c r="AH47" s="860">
        <v>-0.8</v>
      </c>
      <c r="AI47" s="860">
        <v>-1</v>
      </c>
      <c r="AJ47" s="860">
        <v>-1</v>
      </c>
      <c r="AK47" s="860">
        <v>-1</v>
      </c>
    </row>
    <row r="48" spans="25:37">
      <c r="Y48" s="859">
        <v>1996</v>
      </c>
      <c r="Z48" s="860">
        <v>-0.9</v>
      </c>
      <c r="AA48" s="860">
        <v>-0.8</v>
      </c>
      <c r="AB48" s="860">
        <v>-0.6</v>
      </c>
      <c r="AC48" s="861">
        <v>-0.4</v>
      </c>
      <c r="AD48" s="861">
        <v>-0.3</v>
      </c>
      <c r="AE48" s="861">
        <v>-0.3</v>
      </c>
      <c r="AF48" s="861">
        <v>-0.3</v>
      </c>
      <c r="AG48" s="861">
        <v>-0.3</v>
      </c>
      <c r="AH48" s="861">
        <v>-0.4</v>
      </c>
      <c r="AI48" s="861">
        <v>-0.4</v>
      </c>
      <c r="AJ48" s="861">
        <v>-0.4</v>
      </c>
      <c r="AK48" s="861">
        <v>-0.5</v>
      </c>
    </row>
    <row r="49" spans="25:37">
      <c r="Y49" s="859">
        <v>1997</v>
      </c>
      <c r="Z49" s="861">
        <v>-0.5</v>
      </c>
      <c r="AA49" s="861">
        <v>-0.4</v>
      </c>
      <c r="AB49" s="861">
        <v>-0.1</v>
      </c>
      <c r="AC49" s="861">
        <v>0.3</v>
      </c>
      <c r="AD49" s="862">
        <v>0.8</v>
      </c>
      <c r="AE49" s="862">
        <v>1.2</v>
      </c>
      <c r="AF49" s="862">
        <v>1.6</v>
      </c>
      <c r="AG49" s="862">
        <v>1.9</v>
      </c>
      <c r="AH49" s="862">
        <v>2.1</v>
      </c>
      <c r="AI49" s="862">
        <v>2.2999999999999998</v>
      </c>
      <c r="AJ49" s="862">
        <v>2.4</v>
      </c>
      <c r="AK49" s="862">
        <v>2.4</v>
      </c>
    </row>
    <row r="50" spans="25:37">
      <c r="Y50" s="859">
        <v>1998</v>
      </c>
      <c r="Z50" s="862">
        <v>2.2000000000000002</v>
      </c>
      <c r="AA50" s="862">
        <v>1.9</v>
      </c>
      <c r="AB50" s="862">
        <v>1.4</v>
      </c>
      <c r="AC50" s="862">
        <v>1</v>
      </c>
      <c r="AD50" s="862">
        <v>0.5</v>
      </c>
      <c r="AE50" s="861">
        <v>-0.1</v>
      </c>
      <c r="AF50" s="860">
        <v>-0.8</v>
      </c>
      <c r="AG50" s="860">
        <v>-1.1000000000000001</v>
      </c>
      <c r="AH50" s="860">
        <v>-1.3</v>
      </c>
      <c r="AI50" s="860">
        <v>-1.4</v>
      </c>
      <c r="AJ50" s="860">
        <v>-1.5</v>
      </c>
      <c r="AK50" s="860">
        <v>-1.6</v>
      </c>
    </row>
    <row r="51" spans="25:37">
      <c r="Y51" s="859">
        <v>1999</v>
      </c>
      <c r="Z51" s="860">
        <v>-1.5</v>
      </c>
      <c r="AA51" s="860">
        <v>-1.3</v>
      </c>
      <c r="AB51" s="860">
        <v>-1.1000000000000001</v>
      </c>
      <c r="AC51" s="860">
        <v>-1</v>
      </c>
      <c r="AD51" s="860">
        <v>-1</v>
      </c>
      <c r="AE51" s="860">
        <v>-1</v>
      </c>
      <c r="AF51" s="860">
        <v>-1.1000000000000001</v>
      </c>
      <c r="AG51" s="860">
        <v>-1.1000000000000001</v>
      </c>
      <c r="AH51" s="860">
        <v>-1.2</v>
      </c>
      <c r="AI51" s="860">
        <v>-1.3</v>
      </c>
      <c r="AJ51" s="860">
        <v>-1.5</v>
      </c>
      <c r="AK51" s="860">
        <v>-1.7</v>
      </c>
    </row>
    <row r="52" spans="25:37">
      <c r="Y52" s="859">
        <v>2000</v>
      </c>
      <c r="Z52" s="860">
        <v>-1.7</v>
      </c>
      <c r="AA52" s="860">
        <v>-1.4</v>
      </c>
      <c r="AB52" s="860">
        <v>-1.1000000000000001</v>
      </c>
      <c r="AC52" s="860">
        <v>-0.8</v>
      </c>
      <c r="AD52" s="860">
        <v>-0.7</v>
      </c>
      <c r="AE52" s="860">
        <v>-0.6</v>
      </c>
      <c r="AF52" s="860">
        <v>-0.6</v>
      </c>
      <c r="AG52" s="860">
        <v>-0.5</v>
      </c>
      <c r="AH52" s="860">
        <v>-0.5</v>
      </c>
      <c r="AI52" s="860">
        <v>-0.6</v>
      </c>
      <c r="AJ52" s="860">
        <v>-0.7</v>
      </c>
      <c r="AK52" s="860">
        <v>-0.7</v>
      </c>
    </row>
    <row r="53" spans="25:37">
      <c r="Y53" s="859">
        <v>2001</v>
      </c>
      <c r="Z53" s="860">
        <v>-0.7</v>
      </c>
      <c r="AA53" s="860">
        <v>-0.5</v>
      </c>
      <c r="AB53" s="861">
        <v>-0.4</v>
      </c>
      <c r="AC53" s="861">
        <v>-0.3</v>
      </c>
      <c r="AD53" s="861">
        <v>-0.3</v>
      </c>
      <c r="AE53" s="861">
        <v>-0.1</v>
      </c>
      <c r="AF53" s="861">
        <v>-0.1</v>
      </c>
      <c r="AG53" s="861">
        <v>-0.1</v>
      </c>
      <c r="AH53" s="861">
        <v>-0.2</v>
      </c>
      <c r="AI53" s="861">
        <v>-0.3</v>
      </c>
      <c r="AJ53" s="861">
        <v>-0.3</v>
      </c>
      <c r="AK53" s="861">
        <v>-0.3</v>
      </c>
    </row>
    <row r="54" spans="25:37">
      <c r="Y54" s="859">
        <v>2002</v>
      </c>
      <c r="Z54" s="861">
        <v>-0.1</v>
      </c>
      <c r="AA54" s="861">
        <v>0</v>
      </c>
      <c r="AB54" s="861">
        <v>0.1</v>
      </c>
      <c r="AC54" s="861">
        <v>0.2</v>
      </c>
      <c r="AD54" s="861">
        <v>0.4</v>
      </c>
      <c r="AE54" s="862">
        <v>0.7</v>
      </c>
      <c r="AF54" s="862">
        <v>0.8</v>
      </c>
      <c r="AG54" s="862">
        <v>0.9</v>
      </c>
      <c r="AH54" s="862">
        <v>1</v>
      </c>
      <c r="AI54" s="862">
        <v>1.2</v>
      </c>
      <c r="AJ54" s="862">
        <v>1.3</v>
      </c>
      <c r="AK54" s="862">
        <v>1.1000000000000001</v>
      </c>
    </row>
    <row r="55" spans="25:37">
      <c r="Y55" s="859">
        <v>2003</v>
      </c>
      <c r="Z55" s="862">
        <v>0.9</v>
      </c>
      <c r="AA55" s="862">
        <v>0.6</v>
      </c>
      <c r="AB55" s="861">
        <v>0.4</v>
      </c>
      <c r="AC55" s="861">
        <v>0</v>
      </c>
      <c r="AD55" s="861">
        <v>-0.3</v>
      </c>
      <c r="AE55" s="861">
        <v>-0.2</v>
      </c>
      <c r="AF55" s="861">
        <v>0.1</v>
      </c>
      <c r="AG55" s="861">
        <v>0.2</v>
      </c>
      <c r="AH55" s="861">
        <v>0.3</v>
      </c>
      <c r="AI55" s="861">
        <v>0.3</v>
      </c>
      <c r="AJ55" s="861">
        <v>0.4</v>
      </c>
      <c r="AK55" s="861">
        <v>0.4</v>
      </c>
    </row>
    <row r="56" spans="25:37">
      <c r="Y56" s="859">
        <v>2004</v>
      </c>
      <c r="Z56" s="861">
        <v>0.4</v>
      </c>
      <c r="AA56" s="861">
        <v>0.3</v>
      </c>
      <c r="AB56" s="861">
        <v>0.2</v>
      </c>
      <c r="AC56" s="861">
        <v>0.2</v>
      </c>
      <c r="AD56" s="861">
        <v>0.2</v>
      </c>
      <c r="AE56" s="861">
        <v>0.3</v>
      </c>
      <c r="AF56" s="862">
        <v>0.5</v>
      </c>
      <c r="AG56" s="862">
        <v>0.6</v>
      </c>
      <c r="AH56" s="862">
        <v>0.7</v>
      </c>
      <c r="AI56" s="862">
        <v>0.7</v>
      </c>
      <c r="AJ56" s="862">
        <v>0.7</v>
      </c>
      <c r="AK56" s="862">
        <v>0.7</v>
      </c>
    </row>
    <row r="57" spans="25:37">
      <c r="Y57" s="859">
        <v>2005</v>
      </c>
      <c r="Z57" s="862">
        <v>0.6</v>
      </c>
      <c r="AA57" s="862">
        <v>0.6</v>
      </c>
      <c r="AB57" s="861">
        <v>0.4</v>
      </c>
      <c r="AC57" s="861">
        <v>0.4</v>
      </c>
      <c r="AD57" s="861">
        <v>0.3</v>
      </c>
      <c r="AE57" s="861">
        <v>0.1</v>
      </c>
      <c r="AF57" s="861">
        <v>-0.1</v>
      </c>
      <c r="AG57" s="861">
        <v>-0.1</v>
      </c>
      <c r="AH57" s="861">
        <v>-0.1</v>
      </c>
      <c r="AI57" s="861">
        <v>-0.3</v>
      </c>
      <c r="AJ57" s="860">
        <v>-0.6</v>
      </c>
      <c r="AK57" s="860">
        <v>-0.8</v>
      </c>
    </row>
    <row r="58" spans="25:37">
      <c r="Y58" s="859">
        <v>2006</v>
      </c>
      <c r="Z58" s="860">
        <v>-0.8</v>
      </c>
      <c r="AA58" s="860">
        <v>-0.7</v>
      </c>
      <c r="AB58" s="860">
        <v>-0.5</v>
      </c>
      <c r="AC58" s="861">
        <v>-0.3</v>
      </c>
      <c r="AD58" s="861">
        <v>0</v>
      </c>
      <c r="AE58" s="861">
        <v>0</v>
      </c>
      <c r="AF58" s="861">
        <v>0.1</v>
      </c>
      <c r="AG58" s="861">
        <v>0.3</v>
      </c>
      <c r="AH58" s="862">
        <v>0.5</v>
      </c>
      <c r="AI58" s="862">
        <v>0.7</v>
      </c>
      <c r="AJ58" s="862">
        <v>0.9</v>
      </c>
      <c r="AK58" s="862">
        <v>0.9</v>
      </c>
    </row>
    <row r="59" spans="25:37">
      <c r="Y59" s="859">
        <v>2007</v>
      </c>
      <c r="Z59" s="862">
        <v>0.7</v>
      </c>
      <c r="AA59" s="861">
        <v>0.3</v>
      </c>
      <c r="AB59" s="861">
        <v>0</v>
      </c>
      <c r="AC59" s="861">
        <v>-0.2</v>
      </c>
      <c r="AD59" s="861">
        <v>-0.3</v>
      </c>
      <c r="AE59" s="861">
        <v>-0.4</v>
      </c>
      <c r="AF59" s="860">
        <v>-0.5</v>
      </c>
      <c r="AG59" s="860">
        <v>-0.8</v>
      </c>
      <c r="AH59" s="860">
        <v>-1.1000000000000001</v>
      </c>
      <c r="AI59" s="860">
        <v>-1.4</v>
      </c>
      <c r="AJ59" s="860">
        <v>-1.5</v>
      </c>
      <c r="AK59" s="860">
        <v>-1.6</v>
      </c>
    </row>
    <row r="60" spans="25:37">
      <c r="Y60" s="859">
        <v>2008</v>
      </c>
      <c r="Z60" s="860">
        <v>-1.6</v>
      </c>
      <c r="AA60" s="860">
        <v>-1.4</v>
      </c>
      <c r="AB60" s="860">
        <v>-1.2</v>
      </c>
      <c r="AC60" s="860">
        <v>-0.9</v>
      </c>
      <c r="AD60" s="860">
        <v>-0.8</v>
      </c>
      <c r="AE60" s="860">
        <v>-0.5</v>
      </c>
      <c r="AF60" s="861">
        <v>-0.4</v>
      </c>
      <c r="AG60" s="861">
        <v>-0.3</v>
      </c>
      <c r="AH60" s="861">
        <v>-0.3</v>
      </c>
      <c r="AI60" s="861">
        <v>-0.4</v>
      </c>
      <c r="AJ60" s="860">
        <v>-0.6</v>
      </c>
      <c r="AK60" s="860">
        <v>-0.7</v>
      </c>
    </row>
    <row r="61" spans="25:37">
      <c r="Y61" s="859">
        <v>2009</v>
      </c>
      <c r="Z61" s="860">
        <v>-0.8</v>
      </c>
      <c r="AA61" s="860">
        <v>-0.7</v>
      </c>
      <c r="AB61" s="860">
        <v>-0.5</v>
      </c>
      <c r="AC61" s="861">
        <v>-0.2</v>
      </c>
      <c r="AD61" s="861">
        <v>0.1</v>
      </c>
      <c r="AE61" s="861">
        <v>0.4</v>
      </c>
      <c r="AF61" s="862">
        <v>0.5</v>
      </c>
      <c r="AG61" s="862">
        <v>0.5</v>
      </c>
      <c r="AH61" s="862">
        <v>0.7</v>
      </c>
      <c r="AI61" s="862">
        <v>1</v>
      </c>
      <c r="AJ61" s="862">
        <v>1.3</v>
      </c>
      <c r="AK61" s="862">
        <v>1.6</v>
      </c>
    </row>
    <row r="62" spans="25:37">
      <c r="Y62" s="859">
        <v>2010</v>
      </c>
      <c r="Z62" s="862">
        <v>1.5</v>
      </c>
      <c r="AA62" s="862">
        <v>1.3</v>
      </c>
      <c r="AB62" s="862">
        <v>0.9</v>
      </c>
      <c r="AC62" s="861">
        <v>0.4</v>
      </c>
      <c r="AD62" s="861">
        <v>-0.1</v>
      </c>
      <c r="AE62" s="860">
        <v>-0.6</v>
      </c>
      <c r="AF62" s="860">
        <v>-1</v>
      </c>
      <c r="AG62" s="860">
        <v>-1.4</v>
      </c>
      <c r="AH62" s="860">
        <v>-1.6</v>
      </c>
      <c r="AI62" s="860">
        <v>-1.7</v>
      </c>
      <c r="AJ62" s="860">
        <v>-1.7</v>
      </c>
      <c r="AK62" s="860">
        <v>-1.6</v>
      </c>
    </row>
    <row r="63" spans="25:37">
      <c r="Y63" s="859">
        <v>2011</v>
      </c>
      <c r="Z63" s="860">
        <v>-1.4</v>
      </c>
      <c r="AA63" s="860">
        <v>-1.1000000000000001</v>
      </c>
      <c r="AB63" s="860">
        <v>-0.8</v>
      </c>
      <c r="AC63" s="860">
        <v>-0.6</v>
      </c>
      <c r="AD63" s="860">
        <v>-0.5</v>
      </c>
      <c r="AE63" s="861">
        <v>-0.4</v>
      </c>
      <c r="AF63" s="860">
        <v>-0.5</v>
      </c>
      <c r="AG63" s="860">
        <v>-0.7</v>
      </c>
      <c r="AH63" s="860">
        <v>-0.9</v>
      </c>
      <c r="AI63" s="860">
        <v>-1.1000000000000001</v>
      </c>
      <c r="AJ63" s="860">
        <v>-1.1000000000000001</v>
      </c>
      <c r="AK63" s="860">
        <v>-1</v>
      </c>
    </row>
    <row r="64" spans="25:37">
      <c r="Y64" s="859">
        <v>2012</v>
      </c>
      <c r="Z64" s="860">
        <v>-0.8</v>
      </c>
      <c r="AA64" s="860">
        <v>-0.6</v>
      </c>
      <c r="AB64" s="860">
        <v>-0.5</v>
      </c>
      <c r="AC64" s="861">
        <v>-0.4</v>
      </c>
      <c r="AD64" s="861">
        <v>-0.2</v>
      </c>
      <c r="AE64" s="861">
        <v>0.1</v>
      </c>
      <c r="AF64" s="861">
        <v>0.3</v>
      </c>
      <c r="AG64" s="861">
        <v>0.3</v>
      </c>
      <c r="AH64" s="861">
        <v>0.3</v>
      </c>
      <c r="AI64" s="861">
        <v>0.2</v>
      </c>
      <c r="AJ64" s="861">
        <v>0</v>
      </c>
      <c r="AK64" s="861">
        <v>-0.2</v>
      </c>
    </row>
    <row r="65" spans="25:37">
      <c r="Y65" s="859">
        <v>2013</v>
      </c>
      <c r="Z65" s="861">
        <v>-0.4</v>
      </c>
      <c r="AA65" s="861">
        <v>-0.3</v>
      </c>
      <c r="AB65" s="861">
        <v>-0.2</v>
      </c>
      <c r="AC65" s="861">
        <v>-0.2</v>
      </c>
      <c r="AD65" s="861">
        <v>-0.3</v>
      </c>
      <c r="AE65" s="861">
        <v>-0.3</v>
      </c>
      <c r="AF65" s="861">
        <v>-0.4</v>
      </c>
      <c r="AG65" s="861">
        <v>-0.4</v>
      </c>
      <c r="AH65" s="861">
        <v>-0.3</v>
      </c>
      <c r="AI65" s="861">
        <v>-0.2</v>
      </c>
      <c r="AJ65" s="861">
        <v>-0.2</v>
      </c>
      <c r="AK65" s="861">
        <v>-0.3</v>
      </c>
    </row>
    <row r="66" spans="25:37">
      <c r="Y66" s="859">
        <v>2014</v>
      </c>
      <c r="Z66" s="861">
        <v>-0.4</v>
      </c>
      <c r="AA66" s="861">
        <v>-0.4</v>
      </c>
      <c r="AB66" s="861">
        <v>-0.2</v>
      </c>
      <c r="AC66" s="861">
        <v>0.1</v>
      </c>
      <c r="AD66" s="861">
        <v>0.3</v>
      </c>
      <c r="AE66" s="861">
        <v>0.2</v>
      </c>
      <c r="AF66" s="861">
        <v>0.1</v>
      </c>
      <c r="AG66" s="861">
        <v>0</v>
      </c>
      <c r="AH66" s="861">
        <v>0.2</v>
      </c>
      <c r="AI66" s="861">
        <v>0.4</v>
      </c>
      <c r="AJ66" s="862">
        <v>0.6</v>
      </c>
      <c r="AK66" s="862">
        <v>0.7</v>
      </c>
    </row>
    <row r="67" spans="25:37">
      <c r="Y67" s="859">
        <v>2015</v>
      </c>
      <c r="Z67" s="862">
        <v>0.6</v>
      </c>
      <c r="AA67" s="862">
        <v>0.6</v>
      </c>
      <c r="AB67" s="862">
        <v>0.6</v>
      </c>
      <c r="AC67" s="862">
        <v>0.8</v>
      </c>
      <c r="AD67" s="862">
        <v>1</v>
      </c>
      <c r="AE67" s="862">
        <v>1.2</v>
      </c>
      <c r="AF67" s="862">
        <v>1.5</v>
      </c>
      <c r="AG67" s="862">
        <v>1.8</v>
      </c>
      <c r="AH67" s="862">
        <v>2.1</v>
      </c>
      <c r="AI67" s="862">
        <v>2.4</v>
      </c>
      <c r="AJ67" s="862">
        <v>2.5</v>
      </c>
      <c r="AK67" s="862">
        <v>2.6</v>
      </c>
    </row>
    <row r="68" spans="25:37">
      <c r="Y68" s="859">
        <v>2016</v>
      </c>
      <c r="Z68" s="862">
        <v>2.5</v>
      </c>
      <c r="AA68" s="862">
        <v>2.2000000000000002</v>
      </c>
      <c r="AB68" s="862">
        <v>1.7</v>
      </c>
      <c r="AC68" s="862">
        <v>1</v>
      </c>
      <c r="AD68" s="862">
        <v>0.5</v>
      </c>
      <c r="AE68" s="861">
        <v>0</v>
      </c>
      <c r="AF68" s="861">
        <v>-0.3</v>
      </c>
      <c r="AG68" s="860">
        <v>-0.6</v>
      </c>
      <c r="AH68" s="860">
        <v>-0.7</v>
      </c>
      <c r="AI68" s="860">
        <v>-0.7</v>
      </c>
      <c r="AJ68" s="860">
        <v>-0.7</v>
      </c>
      <c r="AK68" s="860">
        <v>-0.6</v>
      </c>
    </row>
    <row r="69" spans="25:37">
      <c r="Y69" s="859">
        <v>2017</v>
      </c>
      <c r="Z69" s="861">
        <v>-0.3</v>
      </c>
      <c r="AA69" s="861">
        <v>-0.1</v>
      </c>
      <c r="AB69" s="861">
        <v>0.1</v>
      </c>
      <c r="AC69" s="861">
        <v>0.3</v>
      </c>
      <c r="AD69" s="861">
        <v>0.4</v>
      </c>
      <c r="AE69" s="861">
        <v>0.4</v>
      </c>
      <c r="AF69" s="861">
        <v>0.2</v>
      </c>
      <c r="AG69" s="861">
        <v>-0.1</v>
      </c>
      <c r="AH69" s="861">
        <v>-0.4</v>
      </c>
      <c r="AI69" s="860">
        <v>-0.7</v>
      </c>
      <c r="AJ69" s="860">
        <v>-0.9</v>
      </c>
      <c r="AK69" s="860">
        <v>-1</v>
      </c>
    </row>
    <row r="70" spans="25:37">
      <c r="Y70" s="859">
        <v>2018</v>
      </c>
      <c r="Z70" s="898">
        <v>-0.9</v>
      </c>
      <c r="AA70" s="898">
        <v>-0.8</v>
      </c>
      <c r="AB70" s="898">
        <v>-0.6</v>
      </c>
      <c r="AC70" s="899">
        <v>-0.4</v>
      </c>
      <c r="AD70" s="899">
        <v>-0.1</v>
      </c>
      <c r="AE70" s="899">
        <v>0.1</v>
      </c>
      <c r="AF70" s="899">
        <v>0.1</v>
      </c>
      <c r="AG70" s="899">
        <v>0.2</v>
      </c>
      <c r="AH70" s="899">
        <v>0.4</v>
      </c>
      <c r="AI70" s="900">
        <v>0.7</v>
      </c>
      <c r="AJ70" s="900">
        <v>0.9</v>
      </c>
      <c r="AK70" s="900">
        <v>0.8</v>
      </c>
    </row>
    <row r="71" spans="25:37">
      <c r="Y71" s="897">
        <f>+Y70+1</f>
        <v>2019</v>
      </c>
      <c r="Z71" s="901">
        <v>0.8</v>
      </c>
      <c r="AA71" s="901">
        <v>0.8</v>
      </c>
      <c r="AB71" s="901">
        <v>0.8</v>
      </c>
      <c r="AC71" s="901">
        <v>0.7</v>
      </c>
      <c r="AD71" s="901">
        <v>0.6</v>
      </c>
      <c r="AE71" s="901">
        <v>0.5</v>
      </c>
      <c r="AF71" s="902">
        <v>0.3</v>
      </c>
      <c r="AG71" s="902">
        <v>0.1</v>
      </c>
      <c r="AH71" s="902">
        <v>0.1</v>
      </c>
      <c r="AI71" s="902">
        <v>0.3</v>
      </c>
      <c r="AJ71" s="901">
        <v>0.5</v>
      </c>
      <c r="AK71" s="901">
        <v>0.5</v>
      </c>
    </row>
    <row r="72" spans="25:37">
      <c r="Y72" s="897">
        <f t="shared" ref="Y72:Y88" si="0">+Y71+1</f>
        <v>2020</v>
      </c>
      <c r="Z72" s="901">
        <v>0.5</v>
      </c>
      <c r="AA72" s="901">
        <v>0.6</v>
      </c>
      <c r="AB72" s="901">
        <v>0.5</v>
      </c>
      <c r="AC72" s="861">
        <v>0.3</v>
      </c>
      <c r="AD72" s="861">
        <v>0</v>
      </c>
      <c r="AE72" s="861">
        <v>-0.2</v>
      </c>
      <c r="AF72" s="861">
        <v>-0.4</v>
      </c>
      <c r="AG72" s="860">
        <v>-0.6</v>
      </c>
      <c r="AH72" s="860">
        <v>-1</v>
      </c>
      <c r="AI72" s="860">
        <v>-1.2</v>
      </c>
      <c r="AJ72" s="860">
        <v>-1.3</v>
      </c>
      <c r="AK72" s="860">
        <v>-1.2</v>
      </c>
    </row>
    <row r="73" spans="25:37">
      <c r="Y73" s="897">
        <f t="shared" si="0"/>
        <v>2021</v>
      </c>
      <c r="Z73" s="860">
        <v>-1</v>
      </c>
      <c r="AA73" s="860">
        <v>-0.9</v>
      </c>
      <c r="AB73" s="860">
        <v>-0.8</v>
      </c>
      <c r="AC73" s="860">
        <v>-0.7</v>
      </c>
      <c r="AD73" s="860">
        <v>-0.5</v>
      </c>
      <c r="AE73" s="861">
        <v>-0.4</v>
      </c>
      <c r="AF73" s="861">
        <v>-0.4</v>
      </c>
      <c r="AG73" s="860">
        <v>-0.5</v>
      </c>
      <c r="AH73" s="860">
        <v>-0.7</v>
      </c>
      <c r="AI73" s="860">
        <v>-0.8</v>
      </c>
      <c r="AJ73" s="860">
        <v>-1</v>
      </c>
      <c r="AK73" s="860">
        <v>-1</v>
      </c>
    </row>
    <row r="74" spans="25:37">
      <c r="Y74" s="897">
        <f t="shared" si="0"/>
        <v>2022</v>
      </c>
      <c r="Z74" s="860">
        <v>-1</v>
      </c>
      <c r="AA74" s="860">
        <v>-0.9</v>
      </c>
      <c r="AB74" s="860">
        <v>-1</v>
      </c>
      <c r="AC74" s="860">
        <v>-1.1000000000000001</v>
      </c>
      <c r="AD74" s="860">
        <v>-1</v>
      </c>
      <c r="AE74" s="860">
        <v>-0.9</v>
      </c>
      <c r="AF74" s="860">
        <v>-0.8</v>
      </c>
      <c r="AG74" s="860">
        <v>-0.9</v>
      </c>
      <c r="AH74" s="860">
        <v>-1</v>
      </c>
      <c r="AI74" s="860">
        <v>-1</v>
      </c>
      <c r="AJ74" s="903"/>
      <c r="AK74" s="903"/>
    </row>
    <row r="75" spans="25:37">
      <c r="Y75" s="897">
        <f t="shared" si="0"/>
        <v>2023</v>
      </c>
      <c r="Z75" s="903"/>
      <c r="AA75" s="903"/>
      <c r="AB75" s="903"/>
      <c r="AC75" s="903"/>
      <c r="AD75" s="903"/>
      <c r="AE75" s="903"/>
      <c r="AF75" s="903"/>
      <c r="AG75" s="903"/>
      <c r="AH75" s="903"/>
      <c r="AI75" s="903"/>
      <c r="AJ75" s="903"/>
      <c r="AK75" s="903"/>
    </row>
    <row r="76" spans="25:37">
      <c r="Y76" s="897">
        <f t="shared" si="0"/>
        <v>2024</v>
      </c>
      <c r="Z76" s="903"/>
      <c r="AA76" s="903"/>
      <c r="AB76" s="903"/>
      <c r="AC76" s="903"/>
      <c r="AD76" s="903"/>
      <c r="AE76" s="903"/>
      <c r="AF76" s="903"/>
      <c r="AG76" s="903"/>
      <c r="AH76" s="903"/>
      <c r="AI76" s="903"/>
      <c r="AJ76" s="903"/>
      <c r="AK76" s="903"/>
    </row>
    <row r="77" spans="25:37">
      <c r="Y77" s="897">
        <f t="shared" si="0"/>
        <v>2025</v>
      </c>
      <c r="Z77" s="903"/>
      <c r="AA77" s="903"/>
      <c r="AB77" s="903"/>
      <c r="AC77" s="903"/>
      <c r="AD77" s="903"/>
      <c r="AE77" s="903"/>
      <c r="AF77" s="903"/>
      <c r="AG77" s="903"/>
      <c r="AH77" s="903"/>
      <c r="AI77" s="903"/>
      <c r="AJ77" s="903"/>
      <c r="AK77" s="903"/>
    </row>
    <row r="78" spans="25:37">
      <c r="Y78" s="897">
        <f t="shared" si="0"/>
        <v>2026</v>
      </c>
      <c r="Z78" s="903"/>
      <c r="AA78" s="903"/>
      <c r="AB78" s="903"/>
      <c r="AC78" s="903"/>
      <c r="AD78" s="903"/>
      <c r="AE78" s="903"/>
      <c r="AF78" s="903"/>
      <c r="AG78" s="903"/>
      <c r="AH78" s="903"/>
      <c r="AI78" s="903"/>
      <c r="AJ78" s="903"/>
      <c r="AK78" s="903"/>
    </row>
    <row r="79" spans="25:37">
      <c r="Y79" s="897">
        <f t="shared" si="0"/>
        <v>2027</v>
      </c>
      <c r="Z79" s="903"/>
      <c r="AA79" s="903"/>
      <c r="AB79" s="903"/>
      <c r="AC79" s="903"/>
      <c r="AD79" s="903"/>
      <c r="AE79" s="903"/>
      <c r="AF79" s="903"/>
      <c r="AG79" s="903"/>
      <c r="AH79" s="903"/>
      <c r="AI79" s="903"/>
      <c r="AJ79" s="903"/>
      <c r="AK79" s="903"/>
    </row>
    <row r="80" spans="25:37">
      <c r="Y80" s="897">
        <f t="shared" si="0"/>
        <v>2028</v>
      </c>
      <c r="Z80" s="903"/>
      <c r="AA80" s="903"/>
      <c r="AB80" s="903"/>
      <c r="AC80" s="903"/>
      <c r="AD80" s="903"/>
      <c r="AE80" s="903"/>
      <c r="AF80" s="903"/>
      <c r="AG80" s="903"/>
      <c r="AH80" s="903"/>
      <c r="AI80" s="903"/>
      <c r="AJ80" s="903"/>
      <c r="AK80" s="903"/>
    </row>
    <row r="81" spans="25:37">
      <c r="Y81" s="897">
        <f t="shared" si="0"/>
        <v>2029</v>
      </c>
      <c r="Z81" s="903"/>
      <c r="AA81" s="903"/>
      <c r="AB81" s="903"/>
      <c r="AC81" s="903"/>
      <c r="AD81" s="903"/>
      <c r="AE81" s="903"/>
      <c r="AF81" s="903"/>
      <c r="AG81" s="903"/>
      <c r="AH81" s="903"/>
      <c r="AI81" s="903"/>
      <c r="AJ81" s="903"/>
      <c r="AK81" s="903"/>
    </row>
    <row r="82" spans="25:37">
      <c r="Y82" s="897">
        <f t="shared" si="0"/>
        <v>2030</v>
      </c>
      <c r="Z82" s="903"/>
      <c r="AA82" s="903"/>
      <c r="AB82" s="903"/>
      <c r="AC82" s="903"/>
      <c r="AD82" s="903"/>
      <c r="AE82" s="903"/>
      <c r="AF82" s="903"/>
      <c r="AG82" s="903"/>
      <c r="AH82" s="903"/>
      <c r="AI82" s="903"/>
      <c r="AJ82" s="903"/>
      <c r="AK82" s="903"/>
    </row>
    <row r="83" spans="25:37">
      <c r="Y83" s="897">
        <f t="shared" si="0"/>
        <v>2031</v>
      </c>
      <c r="Z83" s="903"/>
      <c r="AA83" s="903"/>
      <c r="AB83" s="903"/>
      <c r="AC83" s="903"/>
      <c r="AD83" s="903"/>
      <c r="AE83" s="903"/>
      <c r="AF83" s="903"/>
      <c r="AG83" s="903"/>
      <c r="AH83" s="903"/>
      <c r="AI83" s="903"/>
      <c r="AJ83" s="903"/>
      <c r="AK83" s="903"/>
    </row>
    <row r="84" spans="25:37">
      <c r="Y84" s="897">
        <f t="shared" si="0"/>
        <v>2032</v>
      </c>
      <c r="Z84" s="903"/>
      <c r="AA84" s="903"/>
      <c r="AB84" s="903"/>
      <c r="AC84" s="903"/>
      <c r="AD84" s="903"/>
      <c r="AE84" s="903"/>
      <c r="AF84" s="903"/>
      <c r="AG84" s="903"/>
      <c r="AH84" s="903"/>
      <c r="AI84" s="903"/>
      <c r="AJ84" s="903"/>
      <c r="AK84" s="903"/>
    </row>
    <row r="85" spans="25:37">
      <c r="Y85" s="897">
        <f t="shared" si="0"/>
        <v>2033</v>
      </c>
      <c r="Z85" s="903"/>
      <c r="AA85" s="903"/>
      <c r="AB85" s="903"/>
      <c r="AC85" s="903"/>
      <c r="AD85" s="903"/>
      <c r="AE85" s="903"/>
      <c r="AF85" s="903"/>
      <c r="AG85" s="903"/>
      <c r="AH85" s="903"/>
      <c r="AI85" s="903"/>
      <c r="AJ85" s="903"/>
      <c r="AK85" s="903"/>
    </row>
    <row r="86" spans="25:37">
      <c r="Y86" s="897">
        <f t="shared" si="0"/>
        <v>2034</v>
      </c>
      <c r="Z86" s="903"/>
      <c r="AA86" s="903"/>
      <c r="AB86" s="903"/>
      <c r="AC86" s="903"/>
      <c r="AD86" s="903"/>
      <c r="AE86" s="903"/>
      <c r="AF86" s="903"/>
      <c r="AG86" s="903"/>
      <c r="AH86" s="903"/>
      <c r="AI86" s="903"/>
      <c r="AJ86" s="903"/>
      <c r="AK86" s="903"/>
    </row>
    <row r="87" spans="25:37">
      <c r="Y87" s="897">
        <f t="shared" si="0"/>
        <v>2035</v>
      </c>
      <c r="Z87" s="903"/>
      <c r="AA87" s="903"/>
      <c r="AB87" s="903"/>
      <c r="AC87" s="903"/>
      <c r="AD87" s="903"/>
      <c r="AE87" s="903"/>
      <c r="AF87" s="903"/>
      <c r="AG87" s="903"/>
      <c r="AH87" s="903"/>
      <c r="AI87" s="903"/>
      <c r="AJ87" s="903"/>
      <c r="AK87" s="903"/>
    </row>
    <row r="88" spans="25:37">
      <c r="Y88" s="897">
        <f t="shared" si="0"/>
        <v>2036</v>
      </c>
      <c r="Z88" s="903"/>
      <c r="AA88" s="903"/>
      <c r="AB88" s="903"/>
      <c r="AC88" s="903"/>
      <c r="AD88" s="903"/>
      <c r="AE88" s="903"/>
      <c r="AF88" s="903"/>
      <c r="AG88" s="903"/>
      <c r="AH88" s="903"/>
      <c r="AI88" s="903"/>
      <c r="AJ88" s="903"/>
      <c r="AK88" s="903"/>
    </row>
  </sheetData>
  <mergeCells count="3">
    <mergeCell ref="A1:O1"/>
    <mergeCell ref="B24:O24"/>
    <mergeCell ref="B26:O26"/>
  </mergeCells>
  <hyperlinks>
    <hyperlink ref="B26" r:id="rId1"/>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MB155"/>
  <sheetViews>
    <sheetView zoomScaleNormal="100" workbookViewId="0">
      <pane xSplit="5" ySplit="5" topLeftCell="DE60" activePane="bottomRight" state="frozen"/>
      <selection pane="topRight" activeCell="F1" sqref="F1"/>
      <selection pane="bottomLeft" activeCell="A5" sqref="A5"/>
      <selection pane="bottomRight" activeCell="DE77" sqref="DE77"/>
    </sheetView>
  </sheetViews>
  <sheetFormatPr defaultColWidth="0" defaultRowHeight="8.25"/>
  <cols>
    <col min="1" max="2" width="5.77734375" style="545" customWidth="1"/>
    <col min="3" max="3" width="1.77734375" style="545" customWidth="1"/>
    <col min="4" max="4" width="5.77734375" style="545" customWidth="1"/>
    <col min="5" max="5" width="1.77734375" style="545" customWidth="1"/>
    <col min="6" max="374" width="1.21875" style="545" customWidth="1"/>
    <col min="375" max="1554" width="0" style="545" hidden="1" customWidth="1"/>
    <col min="1555" max="13184" width="0" style="545" hidden="1"/>
    <col min="13185" max="16384" width="1.21875" style="545" hidden="1"/>
  </cols>
  <sheetData>
    <row r="2" spans="1:371" s="550" customFormat="1" ht="21.75" customHeight="1">
      <c r="G2" s="550">
        <f t="shared" ref="G2:Z2" si="0">+H2-1</f>
        <v>40179</v>
      </c>
      <c r="H2" s="550">
        <f t="shared" si="0"/>
        <v>40180</v>
      </c>
      <c r="I2" s="550">
        <f t="shared" si="0"/>
        <v>40181</v>
      </c>
      <c r="J2" s="550">
        <f t="shared" si="0"/>
        <v>40182</v>
      </c>
      <c r="K2" s="550">
        <f t="shared" si="0"/>
        <v>40183</v>
      </c>
      <c r="L2" s="550">
        <f t="shared" si="0"/>
        <v>40184</v>
      </c>
      <c r="M2" s="550">
        <f t="shared" si="0"/>
        <v>40185</v>
      </c>
      <c r="N2" s="550">
        <f t="shared" si="0"/>
        <v>40186</v>
      </c>
      <c r="O2" s="550">
        <f t="shared" si="0"/>
        <v>40187</v>
      </c>
      <c r="P2" s="550">
        <f t="shared" si="0"/>
        <v>40188</v>
      </c>
      <c r="Q2" s="550">
        <f t="shared" si="0"/>
        <v>40189</v>
      </c>
      <c r="R2" s="550">
        <f t="shared" si="0"/>
        <v>40190</v>
      </c>
      <c r="S2" s="550">
        <f t="shared" si="0"/>
        <v>40191</v>
      </c>
      <c r="T2" s="550">
        <f t="shared" si="0"/>
        <v>40192</v>
      </c>
      <c r="U2" s="550">
        <f t="shared" si="0"/>
        <v>40193</v>
      </c>
      <c r="V2" s="550">
        <f t="shared" si="0"/>
        <v>40194</v>
      </c>
      <c r="W2" s="550">
        <f t="shared" si="0"/>
        <v>40195</v>
      </c>
      <c r="X2" s="550">
        <f t="shared" si="0"/>
        <v>40196</v>
      </c>
      <c r="Y2" s="550">
        <f t="shared" si="0"/>
        <v>40197</v>
      </c>
      <c r="Z2" s="550">
        <f t="shared" si="0"/>
        <v>40198</v>
      </c>
      <c r="AA2" s="550">
        <f t="shared" ref="AA2:BF2" si="1">+AB2-1</f>
        <v>40199</v>
      </c>
      <c r="AB2" s="550">
        <f t="shared" si="1"/>
        <v>40200</v>
      </c>
      <c r="AC2" s="550">
        <f t="shared" si="1"/>
        <v>40201</v>
      </c>
      <c r="AD2" s="550">
        <f t="shared" si="1"/>
        <v>40202</v>
      </c>
      <c r="AE2" s="550">
        <f t="shared" si="1"/>
        <v>40203</v>
      </c>
      <c r="AF2" s="550">
        <f t="shared" si="1"/>
        <v>40204</v>
      </c>
      <c r="AG2" s="550">
        <f t="shared" si="1"/>
        <v>40205</v>
      </c>
      <c r="AH2" s="550">
        <f t="shared" si="1"/>
        <v>40206</v>
      </c>
      <c r="AI2" s="550">
        <f t="shared" si="1"/>
        <v>40207</v>
      </c>
      <c r="AJ2" s="550">
        <f t="shared" si="1"/>
        <v>40208</v>
      </c>
      <c r="AK2" s="550">
        <f t="shared" si="1"/>
        <v>40209</v>
      </c>
      <c r="AL2" s="550">
        <f t="shared" si="1"/>
        <v>40210</v>
      </c>
      <c r="AM2" s="550">
        <f t="shared" si="1"/>
        <v>40211</v>
      </c>
      <c r="AN2" s="550">
        <f t="shared" si="1"/>
        <v>40212</v>
      </c>
      <c r="AO2" s="550">
        <f t="shared" si="1"/>
        <v>40213</v>
      </c>
      <c r="AP2" s="550">
        <f t="shared" si="1"/>
        <v>40214</v>
      </c>
      <c r="AQ2" s="550">
        <f t="shared" si="1"/>
        <v>40215</v>
      </c>
      <c r="AR2" s="550">
        <f t="shared" si="1"/>
        <v>40216</v>
      </c>
      <c r="AS2" s="550">
        <f t="shared" si="1"/>
        <v>40217</v>
      </c>
      <c r="AT2" s="550">
        <f t="shared" si="1"/>
        <v>40218</v>
      </c>
      <c r="AU2" s="550">
        <f t="shared" si="1"/>
        <v>40219</v>
      </c>
      <c r="AV2" s="550">
        <f t="shared" si="1"/>
        <v>40220</v>
      </c>
      <c r="AW2" s="550">
        <f t="shared" si="1"/>
        <v>40221</v>
      </c>
      <c r="AX2" s="550">
        <f t="shared" si="1"/>
        <v>40222</v>
      </c>
      <c r="AY2" s="550">
        <f t="shared" si="1"/>
        <v>40223</v>
      </c>
      <c r="AZ2" s="550">
        <f t="shared" si="1"/>
        <v>40224</v>
      </c>
      <c r="BA2" s="550">
        <f t="shared" si="1"/>
        <v>40225</v>
      </c>
      <c r="BB2" s="550">
        <f t="shared" si="1"/>
        <v>40226</v>
      </c>
      <c r="BC2" s="550">
        <f t="shared" si="1"/>
        <v>40227</v>
      </c>
      <c r="BD2" s="550">
        <f t="shared" si="1"/>
        <v>40228</v>
      </c>
      <c r="BE2" s="550">
        <f t="shared" si="1"/>
        <v>40229</v>
      </c>
      <c r="BF2" s="550">
        <f t="shared" si="1"/>
        <v>40230</v>
      </c>
      <c r="BG2" s="550">
        <f>+BH2-1</f>
        <v>40231</v>
      </c>
      <c r="BH2" s="550">
        <v>40232</v>
      </c>
      <c r="BI2" s="550">
        <f>+BH2+1</f>
        <v>40233</v>
      </c>
      <c r="BJ2" s="550">
        <f t="shared" ref="BJ2:DU2" si="2">+BI2+1</f>
        <v>40234</v>
      </c>
      <c r="BK2" s="550">
        <f t="shared" si="2"/>
        <v>40235</v>
      </c>
      <c r="BL2" s="550">
        <f t="shared" si="2"/>
        <v>40236</v>
      </c>
      <c r="BM2" s="550">
        <f t="shared" si="2"/>
        <v>40237</v>
      </c>
      <c r="BN2" s="550">
        <f t="shared" si="2"/>
        <v>40238</v>
      </c>
      <c r="BO2" s="550">
        <f t="shared" si="2"/>
        <v>40239</v>
      </c>
      <c r="BP2" s="550">
        <f t="shared" si="2"/>
        <v>40240</v>
      </c>
      <c r="BQ2" s="550">
        <f t="shared" si="2"/>
        <v>40241</v>
      </c>
      <c r="BR2" s="550">
        <f t="shared" si="2"/>
        <v>40242</v>
      </c>
      <c r="BS2" s="550">
        <f t="shared" si="2"/>
        <v>40243</v>
      </c>
      <c r="BT2" s="550">
        <f t="shared" si="2"/>
        <v>40244</v>
      </c>
      <c r="BU2" s="550">
        <f t="shared" si="2"/>
        <v>40245</v>
      </c>
      <c r="BV2" s="550">
        <f t="shared" si="2"/>
        <v>40246</v>
      </c>
      <c r="BW2" s="550">
        <f t="shared" si="2"/>
        <v>40247</v>
      </c>
      <c r="BX2" s="550">
        <f t="shared" si="2"/>
        <v>40248</v>
      </c>
      <c r="BY2" s="550">
        <f t="shared" si="2"/>
        <v>40249</v>
      </c>
      <c r="BZ2" s="550">
        <f t="shared" si="2"/>
        <v>40250</v>
      </c>
      <c r="CA2" s="550">
        <f t="shared" si="2"/>
        <v>40251</v>
      </c>
      <c r="CB2" s="550">
        <f t="shared" si="2"/>
        <v>40252</v>
      </c>
      <c r="CC2" s="550">
        <f t="shared" si="2"/>
        <v>40253</v>
      </c>
      <c r="CD2" s="550">
        <f t="shared" si="2"/>
        <v>40254</v>
      </c>
      <c r="CE2" s="550">
        <f t="shared" si="2"/>
        <v>40255</v>
      </c>
      <c r="CF2" s="550">
        <f t="shared" si="2"/>
        <v>40256</v>
      </c>
      <c r="CG2" s="550">
        <f t="shared" si="2"/>
        <v>40257</v>
      </c>
      <c r="CH2" s="550">
        <f t="shared" si="2"/>
        <v>40258</v>
      </c>
      <c r="CI2" s="550">
        <f t="shared" si="2"/>
        <v>40259</v>
      </c>
      <c r="CJ2" s="550">
        <f t="shared" si="2"/>
        <v>40260</v>
      </c>
      <c r="CK2" s="550">
        <f t="shared" si="2"/>
        <v>40261</v>
      </c>
      <c r="CL2" s="550">
        <f t="shared" si="2"/>
        <v>40262</v>
      </c>
      <c r="CM2" s="550">
        <f t="shared" si="2"/>
        <v>40263</v>
      </c>
      <c r="CN2" s="550">
        <f t="shared" si="2"/>
        <v>40264</v>
      </c>
      <c r="CO2" s="550">
        <f t="shared" si="2"/>
        <v>40265</v>
      </c>
      <c r="CP2" s="550">
        <f t="shared" si="2"/>
        <v>40266</v>
      </c>
      <c r="CQ2" s="550">
        <f t="shared" si="2"/>
        <v>40267</v>
      </c>
      <c r="CR2" s="550">
        <f t="shared" si="2"/>
        <v>40268</v>
      </c>
      <c r="CS2" s="550">
        <f t="shared" si="2"/>
        <v>40269</v>
      </c>
      <c r="CT2" s="550">
        <f t="shared" si="2"/>
        <v>40270</v>
      </c>
      <c r="CU2" s="550">
        <f t="shared" si="2"/>
        <v>40271</v>
      </c>
      <c r="CV2" s="550">
        <f t="shared" si="2"/>
        <v>40272</v>
      </c>
      <c r="CW2" s="550">
        <f t="shared" si="2"/>
        <v>40273</v>
      </c>
      <c r="CX2" s="550">
        <f t="shared" si="2"/>
        <v>40274</v>
      </c>
      <c r="CY2" s="550">
        <f t="shared" si="2"/>
        <v>40275</v>
      </c>
      <c r="CZ2" s="550">
        <f t="shared" si="2"/>
        <v>40276</v>
      </c>
      <c r="DA2" s="550">
        <f t="shared" si="2"/>
        <v>40277</v>
      </c>
      <c r="DB2" s="550">
        <f t="shared" si="2"/>
        <v>40278</v>
      </c>
      <c r="DC2" s="550">
        <f t="shared" si="2"/>
        <v>40279</v>
      </c>
      <c r="DD2" s="550">
        <f t="shared" si="2"/>
        <v>40280</v>
      </c>
      <c r="DE2" s="550">
        <f t="shared" si="2"/>
        <v>40281</v>
      </c>
      <c r="DF2" s="550">
        <f t="shared" si="2"/>
        <v>40282</v>
      </c>
      <c r="DG2" s="550">
        <f t="shared" si="2"/>
        <v>40283</v>
      </c>
      <c r="DH2" s="550">
        <f t="shared" si="2"/>
        <v>40284</v>
      </c>
      <c r="DI2" s="550">
        <f t="shared" si="2"/>
        <v>40285</v>
      </c>
      <c r="DJ2" s="550">
        <f t="shared" si="2"/>
        <v>40286</v>
      </c>
      <c r="DK2" s="550">
        <f t="shared" si="2"/>
        <v>40287</v>
      </c>
      <c r="DL2" s="550">
        <f t="shared" si="2"/>
        <v>40288</v>
      </c>
      <c r="DM2" s="550">
        <f t="shared" si="2"/>
        <v>40289</v>
      </c>
      <c r="DN2" s="550">
        <f t="shared" si="2"/>
        <v>40290</v>
      </c>
      <c r="DO2" s="550">
        <f t="shared" si="2"/>
        <v>40291</v>
      </c>
      <c r="DP2" s="550">
        <f t="shared" si="2"/>
        <v>40292</v>
      </c>
      <c r="DQ2" s="550">
        <f t="shared" si="2"/>
        <v>40293</v>
      </c>
      <c r="DR2" s="550">
        <f t="shared" si="2"/>
        <v>40294</v>
      </c>
      <c r="DS2" s="550">
        <f t="shared" si="2"/>
        <v>40295</v>
      </c>
      <c r="DT2" s="550">
        <f t="shared" si="2"/>
        <v>40296</v>
      </c>
      <c r="DU2" s="550">
        <f t="shared" si="2"/>
        <v>40297</v>
      </c>
      <c r="DV2" s="550">
        <f t="shared" ref="DV2:GG2" si="3">+DU2+1</f>
        <v>40298</v>
      </c>
      <c r="DW2" s="550">
        <f t="shared" si="3"/>
        <v>40299</v>
      </c>
      <c r="DX2" s="550">
        <f t="shared" si="3"/>
        <v>40300</v>
      </c>
      <c r="DY2" s="550">
        <f t="shared" si="3"/>
        <v>40301</v>
      </c>
      <c r="DZ2" s="550">
        <f t="shared" si="3"/>
        <v>40302</v>
      </c>
      <c r="EA2" s="550">
        <f t="shared" si="3"/>
        <v>40303</v>
      </c>
      <c r="EB2" s="550">
        <f t="shared" si="3"/>
        <v>40304</v>
      </c>
      <c r="EC2" s="550">
        <f t="shared" si="3"/>
        <v>40305</v>
      </c>
      <c r="ED2" s="550">
        <f t="shared" si="3"/>
        <v>40306</v>
      </c>
      <c r="EE2" s="550">
        <f t="shared" si="3"/>
        <v>40307</v>
      </c>
      <c r="EF2" s="550">
        <f t="shared" si="3"/>
        <v>40308</v>
      </c>
      <c r="EG2" s="550">
        <f t="shared" si="3"/>
        <v>40309</v>
      </c>
      <c r="EH2" s="550">
        <f t="shared" si="3"/>
        <v>40310</v>
      </c>
      <c r="EI2" s="550">
        <f t="shared" si="3"/>
        <v>40311</v>
      </c>
      <c r="EJ2" s="550">
        <f t="shared" si="3"/>
        <v>40312</v>
      </c>
      <c r="EK2" s="550">
        <f t="shared" si="3"/>
        <v>40313</v>
      </c>
      <c r="EL2" s="550">
        <f t="shared" si="3"/>
        <v>40314</v>
      </c>
      <c r="EM2" s="550">
        <f t="shared" si="3"/>
        <v>40315</v>
      </c>
      <c r="EN2" s="550">
        <f t="shared" si="3"/>
        <v>40316</v>
      </c>
      <c r="EO2" s="550">
        <f t="shared" si="3"/>
        <v>40317</v>
      </c>
      <c r="EP2" s="550">
        <f t="shared" si="3"/>
        <v>40318</v>
      </c>
      <c r="EQ2" s="550">
        <f t="shared" si="3"/>
        <v>40319</v>
      </c>
      <c r="ER2" s="550">
        <f t="shared" si="3"/>
        <v>40320</v>
      </c>
      <c r="ES2" s="550">
        <f t="shared" si="3"/>
        <v>40321</v>
      </c>
      <c r="ET2" s="550">
        <f t="shared" si="3"/>
        <v>40322</v>
      </c>
      <c r="EU2" s="550">
        <f t="shared" si="3"/>
        <v>40323</v>
      </c>
      <c r="EV2" s="550">
        <f t="shared" si="3"/>
        <v>40324</v>
      </c>
      <c r="EW2" s="550">
        <f t="shared" si="3"/>
        <v>40325</v>
      </c>
      <c r="EX2" s="550">
        <f t="shared" si="3"/>
        <v>40326</v>
      </c>
      <c r="EY2" s="550">
        <f t="shared" si="3"/>
        <v>40327</v>
      </c>
      <c r="EZ2" s="550">
        <f t="shared" si="3"/>
        <v>40328</v>
      </c>
      <c r="FA2" s="550">
        <f t="shared" si="3"/>
        <v>40329</v>
      </c>
      <c r="FB2" s="550">
        <f t="shared" si="3"/>
        <v>40330</v>
      </c>
      <c r="FC2" s="550">
        <f t="shared" si="3"/>
        <v>40331</v>
      </c>
      <c r="FD2" s="550">
        <f t="shared" si="3"/>
        <v>40332</v>
      </c>
      <c r="FE2" s="550">
        <f t="shared" si="3"/>
        <v>40333</v>
      </c>
      <c r="FF2" s="550">
        <f t="shared" si="3"/>
        <v>40334</v>
      </c>
      <c r="FG2" s="550">
        <f t="shared" si="3"/>
        <v>40335</v>
      </c>
      <c r="FH2" s="550">
        <f t="shared" si="3"/>
        <v>40336</v>
      </c>
      <c r="FI2" s="550">
        <f t="shared" si="3"/>
        <v>40337</v>
      </c>
      <c r="FJ2" s="550">
        <f t="shared" si="3"/>
        <v>40338</v>
      </c>
      <c r="FK2" s="550">
        <f t="shared" si="3"/>
        <v>40339</v>
      </c>
      <c r="FL2" s="550">
        <f t="shared" si="3"/>
        <v>40340</v>
      </c>
      <c r="FM2" s="550">
        <f t="shared" si="3"/>
        <v>40341</v>
      </c>
      <c r="FN2" s="550">
        <f t="shared" si="3"/>
        <v>40342</v>
      </c>
      <c r="FO2" s="550">
        <f t="shared" si="3"/>
        <v>40343</v>
      </c>
      <c r="FP2" s="550">
        <f t="shared" si="3"/>
        <v>40344</v>
      </c>
      <c r="FQ2" s="550">
        <f t="shared" si="3"/>
        <v>40345</v>
      </c>
      <c r="FR2" s="550">
        <f t="shared" si="3"/>
        <v>40346</v>
      </c>
      <c r="FS2" s="550">
        <f t="shared" si="3"/>
        <v>40347</v>
      </c>
      <c r="FT2" s="550">
        <f t="shared" si="3"/>
        <v>40348</v>
      </c>
      <c r="FU2" s="550">
        <f t="shared" si="3"/>
        <v>40349</v>
      </c>
      <c r="FV2" s="550">
        <f t="shared" si="3"/>
        <v>40350</v>
      </c>
      <c r="FW2" s="550">
        <f t="shared" si="3"/>
        <v>40351</v>
      </c>
      <c r="FX2" s="550">
        <f t="shared" si="3"/>
        <v>40352</v>
      </c>
      <c r="FY2" s="550">
        <f t="shared" si="3"/>
        <v>40353</v>
      </c>
      <c r="FZ2" s="550">
        <f t="shared" si="3"/>
        <v>40354</v>
      </c>
      <c r="GA2" s="550">
        <f t="shared" si="3"/>
        <v>40355</v>
      </c>
      <c r="GB2" s="550">
        <f t="shared" si="3"/>
        <v>40356</v>
      </c>
      <c r="GC2" s="550">
        <f t="shared" si="3"/>
        <v>40357</v>
      </c>
      <c r="GD2" s="550">
        <f t="shared" si="3"/>
        <v>40358</v>
      </c>
      <c r="GE2" s="550">
        <f t="shared" si="3"/>
        <v>40359</v>
      </c>
      <c r="GF2" s="550">
        <f t="shared" si="3"/>
        <v>40360</v>
      </c>
      <c r="GG2" s="550">
        <f t="shared" si="3"/>
        <v>40361</v>
      </c>
      <c r="GH2" s="550">
        <f t="shared" ref="GH2:IS2" si="4">+GG2+1</f>
        <v>40362</v>
      </c>
      <c r="GI2" s="550">
        <f t="shared" si="4"/>
        <v>40363</v>
      </c>
      <c r="GJ2" s="550">
        <f t="shared" si="4"/>
        <v>40364</v>
      </c>
      <c r="GK2" s="550">
        <f t="shared" si="4"/>
        <v>40365</v>
      </c>
      <c r="GL2" s="550">
        <f t="shared" si="4"/>
        <v>40366</v>
      </c>
      <c r="GM2" s="550">
        <f t="shared" si="4"/>
        <v>40367</v>
      </c>
      <c r="GN2" s="550">
        <f t="shared" si="4"/>
        <v>40368</v>
      </c>
      <c r="GO2" s="550">
        <f t="shared" si="4"/>
        <v>40369</v>
      </c>
      <c r="GP2" s="550">
        <f t="shared" si="4"/>
        <v>40370</v>
      </c>
      <c r="GQ2" s="550">
        <f t="shared" si="4"/>
        <v>40371</v>
      </c>
      <c r="GR2" s="550">
        <f t="shared" si="4"/>
        <v>40372</v>
      </c>
      <c r="GS2" s="550">
        <f t="shared" si="4"/>
        <v>40373</v>
      </c>
      <c r="GT2" s="550">
        <f t="shared" si="4"/>
        <v>40374</v>
      </c>
      <c r="GU2" s="550">
        <f t="shared" si="4"/>
        <v>40375</v>
      </c>
      <c r="GV2" s="550">
        <f t="shared" si="4"/>
        <v>40376</v>
      </c>
      <c r="GW2" s="550">
        <f t="shared" si="4"/>
        <v>40377</v>
      </c>
      <c r="GX2" s="550">
        <f t="shared" si="4"/>
        <v>40378</v>
      </c>
      <c r="GY2" s="550">
        <f t="shared" si="4"/>
        <v>40379</v>
      </c>
      <c r="GZ2" s="550">
        <f t="shared" si="4"/>
        <v>40380</v>
      </c>
      <c r="HA2" s="550">
        <f t="shared" si="4"/>
        <v>40381</v>
      </c>
      <c r="HB2" s="550">
        <f t="shared" si="4"/>
        <v>40382</v>
      </c>
      <c r="HC2" s="550">
        <f t="shared" si="4"/>
        <v>40383</v>
      </c>
      <c r="HD2" s="550">
        <f t="shared" si="4"/>
        <v>40384</v>
      </c>
      <c r="HE2" s="550">
        <f t="shared" si="4"/>
        <v>40385</v>
      </c>
      <c r="HF2" s="550">
        <f t="shared" si="4"/>
        <v>40386</v>
      </c>
      <c r="HG2" s="550">
        <f t="shared" si="4"/>
        <v>40387</v>
      </c>
      <c r="HH2" s="550">
        <f t="shared" si="4"/>
        <v>40388</v>
      </c>
      <c r="HI2" s="550">
        <f t="shared" si="4"/>
        <v>40389</v>
      </c>
      <c r="HJ2" s="550">
        <f t="shared" si="4"/>
        <v>40390</v>
      </c>
      <c r="HK2" s="550">
        <f t="shared" si="4"/>
        <v>40391</v>
      </c>
      <c r="HL2" s="550">
        <f t="shared" si="4"/>
        <v>40392</v>
      </c>
      <c r="HM2" s="550">
        <f t="shared" si="4"/>
        <v>40393</v>
      </c>
      <c r="HN2" s="550">
        <f t="shared" si="4"/>
        <v>40394</v>
      </c>
      <c r="HO2" s="550">
        <f t="shared" si="4"/>
        <v>40395</v>
      </c>
      <c r="HP2" s="550">
        <f t="shared" si="4"/>
        <v>40396</v>
      </c>
      <c r="HQ2" s="550">
        <f t="shared" si="4"/>
        <v>40397</v>
      </c>
      <c r="HR2" s="550">
        <f t="shared" si="4"/>
        <v>40398</v>
      </c>
      <c r="HS2" s="550">
        <f t="shared" si="4"/>
        <v>40399</v>
      </c>
      <c r="HT2" s="550">
        <f t="shared" si="4"/>
        <v>40400</v>
      </c>
      <c r="HU2" s="550">
        <f t="shared" si="4"/>
        <v>40401</v>
      </c>
      <c r="HV2" s="550">
        <f t="shared" si="4"/>
        <v>40402</v>
      </c>
      <c r="HW2" s="550">
        <f t="shared" si="4"/>
        <v>40403</v>
      </c>
      <c r="HX2" s="550">
        <f t="shared" si="4"/>
        <v>40404</v>
      </c>
      <c r="HY2" s="550">
        <f t="shared" si="4"/>
        <v>40405</v>
      </c>
      <c r="HZ2" s="550">
        <f t="shared" si="4"/>
        <v>40406</v>
      </c>
      <c r="IA2" s="550">
        <f t="shared" si="4"/>
        <v>40407</v>
      </c>
      <c r="IB2" s="550">
        <f t="shared" si="4"/>
        <v>40408</v>
      </c>
      <c r="IC2" s="550">
        <f t="shared" si="4"/>
        <v>40409</v>
      </c>
      <c r="ID2" s="550">
        <f t="shared" si="4"/>
        <v>40410</v>
      </c>
      <c r="IE2" s="550">
        <f t="shared" si="4"/>
        <v>40411</v>
      </c>
      <c r="IF2" s="550">
        <f t="shared" si="4"/>
        <v>40412</v>
      </c>
      <c r="IG2" s="550">
        <f t="shared" si="4"/>
        <v>40413</v>
      </c>
      <c r="IH2" s="550">
        <f t="shared" si="4"/>
        <v>40414</v>
      </c>
      <c r="II2" s="550">
        <f t="shared" si="4"/>
        <v>40415</v>
      </c>
      <c r="IJ2" s="550">
        <f t="shared" si="4"/>
        <v>40416</v>
      </c>
      <c r="IK2" s="550">
        <f t="shared" si="4"/>
        <v>40417</v>
      </c>
      <c r="IL2" s="550">
        <f t="shared" si="4"/>
        <v>40418</v>
      </c>
      <c r="IM2" s="550">
        <f t="shared" si="4"/>
        <v>40419</v>
      </c>
      <c r="IN2" s="550">
        <f t="shared" si="4"/>
        <v>40420</v>
      </c>
      <c r="IO2" s="550">
        <f t="shared" si="4"/>
        <v>40421</v>
      </c>
      <c r="IP2" s="550">
        <f t="shared" si="4"/>
        <v>40422</v>
      </c>
      <c r="IQ2" s="550">
        <f t="shared" si="4"/>
        <v>40423</v>
      </c>
      <c r="IR2" s="550">
        <f t="shared" si="4"/>
        <v>40424</v>
      </c>
      <c r="IS2" s="550">
        <f t="shared" si="4"/>
        <v>40425</v>
      </c>
      <c r="IT2" s="550">
        <f t="shared" ref="IT2:KX2" si="5">+IS2+1</f>
        <v>40426</v>
      </c>
      <c r="IU2" s="550">
        <f t="shared" si="5"/>
        <v>40427</v>
      </c>
      <c r="IV2" s="550">
        <f t="shared" si="5"/>
        <v>40428</v>
      </c>
      <c r="IW2" s="550">
        <f t="shared" si="5"/>
        <v>40429</v>
      </c>
      <c r="IX2" s="550">
        <f t="shared" si="5"/>
        <v>40430</v>
      </c>
      <c r="IY2" s="550">
        <f t="shared" si="5"/>
        <v>40431</v>
      </c>
      <c r="IZ2" s="550">
        <f t="shared" si="5"/>
        <v>40432</v>
      </c>
      <c r="JA2" s="550">
        <f t="shared" si="5"/>
        <v>40433</v>
      </c>
      <c r="JB2" s="550">
        <f t="shared" si="5"/>
        <v>40434</v>
      </c>
      <c r="JC2" s="550">
        <f t="shared" si="5"/>
        <v>40435</v>
      </c>
      <c r="JD2" s="550">
        <f t="shared" si="5"/>
        <v>40436</v>
      </c>
      <c r="JE2" s="550">
        <f t="shared" si="5"/>
        <v>40437</v>
      </c>
      <c r="JF2" s="550">
        <f t="shared" si="5"/>
        <v>40438</v>
      </c>
      <c r="JG2" s="550">
        <f t="shared" si="5"/>
        <v>40439</v>
      </c>
      <c r="JH2" s="550">
        <f t="shared" si="5"/>
        <v>40440</v>
      </c>
      <c r="JI2" s="550">
        <f t="shared" si="5"/>
        <v>40441</v>
      </c>
      <c r="JJ2" s="550">
        <f t="shared" si="5"/>
        <v>40442</v>
      </c>
      <c r="JK2" s="550">
        <f t="shared" si="5"/>
        <v>40443</v>
      </c>
      <c r="JL2" s="550">
        <f t="shared" si="5"/>
        <v>40444</v>
      </c>
      <c r="JM2" s="550">
        <f t="shared" si="5"/>
        <v>40445</v>
      </c>
      <c r="JN2" s="550">
        <f t="shared" si="5"/>
        <v>40446</v>
      </c>
      <c r="JO2" s="550">
        <f t="shared" si="5"/>
        <v>40447</v>
      </c>
      <c r="JP2" s="550">
        <f t="shared" si="5"/>
        <v>40448</v>
      </c>
      <c r="JQ2" s="550">
        <f t="shared" si="5"/>
        <v>40449</v>
      </c>
      <c r="JR2" s="550">
        <f t="shared" si="5"/>
        <v>40450</v>
      </c>
      <c r="JS2" s="550">
        <f t="shared" si="5"/>
        <v>40451</v>
      </c>
      <c r="JT2" s="550">
        <f t="shared" si="5"/>
        <v>40452</v>
      </c>
      <c r="JU2" s="550">
        <f t="shared" si="5"/>
        <v>40453</v>
      </c>
      <c r="JV2" s="550">
        <f t="shared" si="5"/>
        <v>40454</v>
      </c>
      <c r="JW2" s="550">
        <f t="shared" si="5"/>
        <v>40455</v>
      </c>
      <c r="JX2" s="550">
        <f t="shared" si="5"/>
        <v>40456</v>
      </c>
      <c r="JY2" s="550">
        <f t="shared" si="5"/>
        <v>40457</v>
      </c>
      <c r="JZ2" s="550">
        <f t="shared" si="5"/>
        <v>40458</v>
      </c>
      <c r="KA2" s="550">
        <f t="shared" si="5"/>
        <v>40459</v>
      </c>
      <c r="KB2" s="550">
        <f t="shared" si="5"/>
        <v>40460</v>
      </c>
      <c r="KC2" s="550">
        <f t="shared" si="5"/>
        <v>40461</v>
      </c>
      <c r="KD2" s="550">
        <f t="shared" si="5"/>
        <v>40462</v>
      </c>
      <c r="KE2" s="550">
        <f t="shared" si="5"/>
        <v>40463</v>
      </c>
      <c r="KF2" s="550">
        <f t="shared" si="5"/>
        <v>40464</v>
      </c>
      <c r="KG2" s="550">
        <f t="shared" si="5"/>
        <v>40465</v>
      </c>
      <c r="KH2" s="550">
        <f t="shared" si="5"/>
        <v>40466</v>
      </c>
      <c r="KI2" s="550">
        <f t="shared" si="5"/>
        <v>40467</v>
      </c>
      <c r="KJ2" s="550">
        <f t="shared" si="5"/>
        <v>40468</v>
      </c>
      <c r="KK2" s="550">
        <f t="shared" si="5"/>
        <v>40469</v>
      </c>
      <c r="KL2" s="550">
        <f t="shared" si="5"/>
        <v>40470</v>
      </c>
      <c r="KM2" s="550">
        <f t="shared" si="5"/>
        <v>40471</v>
      </c>
      <c r="KN2" s="550">
        <f t="shared" si="5"/>
        <v>40472</v>
      </c>
      <c r="KO2" s="550">
        <f t="shared" si="5"/>
        <v>40473</v>
      </c>
      <c r="KP2" s="550">
        <f t="shared" si="5"/>
        <v>40474</v>
      </c>
      <c r="KQ2" s="550">
        <f t="shared" si="5"/>
        <v>40475</v>
      </c>
      <c r="KR2" s="550">
        <f t="shared" si="5"/>
        <v>40476</v>
      </c>
      <c r="KS2" s="550">
        <f t="shared" si="5"/>
        <v>40477</v>
      </c>
      <c r="KT2" s="550">
        <f t="shared" si="5"/>
        <v>40478</v>
      </c>
      <c r="KU2" s="550">
        <f t="shared" si="5"/>
        <v>40479</v>
      </c>
      <c r="KV2" s="550">
        <f t="shared" si="5"/>
        <v>40480</v>
      </c>
      <c r="KW2" s="550">
        <f t="shared" si="5"/>
        <v>40481</v>
      </c>
      <c r="KX2" s="550">
        <f t="shared" si="5"/>
        <v>40482</v>
      </c>
      <c r="KY2" s="550">
        <f t="shared" ref="KY2" si="6">+KX2+1</f>
        <v>40483</v>
      </c>
      <c r="KZ2" s="550">
        <f t="shared" ref="KZ2" si="7">+KY2+1</f>
        <v>40484</v>
      </c>
      <c r="LA2" s="550">
        <f t="shared" ref="LA2" si="8">+KZ2+1</f>
        <v>40485</v>
      </c>
      <c r="LB2" s="550">
        <f t="shared" ref="LB2" si="9">+LA2+1</f>
        <v>40486</v>
      </c>
      <c r="LC2" s="550">
        <f t="shared" ref="LC2" si="10">+LB2+1</f>
        <v>40487</v>
      </c>
      <c r="LD2" s="550">
        <f t="shared" ref="LD2" si="11">+LC2+1</f>
        <v>40488</v>
      </c>
      <c r="LE2" s="550">
        <f t="shared" ref="LE2" si="12">+LD2+1</f>
        <v>40489</v>
      </c>
      <c r="LF2" s="550">
        <f t="shared" ref="LF2" si="13">+LE2+1</f>
        <v>40490</v>
      </c>
      <c r="LG2" s="550">
        <f t="shared" ref="LG2" si="14">+LF2+1</f>
        <v>40491</v>
      </c>
      <c r="LH2" s="550">
        <f t="shared" ref="LH2" si="15">+LG2+1</f>
        <v>40492</v>
      </c>
      <c r="LI2" s="550">
        <f t="shared" ref="LI2" si="16">+LH2+1</f>
        <v>40493</v>
      </c>
      <c r="LJ2" s="550">
        <f t="shared" ref="LJ2" si="17">+LI2+1</f>
        <v>40494</v>
      </c>
      <c r="LK2" s="550">
        <f t="shared" ref="LK2" si="18">+LJ2+1</f>
        <v>40495</v>
      </c>
      <c r="LL2" s="550">
        <f t="shared" ref="LL2" si="19">+LK2+1</f>
        <v>40496</v>
      </c>
      <c r="LM2" s="550">
        <f t="shared" ref="LM2" si="20">+LL2+1</f>
        <v>40497</v>
      </c>
      <c r="LN2" s="550">
        <f t="shared" ref="LN2" si="21">+LM2+1</f>
        <v>40498</v>
      </c>
      <c r="LO2" s="550">
        <f t="shared" ref="LO2" si="22">+LN2+1</f>
        <v>40499</v>
      </c>
      <c r="LP2" s="550">
        <f t="shared" ref="LP2" si="23">+LO2+1</f>
        <v>40500</v>
      </c>
      <c r="LQ2" s="550">
        <f t="shared" ref="LQ2" si="24">+LP2+1</f>
        <v>40501</v>
      </c>
      <c r="LR2" s="550">
        <f t="shared" ref="LR2" si="25">+LQ2+1</f>
        <v>40502</v>
      </c>
      <c r="LS2" s="550">
        <f t="shared" ref="LS2" si="26">+LR2+1</f>
        <v>40503</v>
      </c>
      <c r="LT2" s="550">
        <f t="shared" ref="LT2" si="27">+LS2+1</f>
        <v>40504</v>
      </c>
      <c r="LU2" s="550">
        <f t="shared" ref="LU2" si="28">+LT2+1</f>
        <v>40505</v>
      </c>
      <c r="LV2" s="550">
        <f t="shared" ref="LV2" si="29">+LU2+1</f>
        <v>40506</v>
      </c>
      <c r="LW2" s="550">
        <f t="shared" ref="LW2" si="30">+LV2+1</f>
        <v>40507</v>
      </c>
      <c r="LX2" s="550">
        <f t="shared" ref="LX2" si="31">+LW2+1</f>
        <v>40508</v>
      </c>
      <c r="LY2" s="550">
        <f t="shared" ref="LY2" si="32">+LX2+1</f>
        <v>40509</v>
      </c>
      <c r="LZ2" s="550">
        <f t="shared" ref="LZ2" si="33">+LY2+1</f>
        <v>40510</v>
      </c>
      <c r="MA2" s="550">
        <f t="shared" ref="MA2" si="34">+LZ2+1</f>
        <v>40511</v>
      </c>
      <c r="MB2" s="550">
        <f t="shared" ref="MB2" si="35">+MA2+1</f>
        <v>40512</v>
      </c>
      <c r="MC2" s="550">
        <f t="shared" ref="MC2" si="36">+MB2+1</f>
        <v>40513</v>
      </c>
      <c r="MD2" s="550">
        <f t="shared" ref="MD2" si="37">+MC2+1</f>
        <v>40514</v>
      </c>
      <c r="ME2" s="550">
        <f t="shared" ref="ME2" si="38">+MD2+1</f>
        <v>40515</v>
      </c>
      <c r="MF2" s="550">
        <f t="shared" ref="MF2" si="39">+ME2+1</f>
        <v>40516</v>
      </c>
      <c r="MG2" s="550">
        <f t="shared" ref="MG2" si="40">+MF2+1</f>
        <v>40517</v>
      </c>
      <c r="MH2" s="550">
        <f t="shared" ref="MH2" si="41">+MG2+1</f>
        <v>40518</v>
      </c>
      <c r="MI2" s="550">
        <f t="shared" ref="MI2" si="42">+MH2+1</f>
        <v>40519</v>
      </c>
      <c r="MJ2" s="550">
        <f t="shared" ref="MJ2" si="43">+MI2+1</f>
        <v>40520</v>
      </c>
      <c r="MK2" s="550">
        <f t="shared" ref="MK2" si="44">+MJ2+1</f>
        <v>40521</v>
      </c>
      <c r="ML2" s="550">
        <f t="shared" ref="ML2" si="45">+MK2+1</f>
        <v>40522</v>
      </c>
      <c r="MM2" s="550">
        <f t="shared" ref="MM2" si="46">+ML2+1</f>
        <v>40523</v>
      </c>
      <c r="MN2" s="550">
        <f t="shared" ref="MN2" si="47">+MM2+1</f>
        <v>40524</v>
      </c>
      <c r="MO2" s="550">
        <f t="shared" ref="MO2" si="48">+MN2+1</f>
        <v>40525</v>
      </c>
      <c r="MP2" s="550">
        <f t="shared" ref="MP2" si="49">+MO2+1</f>
        <v>40526</v>
      </c>
      <c r="MQ2" s="550">
        <f t="shared" ref="MQ2" si="50">+MP2+1</f>
        <v>40527</v>
      </c>
      <c r="MR2" s="550">
        <f t="shared" ref="MR2" si="51">+MQ2+1</f>
        <v>40528</v>
      </c>
      <c r="MS2" s="550">
        <f t="shared" ref="MS2" si="52">+MR2+1</f>
        <v>40529</v>
      </c>
      <c r="MT2" s="550">
        <f t="shared" ref="MT2" si="53">+MS2+1</f>
        <v>40530</v>
      </c>
      <c r="MU2" s="550">
        <f t="shared" ref="MU2" si="54">+MT2+1</f>
        <v>40531</v>
      </c>
      <c r="MV2" s="550">
        <f t="shared" ref="MV2" si="55">+MU2+1</f>
        <v>40532</v>
      </c>
      <c r="MW2" s="550">
        <f t="shared" ref="MW2" si="56">+MV2+1</f>
        <v>40533</v>
      </c>
      <c r="MX2" s="550">
        <f t="shared" ref="MX2" si="57">+MW2+1</f>
        <v>40534</v>
      </c>
      <c r="MY2" s="550">
        <f t="shared" ref="MY2" si="58">+MX2+1</f>
        <v>40535</v>
      </c>
      <c r="MZ2" s="550">
        <f t="shared" ref="MZ2" si="59">+MY2+1</f>
        <v>40536</v>
      </c>
      <c r="NA2" s="550">
        <f t="shared" ref="NA2" si="60">+MZ2+1</f>
        <v>40537</v>
      </c>
      <c r="NB2" s="550">
        <f t="shared" ref="NB2" si="61">+NA2+1</f>
        <v>40538</v>
      </c>
      <c r="NC2" s="550">
        <f t="shared" ref="NC2" si="62">+NB2+1</f>
        <v>40539</v>
      </c>
      <c r="ND2" s="550">
        <f t="shared" ref="ND2" si="63">+NC2+1</f>
        <v>40540</v>
      </c>
      <c r="NE2" s="550">
        <f t="shared" ref="NE2" si="64">+ND2+1</f>
        <v>40541</v>
      </c>
      <c r="NF2" s="550">
        <f t="shared" ref="NF2:NG2" si="65">+NE2+1</f>
        <v>40542</v>
      </c>
      <c r="NG2" s="550">
        <f t="shared" si="65"/>
        <v>40543</v>
      </c>
    </row>
    <row r="3" spans="1:371" s="277" customFormat="1" ht="13.5" thickBot="1">
      <c r="A3" s="415" t="s">
        <v>880</v>
      </c>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row>
    <row r="4" spans="1:371" s="277" customFormat="1" ht="15" customHeight="1" thickTop="1" thickBot="1">
      <c r="A4" s="1100" t="s">
        <v>887</v>
      </c>
      <c r="B4" s="1101"/>
      <c r="C4" s="1101"/>
      <c r="D4" s="1101"/>
      <c r="E4" s="1102"/>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DK4" s="542"/>
      <c r="DL4" s="542"/>
      <c r="DM4" s="542"/>
      <c r="DN4" s="542"/>
      <c r="DO4" s="542"/>
      <c r="DP4" s="542"/>
      <c r="DQ4" s="542"/>
      <c r="DR4" s="542"/>
      <c r="DS4" s="542"/>
      <c r="DT4" s="542"/>
      <c r="DU4" s="542"/>
      <c r="DV4" s="542"/>
      <c r="DW4" s="542"/>
      <c r="DX4" s="542"/>
      <c r="DY4" s="542"/>
      <c r="DZ4" s="542"/>
      <c r="EA4" s="542"/>
      <c r="EB4" s="542"/>
      <c r="EC4" s="542"/>
      <c r="ED4" s="542"/>
      <c r="EE4" s="542"/>
      <c r="EF4" s="542"/>
      <c r="EG4" s="542"/>
      <c r="EH4" s="542"/>
      <c r="EI4" s="542"/>
      <c r="EJ4" s="542"/>
      <c r="EK4" s="542"/>
      <c r="EL4" s="542"/>
      <c r="EM4" s="542"/>
      <c r="EN4" s="542"/>
      <c r="EO4" s="542"/>
      <c r="EP4" s="542"/>
      <c r="EQ4" s="542"/>
      <c r="ER4" s="542"/>
      <c r="ES4" s="542"/>
      <c r="ET4" s="542"/>
      <c r="EU4" s="542"/>
      <c r="EV4" s="542"/>
      <c r="EW4" s="542"/>
      <c r="EX4" s="542"/>
      <c r="EY4" s="542"/>
      <c r="EZ4" s="542"/>
      <c r="FA4" s="542"/>
      <c r="FB4" s="542"/>
      <c r="FC4" s="542"/>
      <c r="FD4" s="542"/>
      <c r="FE4" s="542"/>
      <c r="FF4" s="542"/>
      <c r="FG4" s="542"/>
      <c r="FH4" s="542"/>
      <c r="FI4" s="542"/>
      <c r="FJ4" s="542"/>
      <c r="FK4" s="542"/>
      <c r="FL4" s="542"/>
      <c r="FM4" s="542"/>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GR4" s="542"/>
      <c r="GS4" s="542"/>
      <c r="GT4" s="542"/>
      <c r="GU4" s="542"/>
      <c r="GV4" s="542"/>
      <c r="GW4" s="542"/>
      <c r="GX4" s="542"/>
      <c r="GY4" s="542"/>
      <c r="GZ4" s="542"/>
      <c r="HA4" s="542"/>
      <c r="HB4" s="542"/>
      <c r="HC4" s="542"/>
      <c r="HD4" s="542"/>
      <c r="HE4" s="542"/>
      <c r="HF4" s="542"/>
      <c r="HG4" s="542"/>
      <c r="HH4" s="542"/>
      <c r="HI4" s="542"/>
      <c r="HJ4" s="542"/>
      <c r="HK4" s="542"/>
      <c r="HL4" s="542"/>
      <c r="HM4" s="542"/>
      <c r="HN4" s="542"/>
      <c r="HO4" s="542"/>
      <c r="HP4" s="542"/>
      <c r="HQ4" s="542"/>
      <c r="HR4" s="542"/>
    </row>
    <row r="5" spans="1:371" s="543" customFormat="1" ht="12.75" thickTop="1" thickBot="1">
      <c r="A5" s="551" t="s">
        <v>143</v>
      </c>
      <c r="B5" s="552" t="s">
        <v>881</v>
      </c>
      <c r="C5" s="553"/>
      <c r="D5" s="552" t="s">
        <v>882</v>
      </c>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row>
    <row r="6" spans="1:371" ht="8.1" customHeight="1" thickTop="1">
      <c r="A6" s="545">
        <v>1950</v>
      </c>
      <c r="B6" s="546">
        <f>AVERAGE(A6)</f>
        <v>1950</v>
      </c>
      <c r="D6" s="546">
        <v>40452</v>
      </c>
      <c r="DK6" s="547"/>
      <c r="DL6" s="547"/>
      <c r="DM6" s="547"/>
      <c r="DN6" s="547"/>
      <c r="DO6" s="547"/>
      <c r="DP6" s="547"/>
      <c r="DQ6" s="547"/>
      <c r="DR6" s="547"/>
      <c r="DS6" s="547"/>
      <c r="DT6" s="547"/>
      <c r="DU6" s="547"/>
      <c r="DV6" s="547"/>
      <c r="DW6" s="561"/>
      <c r="DX6" s="558"/>
      <c r="DY6" s="558"/>
      <c r="DZ6" s="559"/>
      <c r="EA6" s="558"/>
      <c r="EB6" s="558"/>
      <c r="EC6" s="558"/>
      <c r="ED6" s="558"/>
      <c r="EE6" s="558"/>
      <c r="EF6" s="558"/>
      <c r="EG6" s="559"/>
      <c r="EH6" s="558"/>
      <c r="EI6" s="558"/>
      <c r="EJ6" s="558"/>
      <c r="EK6" s="558"/>
      <c r="EL6" s="558"/>
      <c r="EM6" s="558"/>
      <c r="EN6" s="558"/>
      <c r="EO6" s="558"/>
      <c r="EP6" s="558"/>
      <c r="EQ6" s="558"/>
      <c r="ER6" s="558"/>
      <c r="ES6" s="558"/>
      <c r="ET6" s="558"/>
      <c r="EU6" s="558"/>
      <c r="EV6" s="558"/>
      <c r="EW6" s="558"/>
      <c r="EX6" s="558"/>
      <c r="EY6" s="558"/>
      <c r="EZ6" s="558"/>
      <c r="FA6" s="558"/>
      <c r="FB6" s="558"/>
      <c r="FC6" s="558"/>
      <c r="FD6" s="558"/>
      <c r="FE6" s="558"/>
      <c r="FF6" s="558"/>
      <c r="FG6" s="558"/>
      <c r="FH6" s="558"/>
      <c r="FI6" s="558"/>
      <c r="FJ6" s="558"/>
      <c r="FK6" s="558"/>
      <c r="FL6" s="558"/>
      <c r="FM6" s="558"/>
      <c r="FN6" s="558"/>
      <c r="FO6" s="558"/>
      <c r="FP6" s="560"/>
      <c r="FQ6" s="547"/>
      <c r="FR6" s="547"/>
      <c r="FS6" s="547"/>
      <c r="FT6" s="549"/>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JT6" s="548"/>
    </row>
    <row r="7" spans="1:371" ht="8.1" customHeight="1">
      <c r="A7" s="545">
        <f t="shared" ref="A7:A38" si="66">+A6+1</f>
        <v>1951</v>
      </c>
      <c r="B7" s="546">
        <v>40294</v>
      </c>
      <c r="C7" s="595"/>
      <c r="D7" s="546">
        <v>40350</v>
      </c>
      <c r="DK7" s="547"/>
      <c r="DL7" s="547"/>
      <c r="DM7" s="547"/>
      <c r="DN7" s="547"/>
      <c r="DO7" s="547"/>
      <c r="DP7" s="547"/>
      <c r="DQ7" s="547"/>
      <c r="DR7" s="549"/>
      <c r="DS7" s="547"/>
      <c r="DT7" s="547"/>
      <c r="DU7" s="547"/>
      <c r="DV7" s="547"/>
      <c r="DW7" s="556"/>
      <c r="DX7" s="547"/>
      <c r="DY7" s="547"/>
      <c r="DZ7" s="547"/>
      <c r="EA7" s="547"/>
      <c r="EB7" s="547"/>
      <c r="EC7" s="547"/>
      <c r="ED7" s="547"/>
      <c r="EE7" s="547"/>
      <c r="EF7" s="547"/>
      <c r="EG7" s="547"/>
      <c r="EH7" s="547"/>
      <c r="EI7" s="547"/>
      <c r="EJ7" s="549"/>
      <c r="EK7" s="547"/>
      <c r="EL7" s="547"/>
      <c r="EM7" s="547"/>
      <c r="EN7" s="547"/>
      <c r="EO7" s="547"/>
      <c r="EP7" s="547"/>
      <c r="EQ7" s="547"/>
      <c r="ER7" s="547"/>
      <c r="ES7" s="547"/>
      <c r="ET7" s="547"/>
      <c r="EU7" s="547"/>
      <c r="EV7" s="547"/>
      <c r="EW7" s="547"/>
      <c r="EX7" s="547"/>
      <c r="EY7" s="547"/>
      <c r="EZ7" s="547"/>
      <c r="FA7" s="549"/>
      <c r="FB7" s="547"/>
      <c r="FC7" s="547"/>
      <c r="FD7" s="547"/>
      <c r="FE7" s="547"/>
      <c r="FF7" s="549"/>
      <c r="FG7" s="549"/>
      <c r="FH7" s="547"/>
      <c r="FI7" s="547"/>
      <c r="FJ7" s="547"/>
      <c r="FK7" s="547"/>
      <c r="FL7" s="547"/>
      <c r="FM7" s="547"/>
      <c r="FN7" s="547"/>
      <c r="FO7" s="547"/>
      <c r="FP7" s="554"/>
      <c r="FQ7" s="547"/>
      <c r="FR7" s="547"/>
      <c r="FS7" s="547"/>
      <c r="FT7" s="547"/>
      <c r="FU7" s="547"/>
      <c r="FV7" s="549"/>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row>
    <row r="8" spans="1:371" ht="8.1" customHeight="1">
      <c r="A8" s="545">
        <f t="shared" si="66"/>
        <v>1952</v>
      </c>
      <c r="B8" s="546">
        <v>40375</v>
      </c>
      <c r="C8" s="595"/>
      <c r="D8" s="546">
        <v>40375</v>
      </c>
      <c r="DK8" s="547"/>
      <c r="DL8" s="547"/>
      <c r="DM8" s="547"/>
      <c r="DN8" s="547"/>
      <c r="DO8" s="547"/>
      <c r="DP8" s="547"/>
      <c r="DQ8" s="547"/>
      <c r="DR8" s="547"/>
      <c r="DS8" s="547"/>
      <c r="DT8" s="547"/>
      <c r="DU8" s="547"/>
      <c r="DV8" s="547"/>
      <c r="DW8" s="556"/>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54"/>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9"/>
      <c r="GV8" s="547"/>
      <c r="GW8" s="547"/>
      <c r="GX8" s="547"/>
      <c r="GY8" s="547"/>
      <c r="GZ8" s="547"/>
      <c r="HA8" s="547"/>
      <c r="HB8" s="547"/>
      <c r="HC8" s="547"/>
      <c r="HD8" s="547"/>
      <c r="HE8" s="547"/>
      <c r="HF8" s="547"/>
      <c r="HG8" s="547"/>
      <c r="HH8" s="547"/>
      <c r="HI8" s="547"/>
      <c r="HJ8" s="547"/>
      <c r="HK8" s="547"/>
      <c r="HL8" s="547"/>
      <c r="HM8" s="547"/>
      <c r="HN8" s="547"/>
      <c r="HO8" s="547"/>
      <c r="HP8" s="547"/>
      <c r="HQ8" s="547"/>
      <c r="HR8" s="547"/>
    </row>
    <row r="9" spans="1:371" ht="8.1" customHeight="1">
      <c r="A9" s="545">
        <f t="shared" si="66"/>
        <v>1953</v>
      </c>
      <c r="B9" s="546">
        <v>40334</v>
      </c>
      <c r="C9" s="595"/>
      <c r="D9" s="546">
        <v>40351</v>
      </c>
      <c r="DK9" s="547"/>
      <c r="DL9" s="547"/>
      <c r="DM9" s="547"/>
      <c r="DN9" s="547"/>
      <c r="DO9" s="547"/>
      <c r="DP9" s="547"/>
      <c r="DQ9" s="547"/>
      <c r="DR9" s="547"/>
      <c r="DS9" s="547"/>
      <c r="DT9" s="547"/>
      <c r="DU9" s="547"/>
      <c r="DV9" s="547"/>
      <c r="DW9" s="556"/>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9"/>
      <c r="FG9" s="547"/>
      <c r="FH9" s="547"/>
      <c r="FI9" s="547"/>
      <c r="FJ9" s="547"/>
      <c r="FK9" s="547"/>
      <c r="FL9" s="547"/>
      <c r="FM9" s="547"/>
      <c r="FN9" s="547"/>
      <c r="FO9" s="547"/>
      <c r="FP9" s="554"/>
      <c r="FQ9" s="547"/>
      <c r="FR9" s="547"/>
      <c r="FS9" s="547"/>
      <c r="FT9" s="547"/>
      <c r="FU9" s="547"/>
      <c r="FV9" s="547"/>
      <c r="FW9" s="549"/>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row>
    <row r="10" spans="1:371" ht="8.1" customHeight="1">
      <c r="A10" s="545">
        <f t="shared" si="66"/>
        <v>1954</v>
      </c>
      <c r="B10" s="546">
        <v>40320</v>
      </c>
      <c r="C10" s="595"/>
      <c r="D10" s="546">
        <v>40342</v>
      </c>
      <c r="DK10" s="547"/>
      <c r="DL10" s="547"/>
      <c r="DM10" s="547"/>
      <c r="DN10" s="547"/>
      <c r="DO10" s="547"/>
      <c r="DP10" s="547"/>
      <c r="DQ10" s="547"/>
      <c r="DR10" s="547"/>
      <c r="DS10" s="547"/>
      <c r="DT10" s="547"/>
      <c r="DU10" s="547"/>
      <c r="DV10" s="547"/>
      <c r="DW10" s="556"/>
      <c r="DX10" s="547"/>
      <c r="DY10" s="547"/>
      <c r="DZ10" s="547"/>
      <c r="EA10" s="547"/>
      <c r="EB10" s="547"/>
      <c r="EC10" s="547"/>
      <c r="ED10" s="547"/>
      <c r="EE10" s="547"/>
      <c r="EF10" s="547"/>
      <c r="EG10" s="547"/>
      <c r="EH10" s="547"/>
      <c r="EI10" s="547"/>
      <c r="EJ10" s="547"/>
      <c r="EK10" s="547"/>
      <c r="EL10" s="547"/>
      <c r="EM10" s="547"/>
      <c r="EN10" s="547"/>
      <c r="EO10" s="547"/>
      <c r="EP10" s="547"/>
      <c r="EQ10" s="547"/>
      <c r="ER10" s="549"/>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9"/>
      <c r="FO10" s="547"/>
      <c r="FP10" s="554"/>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row>
    <row r="11" spans="1:371" ht="8.1" customHeight="1">
      <c r="A11" s="545">
        <f t="shared" si="66"/>
        <v>1955</v>
      </c>
      <c r="B11" s="546">
        <v>40286</v>
      </c>
      <c r="C11" s="595"/>
      <c r="D11" s="546">
        <v>40348</v>
      </c>
      <c r="DJ11" s="548"/>
      <c r="DK11" s="547"/>
      <c r="DL11" s="547"/>
      <c r="DM11" s="547"/>
      <c r="DN11" s="547"/>
      <c r="DO11" s="547"/>
      <c r="DP11" s="547"/>
      <c r="DQ11" s="547"/>
      <c r="DR11" s="547"/>
      <c r="DS11" s="547"/>
      <c r="DT11" s="547"/>
      <c r="DU11" s="547"/>
      <c r="DV11" s="547"/>
      <c r="DW11" s="556"/>
      <c r="DX11" s="547"/>
      <c r="DY11" s="547"/>
      <c r="DZ11" s="547"/>
      <c r="EA11" s="547"/>
      <c r="EB11" s="547"/>
      <c r="EC11" s="547"/>
      <c r="ED11" s="547"/>
      <c r="EE11" s="547"/>
      <c r="EF11" s="547"/>
      <c r="EG11" s="547"/>
      <c r="EH11" s="547"/>
      <c r="EI11" s="547"/>
      <c r="EJ11" s="547"/>
      <c r="EK11" s="547"/>
      <c r="EL11" s="547"/>
      <c r="EM11" s="547"/>
      <c r="EN11" s="547"/>
      <c r="EO11" s="547"/>
      <c r="EP11" s="547"/>
      <c r="EQ11" s="547"/>
      <c r="ER11" s="549"/>
      <c r="ES11" s="547"/>
      <c r="ET11" s="547"/>
      <c r="EU11" s="549"/>
      <c r="EV11" s="547"/>
      <c r="EW11" s="547"/>
      <c r="EX11" s="547"/>
      <c r="EY11" s="547"/>
      <c r="EZ11" s="547"/>
      <c r="FA11" s="547"/>
      <c r="FB11" s="547"/>
      <c r="FC11" s="547"/>
      <c r="FD11" s="549"/>
      <c r="FE11" s="547"/>
      <c r="FF11" s="547"/>
      <c r="FG11" s="547"/>
      <c r="FH11" s="547"/>
      <c r="FI11" s="547"/>
      <c r="FJ11" s="547"/>
      <c r="FK11" s="547"/>
      <c r="FL11" s="547"/>
      <c r="FM11" s="547"/>
      <c r="FN11" s="547"/>
      <c r="FO11" s="547"/>
      <c r="FP11" s="554"/>
      <c r="FQ11" s="549"/>
      <c r="FR11" s="549"/>
      <c r="FS11" s="549"/>
      <c r="FT11" s="549"/>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row>
    <row r="12" spans="1:371" ht="8.1" customHeight="1">
      <c r="A12" s="545">
        <f t="shared" si="66"/>
        <v>1956</v>
      </c>
      <c r="B12" s="546">
        <v>40352</v>
      </c>
      <c r="C12" s="595"/>
      <c r="D12" s="546">
        <v>40363</v>
      </c>
      <c r="DK12" s="547"/>
      <c r="DL12" s="547"/>
      <c r="DM12" s="547"/>
      <c r="DN12" s="547"/>
      <c r="DO12" s="547"/>
      <c r="DP12" s="547"/>
      <c r="DQ12" s="547"/>
      <c r="DR12" s="547"/>
      <c r="DS12" s="547"/>
      <c r="DT12" s="547"/>
      <c r="DU12" s="547"/>
      <c r="DV12" s="547"/>
      <c r="DW12" s="556"/>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54"/>
      <c r="FQ12" s="547"/>
      <c r="FR12" s="547"/>
      <c r="FS12" s="547"/>
      <c r="FT12" s="547"/>
      <c r="FU12" s="547"/>
      <c r="FV12" s="547"/>
      <c r="FW12" s="547"/>
      <c r="FX12" s="549"/>
      <c r="FY12" s="547"/>
      <c r="FZ12" s="547"/>
      <c r="GA12" s="547"/>
      <c r="GB12" s="547"/>
      <c r="GC12" s="547"/>
      <c r="GD12" s="547"/>
      <c r="GE12" s="547"/>
      <c r="GF12" s="547"/>
      <c r="GG12" s="547"/>
      <c r="GH12" s="547"/>
      <c r="GI12" s="549"/>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row>
    <row r="13" spans="1:371" ht="8.1" customHeight="1">
      <c r="A13" s="545">
        <f t="shared" si="66"/>
        <v>1957</v>
      </c>
      <c r="B13" s="546">
        <v>40270</v>
      </c>
      <c r="C13" s="595"/>
      <c r="D13" s="546">
        <v>40464</v>
      </c>
      <c r="CT13" s="548"/>
      <c r="DK13" s="547"/>
      <c r="DL13" s="547"/>
      <c r="DM13" s="547"/>
      <c r="DN13" s="547"/>
      <c r="DO13" s="547"/>
      <c r="DP13" s="547"/>
      <c r="DQ13" s="547"/>
      <c r="DR13" s="547"/>
      <c r="DS13" s="547"/>
      <c r="DT13" s="547"/>
      <c r="DU13" s="547"/>
      <c r="DV13" s="547"/>
      <c r="DW13" s="556"/>
      <c r="DX13" s="547"/>
      <c r="DY13" s="547"/>
      <c r="DZ13" s="547"/>
      <c r="EA13" s="547"/>
      <c r="EB13" s="547"/>
      <c r="EC13" s="547"/>
      <c r="ED13" s="547"/>
      <c r="EE13" s="547"/>
      <c r="EF13" s="547"/>
      <c r="EG13" s="549"/>
      <c r="EH13" s="547"/>
      <c r="EI13" s="547"/>
      <c r="EJ13" s="547"/>
      <c r="EK13" s="549"/>
      <c r="EL13" s="549"/>
      <c r="EM13" s="547"/>
      <c r="EN13" s="547"/>
      <c r="EO13" s="547"/>
      <c r="EP13" s="547"/>
      <c r="EQ13" s="547"/>
      <c r="ER13" s="547"/>
      <c r="ES13" s="547"/>
      <c r="ET13" s="549"/>
      <c r="EU13" s="547"/>
      <c r="EV13" s="547"/>
      <c r="EW13" s="547"/>
      <c r="EX13" s="547"/>
      <c r="EY13" s="547"/>
      <c r="EZ13" s="547"/>
      <c r="FA13" s="547"/>
      <c r="FB13" s="547"/>
      <c r="FC13" s="547"/>
      <c r="FD13" s="547"/>
      <c r="FE13" s="547"/>
      <c r="FF13" s="547"/>
      <c r="FG13" s="547"/>
      <c r="FH13" s="547"/>
      <c r="FI13" s="547"/>
      <c r="FJ13" s="547"/>
      <c r="FK13" s="549"/>
      <c r="FL13" s="547"/>
      <c r="FM13" s="547"/>
      <c r="FN13" s="547"/>
      <c r="FO13" s="547"/>
      <c r="FP13" s="554"/>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KF13" s="548"/>
    </row>
    <row r="14" spans="1:371" ht="8.1" customHeight="1">
      <c r="A14" s="545">
        <f t="shared" si="66"/>
        <v>1958</v>
      </c>
      <c r="B14" s="546">
        <v>40315</v>
      </c>
      <c r="C14" s="595"/>
      <c r="D14" s="546">
        <v>40428</v>
      </c>
      <c r="DK14" s="547"/>
      <c r="DL14" s="547"/>
      <c r="DM14" s="547"/>
      <c r="DN14" s="547"/>
      <c r="DO14" s="547"/>
      <c r="DP14" s="547"/>
      <c r="DQ14" s="547"/>
      <c r="DR14" s="547"/>
      <c r="DS14" s="547"/>
      <c r="DT14" s="547"/>
      <c r="DU14" s="547"/>
      <c r="DV14" s="547"/>
      <c r="DW14" s="556"/>
      <c r="DX14" s="547"/>
      <c r="DY14" s="547"/>
      <c r="DZ14" s="547"/>
      <c r="EA14" s="547"/>
      <c r="EB14" s="547"/>
      <c r="EC14" s="547"/>
      <c r="ED14" s="547"/>
      <c r="EE14" s="547"/>
      <c r="EF14" s="547"/>
      <c r="EG14" s="547"/>
      <c r="EH14" s="547"/>
      <c r="EI14" s="547"/>
      <c r="EJ14" s="547"/>
      <c r="EK14" s="547"/>
      <c r="EL14" s="547"/>
      <c r="EM14" s="549"/>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54"/>
      <c r="FQ14" s="549"/>
      <c r="FR14" s="547"/>
      <c r="FS14" s="547"/>
      <c r="FT14" s="547"/>
      <c r="FU14" s="549"/>
      <c r="FV14" s="547"/>
      <c r="FW14" s="547"/>
      <c r="FX14" s="549"/>
      <c r="FY14" s="547"/>
      <c r="FZ14" s="547"/>
      <c r="GA14" s="547"/>
      <c r="GB14" s="547"/>
      <c r="GC14" s="547"/>
      <c r="GD14" s="547"/>
      <c r="GE14" s="547"/>
      <c r="GF14" s="549"/>
      <c r="GG14" s="547"/>
      <c r="GH14" s="547"/>
      <c r="GI14" s="547"/>
      <c r="GJ14" s="547"/>
      <c r="GK14" s="547"/>
      <c r="GL14" s="547"/>
      <c r="GM14" s="547"/>
      <c r="GN14" s="547"/>
      <c r="GO14" s="547"/>
      <c r="GP14" s="547"/>
      <c r="GQ14" s="547"/>
      <c r="GR14" s="547"/>
      <c r="GS14" s="547"/>
      <c r="GT14" s="549"/>
      <c r="GU14" s="547"/>
      <c r="GV14" s="547"/>
      <c r="GW14" s="547"/>
      <c r="GX14" s="547"/>
      <c r="GY14" s="547"/>
      <c r="GZ14" s="547"/>
      <c r="HA14" s="549"/>
      <c r="HB14" s="547"/>
      <c r="HC14" s="547"/>
      <c r="HD14" s="549"/>
      <c r="HE14" s="547"/>
      <c r="HF14" s="549"/>
      <c r="HG14" s="547"/>
      <c r="HH14" s="547"/>
      <c r="HI14" s="547"/>
      <c r="HJ14" s="547"/>
      <c r="HK14" s="547"/>
      <c r="HL14" s="547"/>
      <c r="HM14" s="547"/>
      <c r="HN14" s="547"/>
      <c r="HO14" s="547"/>
      <c r="HP14" s="547"/>
      <c r="HQ14" s="547"/>
      <c r="HR14" s="547"/>
      <c r="IV14" s="548"/>
    </row>
    <row r="15" spans="1:371" ht="8.1" customHeight="1">
      <c r="A15" s="545">
        <f t="shared" si="66"/>
        <v>1959</v>
      </c>
      <c r="B15" s="546">
        <v>40306</v>
      </c>
      <c r="D15" s="546">
        <v>40445</v>
      </c>
      <c r="DK15" s="547"/>
      <c r="DL15" s="547"/>
      <c r="DM15" s="547"/>
      <c r="DN15" s="547"/>
      <c r="DO15" s="547"/>
      <c r="DP15" s="547"/>
      <c r="DQ15" s="547"/>
      <c r="DR15" s="547"/>
      <c r="DS15" s="547"/>
      <c r="DT15" s="547"/>
      <c r="DU15" s="547"/>
      <c r="DV15" s="547"/>
      <c r="DW15" s="556"/>
      <c r="DX15" s="547"/>
      <c r="DY15" s="547"/>
      <c r="DZ15" s="547"/>
      <c r="EA15" s="547"/>
      <c r="EB15" s="547"/>
      <c r="EC15" s="547"/>
      <c r="ED15" s="547"/>
      <c r="EE15" s="549"/>
      <c r="EF15" s="547"/>
      <c r="EG15" s="547"/>
      <c r="EH15" s="547"/>
      <c r="EI15" s="547"/>
      <c r="EJ15" s="547"/>
      <c r="EK15" s="547"/>
      <c r="EL15" s="547"/>
      <c r="EM15" s="549"/>
      <c r="EN15" s="547"/>
      <c r="EO15" s="547"/>
      <c r="EP15" s="547"/>
      <c r="EQ15" s="547"/>
      <c r="ER15" s="547"/>
      <c r="ES15" s="547"/>
      <c r="ET15" s="547"/>
      <c r="EU15" s="549"/>
      <c r="EV15" s="547"/>
      <c r="EW15" s="547"/>
      <c r="EX15" s="547"/>
      <c r="EY15" s="547"/>
      <c r="EZ15" s="547"/>
      <c r="FA15" s="547"/>
      <c r="FB15" s="547"/>
      <c r="FC15" s="547"/>
      <c r="FD15" s="547"/>
      <c r="FE15" s="547"/>
      <c r="FF15" s="547"/>
      <c r="FG15" s="547"/>
      <c r="FH15" s="547"/>
      <c r="FI15" s="547"/>
      <c r="FJ15" s="547"/>
      <c r="FK15" s="547"/>
      <c r="FL15" s="547"/>
      <c r="FM15" s="547"/>
      <c r="FN15" s="547"/>
      <c r="FO15" s="547"/>
      <c r="FP15" s="554"/>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9"/>
      <c r="GP15" s="547"/>
      <c r="GQ15" s="547"/>
      <c r="GR15" s="547"/>
      <c r="GS15" s="549"/>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JM15" s="548"/>
    </row>
    <row r="16" spans="1:371" ht="8.1" customHeight="1">
      <c r="A16" s="545">
        <f t="shared" si="66"/>
        <v>1960</v>
      </c>
      <c r="B16" s="546">
        <v>40280</v>
      </c>
      <c r="D16" s="546">
        <v>40344</v>
      </c>
      <c r="DD16" s="548"/>
      <c r="DK16" s="547"/>
      <c r="DL16" s="547"/>
      <c r="DM16" s="547"/>
      <c r="DN16" s="547"/>
      <c r="DO16" s="547"/>
      <c r="DP16" s="547"/>
      <c r="DQ16" s="547"/>
      <c r="DR16" s="547"/>
      <c r="DS16" s="547"/>
      <c r="DT16" s="547"/>
      <c r="DU16" s="547"/>
      <c r="DV16" s="547"/>
      <c r="DW16" s="556"/>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9"/>
      <c r="EY16" s="547"/>
      <c r="EZ16" s="547"/>
      <c r="FA16" s="547"/>
      <c r="FB16" s="547"/>
      <c r="FC16" s="547"/>
      <c r="FD16" s="547"/>
      <c r="FE16" s="547"/>
      <c r="FF16" s="547"/>
      <c r="FG16" s="547"/>
      <c r="FH16" s="547"/>
      <c r="FI16" s="549"/>
      <c r="FJ16" s="549"/>
      <c r="FK16" s="549"/>
      <c r="FL16" s="547"/>
      <c r="FM16" s="547"/>
      <c r="FN16" s="547"/>
      <c r="FO16" s="547"/>
      <c r="FP16" s="555"/>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row>
    <row r="17" spans="1:374" ht="8.1" customHeight="1">
      <c r="A17" s="545">
        <f t="shared" si="66"/>
        <v>1961</v>
      </c>
      <c r="B17" s="546">
        <v>40302</v>
      </c>
      <c r="D17" s="546">
        <v>40373</v>
      </c>
      <c r="DK17" s="547"/>
      <c r="DL17" s="547"/>
      <c r="DM17" s="547"/>
      <c r="DN17" s="547"/>
      <c r="DO17" s="547"/>
      <c r="DP17" s="547"/>
      <c r="DQ17" s="547"/>
      <c r="DR17" s="547"/>
      <c r="DS17" s="547"/>
      <c r="DT17" s="547"/>
      <c r="DU17" s="547"/>
      <c r="DV17" s="547"/>
      <c r="DW17" s="556"/>
      <c r="DX17" s="547"/>
      <c r="DY17" s="547"/>
      <c r="DZ17" s="549"/>
      <c r="EA17" s="547"/>
      <c r="EB17" s="547"/>
      <c r="EC17" s="547"/>
      <c r="ED17" s="547"/>
      <c r="EE17" s="547"/>
      <c r="EF17" s="547"/>
      <c r="EG17" s="547"/>
      <c r="EH17" s="547"/>
      <c r="EI17" s="547"/>
      <c r="EJ17" s="547"/>
      <c r="EK17" s="547"/>
      <c r="EL17" s="549"/>
      <c r="EM17" s="547"/>
      <c r="EN17" s="547"/>
      <c r="EO17" s="547"/>
      <c r="EP17" s="547"/>
      <c r="EQ17" s="547"/>
      <c r="ER17" s="547"/>
      <c r="ES17" s="547"/>
      <c r="ET17" s="547"/>
      <c r="EU17" s="547"/>
      <c r="EV17" s="547"/>
      <c r="EW17" s="547"/>
      <c r="EX17" s="547"/>
      <c r="EY17" s="547"/>
      <c r="EZ17" s="547"/>
      <c r="FA17" s="547"/>
      <c r="FB17" s="547"/>
      <c r="FC17" s="549"/>
      <c r="FD17" s="549"/>
      <c r="FE17" s="547"/>
      <c r="FF17" s="549"/>
      <c r="FG17" s="547"/>
      <c r="FH17" s="549"/>
      <c r="FI17" s="547"/>
      <c r="FJ17" s="547"/>
      <c r="FK17" s="547"/>
      <c r="FL17" s="547"/>
      <c r="FM17" s="547"/>
      <c r="FN17" s="547"/>
      <c r="FO17" s="547"/>
      <c r="FP17" s="554"/>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9"/>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row>
    <row r="18" spans="1:374" ht="8.1" customHeight="1">
      <c r="A18" s="545">
        <f t="shared" si="66"/>
        <v>1962</v>
      </c>
      <c r="B18" s="546">
        <v>40315</v>
      </c>
      <c r="D18" s="546">
        <v>40420</v>
      </c>
      <c r="DK18" s="547"/>
      <c r="DL18" s="547"/>
      <c r="DM18" s="547"/>
      <c r="DN18" s="547"/>
      <c r="DO18" s="547"/>
      <c r="DP18" s="547"/>
      <c r="DQ18" s="547"/>
      <c r="DR18" s="547"/>
      <c r="DS18" s="547"/>
      <c r="DT18" s="547"/>
      <c r="DU18" s="547"/>
      <c r="DV18" s="547"/>
      <c r="DW18" s="556"/>
      <c r="DX18" s="547"/>
      <c r="DY18" s="547"/>
      <c r="DZ18" s="547"/>
      <c r="EA18" s="547"/>
      <c r="EB18" s="547"/>
      <c r="EC18" s="547"/>
      <c r="ED18" s="547"/>
      <c r="EE18" s="547"/>
      <c r="EF18" s="547"/>
      <c r="EG18" s="547"/>
      <c r="EH18" s="547"/>
      <c r="EI18" s="547"/>
      <c r="EJ18" s="547"/>
      <c r="EK18" s="547"/>
      <c r="EL18" s="547"/>
      <c r="EM18" s="549"/>
      <c r="EN18" s="547"/>
      <c r="EO18" s="547"/>
      <c r="EP18" s="547"/>
      <c r="EQ18" s="547"/>
      <c r="ER18" s="547"/>
      <c r="ES18" s="547"/>
      <c r="ET18" s="547"/>
      <c r="EU18" s="547"/>
      <c r="EV18" s="547"/>
      <c r="EW18" s="549"/>
      <c r="EX18" s="547"/>
      <c r="EY18" s="547"/>
      <c r="EZ18" s="547"/>
      <c r="FA18" s="547"/>
      <c r="FB18" s="547"/>
      <c r="FC18" s="547"/>
      <c r="FD18" s="549"/>
      <c r="FE18" s="547"/>
      <c r="FF18" s="547"/>
      <c r="FG18" s="549"/>
      <c r="FH18" s="547"/>
      <c r="FI18" s="549"/>
      <c r="FJ18" s="547"/>
      <c r="FK18" s="547"/>
      <c r="FL18" s="547"/>
      <c r="FM18" s="547"/>
      <c r="FN18" s="547"/>
      <c r="FO18" s="549"/>
      <c r="FP18" s="554"/>
      <c r="FQ18" s="547"/>
      <c r="FR18" s="547"/>
      <c r="FS18" s="547"/>
      <c r="FT18" s="547"/>
      <c r="FU18" s="547"/>
      <c r="FV18" s="547"/>
      <c r="FW18" s="549"/>
      <c r="FX18" s="547"/>
      <c r="FY18" s="549"/>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IN18" s="548"/>
    </row>
    <row r="19" spans="1:374" ht="8.1" customHeight="1">
      <c r="A19" s="545">
        <f t="shared" si="66"/>
        <v>1963</v>
      </c>
      <c r="B19" s="546">
        <v>40302</v>
      </c>
      <c r="D19" s="546">
        <v>40374</v>
      </c>
      <c r="DK19" s="547"/>
      <c r="DL19" s="547"/>
      <c r="DM19" s="547"/>
      <c r="DN19" s="547"/>
      <c r="DO19" s="547"/>
      <c r="DP19" s="547"/>
      <c r="DQ19" s="547"/>
      <c r="DR19" s="547"/>
      <c r="DS19" s="547"/>
      <c r="DT19" s="547"/>
      <c r="DU19" s="547"/>
      <c r="DV19" s="547"/>
      <c r="DW19" s="556"/>
      <c r="DX19" s="547"/>
      <c r="DY19" s="547"/>
      <c r="DZ19" s="549"/>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55"/>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9"/>
      <c r="GQ19" s="547"/>
      <c r="GR19" s="547"/>
      <c r="GS19" s="547"/>
      <c r="GT19" s="549"/>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row>
    <row r="20" spans="1:374" ht="8.1" customHeight="1">
      <c r="A20" s="545">
        <f t="shared" si="66"/>
        <v>1964</v>
      </c>
      <c r="B20" s="546">
        <v>40308</v>
      </c>
      <c r="D20" s="546">
        <v>40409</v>
      </c>
      <c r="DK20" s="547"/>
      <c r="DL20" s="547"/>
      <c r="DM20" s="547"/>
      <c r="DN20" s="547"/>
      <c r="DO20" s="547"/>
      <c r="DP20" s="547"/>
      <c r="DQ20" s="547"/>
      <c r="DR20" s="547"/>
      <c r="DS20" s="547"/>
      <c r="DT20" s="547"/>
      <c r="DU20" s="547"/>
      <c r="DV20" s="547"/>
      <c r="DW20" s="556"/>
      <c r="DX20" s="547"/>
      <c r="DY20" s="547"/>
      <c r="DZ20" s="547"/>
      <c r="EA20" s="547"/>
      <c r="EB20" s="547"/>
      <c r="EC20" s="547"/>
      <c r="ED20" s="547"/>
      <c r="EE20" s="547"/>
      <c r="EF20" s="549"/>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9"/>
      <c r="FN20" s="547"/>
      <c r="FO20" s="547"/>
      <c r="FP20" s="554"/>
      <c r="FQ20" s="547"/>
      <c r="FR20" s="547"/>
      <c r="FS20" s="547"/>
      <c r="FT20" s="547"/>
      <c r="FU20" s="547"/>
      <c r="FV20" s="547"/>
      <c r="FW20" s="549"/>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IC20" s="548"/>
    </row>
    <row r="21" spans="1:374" ht="8.1" customHeight="1">
      <c r="A21" s="545">
        <f t="shared" si="66"/>
        <v>1965</v>
      </c>
      <c r="B21" s="546">
        <v>40302</v>
      </c>
      <c r="D21" s="546">
        <v>40354</v>
      </c>
      <c r="DK21" s="547"/>
      <c r="DL21" s="547"/>
      <c r="DM21" s="547"/>
      <c r="DN21" s="547"/>
      <c r="DO21" s="547"/>
      <c r="DP21" s="547"/>
      <c r="DQ21" s="547"/>
      <c r="DR21" s="547"/>
      <c r="DS21" s="547"/>
      <c r="DT21" s="547"/>
      <c r="DU21" s="547"/>
      <c r="DV21" s="547"/>
      <c r="DW21" s="556"/>
      <c r="DX21" s="547"/>
      <c r="DY21" s="547"/>
      <c r="DZ21" s="549"/>
      <c r="EA21" s="547"/>
      <c r="EB21" s="547"/>
      <c r="EC21" s="549"/>
      <c r="ED21" s="547"/>
      <c r="EE21" s="547"/>
      <c r="EF21" s="547"/>
      <c r="EG21" s="547"/>
      <c r="EH21" s="547"/>
      <c r="EI21" s="547"/>
      <c r="EJ21" s="547"/>
      <c r="EK21" s="547"/>
      <c r="EL21" s="547"/>
      <c r="EM21" s="547"/>
      <c r="EN21" s="547"/>
      <c r="EO21" s="547"/>
      <c r="EP21" s="547"/>
      <c r="EQ21" s="547"/>
      <c r="ER21" s="547"/>
      <c r="ES21" s="547"/>
      <c r="ET21" s="547"/>
      <c r="EU21" s="549"/>
      <c r="EV21" s="547"/>
      <c r="EW21" s="547"/>
      <c r="EX21" s="547"/>
      <c r="EY21" s="547"/>
      <c r="EZ21" s="547"/>
      <c r="FA21" s="547"/>
      <c r="FB21" s="547"/>
      <c r="FC21" s="547"/>
      <c r="FD21" s="549"/>
      <c r="FE21" s="549"/>
      <c r="FF21" s="547"/>
      <c r="FG21" s="547"/>
      <c r="FH21" s="547"/>
      <c r="FI21" s="547"/>
      <c r="FJ21" s="549"/>
      <c r="FK21" s="547"/>
      <c r="FL21" s="547"/>
      <c r="FM21" s="547"/>
      <c r="FN21" s="547"/>
      <c r="FO21" s="549"/>
      <c r="FP21" s="554"/>
      <c r="FQ21" s="547"/>
      <c r="FR21" s="547"/>
      <c r="FS21" s="547"/>
      <c r="FT21" s="547"/>
      <c r="FU21" s="547"/>
      <c r="FV21" s="547"/>
      <c r="FW21" s="547"/>
      <c r="FX21" s="547"/>
      <c r="FY21" s="547"/>
      <c r="FZ21" s="549"/>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row>
    <row r="22" spans="1:374" ht="8.1" customHeight="1">
      <c r="A22" s="545">
        <f t="shared" si="66"/>
        <v>1966</v>
      </c>
      <c r="B22" s="546">
        <v>40343</v>
      </c>
      <c r="D22" s="546">
        <v>40438</v>
      </c>
      <c r="DK22" s="547"/>
      <c r="DL22" s="547"/>
      <c r="DM22" s="547"/>
      <c r="DN22" s="547"/>
      <c r="DO22" s="547"/>
      <c r="DP22" s="547"/>
      <c r="DQ22" s="547"/>
      <c r="DR22" s="547"/>
      <c r="DS22" s="547"/>
      <c r="DT22" s="547"/>
      <c r="DU22" s="547"/>
      <c r="DV22" s="547"/>
      <c r="DW22" s="556"/>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9"/>
      <c r="FP22" s="554"/>
      <c r="FQ22" s="547"/>
      <c r="FR22" s="549"/>
      <c r="FS22" s="547"/>
      <c r="FT22" s="547"/>
      <c r="FU22" s="549"/>
      <c r="FV22" s="547"/>
      <c r="FW22" s="547"/>
      <c r="FX22" s="547"/>
      <c r="FY22" s="547"/>
      <c r="FZ22" s="549"/>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9"/>
      <c r="GY22" s="547"/>
      <c r="GZ22" s="547"/>
      <c r="HA22" s="547"/>
      <c r="HB22" s="547"/>
      <c r="HC22" s="547"/>
      <c r="HD22" s="547"/>
      <c r="HE22" s="547"/>
      <c r="HF22" s="547"/>
      <c r="HG22" s="547"/>
      <c r="HH22" s="547"/>
      <c r="HI22" s="547"/>
      <c r="HJ22" s="547"/>
      <c r="HK22" s="547"/>
      <c r="HL22" s="547"/>
      <c r="HM22" s="547"/>
      <c r="HN22" s="547"/>
      <c r="HO22" s="547"/>
      <c r="HP22" s="547"/>
      <c r="HQ22" s="547"/>
      <c r="HR22" s="547"/>
      <c r="HS22" s="548"/>
      <c r="IB22" s="548"/>
      <c r="JF22" s="548"/>
    </row>
    <row r="23" spans="1:374" ht="8.1" customHeight="1">
      <c r="A23" s="545">
        <f t="shared" si="66"/>
        <v>1967</v>
      </c>
      <c r="B23" s="546">
        <v>40256</v>
      </c>
      <c r="D23" s="546">
        <v>40362</v>
      </c>
      <c r="CF23" s="548"/>
      <c r="DK23" s="547"/>
      <c r="DL23" s="549"/>
      <c r="DM23" s="547"/>
      <c r="DN23" s="547"/>
      <c r="DO23" s="547"/>
      <c r="DP23" s="547"/>
      <c r="DQ23" s="547"/>
      <c r="DR23" s="547"/>
      <c r="DS23" s="547"/>
      <c r="DT23" s="547"/>
      <c r="DU23" s="547"/>
      <c r="DV23" s="547"/>
      <c r="DW23" s="556"/>
      <c r="DX23" s="547"/>
      <c r="DY23" s="547"/>
      <c r="DZ23" s="547"/>
      <c r="EA23" s="549"/>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9"/>
      <c r="FA23" s="549"/>
      <c r="FB23" s="549"/>
      <c r="FC23" s="547"/>
      <c r="FD23" s="547"/>
      <c r="FE23" s="547"/>
      <c r="FF23" s="547"/>
      <c r="FG23" s="547"/>
      <c r="FH23" s="547"/>
      <c r="FI23" s="547"/>
      <c r="FJ23" s="549"/>
      <c r="FK23" s="547"/>
      <c r="FL23" s="547"/>
      <c r="FM23" s="547"/>
      <c r="FN23" s="547"/>
      <c r="FO23" s="549"/>
      <c r="FP23" s="555"/>
      <c r="FQ23" s="547"/>
      <c r="FR23" s="547"/>
      <c r="FS23" s="547"/>
      <c r="FT23" s="547"/>
      <c r="FU23" s="547"/>
      <c r="FV23" s="547"/>
      <c r="FW23" s="547"/>
      <c r="FX23" s="549"/>
      <c r="FY23" s="547"/>
      <c r="FZ23" s="547"/>
      <c r="GA23" s="547"/>
      <c r="GB23" s="547"/>
      <c r="GC23" s="549"/>
      <c r="GD23" s="547"/>
      <c r="GE23" s="549"/>
      <c r="GF23" s="547"/>
      <c r="GG23" s="547"/>
      <c r="GH23" s="549"/>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row>
    <row r="24" spans="1:374" ht="8.1" customHeight="1">
      <c r="A24" s="545">
        <f t="shared" si="66"/>
        <v>1968</v>
      </c>
      <c r="B24" s="546">
        <v>40270</v>
      </c>
      <c r="D24" s="546">
        <v>40460</v>
      </c>
      <c r="CT24" s="548"/>
      <c r="DK24" s="547"/>
      <c r="DL24" s="547"/>
      <c r="DM24" s="547"/>
      <c r="DN24" s="547"/>
      <c r="DO24" s="547"/>
      <c r="DP24" s="547"/>
      <c r="DQ24" s="547"/>
      <c r="DR24" s="547"/>
      <c r="DS24" s="547"/>
      <c r="DT24" s="547"/>
      <c r="DU24" s="547"/>
      <c r="DV24" s="547"/>
      <c r="DW24" s="556"/>
      <c r="DX24" s="547"/>
      <c r="DY24" s="549"/>
      <c r="DZ24" s="547"/>
      <c r="EA24" s="547"/>
      <c r="EB24" s="549"/>
      <c r="EC24" s="547"/>
      <c r="ED24" s="547"/>
      <c r="EE24" s="547"/>
      <c r="EF24" s="549"/>
      <c r="EG24" s="547"/>
      <c r="EH24" s="547"/>
      <c r="EI24" s="547"/>
      <c r="EJ24" s="547"/>
      <c r="EK24" s="547"/>
      <c r="EL24" s="547"/>
      <c r="EM24" s="547"/>
      <c r="EN24" s="547"/>
      <c r="EO24" s="547"/>
      <c r="EP24" s="547"/>
      <c r="EQ24" s="547"/>
      <c r="ER24" s="547"/>
      <c r="ES24" s="547"/>
      <c r="ET24" s="547"/>
      <c r="EU24" s="547"/>
      <c r="EV24" s="547"/>
      <c r="EW24" s="547"/>
      <c r="EX24" s="547"/>
      <c r="EY24" s="547"/>
      <c r="EZ24" s="549"/>
      <c r="FA24" s="549"/>
      <c r="FB24" s="547"/>
      <c r="FC24" s="547"/>
      <c r="FD24" s="547"/>
      <c r="FE24" s="547"/>
      <c r="FF24" s="547"/>
      <c r="FG24" s="549"/>
      <c r="FH24" s="549"/>
      <c r="FI24" s="549"/>
      <c r="FJ24" s="549"/>
      <c r="FK24" s="547"/>
      <c r="FL24" s="547"/>
      <c r="FM24" s="547"/>
      <c r="FN24" s="547"/>
      <c r="FO24" s="547"/>
      <c r="FP24" s="554"/>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9"/>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X24" s="548"/>
      <c r="KA24" s="548"/>
      <c r="KB24" s="548"/>
    </row>
    <row r="25" spans="1:374" ht="8.1" customHeight="1">
      <c r="A25" s="545">
        <f t="shared" si="66"/>
        <v>1969</v>
      </c>
      <c r="B25" s="546">
        <v>40300</v>
      </c>
      <c r="D25" s="546">
        <v>40352</v>
      </c>
      <c r="DK25" s="547"/>
      <c r="DL25" s="547"/>
      <c r="DM25" s="547"/>
      <c r="DN25" s="547"/>
      <c r="DO25" s="547"/>
      <c r="DP25" s="547"/>
      <c r="DQ25" s="547"/>
      <c r="DR25" s="547"/>
      <c r="DS25" s="547"/>
      <c r="DT25" s="547"/>
      <c r="DU25" s="547"/>
      <c r="DV25" s="547"/>
      <c r="DW25" s="556"/>
      <c r="DX25" s="549"/>
      <c r="DY25" s="547"/>
      <c r="DZ25" s="547"/>
      <c r="EA25" s="547"/>
      <c r="EB25" s="547"/>
      <c r="EC25" s="547"/>
      <c r="ED25" s="547"/>
      <c r="EE25" s="547"/>
      <c r="EF25" s="547"/>
      <c r="EG25" s="547"/>
      <c r="EH25" s="549"/>
      <c r="EI25" s="549"/>
      <c r="EJ25" s="549"/>
      <c r="EK25" s="549"/>
      <c r="EL25" s="549"/>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9"/>
      <c r="FI25" s="547"/>
      <c r="FJ25" s="547"/>
      <c r="FK25" s="549"/>
      <c r="FL25" s="547"/>
      <c r="FM25" s="547"/>
      <c r="FN25" s="547"/>
      <c r="FO25" s="547"/>
      <c r="FP25" s="554"/>
      <c r="FQ25" s="547"/>
      <c r="FR25" s="547"/>
      <c r="FS25" s="547"/>
      <c r="FT25" s="547"/>
      <c r="FU25" s="547"/>
      <c r="FV25" s="547"/>
      <c r="FW25" s="547"/>
      <c r="FX25" s="549"/>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row>
    <row r="26" spans="1:374" ht="8.1" customHeight="1">
      <c r="A26" s="545">
        <f t="shared" si="66"/>
        <v>1970</v>
      </c>
      <c r="B26" s="546">
        <v>40285</v>
      </c>
      <c r="D26" s="546">
        <v>40427</v>
      </c>
      <c r="DI26" s="548"/>
      <c r="DJ26" s="548"/>
      <c r="DK26" s="547"/>
      <c r="DL26" s="547"/>
      <c r="DM26" s="547"/>
      <c r="DN26" s="547"/>
      <c r="DO26" s="547"/>
      <c r="DP26" s="547"/>
      <c r="DQ26" s="547"/>
      <c r="DR26" s="547"/>
      <c r="DS26" s="547"/>
      <c r="DT26" s="547"/>
      <c r="DU26" s="547"/>
      <c r="DV26" s="547"/>
      <c r="DW26" s="556"/>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9"/>
      <c r="FB26" s="547"/>
      <c r="FC26" s="547"/>
      <c r="FD26" s="547"/>
      <c r="FE26" s="547"/>
      <c r="FF26" s="547"/>
      <c r="FG26" s="547"/>
      <c r="FH26" s="547"/>
      <c r="FI26" s="547"/>
      <c r="FJ26" s="547"/>
      <c r="FK26" s="547"/>
      <c r="FL26" s="547"/>
      <c r="FM26" s="547"/>
      <c r="FN26" s="547"/>
      <c r="FO26" s="547"/>
      <c r="FP26" s="554"/>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IU26" s="548"/>
    </row>
    <row r="27" spans="1:374" ht="8.1" customHeight="1">
      <c r="A27" s="545">
        <f t="shared" si="66"/>
        <v>1971</v>
      </c>
      <c r="B27" s="546">
        <v>40283</v>
      </c>
      <c r="D27" s="546">
        <v>40468</v>
      </c>
      <c r="DG27" s="548"/>
      <c r="DK27" s="549"/>
      <c r="DL27" s="547"/>
      <c r="DM27" s="547"/>
      <c r="DN27" s="549"/>
      <c r="DO27" s="547"/>
      <c r="DP27" s="547"/>
      <c r="DQ27" s="547"/>
      <c r="DR27" s="547"/>
      <c r="DS27" s="547"/>
      <c r="DT27" s="547"/>
      <c r="DU27" s="547"/>
      <c r="DV27" s="547"/>
      <c r="DW27" s="556"/>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9"/>
      <c r="EY27" s="547"/>
      <c r="EZ27" s="547"/>
      <c r="FA27" s="547"/>
      <c r="FB27" s="547"/>
      <c r="FC27" s="547"/>
      <c r="FD27" s="547"/>
      <c r="FE27" s="547"/>
      <c r="FF27" s="549"/>
      <c r="FG27" s="547"/>
      <c r="FH27" s="547"/>
      <c r="FI27" s="549"/>
      <c r="FJ27" s="549"/>
      <c r="FK27" s="547"/>
      <c r="FL27" s="549"/>
      <c r="FM27" s="547"/>
      <c r="FN27" s="549"/>
      <c r="FO27" s="547"/>
      <c r="FP27" s="554"/>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9"/>
      <c r="HQ27" s="547"/>
      <c r="HR27" s="547"/>
      <c r="KJ27" s="548"/>
    </row>
    <row r="28" spans="1:374" ht="8.1" customHeight="1">
      <c r="A28" s="545">
        <f t="shared" si="66"/>
        <v>1972</v>
      </c>
      <c r="B28" s="546">
        <v>40293</v>
      </c>
      <c r="D28" s="546">
        <v>40398</v>
      </c>
      <c r="DK28" s="547"/>
      <c r="DL28" s="547"/>
      <c r="DM28" s="547"/>
      <c r="DN28" s="547"/>
      <c r="DO28" s="547"/>
      <c r="DP28" s="547"/>
      <c r="DQ28" s="549"/>
      <c r="DR28" s="547"/>
      <c r="DS28" s="547"/>
      <c r="DT28" s="547"/>
      <c r="DU28" s="549"/>
      <c r="DV28" s="547"/>
      <c r="DW28" s="556"/>
      <c r="DX28" s="547"/>
      <c r="DY28" s="547"/>
      <c r="DZ28" s="549"/>
      <c r="EA28" s="547"/>
      <c r="EB28" s="547"/>
      <c r="EC28" s="547"/>
      <c r="ED28" s="547"/>
      <c r="EE28" s="549"/>
      <c r="EF28" s="549"/>
      <c r="EG28" s="547"/>
      <c r="EH28" s="547"/>
      <c r="EI28" s="549"/>
      <c r="EJ28" s="547"/>
      <c r="EK28" s="547"/>
      <c r="EL28" s="547"/>
      <c r="EM28" s="547"/>
      <c r="EN28" s="547"/>
      <c r="EO28" s="547"/>
      <c r="EP28" s="547"/>
      <c r="EQ28" s="547"/>
      <c r="ER28" s="547"/>
      <c r="ES28" s="547"/>
      <c r="ET28" s="549"/>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55"/>
      <c r="FQ28" s="547"/>
      <c r="FR28" s="547"/>
      <c r="FS28" s="547"/>
      <c r="FT28" s="547"/>
      <c r="FU28" s="547"/>
      <c r="FV28" s="549"/>
      <c r="FW28" s="547"/>
      <c r="FX28" s="547"/>
      <c r="FY28" s="547"/>
      <c r="FZ28" s="547"/>
      <c r="GA28" s="547"/>
      <c r="GB28" s="547"/>
      <c r="GC28" s="547"/>
      <c r="GD28" s="547"/>
      <c r="GE28" s="547"/>
      <c r="GF28" s="547"/>
      <c r="GG28" s="549"/>
      <c r="GH28" s="547"/>
      <c r="GI28" s="547"/>
      <c r="GJ28" s="547"/>
      <c r="GK28" s="547"/>
      <c r="GL28" s="547"/>
      <c r="GM28" s="547"/>
      <c r="GN28" s="547"/>
      <c r="GO28" s="547"/>
      <c r="GP28" s="547"/>
      <c r="GQ28" s="547"/>
      <c r="GR28" s="547"/>
      <c r="GS28" s="547"/>
      <c r="GT28" s="547"/>
      <c r="GU28" s="547"/>
      <c r="GV28" s="549"/>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9"/>
    </row>
    <row r="29" spans="1:374" ht="8.1" customHeight="1">
      <c r="A29" s="545">
        <f t="shared" si="66"/>
        <v>1973</v>
      </c>
      <c r="B29" s="546">
        <v>40260</v>
      </c>
      <c r="D29" s="546">
        <v>40398</v>
      </c>
      <c r="CJ29" s="548"/>
      <c r="DE29" s="548"/>
      <c r="DF29" s="548"/>
      <c r="DK29" s="547"/>
      <c r="DL29" s="547"/>
      <c r="DM29" s="547"/>
      <c r="DN29" s="547"/>
      <c r="DO29" s="549"/>
      <c r="DP29" s="547"/>
      <c r="DQ29" s="547"/>
      <c r="DR29" s="547"/>
      <c r="DS29" s="547"/>
      <c r="DT29" s="547"/>
      <c r="DU29" s="547"/>
      <c r="DV29" s="549"/>
      <c r="DW29" s="557"/>
      <c r="DX29" s="547"/>
      <c r="DY29" s="547"/>
      <c r="DZ29" s="547"/>
      <c r="EA29" s="547"/>
      <c r="EB29" s="547"/>
      <c r="EC29" s="547"/>
      <c r="ED29" s="547"/>
      <c r="EE29" s="547"/>
      <c r="EF29" s="547"/>
      <c r="EG29" s="547"/>
      <c r="EH29" s="547"/>
      <c r="EI29" s="547"/>
      <c r="EJ29" s="547"/>
      <c r="EK29" s="547"/>
      <c r="EL29" s="547"/>
      <c r="EM29" s="547"/>
      <c r="EN29" s="547"/>
      <c r="EO29" s="547"/>
      <c r="EP29" s="547"/>
      <c r="EQ29" s="547"/>
      <c r="ER29" s="549"/>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54"/>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9"/>
    </row>
    <row r="30" spans="1:374" ht="8.1" customHeight="1">
      <c r="A30" s="545">
        <f t="shared" si="66"/>
        <v>1974</v>
      </c>
      <c r="B30" s="546">
        <v>40246</v>
      </c>
      <c r="D30" s="546">
        <v>40397</v>
      </c>
      <c r="BV30" s="548"/>
      <c r="DB30" s="548"/>
      <c r="DK30" s="549"/>
      <c r="DL30" s="547"/>
      <c r="DM30" s="547"/>
      <c r="DN30" s="547"/>
      <c r="DO30" s="547"/>
      <c r="DP30" s="547"/>
      <c r="DQ30" s="547"/>
      <c r="DR30" s="547"/>
      <c r="DS30" s="547"/>
      <c r="DT30" s="549"/>
      <c r="DU30" s="547"/>
      <c r="DV30" s="547"/>
      <c r="DW30" s="556"/>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9"/>
      <c r="EU30" s="547"/>
      <c r="EV30" s="547"/>
      <c r="EW30" s="547"/>
      <c r="EX30" s="547"/>
      <c r="EY30" s="547"/>
      <c r="EZ30" s="547"/>
      <c r="FA30" s="547"/>
      <c r="FB30" s="547"/>
      <c r="FC30" s="547"/>
      <c r="FD30" s="549"/>
      <c r="FE30" s="547"/>
      <c r="FF30" s="547"/>
      <c r="FG30" s="547"/>
      <c r="FH30" s="549"/>
      <c r="FI30" s="547"/>
      <c r="FJ30" s="547"/>
      <c r="FK30" s="547"/>
      <c r="FL30" s="549"/>
      <c r="FM30" s="547"/>
      <c r="FN30" s="549"/>
      <c r="FO30" s="547"/>
      <c r="FP30" s="554"/>
      <c r="FQ30" s="547"/>
      <c r="FR30" s="547"/>
      <c r="FS30" s="547"/>
      <c r="FT30" s="547"/>
      <c r="FU30" s="547"/>
      <c r="FV30" s="549"/>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9"/>
      <c r="HR30" s="547"/>
    </row>
    <row r="31" spans="1:374" s="548" customFormat="1" ht="8.1" customHeight="1">
      <c r="A31" s="545">
        <f t="shared" si="66"/>
        <v>1975</v>
      </c>
      <c r="B31" s="546">
        <v>40263</v>
      </c>
      <c r="C31" s="545"/>
      <c r="D31" s="546">
        <v>40501</v>
      </c>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7"/>
      <c r="DL31" s="547"/>
      <c r="DM31" s="547"/>
      <c r="DN31" s="547"/>
      <c r="DO31" s="547"/>
      <c r="DP31" s="547"/>
      <c r="DQ31" s="547"/>
      <c r="DR31" s="547"/>
      <c r="DS31" s="547"/>
      <c r="DT31" s="547"/>
      <c r="DU31" s="547"/>
      <c r="DV31" s="547"/>
      <c r="DW31" s="556"/>
      <c r="DX31" s="547"/>
      <c r="DY31" s="547"/>
      <c r="DZ31" s="547"/>
      <c r="EA31" s="547"/>
      <c r="EB31" s="547"/>
      <c r="EC31" s="547"/>
      <c r="ED31" s="547"/>
      <c r="EE31" s="547"/>
      <c r="EF31" s="549"/>
      <c r="EG31" s="547"/>
      <c r="EH31" s="549"/>
      <c r="EI31" s="547"/>
      <c r="EJ31" s="547"/>
      <c r="EK31" s="547"/>
      <c r="EL31" s="547"/>
      <c r="EM31" s="547"/>
      <c r="EN31" s="547"/>
      <c r="EO31" s="547"/>
      <c r="EP31" s="547"/>
      <c r="EQ31" s="547"/>
      <c r="ER31" s="547"/>
      <c r="ES31" s="547"/>
      <c r="ET31" s="547"/>
      <c r="EU31" s="547"/>
      <c r="EV31" s="547"/>
      <c r="EW31" s="549"/>
      <c r="EX31" s="549"/>
      <c r="EY31" s="547"/>
      <c r="EZ31" s="547"/>
      <c r="FA31" s="547"/>
      <c r="FB31" s="547"/>
      <c r="FC31" s="547"/>
      <c r="FD31" s="547"/>
      <c r="FE31" s="547"/>
      <c r="FF31" s="547"/>
      <c r="FG31" s="547"/>
      <c r="FH31" s="547"/>
      <c r="FI31" s="547"/>
      <c r="FJ31" s="547"/>
      <c r="FK31" s="547"/>
      <c r="FL31" s="547"/>
      <c r="FM31" s="547"/>
      <c r="FN31" s="547"/>
      <c r="FO31" s="547"/>
      <c r="FP31" s="554"/>
      <c r="FQ31" s="547"/>
      <c r="FR31" s="547"/>
      <c r="FS31" s="547"/>
      <c r="FT31" s="547"/>
      <c r="FU31" s="547"/>
      <c r="FV31" s="547"/>
      <c r="FW31" s="547"/>
      <c r="FX31" s="547"/>
      <c r="FY31" s="547"/>
      <c r="FZ31" s="547"/>
      <c r="GA31" s="549"/>
      <c r="GB31" s="547"/>
      <c r="GC31" s="547"/>
      <c r="GD31" s="547"/>
      <c r="GE31" s="547"/>
      <c r="GF31" s="547"/>
      <c r="GG31" s="547"/>
      <c r="GH31" s="547"/>
      <c r="GI31" s="547"/>
      <c r="GJ31" s="547"/>
      <c r="GK31" s="547"/>
      <c r="GL31" s="547"/>
      <c r="GM31" s="547"/>
      <c r="GN31" s="549"/>
      <c r="GO31" s="549"/>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c r="IT31" s="545"/>
      <c r="IU31" s="545"/>
      <c r="IV31" s="545"/>
      <c r="IW31" s="545"/>
      <c r="IX31" s="545"/>
      <c r="IY31" s="545"/>
      <c r="IZ31" s="545"/>
      <c r="JA31" s="545"/>
      <c r="JB31" s="545"/>
      <c r="JC31" s="545"/>
      <c r="JD31" s="545"/>
      <c r="JE31" s="545"/>
      <c r="JF31" s="545"/>
      <c r="JG31" s="545"/>
      <c r="JH31" s="545"/>
      <c r="JI31" s="545"/>
      <c r="JJ31" s="545"/>
      <c r="JK31" s="545"/>
      <c r="JL31" s="545"/>
      <c r="JM31" s="545"/>
      <c r="JN31" s="545"/>
      <c r="JO31" s="545"/>
      <c r="JP31" s="545"/>
      <c r="JQ31" s="545"/>
      <c r="JR31" s="545"/>
      <c r="JS31" s="545"/>
      <c r="JT31" s="545"/>
      <c r="JU31" s="545"/>
      <c r="JV31" s="545"/>
      <c r="JW31" s="545"/>
      <c r="JX31" s="545"/>
      <c r="JY31" s="545"/>
      <c r="JZ31" s="545"/>
      <c r="KA31" s="545"/>
      <c r="KB31" s="545"/>
      <c r="KC31" s="545"/>
      <c r="KD31" s="545"/>
      <c r="KE31" s="545"/>
      <c r="KF31" s="545"/>
      <c r="KG31" s="545"/>
      <c r="KH31" s="545"/>
      <c r="KI31" s="545"/>
      <c r="KJ31" s="545"/>
      <c r="KK31" s="545"/>
      <c r="KL31" s="545"/>
      <c r="KM31" s="545"/>
      <c r="KN31" s="545"/>
      <c r="KO31" s="545"/>
      <c r="KP31" s="545"/>
      <c r="KQ31" s="545"/>
      <c r="KR31" s="545"/>
      <c r="KS31" s="545"/>
      <c r="KT31" s="545"/>
      <c r="KU31" s="545"/>
      <c r="KV31" s="545"/>
      <c r="KW31" s="545"/>
      <c r="KX31" s="545"/>
      <c r="KY31" s="545"/>
      <c r="KZ31" s="545"/>
      <c r="LA31" s="545"/>
      <c r="LB31" s="545"/>
      <c r="LC31" s="545"/>
      <c r="LD31" s="545"/>
      <c r="LE31" s="545"/>
      <c r="LF31" s="545"/>
      <c r="LG31" s="545"/>
      <c r="LH31" s="545"/>
      <c r="LI31" s="545"/>
      <c r="LJ31" s="545"/>
      <c r="LK31" s="545"/>
      <c r="LL31" s="545"/>
      <c r="LM31" s="545"/>
      <c r="LN31" s="545"/>
      <c r="LO31" s="545"/>
      <c r="LP31" s="545"/>
      <c r="LR31" s="545"/>
      <c r="LS31" s="545"/>
      <c r="LT31" s="545"/>
      <c r="LU31" s="545"/>
      <c r="LV31" s="545"/>
      <c r="LW31" s="545"/>
      <c r="LX31" s="545"/>
      <c r="LY31" s="545"/>
      <c r="LZ31" s="545"/>
      <c r="MA31" s="545"/>
      <c r="MB31" s="545"/>
      <c r="MC31" s="545"/>
      <c r="MD31" s="545"/>
      <c r="ME31" s="545"/>
      <c r="MF31" s="545"/>
      <c r="MG31" s="545"/>
      <c r="MH31" s="545"/>
      <c r="MI31" s="545"/>
      <c r="MJ31" s="545"/>
      <c r="MK31" s="545"/>
      <c r="ML31" s="545"/>
      <c r="MM31" s="545"/>
      <c r="MN31" s="545"/>
      <c r="MO31" s="545"/>
      <c r="MP31" s="545"/>
      <c r="MQ31" s="545"/>
      <c r="MR31" s="545"/>
      <c r="MS31" s="545"/>
      <c r="MT31" s="545"/>
      <c r="MU31" s="545"/>
      <c r="MV31" s="545"/>
      <c r="MW31" s="545"/>
      <c r="MX31" s="545"/>
      <c r="MY31" s="545"/>
      <c r="MZ31" s="545"/>
      <c r="NA31" s="545"/>
      <c r="NB31" s="545"/>
      <c r="NC31" s="545"/>
      <c r="ND31" s="545"/>
      <c r="NE31" s="545"/>
      <c r="NF31" s="545"/>
      <c r="NG31" s="545"/>
      <c r="NH31" s="545"/>
      <c r="NI31" s="545"/>
      <c r="NJ31" s="545"/>
    </row>
    <row r="32" spans="1:374" ht="8.1" customHeight="1">
      <c r="A32" s="545">
        <f t="shared" si="66"/>
        <v>1976</v>
      </c>
      <c r="B32" s="546">
        <v>40275</v>
      </c>
      <c r="D32" s="546">
        <v>40350</v>
      </c>
      <c r="CY32" s="548"/>
      <c r="DG32" s="548"/>
      <c r="DK32" s="549"/>
      <c r="DL32" s="547"/>
      <c r="DM32" s="547"/>
      <c r="DN32" s="547"/>
      <c r="DO32" s="547"/>
      <c r="DP32" s="547"/>
      <c r="DQ32" s="547"/>
      <c r="DR32" s="547"/>
      <c r="DS32" s="549"/>
      <c r="DT32" s="547"/>
      <c r="DU32" s="547"/>
      <c r="DV32" s="547"/>
      <c r="DW32" s="556"/>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54"/>
      <c r="FQ32" s="547"/>
      <c r="FR32" s="547"/>
      <c r="FS32" s="547"/>
      <c r="FT32" s="547"/>
      <c r="FU32" s="547"/>
      <c r="FV32" s="549"/>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row>
    <row r="33" spans="1:374" ht="8.1" customHeight="1">
      <c r="A33" s="545">
        <f t="shared" si="66"/>
        <v>1977</v>
      </c>
      <c r="B33" s="546">
        <v>40287</v>
      </c>
      <c r="D33" s="546">
        <v>40392</v>
      </c>
      <c r="DK33" s="549"/>
      <c r="DL33" s="547"/>
      <c r="DM33" s="547"/>
      <c r="DN33" s="547"/>
      <c r="DO33" s="547"/>
      <c r="DP33" s="547"/>
      <c r="DQ33" s="547"/>
      <c r="DR33" s="547"/>
      <c r="DS33" s="547"/>
      <c r="DT33" s="547"/>
      <c r="DU33" s="547"/>
      <c r="DV33" s="547"/>
      <c r="DW33" s="557"/>
      <c r="DX33" s="547"/>
      <c r="DY33" s="547"/>
      <c r="DZ33" s="547"/>
      <c r="EA33" s="547"/>
      <c r="EB33" s="547"/>
      <c r="EC33" s="547"/>
      <c r="ED33" s="547"/>
      <c r="EE33" s="547"/>
      <c r="EF33" s="547"/>
      <c r="EG33" s="547"/>
      <c r="EH33" s="547"/>
      <c r="EI33" s="547"/>
      <c r="EJ33" s="549"/>
      <c r="EK33" s="547"/>
      <c r="EL33" s="549"/>
      <c r="EM33" s="549"/>
      <c r="EN33" s="549"/>
      <c r="EO33" s="547"/>
      <c r="EP33" s="549"/>
      <c r="EQ33" s="547"/>
      <c r="ER33" s="549"/>
      <c r="ES33" s="547"/>
      <c r="ET33" s="547"/>
      <c r="EU33" s="549"/>
      <c r="EV33" s="547"/>
      <c r="EW33" s="547"/>
      <c r="EX33" s="547"/>
      <c r="EY33" s="547"/>
      <c r="EZ33" s="547"/>
      <c r="FA33" s="547"/>
      <c r="FB33" s="547"/>
      <c r="FC33" s="547"/>
      <c r="FD33" s="547"/>
      <c r="FE33" s="547"/>
      <c r="FF33" s="547"/>
      <c r="FG33" s="547"/>
      <c r="FH33" s="547"/>
      <c r="FI33" s="547"/>
      <c r="FJ33" s="547"/>
      <c r="FK33" s="547"/>
      <c r="FL33" s="547"/>
      <c r="FM33" s="547"/>
      <c r="FN33" s="547"/>
      <c r="FO33" s="547"/>
      <c r="FP33" s="554"/>
      <c r="FQ33" s="547"/>
      <c r="FR33" s="547"/>
      <c r="FS33" s="547"/>
      <c r="FT33" s="549"/>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9"/>
      <c r="HE33" s="547"/>
      <c r="HF33" s="547"/>
      <c r="HG33" s="547"/>
      <c r="HH33" s="547"/>
      <c r="HI33" s="547"/>
      <c r="HJ33" s="547"/>
      <c r="HK33" s="547"/>
      <c r="HL33" s="549"/>
      <c r="HM33" s="547"/>
      <c r="HN33" s="547"/>
      <c r="HO33" s="547"/>
      <c r="HP33" s="547"/>
      <c r="HQ33" s="547"/>
      <c r="HR33" s="547"/>
    </row>
    <row r="34" spans="1:374" ht="8.1" customHeight="1">
      <c r="A34" s="545">
        <f t="shared" si="66"/>
        <v>1978</v>
      </c>
      <c r="B34" s="546">
        <v>40298</v>
      </c>
      <c r="D34" s="546">
        <v>40360</v>
      </c>
      <c r="DK34" s="547"/>
      <c r="DL34" s="547"/>
      <c r="DM34" s="547"/>
      <c r="DN34" s="547"/>
      <c r="DO34" s="547"/>
      <c r="DP34" s="547"/>
      <c r="DQ34" s="547"/>
      <c r="DR34" s="547"/>
      <c r="DS34" s="547"/>
      <c r="DT34" s="547"/>
      <c r="DU34" s="547"/>
      <c r="DV34" s="549"/>
      <c r="DW34" s="556"/>
      <c r="DX34" s="547"/>
      <c r="DY34" s="549"/>
      <c r="DZ34" s="549"/>
      <c r="EA34" s="549"/>
      <c r="EB34" s="547"/>
      <c r="EC34" s="547"/>
      <c r="ED34" s="547"/>
      <c r="EE34" s="547"/>
      <c r="EF34" s="547"/>
      <c r="EG34" s="547"/>
      <c r="EH34" s="547"/>
      <c r="EI34" s="547"/>
      <c r="EJ34" s="547"/>
      <c r="EK34" s="547"/>
      <c r="EL34" s="547"/>
      <c r="EM34" s="547"/>
      <c r="EN34" s="547"/>
      <c r="EO34" s="547"/>
      <c r="EP34" s="549"/>
      <c r="EQ34" s="547"/>
      <c r="ER34" s="547"/>
      <c r="ES34" s="547"/>
      <c r="ET34" s="547"/>
      <c r="EU34" s="549"/>
      <c r="EV34" s="549"/>
      <c r="EW34" s="549"/>
      <c r="EX34" s="547"/>
      <c r="EY34" s="547"/>
      <c r="EZ34" s="547"/>
      <c r="FA34" s="549"/>
      <c r="FB34" s="547"/>
      <c r="FC34" s="547"/>
      <c r="FD34" s="547"/>
      <c r="FE34" s="549"/>
      <c r="FF34" s="547"/>
      <c r="FG34" s="547"/>
      <c r="FH34" s="547"/>
      <c r="FI34" s="547"/>
      <c r="FJ34" s="547"/>
      <c r="FK34" s="547"/>
      <c r="FL34" s="547"/>
      <c r="FM34" s="547"/>
      <c r="FN34" s="547"/>
      <c r="FO34" s="547"/>
      <c r="FP34" s="554"/>
      <c r="FQ34" s="547"/>
      <c r="FR34" s="547"/>
      <c r="FS34" s="547"/>
      <c r="FT34" s="547"/>
      <c r="FU34" s="547"/>
      <c r="FV34" s="547"/>
      <c r="FW34" s="547"/>
      <c r="FX34" s="547"/>
      <c r="FY34" s="547"/>
      <c r="FZ34" s="547"/>
      <c r="GA34" s="547"/>
      <c r="GB34" s="547"/>
      <c r="GC34" s="547"/>
      <c r="GD34" s="547"/>
      <c r="GE34" s="547"/>
      <c r="GF34" s="549"/>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row>
    <row r="35" spans="1:374" ht="8.1" customHeight="1">
      <c r="A35" s="545">
        <f t="shared" si="66"/>
        <v>1979</v>
      </c>
      <c r="B35" s="546">
        <v>40255</v>
      </c>
      <c r="D35" s="546">
        <v>40415</v>
      </c>
      <c r="CE35" s="548"/>
      <c r="DK35" s="547"/>
      <c r="DL35" s="547"/>
      <c r="DM35" s="547"/>
      <c r="DN35" s="547"/>
      <c r="DO35" s="547"/>
      <c r="DP35" s="547"/>
      <c r="DQ35" s="547"/>
      <c r="DR35" s="547"/>
      <c r="DS35" s="547"/>
      <c r="DT35" s="547"/>
      <c r="DU35" s="547"/>
      <c r="DV35" s="547"/>
      <c r="DW35" s="556"/>
      <c r="DX35" s="547"/>
      <c r="DY35" s="547"/>
      <c r="DZ35" s="547"/>
      <c r="EA35" s="547"/>
      <c r="EB35" s="547"/>
      <c r="EC35" s="547"/>
      <c r="ED35" s="547"/>
      <c r="EE35" s="549"/>
      <c r="EF35" s="547"/>
      <c r="EG35" s="547"/>
      <c r="EH35" s="547"/>
      <c r="EI35" s="547"/>
      <c r="EJ35" s="547"/>
      <c r="EK35" s="547"/>
      <c r="EL35" s="547"/>
      <c r="EM35" s="547"/>
      <c r="EN35" s="547"/>
      <c r="EO35" s="547"/>
      <c r="EP35" s="547"/>
      <c r="EQ35" s="547"/>
      <c r="ER35" s="547"/>
      <c r="ES35" s="547"/>
      <c r="ET35" s="547"/>
      <c r="EU35" s="547"/>
      <c r="EV35" s="549"/>
      <c r="EW35" s="549"/>
      <c r="EX35" s="547"/>
      <c r="EY35" s="547"/>
      <c r="EZ35" s="547"/>
      <c r="FA35" s="547"/>
      <c r="FB35" s="547"/>
      <c r="FC35" s="547"/>
      <c r="FD35" s="547"/>
      <c r="FE35" s="547"/>
      <c r="FF35" s="547"/>
      <c r="FG35" s="547"/>
      <c r="FH35" s="547"/>
      <c r="FI35" s="547"/>
      <c r="FJ35" s="547"/>
      <c r="FK35" s="547"/>
      <c r="FL35" s="547"/>
      <c r="FM35" s="547"/>
      <c r="FN35" s="547"/>
      <c r="FO35" s="547"/>
      <c r="FP35" s="554"/>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9"/>
      <c r="GM35" s="547"/>
      <c r="GN35" s="547"/>
      <c r="GO35" s="547"/>
      <c r="GP35" s="547"/>
      <c r="GQ35" s="547"/>
      <c r="GR35" s="547"/>
      <c r="GS35" s="547"/>
      <c r="GT35" s="547"/>
      <c r="GU35" s="547"/>
      <c r="GV35" s="547"/>
      <c r="GW35" s="547"/>
      <c r="GX35" s="547"/>
      <c r="GY35" s="547"/>
      <c r="GZ35" s="547"/>
      <c r="HA35" s="547"/>
      <c r="HB35" s="549"/>
      <c r="HC35" s="549"/>
      <c r="HD35" s="547"/>
      <c r="HE35" s="547"/>
      <c r="HF35" s="547"/>
      <c r="HG35" s="547"/>
      <c r="HH35" s="547"/>
      <c r="HI35" s="547"/>
      <c r="HJ35" s="547"/>
      <c r="HK35" s="547"/>
      <c r="HL35" s="547"/>
      <c r="HM35" s="547"/>
      <c r="HN35" s="547"/>
      <c r="HO35" s="547"/>
      <c r="HP35" s="547"/>
      <c r="HQ35" s="547"/>
      <c r="HR35" s="547"/>
      <c r="IE35" s="548"/>
      <c r="II35" s="548"/>
    </row>
    <row r="36" spans="1:374" ht="8.1" customHeight="1">
      <c r="A36" s="545">
        <f t="shared" si="66"/>
        <v>1980</v>
      </c>
      <c r="B36" s="546">
        <v>40292</v>
      </c>
      <c r="D36" s="546">
        <v>40395</v>
      </c>
      <c r="DK36" s="547"/>
      <c r="DL36" s="547"/>
      <c r="DM36" s="547"/>
      <c r="DN36" s="547"/>
      <c r="DO36" s="547"/>
      <c r="DP36" s="549"/>
      <c r="DQ36" s="547"/>
      <c r="DR36" s="547"/>
      <c r="DS36" s="547"/>
      <c r="DT36" s="547"/>
      <c r="DU36" s="547"/>
      <c r="DV36" s="547"/>
      <c r="DW36" s="556"/>
      <c r="DX36" s="547"/>
      <c r="DY36" s="547"/>
      <c r="DZ36" s="547"/>
      <c r="EA36" s="547"/>
      <c r="EB36" s="547"/>
      <c r="EC36" s="547"/>
      <c r="ED36" s="547"/>
      <c r="EE36" s="547"/>
      <c r="EF36" s="547"/>
      <c r="EG36" s="547"/>
      <c r="EH36" s="547"/>
      <c r="EI36" s="547"/>
      <c r="EJ36" s="547"/>
      <c r="EK36" s="547"/>
      <c r="EL36" s="547"/>
      <c r="EM36" s="547"/>
      <c r="EN36" s="547"/>
      <c r="EO36" s="547"/>
      <c r="EP36" s="549"/>
      <c r="EQ36" s="547"/>
      <c r="ER36" s="547"/>
      <c r="ES36" s="547"/>
      <c r="ET36" s="547"/>
      <c r="EU36" s="547"/>
      <c r="EV36" s="547"/>
      <c r="EW36" s="549"/>
      <c r="EX36" s="549"/>
      <c r="EY36" s="549"/>
      <c r="EZ36" s="547"/>
      <c r="FA36" s="547"/>
      <c r="FB36" s="547"/>
      <c r="FC36" s="547"/>
      <c r="FD36" s="547"/>
      <c r="FE36" s="549"/>
      <c r="FF36" s="547"/>
      <c r="FG36" s="547"/>
      <c r="FH36" s="547"/>
      <c r="FI36" s="547"/>
      <c r="FJ36" s="547"/>
      <c r="FK36" s="547"/>
      <c r="FL36" s="547"/>
      <c r="FM36" s="547"/>
      <c r="FN36" s="547"/>
      <c r="FO36" s="547"/>
      <c r="FP36" s="554"/>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9"/>
      <c r="HP36" s="547"/>
      <c r="HQ36" s="547"/>
      <c r="HR36" s="547"/>
    </row>
    <row r="37" spans="1:374" ht="8.1" customHeight="1">
      <c r="A37" s="545">
        <f t="shared" si="66"/>
        <v>1981</v>
      </c>
      <c r="B37" s="546">
        <v>40240</v>
      </c>
      <c r="D37" s="546">
        <v>40396</v>
      </c>
      <c r="BP37" s="548"/>
      <c r="DK37" s="547"/>
      <c r="DL37" s="547"/>
      <c r="DM37" s="547"/>
      <c r="DN37" s="547"/>
      <c r="DO37" s="547"/>
      <c r="DP37" s="547"/>
      <c r="DQ37" s="547"/>
      <c r="DR37" s="547"/>
      <c r="DS37" s="547"/>
      <c r="DT37" s="547"/>
      <c r="DU37" s="547"/>
      <c r="DV37" s="547"/>
      <c r="DW37" s="556"/>
      <c r="DX37" s="547"/>
      <c r="DY37" s="547"/>
      <c r="DZ37" s="547"/>
      <c r="EA37" s="547"/>
      <c r="EB37" s="549"/>
      <c r="EC37" s="547"/>
      <c r="ED37" s="549"/>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9"/>
      <c r="FC37" s="549"/>
      <c r="FD37" s="547"/>
      <c r="FE37" s="547"/>
      <c r="FF37" s="547"/>
      <c r="FG37" s="547"/>
      <c r="FH37" s="547"/>
      <c r="FI37" s="547"/>
      <c r="FJ37" s="547"/>
      <c r="FK37" s="547"/>
      <c r="FL37" s="549"/>
      <c r="FM37" s="547"/>
      <c r="FN37" s="547"/>
      <c r="FO37" s="547"/>
      <c r="FP37" s="554"/>
      <c r="FQ37" s="547"/>
      <c r="FR37" s="547"/>
      <c r="FS37" s="547"/>
      <c r="FT37" s="547"/>
      <c r="FU37" s="547"/>
      <c r="FV37" s="547"/>
      <c r="FW37" s="547"/>
      <c r="FX37" s="547"/>
      <c r="FY37" s="547"/>
      <c r="FZ37" s="547"/>
      <c r="GA37" s="547"/>
      <c r="GB37" s="547"/>
      <c r="GC37" s="547"/>
      <c r="GD37" s="547"/>
      <c r="GE37" s="547"/>
      <c r="GF37" s="547"/>
      <c r="GG37" s="547"/>
      <c r="GH37" s="547"/>
      <c r="GI37" s="549"/>
      <c r="GJ37" s="547"/>
      <c r="GK37" s="547"/>
      <c r="GL37" s="549"/>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9"/>
      <c r="HQ37" s="547"/>
      <c r="HR37" s="547"/>
    </row>
    <row r="38" spans="1:374" ht="8.1" customHeight="1">
      <c r="A38" s="545">
        <f t="shared" si="66"/>
        <v>1982</v>
      </c>
      <c r="B38" s="546">
        <v>40255</v>
      </c>
      <c r="D38" s="546">
        <v>40405</v>
      </c>
      <c r="CE38" s="548"/>
      <c r="DK38" s="547"/>
      <c r="DL38" s="547"/>
      <c r="DM38" s="547"/>
      <c r="DN38" s="547"/>
      <c r="DO38" s="547"/>
      <c r="DP38" s="547"/>
      <c r="DQ38" s="547"/>
      <c r="DR38" s="547"/>
      <c r="DS38" s="547"/>
      <c r="DT38" s="547"/>
      <c r="DU38" s="547"/>
      <c r="DV38" s="547"/>
      <c r="DW38" s="556"/>
      <c r="DX38" s="547"/>
      <c r="DY38" s="547"/>
      <c r="DZ38" s="547"/>
      <c r="EA38" s="547"/>
      <c r="EB38" s="547"/>
      <c r="EC38" s="547"/>
      <c r="ED38" s="547"/>
      <c r="EE38" s="549"/>
      <c r="EF38" s="547"/>
      <c r="EG38" s="549"/>
      <c r="EH38" s="549"/>
      <c r="EI38" s="547"/>
      <c r="EJ38" s="547"/>
      <c r="EK38" s="547"/>
      <c r="EL38" s="547"/>
      <c r="EM38" s="549"/>
      <c r="EN38" s="549"/>
      <c r="EO38" s="549"/>
      <c r="EP38" s="547"/>
      <c r="EQ38" s="547"/>
      <c r="ER38" s="547"/>
      <c r="ES38" s="547"/>
      <c r="ET38" s="549"/>
      <c r="EU38" s="547"/>
      <c r="EV38" s="547"/>
      <c r="EW38" s="547"/>
      <c r="EX38" s="547"/>
      <c r="EY38" s="547"/>
      <c r="EZ38" s="549"/>
      <c r="FA38" s="547"/>
      <c r="FB38" s="547"/>
      <c r="FC38" s="547"/>
      <c r="FD38" s="547"/>
      <c r="FE38" s="547"/>
      <c r="FF38" s="549"/>
      <c r="FG38" s="547"/>
      <c r="FH38" s="547"/>
      <c r="FI38" s="547"/>
      <c r="FJ38" s="547"/>
      <c r="FK38" s="547"/>
      <c r="FL38" s="547"/>
      <c r="FM38" s="547"/>
      <c r="FN38" s="547"/>
      <c r="FO38" s="549"/>
      <c r="FP38" s="554"/>
      <c r="FQ38" s="547"/>
      <c r="FR38" s="547"/>
      <c r="FS38" s="547"/>
      <c r="FT38" s="547"/>
      <c r="FU38" s="547"/>
      <c r="FV38" s="547"/>
      <c r="FW38" s="547"/>
      <c r="FX38" s="549"/>
      <c r="FY38" s="549"/>
      <c r="FZ38" s="547"/>
      <c r="GA38" s="547"/>
      <c r="GB38" s="547"/>
      <c r="GC38" s="547"/>
      <c r="GD38" s="547"/>
      <c r="GE38" s="547"/>
      <c r="GF38" s="547"/>
      <c r="GG38" s="547"/>
      <c r="GH38" s="547"/>
      <c r="GI38" s="547"/>
      <c r="GJ38" s="547"/>
      <c r="GK38" s="547"/>
      <c r="GL38" s="547"/>
      <c r="GM38" s="547"/>
      <c r="GN38" s="549"/>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Y38" s="548"/>
    </row>
    <row r="39" spans="1:374" ht="8.1" customHeight="1">
      <c r="A39" s="545">
        <f t="shared" ref="A39:A81" si="67">+A38+1</f>
        <v>1983</v>
      </c>
      <c r="B39" s="546">
        <v>40240</v>
      </c>
      <c r="D39" s="546">
        <v>40411</v>
      </c>
      <c r="BP39" s="548"/>
      <c r="DK39" s="547"/>
      <c r="DL39" s="547"/>
      <c r="DM39" s="547"/>
      <c r="DN39" s="547"/>
      <c r="DO39" s="547"/>
      <c r="DP39" s="547"/>
      <c r="DQ39" s="547"/>
      <c r="DR39" s="547"/>
      <c r="DS39" s="547"/>
      <c r="DT39" s="547"/>
      <c r="DU39" s="547"/>
      <c r="DV39" s="547"/>
      <c r="DW39" s="556"/>
      <c r="DX39" s="547"/>
      <c r="DY39" s="547"/>
      <c r="DZ39" s="547"/>
      <c r="EA39" s="547"/>
      <c r="EB39" s="547"/>
      <c r="EC39" s="547"/>
      <c r="ED39" s="547"/>
      <c r="EE39" s="547"/>
      <c r="EF39" s="547"/>
      <c r="EG39" s="547"/>
      <c r="EH39" s="547"/>
      <c r="EI39" s="549"/>
      <c r="EJ39" s="547"/>
      <c r="EK39" s="547"/>
      <c r="EL39" s="547"/>
      <c r="EM39" s="547"/>
      <c r="EN39" s="547"/>
      <c r="EO39" s="547"/>
      <c r="EP39" s="547"/>
      <c r="EQ39" s="547"/>
      <c r="ER39" s="547"/>
      <c r="ES39" s="547"/>
      <c r="ET39" s="549"/>
      <c r="EU39" s="547"/>
      <c r="EV39" s="547"/>
      <c r="EW39" s="547"/>
      <c r="EX39" s="547"/>
      <c r="EY39" s="547"/>
      <c r="EZ39" s="547"/>
      <c r="FA39" s="547"/>
      <c r="FB39" s="547"/>
      <c r="FC39" s="547"/>
      <c r="FD39" s="547"/>
      <c r="FE39" s="547"/>
      <c r="FF39" s="547"/>
      <c r="FG39" s="547"/>
      <c r="FH39" s="547"/>
      <c r="FI39" s="547"/>
      <c r="FJ39" s="549"/>
      <c r="FK39" s="549"/>
      <c r="FL39" s="549"/>
      <c r="FM39" s="547"/>
      <c r="FN39" s="549"/>
      <c r="FO39" s="547"/>
      <c r="FP39" s="554"/>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IE39" s="548"/>
    </row>
    <row r="40" spans="1:374" ht="8.1" customHeight="1">
      <c r="A40" s="545">
        <f t="shared" si="67"/>
        <v>1984</v>
      </c>
      <c r="B40" s="546">
        <v>40339</v>
      </c>
      <c r="D40" s="546">
        <v>40398</v>
      </c>
      <c r="DK40" s="547"/>
      <c r="DL40" s="547"/>
      <c r="DM40" s="547"/>
      <c r="DN40" s="547"/>
      <c r="DO40" s="547"/>
      <c r="DP40" s="547"/>
      <c r="DQ40" s="547"/>
      <c r="DR40" s="547"/>
      <c r="DS40" s="547"/>
      <c r="DT40" s="547"/>
      <c r="DU40" s="547"/>
      <c r="DV40" s="547"/>
      <c r="DW40" s="556"/>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9"/>
      <c r="FL40" s="547"/>
      <c r="FM40" s="547"/>
      <c r="FN40" s="547"/>
      <c r="FO40" s="547"/>
      <c r="FP40" s="554"/>
      <c r="FQ40" s="547"/>
      <c r="FR40" s="547"/>
      <c r="FS40" s="547"/>
      <c r="FT40" s="547"/>
      <c r="FU40" s="547"/>
      <c r="FV40" s="547"/>
      <c r="FW40" s="547"/>
      <c r="FX40" s="547"/>
      <c r="FY40" s="547"/>
      <c r="FZ40" s="547"/>
      <c r="GA40" s="547"/>
      <c r="GB40" s="549"/>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9"/>
    </row>
    <row r="41" spans="1:374" ht="8.1" customHeight="1">
      <c r="A41" s="545">
        <f t="shared" si="67"/>
        <v>1985</v>
      </c>
      <c r="B41" s="546">
        <v>40294</v>
      </c>
      <c r="D41" s="546">
        <v>40439</v>
      </c>
      <c r="DK41" s="547"/>
      <c r="DL41" s="547"/>
      <c r="DM41" s="547"/>
      <c r="DN41" s="547"/>
      <c r="DO41" s="547"/>
      <c r="DP41" s="547"/>
      <c r="DQ41" s="547"/>
      <c r="DR41" s="549"/>
      <c r="DS41" s="547"/>
      <c r="DT41" s="547"/>
      <c r="DU41" s="547"/>
      <c r="DV41" s="547"/>
      <c r="DW41" s="556"/>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9"/>
      <c r="EV41" s="547"/>
      <c r="EW41" s="547"/>
      <c r="EX41" s="547"/>
      <c r="EY41" s="547"/>
      <c r="EZ41" s="547"/>
      <c r="FA41" s="547"/>
      <c r="FB41" s="547"/>
      <c r="FC41" s="547"/>
      <c r="FD41" s="547"/>
      <c r="FE41" s="547"/>
      <c r="FF41" s="547"/>
      <c r="FG41" s="547"/>
      <c r="FH41" s="547"/>
      <c r="FI41" s="547"/>
      <c r="FJ41" s="547"/>
      <c r="FK41" s="547"/>
      <c r="FL41" s="547"/>
      <c r="FM41" s="547"/>
      <c r="FN41" s="547"/>
      <c r="FO41" s="547"/>
      <c r="FP41" s="554"/>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JG41" s="548"/>
    </row>
    <row r="42" spans="1:374" s="548" customFormat="1" ht="8.1" customHeight="1">
      <c r="A42" s="545">
        <f t="shared" si="67"/>
        <v>1986</v>
      </c>
      <c r="B42" s="546">
        <v>40305</v>
      </c>
      <c r="C42" s="545"/>
      <c r="D42" s="546">
        <v>40452</v>
      </c>
      <c r="E42" s="545"/>
      <c r="F42" s="545"/>
      <c r="G42" s="545"/>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7"/>
      <c r="DL42" s="547"/>
      <c r="DM42" s="547"/>
      <c r="DN42" s="547"/>
      <c r="DO42" s="547"/>
      <c r="DP42" s="547"/>
      <c r="DQ42" s="547"/>
      <c r="DR42" s="547"/>
      <c r="DS42" s="547"/>
      <c r="DT42" s="547"/>
      <c r="DU42" s="547"/>
      <c r="DV42" s="547"/>
      <c r="DW42" s="556"/>
      <c r="DX42" s="547"/>
      <c r="DY42" s="547"/>
      <c r="DZ42" s="547"/>
      <c r="EA42" s="547"/>
      <c r="EB42" s="547"/>
      <c r="EC42" s="549"/>
      <c r="ED42" s="547"/>
      <c r="EE42" s="547"/>
      <c r="EF42" s="547"/>
      <c r="EG42" s="547"/>
      <c r="EH42" s="547"/>
      <c r="EI42" s="547"/>
      <c r="EJ42" s="549"/>
      <c r="EK42" s="547"/>
      <c r="EL42" s="549"/>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9"/>
      <c r="FJ42" s="547"/>
      <c r="FK42" s="547"/>
      <c r="FL42" s="547"/>
      <c r="FM42" s="547"/>
      <c r="FN42" s="547"/>
      <c r="FO42" s="547"/>
      <c r="FP42" s="554"/>
      <c r="FQ42" s="547"/>
      <c r="FR42" s="547"/>
      <c r="FS42" s="547"/>
      <c r="FT42" s="547"/>
      <c r="FU42" s="547"/>
      <c r="FV42" s="547"/>
      <c r="FW42" s="547"/>
      <c r="FX42" s="547"/>
      <c r="FY42" s="547"/>
      <c r="FZ42" s="547"/>
      <c r="GA42" s="547"/>
      <c r="GB42" s="547"/>
      <c r="GC42" s="547"/>
      <c r="GD42" s="547"/>
      <c r="GE42" s="549"/>
      <c r="GF42" s="547"/>
      <c r="GG42" s="547"/>
      <c r="GH42" s="547"/>
      <c r="GI42" s="547"/>
      <c r="GJ42" s="547"/>
      <c r="GK42" s="547"/>
      <c r="GL42" s="547"/>
      <c r="GM42" s="547"/>
      <c r="GN42" s="547"/>
      <c r="GO42" s="547"/>
      <c r="GP42" s="547"/>
      <c r="GQ42" s="549"/>
      <c r="GR42" s="547"/>
      <c r="GS42" s="547"/>
      <c r="GT42" s="547"/>
      <c r="GU42" s="547"/>
      <c r="GV42" s="547"/>
      <c r="GW42" s="547"/>
      <c r="GX42" s="547"/>
      <c r="GY42" s="547"/>
      <c r="GZ42" s="547"/>
      <c r="HA42" s="547"/>
      <c r="HB42" s="547"/>
      <c r="HC42" s="547"/>
      <c r="HD42" s="547"/>
      <c r="HE42" s="547"/>
      <c r="HF42" s="547"/>
      <c r="HG42" s="547"/>
      <c r="HH42" s="547"/>
      <c r="HI42" s="547"/>
      <c r="HJ42" s="547"/>
      <c r="HK42" s="547"/>
      <c r="HL42" s="549"/>
      <c r="HM42" s="547"/>
      <c r="HN42" s="547"/>
      <c r="HO42" s="547"/>
      <c r="HP42" s="547"/>
      <c r="HQ42" s="547"/>
      <c r="HR42" s="547"/>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c r="IT42" s="545"/>
      <c r="IU42" s="545"/>
      <c r="IV42" s="545"/>
      <c r="IW42" s="545"/>
      <c r="IX42" s="545"/>
      <c r="IY42" s="545"/>
      <c r="IZ42" s="545"/>
      <c r="JA42" s="545"/>
      <c r="JB42" s="545"/>
      <c r="JC42" s="545"/>
      <c r="JD42" s="545"/>
      <c r="JE42" s="545"/>
      <c r="JF42" s="545"/>
      <c r="JG42" s="545"/>
      <c r="JH42" s="545"/>
      <c r="JI42" s="545"/>
      <c r="JJ42" s="545"/>
      <c r="JK42" s="545"/>
      <c r="JL42" s="545"/>
      <c r="JM42" s="545"/>
      <c r="JN42" s="545"/>
      <c r="JO42" s="545"/>
      <c r="JP42" s="545"/>
      <c r="JQ42" s="545"/>
      <c r="JR42" s="545"/>
      <c r="JS42" s="545"/>
      <c r="JU42" s="545"/>
      <c r="JV42" s="545"/>
      <c r="JW42" s="545"/>
      <c r="JX42" s="545"/>
      <c r="JY42" s="545"/>
      <c r="JZ42" s="545"/>
      <c r="KA42" s="545"/>
      <c r="KB42" s="545"/>
      <c r="KC42" s="545"/>
      <c r="KD42" s="545"/>
      <c r="KE42" s="545"/>
      <c r="KF42" s="545"/>
      <c r="KG42" s="545"/>
      <c r="KH42" s="545"/>
      <c r="KI42" s="545"/>
      <c r="KJ42" s="545"/>
      <c r="KK42" s="545"/>
      <c r="KL42" s="545"/>
      <c r="KM42" s="545"/>
      <c r="KN42" s="545"/>
      <c r="KO42" s="545"/>
      <c r="KP42" s="545"/>
      <c r="KQ42" s="545"/>
      <c r="KR42" s="545"/>
      <c r="KS42" s="545"/>
      <c r="KT42" s="545"/>
      <c r="KU42" s="545"/>
      <c r="KV42" s="545"/>
      <c r="KW42" s="545"/>
      <c r="KX42" s="545"/>
      <c r="KY42" s="545"/>
      <c r="KZ42" s="545"/>
      <c r="LA42" s="545"/>
      <c r="LB42" s="545"/>
      <c r="LC42" s="545"/>
      <c r="LD42" s="545"/>
      <c r="LE42" s="545"/>
      <c r="LF42" s="545"/>
      <c r="LG42" s="545"/>
      <c r="LH42" s="545"/>
      <c r="LI42" s="545"/>
      <c r="LJ42" s="545"/>
      <c r="LK42" s="545"/>
      <c r="LL42" s="545"/>
      <c r="LM42" s="545"/>
      <c r="LN42" s="545"/>
      <c r="LO42" s="545"/>
      <c r="LP42" s="545"/>
      <c r="LQ42" s="545"/>
      <c r="LR42" s="545"/>
      <c r="LS42" s="545"/>
      <c r="LT42" s="545"/>
      <c r="LU42" s="545"/>
      <c r="LV42" s="545"/>
      <c r="LW42" s="545"/>
      <c r="LX42" s="545"/>
      <c r="LY42" s="545"/>
      <c r="LZ42" s="545"/>
      <c r="MA42" s="545"/>
      <c r="MB42" s="545"/>
      <c r="MC42" s="545"/>
      <c r="MD42" s="545"/>
      <c r="ME42" s="545"/>
      <c r="MF42" s="545"/>
      <c r="MG42" s="545"/>
      <c r="MH42" s="545"/>
      <c r="MI42" s="545"/>
      <c r="MJ42" s="545"/>
      <c r="MK42" s="545"/>
      <c r="ML42" s="545"/>
      <c r="MM42" s="545"/>
      <c r="MN42" s="545"/>
      <c r="MO42" s="545"/>
      <c r="MP42" s="545"/>
      <c r="MQ42" s="545"/>
      <c r="MR42" s="545"/>
      <c r="MS42" s="545"/>
      <c r="MT42" s="545"/>
      <c r="MU42" s="545"/>
      <c r="MV42" s="545"/>
      <c r="MW42" s="545"/>
      <c r="MX42" s="545"/>
      <c r="MY42" s="545"/>
      <c r="MZ42" s="545"/>
      <c r="NA42" s="545"/>
      <c r="NB42" s="545"/>
      <c r="NC42" s="545"/>
      <c r="ND42" s="545"/>
      <c r="NE42" s="545"/>
      <c r="NF42" s="545"/>
      <c r="NG42" s="545"/>
      <c r="NH42" s="545"/>
      <c r="NI42" s="545"/>
      <c r="NJ42" s="545"/>
    </row>
    <row r="43" spans="1:374" ht="8.1" customHeight="1">
      <c r="A43" s="545">
        <f t="shared" si="67"/>
        <v>1987</v>
      </c>
      <c r="B43" s="546">
        <v>40259</v>
      </c>
      <c r="D43" s="546">
        <v>40432</v>
      </c>
      <c r="CI43" s="548"/>
      <c r="DK43" s="547"/>
      <c r="DL43" s="547"/>
      <c r="DM43" s="547"/>
      <c r="DN43" s="547"/>
      <c r="DO43" s="547"/>
      <c r="DP43" s="547"/>
      <c r="DQ43" s="547"/>
      <c r="DR43" s="547"/>
      <c r="DS43" s="547"/>
      <c r="DT43" s="547"/>
      <c r="DU43" s="547"/>
      <c r="DV43" s="547"/>
      <c r="DW43" s="556"/>
      <c r="DX43" s="547"/>
      <c r="DY43" s="549"/>
      <c r="DZ43" s="547"/>
      <c r="EA43" s="547"/>
      <c r="EB43" s="547"/>
      <c r="EC43" s="547"/>
      <c r="ED43" s="547"/>
      <c r="EE43" s="547"/>
      <c r="EF43" s="547"/>
      <c r="EG43" s="547"/>
      <c r="EH43" s="547"/>
      <c r="EI43" s="547"/>
      <c r="EJ43" s="547"/>
      <c r="EK43" s="547"/>
      <c r="EL43" s="547"/>
      <c r="EM43" s="547"/>
      <c r="EN43" s="547"/>
      <c r="EO43" s="547"/>
      <c r="EP43" s="547"/>
      <c r="EQ43" s="549"/>
      <c r="ER43" s="547"/>
      <c r="ES43" s="547"/>
      <c r="ET43" s="549"/>
      <c r="EU43" s="549"/>
      <c r="EV43" s="549"/>
      <c r="EW43" s="547"/>
      <c r="EX43" s="547"/>
      <c r="EY43" s="547"/>
      <c r="EZ43" s="549"/>
      <c r="FA43" s="547"/>
      <c r="FB43" s="547"/>
      <c r="FC43" s="549"/>
      <c r="FD43" s="547"/>
      <c r="FE43" s="547"/>
      <c r="FF43" s="547"/>
      <c r="FG43" s="547"/>
      <c r="FH43" s="547"/>
      <c r="FI43" s="547"/>
      <c r="FJ43" s="547"/>
      <c r="FK43" s="547"/>
      <c r="FL43" s="549"/>
      <c r="FM43" s="547"/>
      <c r="FN43" s="547"/>
      <c r="FO43" s="547"/>
      <c r="FP43" s="554"/>
      <c r="FQ43" s="547"/>
      <c r="FR43" s="547"/>
      <c r="FS43" s="547"/>
      <c r="FT43" s="547"/>
      <c r="FU43" s="547"/>
      <c r="FV43" s="547"/>
      <c r="FW43" s="547"/>
      <c r="FX43" s="547"/>
      <c r="FY43" s="547"/>
      <c r="FZ43" s="547"/>
      <c r="GA43" s="547"/>
      <c r="GB43" s="547"/>
      <c r="GC43" s="547"/>
      <c r="GD43" s="549"/>
      <c r="GE43" s="547"/>
      <c r="GF43" s="549"/>
      <c r="GG43" s="547"/>
      <c r="GH43" s="547"/>
      <c r="GI43" s="547"/>
      <c r="GJ43" s="547"/>
      <c r="GK43" s="547"/>
      <c r="GL43" s="549"/>
      <c r="GM43" s="547"/>
      <c r="GN43" s="547"/>
      <c r="GO43" s="547"/>
      <c r="GP43" s="547"/>
      <c r="GQ43" s="547"/>
      <c r="GR43" s="547"/>
      <c r="GS43" s="549"/>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IZ43" s="548"/>
    </row>
    <row r="44" spans="1:374" ht="8.1" customHeight="1">
      <c r="A44" s="545">
        <f t="shared" si="67"/>
        <v>1988</v>
      </c>
      <c r="B44" s="546">
        <v>40328</v>
      </c>
      <c r="D44" s="546">
        <v>40435</v>
      </c>
      <c r="DK44" s="547"/>
      <c r="DL44" s="547"/>
      <c r="DM44" s="547"/>
      <c r="DN44" s="547"/>
      <c r="DO44" s="547"/>
      <c r="DP44" s="547"/>
      <c r="DQ44" s="547"/>
      <c r="DR44" s="547"/>
      <c r="DS44" s="547"/>
      <c r="DT44" s="547"/>
      <c r="DU44" s="547"/>
      <c r="DV44" s="547"/>
      <c r="DW44" s="556"/>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9"/>
      <c r="FA44" s="547"/>
      <c r="FB44" s="547"/>
      <c r="FC44" s="547"/>
      <c r="FD44" s="547"/>
      <c r="FE44" s="547"/>
      <c r="FF44" s="547"/>
      <c r="FG44" s="547"/>
      <c r="FH44" s="547"/>
      <c r="FI44" s="547"/>
      <c r="FJ44" s="547"/>
      <c r="FK44" s="547"/>
      <c r="FL44" s="547"/>
      <c r="FM44" s="547"/>
      <c r="FN44" s="547"/>
      <c r="FO44" s="547"/>
      <c r="FP44" s="554"/>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IA44" s="548"/>
      <c r="JC44" s="548"/>
    </row>
    <row r="45" spans="1:374" ht="8.1" customHeight="1">
      <c r="A45" s="545">
        <f t="shared" si="67"/>
        <v>1989</v>
      </c>
      <c r="B45" s="546">
        <v>40298</v>
      </c>
      <c r="D45" s="546">
        <v>40405</v>
      </c>
      <c r="DK45" s="547"/>
      <c r="DL45" s="547"/>
      <c r="DM45" s="547"/>
      <c r="DN45" s="547"/>
      <c r="DO45" s="547"/>
      <c r="DP45" s="547"/>
      <c r="DQ45" s="547"/>
      <c r="DR45" s="547"/>
      <c r="DS45" s="547"/>
      <c r="DT45" s="547"/>
      <c r="DU45" s="547"/>
      <c r="DV45" s="549"/>
      <c r="DW45" s="556"/>
      <c r="DX45" s="547"/>
      <c r="DY45" s="547"/>
      <c r="DZ45" s="549"/>
      <c r="EA45" s="547"/>
      <c r="EB45" s="547"/>
      <c r="EC45" s="547"/>
      <c r="ED45" s="547"/>
      <c r="EE45" s="547"/>
      <c r="EF45" s="547"/>
      <c r="EG45" s="547"/>
      <c r="EH45" s="549"/>
      <c r="EI45" s="547"/>
      <c r="EJ45" s="547"/>
      <c r="EK45" s="549"/>
      <c r="EL45" s="549"/>
      <c r="EM45" s="547"/>
      <c r="EN45" s="547"/>
      <c r="EO45" s="547"/>
      <c r="EP45" s="547"/>
      <c r="EQ45" s="547"/>
      <c r="ER45" s="547"/>
      <c r="ES45" s="547"/>
      <c r="ET45" s="547"/>
      <c r="EU45" s="547"/>
      <c r="EV45" s="547"/>
      <c r="EW45" s="547"/>
      <c r="EX45" s="547"/>
      <c r="EY45" s="547"/>
      <c r="EZ45" s="547"/>
      <c r="FA45" s="547"/>
      <c r="FB45" s="547"/>
      <c r="FC45" s="547"/>
      <c r="FD45" s="547"/>
      <c r="FE45" s="547"/>
      <c r="FF45" s="547"/>
      <c r="FG45" s="549"/>
      <c r="FH45" s="547"/>
      <c r="FI45" s="547"/>
      <c r="FJ45" s="547"/>
      <c r="FK45" s="549"/>
      <c r="FL45" s="549"/>
      <c r="FM45" s="549"/>
      <c r="FN45" s="547"/>
      <c r="FO45" s="547"/>
      <c r="FP45" s="554"/>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Y45" s="548"/>
    </row>
    <row r="46" spans="1:374" ht="8.1" customHeight="1">
      <c r="A46" s="545">
        <f t="shared" si="67"/>
        <v>1990</v>
      </c>
      <c r="B46" s="546">
        <v>40292</v>
      </c>
      <c r="D46" s="546">
        <v>40374</v>
      </c>
      <c r="DK46" s="547"/>
      <c r="DL46" s="547"/>
      <c r="DM46" s="547"/>
      <c r="DN46" s="547"/>
      <c r="DO46" s="547"/>
      <c r="DP46" s="549"/>
      <c r="DQ46" s="549"/>
      <c r="DR46" s="547"/>
      <c r="DS46" s="547"/>
      <c r="DT46" s="547"/>
      <c r="DU46" s="547"/>
      <c r="DV46" s="547"/>
      <c r="DW46" s="556"/>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9"/>
      <c r="FB46" s="547"/>
      <c r="FC46" s="547"/>
      <c r="FD46" s="547"/>
      <c r="FE46" s="547"/>
      <c r="FF46" s="547"/>
      <c r="FG46" s="547"/>
      <c r="FH46" s="547"/>
      <c r="FI46" s="549"/>
      <c r="FJ46" s="547"/>
      <c r="FK46" s="547"/>
      <c r="FL46" s="547"/>
      <c r="FM46" s="547"/>
      <c r="FN46" s="547"/>
      <c r="FO46" s="549"/>
      <c r="FP46" s="554"/>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9"/>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row>
    <row r="47" spans="1:374" ht="8.1" customHeight="1">
      <c r="A47" s="545">
        <f t="shared" si="67"/>
        <v>1991</v>
      </c>
      <c r="B47" s="546">
        <v>40308</v>
      </c>
      <c r="D47" s="546">
        <v>40347</v>
      </c>
      <c r="DK47" s="547"/>
      <c r="DL47" s="547"/>
      <c r="DM47" s="547"/>
      <c r="DN47" s="547"/>
      <c r="DO47" s="547"/>
      <c r="DP47" s="547"/>
      <c r="DQ47" s="547"/>
      <c r="DR47" s="547"/>
      <c r="DS47" s="547"/>
      <c r="DT47" s="547"/>
      <c r="DU47" s="547"/>
      <c r="DV47" s="547"/>
      <c r="DW47" s="556"/>
      <c r="DX47" s="547"/>
      <c r="DY47" s="547"/>
      <c r="DZ47" s="547"/>
      <c r="EA47" s="547"/>
      <c r="EB47" s="547"/>
      <c r="EC47" s="547"/>
      <c r="ED47" s="547"/>
      <c r="EE47" s="547"/>
      <c r="EF47" s="549"/>
      <c r="EG47" s="549"/>
      <c r="EH47" s="547"/>
      <c r="EI47" s="549"/>
      <c r="EJ47" s="547"/>
      <c r="EK47" s="549"/>
      <c r="EL47" s="547"/>
      <c r="EM47" s="547"/>
      <c r="EN47" s="547"/>
      <c r="EO47" s="547"/>
      <c r="EP47" s="547"/>
      <c r="EQ47" s="547"/>
      <c r="ER47" s="547"/>
      <c r="ES47" s="549"/>
      <c r="ET47" s="547"/>
      <c r="EU47" s="547"/>
      <c r="EV47" s="547"/>
      <c r="EW47" s="547"/>
      <c r="EX47" s="549"/>
      <c r="EY47" s="549"/>
      <c r="EZ47" s="547"/>
      <c r="FA47" s="547"/>
      <c r="FB47" s="547"/>
      <c r="FC47" s="547"/>
      <c r="FD47" s="547"/>
      <c r="FE47" s="547"/>
      <c r="FF47" s="547"/>
      <c r="FG47" s="547"/>
      <c r="FH47" s="547"/>
      <c r="FI47" s="547"/>
      <c r="FJ47" s="547"/>
      <c r="FK47" s="547"/>
      <c r="FL47" s="547"/>
      <c r="FM47" s="547"/>
      <c r="FN47" s="547"/>
      <c r="FO47" s="547"/>
      <c r="FP47" s="554"/>
      <c r="FQ47" s="547"/>
      <c r="FR47" s="547"/>
      <c r="FS47" s="549"/>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row>
    <row r="48" spans="1:374" ht="8.1" customHeight="1">
      <c r="A48" s="545">
        <f t="shared" si="67"/>
        <v>1992</v>
      </c>
      <c r="B48" s="546">
        <v>40284</v>
      </c>
      <c r="D48" s="546">
        <v>40356</v>
      </c>
      <c r="DH48" s="548"/>
      <c r="DK48" s="547"/>
      <c r="DL48" s="547"/>
      <c r="DM48" s="547"/>
      <c r="DN48" s="547"/>
      <c r="DO48" s="547"/>
      <c r="DP48" s="547"/>
      <c r="DQ48" s="547"/>
      <c r="DR48" s="547"/>
      <c r="DS48" s="547"/>
      <c r="DT48" s="547"/>
      <c r="DU48" s="547"/>
      <c r="DV48" s="547"/>
      <c r="DW48" s="556"/>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9"/>
      <c r="EX48" s="547"/>
      <c r="EY48" s="547"/>
      <c r="EZ48" s="547"/>
      <c r="FA48" s="547"/>
      <c r="FB48" s="547"/>
      <c r="FC48" s="547"/>
      <c r="FD48" s="547"/>
      <c r="FE48" s="549"/>
      <c r="FF48" s="547"/>
      <c r="FG48" s="547"/>
      <c r="FH48" s="547"/>
      <c r="FI48" s="547"/>
      <c r="FJ48" s="547"/>
      <c r="FK48" s="547"/>
      <c r="FL48" s="549"/>
      <c r="FM48" s="547"/>
      <c r="FN48" s="547"/>
      <c r="FO48" s="547"/>
      <c r="FP48" s="554"/>
      <c r="FQ48" s="547"/>
      <c r="FR48" s="547"/>
      <c r="FS48" s="549"/>
      <c r="FT48" s="549"/>
      <c r="FU48" s="547"/>
      <c r="FV48" s="547"/>
      <c r="FW48" s="547"/>
      <c r="FX48" s="547"/>
      <c r="FY48" s="547"/>
      <c r="FZ48" s="547"/>
      <c r="GA48" s="549"/>
      <c r="GB48" s="549"/>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row>
    <row r="49" spans="1:306" ht="8.1" customHeight="1">
      <c r="A49" s="545">
        <f t="shared" si="67"/>
        <v>1993</v>
      </c>
      <c r="B49" s="546">
        <v>40296</v>
      </c>
      <c r="D49" s="546">
        <v>40463</v>
      </c>
      <c r="DK49" s="547"/>
      <c r="DL49" s="547"/>
      <c r="DM49" s="547"/>
      <c r="DN49" s="547"/>
      <c r="DO49" s="547"/>
      <c r="DP49" s="547"/>
      <c r="DQ49" s="547"/>
      <c r="DR49" s="547"/>
      <c r="DS49" s="547"/>
      <c r="DT49" s="549"/>
      <c r="DU49" s="547"/>
      <c r="DV49" s="547"/>
      <c r="DW49" s="556"/>
      <c r="DX49" s="547"/>
      <c r="DY49" s="547"/>
      <c r="DZ49" s="547"/>
      <c r="EA49" s="549"/>
      <c r="EB49" s="547"/>
      <c r="EC49" s="549"/>
      <c r="ED49" s="547"/>
      <c r="EE49" s="547"/>
      <c r="EF49" s="547"/>
      <c r="EG49" s="547"/>
      <c r="EH49" s="547"/>
      <c r="EI49" s="547"/>
      <c r="EJ49" s="547"/>
      <c r="EK49" s="547"/>
      <c r="EL49" s="547"/>
      <c r="EM49" s="549"/>
      <c r="EN49" s="547"/>
      <c r="EO49" s="547"/>
      <c r="EP49" s="547"/>
      <c r="EQ49" s="547"/>
      <c r="ER49" s="547"/>
      <c r="ES49" s="547"/>
      <c r="ET49" s="547"/>
      <c r="EU49" s="547"/>
      <c r="EV49" s="547"/>
      <c r="EW49" s="547"/>
      <c r="EX49" s="547"/>
      <c r="EY49" s="547"/>
      <c r="EZ49" s="547"/>
      <c r="FA49" s="547"/>
      <c r="FB49" s="547"/>
      <c r="FC49" s="549"/>
      <c r="FD49" s="547"/>
      <c r="FE49" s="547"/>
      <c r="FF49" s="547"/>
      <c r="FG49" s="547"/>
      <c r="FH49" s="547"/>
      <c r="FI49" s="547"/>
      <c r="FJ49" s="547"/>
      <c r="FK49" s="547"/>
      <c r="FL49" s="547"/>
      <c r="FM49" s="547"/>
      <c r="FN49" s="547"/>
      <c r="FO49" s="547"/>
      <c r="FP49" s="554"/>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9"/>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JG49" s="548"/>
      <c r="KE49" s="548"/>
    </row>
    <row r="50" spans="1:306" ht="8.1" customHeight="1">
      <c r="A50" s="545">
        <f t="shared" si="67"/>
        <v>1994</v>
      </c>
      <c r="B50" s="546">
        <v>40307</v>
      </c>
      <c r="D50" s="546">
        <v>40358</v>
      </c>
      <c r="DK50" s="547"/>
      <c r="DL50" s="547"/>
      <c r="DM50" s="547"/>
      <c r="DN50" s="547"/>
      <c r="DO50" s="547"/>
      <c r="DP50" s="547"/>
      <c r="DQ50" s="547"/>
      <c r="DR50" s="547"/>
      <c r="DS50" s="547"/>
      <c r="DT50" s="547"/>
      <c r="DU50" s="547"/>
      <c r="DV50" s="547"/>
      <c r="DW50" s="556"/>
      <c r="DX50" s="547"/>
      <c r="DY50" s="547"/>
      <c r="DZ50" s="547"/>
      <c r="EA50" s="547"/>
      <c r="EB50" s="547"/>
      <c r="EC50" s="547"/>
      <c r="ED50" s="547"/>
      <c r="EE50" s="549"/>
      <c r="EF50" s="547"/>
      <c r="EG50" s="547"/>
      <c r="EH50" s="547"/>
      <c r="EI50" s="547"/>
      <c r="EJ50" s="547"/>
      <c r="EK50" s="547"/>
      <c r="EL50" s="547"/>
      <c r="EM50" s="547"/>
      <c r="EN50" s="547"/>
      <c r="EO50" s="547"/>
      <c r="EP50" s="547"/>
      <c r="EQ50" s="547"/>
      <c r="ER50" s="547"/>
      <c r="ES50" s="547"/>
      <c r="ET50" s="547"/>
      <c r="EU50" s="547"/>
      <c r="EV50" s="547"/>
      <c r="EW50" s="547"/>
      <c r="EX50" s="549"/>
      <c r="EY50" s="547"/>
      <c r="EZ50" s="547"/>
      <c r="FA50" s="547"/>
      <c r="FB50" s="547"/>
      <c r="FC50" s="547"/>
      <c r="FD50" s="547"/>
      <c r="FE50" s="547"/>
      <c r="FF50" s="547"/>
      <c r="FG50" s="547"/>
      <c r="FH50" s="547"/>
      <c r="FI50" s="547"/>
      <c r="FJ50" s="547"/>
      <c r="FK50" s="549"/>
      <c r="FL50" s="547"/>
      <c r="FM50" s="547"/>
      <c r="FN50" s="547"/>
      <c r="FO50" s="547"/>
      <c r="FP50" s="554"/>
      <c r="FQ50" s="547"/>
      <c r="FR50" s="547"/>
      <c r="FS50" s="547"/>
      <c r="FT50" s="547"/>
      <c r="FU50" s="547"/>
      <c r="FV50" s="547"/>
      <c r="FW50" s="547"/>
      <c r="FX50" s="547"/>
      <c r="FY50" s="547"/>
      <c r="FZ50" s="547"/>
      <c r="GA50" s="547"/>
      <c r="GB50" s="547"/>
      <c r="GC50" s="547"/>
      <c r="GD50" s="549"/>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row>
    <row r="51" spans="1:306" ht="8.1" customHeight="1">
      <c r="A51" s="545">
        <f t="shared" si="67"/>
        <v>1995</v>
      </c>
      <c r="B51" s="546">
        <v>40262</v>
      </c>
      <c r="D51" s="546">
        <v>40382</v>
      </c>
      <c r="CL51" s="548"/>
      <c r="DK51" s="549"/>
      <c r="DL51" s="547"/>
      <c r="DM51" s="547"/>
      <c r="DN51" s="547"/>
      <c r="DO51" s="547"/>
      <c r="DP51" s="547"/>
      <c r="DQ51" s="547"/>
      <c r="DR51" s="547"/>
      <c r="DS51" s="547"/>
      <c r="DT51" s="547"/>
      <c r="DU51" s="547"/>
      <c r="DV51" s="547"/>
      <c r="DW51" s="556"/>
      <c r="DX51" s="547"/>
      <c r="DY51" s="547"/>
      <c r="DZ51" s="547"/>
      <c r="EA51" s="547"/>
      <c r="EB51" s="547"/>
      <c r="EC51" s="549"/>
      <c r="ED51" s="547"/>
      <c r="EE51" s="547"/>
      <c r="EF51" s="547"/>
      <c r="EG51" s="547"/>
      <c r="EH51" s="547"/>
      <c r="EI51" s="547"/>
      <c r="EJ51" s="547"/>
      <c r="EK51" s="547"/>
      <c r="EL51" s="547"/>
      <c r="EM51" s="547"/>
      <c r="EN51" s="549"/>
      <c r="EO51" s="547"/>
      <c r="EP51" s="547"/>
      <c r="EQ51" s="547"/>
      <c r="ER51" s="549"/>
      <c r="ES51" s="547"/>
      <c r="ET51" s="547"/>
      <c r="EU51" s="547"/>
      <c r="EV51" s="549"/>
      <c r="EW51" s="547"/>
      <c r="EX51" s="547"/>
      <c r="EY51" s="547"/>
      <c r="EZ51" s="549"/>
      <c r="FA51" s="549"/>
      <c r="FB51" s="547"/>
      <c r="FC51" s="549"/>
      <c r="FD51" s="547"/>
      <c r="FE51" s="547"/>
      <c r="FF51" s="547"/>
      <c r="FG51" s="547"/>
      <c r="FH51" s="547"/>
      <c r="FI51" s="549"/>
      <c r="FJ51" s="547"/>
      <c r="FK51" s="547"/>
      <c r="FL51" s="547"/>
      <c r="FM51" s="547"/>
      <c r="FN51" s="547"/>
      <c r="FO51" s="547"/>
      <c r="FP51" s="554"/>
      <c r="FQ51" s="547"/>
      <c r="FR51" s="547"/>
      <c r="FS51" s="547"/>
      <c r="FT51" s="547"/>
      <c r="FU51" s="547"/>
      <c r="FV51" s="547"/>
      <c r="FW51" s="547"/>
      <c r="FX51" s="547"/>
      <c r="FY51" s="547"/>
      <c r="FZ51" s="547"/>
      <c r="GA51" s="547"/>
      <c r="GB51" s="547"/>
      <c r="GC51" s="547"/>
      <c r="GD51" s="547"/>
      <c r="GE51" s="547"/>
      <c r="GF51" s="547"/>
      <c r="GG51" s="549"/>
      <c r="GH51" s="547"/>
      <c r="GI51" s="547"/>
      <c r="GJ51" s="547"/>
      <c r="GK51" s="547"/>
      <c r="GL51" s="547"/>
      <c r="GM51" s="547"/>
      <c r="GN51" s="547"/>
      <c r="GO51" s="547"/>
      <c r="GP51" s="547"/>
      <c r="GQ51" s="547"/>
      <c r="GR51" s="547"/>
      <c r="GS51" s="547"/>
      <c r="GT51" s="547"/>
      <c r="GU51" s="547"/>
      <c r="GV51" s="547"/>
      <c r="GW51" s="547"/>
      <c r="GX51" s="547"/>
      <c r="GY51" s="547"/>
      <c r="GZ51" s="547"/>
      <c r="HA51" s="549"/>
      <c r="HB51" s="549"/>
      <c r="HC51" s="547"/>
      <c r="HD51" s="547"/>
      <c r="HE51" s="547"/>
      <c r="HF51" s="547"/>
      <c r="HG51" s="547"/>
      <c r="HH51" s="547"/>
      <c r="HI51" s="547"/>
      <c r="HJ51" s="547"/>
      <c r="HK51" s="547"/>
      <c r="HL51" s="547"/>
      <c r="HM51" s="547"/>
      <c r="HN51" s="547"/>
      <c r="HO51" s="547"/>
      <c r="HP51" s="547"/>
      <c r="HQ51" s="547"/>
      <c r="HR51" s="547"/>
    </row>
    <row r="52" spans="1:306" ht="8.1" customHeight="1">
      <c r="A52" s="545">
        <f t="shared" si="67"/>
        <v>1996</v>
      </c>
      <c r="B52" s="546">
        <v>40307</v>
      </c>
      <c r="D52" s="546">
        <v>40439</v>
      </c>
      <c r="DK52" s="547"/>
      <c r="DL52" s="547"/>
      <c r="DM52" s="547"/>
      <c r="DN52" s="547"/>
      <c r="DO52" s="547"/>
      <c r="DP52" s="547"/>
      <c r="DQ52" s="547"/>
      <c r="DR52" s="547"/>
      <c r="DS52" s="547"/>
      <c r="DT52" s="547"/>
      <c r="DU52" s="547"/>
      <c r="DV52" s="547"/>
      <c r="DW52" s="556"/>
      <c r="DX52" s="547"/>
      <c r="DY52" s="547"/>
      <c r="DZ52" s="547"/>
      <c r="EA52" s="547"/>
      <c r="EB52" s="547"/>
      <c r="EC52" s="547"/>
      <c r="ED52" s="547"/>
      <c r="EE52" s="549"/>
      <c r="EF52" s="547"/>
      <c r="EG52" s="547"/>
      <c r="EH52" s="547"/>
      <c r="EI52" s="547"/>
      <c r="EJ52" s="547"/>
      <c r="EK52" s="547"/>
      <c r="EL52" s="547"/>
      <c r="EM52" s="547"/>
      <c r="EN52" s="547"/>
      <c r="EO52" s="547"/>
      <c r="EP52" s="547"/>
      <c r="EQ52" s="547"/>
      <c r="ER52" s="547"/>
      <c r="ES52" s="547"/>
      <c r="ET52" s="549"/>
      <c r="EU52" s="549"/>
      <c r="EV52" s="549"/>
      <c r="EW52" s="547"/>
      <c r="EX52" s="547"/>
      <c r="EY52" s="547"/>
      <c r="EZ52" s="547"/>
      <c r="FA52" s="549"/>
      <c r="FB52" s="547"/>
      <c r="FC52" s="549"/>
      <c r="FD52" s="547"/>
      <c r="FE52" s="547"/>
      <c r="FF52" s="549"/>
      <c r="FG52" s="547"/>
      <c r="FH52" s="547"/>
      <c r="FI52" s="547"/>
      <c r="FJ52" s="547"/>
      <c r="FK52" s="547"/>
      <c r="FL52" s="547"/>
      <c r="FM52" s="547"/>
      <c r="FN52" s="547"/>
      <c r="FO52" s="547"/>
      <c r="FP52" s="554"/>
      <c r="FQ52" s="547"/>
      <c r="FR52" s="547"/>
      <c r="FS52" s="549"/>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T52" s="548"/>
      <c r="IL52" s="548"/>
      <c r="JF52" s="548"/>
      <c r="JG52" s="548"/>
    </row>
    <row r="53" spans="1:306" ht="8.1" customHeight="1">
      <c r="A53" s="545">
        <f t="shared" si="67"/>
        <v>1997</v>
      </c>
      <c r="B53" s="546">
        <v>40304</v>
      </c>
      <c r="D53" s="546">
        <v>40345</v>
      </c>
      <c r="DK53" s="547"/>
      <c r="DL53" s="547"/>
      <c r="DM53" s="547"/>
      <c r="DN53" s="547"/>
      <c r="DO53" s="547"/>
      <c r="DP53" s="547"/>
      <c r="DQ53" s="547"/>
      <c r="DR53" s="547"/>
      <c r="DS53" s="547"/>
      <c r="DT53" s="547"/>
      <c r="DU53" s="547"/>
      <c r="DV53" s="547"/>
      <c r="DW53" s="556"/>
      <c r="DX53" s="547"/>
      <c r="DY53" s="547"/>
      <c r="DZ53" s="547"/>
      <c r="EA53" s="547"/>
      <c r="EB53" s="549"/>
      <c r="EC53" s="549"/>
      <c r="ED53" s="547"/>
      <c r="EE53" s="547"/>
      <c r="EF53" s="547"/>
      <c r="EG53" s="547"/>
      <c r="EH53" s="547"/>
      <c r="EI53" s="547"/>
      <c r="EJ53" s="547"/>
      <c r="EK53" s="547"/>
      <c r="EL53" s="547"/>
      <c r="EM53" s="547"/>
      <c r="EN53" s="547"/>
      <c r="EO53" s="547"/>
      <c r="EP53" s="547"/>
      <c r="EQ53" s="547"/>
      <c r="ER53" s="547"/>
      <c r="ES53" s="547"/>
      <c r="ET53" s="547"/>
      <c r="EU53" s="547"/>
      <c r="EV53" s="547"/>
      <c r="EW53" s="547"/>
      <c r="EX53" s="549"/>
      <c r="EY53" s="549"/>
      <c r="EZ53" s="547"/>
      <c r="FA53" s="547"/>
      <c r="FB53" s="547"/>
      <c r="FC53" s="547"/>
      <c r="FD53" s="547"/>
      <c r="FE53" s="547"/>
      <c r="FF53" s="547"/>
      <c r="FG53" s="547"/>
      <c r="FH53" s="547"/>
      <c r="FI53" s="547"/>
      <c r="FJ53" s="549"/>
      <c r="FK53" s="547"/>
      <c r="FL53" s="549"/>
      <c r="FM53" s="549"/>
      <c r="FN53" s="547"/>
      <c r="FO53" s="549"/>
      <c r="FP53" s="555"/>
      <c r="FQ53" s="549"/>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row>
    <row r="54" spans="1:306" ht="8.1" customHeight="1">
      <c r="A54" s="545">
        <f t="shared" si="67"/>
        <v>1998</v>
      </c>
      <c r="B54" s="546">
        <v>40397</v>
      </c>
      <c r="D54" s="546">
        <v>40478</v>
      </c>
      <c r="DK54" s="547"/>
      <c r="DL54" s="547"/>
      <c r="DM54" s="547"/>
      <c r="DN54" s="547"/>
      <c r="DO54" s="547"/>
      <c r="DP54" s="547"/>
      <c r="DQ54" s="547"/>
      <c r="DR54" s="547"/>
      <c r="DS54" s="547"/>
      <c r="DT54" s="547"/>
      <c r="DU54" s="547"/>
      <c r="DV54" s="547"/>
      <c r="DW54" s="556"/>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54"/>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9"/>
      <c r="HR54" s="547"/>
      <c r="KT54" s="548"/>
    </row>
    <row r="55" spans="1:306" ht="8.1" customHeight="1">
      <c r="A55" s="545">
        <f t="shared" si="67"/>
        <v>1999</v>
      </c>
      <c r="B55" s="546">
        <v>40299</v>
      </c>
      <c r="D55" s="546">
        <v>40358</v>
      </c>
      <c r="DK55" s="547"/>
      <c r="DL55" s="547"/>
      <c r="DM55" s="547"/>
      <c r="DN55" s="547"/>
      <c r="DO55" s="547"/>
      <c r="DP55" s="547"/>
      <c r="DQ55" s="547"/>
      <c r="DR55" s="547"/>
      <c r="DS55" s="547"/>
      <c r="DT55" s="547"/>
      <c r="DU55" s="547"/>
      <c r="DV55" s="547"/>
      <c r="DW55" s="557"/>
      <c r="DX55" s="547"/>
      <c r="DY55" s="547"/>
      <c r="DZ55" s="547"/>
      <c r="EA55" s="547"/>
      <c r="EB55" s="547"/>
      <c r="EC55" s="547"/>
      <c r="ED55" s="547"/>
      <c r="EE55" s="547"/>
      <c r="EF55" s="547"/>
      <c r="EG55" s="547"/>
      <c r="EH55" s="547"/>
      <c r="EI55" s="547"/>
      <c r="EJ55" s="547"/>
      <c r="EK55" s="547"/>
      <c r="EL55" s="547"/>
      <c r="EM55" s="547"/>
      <c r="EN55" s="547"/>
      <c r="EO55" s="547"/>
      <c r="EP55" s="549"/>
      <c r="EQ55" s="547"/>
      <c r="ER55" s="547"/>
      <c r="ES55" s="547"/>
      <c r="ET55" s="547"/>
      <c r="EU55" s="549"/>
      <c r="EV55" s="547"/>
      <c r="EW55" s="547"/>
      <c r="EX55" s="547"/>
      <c r="EY55" s="547"/>
      <c r="EZ55" s="547"/>
      <c r="FA55" s="547"/>
      <c r="FB55" s="547"/>
      <c r="FC55" s="549"/>
      <c r="FD55" s="547"/>
      <c r="FE55" s="549"/>
      <c r="FF55" s="547"/>
      <c r="FG55" s="547"/>
      <c r="FH55" s="547"/>
      <c r="FI55" s="547"/>
      <c r="FJ55" s="547"/>
      <c r="FK55" s="547"/>
      <c r="FL55" s="547"/>
      <c r="FM55" s="547"/>
      <c r="FN55" s="547"/>
      <c r="FO55" s="547"/>
      <c r="FP55" s="554"/>
      <c r="FQ55" s="547"/>
      <c r="FR55" s="547"/>
      <c r="FS55" s="547"/>
      <c r="FT55" s="547"/>
      <c r="FU55" s="547"/>
      <c r="FV55" s="547"/>
      <c r="FW55" s="547"/>
      <c r="FX55" s="547"/>
      <c r="FY55" s="549"/>
      <c r="FZ55" s="547"/>
      <c r="GA55" s="547"/>
      <c r="GB55" s="547"/>
      <c r="GC55" s="547"/>
      <c r="GD55" s="549"/>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row>
    <row r="56" spans="1:306" ht="8.1" customHeight="1">
      <c r="A56" s="545">
        <f t="shared" si="67"/>
        <v>2000</v>
      </c>
      <c r="B56" s="546">
        <v>40233</v>
      </c>
      <c r="D56" s="546">
        <v>40474</v>
      </c>
      <c r="BI56" s="548"/>
      <c r="DK56" s="547"/>
      <c r="DL56" s="547"/>
      <c r="DM56" s="547"/>
      <c r="DN56" s="547"/>
      <c r="DO56" s="547"/>
      <c r="DP56" s="547"/>
      <c r="DQ56" s="547"/>
      <c r="DR56" s="547"/>
      <c r="DS56" s="547"/>
      <c r="DT56" s="547"/>
      <c r="DU56" s="547"/>
      <c r="DV56" s="547"/>
      <c r="DW56" s="556"/>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9"/>
      <c r="EV56" s="547"/>
      <c r="EW56" s="547"/>
      <c r="EX56" s="547"/>
      <c r="EY56" s="547"/>
      <c r="EZ56" s="547"/>
      <c r="FA56" s="547"/>
      <c r="FB56" s="547"/>
      <c r="FC56" s="547"/>
      <c r="FD56" s="547"/>
      <c r="FE56" s="547"/>
      <c r="FF56" s="547"/>
      <c r="FG56" s="547"/>
      <c r="FH56" s="547"/>
      <c r="FI56" s="547"/>
      <c r="FJ56" s="547"/>
      <c r="FK56" s="547"/>
      <c r="FL56" s="547"/>
      <c r="FM56" s="547"/>
      <c r="FN56" s="549"/>
      <c r="FO56" s="547"/>
      <c r="FP56" s="554"/>
      <c r="FQ56" s="547"/>
      <c r="FR56" s="547"/>
      <c r="FS56" s="547"/>
      <c r="FT56" s="547"/>
      <c r="FU56" s="547"/>
      <c r="FV56" s="547"/>
      <c r="FW56" s="547"/>
      <c r="FX56" s="547"/>
      <c r="FY56" s="547"/>
      <c r="FZ56" s="549"/>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KP56" s="548"/>
    </row>
    <row r="57" spans="1:306" ht="8.1" customHeight="1">
      <c r="A57" s="545">
        <f t="shared" si="67"/>
        <v>2001</v>
      </c>
      <c r="B57" s="546">
        <v>40260</v>
      </c>
      <c r="D57" s="546">
        <v>40440</v>
      </c>
      <c r="CJ57" s="548"/>
      <c r="CX57" s="548"/>
      <c r="DB57" s="548"/>
      <c r="DK57" s="547"/>
      <c r="DL57" s="547"/>
      <c r="DM57" s="547"/>
      <c r="DN57" s="547"/>
      <c r="DO57" s="547"/>
      <c r="DP57" s="547"/>
      <c r="DQ57" s="547"/>
      <c r="DR57" s="547"/>
      <c r="DS57" s="547"/>
      <c r="DT57" s="547"/>
      <c r="DU57" s="547"/>
      <c r="DV57" s="549"/>
      <c r="DW57" s="556"/>
      <c r="DX57" s="547"/>
      <c r="DY57" s="547"/>
      <c r="DZ57" s="547"/>
      <c r="EA57" s="547"/>
      <c r="EB57" s="547"/>
      <c r="EC57" s="547"/>
      <c r="ED57" s="547"/>
      <c r="EE57" s="547"/>
      <c r="EF57" s="547"/>
      <c r="EG57" s="547"/>
      <c r="EH57" s="547"/>
      <c r="EI57" s="547"/>
      <c r="EJ57" s="547"/>
      <c r="EK57" s="547"/>
      <c r="EL57" s="547"/>
      <c r="EM57" s="547"/>
      <c r="EN57" s="547"/>
      <c r="EO57" s="549"/>
      <c r="EP57" s="547"/>
      <c r="EQ57" s="547"/>
      <c r="ER57" s="547"/>
      <c r="ES57" s="547"/>
      <c r="ET57" s="547"/>
      <c r="EU57" s="547"/>
      <c r="EV57" s="547"/>
      <c r="EW57" s="547"/>
      <c r="EX57" s="547"/>
      <c r="EY57" s="549"/>
      <c r="EZ57" s="547"/>
      <c r="FA57" s="547"/>
      <c r="FB57" s="547"/>
      <c r="FC57" s="547"/>
      <c r="FD57" s="547"/>
      <c r="FE57" s="547"/>
      <c r="FF57" s="547"/>
      <c r="FG57" s="547"/>
      <c r="FH57" s="547"/>
      <c r="FI57" s="547"/>
      <c r="FJ57" s="547"/>
      <c r="FK57" s="547"/>
      <c r="FL57" s="547"/>
      <c r="FM57" s="547"/>
      <c r="FN57" s="547"/>
      <c r="FO57" s="547"/>
      <c r="FP57" s="554"/>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JF57" s="548"/>
      <c r="JH57" s="548"/>
    </row>
    <row r="58" spans="1:306" ht="8.1" customHeight="1">
      <c r="A58" s="545">
        <f t="shared" si="67"/>
        <v>2002</v>
      </c>
      <c r="B58" s="546">
        <v>40303</v>
      </c>
      <c r="D58" s="546">
        <v>40420</v>
      </c>
      <c r="DK58" s="547"/>
      <c r="DL58" s="547"/>
      <c r="DM58" s="547"/>
      <c r="DN58" s="547"/>
      <c r="DO58" s="547"/>
      <c r="DP58" s="547"/>
      <c r="DQ58" s="547"/>
      <c r="DR58" s="547"/>
      <c r="DS58" s="547"/>
      <c r="DT58" s="547"/>
      <c r="DU58" s="547"/>
      <c r="DV58" s="547"/>
      <c r="DW58" s="556"/>
      <c r="DX58" s="547"/>
      <c r="DY58" s="547"/>
      <c r="DZ58" s="547"/>
      <c r="EA58" s="549"/>
      <c r="EB58" s="547"/>
      <c r="EC58" s="547"/>
      <c r="ED58" s="547"/>
      <c r="EE58" s="547"/>
      <c r="EF58" s="547"/>
      <c r="EG58" s="549"/>
      <c r="EH58" s="547"/>
      <c r="EI58" s="547"/>
      <c r="EJ58" s="547"/>
      <c r="EK58" s="547"/>
      <c r="EL58" s="549"/>
      <c r="EM58" s="547"/>
      <c r="EN58" s="547"/>
      <c r="EO58" s="547"/>
      <c r="EP58" s="547"/>
      <c r="EQ58" s="547"/>
      <c r="ER58" s="547"/>
      <c r="ES58" s="549"/>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55"/>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IN58" s="548"/>
    </row>
    <row r="59" spans="1:306" ht="8.1" customHeight="1">
      <c r="A59" s="545">
        <f t="shared" si="67"/>
        <v>2003</v>
      </c>
      <c r="B59" s="546">
        <v>40283</v>
      </c>
      <c r="D59" s="546">
        <v>40334</v>
      </c>
      <c r="DG59" s="548"/>
      <c r="DK59" s="547"/>
      <c r="DL59" s="547"/>
      <c r="DM59" s="547"/>
      <c r="DN59" s="547"/>
      <c r="DO59" s="549"/>
      <c r="DP59" s="547"/>
      <c r="DQ59" s="547"/>
      <c r="DR59" s="547"/>
      <c r="DS59" s="547"/>
      <c r="DT59" s="547"/>
      <c r="DU59" s="547"/>
      <c r="DV59" s="547"/>
      <c r="DW59" s="556"/>
      <c r="DX59" s="547"/>
      <c r="DY59" s="547"/>
      <c r="DZ59" s="547"/>
      <c r="EA59" s="547"/>
      <c r="EB59" s="547"/>
      <c r="EC59" s="547"/>
      <c r="ED59" s="547"/>
      <c r="EE59" s="547"/>
      <c r="EF59" s="547"/>
      <c r="EG59" s="547"/>
      <c r="EH59" s="547"/>
      <c r="EI59" s="547"/>
      <c r="EJ59" s="547"/>
      <c r="EK59" s="549"/>
      <c r="EL59" s="547"/>
      <c r="EM59" s="547"/>
      <c r="EN59" s="547"/>
      <c r="EO59" s="547"/>
      <c r="EP59" s="547"/>
      <c r="EQ59" s="547"/>
      <c r="ER59" s="547"/>
      <c r="ES59" s="547"/>
      <c r="ET59" s="549"/>
      <c r="EU59" s="547"/>
      <c r="EV59" s="547"/>
      <c r="EW59" s="547"/>
      <c r="EX59" s="547"/>
      <c r="EY59" s="547"/>
      <c r="EZ59" s="547"/>
      <c r="FA59" s="547"/>
      <c r="FB59" s="547"/>
      <c r="FC59" s="547"/>
      <c r="FD59" s="549"/>
      <c r="FE59" s="547"/>
      <c r="FF59" s="549"/>
      <c r="FG59" s="547"/>
      <c r="FH59" s="547"/>
      <c r="FI59" s="547"/>
      <c r="FJ59" s="547"/>
      <c r="FK59" s="547"/>
      <c r="FL59" s="547"/>
      <c r="FM59" s="547"/>
      <c r="FN59" s="547"/>
      <c r="FO59" s="547"/>
      <c r="FP59" s="554"/>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row>
    <row r="60" spans="1:306" ht="8.1" customHeight="1">
      <c r="A60" s="545">
        <f t="shared" si="67"/>
        <v>2004</v>
      </c>
      <c r="B60" s="546">
        <v>40287</v>
      </c>
      <c r="D60" s="546">
        <v>40350</v>
      </c>
      <c r="DK60" s="549"/>
      <c r="DL60" s="547"/>
      <c r="DM60" s="547"/>
      <c r="DN60" s="547"/>
      <c r="DO60" s="547"/>
      <c r="DP60" s="547"/>
      <c r="DQ60" s="547"/>
      <c r="DR60" s="547"/>
      <c r="DS60" s="547"/>
      <c r="DT60" s="547"/>
      <c r="DU60" s="547"/>
      <c r="DV60" s="547"/>
      <c r="DW60" s="556"/>
      <c r="DX60" s="547"/>
      <c r="DY60" s="547"/>
      <c r="DZ60" s="547"/>
      <c r="EA60" s="547"/>
      <c r="EB60" s="547"/>
      <c r="EC60" s="547"/>
      <c r="ED60" s="547"/>
      <c r="EE60" s="547"/>
      <c r="EF60" s="547"/>
      <c r="EG60" s="549"/>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55"/>
      <c r="FQ60" s="547"/>
      <c r="FR60" s="549"/>
      <c r="FS60" s="547"/>
      <c r="FT60" s="547"/>
      <c r="FU60" s="547"/>
      <c r="FV60" s="549"/>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row>
    <row r="61" spans="1:306" ht="8.1" customHeight="1">
      <c r="A61" s="545">
        <f t="shared" si="67"/>
        <v>2005</v>
      </c>
      <c r="B61" s="546">
        <v>40286</v>
      </c>
      <c r="D61" s="546">
        <v>40365</v>
      </c>
      <c r="DJ61" s="548"/>
      <c r="DK61" s="547"/>
      <c r="DL61" s="547"/>
      <c r="DM61" s="547"/>
      <c r="DN61" s="547"/>
      <c r="DO61" s="547"/>
      <c r="DP61" s="547"/>
      <c r="DQ61" s="547"/>
      <c r="DR61" s="547"/>
      <c r="DS61" s="547"/>
      <c r="DT61" s="547"/>
      <c r="DU61" s="547"/>
      <c r="DV61" s="547"/>
      <c r="DW61" s="556"/>
      <c r="DX61" s="547"/>
      <c r="DY61" s="547"/>
      <c r="DZ61" s="547"/>
      <c r="EA61" s="547"/>
      <c r="EB61" s="547"/>
      <c r="EC61" s="547"/>
      <c r="ED61" s="547"/>
      <c r="EE61" s="547"/>
      <c r="EF61" s="547"/>
      <c r="EG61" s="547"/>
      <c r="EH61" s="549"/>
      <c r="EI61" s="549"/>
      <c r="EJ61" s="547"/>
      <c r="EK61" s="547"/>
      <c r="EL61" s="547"/>
      <c r="EM61" s="547"/>
      <c r="EN61" s="547"/>
      <c r="EO61" s="547"/>
      <c r="EP61" s="547"/>
      <c r="EQ61" s="547"/>
      <c r="ER61" s="547"/>
      <c r="ES61" s="547"/>
      <c r="ET61" s="547"/>
      <c r="EU61" s="547"/>
      <c r="EV61" s="547"/>
      <c r="EW61" s="547"/>
      <c r="EX61" s="547"/>
      <c r="EY61" s="547"/>
      <c r="EZ61" s="547"/>
      <c r="FA61" s="549"/>
      <c r="FB61" s="547"/>
      <c r="FC61" s="547"/>
      <c r="FD61" s="547"/>
      <c r="FE61" s="547"/>
      <c r="FF61" s="547"/>
      <c r="FG61" s="547"/>
      <c r="FH61" s="547"/>
      <c r="FI61" s="547"/>
      <c r="FJ61" s="549"/>
      <c r="FK61" s="547"/>
      <c r="FL61" s="549"/>
      <c r="FM61" s="547"/>
      <c r="FN61" s="547"/>
      <c r="FO61" s="547"/>
      <c r="FP61" s="554"/>
      <c r="FQ61" s="547"/>
      <c r="FR61" s="547"/>
      <c r="FS61" s="547"/>
      <c r="FT61" s="547"/>
      <c r="FU61" s="547"/>
      <c r="FV61" s="547"/>
      <c r="FW61" s="547"/>
      <c r="FX61" s="547"/>
      <c r="FY61" s="547"/>
      <c r="FZ61" s="547"/>
      <c r="GA61" s="547"/>
      <c r="GB61" s="547"/>
      <c r="GC61" s="547"/>
      <c r="GD61" s="547"/>
      <c r="GE61" s="547"/>
      <c r="GF61" s="547"/>
      <c r="GG61" s="547"/>
      <c r="GH61" s="547"/>
      <c r="GI61" s="547"/>
      <c r="GJ61" s="547"/>
      <c r="GK61" s="549"/>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row>
    <row r="62" spans="1:306" ht="8.1" customHeight="1">
      <c r="A62" s="545">
        <f t="shared" si="67"/>
        <v>2006</v>
      </c>
      <c r="B62" s="546">
        <v>40347</v>
      </c>
      <c r="D62" s="546">
        <v>40417</v>
      </c>
      <c r="DK62" s="547"/>
      <c r="DL62" s="547"/>
      <c r="DM62" s="547"/>
      <c r="DN62" s="547"/>
      <c r="DO62" s="547"/>
      <c r="DP62" s="547"/>
      <c r="DQ62" s="547"/>
      <c r="DR62" s="547"/>
      <c r="DS62" s="547"/>
      <c r="DT62" s="547"/>
      <c r="DU62" s="547"/>
      <c r="DV62" s="547"/>
      <c r="DW62" s="556"/>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54"/>
      <c r="FQ62" s="547"/>
      <c r="FR62" s="547"/>
      <c r="FS62" s="549"/>
      <c r="FT62" s="547"/>
      <c r="FU62" s="547"/>
      <c r="FV62" s="549"/>
      <c r="FW62" s="547"/>
      <c r="FX62" s="547"/>
      <c r="FY62" s="547"/>
      <c r="FZ62" s="549"/>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9"/>
      <c r="HH62" s="547"/>
      <c r="HI62" s="547"/>
      <c r="HJ62" s="547"/>
      <c r="HK62" s="547"/>
      <c r="HL62" s="547"/>
      <c r="HM62" s="547"/>
      <c r="HN62" s="547"/>
      <c r="HO62" s="547"/>
      <c r="HP62" s="547"/>
      <c r="HQ62" s="547"/>
      <c r="HR62" s="547"/>
      <c r="IK62" s="548"/>
    </row>
    <row r="63" spans="1:306" ht="8.1" customHeight="1">
      <c r="A63" s="545">
        <f t="shared" si="67"/>
        <v>2007</v>
      </c>
      <c r="B63" s="546">
        <v>40232</v>
      </c>
      <c r="D63" s="546">
        <v>40468</v>
      </c>
      <c r="BH63" s="548"/>
      <c r="CJ63" s="548"/>
      <c r="CK63" s="548"/>
      <c r="CO63" s="548"/>
      <c r="DK63" s="547"/>
      <c r="DL63" s="547"/>
      <c r="DM63" s="549"/>
      <c r="DN63" s="547"/>
      <c r="DO63" s="547"/>
      <c r="DP63" s="547"/>
      <c r="DQ63" s="547"/>
      <c r="DR63" s="547"/>
      <c r="DS63" s="547"/>
      <c r="DT63" s="547"/>
      <c r="DU63" s="547"/>
      <c r="DV63" s="547"/>
      <c r="DW63" s="556"/>
      <c r="DX63" s="547"/>
      <c r="DY63" s="547"/>
      <c r="DZ63" s="547"/>
      <c r="EA63" s="549"/>
      <c r="EB63" s="547"/>
      <c r="EC63" s="547"/>
      <c r="ED63" s="547"/>
      <c r="EE63" s="547"/>
      <c r="EF63" s="547"/>
      <c r="EG63" s="547"/>
      <c r="EH63" s="547"/>
      <c r="EI63" s="547"/>
      <c r="EJ63" s="547"/>
      <c r="EK63" s="547"/>
      <c r="EL63" s="547"/>
      <c r="EM63" s="547"/>
      <c r="EN63" s="547"/>
      <c r="EO63" s="547"/>
      <c r="EP63" s="547"/>
      <c r="EQ63" s="547"/>
      <c r="ER63" s="547"/>
      <c r="ES63" s="549"/>
      <c r="ET63" s="547"/>
      <c r="EU63" s="547"/>
      <c r="EV63" s="547"/>
      <c r="EW63" s="547"/>
      <c r="EX63" s="547"/>
      <c r="EY63" s="547"/>
      <c r="EZ63" s="547"/>
      <c r="FA63" s="549"/>
      <c r="FB63" s="547"/>
      <c r="FC63" s="547"/>
      <c r="FD63" s="547"/>
      <c r="FE63" s="547"/>
      <c r="FF63" s="547"/>
      <c r="FG63" s="547"/>
      <c r="FH63" s="547"/>
      <c r="FI63" s="547"/>
      <c r="FJ63" s="547"/>
      <c r="FK63" s="547"/>
      <c r="FL63" s="547"/>
      <c r="FM63" s="547"/>
      <c r="FN63" s="547"/>
      <c r="FO63" s="547"/>
      <c r="FP63" s="554"/>
      <c r="FQ63" s="547"/>
      <c r="FR63" s="547"/>
      <c r="FS63" s="547"/>
      <c r="FT63" s="549"/>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KJ63" s="548"/>
    </row>
    <row r="64" spans="1:306" ht="8.1" customHeight="1">
      <c r="A64" s="545">
        <f t="shared" si="67"/>
        <v>2008</v>
      </c>
      <c r="B64" s="546">
        <v>40294</v>
      </c>
      <c r="D64" s="546">
        <v>40348</v>
      </c>
      <c r="DK64" s="547"/>
      <c r="DL64" s="547"/>
      <c r="DM64" s="547"/>
      <c r="DN64" s="547"/>
      <c r="DO64" s="547"/>
      <c r="DP64" s="547"/>
      <c r="DQ64" s="547"/>
      <c r="DR64" s="549"/>
      <c r="DS64" s="547"/>
      <c r="DT64" s="547"/>
      <c r="DU64" s="547"/>
      <c r="DV64" s="547"/>
      <c r="DW64" s="556"/>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9"/>
      <c r="EV64" s="549"/>
      <c r="EW64" s="547"/>
      <c r="EX64" s="547"/>
      <c r="EY64" s="547"/>
      <c r="EZ64" s="547"/>
      <c r="FA64" s="547"/>
      <c r="FB64" s="547"/>
      <c r="FC64" s="547"/>
      <c r="FD64" s="547"/>
      <c r="FE64" s="547"/>
      <c r="FF64" s="547"/>
      <c r="FG64" s="547"/>
      <c r="FH64" s="547"/>
      <c r="FI64" s="547"/>
      <c r="FJ64" s="547"/>
      <c r="FK64" s="547"/>
      <c r="FL64" s="547"/>
      <c r="FM64" s="547"/>
      <c r="FN64" s="547"/>
      <c r="FO64" s="549"/>
      <c r="FP64" s="555"/>
      <c r="FQ64" s="547"/>
      <c r="FR64" s="547"/>
      <c r="FS64" s="549"/>
      <c r="FT64" s="549"/>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row>
    <row r="65" spans="1:366" ht="8.1" customHeight="1">
      <c r="A65" s="545">
        <f t="shared" si="67"/>
        <v>2009</v>
      </c>
      <c r="B65" s="546">
        <v>40297</v>
      </c>
      <c r="D65" s="546">
        <v>40344</v>
      </c>
      <c r="DK65" s="547"/>
      <c r="DL65" s="547"/>
      <c r="DM65" s="547"/>
      <c r="DN65" s="547"/>
      <c r="DO65" s="547"/>
      <c r="DP65" s="547"/>
      <c r="DQ65" s="547"/>
      <c r="DR65" s="547"/>
      <c r="DS65" s="547"/>
      <c r="DT65" s="547"/>
      <c r="DU65" s="549"/>
      <c r="DV65" s="547"/>
      <c r="DW65" s="556"/>
      <c r="DX65" s="547"/>
      <c r="DY65" s="547"/>
      <c r="DZ65" s="547"/>
      <c r="EA65" s="547"/>
      <c r="EB65" s="547"/>
      <c r="EC65" s="547"/>
      <c r="ED65" s="547"/>
      <c r="EE65" s="547"/>
      <c r="EF65" s="547"/>
      <c r="EG65" s="547"/>
      <c r="EH65" s="547"/>
      <c r="EI65" s="547"/>
      <c r="EJ65" s="547"/>
      <c r="EK65" s="549"/>
      <c r="EL65" s="547"/>
      <c r="EM65" s="547"/>
      <c r="EN65" s="547"/>
      <c r="EO65" s="547"/>
      <c r="EP65" s="547"/>
      <c r="EQ65" s="547"/>
      <c r="ER65" s="547"/>
      <c r="ES65" s="547"/>
      <c r="ET65" s="547"/>
      <c r="EU65" s="547"/>
      <c r="EV65" s="547"/>
      <c r="EW65" s="547"/>
      <c r="EX65" s="547"/>
      <c r="EY65" s="547"/>
      <c r="EZ65" s="547"/>
      <c r="FA65" s="547"/>
      <c r="FB65" s="547"/>
      <c r="FC65" s="547"/>
      <c r="FD65" s="547"/>
      <c r="FE65" s="549"/>
      <c r="FF65" s="549"/>
      <c r="FG65" s="547"/>
      <c r="FH65" s="547"/>
      <c r="FI65" s="547"/>
      <c r="FJ65" s="547"/>
      <c r="FK65" s="547"/>
      <c r="FL65" s="547"/>
      <c r="FM65" s="547"/>
      <c r="FN65" s="547"/>
      <c r="FO65" s="547"/>
      <c r="FP65" s="555"/>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row>
    <row r="66" spans="1:366" ht="8.1" customHeight="1">
      <c r="A66" s="545">
        <f t="shared" si="67"/>
        <v>2010</v>
      </c>
      <c r="B66" s="546">
        <v>40288</v>
      </c>
      <c r="D66" s="546">
        <v>40342</v>
      </c>
      <c r="DK66" s="547"/>
      <c r="DL66" s="549"/>
      <c r="DM66" s="547"/>
      <c r="DN66" s="549"/>
      <c r="DO66" s="547"/>
      <c r="DP66" s="547"/>
      <c r="DQ66" s="547"/>
      <c r="DR66" s="547"/>
      <c r="DS66" s="547"/>
      <c r="DT66" s="547"/>
      <c r="DU66" s="547"/>
      <c r="DV66" s="547"/>
      <c r="DW66" s="556"/>
      <c r="DX66" s="547"/>
      <c r="DY66" s="547"/>
      <c r="DZ66" s="547"/>
      <c r="EA66" s="547"/>
      <c r="EB66" s="547"/>
      <c r="EC66" s="547"/>
      <c r="ED66" s="547"/>
      <c r="EE66" s="547"/>
      <c r="EF66" s="547"/>
      <c r="EG66" s="547"/>
      <c r="EH66" s="547"/>
      <c r="EI66" s="547"/>
      <c r="EJ66" s="547"/>
      <c r="EK66" s="547"/>
      <c r="EL66" s="547"/>
      <c r="EM66" s="547"/>
      <c r="EN66" s="549"/>
      <c r="EO66" s="549"/>
      <c r="EP66" s="547"/>
      <c r="EQ66" s="547"/>
      <c r="ER66" s="547"/>
      <c r="ES66" s="549"/>
      <c r="ET66" s="549"/>
      <c r="EU66" s="547"/>
      <c r="EV66" s="547"/>
      <c r="EW66" s="547"/>
      <c r="EX66" s="547"/>
      <c r="EY66" s="547"/>
      <c r="EZ66" s="547"/>
      <c r="FA66" s="549"/>
      <c r="FB66" s="547"/>
      <c r="FC66" s="547"/>
      <c r="FD66" s="547"/>
      <c r="FE66" s="547"/>
      <c r="FF66" s="547"/>
      <c r="FG66" s="547"/>
      <c r="FH66" s="547"/>
      <c r="FI66" s="547"/>
      <c r="FJ66" s="547"/>
      <c r="FK66" s="547"/>
      <c r="FL66" s="547"/>
      <c r="FM66" s="549"/>
      <c r="FN66" s="549"/>
      <c r="FO66" s="547"/>
      <c r="FP66" s="554"/>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row>
    <row r="67" spans="1:366" ht="8.1" customHeight="1">
      <c r="A67" s="545">
        <f t="shared" si="67"/>
        <v>2011</v>
      </c>
      <c r="B67" s="546">
        <v>40705</v>
      </c>
      <c r="D67" s="546">
        <v>40705</v>
      </c>
      <c r="DK67" s="547"/>
      <c r="DL67" s="547"/>
      <c r="DM67" s="547"/>
      <c r="DN67" s="547"/>
      <c r="DO67" s="547"/>
      <c r="DP67" s="547"/>
      <c r="DQ67" s="547"/>
      <c r="DR67" s="547"/>
      <c r="DS67" s="547"/>
      <c r="DT67" s="547"/>
      <c r="DU67" s="547"/>
      <c r="DV67" s="547"/>
      <c r="DW67" s="556"/>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9"/>
      <c r="FM67" s="547"/>
      <c r="FN67" s="547"/>
      <c r="FO67" s="547"/>
      <c r="FP67" s="554"/>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row>
    <row r="68" spans="1:366" ht="8.1" customHeight="1">
      <c r="A68" s="545">
        <f t="shared" si="67"/>
        <v>2012</v>
      </c>
      <c r="B68" s="546">
        <v>40942</v>
      </c>
      <c r="D68" s="546">
        <v>41257</v>
      </c>
      <c r="AN68" s="548"/>
      <c r="DV68" s="548"/>
      <c r="DW68" s="640"/>
      <c r="EQ68" s="549"/>
      <c r="FP68" s="641"/>
      <c r="MP68" s="548"/>
    </row>
    <row r="69" spans="1:366" ht="8.1" customHeight="1">
      <c r="A69" s="545">
        <f t="shared" si="67"/>
        <v>2013</v>
      </c>
      <c r="B69" s="546">
        <v>41787</v>
      </c>
      <c r="D69" s="546">
        <v>41865</v>
      </c>
      <c r="DW69" s="640"/>
      <c r="EX69" s="549"/>
      <c r="FP69" s="641"/>
      <c r="HX69" s="549"/>
    </row>
    <row r="70" spans="1:366" ht="8.1" customHeight="1">
      <c r="A70" s="545">
        <f t="shared" si="67"/>
        <v>2014</v>
      </c>
      <c r="B70" s="546">
        <v>41796</v>
      </c>
      <c r="D70" s="546">
        <v>41921</v>
      </c>
      <c r="DW70" s="640"/>
      <c r="FG70" s="549"/>
      <c r="FP70" s="641"/>
      <c r="FW70" s="549"/>
      <c r="GU70" s="549"/>
      <c r="KB70" s="548"/>
    </row>
    <row r="71" spans="1:366" ht="8.1" customHeight="1">
      <c r="A71" s="545">
        <f t="shared" si="67"/>
        <v>2015</v>
      </c>
      <c r="B71" s="546">
        <v>42471</v>
      </c>
      <c r="D71" s="546">
        <v>42716</v>
      </c>
      <c r="DC71" s="549"/>
      <c r="DH71" s="549"/>
      <c r="DW71" s="640"/>
      <c r="EL71" s="549"/>
      <c r="EW71" s="549"/>
      <c r="FM71" s="768"/>
      <c r="FP71" s="641"/>
      <c r="LN71" s="769"/>
      <c r="MN71" s="769"/>
    </row>
    <row r="72" spans="1:366" ht="8.1" customHeight="1">
      <c r="A72" s="545">
        <f t="shared" si="67"/>
        <v>2016</v>
      </c>
      <c r="B72" s="546">
        <v>42840</v>
      </c>
      <c r="D72" s="546">
        <v>42995</v>
      </c>
      <c r="DG72" s="549"/>
      <c r="DW72" s="640"/>
      <c r="EL72" s="549"/>
      <c r="ER72" s="549"/>
      <c r="ET72" s="549"/>
      <c r="EV72" s="549"/>
      <c r="FN72" s="549"/>
      <c r="FP72" s="641"/>
      <c r="IX72" s="549"/>
      <c r="JF72" s="549"/>
    </row>
    <row r="73" spans="1:366" ht="8.1" customHeight="1">
      <c r="A73" s="545">
        <f t="shared" si="67"/>
        <v>2017</v>
      </c>
      <c r="B73" s="546">
        <v>43187</v>
      </c>
      <c r="D73" s="546">
        <v>43325</v>
      </c>
      <c r="CO73" s="549"/>
      <c r="DW73" s="640"/>
      <c r="EF73" s="549"/>
      <c r="EL73" s="549"/>
      <c r="FP73" s="641"/>
      <c r="FZ73" s="549"/>
      <c r="HW73" s="549"/>
    </row>
    <row r="74" spans="1:366" ht="8.1" customHeight="1">
      <c r="A74" s="545">
        <f t="shared" si="67"/>
        <v>2018</v>
      </c>
      <c r="B74" s="546">
        <v>43542</v>
      </c>
      <c r="D74" s="546">
        <v>43825</v>
      </c>
      <c r="CE74" s="549"/>
      <c r="DW74" s="640"/>
      <c r="EX74" s="549"/>
      <c r="EY74" s="549"/>
      <c r="FM74" s="549"/>
      <c r="FP74" s="641"/>
      <c r="FW74" s="549"/>
      <c r="NB74" s="549"/>
    </row>
    <row r="75" spans="1:366" ht="8.1" customHeight="1">
      <c r="A75" s="545">
        <f t="shared" si="67"/>
        <v>2019</v>
      </c>
      <c r="B75" s="546">
        <v>43912</v>
      </c>
      <c r="D75" s="546">
        <v>44066</v>
      </c>
      <c r="CI75" s="549"/>
      <c r="DW75" s="640"/>
      <c r="DZ75" s="549"/>
      <c r="EA75" s="549"/>
      <c r="EC75" s="549"/>
      <c r="EM75" s="549"/>
      <c r="ES75" s="549"/>
      <c r="EV75" s="549"/>
      <c r="EW75" s="549"/>
      <c r="FC75" s="549"/>
      <c r="FP75" s="641"/>
      <c r="FS75" s="549"/>
      <c r="FW75" s="549"/>
      <c r="IG75" s="549"/>
    </row>
    <row r="76" spans="1:366" ht="8.1" customHeight="1">
      <c r="A76" s="545">
        <f t="shared" si="67"/>
        <v>2020</v>
      </c>
      <c r="B76" s="546">
        <v>43920</v>
      </c>
      <c r="D76" s="546">
        <v>44059</v>
      </c>
      <c r="CQ76" s="549"/>
      <c r="DJ76" s="547"/>
      <c r="DW76" s="640"/>
      <c r="DZ76" s="547"/>
      <c r="EA76" s="547"/>
      <c r="EB76" s="547"/>
      <c r="EC76" s="547"/>
      <c r="ED76" s="547"/>
      <c r="EE76" s="547"/>
      <c r="EM76" s="547"/>
      <c r="ES76" s="547"/>
      <c r="EV76" s="547"/>
      <c r="EW76" s="547"/>
      <c r="FC76" s="547"/>
      <c r="FP76" s="641"/>
      <c r="FS76" s="547"/>
      <c r="FT76" s="549"/>
      <c r="FW76" s="549"/>
      <c r="FX76" s="547"/>
      <c r="GP76" s="549"/>
      <c r="GS76" s="549"/>
      <c r="HZ76" s="549"/>
    </row>
    <row r="77" spans="1:366" ht="8.1" customHeight="1">
      <c r="A77" s="545">
        <f t="shared" si="67"/>
        <v>2021</v>
      </c>
      <c r="B77" s="546">
        <v>44633</v>
      </c>
      <c r="D77" s="546">
        <v>44737</v>
      </c>
      <c r="BZ77" s="549"/>
      <c r="DW77" s="640"/>
      <c r="EC77" s="549"/>
      <c r="EM77" s="549"/>
      <c r="EV77" s="549"/>
      <c r="EZ77" s="549"/>
      <c r="FP77" s="641"/>
      <c r="FZ77" s="549"/>
    </row>
    <row r="78" spans="1:366" ht="8.1" customHeight="1">
      <c r="A78" s="545">
        <f t="shared" si="67"/>
        <v>2022</v>
      </c>
      <c r="B78" s="546">
        <v>44682</v>
      </c>
      <c r="D78" s="546">
        <v>44907</v>
      </c>
      <c r="DW78" s="557"/>
      <c r="FA78" s="549"/>
      <c r="FP78" s="641"/>
      <c r="HR78" s="549"/>
      <c r="MN78" s="557"/>
    </row>
    <row r="79" spans="1:366" ht="8.1" customHeight="1">
      <c r="A79" s="545">
        <f t="shared" si="67"/>
        <v>2023</v>
      </c>
      <c r="B79" s="546"/>
      <c r="D79" s="546"/>
      <c r="DW79" s="640"/>
      <c r="FP79" s="641"/>
    </row>
    <row r="80" spans="1:366" ht="8.1" customHeight="1">
      <c r="A80" s="545">
        <f t="shared" si="67"/>
        <v>2024</v>
      </c>
      <c r="B80" s="546"/>
      <c r="D80" s="546"/>
      <c r="DW80" s="640"/>
      <c r="FP80" s="641"/>
    </row>
    <row r="81" spans="1:172" ht="8.1" customHeight="1" thickBot="1">
      <c r="A81" s="545">
        <f t="shared" si="67"/>
        <v>2025</v>
      </c>
      <c r="B81" s="546"/>
      <c r="D81" s="546"/>
      <c r="DW81" s="642"/>
      <c r="DX81" s="643"/>
      <c r="DY81" s="643"/>
      <c r="DZ81" s="643"/>
      <c r="EA81" s="643"/>
      <c r="EB81" s="643"/>
      <c r="EC81" s="643"/>
      <c r="ED81" s="643"/>
      <c r="EE81" s="643"/>
      <c r="EF81" s="643"/>
      <c r="EG81" s="643"/>
      <c r="EH81" s="643"/>
      <c r="EI81" s="643"/>
      <c r="EJ81" s="643"/>
      <c r="EK81" s="643"/>
      <c r="EL81" s="643"/>
      <c r="EM81" s="643"/>
      <c r="EN81" s="643"/>
      <c r="EO81" s="643"/>
      <c r="EP81" s="643"/>
      <c r="EQ81" s="643"/>
      <c r="ER81" s="643"/>
      <c r="ES81" s="643"/>
      <c r="ET81" s="643"/>
      <c r="EU81" s="643"/>
      <c r="EV81" s="643"/>
      <c r="EW81" s="643"/>
      <c r="EX81" s="643"/>
      <c r="EY81" s="643"/>
      <c r="EZ81" s="643"/>
      <c r="FA81" s="643"/>
      <c r="FB81" s="643"/>
      <c r="FC81" s="643"/>
      <c r="FD81" s="643"/>
      <c r="FE81" s="643"/>
      <c r="FF81" s="643"/>
      <c r="FG81" s="643"/>
      <c r="FH81" s="643"/>
      <c r="FI81" s="643"/>
      <c r="FJ81" s="643"/>
      <c r="FK81" s="643"/>
      <c r="FL81" s="643"/>
      <c r="FM81" s="643"/>
      <c r="FN81" s="643"/>
      <c r="FO81" s="643"/>
      <c r="FP81" s="644"/>
    </row>
    <row r="82" spans="1:172" ht="8.1" customHeight="1" thickTop="1">
      <c r="B82" s="546"/>
      <c r="D82" s="546"/>
    </row>
    <row r="83" spans="1:172" ht="8.1" customHeight="1">
      <c r="B83" s="546"/>
      <c r="D83" s="546"/>
    </row>
    <row r="84" spans="1:172">
      <c r="B84" s="546"/>
      <c r="D84" s="546"/>
    </row>
    <row r="85" spans="1:172">
      <c r="B85" s="546"/>
      <c r="D85" s="546"/>
    </row>
    <row r="86" spans="1:172">
      <c r="B86" s="546"/>
      <c r="D86" s="546"/>
    </row>
    <row r="87" spans="1:172">
      <c r="B87" s="546"/>
      <c r="D87" s="546"/>
    </row>
    <row r="88" spans="1:172">
      <c r="B88" s="546"/>
      <c r="D88" s="546"/>
    </row>
    <row r="89" spans="1:172">
      <c r="B89" s="546"/>
      <c r="C89" s="546"/>
      <c r="D89" s="546"/>
    </row>
    <row r="90" spans="1:172">
      <c r="B90" s="546"/>
      <c r="C90" s="546"/>
      <c r="D90" s="546"/>
    </row>
    <row r="91" spans="1:172">
      <c r="B91" s="546"/>
      <c r="C91" s="546"/>
      <c r="D91" s="546"/>
    </row>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sheetData>
  <mergeCells count="1">
    <mergeCell ref="A4:E4"/>
  </mergeCells>
  <printOptions horizontalCentered="1"/>
  <pageMargins left="0.7" right="0.7" top="1.25" bottom="0.5" header="0.3" footer="0"/>
  <pageSetup scale="31" orientation="landscape" r:id="rId1"/>
  <headerFooter scaleWithDoc="0">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O150"/>
  <sheetViews>
    <sheetView zoomScale="75" zoomScaleNormal="75" workbookViewId="0">
      <pane xSplit="3" ySplit="2" topLeftCell="D105" activePane="bottomRight" state="frozen"/>
      <selection pane="topRight" activeCell="D1" sqref="D1"/>
      <selection pane="bottomLeft" activeCell="A6" sqref="A6"/>
      <selection pane="bottomRight" activeCell="P76" sqref="P76"/>
    </sheetView>
  </sheetViews>
  <sheetFormatPr defaultRowHeight="15.75"/>
  <cols>
    <col min="2" max="3" width="8.88671875" style="7"/>
  </cols>
  <sheetData>
    <row r="2" spans="2:39" s="7" customFormat="1">
      <c r="B2" s="4" t="s">
        <v>1032</v>
      </c>
      <c r="C2" s="4" t="s">
        <v>1033</v>
      </c>
      <c r="D2" s="7" t="s">
        <v>994</v>
      </c>
      <c r="E2" s="7" t="s">
        <v>995</v>
      </c>
      <c r="F2" s="7" t="s">
        <v>996</v>
      </c>
      <c r="G2" s="7" t="s">
        <v>997</v>
      </c>
      <c r="H2" s="7" t="s">
        <v>999</v>
      </c>
      <c r="I2" s="7" t="s">
        <v>998</v>
      </c>
      <c r="J2" s="7" t="s">
        <v>1000</v>
      </c>
      <c r="K2" s="7" t="s">
        <v>1001</v>
      </c>
      <c r="L2" s="7" t="s">
        <v>1002</v>
      </c>
      <c r="M2" s="7" t="s">
        <v>1003</v>
      </c>
      <c r="N2" s="7" t="s">
        <v>1004</v>
      </c>
      <c r="O2" s="7" t="s">
        <v>1005</v>
      </c>
      <c r="P2" s="7" t="s">
        <v>1006</v>
      </c>
      <c r="Q2" s="7" t="s">
        <v>1007</v>
      </c>
      <c r="R2" s="7" t="s">
        <v>1008</v>
      </c>
      <c r="S2" s="7" t="s">
        <v>1009</v>
      </c>
      <c r="T2" s="7" t="s">
        <v>1011</v>
      </c>
      <c r="U2" s="7" t="s">
        <v>1010</v>
      </c>
      <c r="V2" s="7" t="s">
        <v>1012</v>
      </c>
      <c r="W2" s="7" t="s">
        <v>1013</v>
      </c>
      <c r="X2" s="7" t="s">
        <v>1014</v>
      </c>
      <c r="Y2" s="7" t="s">
        <v>1015</v>
      </c>
      <c r="Z2" s="7" t="s">
        <v>1016</v>
      </c>
      <c r="AA2" s="7" t="s">
        <v>1017</v>
      </c>
      <c r="AB2" s="7" t="s">
        <v>1018</v>
      </c>
      <c r="AC2" s="7" t="s">
        <v>1019</v>
      </c>
      <c r="AD2" s="7" t="s">
        <v>1020</v>
      </c>
      <c r="AE2" s="7" t="s">
        <v>1021</v>
      </c>
      <c r="AF2" s="7" t="s">
        <v>1022</v>
      </c>
      <c r="AG2" s="7" t="s">
        <v>1023</v>
      </c>
      <c r="AH2" s="7" t="s">
        <v>1024</v>
      </c>
      <c r="AI2" s="7" t="s">
        <v>1025</v>
      </c>
      <c r="AJ2" s="7" t="s">
        <v>1026</v>
      </c>
      <c r="AK2" s="7" t="s">
        <v>1027</v>
      </c>
      <c r="AL2" s="7" t="s">
        <v>1028</v>
      </c>
      <c r="AM2" s="7" t="s">
        <v>1029</v>
      </c>
    </row>
    <row r="3" spans="2:39">
      <c r="B3" s="7">
        <v>1950</v>
      </c>
      <c r="C3" s="691">
        <f>AVERAGE(B3)</f>
        <v>1950</v>
      </c>
      <c r="D3" s="27"/>
      <c r="E3" s="27"/>
      <c r="F3" s="27"/>
      <c r="G3" s="27"/>
      <c r="H3" s="27"/>
      <c r="I3" s="27"/>
      <c r="J3" s="27"/>
      <c r="K3" s="27"/>
      <c r="L3" s="27"/>
      <c r="M3" s="27"/>
      <c r="N3" s="27"/>
      <c r="O3" s="27"/>
      <c r="P3" s="27">
        <v>1</v>
      </c>
      <c r="Q3" s="27"/>
      <c r="R3" s="27"/>
      <c r="S3" s="27"/>
      <c r="T3" s="27"/>
      <c r="U3" s="27"/>
      <c r="V3" s="27"/>
      <c r="W3" s="27"/>
      <c r="X3" s="27"/>
      <c r="Y3" s="27"/>
      <c r="Z3" s="27"/>
      <c r="AA3" s="27"/>
      <c r="AB3" s="27"/>
      <c r="AC3" s="27"/>
      <c r="AD3" s="27"/>
      <c r="AE3" s="27"/>
      <c r="AF3" s="27"/>
      <c r="AG3" s="27"/>
      <c r="AH3" s="27"/>
      <c r="AI3" s="27"/>
      <c r="AJ3" s="27"/>
      <c r="AK3" s="27"/>
      <c r="AL3" s="27"/>
      <c r="AM3" s="27"/>
    </row>
    <row r="4" spans="2:39">
      <c r="B4" s="7">
        <f t="shared" ref="B4:B65" si="0">+B3+1</f>
        <v>1951</v>
      </c>
      <c r="C4" s="691">
        <v>40294</v>
      </c>
      <c r="D4" s="27"/>
      <c r="E4" s="27"/>
      <c r="F4" s="27"/>
      <c r="G4" s="27"/>
      <c r="H4" s="27"/>
      <c r="I4" s="27"/>
      <c r="J4" s="27"/>
      <c r="K4" s="27"/>
      <c r="L4" s="27"/>
      <c r="M4" s="27"/>
      <c r="N4" s="27"/>
      <c r="O4" s="27">
        <v>1</v>
      </c>
      <c r="P4" s="27"/>
      <c r="Q4" s="27"/>
      <c r="R4" s="27"/>
      <c r="S4" s="27"/>
      <c r="T4" s="27"/>
      <c r="U4" s="27"/>
      <c r="V4" s="27"/>
      <c r="W4" s="27"/>
      <c r="X4" s="27"/>
      <c r="Y4" s="27"/>
      <c r="Z4" s="27"/>
      <c r="AA4" s="27"/>
      <c r="AB4" s="27"/>
      <c r="AC4" s="27"/>
      <c r="AD4" s="27"/>
      <c r="AE4" s="27"/>
      <c r="AF4" s="27"/>
      <c r="AG4" s="27"/>
      <c r="AH4" s="27"/>
      <c r="AI4" s="27"/>
      <c r="AJ4" s="27"/>
      <c r="AK4" s="27"/>
      <c r="AL4" s="27"/>
      <c r="AM4" s="27"/>
    </row>
    <row r="5" spans="2:39">
      <c r="B5" s="7">
        <f t="shared" si="0"/>
        <v>1952</v>
      </c>
      <c r="C5" s="691">
        <v>40375</v>
      </c>
      <c r="D5" s="27"/>
      <c r="E5" s="27"/>
      <c r="F5" s="27"/>
      <c r="G5" s="27"/>
      <c r="H5" s="27"/>
      <c r="I5" s="27"/>
      <c r="J5" s="27"/>
      <c r="K5" s="27"/>
      <c r="L5" s="27"/>
      <c r="M5" s="27"/>
      <c r="N5" s="27"/>
      <c r="O5" s="27"/>
      <c r="P5" s="27"/>
      <c r="Q5" s="27"/>
      <c r="R5" s="27"/>
      <c r="S5" s="27"/>
      <c r="T5" s="27"/>
      <c r="U5" s="27"/>
      <c r="V5" s="27"/>
      <c r="W5" s="27">
        <v>1</v>
      </c>
      <c r="X5" s="27"/>
      <c r="Y5" s="27"/>
      <c r="Z5" s="27"/>
      <c r="AA5" s="27"/>
      <c r="AB5" s="27"/>
      <c r="AC5" s="27"/>
      <c r="AD5" s="27"/>
      <c r="AE5" s="27"/>
      <c r="AF5" s="27"/>
      <c r="AG5" s="27"/>
      <c r="AH5" s="27"/>
      <c r="AI5" s="27"/>
      <c r="AJ5" s="27"/>
      <c r="AK5" s="27"/>
      <c r="AL5" s="27"/>
      <c r="AM5" s="27"/>
    </row>
    <row r="6" spans="2:39">
      <c r="B6" s="7">
        <f t="shared" si="0"/>
        <v>1953</v>
      </c>
      <c r="C6" s="691">
        <v>40334</v>
      </c>
      <c r="D6" s="27"/>
      <c r="E6" s="27"/>
      <c r="F6" s="27"/>
      <c r="G6" s="27"/>
      <c r="H6" s="27"/>
      <c r="I6" s="27"/>
      <c r="J6" s="27"/>
      <c r="K6" s="27"/>
      <c r="L6" s="27"/>
      <c r="M6" s="27"/>
      <c r="N6" s="27"/>
      <c r="O6" s="27"/>
      <c r="P6" s="27"/>
      <c r="Q6" s="27"/>
      <c r="R6" s="27"/>
      <c r="S6" s="27">
        <v>1</v>
      </c>
      <c r="T6" s="27"/>
      <c r="U6" s="27"/>
      <c r="V6" s="27"/>
      <c r="W6" s="27"/>
      <c r="X6" s="27"/>
      <c r="Y6" s="27"/>
      <c r="Z6" s="27"/>
      <c r="AA6" s="27"/>
      <c r="AB6" s="27"/>
      <c r="AC6" s="27"/>
      <c r="AD6" s="27"/>
      <c r="AE6" s="27"/>
      <c r="AF6" s="27"/>
      <c r="AG6" s="27"/>
      <c r="AH6" s="27"/>
      <c r="AI6" s="27"/>
      <c r="AJ6" s="27"/>
      <c r="AK6" s="27"/>
      <c r="AL6" s="27"/>
      <c r="AM6" s="27"/>
    </row>
    <row r="7" spans="2:39">
      <c r="B7" s="7">
        <f t="shared" si="0"/>
        <v>1954</v>
      </c>
      <c r="C7" s="691">
        <v>40320</v>
      </c>
      <c r="D7" s="27"/>
      <c r="E7" s="27"/>
      <c r="F7" s="27"/>
      <c r="G7" s="27"/>
      <c r="H7" s="27"/>
      <c r="I7" s="27"/>
      <c r="J7" s="27"/>
      <c r="K7" s="27"/>
      <c r="L7" s="27"/>
      <c r="M7" s="27"/>
      <c r="N7" s="27"/>
      <c r="O7" s="27"/>
      <c r="P7" s="27"/>
      <c r="Q7" s="27"/>
      <c r="R7" s="27">
        <v>1</v>
      </c>
      <c r="S7" s="27"/>
      <c r="T7" s="27"/>
      <c r="U7" s="27"/>
      <c r="V7" s="27"/>
      <c r="W7" s="27"/>
      <c r="X7" s="27"/>
      <c r="Y7" s="27"/>
      <c r="Z7" s="27"/>
      <c r="AA7" s="27"/>
      <c r="AB7" s="27"/>
      <c r="AC7" s="27"/>
      <c r="AD7" s="27"/>
      <c r="AE7" s="27"/>
      <c r="AF7" s="27"/>
      <c r="AG7" s="27"/>
      <c r="AH7" s="27"/>
      <c r="AI7" s="27"/>
      <c r="AJ7" s="27"/>
      <c r="AK7" s="27"/>
      <c r="AL7" s="27"/>
      <c r="AM7" s="27"/>
    </row>
    <row r="8" spans="2:39">
      <c r="B8" s="7">
        <f t="shared" si="0"/>
        <v>1955</v>
      </c>
      <c r="C8" s="691">
        <v>40286</v>
      </c>
      <c r="D8" s="27"/>
      <c r="E8" s="27"/>
      <c r="F8" s="27"/>
      <c r="G8" s="27"/>
      <c r="H8" s="27"/>
      <c r="I8" s="27"/>
      <c r="J8" s="27"/>
      <c r="K8" s="27"/>
      <c r="L8" s="27"/>
      <c r="M8" s="27"/>
      <c r="N8" s="27">
        <v>1</v>
      </c>
      <c r="O8" s="27"/>
      <c r="P8" s="27"/>
      <c r="Q8" s="27"/>
      <c r="R8" s="27"/>
      <c r="S8" s="27"/>
      <c r="T8" s="27"/>
      <c r="U8" s="27"/>
      <c r="V8" s="27"/>
      <c r="W8" s="27"/>
      <c r="X8" s="27"/>
      <c r="Y8" s="27"/>
      <c r="Z8" s="27"/>
      <c r="AA8" s="27"/>
      <c r="AB8" s="27"/>
      <c r="AC8" s="27"/>
      <c r="AD8" s="27"/>
      <c r="AE8" s="27"/>
      <c r="AF8" s="27"/>
      <c r="AG8" s="27"/>
      <c r="AH8" s="27"/>
      <c r="AI8" s="27"/>
      <c r="AJ8" s="27"/>
      <c r="AK8" s="27"/>
      <c r="AL8" s="27"/>
      <c r="AM8" s="27"/>
    </row>
    <row r="9" spans="2:39">
      <c r="B9" s="7">
        <f t="shared" si="0"/>
        <v>1956</v>
      </c>
      <c r="C9" s="691">
        <v>40352</v>
      </c>
      <c r="D9" s="27"/>
      <c r="E9" s="27"/>
      <c r="F9" s="27"/>
      <c r="G9" s="27"/>
      <c r="H9" s="27"/>
      <c r="I9" s="27"/>
      <c r="J9" s="27"/>
      <c r="K9" s="27"/>
      <c r="L9" s="27"/>
      <c r="M9" s="27"/>
      <c r="N9" s="27"/>
      <c r="O9" s="27"/>
      <c r="P9" s="27"/>
      <c r="Q9" s="27"/>
      <c r="R9" s="27"/>
      <c r="S9" s="27"/>
      <c r="T9" s="27"/>
      <c r="U9" s="27">
        <v>1</v>
      </c>
      <c r="V9" s="27"/>
      <c r="W9" s="27"/>
      <c r="X9" s="27"/>
      <c r="Y9" s="27"/>
      <c r="Z9" s="27"/>
      <c r="AA9" s="27"/>
      <c r="AB9" s="27"/>
      <c r="AC9" s="27"/>
      <c r="AD9" s="27"/>
      <c r="AE9" s="27"/>
      <c r="AF9" s="27"/>
      <c r="AG9" s="27"/>
      <c r="AH9" s="27"/>
      <c r="AI9" s="27"/>
      <c r="AJ9" s="27"/>
      <c r="AK9" s="27"/>
      <c r="AL9" s="27"/>
      <c r="AM9" s="27"/>
    </row>
    <row r="10" spans="2:39">
      <c r="B10" s="7">
        <f t="shared" si="0"/>
        <v>1957</v>
      </c>
      <c r="C10" s="691">
        <v>40270</v>
      </c>
      <c r="D10" s="27"/>
      <c r="E10" s="27"/>
      <c r="F10" s="27"/>
      <c r="G10" s="27"/>
      <c r="H10" s="27"/>
      <c r="I10" s="27"/>
      <c r="J10" s="27"/>
      <c r="K10" s="27"/>
      <c r="L10" s="27"/>
      <c r="M10" s="27">
        <v>1</v>
      </c>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row>
    <row r="11" spans="2:39">
      <c r="B11" s="7">
        <f t="shared" si="0"/>
        <v>1958</v>
      </c>
      <c r="C11" s="691">
        <v>40315</v>
      </c>
      <c r="D11" s="27"/>
      <c r="E11" s="27"/>
      <c r="F11" s="27"/>
      <c r="G11" s="27"/>
      <c r="H11" s="27"/>
      <c r="I11" s="27"/>
      <c r="J11" s="27"/>
      <c r="K11" s="27"/>
      <c r="L11" s="27"/>
      <c r="M11" s="27"/>
      <c r="N11" s="27"/>
      <c r="O11" s="27"/>
      <c r="P11" s="27"/>
      <c r="Q11" s="27">
        <v>1</v>
      </c>
      <c r="R11" s="27"/>
      <c r="S11" s="27"/>
      <c r="T11" s="27"/>
      <c r="U11" s="27"/>
      <c r="V11" s="27"/>
      <c r="W11" s="27"/>
      <c r="X11" s="27"/>
      <c r="Y11" s="27"/>
      <c r="Z11" s="27"/>
      <c r="AA11" s="27"/>
      <c r="AB11" s="27"/>
      <c r="AC11" s="27"/>
      <c r="AD11" s="27"/>
      <c r="AE11" s="27"/>
      <c r="AF11" s="27"/>
      <c r="AG11" s="27"/>
      <c r="AH11" s="27"/>
      <c r="AI11" s="27"/>
      <c r="AJ11" s="27"/>
      <c r="AK11" s="27"/>
      <c r="AL11" s="27"/>
      <c r="AM11" s="27"/>
    </row>
    <row r="12" spans="2:39">
      <c r="B12" s="7">
        <f t="shared" si="0"/>
        <v>1959</v>
      </c>
      <c r="C12" s="691">
        <v>40306</v>
      </c>
      <c r="D12" s="27"/>
      <c r="E12" s="27"/>
      <c r="F12" s="27"/>
      <c r="G12" s="27"/>
      <c r="H12" s="27"/>
      <c r="I12" s="27"/>
      <c r="J12" s="27"/>
      <c r="K12" s="27"/>
      <c r="L12" s="27"/>
      <c r="M12" s="27"/>
      <c r="N12" s="27"/>
      <c r="O12" s="27"/>
      <c r="P12" s="27">
        <v>1</v>
      </c>
      <c r="Q12" s="27"/>
      <c r="R12" s="27"/>
      <c r="S12" s="27"/>
      <c r="T12" s="27"/>
      <c r="U12" s="27"/>
      <c r="V12" s="27"/>
      <c r="W12" s="27"/>
      <c r="X12" s="27"/>
      <c r="Y12" s="27"/>
      <c r="Z12" s="27"/>
      <c r="AA12" s="27"/>
      <c r="AB12" s="27"/>
      <c r="AC12" s="27"/>
      <c r="AD12" s="27"/>
      <c r="AE12" s="27"/>
      <c r="AF12" s="27"/>
      <c r="AG12" s="27"/>
      <c r="AH12" s="27"/>
      <c r="AI12" s="27"/>
      <c r="AJ12" s="27"/>
      <c r="AK12" s="27"/>
      <c r="AL12" s="27"/>
      <c r="AM12" s="27"/>
    </row>
    <row r="13" spans="2:39">
      <c r="B13" s="7">
        <f t="shared" si="0"/>
        <v>1960</v>
      </c>
      <c r="C13" s="691">
        <v>40280</v>
      </c>
      <c r="D13" s="27"/>
      <c r="E13" s="27"/>
      <c r="F13" s="27"/>
      <c r="G13" s="27"/>
      <c r="H13" s="27"/>
      <c r="I13" s="27"/>
      <c r="J13" s="27"/>
      <c r="K13" s="27"/>
      <c r="L13" s="27"/>
      <c r="M13" s="27"/>
      <c r="N13" s="27">
        <v>1</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row>
    <row r="14" spans="2:39">
      <c r="B14" s="7">
        <f t="shared" si="0"/>
        <v>1961</v>
      </c>
      <c r="C14" s="691">
        <v>40302</v>
      </c>
      <c r="D14" s="27"/>
      <c r="E14" s="27"/>
      <c r="F14" s="27"/>
      <c r="G14" s="27"/>
      <c r="H14" s="27"/>
      <c r="I14" s="27"/>
      <c r="J14" s="27"/>
      <c r="K14" s="27"/>
      <c r="L14" s="27"/>
      <c r="M14" s="27"/>
      <c r="N14" s="27"/>
      <c r="O14" s="27"/>
      <c r="P14" s="27">
        <v>1</v>
      </c>
      <c r="Q14" s="27"/>
      <c r="R14" s="27"/>
      <c r="S14" s="27"/>
      <c r="T14" s="27"/>
      <c r="U14" s="27"/>
      <c r="V14" s="27"/>
      <c r="W14" s="27"/>
      <c r="X14" s="27"/>
      <c r="Y14" s="27"/>
      <c r="Z14" s="27"/>
      <c r="AA14" s="27"/>
      <c r="AB14" s="27"/>
      <c r="AC14" s="27"/>
      <c r="AD14" s="27"/>
      <c r="AE14" s="27"/>
      <c r="AF14" s="27"/>
      <c r="AG14" s="27"/>
      <c r="AH14" s="27"/>
      <c r="AI14" s="27"/>
      <c r="AJ14" s="27"/>
      <c r="AK14" s="27"/>
      <c r="AL14" s="27"/>
      <c r="AM14" s="27"/>
    </row>
    <row r="15" spans="2:39">
      <c r="B15" s="7">
        <f t="shared" si="0"/>
        <v>1962</v>
      </c>
      <c r="C15" s="691">
        <v>40315</v>
      </c>
      <c r="D15" s="27"/>
      <c r="E15" s="27"/>
      <c r="F15" s="27"/>
      <c r="G15" s="27"/>
      <c r="H15" s="27"/>
      <c r="I15" s="27"/>
      <c r="J15" s="27"/>
      <c r="K15" s="27"/>
      <c r="L15" s="27"/>
      <c r="M15" s="27"/>
      <c r="N15" s="27"/>
      <c r="O15" s="27"/>
      <c r="P15" s="27"/>
      <c r="Q15" s="27">
        <v>1</v>
      </c>
      <c r="R15" s="27"/>
      <c r="S15" s="27"/>
      <c r="T15" s="27"/>
      <c r="U15" s="27"/>
      <c r="V15" s="27"/>
      <c r="W15" s="27"/>
      <c r="X15" s="27"/>
      <c r="Y15" s="27"/>
      <c r="Z15" s="27"/>
      <c r="AA15" s="27"/>
      <c r="AB15" s="27"/>
      <c r="AC15" s="27"/>
      <c r="AD15" s="27"/>
      <c r="AE15" s="27"/>
      <c r="AF15" s="27"/>
      <c r="AG15" s="27"/>
      <c r="AH15" s="27"/>
      <c r="AI15" s="27"/>
      <c r="AJ15" s="27"/>
      <c r="AK15" s="27"/>
      <c r="AL15" s="27"/>
      <c r="AM15" s="27"/>
    </row>
    <row r="16" spans="2:39">
      <c r="B16" s="7">
        <f t="shared" si="0"/>
        <v>1963</v>
      </c>
      <c r="C16" s="691">
        <v>40302</v>
      </c>
      <c r="D16" s="27"/>
      <c r="E16" s="27"/>
      <c r="F16" s="27"/>
      <c r="G16" s="27"/>
      <c r="H16" s="27"/>
      <c r="I16" s="27"/>
      <c r="J16" s="27"/>
      <c r="K16" s="27"/>
      <c r="L16" s="27"/>
      <c r="M16" s="27"/>
      <c r="N16" s="27"/>
      <c r="O16" s="27"/>
      <c r="P16" s="27">
        <v>1</v>
      </c>
      <c r="Q16" s="27"/>
      <c r="R16" s="27"/>
      <c r="S16" s="27"/>
      <c r="T16" s="27"/>
      <c r="U16" s="27"/>
      <c r="V16" s="27"/>
      <c r="W16" s="27"/>
      <c r="X16" s="27"/>
      <c r="Y16" s="27"/>
      <c r="Z16" s="27"/>
      <c r="AA16" s="27"/>
      <c r="AB16" s="27"/>
      <c r="AC16" s="27"/>
      <c r="AD16" s="27"/>
      <c r="AE16" s="27"/>
      <c r="AF16" s="27"/>
      <c r="AG16" s="27"/>
      <c r="AH16" s="27"/>
      <c r="AI16" s="27"/>
      <c r="AJ16" s="27"/>
      <c r="AK16" s="27"/>
      <c r="AL16" s="27"/>
      <c r="AM16" s="27"/>
    </row>
    <row r="17" spans="2:39">
      <c r="B17" s="7">
        <f t="shared" si="0"/>
        <v>1964</v>
      </c>
      <c r="C17" s="691">
        <v>40308</v>
      </c>
      <c r="D17" s="27"/>
      <c r="E17" s="27"/>
      <c r="F17" s="27"/>
      <c r="G17" s="27"/>
      <c r="H17" s="27"/>
      <c r="I17" s="27"/>
      <c r="J17" s="27"/>
      <c r="K17" s="27"/>
      <c r="L17" s="27"/>
      <c r="M17" s="27"/>
      <c r="N17" s="27"/>
      <c r="O17" s="27"/>
      <c r="P17" s="27">
        <v>1</v>
      </c>
      <c r="Q17" s="27"/>
      <c r="R17" s="27"/>
      <c r="S17" s="27"/>
      <c r="T17" s="27"/>
      <c r="U17" s="27"/>
      <c r="V17" s="27"/>
      <c r="W17" s="27"/>
      <c r="X17" s="27"/>
      <c r="Y17" s="27"/>
      <c r="Z17" s="27"/>
      <c r="AA17" s="27"/>
      <c r="AB17" s="27"/>
      <c r="AC17" s="27"/>
      <c r="AD17" s="27"/>
      <c r="AE17" s="27"/>
      <c r="AF17" s="27"/>
      <c r="AG17" s="27"/>
      <c r="AH17" s="27"/>
      <c r="AI17" s="27"/>
      <c r="AJ17" s="27"/>
      <c r="AK17" s="27"/>
      <c r="AL17" s="27"/>
      <c r="AM17" s="27"/>
    </row>
    <row r="18" spans="2:39">
      <c r="B18" s="7">
        <f t="shared" si="0"/>
        <v>1965</v>
      </c>
      <c r="C18" s="691">
        <v>40302</v>
      </c>
      <c r="D18" s="27"/>
      <c r="E18" s="27"/>
      <c r="F18" s="27"/>
      <c r="G18" s="27"/>
      <c r="H18" s="27"/>
      <c r="I18" s="27"/>
      <c r="J18" s="27"/>
      <c r="K18" s="27"/>
      <c r="L18" s="27"/>
      <c r="M18" s="27"/>
      <c r="N18" s="27"/>
      <c r="O18" s="27"/>
      <c r="P18" s="27">
        <v>1</v>
      </c>
      <c r="Q18" s="27"/>
      <c r="R18" s="27"/>
      <c r="S18" s="27"/>
      <c r="T18" s="27"/>
      <c r="U18" s="27"/>
      <c r="V18" s="27"/>
      <c r="W18" s="27"/>
      <c r="X18" s="27"/>
      <c r="Y18" s="27"/>
      <c r="Z18" s="27"/>
      <c r="AA18" s="27"/>
      <c r="AB18" s="27"/>
      <c r="AC18" s="27"/>
      <c r="AD18" s="27"/>
      <c r="AE18" s="27"/>
      <c r="AF18" s="27"/>
      <c r="AG18" s="27"/>
      <c r="AH18" s="27"/>
      <c r="AI18" s="27"/>
      <c r="AJ18" s="27"/>
      <c r="AK18" s="27"/>
      <c r="AL18" s="27"/>
      <c r="AM18" s="27"/>
    </row>
    <row r="19" spans="2:39">
      <c r="B19" s="7">
        <f t="shared" si="0"/>
        <v>1966</v>
      </c>
      <c r="C19" s="691">
        <v>40343</v>
      </c>
      <c r="D19" s="27"/>
      <c r="E19" s="27"/>
      <c r="F19" s="27"/>
      <c r="G19" s="27"/>
      <c r="H19" s="27"/>
      <c r="I19" s="27"/>
      <c r="J19" s="27"/>
      <c r="K19" s="27"/>
      <c r="L19" s="27"/>
      <c r="M19" s="27"/>
      <c r="N19" s="27"/>
      <c r="O19" s="27"/>
      <c r="P19" s="27"/>
      <c r="Q19" s="27"/>
      <c r="R19" s="27"/>
      <c r="S19" s="27"/>
      <c r="T19" s="27">
        <v>1</v>
      </c>
      <c r="U19" s="27"/>
      <c r="V19" s="27"/>
      <c r="W19" s="27"/>
      <c r="X19" s="27"/>
      <c r="Y19" s="27"/>
      <c r="Z19" s="27"/>
      <c r="AA19" s="27"/>
      <c r="AB19" s="27"/>
      <c r="AC19" s="27"/>
      <c r="AD19" s="27"/>
      <c r="AE19" s="27"/>
      <c r="AF19" s="27"/>
      <c r="AG19" s="27"/>
      <c r="AH19" s="27"/>
      <c r="AI19" s="27"/>
      <c r="AJ19" s="27"/>
      <c r="AK19" s="27"/>
      <c r="AL19" s="27"/>
      <c r="AM19" s="27"/>
    </row>
    <row r="20" spans="2:39">
      <c r="B20" s="7">
        <f t="shared" si="0"/>
        <v>1967</v>
      </c>
      <c r="C20" s="691">
        <v>40256</v>
      </c>
      <c r="D20" s="27"/>
      <c r="E20" s="27"/>
      <c r="F20" s="27"/>
      <c r="G20" s="27"/>
      <c r="H20" s="27"/>
      <c r="I20" s="27"/>
      <c r="J20" s="27"/>
      <c r="K20" s="27">
        <v>1</v>
      </c>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row>
    <row r="21" spans="2:39">
      <c r="B21" s="7">
        <f t="shared" si="0"/>
        <v>1968</v>
      </c>
      <c r="C21" s="691">
        <v>40270</v>
      </c>
      <c r="D21" s="27"/>
      <c r="E21" s="27"/>
      <c r="F21" s="27"/>
      <c r="G21" s="27"/>
      <c r="H21" s="27"/>
      <c r="I21" s="27"/>
      <c r="J21" s="27"/>
      <c r="K21" s="27"/>
      <c r="L21" s="27"/>
      <c r="M21" s="27">
        <v>1</v>
      </c>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row>
    <row r="22" spans="2:39">
      <c r="B22" s="7">
        <f t="shared" si="0"/>
        <v>1969</v>
      </c>
      <c r="C22" s="691">
        <v>40300</v>
      </c>
      <c r="D22" s="27"/>
      <c r="E22" s="27"/>
      <c r="F22" s="27"/>
      <c r="G22" s="27"/>
      <c r="H22" s="27"/>
      <c r="I22" s="27"/>
      <c r="J22" s="27"/>
      <c r="K22" s="27"/>
      <c r="L22" s="27"/>
      <c r="M22" s="27"/>
      <c r="N22" s="27"/>
      <c r="O22" s="27"/>
      <c r="P22" s="27">
        <v>1</v>
      </c>
      <c r="Q22" s="27"/>
      <c r="R22" s="27"/>
      <c r="S22" s="27"/>
      <c r="T22" s="27"/>
      <c r="U22" s="27"/>
      <c r="V22" s="27"/>
      <c r="W22" s="27"/>
      <c r="X22" s="27"/>
      <c r="Y22" s="27"/>
      <c r="Z22" s="27"/>
      <c r="AA22" s="27"/>
      <c r="AB22" s="27"/>
      <c r="AC22" s="27"/>
      <c r="AD22" s="27"/>
      <c r="AE22" s="27"/>
      <c r="AF22" s="27"/>
      <c r="AG22" s="27"/>
      <c r="AH22" s="27"/>
      <c r="AI22" s="27"/>
      <c r="AJ22" s="27"/>
      <c r="AK22" s="27"/>
      <c r="AL22" s="27"/>
      <c r="AM22" s="27"/>
    </row>
    <row r="23" spans="2:39">
      <c r="B23" s="7">
        <f t="shared" si="0"/>
        <v>1970</v>
      </c>
      <c r="C23" s="691">
        <v>40285</v>
      </c>
      <c r="D23" s="27"/>
      <c r="E23" s="27"/>
      <c r="F23" s="27"/>
      <c r="G23" s="27"/>
      <c r="H23" s="27"/>
      <c r="I23" s="27"/>
      <c r="J23" s="27"/>
      <c r="K23" s="27"/>
      <c r="L23" s="27"/>
      <c r="M23" s="27"/>
      <c r="N23" s="27">
        <v>1</v>
      </c>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row>
    <row r="24" spans="2:39">
      <c r="B24" s="7">
        <f t="shared" si="0"/>
        <v>1971</v>
      </c>
      <c r="C24" s="691">
        <v>40283</v>
      </c>
      <c r="D24" s="27"/>
      <c r="E24" s="27"/>
      <c r="F24" s="27"/>
      <c r="G24" s="27"/>
      <c r="H24" s="27"/>
      <c r="I24" s="27"/>
      <c r="J24" s="27"/>
      <c r="K24" s="27"/>
      <c r="L24" s="27"/>
      <c r="M24" s="27"/>
      <c r="N24" s="27">
        <v>1</v>
      </c>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row>
    <row r="25" spans="2:39">
      <c r="B25" s="7">
        <f t="shared" si="0"/>
        <v>1972</v>
      </c>
      <c r="C25" s="691">
        <v>40293</v>
      </c>
      <c r="D25" s="27"/>
      <c r="E25" s="27"/>
      <c r="F25" s="27"/>
      <c r="G25" s="27"/>
      <c r="H25" s="27"/>
      <c r="I25" s="27"/>
      <c r="J25" s="27"/>
      <c r="K25" s="27"/>
      <c r="L25" s="27"/>
      <c r="M25" s="27"/>
      <c r="N25" s="27"/>
      <c r="O25" s="27">
        <v>1</v>
      </c>
      <c r="P25" s="27"/>
      <c r="Q25" s="27"/>
      <c r="R25" s="27"/>
      <c r="S25" s="27"/>
      <c r="T25" s="27"/>
      <c r="U25" s="27"/>
      <c r="V25" s="27"/>
      <c r="W25" s="27"/>
      <c r="X25" s="27"/>
      <c r="Y25" s="27"/>
      <c r="Z25" s="27"/>
      <c r="AA25" s="27"/>
      <c r="AB25" s="27"/>
      <c r="AC25" s="27"/>
      <c r="AD25" s="27"/>
      <c r="AE25" s="27"/>
      <c r="AF25" s="27"/>
      <c r="AG25" s="27"/>
      <c r="AH25" s="27"/>
      <c r="AI25" s="27"/>
      <c r="AJ25" s="27"/>
      <c r="AK25" s="27"/>
      <c r="AL25" s="27"/>
      <c r="AM25" s="27"/>
    </row>
    <row r="26" spans="2:39">
      <c r="B26" s="7">
        <f t="shared" si="0"/>
        <v>1973</v>
      </c>
      <c r="C26" s="691">
        <v>40260</v>
      </c>
      <c r="D26" s="27"/>
      <c r="E26" s="27"/>
      <c r="F26" s="27"/>
      <c r="G26" s="27"/>
      <c r="H26" s="27"/>
      <c r="I26" s="27"/>
      <c r="J26" s="27"/>
      <c r="K26" s="27"/>
      <c r="L26" s="27">
        <v>1</v>
      </c>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row>
    <row r="27" spans="2:39">
      <c r="B27" s="7">
        <f t="shared" si="0"/>
        <v>1974</v>
      </c>
      <c r="C27" s="691">
        <v>40246</v>
      </c>
      <c r="D27" s="27"/>
      <c r="E27" s="27"/>
      <c r="F27" s="27"/>
      <c r="G27" s="27"/>
      <c r="H27" s="27"/>
      <c r="I27" s="27"/>
      <c r="J27" s="27">
        <v>1</v>
      </c>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row>
    <row r="28" spans="2:39">
      <c r="B28" s="7">
        <f t="shared" si="0"/>
        <v>1975</v>
      </c>
      <c r="C28" s="691">
        <v>40263</v>
      </c>
      <c r="D28" s="27"/>
      <c r="E28" s="27"/>
      <c r="F28" s="27"/>
      <c r="G28" s="27"/>
      <c r="H28" s="27"/>
      <c r="I28" s="27"/>
      <c r="J28" s="27"/>
      <c r="K28" s="27"/>
      <c r="L28" s="27">
        <v>1</v>
      </c>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row>
    <row r="29" spans="2:39">
      <c r="B29" s="7">
        <f t="shared" si="0"/>
        <v>1976</v>
      </c>
      <c r="C29" s="691">
        <v>40275</v>
      </c>
      <c r="D29" s="27"/>
      <c r="E29" s="27"/>
      <c r="F29" s="27"/>
      <c r="G29" s="27"/>
      <c r="H29" s="27"/>
      <c r="I29" s="27"/>
      <c r="J29" s="27"/>
      <c r="K29" s="27"/>
      <c r="L29" s="27"/>
      <c r="M29" s="27">
        <v>1</v>
      </c>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row>
    <row r="30" spans="2:39">
      <c r="B30" s="7">
        <f t="shared" si="0"/>
        <v>1977</v>
      </c>
      <c r="C30" s="691">
        <v>40287</v>
      </c>
      <c r="D30" s="27"/>
      <c r="E30" s="27"/>
      <c r="F30" s="27"/>
      <c r="G30" s="27"/>
      <c r="H30" s="27"/>
      <c r="I30" s="27"/>
      <c r="J30" s="27"/>
      <c r="K30" s="27"/>
      <c r="L30" s="27"/>
      <c r="M30" s="27"/>
      <c r="N30" s="27">
        <v>1</v>
      </c>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row>
    <row r="31" spans="2:39">
      <c r="B31" s="7">
        <f t="shared" si="0"/>
        <v>1978</v>
      </c>
      <c r="C31" s="691">
        <v>40298</v>
      </c>
      <c r="D31" s="27"/>
      <c r="E31" s="27"/>
      <c r="F31" s="27"/>
      <c r="G31" s="27"/>
      <c r="H31" s="27"/>
      <c r="I31" s="27"/>
      <c r="J31" s="27"/>
      <c r="K31" s="27"/>
      <c r="L31" s="27"/>
      <c r="M31" s="27"/>
      <c r="N31" s="27"/>
      <c r="O31" s="27">
        <v>1</v>
      </c>
      <c r="P31" s="27"/>
      <c r="Q31" s="27"/>
      <c r="R31" s="27"/>
      <c r="S31" s="27"/>
      <c r="T31" s="27"/>
      <c r="U31" s="27"/>
      <c r="V31" s="27"/>
      <c r="W31" s="27"/>
      <c r="X31" s="27"/>
      <c r="Y31" s="27"/>
      <c r="Z31" s="27"/>
      <c r="AA31" s="27"/>
      <c r="AB31" s="27"/>
      <c r="AC31" s="27"/>
      <c r="AD31" s="27"/>
      <c r="AE31" s="27"/>
      <c r="AF31" s="27"/>
      <c r="AG31" s="27"/>
      <c r="AH31" s="27"/>
      <c r="AI31" s="27"/>
      <c r="AJ31" s="27"/>
      <c r="AK31" s="27"/>
      <c r="AL31" s="27"/>
      <c r="AM31" s="27"/>
    </row>
    <row r="32" spans="2:39">
      <c r="B32" s="7">
        <f t="shared" si="0"/>
        <v>1979</v>
      </c>
      <c r="C32" s="691">
        <v>40255</v>
      </c>
      <c r="D32" s="27"/>
      <c r="E32" s="27"/>
      <c r="F32" s="27"/>
      <c r="G32" s="27"/>
      <c r="H32" s="27"/>
      <c r="I32" s="27"/>
      <c r="J32" s="27"/>
      <c r="K32" s="27">
        <v>1</v>
      </c>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row>
    <row r="33" spans="2:39">
      <c r="B33" s="7">
        <f t="shared" si="0"/>
        <v>1980</v>
      </c>
      <c r="C33" s="691">
        <v>40292</v>
      </c>
      <c r="D33" s="27"/>
      <c r="E33" s="27"/>
      <c r="F33" s="27"/>
      <c r="G33" s="27"/>
      <c r="H33" s="27"/>
      <c r="I33" s="27"/>
      <c r="J33" s="27"/>
      <c r="K33" s="27"/>
      <c r="L33" s="27"/>
      <c r="M33" s="27"/>
      <c r="N33" s="27"/>
      <c r="O33" s="27">
        <v>1</v>
      </c>
      <c r="P33" s="27"/>
      <c r="Q33" s="27"/>
      <c r="R33" s="27"/>
      <c r="S33" s="27"/>
      <c r="T33" s="27"/>
      <c r="U33" s="27"/>
      <c r="V33" s="27"/>
      <c r="W33" s="27"/>
      <c r="X33" s="27"/>
      <c r="Y33" s="27"/>
      <c r="Z33" s="27"/>
      <c r="AA33" s="27"/>
      <c r="AB33" s="27"/>
      <c r="AC33" s="27"/>
      <c r="AD33" s="27"/>
      <c r="AE33" s="27"/>
      <c r="AF33" s="27"/>
      <c r="AG33" s="27"/>
      <c r="AH33" s="27"/>
      <c r="AI33" s="27"/>
      <c r="AJ33" s="27"/>
      <c r="AK33" s="27"/>
      <c r="AL33" s="27"/>
      <c r="AM33" s="27"/>
    </row>
    <row r="34" spans="2:39">
      <c r="B34" s="7">
        <f t="shared" si="0"/>
        <v>1981</v>
      </c>
      <c r="C34" s="691">
        <v>40240</v>
      </c>
      <c r="D34" s="27"/>
      <c r="E34" s="27"/>
      <c r="F34" s="27"/>
      <c r="G34" s="27"/>
      <c r="H34" s="27"/>
      <c r="I34" s="27"/>
      <c r="J34" s="27">
        <v>1</v>
      </c>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row>
    <row r="35" spans="2:39">
      <c r="B35" s="7">
        <f t="shared" si="0"/>
        <v>1982</v>
      </c>
      <c r="C35" s="691">
        <v>40255</v>
      </c>
      <c r="D35" s="27"/>
      <c r="E35" s="27"/>
      <c r="F35" s="27"/>
      <c r="G35" s="27"/>
      <c r="H35" s="27"/>
      <c r="I35" s="27"/>
      <c r="J35" s="27"/>
      <c r="K35" s="27">
        <v>1</v>
      </c>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row>
    <row r="36" spans="2:39">
      <c r="B36" s="7">
        <f t="shared" si="0"/>
        <v>1983</v>
      </c>
      <c r="C36" s="691">
        <v>40240</v>
      </c>
      <c r="D36" s="27"/>
      <c r="E36" s="27"/>
      <c r="F36" s="27"/>
      <c r="G36" s="27"/>
      <c r="H36" s="27"/>
      <c r="I36" s="27"/>
      <c r="J36" s="27">
        <v>1</v>
      </c>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row>
    <row r="37" spans="2:39">
      <c r="B37" s="7">
        <f t="shared" si="0"/>
        <v>1984</v>
      </c>
      <c r="C37" s="691">
        <v>40339</v>
      </c>
      <c r="D37" s="27"/>
      <c r="E37" s="27"/>
      <c r="F37" s="27"/>
      <c r="G37" s="27"/>
      <c r="H37" s="27"/>
      <c r="I37" s="27"/>
      <c r="J37" s="27"/>
      <c r="K37" s="27"/>
      <c r="L37" s="27"/>
      <c r="M37" s="27"/>
      <c r="N37" s="27"/>
      <c r="O37" s="27"/>
      <c r="P37" s="27"/>
      <c r="Q37" s="27"/>
      <c r="R37" s="27"/>
      <c r="S37" s="27">
        <v>1</v>
      </c>
      <c r="T37" s="27"/>
      <c r="U37" s="27"/>
      <c r="V37" s="27"/>
      <c r="W37" s="27"/>
      <c r="X37" s="27"/>
      <c r="Y37" s="27"/>
      <c r="Z37" s="27"/>
      <c r="AA37" s="27"/>
      <c r="AB37" s="27"/>
      <c r="AC37" s="27"/>
      <c r="AD37" s="27"/>
      <c r="AE37" s="27"/>
      <c r="AF37" s="27"/>
      <c r="AG37" s="27"/>
      <c r="AH37" s="27"/>
      <c r="AI37" s="27"/>
      <c r="AJ37" s="27"/>
      <c r="AK37" s="27"/>
      <c r="AL37" s="27"/>
      <c r="AM37" s="27"/>
    </row>
    <row r="38" spans="2:39">
      <c r="B38" s="7">
        <f t="shared" si="0"/>
        <v>1985</v>
      </c>
      <c r="C38" s="691">
        <v>40294</v>
      </c>
      <c r="D38" s="27"/>
      <c r="E38" s="27"/>
      <c r="F38" s="27"/>
      <c r="G38" s="27"/>
      <c r="H38" s="27"/>
      <c r="I38" s="27"/>
      <c r="J38" s="27"/>
      <c r="K38" s="27"/>
      <c r="L38" s="27"/>
      <c r="M38" s="27"/>
      <c r="N38" s="27"/>
      <c r="O38" s="27">
        <v>1</v>
      </c>
      <c r="P38" s="27"/>
      <c r="Q38" s="27"/>
      <c r="R38" s="27"/>
      <c r="S38" s="27"/>
      <c r="T38" s="27"/>
      <c r="U38" s="27"/>
      <c r="V38" s="27"/>
      <c r="W38" s="27"/>
      <c r="X38" s="27"/>
      <c r="Y38" s="27"/>
      <c r="Z38" s="27"/>
      <c r="AA38" s="27"/>
      <c r="AB38" s="27"/>
      <c r="AC38" s="27"/>
      <c r="AD38" s="27"/>
      <c r="AE38" s="27"/>
      <c r="AF38" s="27"/>
      <c r="AG38" s="27"/>
      <c r="AH38" s="27"/>
      <c r="AI38" s="27"/>
      <c r="AJ38" s="27"/>
      <c r="AK38" s="27"/>
      <c r="AL38" s="27"/>
      <c r="AM38" s="27"/>
    </row>
    <row r="39" spans="2:39">
      <c r="B39" s="7">
        <f t="shared" si="0"/>
        <v>1986</v>
      </c>
      <c r="C39" s="691">
        <v>40305</v>
      </c>
      <c r="D39" s="27"/>
      <c r="E39" s="27"/>
      <c r="F39" s="27"/>
      <c r="G39" s="27"/>
      <c r="H39" s="27"/>
      <c r="I39" s="27"/>
      <c r="J39" s="27"/>
      <c r="K39" s="27"/>
      <c r="L39" s="27"/>
      <c r="M39" s="27"/>
      <c r="N39" s="27"/>
      <c r="O39" s="27"/>
      <c r="P39" s="27">
        <v>1</v>
      </c>
      <c r="Q39" s="27"/>
      <c r="R39" s="27"/>
      <c r="S39" s="27"/>
      <c r="T39" s="27"/>
      <c r="U39" s="27"/>
      <c r="V39" s="27"/>
      <c r="W39" s="27"/>
      <c r="X39" s="27"/>
      <c r="Y39" s="27"/>
      <c r="Z39" s="27"/>
      <c r="AA39" s="27"/>
      <c r="AB39" s="27"/>
      <c r="AC39" s="27"/>
      <c r="AD39" s="27"/>
      <c r="AE39" s="27"/>
      <c r="AF39" s="27"/>
      <c r="AG39" s="27"/>
      <c r="AH39" s="27"/>
      <c r="AI39" s="27"/>
      <c r="AJ39" s="27"/>
      <c r="AK39" s="27"/>
      <c r="AL39" s="27"/>
      <c r="AM39" s="27"/>
    </row>
    <row r="40" spans="2:39">
      <c r="B40" s="7">
        <f t="shared" si="0"/>
        <v>1987</v>
      </c>
      <c r="C40" s="691">
        <v>40259</v>
      </c>
      <c r="D40" s="27"/>
      <c r="E40" s="27"/>
      <c r="F40" s="27"/>
      <c r="G40" s="27"/>
      <c r="H40" s="27"/>
      <c r="I40" s="27"/>
      <c r="J40" s="27"/>
      <c r="K40" s="27"/>
      <c r="L40" s="27">
        <v>1</v>
      </c>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row>
    <row r="41" spans="2:39">
      <c r="B41" s="7">
        <f t="shared" si="0"/>
        <v>1988</v>
      </c>
      <c r="C41" s="691">
        <v>40328</v>
      </c>
      <c r="D41" s="27"/>
      <c r="E41" s="27"/>
      <c r="F41" s="27"/>
      <c r="G41" s="27"/>
      <c r="H41" s="27"/>
      <c r="I41" s="27"/>
      <c r="J41" s="27"/>
      <c r="K41" s="27"/>
      <c r="L41" s="27"/>
      <c r="M41" s="27"/>
      <c r="N41" s="27"/>
      <c r="O41" s="27"/>
      <c r="P41" s="27"/>
      <c r="Q41" s="27"/>
      <c r="R41" s="27">
        <v>1</v>
      </c>
      <c r="S41" s="27"/>
      <c r="T41" s="27"/>
      <c r="U41" s="27"/>
      <c r="V41" s="27"/>
      <c r="W41" s="27"/>
      <c r="X41" s="27"/>
      <c r="Y41" s="27"/>
      <c r="Z41" s="27"/>
      <c r="AA41" s="27"/>
      <c r="AB41" s="27"/>
      <c r="AC41" s="27"/>
      <c r="AD41" s="27"/>
      <c r="AE41" s="27"/>
      <c r="AF41" s="27"/>
      <c r="AG41" s="27"/>
      <c r="AH41" s="27"/>
      <c r="AI41" s="27"/>
      <c r="AJ41" s="27"/>
      <c r="AK41" s="27"/>
      <c r="AL41" s="27"/>
      <c r="AM41" s="27"/>
    </row>
    <row r="42" spans="2:39">
      <c r="B42" s="7">
        <f t="shared" si="0"/>
        <v>1989</v>
      </c>
      <c r="C42" s="691">
        <v>40298</v>
      </c>
      <c r="D42" s="27"/>
      <c r="E42" s="27"/>
      <c r="F42" s="27"/>
      <c r="G42" s="27"/>
      <c r="H42" s="27"/>
      <c r="I42" s="27"/>
      <c r="J42" s="27"/>
      <c r="K42" s="27"/>
      <c r="L42" s="27"/>
      <c r="M42" s="27"/>
      <c r="N42" s="27"/>
      <c r="O42" s="27">
        <v>1</v>
      </c>
      <c r="P42" s="27"/>
      <c r="Q42" s="27"/>
      <c r="R42" s="27"/>
      <c r="S42" s="27"/>
      <c r="T42" s="27"/>
      <c r="U42" s="27"/>
      <c r="V42" s="27"/>
      <c r="W42" s="27"/>
      <c r="X42" s="27"/>
      <c r="Y42" s="27"/>
      <c r="Z42" s="27"/>
      <c r="AA42" s="27"/>
      <c r="AB42" s="27"/>
      <c r="AC42" s="27"/>
      <c r="AD42" s="27"/>
      <c r="AE42" s="27"/>
      <c r="AF42" s="27"/>
      <c r="AG42" s="27"/>
      <c r="AH42" s="27"/>
      <c r="AI42" s="27"/>
      <c r="AJ42" s="27"/>
      <c r="AK42" s="27"/>
      <c r="AL42" s="27"/>
      <c r="AM42" s="27"/>
    </row>
    <row r="43" spans="2:39">
      <c r="B43" s="7">
        <f t="shared" si="0"/>
        <v>1990</v>
      </c>
      <c r="C43" s="691">
        <v>40292</v>
      </c>
      <c r="D43" s="27"/>
      <c r="E43" s="27"/>
      <c r="F43" s="27"/>
      <c r="G43" s="27"/>
      <c r="H43" s="27"/>
      <c r="I43" s="27"/>
      <c r="J43" s="27"/>
      <c r="K43" s="27"/>
      <c r="L43" s="27"/>
      <c r="M43" s="27"/>
      <c r="N43" s="27"/>
      <c r="O43" s="27">
        <v>1</v>
      </c>
      <c r="P43" s="27"/>
      <c r="Q43" s="27"/>
      <c r="R43" s="27"/>
      <c r="S43" s="27"/>
      <c r="T43" s="27"/>
      <c r="U43" s="27"/>
      <c r="V43" s="27"/>
      <c r="W43" s="27"/>
      <c r="X43" s="27"/>
      <c r="Y43" s="27"/>
      <c r="Z43" s="27"/>
      <c r="AA43" s="27"/>
      <c r="AB43" s="27"/>
      <c r="AC43" s="27"/>
      <c r="AD43" s="27"/>
      <c r="AE43" s="27"/>
      <c r="AF43" s="27"/>
      <c r="AG43" s="27"/>
      <c r="AH43" s="27"/>
      <c r="AI43" s="27"/>
      <c r="AJ43" s="27"/>
      <c r="AK43" s="27"/>
      <c r="AL43" s="27"/>
      <c r="AM43" s="27"/>
    </row>
    <row r="44" spans="2:39">
      <c r="B44" s="7">
        <f t="shared" si="0"/>
        <v>1991</v>
      </c>
      <c r="C44" s="691">
        <v>40308</v>
      </c>
      <c r="D44" s="27"/>
      <c r="E44" s="27"/>
      <c r="F44" s="27"/>
      <c r="G44" s="27"/>
      <c r="H44" s="27"/>
      <c r="I44" s="27"/>
      <c r="J44" s="27"/>
      <c r="K44" s="27"/>
      <c r="L44" s="27"/>
      <c r="M44" s="27"/>
      <c r="N44" s="27"/>
      <c r="O44" s="27"/>
      <c r="P44" s="27">
        <v>1</v>
      </c>
      <c r="Q44" s="27"/>
      <c r="R44" s="27"/>
      <c r="S44" s="27"/>
      <c r="T44" s="27"/>
      <c r="U44" s="27"/>
      <c r="V44" s="27"/>
      <c r="W44" s="27"/>
      <c r="X44" s="27"/>
      <c r="Y44" s="27"/>
      <c r="Z44" s="27"/>
      <c r="AA44" s="27"/>
      <c r="AB44" s="27"/>
      <c r="AC44" s="27"/>
      <c r="AD44" s="27"/>
      <c r="AE44" s="27"/>
      <c r="AF44" s="27"/>
      <c r="AG44" s="27"/>
      <c r="AH44" s="27"/>
      <c r="AI44" s="27"/>
      <c r="AJ44" s="27"/>
      <c r="AK44" s="27"/>
      <c r="AL44" s="27"/>
      <c r="AM44" s="27"/>
    </row>
    <row r="45" spans="2:39">
      <c r="B45" s="7">
        <f t="shared" si="0"/>
        <v>1992</v>
      </c>
      <c r="C45" s="691">
        <v>40284</v>
      </c>
      <c r="D45" s="27"/>
      <c r="E45" s="27"/>
      <c r="F45" s="27"/>
      <c r="G45" s="27"/>
      <c r="H45" s="27"/>
      <c r="I45" s="27"/>
      <c r="J45" s="27"/>
      <c r="K45" s="27"/>
      <c r="L45" s="27"/>
      <c r="M45" s="27"/>
      <c r="N45" s="27">
        <v>1</v>
      </c>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row>
    <row r="46" spans="2:39">
      <c r="B46" s="7">
        <f t="shared" si="0"/>
        <v>1993</v>
      </c>
      <c r="C46" s="691">
        <v>40296</v>
      </c>
      <c r="D46" s="27"/>
      <c r="E46" s="27"/>
      <c r="F46" s="27"/>
      <c r="G46" s="27"/>
      <c r="H46" s="27"/>
      <c r="I46" s="27"/>
      <c r="J46" s="27"/>
      <c r="K46" s="27"/>
      <c r="L46" s="27"/>
      <c r="M46" s="27"/>
      <c r="N46" s="27"/>
      <c r="O46" s="27">
        <v>1</v>
      </c>
      <c r="P46" s="27"/>
      <c r="Q46" s="27"/>
      <c r="R46" s="27"/>
      <c r="S46" s="27"/>
      <c r="T46" s="27"/>
      <c r="U46" s="27"/>
      <c r="V46" s="27"/>
      <c r="W46" s="27"/>
      <c r="X46" s="27"/>
      <c r="Y46" s="27"/>
      <c r="Z46" s="27"/>
      <c r="AA46" s="27"/>
      <c r="AB46" s="27"/>
      <c r="AC46" s="27"/>
      <c r="AD46" s="27"/>
      <c r="AE46" s="27"/>
      <c r="AF46" s="27"/>
      <c r="AG46" s="27"/>
      <c r="AH46" s="27"/>
      <c r="AI46" s="27"/>
      <c r="AJ46" s="27"/>
      <c r="AK46" s="27"/>
      <c r="AL46" s="27"/>
      <c r="AM46" s="27"/>
    </row>
    <row r="47" spans="2:39">
      <c r="B47" s="7">
        <f t="shared" si="0"/>
        <v>1994</v>
      </c>
      <c r="C47" s="691">
        <v>40307</v>
      </c>
      <c r="D47" s="27"/>
      <c r="E47" s="27"/>
      <c r="F47" s="27"/>
      <c r="G47" s="27"/>
      <c r="H47" s="27"/>
      <c r="I47" s="27"/>
      <c r="J47" s="27"/>
      <c r="K47" s="27"/>
      <c r="L47" s="27"/>
      <c r="M47" s="27"/>
      <c r="N47" s="27"/>
      <c r="O47" s="27"/>
      <c r="P47" s="27">
        <v>1</v>
      </c>
      <c r="Q47" s="27"/>
      <c r="R47" s="27"/>
      <c r="S47" s="27"/>
      <c r="T47" s="27"/>
      <c r="U47" s="27"/>
      <c r="V47" s="27"/>
      <c r="W47" s="27"/>
      <c r="X47" s="27"/>
      <c r="Y47" s="27"/>
      <c r="Z47" s="27"/>
      <c r="AA47" s="27"/>
      <c r="AB47" s="27"/>
      <c r="AC47" s="27"/>
      <c r="AD47" s="27"/>
      <c r="AE47" s="27"/>
      <c r="AF47" s="27"/>
      <c r="AG47" s="27"/>
      <c r="AH47" s="27"/>
      <c r="AI47" s="27"/>
      <c r="AJ47" s="27"/>
      <c r="AK47" s="27"/>
      <c r="AL47" s="27"/>
      <c r="AM47" s="27"/>
    </row>
    <row r="48" spans="2:39">
      <c r="B48" s="7">
        <f t="shared" si="0"/>
        <v>1995</v>
      </c>
      <c r="C48" s="691">
        <v>40262</v>
      </c>
      <c r="D48" s="27"/>
      <c r="E48" s="27"/>
      <c r="F48" s="27"/>
      <c r="G48" s="27"/>
      <c r="H48" s="27"/>
      <c r="I48" s="27"/>
      <c r="J48" s="27"/>
      <c r="K48" s="27"/>
      <c r="L48" s="27">
        <v>1</v>
      </c>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row>
    <row r="49" spans="2:39">
      <c r="B49" s="7">
        <f t="shared" si="0"/>
        <v>1996</v>
      </c>
      <c r="C49" s="691">
        <v>40307</v>
      </c>
      <c r="D49" s="27"/>
      <c r="E49" s="27"/>
      <c r="F49" s="27"/>
      <c r="G49" s="27"/>
      <c r="H49" s="27"/>
      <c r="I49" s="27"/>
      <c r="J49" s="27"/>
      <c r="K49" s="27"/>
      <c r="L49" s="27"/>
      <c r="M49" s="27"/>
      <c r="N49" s="27"/>
      <c r="O49" s="27"/>
      <c r="P49" s="27">
        <v>1</v>
      </c>
      <c r="Q49" s="27"/>
      <c r="R49" s="27"/>
      <c r="S49" s="27"/>
      <c r="T49" s="27"/>
      <c r="U49" s="27"/>
      <c r="V49" s="27"/>
      <c r="W49" s="27"/>
      <c r="X49" s="27"/>
      <c r="Y49" s="27"/>
      <c r="Z49" s="27"/>
      <c r="AA49" s="27"/>
      <c r="AB49" s="27"/>
      <c r="AC49" s="27"/>
      <c r="AD49" s="27"/>
      <c r="AE49" s="27"/>
      <c r="AF49" s="27"/>
      <c r="AG49" s="27"/>
      <c r="AH49" s="27"/>
      <c r="AI49" s="27"/>
      <c r="AJ49" s="27"/>
      <c r="AK49" s="27"/>
      <c r="AL49" s="27"/>
      <c r="AM49" s="27"/>
    </row>
    <row r="50" spans="2:39">
      <c r="B50" s="7">
        <f t="shared" si="0"/>
        <v>1997</v>
      </c>
      <c r="C50" s="691">
        <v>40304</v>
      </c>
      <c r="D50" s="27"/>
      <c r="E50" s="27"/>
      <c r="F50" s="27"/>
      <c r="G50" s="27"/>
      <c r="H50" s="27"/>
      <c r="I50" s="27"/>
      <c r="J50" s="27"/>
      <c r="K50" s="27"/>
      <c r="L50" s="27"/>
      <c r="M50" s="27"/>
      <c r="N50" s="27"/>
      <c r="O50" s="27"/>
      <c r="P50" s="27">
        <v>1</v>
      </c>
      <c r="Q50" s="27"/>
      <c r="R50" s="27"/>
      <c r="S50" s="27"/>
      <c r="T50" s="27"/>
      <c r="U50" s="27"/>
      <c r="V50" s="27"/>
      <c r="W50" s="27"/>
      <c r="X50" s="27"/>
      <c r="Y50" s="27"/>
      <c r="Z50" s="27"/>
      <c r="AA50" s="27"/>
      <c r="AB50" s="27"/>
      <c r="AC50" s="27"/>
      <c r="AD50" s="27"/>
      <c r="AE50" s="27"/>
      <c r="AF50" s="27"/>
      <c r="AG50" s="27"/>
      <c r="AH50" s="27"/>
      <c r="AI50" s="27"/>
      <c r="AJ50" s="27"/>
      <c r="AK50" s="27"/>
      <c r="AL50" s="27"/>
      <c r="AM50" s="27"/>
    </row>
    <row r="51" spans="2:39">
      <c r="B51" s="7">
        <f t="shared" si="0"/>
        <v>1998</v>
      </c>
      <c r="C51" s="691">
        <v>40397</v>
      </c>
      <c r="D51" s="27"/>
      <c r="E51" s="27"/>
      <c r="F51" s="27"/>
      <c r="G51" s="27"/>
      <c r="H51" s="27"/>
      <c r="I51" s="27"/>
      <c r="J51" s="27"/>
      <c r="K51" s="27"/>
      <c r="L51" s="27"/>
      <c r="M51" s="27"/>
      <c r="N51" s="27"/>
      <c r="O51" s="27"/>
      <c r="P51" s="27"/>
      <c r="Q51" s="27"/>
      <c r="R51" s="27"/>
      <c r="S51" s="27"/>
      <c r="T51" s="27"/>
      <c r="U51" s="27"/>
      <c r="V51" s="27"/>
      <c r="W51" s="27"/>
      <c r="X51" s="27"/>
      <c r="Y51" s="27">
        <v>1</v>
      </c>
      <c r="Z51" s="27"/>
      <c r="AA51" s="27"/>
      <c r="AB51" s="27"/>
      <c r="AC51" s="27"/>
      <c r="AD51" s="27"/>
      <c r="AE51" s="27"/>
      <c r="AF51" s="27"/>
      <c r="AG51" s="27"/>
      <c r="AH51" s="27"/>
      <c r="AI51" s="27"/>
      <c r="AJ51" s="27"/>
      <c r="AK51" s="27"/>
      <c r="AL51" s="27"/>
      <c r="AM51" s="27"/>
    </row>
    <row r="52" spans="2:39">
      <c r="B52" s="7">
        <f t="shared" si="0"/>
        <v>1999</v>
      </c>
      <c r="C52" s="691">
        <v>40299</v>
      </c>
      <c r="D52" s="27"/>
      <c r="E52" s="27"/>
      <c r="F52" s="27"/>
      <c r="G52" s="27"/>
      <c r="H52" s="27"/>
      <c r="I52" s="27"/>
      <c r="J52" s="27"/>
      <c r="K52" s="27"/>
      <c r="L52" s="27"/>
      <c r="M52" s="27"/>
      <c r="N52" s="27"/>
      <c r="O52" s="27"/>
      <c r="P52" s="27">
        <v>1</v>
      </c>
      <c r="Q52" s="27"/>
      <c r="R52" s="27"/>
      <c r="S52" s="27"/>
      <c r="T52" s="27"/>
      <c r="U52" s="27"/>
      <c r="V52" s="27"/>
      <c r="W52" s="27"/>
      <c r="X52" s="27"/>
      <c r="Y52" s="27"/>
      <c r="Z52" s="27"/>
      <c r="AA52" s="27"/>
      <c r="AB52" s="27"/>
      <c r="AC52" s="27"/>
      <c r="AD52" s="27"/>
      <c r="AE52" s="27"/>
      <c r="AF52" s="27"/>
      <c r="AG52" s="27"/>
      <c r="AH52" s="27"/>
      <c r="AI52" s="27"/>
      <c r="AJ52" s="27"/>
      <c r="AK52" s="27"/>
      <c r="AL52" s="27"/>
      <c r="AM52" s="27"/>
    </row>
    <row r="53" spans="2:39">
      <c r="B53" s="7">
        <f t="shared" si="0"/>
        <v>2000</v>
      </c>
      <c r="C53" s="691">
        <v>40233</v>
      </c>
      <c r="D53" s="27"/>
      <c r="E53" s="27"/>
      <c r="F53" s="27"/>
      <c r="G53" s="27"/>
      <c r="H53" s="27"/>
      <c r="I53" s="27">
        <v>1</v>
      </c>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row>
    <row r="54" spans="2:39">
      <c r="B54" s="7">
        <f t="shared" si="0"/>
        <v>2001</v>
      </c>
      <c r="C54" s="691">
        <v>40260</v>
      </c>
      <c r="D54" s="27"/>
      <c r="E54" s="27"/>
      <c r="F54" s="27"/>
      <c r="G54" s="27"/>
      <c r="H54" s="27"/>
      <c r="I54" s="27"/>
      <c r="J54" s="27"/>
      <c r="K54" s="27"/>
      <c r="L54" s="27">
        <v>1</v>
      </c>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row>
    <row r="55" spans="2:39">
      <c r="B55" s="7">
        <f t="shared" si="0"/>
        <v>2002</v>
      </c>
      <c r="C55" s="691">
        <v>40303</v>
      </c>
      <c r="D55" s="27"/>
      <c r="E55" s="27"/>
      <c r="F55" s="27"/>
      <c r="G55" s="27"/>
      <c r="H55" s="27"/>
      <c r="I55" s="27"/>
      <c r="J55" s="27"/>
      <c r="K55" s="27"/>
      <c r="L55" s="27"/>
      <c r="M55" s="27"/>
      <c r="N55" s="27"/>
      <c r="O55" s="27"/>
      <c r="P55" s="27">
        <v>1</v>
      </c>
      <c r="Q55" s="27"/>
      <c r="R55" s="27"/>
      <c r="S55" s="27"/>
      <c r="T55" s="27"/>
      <c r="U55" s="27"/>
      <c r="V55" s="27"/>
      <c r="W55" s="27"/>
      <c r="X55" s="27"/>
      <c r="Y55" s="27"/>
      <c r="Z55" s="27"/>
      <c r="AA55" s="27"/>
      <c r="AB55" s="27"/>
      <c r="AC55" s="27"/>
      <c r="AD55" s="27"/>
      <c r="AE55" s="27"/>
      <c r="AF55" s="27"/>
      <c r="AG55" s="27"/>
      <c r="AH55" s="27"/>
      <c r="AI55" s="27"/>
      <c r="AJ55" s="27"/>
      <c r="AK55" s="27"/>
      <c r="AL55" s="27"/>
      <c r="AM55" s="27"/>
    </row>
    <row r="56" spans="2:39">
      <c r="B56" s="7">
        <f t="shared" si="0"/>
        <v>2003</v>
      </c>
      <c r="C56" s="691">
        <v>40283</v>
      </c>
      <c r="D56" s="27"/>
      <c r="E56" s="27"/>
      <c r="F56" s="27"/>
      <c r="G56" s="27"/>
      <c r="H56" s="27"/>
      <c r="I56" s="27"/>
      <c r="J56" s="27"/>
      <c r="K56" s="27"/>
      <c r="L56" s="27"/>
      <c r="M56" s="27"/>
      <c r="N56" s="27">
        <v>1</v>
      </c>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row>
    <row r="57" spans="2:39">
      <c r="B57" s="7">
        <f t="shared" si="0"/>
        <v>2004</v>
      </c>
      <c r="C57" s="691">
        <v>40287</v>
      </c>
      <c r="D57" s="27"/>
      <c r="E57" s="27"/>
      <c r="F57" s="27"/>
      <c r="G57" s="27"/>
      <c r="H57" s="27"/>
      <c r="I57" s="27"/>
      <c r="J57" s="27"/>
      <c r="K57" s="27"/>
      <c r="L57" s="27"/>
      <c r="M57" s="27"/>
      <c r="N57" s="27">
        <v>1</v>
      </c>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row>
    <row r="58" spans="2:39">
      <c r="B58" s="7">
        <f t="shared" si="0"/>
        <v>2005</v>
      </c>
      <c r="C58" s="691">
        <v>40286</v>
      </c>
      <c r="D58" s="27"/>
      <c r="E58" s="27"/>
      <c r="F58" s="27"/>
      <c r="G58" s="27"/>
      <c r="H58" s="27"/>
      <c r="I58" s="27"/>
      <c r="J58" s="27"/>
      <c r="K58" s="27"/>
      <c r="L58" s="27"/>
      <c r="M58" s="27"/>
      <c r="N58" s="27">
        <v>1</v>
      </c>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row>
    <row r="59" spans="2:39">
      <c r="B59" s="7">
        <f t="shared" si="0"/>
        <v>2006</v>
      </c>
      <c r="C59" s="691">
        <v>40347</v>
      </c>
      <c r="D59" s="27"/>
      <c r="E59" s="27"/>
      <c r="F59" s="27"/>
      <c r="G59" s="27"/>
      <c r="H59" s="27"/>
      <c r="I59" s="27"/>
      <c r="J59" s="27"/>
      <c r="K59" s="27"/>
      <c r="L59" s="27"/>
      <c r="M59" s="27"/>
      <c r="N59" s="27"/>
      <c r="O59" s="27"/>
      <c r="P59" s="27"/>
      <c r="Q59" s="27"/>
      <c r="R59" s="27"/>
      <c r="S59" s="27"/>
      <c r="T59" s="27">
        <v>1</v>
      </c>
      <c r="U59" s="27"/>
      <c r="V59" s="27"/>
      <c r="W59" s="27"/>
      <c r="X59" s="27"/>
      <c r="Y59" s="27"/>
      <c r="Z59" s="27"/>
      <c r="AA59" s="27"/>
      <c r="AB59" s="27"/>
      <c r="AC59" s="27"/>
      <c r="AD59" s="27"/>
      <c r="AE59" s="27"/>
      <c r="AF59" s="27"/>
      <c r="AG59" s="27"/>
      <c r="AH59" s="27"/>
      <c r="AI59" s="27"/>
      <c r="AJ59" s="27"/>
      <c r="AK59" s="27"/>
      <c r="AL59" s="27"/>
      <c r="AM59" s="27"/>
    </row>
    <row r="60" spans="2:39">
      <c r="B60" s="7">
        <f t="shared" si="0"/>
        <v>2007</v>
      </c>
      <c r="C60" s="691">
        <v>40232</v>
      </c>
      <c r="D60" s="27"/>
      <c r="E60" s="27"/>
      <c r="F60" s="27"/>
      <c r="G60" s="27"/>
      <c r="H60" s="27"/>
      <c r="I60" s="27">
        <v>1</v>
      </c>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row>
    <row r="61" spans="2:39">
      <c r="B61" s="7">
        <f t="shared" si="0"/>
        <v>2008</v>
      </c>
      <c r="C61" s="691">
        <v>40294</v>
      </c>
      <c r="D61" s="27"/>
      <c r="E61" s="27"/>
      <c r="F61" s="27"/>
      <c r="G61" s="27"/>
      <c r="H61" s="27"/>
      <c r="I61" s="27"/>
      <c r="J61" s="27"/>
      <c r="K61" s="27"/>
      <c r="L61" s="27"/>
      <c r="M61" s="27"/>
      <c r="N61" s="27"/>
      <c r="O61" s="27">
        <v>1</v>
      </c>
      <c r="P61" s="27"/>
      <c r="Q61" s="27"/>
      <c r="R61" s="27"/>
      <c r="S61" s="27"/>
      <c r="T61" s="27"/>
      <c r="U61" s="27"/>
      <c r="V61" s="27"/>
      <c r="W61" s="27"/>
      <c r="X61" s="27"/>
      <c r="Y61" s="27"/>
      <c r="Z61" s="27"/>
      <c r="AA61" s="27"/>
      <c r="AB61" s="27"/>
      <c r="AC61" s="27"/>
      <c r="AD61" s="27"/>
      <c r="AE61" s="27"/>
      <c r="AF61" s="27"/>
      <c r="AG61" s="27"/>
      <c r="AH61" s="27"/>
      <c r="AI61" s="27"/>
      <c r="AJ61" s="27"/>
      <c r="AK61" s="27"/>
      <c r="AL61" s="27"/>
      <c r="AM61" s="27"/>
    </row>
    <row r="62" spans="2:39">
      <c r="B62" s="7">
        <f t="shared" si="0"/>
        <v>2009</v>
      </c>
      <c r="C62" s="691">
        <v>40297</v>
      </c>
      <c r="D62" s="27"/>
      <c r="E62" s="27"/>
      <c r="F62" s="27"/>
      <c r="G62" s="27"/>
      <c r="H62" s="27"/>
      <c r="I62" s="27"/>
      <c r="J62" s="27"/>
      <c r="K62" s="27"/>
      <c r="L62" s="27"/>
      <c r="M62" s="27"/>
      <c r="N62" s="27"/>
      <c r="O62" s="27">
        <v>1</v>
      </c>
      <c r="P62" s="27"/>
      <c r="Q62" s="27"/>
      <c r="R62" s="27"/>
      <c r="S62" s="27"/>
      <c r="T62" s="27"/>
      <c r="U62" s="27"/>
      <c r="V62" s="27"/>
      <c r="W62" s="27"/>
      <c r="X62" s="27"/>
      <c r="Y62" s="27"/>
      <c r="Z62" s="27"/>
      <c r="AA62" s="27"/>
      <c r="AB62" s="27"/>
      <c r="AC62" s="27"/>
      <c r="AD62" s="27"/>
      <c r="AE62" s="27"/>
      <c r="AF62" s="27"/>
      <c r="AG62" s="27"/>
      <c r="AH62" s="27"/>
      <c r="AI62" s="27"/>
      <c r="AJ62" s="27"/>
      <c r="AK62" s="27"/>
      <c r="AL62" s="27"/>
      <c r="AM62" s="27"/>
    </row>
    <row r="63" spans="2:39">
      <c r="B63" s="7">
        <f t="shared" si="0"/>
        <v>2010</v>
      </c>
      <c r="C63" s="691">
        <v>40288</v>
      </c>
      <c r="D63" s="27"/>
      <c r="E63" s="27"/>
      <c r="F63" s="27"/>
      <c r="G63" s="27"/>
      <c r="H63" s="27"/>
      <c r="I63" s="27"/>
      <c r="J63" s="27"/>
      <c r="K63" s="27"/>
      <c r="L63" s="27"/>
      <c r="M63" s="27"/>
      <c r="N63" s="27">
        <v>1</v>
      </c>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row>
    <row r="64" spans="2:39">
      <c r="B64" s="7">
        <f t="shared" si="0"/>
        <v>2011</v>
      </c>
      <c r="C64" s="691">
        <v>40705</v>
      </c>
      <c r="D64" s="27"/>
      <c r="E64" s="27"/>
      <c r="F64" s="27"/>
      <c r="G64" s="27"/>
      <c r="H64" s="27"/>
      <c r="I64" s="27"/>
      <c r="J64" s="27"/>
      <c r="K64" s="27"/>
      <c r="L64" s="27"/>
      <c r="M64" s="27"/>
      <c r="N64" s="27"/>
      <c r="O64" s="27"/>
      <c r="P64" s="27"/>
      <c r="Q64" s="27"/>
      <c r="R64" s="27"/>
      <c r="S64" s="27"/>
      <c r="T64" s="27">
        <v>1</v>
      </c>
      <c r="U64" s="27"/>
      <c r="V64" s="27"/>
      <c r="W64" s="27"/>
      <c r="X64" s="27"/>
      <c r="Y64" s="27"/>
      <c r="Z64" s="27"/>
      <c r="AA64" s="27"/>
      <c r="AB64" s="27"/>
      <c r="AC64" s="27"/>
      <c r="AD64" s="27"/>
      <c r="AE64" s="27"/>
      <c r="AF64" s="27"/>
      <c r="AG64" s="27"/>
      <c r="AH64" s="27"/>
      <c r="AI64" s="27"/>
      <c r="AJ64" s="27"/>
      <c r="AK64" s="27"/>
      <c r="AL64" s="27"/>
      <c r="AM64" s="27"/>
    </row>
    <row r="65" spans="2:39">
      <c r="B65" s="7">
        <f t="shared" si="0"/>
        <v>2012</v>
      </c>
      <c r="C65" s="691">
        <v>40942</v>
      </c>
      <c r="D65" s="27"/>
      <c r="E65" s="27"/>
      <c r="F65" s="27"/>
      <c r="G65" s="27">
        <v>1</v>
      </c>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row>
    <row r="66" spans="2:39">
      <c r="B66" s="7">
        <f>+B65+1</f>
        <v>2013</v>
      </c>
      <c r="C66" s="691">
        <v>41422</v>
      </c>
      <c r="D66" s="27"/>
      <c r="E66" s="27"/>
      <c r="F66" s="27"/>
      <c r="G66" s="27"/>
      <c r="H66" s="27"/>
      <c r="I66" s="27"/>
      <c r="J66" s="27"/>
      <c r="K66" s="27"/>
      <c r="L66" s="27"/>
      <c r="M66" s="27"/>
      <c r="N66" s="27"/>
      <c r="O66" s="27"/>
      <c r="P66" s="27"/>
      <c r="Q66" s="27"/>
      <c r="R66" s="27">
        <v>1</v>
      </c>
      <c r="S66" s="27"/>
      <c r="T66" s="27"/>
      <c r="U66" s="27"/>
      <c r="V66" s="27"/>
      <c r="W66" s="27"/>
      <c r="X66" s="27"/>
      <c r="Y66" s="27"/>
      <c r="Z66" s="27"/>
      <c r="AA66" s="27"/>
      <c r="AB66" s="27"/>
      <c r="AC66" s="27"/>
      <c r="AD66" s="27"/>
      <c r="AE66" s="27"/>
      <c r="AF66" s="27"/>
      <c r="AG66" s="27"/>
      <c r="AH66" s="27"/>
      <c r="AI66" s="27"/>
      <c r="AJ66" s="27"/>
      <c r="AK66" s="27"/>
      <c r="AL66" s="27"/>
      <c r="AM66" s="27"/>
    </row>
    <row r="67" spans="2:39">
      <c r="B67" s="7">
        <f t="shared" ref="B67:B82" si="1">+B66+1</f>
        <v>2014</v>
      </c>
      <c r="C67" s="691">
        <v>42161</v>
      </c>
      <c r="D67" s="27"/>
      <c r="E67" s="27"/>
      <c r="F67" s="27"/>
      <c r="G67" s="27"/>
      <c r="H67" s="27"/>
      <c r="I67" s="27"/>
      <c r="J67" s="27"/>
      <c r="K67" s="27"/>
      <c r="L67" s="27"/>
      <c r="M67" s="27"/>
      <c r="N67" s="27"/>
      <c r="O67" s="27"/>
      <c r="P67" s="27"/>
      <c r="Q67" s="27"/>
      <c r="R67" s="27"/>
      <c r="S67" s="27">
        <v>1</v>
      </c>
      <c r="T67" s="27"/>
      <c r="U67" s="27"/>
      <c r="V67" s="27"/>
      <c r="W67" s="27"/>
      <c r="X67" s="27"/>
      <c r="Y67" s="27"/>
      <c r="Z67" s="27"/>
      <c r="AA67" s="27"/>
      <c r="AB67" s="27"/>
      <c r="AC67" s="27"/>
      <c r="AD67" s="27"/>
      <c r="AE67" s="27"/>
      <c r="AF67" s="27"/>
      <c r="AG67" s="27"/>
      <c r="AH67" s="27"/>
      <c r="AI67" s="27"/>
      <c r="AJ67" s="27"/>
      <c r="AK67" s="27"/>
      <c r="AL67" s="27"/>
      <c r="AM67" s="27"/>
    </row>
    <row r="68" spans="2:39">
      <c r="B68" s="7">
        <f t="shared" si="1"/>
        <v>2015</v>
      </c>
      <c r="C68" s="691">
        <v>42471</v>
      </c>
      <c r="D68" s="27"/>
      <c r="E68" s="27"/>
      <c r="F68" s="27"/>
      <c r="G68" s="27"/>
      <c r="H68" s="27"/>
      <c r="I68" s="27"/>
      <c r="J68" s="27"/>
      <c r="K68" s="27"/>
      <c r="L68" s="27"/>
      <c r="M68" s="27"/>
      <c r="N68" s="27">
        <v>1</v>
      </c>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row>
    <row r="69" spans="2:39">
      <c r="B69" s="7">
        <f t="shared" si="1"/>
        <v>2016</v>
      </c>
      <c r="C69" s="691">
        <v>42840</v>
      </c>
      <c r="D69" s="27"/>
      <c r="E69" s="27"/>
      <c r="F69" s="27"/>
      <c r="G69" s="27"/>
      <c r="H69" s="27"/>
      <c r="I69" s="27"/>
      <c r="J69" s="27"/>
      <c r="K69" s="27"/>
      <c r="L69" s="27"/>
      <c r="M69" s="27"/>
      <c r="N69" s="27">
        <v>1</v>
      </c>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row>
    <row r="70" spans="2:39">
      <c r="B70" s="7">
        <f t="shared" si="1"/>
        <v>2017</v>
      </c>
      <c r="C70" s="691">
        <v>42822</v>
      </c>
      <c r="D70" s="953"/>
      <c r="E70" s="27"/>
      <c r="F70" s="27"/>
      <c r="G70" s="27"/>
      <c r="H70" s="27"/>
      <c r="I70" s="27"/>
      <c r="J70" s="27"/>
      <c r="K70" s="27"/>
      <c r="L70" s="27">
        <v>1</v>
      </c>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row>
    <row r="71" spans="2:39">
      <c r="B71" s="7">
        <f t="shared" si="1"/>
        <v>2018</v>
      </c>
      <c r="C71" s="691">
        <v>43542</v>
      </c>
      <c r="D71" s="27"/>
      <c r="E71" s="27"/>
      <c r="F71" s="27"/>
      <c r="G71" s="27"/>
      <c r="H71" s="27"/>
      <c r="I71" s="27"/>
      <c r="J71" s="27"/>
      <c r="K71" s="27">
        <v>1</v>
      </c>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row>
    <row r="72" spans="2:39">
      <c r="B72" s="7">
        <f t="shared" si="1"/>
        <v>2019</v>
      </c>
      <c r="C72" s="691">
        <v>43912</v>
      </c>
      <c r="D72" s="27"/>
      <c r="E72" s="27"/>
      <c r="F72" s="27"/>
      <c r="G72" s="27"/>
      <c r="H72" s="27"/>
      <c r="I72" s="27"/>
      <c r="J72" s="27"/>
      <c r="K72" s="27"/>
      <c r="L72" s="27">
        <v>1</v>
      </c>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row>
    <row r="73" spans="2:39">
      <c r="B73" s="7">
        <f t="shared" si="1"/>
        <v>2020</v>
      </c>
      <c r="C73" s="691">
        <v>43920</v>
      </c>
      <c r="D73" s="27"/>
      <c r="E73" s="27"/>
      <c r="F73" s="27"/>
      <c r="G73" s="27"/>
      <c r="H73" s="27"/>
      <c r="I73" s="27"/>
      <c r="J73" s="27"/>
      <c r="K73" s="27"/>
      <c r="L73" s="27">
        <v>1</v>
      </c>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row>
    <row r="74" spans="2:39">
      <c r="B74" s="7">
        <f t="shared" si="1"/>
        <v>2021</v>
      </c>
      <c r="C74" s="691">
        <v>44633</v>
      </c>
      <c r="D74" s="27"/>
      <c r="E74" s="27"/>
      <c r="F74" s="27"/>
      <c r="G74" s="27"/>
      <c r="H74" s="27"/>
      <c r="I74" s="27"/>
      <c r="J74" s="27"/>
      <c r="K74" s="27">
        <v>1</v>
      </c>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row>
    <row r="75" spans="2:39">
      <c r="B75" s="7">
        <f t="shared" si="1"/>
        <v>2022</v>
      </c>
      <c r="C75" s="691">
        <v>44682</v>
      </c>
      <c r="D75" s="27"/>
      <c r="E75" s="27"/>
      <c r="F75" s="27"/>
      <c r="G75" s="27"/>
      <c r="H75" s="27"/>
      <c r="I75" s="27"/>
      <c r="J75" s="27"/>
      <c r="K75" s="27"/>
      <c r="L75" s="27"/>
      <c r="M75" s="27"/>
      <c r="N75" s="27"/>
      <c r="O75" s="27"/>
      <c r="P75" s="27">
        <v>1</v>
      </c>
      <c r="Q75" s="27"/>
      <c r="R75" s="27"/>
      <c r="S75" s="27"/>
      <c r="T75" s="27"/>
      <c r="U75" s="27"/>
      <c r="V75" s="27"/>
      <c r="W75" s="27"/>
      <c r="X75" s="27"/>
      <c r="Y75" s="27"/>
      <c r="Z75" s="27"/>
      <c r="AA75" s="27"/>
      <c r="AB75" s="27"/>
      <c r="AC75" s="27"/>
      <c r="AD75" s="27"/>
      <c r="AE75" s="27"/>
      <c r="AF75" s="27"/>
      <c r="AG75" s="27"/>
      <c r="AH75" s="27"/>
      <c r="AI75" s="27"/>
      <c r="AJ75" s="27"/>
      <c r="AK75" s="27"/>
      <c r="AL75" s="27"/>
      <c r="AM75" s="27"/>
    </row>
    <row r="76" spans="2:39">
      <c r="B76" s="7">
        <f t="shared" si="1"/>
        <v>2023</v>
      </c>
      <c r="C76" s="786"/>
      <c r="D76" s="671"/>
      <c r="E76" s="671"/>
      <c r="F76" s="671"/>
      <c r="G76" s="671"/>
      <c r="H76" s="671"/>
      <c r="I76" s="671"/>
      <c r="J76" s="671"/>
      <c r="K76" s="671"/>
      <c r="L76" s="671"/>
      <c r="M76" s="671"/>
      <c r="N76" s="671"/>
      <c r="O76" s="671"/>
      <c r="P76" s="671"/>
      <c r="Q76" s="671"/>
      <c r="R76" s="671"/>
      <c r="S76" s="671"/>
      <c r="T76" s="671"/>
      <c r="U76" s="671"/>
      <c r="V76" s="671"/>
      <c r="W76" s="671"/>
      <c r="X76" s="671"/>
      <c r="Y76" s="671"/>
      <c r="Z76" s="671"/>
      <c r="AA76" s="671"/>
      <c r="AB76" s="671"/>
      <c r="AC76" s="671"/>
      <c r="AD76" s="671"/>
      <c r="AE76" s="671"/>
      <c r="AF76" s="671"/>
      <c r="AG76" s="775" t="s">
        <v>1030</v>
      </c>
      <c r="AH76" s="671"/>
      <c r="AI76" s="671"/>
      <c r="AJ76" s="671"/>
      <c r="AK76" s="671"/>
      <c r="AL76" s="671"/>
      <c r="AM76" s="671"/>
    </row>
    <row r="77" spans="2:39">
      <c r="B77" s="7">
        <f t="shared" si="1"/>
        <v>2024</v>
      </c>
      <c r="C77" s="786"/>
      <c r="D77" s="671"/>
      <c r="E77" s="671"/>
      <c r="F77" s="671"/>
      <c r="G77" s="671"/>
      <c r="H77" s="671"/>
      <c r="I77" s="671"/>
      <c r="J77" s="671"/>
      <c r="K77" s="671"/>
      <c r="L77" s="671"/>
      <c r="M77" s="671"/>
      <c r="N77" s="671"/>
      <c r="O77" s="671"/>
      <c r="P77" s="671"/>
      <c r="Q77" s="671"/>
      <c r="R77" s="671"/>
      <c r="S77" s="671"/>
      <c r="T77" s="671"/>
      <c r="U77" s="671"/>
      <c r="V77" s="671"/>
      <c r="W77" s="671"/>
      <c r="X77" s="671"/>
      <c r="Y77" s="671"/>
      <c r="Z77" s="671"/>
      <c r="AA77" s="671"/>
      <c r="AB77" s="671"/>
      <c r="AC77" s="671"/>
      <c r="AD77" s="671"/>
      <c r="AE77" s="671"/>
      <c r="AF77" s="671"/>
      <c r="AG77" s="671"/>
      <c r="AH77" s="671"/>
      <c r="AI77" s="671"/>
      <c r="AJ77" s="671"/>
      <c r="AK77" s="671"/>
      <c r="AL77" s="671"/>
      <c r="AM77" s="671"/>
    </row>
    <row r="78" spans="2:39">
      <c r="B78" s="7">
        <f t="shared" si="1"/>
        <v>2025</v>
      </c>
      <c r="C78" s="786"/>
      <c r="D78" s="671"/>
      <c r="E78" s="671"/>
      <c r="F78" s="671"/>
      <c r="G78" s="671"/>
      <c r="H78" s="671"/>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1"/>
      <c r="AG78" s="671"/>
      <c r="AH78" s="671"/>
      <c r="AI78" s="671"/>
      <c r="AJ78" s="671"/>
      <c r="AK78" s="671"/>
      <c r="AL78" s="671"/>
      <c r="AM78" s="671"/>
    </row>
    <row r="79" spans="2:39">
      <c r="B79" s="7">
        <f t="shared" si="1"/>
        <v>2026</v>
      </c>
      <c r="C79" s="786"/>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row>
    <row r="80" spans="2:39">
      <c r="B80" s="7">
        <f t="shared" si="1"/>
        <v>2027</v>
      </c>
      <c r="C80" s="786"/>
      <c r="D80" s="671"/>
      <c r="E80" s="671"/>
      <c r="F80" s="671"/>
      <c r="G80" s="671"/>
      <c r="H80" s="671"/>
      <c r="I80" s="671"/>
      <c r="J80" s="671"/>
      <c r="K80" s="671"/>
      <c r="L80" s="671"/>
      <c r="M80" s="671"/>
      <c r="N80" s="671"/>
      <c r="O80" s="671"/>
      <c r="P80" s="671"/>
      <c r="Q80" s="671"/>
      <c r="R80" s="671"/>
      <c r="S80" s="671"/>
      <c r="T80" s="671"/>
      <c r="U80" s="671"/>
      <c r="V80" s="671"/>
      <c r="W80" s="671"/>
      <c r="X80" s="671"/>
      <c r="Y80" s="671"/>
      <c r="Z80" s="671"/>
      <c r="AA80" s="671"/>
      <c r="AB80" s="671"/>
      <c r="AC80" s="671"/>
      <c r="AD80" s="671"/>
      <c r="AE80" s="671"/>
      <c r="AF80" s="671"/>
      <c r="AG80" s="671"/>
      <c r="AH80" s="671"/>
      <c r="AI80" s="671"/>
      <c r="AJ80" s="671"/>
      <c r="AK80" s="671"/>
      <c r="AL80" s="671"/>
      <c r="AM80" s="671"/>
    </row>
    <row r="81" spans="2:41">
      <c r="B81" s="7">
        <f t="shared" si="1"/>
        <v>2028</v>
      </c>
      <c r="C81" s="786"/>
      <c r="D81" s="671"/>
      <c r="E81" s="671"/>
      <c r="F81" s="671"/>
      <c r="G81" s="671"/>
      <c r="H81" s="671"/>
      <c r="I81" s="671"/>
      <c r="J81" s="671"/>
      <c r="K81" s="671"/>
      <c r="L81" s="671"/>
      <c r="M81" s="671"/>
      <c r="N81" s="671"/>
      <c r="O81" s="671"/>
      <c r="P81" s="671"/>
      <c r="Q81" s="671"/>
      <c r="R81" s="671"/>
      <c r="S81" s="671"/>
      <c r="T81" s="671"/>
      <c r="U81" s="671"/>
      <c r="V81" s="671"/>
      <c r="W81" s="671"/>
      <c r="X81" s="671"/>
      <c r="Y81" s="671"/>
      <c r="Z81" s="671"/>
      <c r="AA81" s="671"/>
      <c r="AB81" s="671"/>
      <c r="AC81" s="671"/>
      <c r="AD81" s="671"/>
      <c r="AE81" s="671"/>
      <c r="AF81" s="671"/>
      <c r="AG81" s="671"/>
      <c r="AH81" s="671"/>
      <c r="AI81" s="671"/>
      <c r="AJ81" s="671"/>
      <c r="AK81" s="671"/>
      <c r="AL81" s="671"/>
      <c r="AM81" s="671"/>
    </row>
    <row r="82" spans="2:41">
      <c r="B82" s="7">
        <f t="shared" si="1"/>
        <v>2029</v>
      </c>
      <c r="C82" s="786"/>
      <c r="D82" s="671"/>
      <c r="E82" s="671"/>
      <c r="F82" s="671"/>
      <c r="G82" s="671"/>
      <c r="H82" s="671"/>
      <c r="I82" s="671"/>
      <c r="J82" s="671"/>
      <c r="K82" s="671"/>
      <c r="L82" s="671"/>
      <c r="M82" s="671"/>
      <c r="N82" s="671"/>
      <c r="O82" s="671"/>
      <c r="P82" s="671"/>
      <c r="Q82" s="671"/>
      <c r="R82" s="671"/>
      <c r="S82" s="671"/>
      <c r="T82" s="671"/>
      <c r="U82" s="671"/>
      <c r="V82" s="671"/>
      <c r="W82" s="671"/>
      <c r="X82" s="671"/>
      <c r="Y82" s="671"/>
      <c r="Z82" s="671"/>
      <c r="AA82" s="671"/>
      <c r="AB82" s="671"/>
      <c r="AC82" s="671"/>
      <c r="AD82" s="671"/>
      <c r="AE82" s="671"/>
      <c r="AF82" s="671"/>
      <c r="AG82" s="671"/>
      <c r="AH82" s="671"/>
      <c r="AI82" s="671"/>
      <c r="AJ82" s="671"/>
      <c r="AK82" s="671"/>
      <c r="AL82" s="671"/>
      <c r="AM82" s="671"/>
      <c r="AO82" s="522" t="s">
        <v>1031</v>
      </c>
    </row>
    <row r="83" spans="2:41">
      <c r="C83" s="7" t="s">
        <v>993</v>
      </c>
      <c r="D83" s="27">
        <f>SUM(D3:D82)</f>
        <v>0</v>
      </c>
      <c r="E83" s="27">
        <f t="shared" ref="E83:AM83" si="2">SUM(E3:E82)</f>
        <v>0</v>
      </c>
      <c r="F83" s="27">
        <f t="shared" si="2"/>
        <v>0</v>
      </c>
      <c r="G83" s="27">
        <f t="shared" si="2"/>
        <v>1</v>
      </c>
      <c r="H83" s="27">
        <f t="shared" si="2"/>
        <v>0</v>
      </c>
      <c r="I83" s="27">
        <f t="shared" si="2"/>
        <v>2</v>
      </c>
      <c r="J83" s="27">
        <f t="shared" si="2"/>
        <v>3</v>
      </c>
      <c r="K83" s="27">
        <f t="shared" si="2"/>
        <v>5</v>
      </c>
      <c r="L83" s="27">
        <f t="shared" si="2"/>
        <v>8</v>
      </c>
      <c r="M83" s="27">
        <f t="shared" si="2"/>
        <v>3</v>
      </c>
      <c r="N83" s="27">
        <f t="shared" si="2"/>
        <v>12</v>
      </c>
      <c r="O83" s="27">
        <f t="shared" si="2"/>
        <v>10</v>
      </c>
      <c r="P83" s="27">
        <f t="shared" si="2"/>
        <v>15</v>
      </c>
      <c r="Q83" s="27">
        <f t="shared" si="2"/>
        <v>2</v>
      </c>
      <c r="R83" s="27">
        <f t="shared" si="2"/>
        <v>3</v>
      </c>
      <c r="S83" s="27">
        <f t="shared" si="2"/>
        <v>3</v>
      </c>
      <c r="T83" s="27">
        <f t="shared" si="2"/>
        <v>3</v>
      </c>
      <c r="U83" s="27">
        <f t="shared" si="2"/>
        <v>1</v>
      </c>
      <c r="V83" s="27">
        <f t="shared" si="2"/>
        <v>0</v>
      </c>
      <c r="W83" s="27">
        <f t="shared" si="2"/>
        <v>1</v>
      </c>
      <c r="X83" s="27">
        <f t="shared" si="2"/>
        <v>0</v>
      </c>
      <c r="Y83" s="27">
        <f t="shared" si="2"/>
        <v>1</v>
      </c>
      <c r="Z83" s="27">
        <f t="shared" si="2"/>
        <v>0</v>
      </c>
      <c r="AA83" s="27">
        <f t="shared" si="2"/>
        <v>0</v>
      </c>
      <c r="AB83" s="27">
        <f t="shared" si="2"/>
        <v>0</v>
      </c>
      <c r="AC83" s="27">
        <f t="shared" si="2"/>
        <v>0</v>
      </c>
      <c r="AD83" s="27">
        <f t="shared" si="2"/>
        <v>0</v>
      </c>
      <c r="AE83" s="27">
        <f t="shared" si="2"/>
        <v>0</v>
      </c>
      <c r="AF83" s="27">
        <f t="shared" si="2"/>
        <v>0</v>
      </c>
      <c r="AG83" s="27">
        <f t="shared" si="2"/>
        <v>0</v>
      </c>
      <c r="AH83" s="27">
        <f t="shared" si="2"/>
        <v>0</v>
      </c>
      <c r="AI83" s="27">
        <f t="shared" si="2"/>
        <v>0</v>
      </c>
      <c r="AJ83" s="27">
        <f t="shared" si="2"/>
        <v>0</v>
      </c>
      <c r="AK83" s="27">
        <f t="shared" si="2"/>
        <v>0</v>
      </c>
      <c r="AL83" s="27">
        <f t="shared" si="2"/>
        <v>0</v>
      </c>
      <c r="AM83" s="27">
        <f t="shared" si="2"/>
        <v>0</v>
      </c>
      <c r="AO83" s="27">
        <f>SUM(D83:AM83)</f>
        <v>73</v>
      </c>
    </row>
    <row r="84" spans="2:41" s="27" customFormat="1">
      <c r="B84" s="4"/>
      <c r="C84" s="4"/>
      <c r="D84" s="27">
        <f>+D83</f>
        <v>0</v>
      </c>
      <c r="E84" s="27">
        <f>+D84+E83</f>
        <v>0</v>
      </c>
      <c r="F84" s="27">
        <f t="shared" ref="F84:AM84" si="3">+E84+F83</f>
        <v>0</v>
      </c>
      <c r="G84" s="27">
        <f t="shared" si="3"/>
        <v>1</v>
      </c>
      <c r="H84" s="27">
        <f t="shared" si="3"/>
        <v>1</v>
      </c>
      <c r="I84" s="27">
        <f t="shared" si="3"/>
        <v>3</v>
      </c>
      <c r="J84" s="27">
        <f t="shared" si="3"/>
        <v>6</v>
      </c>
      <c r="K84" s="27">
        <f t="shared" si="3"/>
        <v>11</v>
      </c>
      <c r="L84" s="27">
        <f t="shared" si="3"/>
        <v>19</v>
      </c>
      <c r="M84" s="27">
        <f t="shared" si="3"/>
        <v>22</v>
      </c>
      <c r="N84" s="27">
        <f t="shared" si="3"/>
        <v>34</v>
      </c>
      <c r="O84" s="27">
        <f t="shared" si="3"/>
        <v>44</v>
      </c>
      <c r="P84" s="27">
        <f t="shared" si="3"/>
        <v>59</v>
      </c>
      <c r="Q84" s="27">
        <f t="shared" si="3"/>
        <v>61</v>
      </c>
      <c r="R84" s="27">
        <f t="shared" si="3"/>
        <v>64</v>
      </c>
      <c r="S84" s="27">
        <f t="shared" si="3"/>
        <v>67</v>
      </c>
      <c r="T84" s="27">
        <f t="shared" si="3"/>
        <v>70</v>
      </c>
      <c r="U84" s="27">
        <f t="shared" si="3"/>
        <v>71</v>
      </c>
      <c r="V84" s="27">
        <f t="shared" si="3"/>
        <v>71</v>
      </c>
      <c r="W84" s="27">
        <f t="shared" si="3"/>
        <v>72</v>
      </c>
      <c r="X84" s="27">
        <f t="shared" si="3"/>
        <v>72</v>
      </c>
      <c r="Y84" s="27">
        <f t="shared" si="3"/>
        <v>73</v>
      </c>
      <c r="Z84" s="27">
        <f t="shared" si="3"/>
        <v>73</v>
      </c>
      <c r="AA84" s="27">
        <f t="shared" si="3"/>
        <v>73</v>
      </c>
      <c r="AB84" s="27">
        <f t="shared" si="3"/>
        <v>73</v>
      </c>
      <c r="AC84" s="27">
        <f t="shared" si="3"/>
        <v>73</v>
      </c>
      <c r="AD84" s="27">
        <f t="shared" si="3"/>
        <v>73</v>
      </c>
      <c r="AE84" s="27">
        <f t="shared" si="3"/>
        <v>73</v>
      </c>
      <c r="AF84" s="27">
        <f t="shared" si="3"/>
        <v>73</v>
      </c>
      <c r="AG84" s="27">
        <f t="shared" si="3"/>
        <v>73</v>
      </c>
      <c r="AH84" s="27">
        <f t="shared" si="3"/>
        <v>73</v>
      </c>
      <c r="AI84" s="27">
        <f t="shared" si="3"/>
        <v>73</v>
      </c>
      <c r="AJ84" s="27">
        <f t="shared" si="3"/>
        <v>73</v>
      </c>
      <c r="AK84" s="27">
        <f t="shared" si="3"/>
        <v>73</v>
      </c>
      <c r="AL84" s="27">
        <f t="shared" si="3"/>
        <v>73</v>
      </c>
      <c r="AM84" s="27">
        <f t="shared" si="3"/>
        <v>73</v>
      </c>
    </row>
    <row r="85" spans="2:41">
      <c r="C85" s="7" t="s">
        <v>978</v>
      </c>
      <c r="D85" s="692">
        <f>(+D84/$AO$83)*100</f>
        <v>0</v>
      </c>
      <c r="E85" s="692">
        <f t="shared" ref="E85:AM85" si="4">(+E84/$AO$83)*100</f>
        <v>0</v>
      </c>
      <c r="F85" s="692">
        <f t="shared" si="4"/>
        <v>0</v>
      </c>
      <c r="G85" s="692">
        <f t="shared" si="4"/>
        <v>1.3698630136986301</v>
      </c>
      <c r="H85" s="692">
        <f t="shared" si="4"/>
        <v>1.3698630136986301</v>
      </c>
      <c r="I85" s="692">
        <f t="shared" si="4"/>
        <v>4.10958904109589</v>
      </c>
      <c r="J85" s="692">
        <f t="shared" si="4"/>
        <v>8.2191780821917799</v>
      </c>
      <c r="K85" s="692">
        <f t="shared" si="4"/>
        <v>15.068493150684931</v>
      </c>
      <c r="L85" s="692">
        <f t="shared" si="4"/>
        <v>26.027397260273972</v>
      </c>
      <c r="M85" s="692">
        <f t="shared" si="4"/>
        <v>30.136986301369863</v>
      </c>
      <c r="N85" s="692">
        <f t="shared" si="4"/>
        <v>46.575342465753423</v>
      </c>
      <c r="O85" s="692">
        <f t="shared" si="4"/>
        <v>60.273972602739725</v>
      </c>
      <c r="P85" s="692">
        <f t="shared" si="4"/>
        <v>80.821917808219183</v>
      </c>
      <c r="Q85" s="692">
        <f t="shared" si="4"/>
        <v>83.561643835616437</v>
      </c>
      <c r="R85" s="692">
        <f t="shared" si="4"/>
        <v>87.671232876712324</v>
      </c>
      <c r="S85" s="692">
        <f t="shared" si="4"/>
        <v>91.780821917808225</v>
      </c>
      <c r="T85" s="692">
        <f t="shared" si="4"/>
        <v>95.890410958904098</v>
      </c>
      <c r="U85" s="692">
        <f t="shared" si="4"/>
        <v>97.260273972602747</v>
      </c>
      <c r="V85" s="692">
        <f t="shared" si="4"/>
        <v>97.260273972602747</v>
      </c>
      <c r="W85" s="692">
        <f t="shared" si="4"/>
        <v>98.630136986301366</v>
      </c>
      <c r="X85" s="692">
        <f t="shared" si="4"/>
        <v>98.630136986301366</v>
      </c>
      <c r="Y85" s="692">
        <f t="shared" si="4"/>
        <v>100</v>
      </c>
      <c r="Z85" s="692">
        <f t="shared" si="4"/>
        <v>100</v>
      </c>
      <c r="AA85" s="692">
        <f t="shared" si="4"/>
        <v>100</v>
      </c>
      <c r="AB85" s="692">
        <f t="shared" si="4"/>
        <v>100</v>
      </c>
      <c r="AC85" s="692">
        <f t="shared" si="4"/>
        <v>100</v>
      </c>
      <c r="AD85" s="692">
        <f t="shared" si="4"/>
        <v>100</v>
      </c>
      <c r="AE85" s="692">
        <f t="shared" si="4"/>
        <v>100</v>
      </c>
      <c r="AF85" s="692">
        <f t="shared" si="4"/>
        <v>100</v>
      </c>
      <c r="AG85" s="692">
        <f t="shared" si="4"/>
        <v>100</v>
      </c>
      <c r="AH85" s="692">
        <f t="shared" si="4"/>
        <v>100</v>
      </c>
      <c r="AI85" s="692">
        <f t="shared" si="4"/>
        <v>100</v>
      </c>
      <c r="AJ85" s="692">
        <f t="shared" si="4"/>
        <v>100</v>
      </c>
      <c r="AK85" s="692">
        <f t="shared" si="4"/>
        <v>100</v>
      </c>
      <c r="AL85" s="692">
        <f t="shared" si="4"/>
        <v>100</v>
      </c>
      <c r="AM85" s="692">
        <f t="shared" si="4"/>
        <v>100</v>
      </c>
    </row>
    <row r="87" spans="2:41" ht="15" customHeight="1"/>
    <row r="88" spans="2:41" ht="15" customHeight="1"/>
    <row r="89" spans="2:41" ht="15" customHeight="1"/>
    <row r="90" spans="2:41" ht="15" customHeight="1"/>
    <row r="91" spans="2:41" ht="15" customHeight="1"/>
    <row r="92" spans="2:41" ht="15" customHeight="1"/>
    <row r="93" spans="2:41" ht="15" customHeight="1"/>
    <row r="94" spans="2:41" ht="15" customHeight="1"/>
    <row r="95" spans="2:41" ht="15" customHeight="1"/>
    <row r="96" spans="2:41"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sheetData>
  <pageMargins left="0.7" right="0.7" top="0.75" bottom="0.75" header="0.3" footer="0.3"/>
  <pageSetup scale="88" fitToHeight="2" orientation="landscape" r:id="rId1"/>
  <rowBreaks count="1" manualBreakCount="1">
    <brk id="11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3"/>
  <sheetViews>
    <sheetView topLeftCell="A7" zoomScale="75" zoomScaleNormal="75" workbookViewId="0">
      <selection activeCell="F21" sqref="F21"/>
    </sheetView>
  </sheetViews>
  <sheetFormatPr defaultColWidth="0" defaultRowHeight="15" zeroHeight="1"/>
  <cols>
    <col min="1" max="1" width="2.77734375" customWidth="1"/>
    <col min="2" max="2" width="8.88671875" customWidth="1"/>
    <col min="3" max="3" width="23.88671875" customWidth="1"/>
    <col min="4" max="4" width="4.77734375" customWidth="1"/>
    <col min="5" max="5" width="2.6640625" customWidth="1"/>
    <col min="6" max="6" width="16" customWidth="1"/>
    <col min="7" max="7" width="8" customWidth="1"/>
    <col min="8" max="9" width="8.88671875" customWidth="1"/>
    <col min="10" max="10" width="9.88671875" customWidth="1"/>
    <col min="11" max="11" width="2.77734375" customWidth="1"/>
    <col min="12" max="12" width="2.77734375" hidden="1" customWidth="1"/>
  </cols>
  <sheetData>
    <row r="1" spans="2:10"/>
    <row r="2" spans="2:10" ht="23.25">
      <c r="B2" s="1067" t="s">
        <v>1</v>
      </c>
      <c r="C2" s="1098"/>
      <c r="D2" s="1098"/>
      <c r="E2" s="1098"/>
      <c r="F2" s="1098"/>
      <c r="G2" s="1098"/>
      <c r="H2" s="1069"/>
      <c r="I2" s="1069"/>
      <c r="J2" s="1069"/>
    </row>
    <row r="3" spans="2:10" ht="15.75" thickBot="1"/>
    <row r="4" spans="2:10" ht="220.5" customHeight="1" thickTop="1" thickBot="1">
      <c r="B4" s="1111" t="s">
        <v>1478</v>
      </c>
      <c r="C4" s="1112"/>
      <c r="D4" s="1112"/>
      <c r="E4" s="1112"/>
      <c r="F4" s="1112"/>
      <c r="G4" s="1112"/>
      <c r="H4" s="1112"/>
      <c r="I4" s="1112"/>
      <c r="J4" s="1113"/>
    </row>
    <row r="5" spans="2:10" ht="15.75" thickTop="1">
      <c r="B5" s="134"/>
      <c r="C5" s="134"/>
      <c r="D5" s="134"/>
      <c r="E5" s="134"/>
      <c r="F5" s="134"/>
      <c r="G5" s="134"/>
      <c r="H5" s="134"/>
      <c r="I5" s="134"/>
      <c r="J5" s="134"/>
    </row>
    <row r="6" spans="2:10">
      <c r="B6" s="134"/>
      <c r="C6" s="134" t="s">
        <v>5</v>
      </c>
      <c r="D6" s="135" t="s">
        <v>54</v>
      </c>
      <c r="E6" s="136" t="s">
        <v>7</v>
      </c>
      <c r="F6" s="134">
        <v>7.6539999999999997E-2</v>
      </c>
      <c r="G6" s="420" t="s">
        <v>4</v>
      </c>
      <c r="H6" s="134"/>
      <c r="I6" s="134"/>
      <c r="J6" s="134"/>
    </row>
    <row r="7" spans="2:10" ht="18.75">
      <c r="B7" s="134"/>
      <c r="C7" s="134" t="s">
        <v>6</v>
      </c>
      <c r="D7" s="135" t="s">
        <v>556</v>
      </c>
      <c r="E7" s="136" t="s">
        <v>7</v>
      </c>
      <c r="F7" s="134">
        <v>150</v>
      </c>
      <c r="G7" s="420" t="s">
        <v>3</v>
      </c>
      <c r="H7" s="134" t="s">
        <v>1479</v>
      </c>
      <c r="I7" s="512"/>
      <c r="J7" s="27"/>
    </row>
    <row r="8" spans="2:10" ht="15.75" thickBot="1">
      <c r="B8" s="134"/>
      <c r="C8" s="134"/>
      <c r="D8" s="135"/>
      <c r="E8" s="134"/>
      <c r="F8" s="134"/>
      <c r="G8" s="420"/>
      <c r="H8" s="134"/>
      <c r="I8" s="134"/>
      <c r="J8" s="134"/>
    </row>
    <row r="9" spans="2:10" ht="19.5" thickTop="1">
      <c r="B9" s="1107" t="s">
        <v>1473</v>
      </c>
      <c r="C9" s="137" t="s">
        <v>16</v>
      </c>
      <c r="D9" s="138" t="s">
        <v>557</v>
      </c>
      <c r="E9" s="139" t="s">
        <v>7</v>
      </c>
      <c r="F9" s="582">
        <f>'Tornado Model'!$G$112</f>
        <v>145.76</v>
      </c>
      <c r="G9" s="421" t="s">
        <v>2</v>
      </c>
      <c r="H9" s="134"/>
      <c r="I9" s="134"/>
      <c r="J9" s="134"/>
    </row>
    <row r="10" spans="2:10" ht="18.75">
      <c r="B10" s="1108"/>
      <c r="C10" s="134" t="s">
        <v>8</v>
      </c>
      <c r="D10" s="135" t="s">
        <v>558</v>
      </c>
      <c r="E10" s="136" t="s">
        <v>7</v>
      </c>
      <c r="F10" s="140" t="s">
        <v>559</v>
      </c>
      <c r="G10" s="422" t="s">
        <v>2</v>
      </c>
      <c r="H10" s="134"/>
      <c r="I10" s="134"/>
      <c r="J10" s="134"/>
    </row>
    <row r="11" spans="2:10" ht="18.75">
      <c r="B11" s="1109"/>
      <c r="C11" s="134" t="s">
        <v>8</v>
      </c>
      <c r="D11" s="135" t="s">
        <v>558</v>
      </c>
      <c r="E11" s="136" t="s">
        <v>7</v>
      </c>
      <c r="F11" s="134">
        <f>0.8*F9</f>
        <v>116.608</v>
      </c>
      <c r="G11" s="422" t="s">
        <v>2</v>
      </c>
      <c r="H11" s="134"/>
      <c r="I11" s="134"/>
      <c r="J11" s="134"/>
    </row>
    <row r="12" spans="2:10" ht="18.75">
      <c r="B12" s="1109"/>
      <c r="C12" s="134" t="s">
        <v>9</v>
      </c>
      <c r="D12" s="135" t="s">
        <v>560</v>
      </c>
      <c r="E12" s="136" t="s">
        <v>7</v>
      </c>
      <c r="F12" s="140" t="s">
        <v>561</v>
      </c>
      <c r="G12" s="422" t="s">
        <v>2</v>
      </c>
      <c r="H12" s="134"/>
      <c r="I12" s="134"/>
      <c r="J12" s="134"/>
    </row>
    <row r="13" spans="2:10" ht="18.75">
      <c r="B13" s="1109"/>
      <c r="C13" s="134" t="s">
        <v>9</v>
      </c>
      <c r="D13" s="135" t="s">
        <v>560</v>
      </c>
      <c r="E13" s="136" t="s">
        <v>7</v>
      </c>
      <c r="F13" s="134">
        <f>0.2*F9</f>
        <v>29.152000000000001</v>
      </c>
      <c r="G13" s="422" t="s">
        <v>2</v>
      </c>
      <c r="H13" s="134"/>
    </row>
    <row r="14" spans="2:10" ht="18.75">
      <c r="B14" s="1109"/>
      <c r="C14" s="134" t="s">
        <v>10</v>
      </c>
      <c r="D14" s="135" t="s">
        <v>13</v>
      </c>
      <c r="E14" s="136" t="s">
        <v>7</v>
      </c>
      <c r="F14" s="141" t="s">
        <v>562</v>
      </c>
      <c r="G14" s="422"/>
      <c r="H14" s="134"/>
      <c r="I14" s="134"/>
      <c r="J14" s="134"/>
    </row>
    <row r="15" spans="2:10">
      <c r="B15" s="1109"/>
      <c r="C15" s="134" t="s">
        <v>10</v>
      </c>
      <c r="D15" s="135" t="s">
        <v>13</v>
      </c>
      <c r="E15" s="136" t="s">
        <v>7</v>
      </c>
      <c r="F15" s="142">
        <f>(((+F6*F11^2)/12960000)/32.1725)*5280^2</f>
        <v>69.586210279119541</v>
      </c>
      <c r="G15" s="422" t="s">
        <v>15</v>
      </c>
      <c r="H15" s="134"/>
      <c r="I15" s="134"/>
      <c r="J15" s="134"/>
    </row>
    <row r="16" spans="2:10" ht="18.75">
      <c r="B16" s="1109"/>
      <c r="C16" s="134" t="s">
        <v>11</v>
      </c>
      <c r="D16" s="135" t="s">
        <v>12</v>
      </c>
      <c r="E16" s="136" t="s">
        <v>7</v>
      </c>
      <c r="F16" s="141" t="s">
        <v>563</v>
      </c>
      <c r="G16" s="422"/>
      <c r="H16" s="134"/>
      <c r="I16" s="134"/>
      <c r="J16" s="134"/>
    </row>
    <row r="17" spans="2:10">
      <c r="B17" s="1109"/>
      <c r="C17" s="134" t="s">
        <v>11</v>
      </c>
      <c r="D17" s="135" t="s">
        <v>12</v>
      </c>
      <c r="E17" s="136" t="s">
        <v>7</v>
      </c>
      <c r="F17" s="142">
        <f>((+F13/F7*F15)*5280)/3600</f>
        <v>19.834977086778512</v>
      </c>
      <c r="G17" s="422" t="s">
        <v>14</v>
      </c>
      <c r="H17" s="134"/>
      <c r="I17" s="134"/>
      <c r="J17" s="134"/>
    </row>
    <row r="18" spans="2:10" ht="15.75" thickBot="1">
      <c r="B18" s="1110"/>
      <c r="C18" s="143" t="s">
        <v>11</v>
      </c>
      <c r="D18" s="144" t="s">
        <v>12</v>
      </c>
      <c r="E18" s="145" t="s">
        <v>7</v>
      </c>
      <c r="F18" s="146">
        <f>(((+F13/F7*F15)*5280)/3600)/144</f>
        <v>0.13774289643596188</v>
      </c>
      <c r="G18" s="423" t="s">
        <v>1480</v>
      </c>
      <c r="H18" s="134"/>
      <c r="I18" s="134"/>
      <c r="J18" s="134"/>
    </row>
    <row r="19" spans="2:10" ht="15.75" thickTop="1">
      <c r="B19" s="134"/>
      <c r="C19" s="134"/>
      <c r="D19" s="134"/>
      <c r="E19" s="134"/>
      <c r="F19" s="134"/>
      <c r="G19" s="420"/>
      <c r="H19" s="134"/>
      <c r="I19" s="134"/>
      <c r="J19" s="134"/>
    </row>
    <row r="20" spans="2:10" ht="15.75" thickBot="1">
      <c r="B20" s="134"/>
      <c r="C20" s="134"/>
      <c r="D20" s="134"/>
      <c r="E20" s="134"/>
      <c r="F20" s="134"/>
      <c r="G20" s="420"/>
      <c r="H20" s="134"/>
      <c r="I20" s="134"/>
      <c r="J20" s="134"/>
    </row>
    <row r="21" spans="2:10" ht="19.5" thickTop="1">
      <c r="B21" s="1103" t="s">
        <v>1472</v>
      </c>
      <c r="C21" s="147" t="s">
        <v>16</v>
      </c>
      <c r="D21" s="148" t="s">
        <v>557</v>
      </c>
      <c r="E21" s="149" t="s">
        <v>7</v>
      </c>
      <c r="F21" s="583">
        <f>'Tornado Model'!$G$114</f>
        <v>195.03</v>
      </c>
      <c r="G21" s="424" t="s">
        <v>2</v>
      </c>
      <c r="H21" s="134"/>
      <c r="I21" s="134"/>
      <c r="J21" s="134"/>
    </row>
    <row r="22" spans="2:10" ht="18.75">
      <c r="B22" s="1104"/>
      <c r="C22" s="134" t="s">
        <v>8</v>
      </c>
      <c r="D22" s="135" t="s">
        <v>558</v>
      </c>
      <c r="E22" s="136" t="s">
        <v>7</v>
      </c>
      <c r="F22" s="140" t="s">
        <v>559</v>
      </c>
      <c r="G22" s="425" t="s">
        <v>2</v>
      </c>
      <c r="H22" s="134"/>
      <c r="I22" s="134"/>
      <c r="J22" s="134"/>
    </row>
    <row r="23" spans="2:10" ht="18.75">
      <c r="B23" s="1105"/>
      <c r="C23" s="134" t="s">
        <v>8</v>
      </c>
      <c r="D23" s="135" t="s">
        <v>558</v>
      </c>
      <c r="E23" s="136" t="s">
        <v>7</v>
      </c>
      <c r="F23" s="134">
        <f>0.8*F21</f>
        <v>156.024</v>
      </c>
      <c r="G23" s="425" t="s">
        <v>2</v>
      </c>
      <c r="H23" s="134"/>
      <c r="I23" s="134"/>
      <c r="J23" s="134"/>
    </row>
    <row r="24" spans="2:10" ht="18.75">
      <c r="B24" s="1105"/>
      <c r="C24" s="134" t="s">
        <v>9</v>
      </c>
      <c r="D24" s="135" t="s">
        <v>560</v>
      </c>
      <c r="E24" s="136" t="s">
        <v>7</v>
      </c>
      <c r="F24" s="140" t="s">
        <v>561</v>
      </c>
      <c r="G24" s="425" t="s">
        <v>2</v>
      </c>
      <c r="H24" s="134"/>
      <c r="I24" s="134"/>
      <c r="J24" s="134"/>
    </row>
    <row r="25" spans="2:10" ht="18.75">
      <c r="B25" s="1105"/>
      <c r="C25" s="134" t="s">
        <v>9</v>
      </c>
      <c r="D25" s="135" t="s">
        <v>560</v>
      </c>
      <c r="E25" s="136" t="s">
        <v>7</v>
      </c>
      <c r="F25" s="134">
        <f>0.2*F21</f>
        <v>39.006</v>
      </c>
      <c r="G25" s="425" t="s">
        <v>2</v>
      </c>
      <c r="H25" s="134"/>
      <c r="I25" s="134"/>
      <c r="J25" s="134"/>
    </row>
    <row r="26" spans="2:10" ht="18.75">
      <c r="B26" s="1105"/>
      <c r="C26" s="134" t="s">
        <v>10</v>
      </c>
      <c r="D26" s="135" t="s">
        <v>13</v>
      </c>
      <c r="E26" s="136" t="s">
        <v>7</v>
      </c>
      <c r="F26" s="141" t="s">
        <v>562</v>
      </c>
      <c r="G26" s="425"/>
      <c r="H26" s="134"/>
      <c r="I26" s="134"/>
      <c r="J26" s="134"/>
    </row>
    <row r="27" spans="2:10">
      <c r="B27" s="1105"/>
      <c r="C27" s="134" t="s">
        <v>10</v>
      </c>
      <c r="D27" s="135" t="s">
        <v>13</v>
      </c>
      <c r="E27" s="136" t="s">
        <v>7</v>
      </c>
      <c r="F27" s="142">
        <f>(((+F6*F23^2)/12960000)/32.1725)*5280^2</f>
        <v>124.58028135882886</v>
      </c>
      <c r="G27" s="425" t="s">
        <v>15</v>
      </c>
      <c r="H27" s="134"/>
      <c r="I27" s="134"/>
      <c r="J27" s="134"/>
    </row>
    <row r="28" spans="2:10" ht="18.75">
      <c r="B28" s="1105"/>
      <c r="C28" s="134" t="s">
        <v>11</v>
      </c>
      <c r="D28" s="135" t="s">
        <v>12</v>
      </c>
      <c r="E28" s="136" t="s">
        <v>7</v>
      </c>
      <c r="F28" s="141" t="s">
        <v>563</v>
      </c>
      <c r="G28" s="425"/>
      <c r="H28" s="134"/>
      <c r="I28" s="134"/>
      <c r="J28" s="134"/>
    </row>
    <row r="29" spans="2:10">
      <c r="B29" s="1105"/>
      <c r="C29" s="134" t="s">
        <v>11</v>
      </c>
      <c r="D29" s="135" t="s">
        <v>12</v>
      </c>
      <c r="E29" s="136" t="s">
        <v>7</v>
      </c>
      <c r="F29" s="142">
        <f>((+F25/F7*F27)*5280)/3600</f>
        <v>47.513922668006458</v>
      </c>
      <c r="G29" s="425" t="s">
        <v>14</v>
      </c>
      <c r="H29" s="134"/>
      <c r="I29" s="134"/>
      <c r="J29" s="134"/>
    </row>
    <row r="30" spans="2:10" ht="15.75" thickBot="1">
      <c r="B30" s="1106"/>
      <c r="C30" s="150" t="s">
        <v>11</v>
      </c>
      <c r="D30" s="151" t="s">
        <v>12</v>
      </c>
      <c r="E30" s="152" t="s">
        <v>7</v>
      </c>
      <c r="F30" s="153">
        <f>(((+F25/F7*F27)*5280)/3600)/144</f>
        <v>0.3299577963056004</v>
      </c>
      <c r="G30" s="426" t="s">
        <v>1480</v>
      </c>
      <c r="H30" s="134"/>
      <c r="I30" s="134"/>
      <c r="J30" s="134"/>
    </row>
    <row r="31" spans="2:10" ht="15.75" thickTop="1"/>
    <row r="32" spans="2:10"/>
    <row r="33"/>
  </sheetData>
  <customSheetViews>
    <customSheetView guid="{CFA9FB8A-52FF-44B9-AE70-27339693E196}" topLeftCell="A6">
      <selection activeCell="F6" sqref="F6"/>
      <pageMargins left="0.75" right="0.75" top="1" bottom="1" header="0.5" footer="0.5"/>
      <pageSetup scale="72" orientation="portrait" r:id="rId1"/>
      <headerFooter alignWithMargins="0"/>
    </customSheetView>
  </customSheetViews>
  <mergeCells count="4">
    <mergeCell ref="B21:B30"/>
    <mergeCell ref="B9:B18"/>
    <mergeCell ref="B4:J4"/>
    <mergeCell ref="B2:J2"/>
  </mergeCells>
  <phoneticPr fontId="18" type="noConversion"/>
  <printOptions horizontalCentered="1"/>
  <pageMargins left="0.75" right="0.75" top="1.25" bottom="0.5" header="0.5" footer="0"/>
  <pageSetup firstPageNumber="113" orientation="landscape" useFirstPageNumber="1" r:id="rId2"/>
  <headerFooter scaleWithDoc="0">
    <oddFooter>&amp;CPage &amp;P of 172</oddFooter>
  </headerFooter>
  <rowBreaks count="1" manualBreakCount="1">
    <brk id="7" min="1" max="9" man="1"/>
  </rowBreaks>
  <colBreaks count="1" manualBreakCount="1">
    <brk id="1" max="28"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0" zoomScaleNormal="100" workbookViewId="0">
      <selection activeCell="C10" sqref="C10"/>
    </sheetView>
  </sheetViews>
  <sheetFormatPr defaultColWidth="0" defaultRowHeight="15" zeroHeight="1"/>
  <cols>
    <col min="1" max="1" width="2.88671875" style="316" customWidth="1"/>
    <col min="2" max="2" width="35.44140625" style="1" customWidth="1"/>
    <col min="3" max="9" width="8.88671875" style="1" customWidth="1"/>
  </cols>
  <sheetData>
    <row r="1" spans="1:9" s="286" customFormat="1" ht="15.75" thickBot="1">
      <c r="A1" s="313"/>
      <c r="B1" s="314"/>
      <c r="C1" s="314"/>
      <c r="D1" s="314"/>
      <c r="E1" s="314"/>
      <c r="F1" s="314"/>
      <c r="G1" s="314"/>
      <c r="H1" s="314"/>
      <c r="I1" s="315"/>
    </row>
    <row r="2" spans="1:9" ht="19.5" thickTop="1" thickBot="1">
      <c r="B2" s="1114" t="s">
        <v>637</v>
      </c>
      <c r="C2" s="1115"/>
      <c r="D2" s="1115"/>
      <c r="E2" s="1115"/>
      <c r="F2" s="1115"/>
      <c r="G2" s="1115"/>
      <c r="H2" s="1116"/>
      <c r="I2" s="316"/>
    </row>
    <row r="3" spans="1:9" ht="19.5" thickTop="1" thickBot="1">
      <c r="A3" s="317"/>
      <c r="B3" s="308"/>
      <c r="C3" s="1117" t="s">
        <v>479</v>
      </c>
      <c r="D3" s="1117"/>
      <c r="E3" s="1117"/>
      <c r="F3" s="1117"/>
      <c r="G3" s="1117"/>
      <c r="H3" s="1117"/>
      <c r="I3" s="310"/>
    </row>
    <row r="4" spans="1:9" ht="16.5" thickBot="1">
      <c r="A4" s="317"/>
      <c r="B4" s="309"/>
      <c r="C4" s="434" t="s">
        <v>638</v>
      </c>
      <c r="D4" s="434" t="s">
        <v>639</v>
      </c>
      <c r="E4" s="434" t="s">
        <v>640</v>
      </c>
      <c r="F4" s="434" t="s">
        <v>641</v>
      </c>
      <c r="G4" s="434" t="s">
        <v>642</v>
      </c>
      <c r="H4" s="434" t="s">
        <v>748</v>
      </c>
      <c r="I4" s="310"/>
    </row>
    <row r="5" spans="1:9" s="277" customFormat="1" ht="12.75">
      <c r="A5" s="321"/>
      <c r="B5" s="322" t="s">
        <v>643</v>
      </c>
      <c r="C5" s="323">
        <f>COUNT('F0 - EF0'!$G$7:$G$801)</f>
        <v>795</v>
      </c>
      <c r="D5" s="323">
        <f>COUNT('F1 - EF1'!$G$7:$G$300)</f>
        <v>262</v>
      </c>
      <c r="E5" s="323">
        <f>COUNT('F2 - EF2'!$G$7:$G$200)</f>
        <v>137</v>
      </c>
      <c r="F5" s="323">
        <f>COUNT('F3 - EF3'!$G$7:$G$101)</f>
        <v>43</v>
      </c>
      <c r="G5" s="323">
        <f>COUNT('F4 - EF4'!$G$7:$G$49)</f>
        <v>23</v>
      </c>
      <c r="H5" s="323">
        <f>COUNT('EF5'!$G$7:$G$10)</f>
        <v>1</v>
      </c>
      <c r="I5" s="324"/>
    </row>
    <row r="6" spans="1:9" s="277" customFormat="1" ht="12.75">
      <c r="A6" s="321"/>
      <c r="B6" s="295"/>
      <c r="C6" s="325"/>
      <c r="D6" s="325"/>
      <c r="E6" s="325"/>
      <c r="F6" s="325"/>
      <c r="G6" s="325"/>
      <c r="H6" s="325"/>
      <c r="I6" s="324"/>
    </row>
    <row r="7" spans="1:9" s="277" customFormat="1" ht="12.75">
      <c r="A7" s="321"/>
      <c r="B7" s="295" t="s">
        <v>644</v>
      </c>
      <c r="C7" s="326">
        <f>COUNT('F0 - EF0'!$G$7:$G$1201)</f>
        <v>807</v>
      </c>
      <c r="D7" s="326">
        <f>COUNT('F1 - EF1'!$G$7:$G$350)</f>
        <v>262</v>
      </c>
      <c r="E7" s="326">
        <f>COUNT('F2 - EF2'!$G$7:$G$200)</f>
        <v>137</v>
      </c>
      <c r="F7" s="326">
        <f>COUNT('F3 - EF3'!$G$7:$G$101)</f>
        <v>43</v>
      </c>
      <c r="G7" s="326">
        <f>COUNT('F4 - EF4'!$G$7:$G$49)</f>
        <v>23</v>
      </c>
      <c r="H7" s="326">
        <f>COUNT('EF5'!$G$7:$G$10)</f>
        <v>1</v>
      </c>
      <c r="I7" s="324"/>
    </row>
    <row r="8" spans="1:9" s="277" customFormat="1" ht="12.75">
      <c r="A8" s="321"/>
      <c r="B8" s="324" t="s">
        <v>645</v>
      </c>
      <c r="C8" s="327">
        <f>EXP(MEDIAN('F0 - EF0'!$J$7:$J$813))</f>
        <v>0.5</v>
      </c>
      <c r="D8" s="328">
        <f>EXP(MEDIAN('F1 - EF1'!$J$7:$J$268))</f>
        <v>1.5247950681976907</v>
      </c>
      <c r="E8" s="328">
        <f>EXP(MEDIAN('F2 - EF2'!$J$7:$J$143))</f>
        <v>3.0000000000000004</v>
      </c>
      <c r="F8" s="328">
        <f>EXP(MEDIAN('F3 - EF3'!$J$7:$J$49))</f>
        <v>6.8000000000000007</v>
      </c>
      <c r="G8" s="328">
        <f>EXP(MEDIAN('F4 - EF4'!$J$7:$J$29))</f>
        <v>10.000000000000002</v>
      </c>
      <c r="H8" s="329">
        <f>EXP(MEDIAN('EF5'!$J$7))</f>
        <v>34.999999999999993</v>
      </c>
      <c r="I8" s="330"/>
    </row>
    <row r="9" spans="1:9" s="277" customFormat="1" ht="12.75">
      <c r="A9" s="321"/>
      <c r="B9" s="324" t="s">
        <v>646</v>
      </c>
      <c r="C9" s="331">
        <f>EXP(AVERAGE('F0 - EF0'!$J$7:$J$813))</f>
        <v>0.4307230371103129</v>
      </c>
      <c r="D9" s="332">
        <f>EXP(AVERAGE('F1 - EF1'!$J$7:$J$268))</f>
        <v>1.2784077326582111</v>
      </c>
      <c r="E9" s="332">
        <f>EXP(AVERAGE('F2 - EF2'!$J$7:$J$143))</f>
        <v>1.6657330127985375</v>
      </c>
      <c r="F9" s="332">
        <f>EXP(AVERAGE('F3 - EF3'!$J$7:$J$49))</f>
        <v>5.4283881777172978</v>
      </c>
      <c r="G9" s="332">
        <f>EXP(AVERAGE('F4 - EF4'!$J$7:$J$29))</f>
        <v>9.5909449521003634</v>
      </c>
      <c r="H9" s="333">
        <f>EXP(AVERAGE('EF5'!$J$7))</f>
        <v>34.999999999999993</v>
      </c>
      <c r="I9" s="330"/>
    </row>
    <row r="10" spans="1:9" s="277" customFormat="1" ht="14.25">
      <c r="A10" s="321"/>
      <c r="B10" s="324" t="s">
        <v>655</v>
      </c>
      <c r="C10" s="331">
        <f>EXP(AVERAGE('F0 - EF0'!$J$7:$J$813)-(1.645*(VARP('F0 - EF0'!$J$7:$J$813)^0.5)))</f>
        <v>4.6815921496074164E-2</v>
      </c>
      <c r="D10" s="332">
        <f>EXP(AVERAGE('F1 - EF1'!$J$7:$J$268)-(1.645*(VARP('F1 - EF1'!$J$7:$J$268)^0.5)))</f>
        <v>9.9826617088581399E-2</v>
      </c>
      <c r="E10" s="332">
        <f>EXP(AVERAGE('F2 - EF2'!$J$7:$J$143)-(1.645*(VARP('F2 - EF2'!$J$7:$J$143)^0.5)))</f>
        <v>9.1179435147808546E-2</v>
      </c>
      <c r="F10" s="332">
        <f>EXP(AVERAGE('F3 - EF3'!$J$7:$J$49)-(1.645*(VARP('F3 - EF3'!$J$7:$J$49)^0.5)))</f>
        <v>0.9450297916871081</v>
      </c>
      <c r="G10" s="332">
        <f>EXP(AVERAGE('F4 - EF4'!$J$7:$J$29)-(1.645*(VARP('F4 - EF4'!$J$7:$J$29)^0.5)))</f>
        <v>2.7809218820422679</v>
      </c>
      <c r="H10" s="333">
        <f>EXP(AVERAGE('EF5'!$J$7)-(1.645*(VARP('EF5'!$J$7)^0.5)))</f>
        <v>34.999999999999993</v>
      </c>
      <c r="I10" s="330"/>
    </row>
    <row r="11" spans="1:9" s="277" customFormat="1" ht="14.25">
      <c r="A11" s="321"/>
      <c r="B11" s="324" t="s">
        <v>656</v>
      </c>
      <c r="C11" s="331">
        <f>EXP(AVERAGE('F0 - EF0'!$J$7:$J$813)+(VARP('F0 - EF0'!$J$7:$J$813)/2))</f>
        <v>1.0700686377526061</v>
      </c>
      <c r="D11" s="332">
        <f>EXP(AVERAGE('F1 - EF1'!$J$7:$J$268)+(VARP('F1 - EF1'!$J$7:$J$268)/2))</f>
        <v>4.250516029519825</v>
      </c>
      <c r="E11" s="332">
        <f>EXP(AVERAGE('F2 - EF2'!$J$7:$J$143)+(VARP('F2 - EF2'!$J$7:$J$143)/2))</f>
        <v>7.9230272701466831</v>
      </c>
      <c r="F11" s="332">
        <f>EXP(AVERAGE('F3 - EF3'!$J$7:$J$49)+(VARP('F3 - EF3'!$J$7:$J$49)/2))</f>
        <v>9.548016798973773</v>
      </c>
      <c r="G11" s="332">
        <f>EXP(AVERAGE('F4 - EF4'!$J$7:$J$29)+(VARP('F4 - EF4'!$J$7:$J$29)/2))</f>
        <v>12.730839337195938</v>
      </c>
      <c r="H11" s="333">
        <f>EXP(AVERAGE('EF5'!$J$7)+(VARP('EF5'!$J$7)/2))</f>
        <v>34.999999999999993</v>
      </c>
      <c r="I11" s="330"/>
    </row>
    <row r="12" spans="1:9" s="277" customFormat="1" ht="14.25">
      <c r="A12" s="321"/>
      <c r="B12" s="324" t="s">
        <v>657</v>
      </c>
      <c r="C12" s="334">
        <f>EXP(AVERAGE('F0 - EF0'!$J$7:$J$813)+(1.645*(VARP('F0 - EF0'!$J$7:$J$813)^0.5)))</f>
        <v>3.9628042932592784</v>
      </c>
      <c r="D12" s="335">
        <f>EXP(AVERAGE('F1 - EF1'!$J$7:$J$268)+(1.645*(VARP('F1 - EF1'!$J$7:$J$268)^0.5)))</f>
        <v>16.37164895080122</v>
      </c>
      <c r="E12" s="335">
        <f>EXP(AVERAGE('F2 - EF2'!$J$7:$J$143)+(1.645*(VARP('F2 - EF2'!$J$7:$J$143)^0.5)))</f>
        <v>30.430836355028461</v>
      </c>
      <c r="F12" s="335">
        <f>EXP(AVERAGE('F3 - EF3'!$J$7:$J$49)+(1.645*(VARP('F3 - EF3'!$J$7:$J$49)^0.5)))</f>
        <v>31.18144895239169</v>
      </c>
      <c r="G12" s="335">
        <f>EXP(AVERAGE('F4 - EF4'!$J$7:$J$29)+(1.645*(VARP('F4 - EF4'!$J$7:$J$29)^0.5)))</f>
        <v>33.077601232964568</v>
      </c>
      <c r="H12" s="336">
        <f>EXP(AVERAGE('EF5'!$J$7)+(1.645*(VARP('EF5'!$J$7)^0.5)))</f>
        <v>34.999999999999993</v>
      </c>
      <c r="I12" s="330"/>
    </row>
    <row r="13" spans="1:9" s="277" customFormat="1" ht="12.75">
      <c r="A13" s="321"/>
      <c r="B13" s="295"/>
      <c r="C13" s="337"/>
      <c r="D13" s="337"/>
      <c r="E13" s="337"/>
      <c r="F13" s="337"/>
      <c r="G13" s="337"/>
      <c r="H13" s="337"/>
      <c r="I13" s="324"/>
    </row>
    <row r="14" spans="1:9" s="277" customFormat="1" ht="12.75">
      <c r="A14" s="321"/>
      <c r="B14" s="295" t="s">
        <v>647</v>
      </c>
      <c r="C14" s="325">
        <f>COUNT('F0 - EF0'!$G$7:$G$1201)</f>
        <v>807</v>
      </c>
      <c r="D14" s="325">
        <f>COUNT('F1 - EF1'!$G$7:$G$350)</f>
        <v>262</v>
      </c>
      <c r="E14" s="325">
        <f>COUNT('F2 - EF2'!$G$7:$G$200)</f>
        <v>137</v>
      </c>
      <c r="F14" s="325">
        <f>COUNT('F3 - EF3'!$G$7:$G$101)</f>
        <v>43</v>
      </c>
      <c r="G14" s="325">
        <f>COUNT('F4 - EF4'!$G$7:$G$49)</f>
        <v>23</v>
      </c>
      <c r="H14" s="325">
        <f>COUNT('EF5'!$G$7:$G$10)</f>
        <v>1</v>
      </c>
      <c r="I14" s="324"/>
    </row>
    <row r="15" spans="1:9" s="277" customFormat="1" ht="12.75">
      <c r="A15" s="321"/>
      <c r="B15" s="295" t="s">
        <v>652</v>
      </c>
      <c r="C15" s="338">
        <f>EXP(MEDIAN('F0 - EF0'!$I$7:$I$813))</f>
        <v>33</v>
      </c>
      <c r="D15" s="339">
        <f>EXP(MEDIAN('F1 - EF1'!$I$7:$I$268))</f>
        <v>59.999999999999986</v>
      </c>
      <c r="E15" s="339">
        <f>EXP(MEDIAN('F2 - EF2'!$I$7:$I$143))</f>
        <v>100.00000000000004</v>
      </c>
      <c r="F15" s="339">
        <f>EXP(MEDIAN('F3 - EF3'!$I$7:$I$49))</f>
        <v>450.00000000000006</v>
      </c>
      <c r="G15" s="339">
        <f>EXP(MEDIAN('F4 - EF4'!$I$7:$I$29))</f>
        <v>879.99999999999977</v>
      </c>
      <c r="H15" s="340">
        <f>EXP(MEDIAN('EF5'!$I$7))</f>
        <v>1407.9999999999998</v>
      </c>
      <c r="I15" s="324"/>
    </row>
    <row r="16" spans="1:9" s="277" customFormat="1" ht="12.75">
      <c r="A16" s="321"/>
      <c r="B16" s="295" t="s">
        <v>653</v>
      </c>
      <c r="C16" s="341">
        <f>EXP(AVERAGE('F0 - EF0'!$I$7:$I$813))</f>
        <v>34.83389127479213</v>
      </c>
      <c r="D16" s="332">
        <f>EXP(AVERAGE('F1 - EF1'!$I$7:$I$268))</f>
        <v>65.352331963021754</v>
      </c>
      <c r="E16" s="332">
        <f>EXP(AVERAGE('F2 - EF2'!$I$7:$I$143))</f>
        <v>98.712290875469606</v>
      </c>
      <c r="F16" s="332">
        <f>EXP(AVERAGE('F3 - EF3'!$I$7:$I$49))</f>
        <v>266.83740026715475</v>
      </c>
      <c r="G16" s="332">
        <f>EXP(AVERAGE('F4 - EF4'!$I$7:$I$29))</f>
        <v>872.17684111549534</v>
      </c>
      <c r="H16" s="342">
        <f>EXP(AVERAGE('EF5'!$I$7))</f>
        <v>1407.9999999999998</v>
      </c>
      <c r="I16" s="324"/>
    </row>
    <row r="17" spans="1:9" s="277" customFormat="1" ht="14.25">
      <c r="A17" s="321"/>
      <c r="B17" s="295" t="s">
        <v>658</v>
      </c>
      <c r="C17" s="341">
        <f>EXP(AVERAGE('F0 - EF0'!$I$7:$I$813)-(1.645*(VARP('F0 - EF0'!$I$7:$I$813)^0.5)))</f>
        <v>8.5686277665001214</v>
      </c>
      <c r="D17" s="332">
        <f>EXP(AVERAGE('F1 - EF1'!$I$7:$I$268)-(1.645*(VARP('F1 - EF1'!$I$7:$I$268)^0.5)))</f>
        <v>7.962027193930548</v>
      </c>
      <c r="E17" s="332">
        <f>EXP(AVERAGE('F2 - EF2'!$I$7:$I$143)-(1.645*(VARP('F2 - EF2'!$I$7:$I$143)^0.5)))</f>
        <v>7.72599372095973</v>
      </c>
      <c r="F17" s="332">
        <f>EXP(AVERAGE('F3 - EF3'!$I$7:$I$49)-(1.645*(VARP('F3 - EF3'!$I$7:$I$49)^0.5)))</f>
        <v>34.469480754590883</v>
      </c>
      <c r="G17" s="332">
        <f>EXP(AVERAGE('F4 - EF4'!$I$7:$I$29)-(1.645*(VARP('F4 - EF4'!$I$7:$I$29)^0.5)))</f>
        <v>266.02142053704392</v>
      </c>
      <c r="H17" s="342">
        <f>EXP(AVERAGE('EF5'!$I$7)-(1.645*(VARP('EF5'!$I$7)^0.5)))</f>
        <v>1407.9999999999998</v>
      </c>
      <c r="I17" s="324"/>
    </row>
    <row r="18" spans="1:9" s="277" customFormat="1" ht="14.25">
      <c r="A18" s="321"/>
      <c r="B18" s="295" t="s">
        <v>659</v>
      </c>
      <c r="C18" s="341">
        <f>EXP(AVERAGE('F0 - EF0'!$I$7:$I$813)+(VARP('F0 - EF0'!$I$7:$I$813)/2))</f>
        <v>50.100524616668991</v>
      </c>
      <c r="D18" s="332">
        <f>EXP(AVERAGE('F1 - EF1'!$I$7:$I$268)+(VARP('F1 - EF1'!$I$7:$I$268)/2))</f>
        <v>148.20722890203129</v>
      </c>
      <c r="E18" s="332">
        <f>EXP(AVERAGE('F2 - EF2'!$I$7:$I$143)+(VARP('F2 - EF2'!$I$7:$I$143)/2))</f>
        <v>327.4883186385951</v>
      </c>
      <c r="F18" s="332">
        <f>EXP(AVERAGE('F3 - EF3'!$I$7:$I$49)+(VARP('F3 - EF3'!$I$7:$I$49)/2))</f>
        <v>578.56304542494809</v>
      </c>
      <c r="G18" s="332">
        <f>EXP(AVERAGE('F4 - EF4'!$I$7:$I$29)+(VARP('F4 - EF4'!$I$7:$I$29)/2))</f>
        <v>1131.7424096547848</v>
      </c>
      <c r="H18" s="342">
        <f>EXP(AVERAGE('EF5'!$I$7)+(VARP('EF5'!$I$7)/2))</f>
        <v>1407.9999999999998</v>
      </c>
      <c r="I18" s="324"/>
    </row>
    <row r="19" spans="1:9" s="277" customFormat="1" ht="14.25">
      <c r="A19" s="321"/>
      <c r="B19" s="295" t="s">
        <v>660</v>
      </c>
      <c r="C19" s="343">
        <f>EXP(AVERAGE('F0 - EF0'!$I$7:$I$813)+(1.645*(VARP('F0 - EF0'!$I$7:$I$813)^0.5)))</f>
        <v>141.6096035922979</v>
      </c>
      <c r="D19" s="344">
        <f>EXP(AVERAGE('F1 - EF1'!$I$7:$I$268)+(1.645*(VARP('F1 - EF1'!$I$7:$I$268)^0.5)))</f>
        <v>536.41204544751145</v>
      </c>
      <c r="E19" s="344">
        <f>EXP(AVERAGE('F2 - EF2'!$I$7:$I$143)+(1.645*(VARP('F2 - EF2'!$I$7:$I$143)^0.5)))</f>
        <v>1261.2120488072169</v>
      </c>
      <c r="F19" s="344">
        <f>EXP(AVERAGE('F3 - EF3'!$I$7:$I$49)+(1.645*(VARP('F3 - EF3'!$I$7:$I$49)^0.5)))</f>
        <v>2065.6591460795526</v>
      </c>
      <c r="G19" s="344">
        <f>EXP(AVERAGE('F4 - EF4'!$I$7:$I$29)+(1.645*(VARP('F4 - EF4'!$I$7:$I$29)^0.5)))</f>
        <v>2859.5157511846919</v>
      </c>
      <c r="H19" s="345">
        <f>EXP(AVERAGE('EF5'!$I$7)+(1.645*(VARP('EF5'!$I$7)^0.5)))</f>
        <v>1407.9999999999998</v>
      </c>
      <c r="I19" s="324"/>
    </row>
    <row r="20" spans="1:9" s="277" customFormat="1" ht="12.75">
      <c r="A20" s="321"/>
      <c r="B20" s="295"/>
      <c r="C20" s="325"/>
      <c r="D20" s="325"/>
      <c r="E20" s="325"/>
      <c r="F20" s="325"/>
      <c r="G20" s="325"/>
      <c r="H20" s="325"/>
      <c r="I20" s="324"/>
    </row>
    <row r="21" spans="1:9" s="277" customFormat="1" ht="12.75">
      <c r="A21" s="321"/>
      <c r="B21" s="295" t="s">
        <v>648</v>
      </c>
      <c r="C21" s="325">
        <f>COUNT('F0 - EF0'!$G$7:$G$1201)</f>
        <v>807</v>
      </c>
      <c r="D21" s="325">
        <f>COUNT('F1 - EF1'!$G$7:$G$350)</f>
        <v>262</v>
      </c>
      <c r="E21" s="325">
        <f>COUNT('F2 - EF2'!$G$7:$G$200)</f>
        <v>137</v>
      </c>
      <c r="F21" s="325">
        <f>COUNT('F3 - EF3'!$G$7:$G$101)</f>
        <v>43</v>
      </c>
      <c r="G21" s="325">
        <f>COUNT('F4 - EF4'!$G$7:$G$49)</f>
        <v>23</v>
      </c>
      <c r="H21" s="325">
        <f>COUNT('EF5'!$G$7:$G$10)</f>
        <v>1</v>
      </c>
      <c r="I21" s="324"/>
    </row>
    <row r="22" spans="1:9" s="277" customFormat="1" ht="14.25">
      <c r="A22" s="321"/>
      <c r="B22" s="295" t="s">
        <v>661</v>
      </c>
      <c r="C22" s="338">
        <f>EXP(MEDIAN('F0 - EF0'!$K$7:$K$813))</f>
        <v>8.5227272727272704E-3</v>
      </c>
      <c r="D22" s="339">
        <f>EXP(MEDIAN('F1 - EF1'!$K$7:$K$268))</f>
        <v>5.681818181818183E-2</v>
      </c>
      <c r="E22" s="339">
        <f>EXP(MEDIAN('F2 - EF2'!$K$7:$K$143))</f>
        <v>0.22727272727272727</v>
      </c>
      <c r="F22" s="339">
        <f>EXP(MEDIAN('F3 - EF3'!$K$7:$K$49))</f>
        <v>1.0227272727272727</v>
      </c>
      <c r="G22" s="339">
        <f>EXP(MEDIAN('F4 - EF4'!$K$7:$K$29))</f>
        <v>4.9715909090909092</v>
      </c>
      <c r="H22" s="340">
        <f>EXP(MEDIAN('EF5'!$K$7))</f>
        <v>27.999999999999996</v>
      </c>
      <c r="I22" s="324"/>
    </row>
    <row r="23" spans="1:9" s="277" customFormat="1" ht="14.25">
      <c r="A23" s="321"/>
      <c r="B23" s="295" t="s">
        <v>662</v>
      </c>
      <c r="C23" s="341">
        <f>EXP(AVERAGE('F0 - EF0'!$K$7:$K$813))</f>
        <v>8.524863320595568E-3</v>
      </c>
      <c r="D23" s="332">
        <f>EXP(AVERAGE('F1 - EF1'!$K$7:$K$268))</f>
        <v>4.7469844618621346E-2</v>
      </c>
      <c r="E23" s="332">
        <f>EXP(AVERAGE('F2 - EF2'!$K$7:$K$143))</f>
        <v>9.342518277286524E-2</v>
      </c>
      <c r="F23" s="332">
        <f>EXP(AVERAGE('F3 - EF3'!$K$7:$K$49))</f>
        <v>0.8230096528312737</v>
      </c>
      <c r="G23" s="332">
        <f>EXP(AVERAGE('F4 - EF4'!$K$7:$K$29))</f>
        <v>4.7528409497929012</v>
      </c>
      <c r="H23" s="342">
        <f>EXP(AVERAGE('EF5'!$K$7))</f>
        <v>27.999999999999996</v>
      </c>
      <c r="I23" s="324"/>
    </row>
    <row r="24" spans="1:9" s="277" customFormat="1" ht="14.25">
      <c r="A24" s="321"/>
      <c r="B24" s="295" t="s">
        <v>663</v>
      </c>
      <c r="C24" s="341">
        <f>EXP(AVERAGE('F0 - EF0'!$K$7:$K$813)-(1.645*(VARP('F0 - EF0'!$K$7:$K$813)^0.5)))</f>
        <v>3.4929139450497025E-4</v>
      </c>
      <c r="D24" s="332">
        <f>EXP(AVERAGE('F1 - EF1'!$K$7:$K$268)-(1.645*(VARP('F1 - EF1'!$K$7:$K$268)^0.5)))</f>
        <v>7.2135424584896348E-4</v>
      </c>
      <c r="E24" s="332">
        <f>EXP(AVERAGE('F2 - EF2'!$K$7:$K$143)-(1.645*(VARP('F2 - EF2'!$K$7:$K$143)^0.5)))</f>
        <v>5.465877173921772E-4</v>
      </c>
      <c r="F24" s="332">
        <f>EXP(AVERAGE('F3 - EF3'!$K$7:$K$49)-(1.645*(VARP('F3 - EF3'!$K$7:$K$49)^0.5)))</f>
        <v>3.4448013761739969E-2</v>
      </c>
      <c r="G24" s="332">
        <f>EXP(AVERAGE('F4 - EF4'!$K$7:$K$29)-(1.645*(VARP('F4 - EF4'!$K$7:$K$29)^0.5)))</f>
        <v>0.96725062494296354</v>
      </c>
      <c r="H24" s="342">
        <f>EXP(AVERAGE('EF5'!$K$7)-(1.645*(VARP('EF5'!$K$7)^0.5)))</f>
        <v>27.999999999999996</v>
      </c>
      <c r="I24" s="324"/>
    </row>
    <row r="25" spans="1:9" s="277" customFormat="1" ht="14.25">
      <c r="A25" s="321"/>
      <c r="B25" s="295" t="s">
        <v>664</v>
      </c>
      <c r="C25" s="341">
        <f>EXP(AVERAGE('F0 - EF0'!$K$7:$K$813)+(VARP('F0 - EF0'!$K$7:$K$813)/2))</f>
        <v>5.6202381180778513E-2</v>
      </c>
      <c r="D25" s="332">
        <f>EXP(AVERAGE('F1 - EF1'!$K$7:$K$268)+(VARP('F1 - EF1'!$K$7:$K$268)/2))</f>
        <v>1.2106446049418691</v>
      </c>
      <c r="E25" s="332">
        <f>EXP(AVERAGE('F2 - EF2'!$K$7:$K$143)+(VARP('F2 - EF2'!$K$7:$K$143)/2))</f>
        <v>12.346235677149494</v>
      </c>
      <c r="F25" s="332">
        <f>EXP(AVERAGE('F3 - EF3'!$K$7:$K$49)+(VARP('F3 - EF3'!$K$7:$K$49)/2))</f>
        <v>5.2914830266018926</v>
      </c>
      <c r="G25" s="332">
        <f>EXP(AVERAGE('F4 - EF4'!$K$7:$K$29)+(VARP('F4 - EF4'!$K$7:$K$29)/2))</f>
        <v>7.5917820333427235</v>
      </c>
      <c r="H25" s="342">
        <f>EXP(AVERAGE('EF5'!$K$7)+(VARP('EF5'!$K$7)/2))</f>
        <v>27.999999999999996</v>
      </c>
      <c r="I25" s="324"/>
    </row>
    <row r="26" spans="1:9" s="277" customFormat="1" ht="14.25">
      <c r="A26" s="321"/>
      <c r="B26" s="295" t="s">
        <v>665</v>
      </c>
      <c r="C26" s="343">
        <f>EXP(AVERAGE('F0 - EF0'!$K$7:$K$813)+(1.645*(VARP('F0 - EF0'!$K$7:$K$813)^0.5)))</f>
        <v>0.20805921868711127</v>
      </c>
      <c r="D26" s="344">
        <f>EXP(AVERAGE('F1 - EF1'!$K$7:$K$268)+(1.645*(VARP('F1 - EF1'!$K$7:$K$268)^0.5)))</f>
        <v>3.1238273858969801</v>
      </c>
      <c r="E26" s="344">
        <f>EXP(AVERAGE('F2 - EF2'!$K$7:$K$143)+(1.645*(VARP('F2 - EF2'!$K$7:$K$143)^0.5)))</f>
        <v>15.968644187225189</v>
      </c>
      <c r="F26" s="344">
        <f>EXP(AVERAGE('F3 - EF3'!$K$7:$K$49)+(1.645*(VARP('F3 - EF3'!$K$7:$K$49)^0.5)))</f>
        <v>19.662814040261249</v>
      </c>
      <c r="G26" s="344">
        <f>EXP(AVERAGE('F4 - EF4'!$K$7:$K$29)+(1.645*(VARP('F4 - EF4'!$K$7:$K$29)^0.5)))</f>
        <v>23.354337036856748</v>
      </c>
      <c r="H26" s="345">
        <f>EXP(AVERAGE('EF5'!$K$7)+(1.645*(VARP('EF5'!$K$7)^0.5)))</f>
        <v>27.999999999999996</v>
      </c>
      <c r="I26" s="324"/>
    </row>
    <row r="27" spans="1:9" s="277" customFormat="1" ht="13.5" thickBot="1">
      <c r="A27" s="321"/>
      <c r="B27" s="284"/>
      <c r="C27" s="284"/>
      <c r="D27" s="284"/>
      <c r="E27" s="284"/>
      <c r="F27" s="284"/>
      <c r="G27" s="284"/>
      <c r="H27" s="284"/>
      <c r="I27" s="324"/>
    </row>
    <row r="28" spans="1:9">
      <c r="A28" s="317"/>
      <c r="B28" s="319" t="s">
        <v>649</v>
      </c>
      <c r="C28" s="306"/>
      <c r="D28" s="306"/>
      <c r="E28" s="306"/>
      <c r="F28" s="306"/>
      <c r="G28" s="306"/>
      <c r="H28" s="306"/>
      <c r="I28" s="310"/>
    </row>
    <row r="29" spans="1:9">
      <c r="A29" s="317"/>
      <c r="B29" s="401" t="s">
        <v>650</v>
      </c>
      <c r="C29" s="307"/>
      <c r="D29" s="307"/>
      <c r="E29" s="307"/>
      <c r="F29" s="307"/>
      <c r="G29" s="307"/>
      <c r="H29" s="307"/>
      <c r="I29" s="310"/>
    </row>
    <row r="30" spans="1:9" ht="15.75" thickBot="1">
      <c r="A30" s="317"/>
      <c r="B30" s="399" t="s">
        <v>1293</v>
      </c>
      <c r="C30" s="400"/>
      <c r="D30" s="400"/>
      <c r="E30" s="400"/>
      <c r="F30" s="400"/>
      <c r="G30" s="400"/>
      <c r="H30" s="400"/>
      <c r="I30" s="310"/>
    </row>
    <row r="31" spans="1:9">
      <c r="A31" s="317"/>
      <c r="B31" s="315"/>
      <c r="C31" s="315"/>
      <c r="D31" s="315"/>
      <c r="E31" s="315"/>
      <c r="F31" s="315"/>
      <c r="G31" s="315"/>
      <c r="H31" s="315"/>
      <c r="I31" s="310"/>
    </row>
    <row r="32" spans="1:9" hidden="1">
      <c r="A32" s="317"/>
      <c r="B32" s="307"/>
      <c r="C32" s="307"/>
      <c r="D32" s="307"/>
      <c r="E32" s="307"/>
      <c r="F32" s="307"/>
      <c r="G32" s="307"/>
      <c r="H32" s="307"/>
      <c r="I32" s="310"/>
    </row>
    <row r="33" spans="1:9" hidden="1">
      <c r="A33" s="317"/>
      <c r="B33" s="318"/>
      <c r="C33" s="318"/>
      <c r="D33" s="318"/>
      <c r="E33" s="318"/>
      <c r="F33" s="318"/>
      <c r="G33" s="318"/>
      <c r="H33" s="318"/>
      <c r="I33" s="320"/>
    </row>
  </sheetData>
  <mergeCells count="2">
    <mergeCell ref="B2:H2"/>
    <mergeCell ref="C3:H3"/>
  </mergeCells>
  <printOptions horizontalCentered="1"/>
  <pageMargins left="0.7" right="0.7" top="1.25" bottom="0.5" header="0.3" footer="0"/>
  <pageSetup orientation="landscape" r:id="rId1"/>
  <headerFooter scaleWithDoc="0">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68"/>
  <sheetViews>
    <sheetView zoomScaleNormal="100" zoomScaleSheetLayoutView="50" workbookViewId="0">
      <selection activeCell="C143" sqref="C143"/>
    </sheetView>
  </sheetViews>
  <sheetFormatPr defaultColWidth="0" defaultRowHeight="15" zeroHeight="1"/>
  <cols>
    <col min="1" max="1" width="2.77734375" customWidth="1"/>
    <col min="2" max="2" width="16.77734375" customWidth="1"/>
    <col min="3" max="9" width="10.77734375" customWidth="1"/>
    <col min="10" max="10" width="8.88671875" customWidth="1"/>
    <col min="11" max="11" width="2.77734375" customWidth="1"/>
    <col min="12" max="12" width="11.21875" hidden="1" customWidth="1"/>
    <col min="13" max="13" width="3.77734375" hidden="1" customWidth="1"/>
  </cols>
  <sheetData>
    <row r="1" spans="2:12"/>
    <row r="2" spans="2:12" ht="15.75" thickBot="1"/>
    <row r="3" spans="2:12" ht="24" thickTop="1">
      <c r="B3" s="1118" t="s">
        <v>503</v>
      </c>
      <c r="C3" s="1122"/>
      <c r="D3" s="1122"/>
      <c r="E3" s="1122"/>
      <c r="F3" s="1122"/>
      <c r="G3" s="1122"/>
      <c r="H3" s="1122"/>
      <c r="I3" s="1123"/>
    </row>
    <row r="4" spans="2:12" ht="15.75">
      <c r="B4" s="62"/>
      <c r="C4" s="1121" t="s">
        <v>479</v>
      </c>
      <c r="D4" s="1121"/>
      <c r="E4" s="1121"/>
      <c r="F4" s="1121"/>
      <c r="G4" s="1121"/>
      <c r="H4" s="1121"/>
      <c r="I4" s="63"/>
    </row>
    <row r="5" spans="2:12" ht="16.5" thickBot="1">
      <c r="B5" s="64" t="s">
        <v>480</v>
      </c>
      <c r="C5" s="65" t="s">
        <v>481</v>
      </c>
      <c r="D5" s="65" t="s">
        <v>167</v>
      </c>
      <c r="E5" s="65" t="s">
        <v>168</v>
      </c>
      <c r="F5" s="65" t="s">
        <v>169</v>
      </c>
      <c r="G5" s="65" t="s">
        <v>170</v>
      </c>
      <c r="H5" s="65" t="s">
        <v>171</v>
      </c>
      <c r="I5" s="66" t="s">
        <v>482</v>
      </c>
    </row>
    <row r="6" spans="2:12">
      <c r="B6" s="55"/>
      <c r="C6" s="1"/>
      <c r="D6" s="1"/>
      <c r="E6" s="1"/>
      <c r="F6" s="1"/>
      <c r="G6" s="1"/>
      <c r="H6" s="1"/>
      <c r="I6" s="39"/>
    </row>
    <row r="7" spans="2:12" ht="15.75">
      <c r="B7" s="346" t="s">
        <v>1271</v>
      </c>
      <c r="C7" s="2">
        <f>(COUNTIF('Database - Tornado Segments'!$AB$8:$AB$2001, "F00")+COUNTIF('Database - Tornado Segments'!$AB$8:$AB$2001, "EF00"))</f>
        <v>0</v>
      </c>
      <c r="D7" s="2">
        <f>(COUNTIF('Database - Tornado Segments'!$AB$8:$AB$2001, "F10")+COUNTIF('Database - Tornado Segments'!$AB$8:$AB$2001, "EF10"))</f>
        <v>0</v>
      </c>
      <c r="E7" s="2">
        <f>(COUNTIF('Database - Tornado Segments'!$AB$8:$AB$2001, "F20")+COUNTIF('Database - Tornado Segments'!$AB$8:$AB$2001, "EF20"))</f>
        <v>0</v>
      </c>
      <c r="F7" s="2">
        <f>(COUNTIF('Database - Tornado Segments'!$AB$8:$AB$2001, "F30")+COUNTIF('Database - Tornado Segments'!$AB$8:$AB$2001, "EF30"))</f>
        <v>0</v>
      </c>
      <c r="G7" s="2">
        <f>(COUNTIF('Database - Tornado Segments'!$AB$8:$AB$2001, "F40")+COUNTIF('Database - Tornado Segments'!$AB$8:$AB$2001, "EF40"))</f>
        <v>0</v>
      </c>
      <c r="H7" s="2">
        <f>(COUNTIF('Database - Tornado Segments'!$AB$8:$AB$2001, "F50")+COUNTIF('Database - Tornado Segments'!$AB$8:$AB$2001, "EF50"))</f>
        <v>0</v>
      </c>
      <c r="I7" s="56">
        <f>SUM(C7:H7)</f>
        <v>0</v>
      </c>
    </row>
    <row r="8" spans="2:12" ht="15.75">
      <c r="B8" s="346" t="s">
        <v>1272</v>
      </c>
      <c r="C8" s="2">
        <f>(COUNTIF('Database - Tornado Segments'!$AB$8:$AB$2001, "F00.01")+COUNTIF('Database - Tornado Segments'!$AB$8:$AB$2001, "EF00.01"))</f>
        <v>3</v>
      </c>
      <c r="D8" s="2">
        <f>(COUNTIF('Database - Tornado Segments'!$AB$8:$AB$2001, "F10.01")+COUNTIF('Database - Tornado Segments'!$AB$8:$AB$2001, "EF10.01"))</f>
        <v>0</v>
      </c>
      <c r="E8" s="2">
        <f>(COUNTIF('Database - Tornado Segments'!$AB$8:$AB$2001, "F20.01")+COUNTIF('Database - Tornado Segments'!$AB$8:$AB$2001, "EF20.01"))</f>
        <v>0</v>
      </c>
      <c r="F8" s="2">
        <f>(COUNTIF('Database - Tornado Segments'!$AB$8:$AB$2001, "F30.01")+COUNTIF('Database - Tornado Segments'!$AB$8:$AB$2001, "EF30.01"))</f>
        <v>0</v>
      </c>
      <c r="G8" s="2">
        <f>(COUNTIF('Database - Tornado Segments'!$AB$8:$AB$2001, "F40.01")+COUNTIF('Database - Tornado Segments'!$AB$8:$AB$2001, "EF40.01"))</f>
        <v>0</v>
      </c>
      <c r="H8" s="2">
        <f>(COUNTIF('Database - Tornado Segments'!$AB$8:$AB$2001, "F50.01")+COUNTIF('Database - Tornado Segments'!$AB$8:$AB$2001, "EF50.01"))</f>
        <v>0</v>
      </c>
      <c r="I8" s="56">
        <f t="shared" ref="I8:I9" si="0">SUM(C8:H8)</f>
        <v>3</v>
      </c>
    </row>
    <row r="9" spans="2:12" ht="15.75">
      <c r="B9" s="346" t="s">
        <v>1273</v>
      </c>
      <c r="C9" s="2">
        <f>(COUNTIF('Database - Tornado Segments'!$AB$8:$AB$2001, "F00.02")+COUNTIF('Database - Tornado Segments'!$AB$8:$AB$2001, "EF00.02"))</f>
        <v>5</v>
      </c>
      <c r="D9" s="2">
        <f>(COUNTIF('Database - Tornado Segments'!$AB$8:$AB$2001, "F10.02")+COUNTIF('Database - Tornado Segments'!$AB$8:$AB$2001, "EF10.02"))</f>
        <v>0</v>
      </c>
      <c r="E9" s="2">
        <f>(COUNTIF('Database - Tornado Segments'!$AB$8:$AB$2001, "F20.02")+COUNTIF('Database - Tornado Segments'!$AB$8:$AB$2001, "EF20.02"))</f>
        <v>0</v>
      </c>
      <c r="F9" s="2">
        <f>(COUNTIF('Database - Tornado Segments'!$AB$8:$AB$2001, "F30.02")+COUNTIF('Database - Tornado Segments'!$AB$8:$AB$2001, "EF30.02"))</f>
        <v>0</v>
      </c>
      <c r="G9" s="2">
        <f>(COUNTIF('Database - Tornado Segments'!$AB$8:$AB$2001, "F40.02")+COUNTIF('Database - Tornado Segments'!$AB$8:$AB$2001, "EF40.02"))</f>
        <v>0</v>
      </c>
      <c r="H9" s="2">
        <f>(COUNTIF('Database - Tornado Segments'!$AB$8:$AB$2001, "F50.02")+COUNTIF('Database - Tornado Segments'!$AB$8:$AB$2001, "EF50.02"))</f>
        <v>0</v>
      </c>
      <c r="I9" s="56">
        <f t="shared" si="0"/>
        <v>5</v>
      </c>
    </row>
    <row r="10" spans="2:12" ht="15.75">
      <c r="B10" s="346" t="s">
        <v>1274</v>
      </c>
      <c r="C10" s="2">
        <f>(COUNTIF('Database - Tornado Segments'!$AB$8:$AB$2001, "F00.05")+COUNTIF('Database - Tornado Segments'!$AB$8:$AB$2001, "EF00.05"))</f>
        <v>10</v>
      </c>
      <c r="D10" s="2">
        <f>(COUNTIF('Database - Tornado Segments'!$AB$8:$AB$2001, "F10.05")+COUNTIF('Database - Tornado Segments'!$AB$8:$AB$2001, "EF10.05"))</f>
        <v>1</v>
      </c>
      <c r="E10" s="2">
        <f>(COUNTIF('Database - Tornado Segments'!$AB$8:$AB$2001, "F20.05")+COUNTIF('Database - Tornado Segments'!$AB$8:$AB$2001, "EF20.05"))</f>
        <v>0</v>
      </c>
      <c r="F10" s="2">
        <f>(COUNTIF('Database - Tornado Segments'!$AB$8:$AB$2001, "F30.05")+COUNTIF('Database - Tornado Segments'!$AB$8:$AB$2001, "EF30.05"))</f>
        <v>0</v>
      </c>
      <c r="G10" s="2">
        <f>(COUNTIF('Database - Tornado Segments'!$AB$8:$AB$2001, "F40.05")+COUNTIF('Database - Tornado Segments'!$AB$8:$AB$2001, "EF40.05"))</f>
        <v>0</v>
      </c>
      <c r="H10" s="2">
        <f>(COUNTIF('Database - Tornado Segments'!$AB$8:$AB$2001, "F50.05")+COUNTIF('Database - Tornado Segments'!$AB$8:$AB$2001, "EF50.05"))</f>
        <v>0</v>
      </c>
      <c r="I10" s="56">
        <f>SUM(C10:H10)</f>
        <v>11</v>
      </c>
    </row>
    <row r="11" spans="2:12" ht="15.75">
      <c r="B11" s="40" t="s">
        <v>491</v>
      </c>
      <c r="C11" s="2">
        <f>(COUNTIF('Database - Tornado Segments'!$AB$8:$AB$2001, "F00.1")+COUNTIF('Database - Tornado Segments'!$AB$8:$AB$2001, "EF00.1"))</f>
        <v>245</v>
      </c>
      <c r="D11" s="2">
        <f>(COUNTIF('Database - Tornado Segments'!$AB$8:$AB$2001, "F10.1")+COUNTIF('Database - Tornado Segments'!$AB$8:$AB$2001, "EF10.1"))</f>
        <v>42</v>
      </c>
      <c r="E11" s="2">
        <f>(COUNTIF('Database - Tornado Segments'!$AB$8:$AB$2001, "F20.1")+COUNTIF('Database - Tornado Segments'!$AB$8:$AB$2001, "EF20.1"))</f>
        <v>29</v>
      </c>
      <c r="F11" s="2">
        <f>(COUNTIF('Database - Tornado Segments'!$AB$8:$AB$2001, "F30.1")+COUNTIF('Database - Tornado Segments'!$AB$8:$AB$2001, "EF30.1"))</f>
        <v>1</v>
      </c>
      <c r="G11" s="2">
        <f>(COUNTIF('Database - Tornado Segments'!$AB$8:$AB$2001, "F40.1")+COUNTIF('Database - Tornado Segments'!$AB$8:$AB$2001, "EF40.1"))</f>
        <v>0</v>
      </c>
      <c r="H11" s="2">
        <f>(COUNTIF('Database - Tornado Segments'!$AB$8:$AB$2001, "F50.1")+COUNTIF('Database - Tornado Segments'!$AB$8:$AB$2001, "EF50.1"))</f>
        <v>0</v>
      </c>
      <c r="I11" s="56">
        <f t="shared" ref="I11:I19" si="1">SUM(C11:H11)</f>
        <v>317</v>
      </c>
    </row>
    <row r="12" spans="2:12" ht="15.75">
      <c r="B12" s="40" t="s">
        <v>492</v>
      </c>
      <c r="C12" s="2">
        <f>(COUNTIF('Database - Tornado Segments'!$AB$8:$AB$2001, "F00.2")+COUNTIF('Database - Tornado Segments'!$AB$8:$AB$2001, "EF00.2"))</f>
        <v>128</v>
      </c>
      <c r="D12" s="2">
        <f>(COUNTIF('Database - Tornado Segments'!$AB$8:$AB$2001, "F10.2")+COUNTIF('Database - Tornado Segments'!$AB$8:$AB$2001, "EF10.2"))</f>
        <v>21</v>
      </c>
      <c r="E12" s="2">
        <f>(COUNTIF('Database - Tornado Segments'!$AB$8:$AB$2001, "F20.2")+COUNTIF('Database - Tornado Segments'!$AB$8:$AB$2001, "EF20.2"))</f>
        <v>5</v>
      </c>
      <c r="F12" s="2">
        <f>(COUNTIF('Database - Tornado Segments'!$AB$8:$AB$2001, "F30.2")+COUNTIF('Database - Tornado Segments'!$AB$8:$AB$2001, "EF30.2"))</f>
        <v>0</v>
      </c>
      <c r="G12" s="2">
        <f>(COUNTIF('Database - Tornado Segments'!$AB$8:$AB$2001, "F40.2")+COUNTIF('Database - Tornado Segments'!$AB$8:$AB$2001, "EF40.2"))</f>
        <v>0</v>
      </c>
      <c r="H12" s="2">
        <f>(COUNTIF('Database - Tornado Segments'!$AB$8:$AB$2001, "F50.2")+COUNTIF('Database - Tornado Segments'!$AB$8:$AB$2001, "EF50.2"))</f>
        <v>0</v>
      </c>
      <c r="I12" s="56">
        <f t="shared" si="1"/>
        <v>154</v>
      </c>
    </row>
    <row r="13" spans="2:12" ht="15.75">
      <c r="B13" s="40" t="s">
        <v>493</v>
      </c>
      <c r="C13" s="2">
        <f>(COUNTIF('Database - Tornado Segments'!$AB$8:$AB$2001, "F00.5")+COUNTIF('Database - Tornado Segments'!$AB$8:$AB$2001, "EF00.5"))</f>
        <v>139</v>
      </c>
      <c r="D13" s="2">
        <f>(COUNTIF('Database - Tornado Segments'!$AB$8:$AB$2001, "F10.5")+COUNTIF('Database - Tornado Segments'!$AB$8:$AB$2001, "EF10.5"))</f>
        <v>25</v>
      </c>
      <c r="E13" s="2">
        <f>(COUNTIF('Database - Tornado Segments'!$AB$8:$AB$2001, "F20.5")+COUNTIF('Database - Tornado Segments'!$AB$8:$AB$2001, "EF20.5"))</f>
        <v>8</v>
      </c>
      <c r="F13" s="2">
        <f>(COUNTIF('Database - Tornado Segments'!$AB$8:$AB$2001, "F30.5")+COUNTIF('Database - Tornado Segments'!$AB$8:$AB$2001, "EF30.5"))</f>
        <v>1</v>
      </c>
      <c r="G13" s="2">
        <f>(COUNTIF('Database - Tornado Segments'!$AB$8:$AB$2001, "F40.5")+COUNTIF('Database - Tornado Segments'!$AB$8:$AB$2001, "EF40.5"))</f>
        <v>0</v>
      </c>
      <c r="H13" s="2">
        <f>(COUNTIF('Database - Tornado Segments'!$AB$8:$AB$2001, "F50.5")+COUNTIF('Database - Tornado Segments'!$AB$8:$AB$2001, "EF50.5"))</f>
        <v>0</v>
      </c>
      <c r="I13" s="56">
        <f t="shared" si="1"/>
        <v>173</v>
      </c>
      <c r="K13" s="520"/>
      <c r="L13" s="352"/>
    </row>
    <row r="14" spans="2:12" ht="15.75">
      <c r="B14" s="40" t="s">
        <v>494</v>
      </c>
      <c r="C14" s="2">
        <f>(COUNTIF('Database - Tornado Segments'!$AB$8:$AB$2001, "F01")+COUNTIF('Database - Tornado Segments'!$AB$8:$AB$2001, "EF01"))</f>
        <v>138</v>
      </c>
      <c r="D14" s="2">
        <f>(COUNTIF('Database - Tornado Segments'!$AB$8:$AB$2001, "F11")+COUNTIF('Database - Tornado Segments'!$AB$8:$AB$2001, "EF11"))</f>
        <v>45</v>
      </c>
      <c r="E14" s="2">
        <f>(COUNTIF('Database - Tornado Segments'!$AB$8:$AB$2001, "F21")+COUNTIF('Database - Tornado Segments'!$AB$8:$AB$2001, "EF21"))</f>
        <v>14</v>
      </c>
      <c r="F14" s="2">
        <f>(COUNTIF('Database - Tornado Segments'!$AB$8:$AB$2001, "F31")+COUNTIF('Database - Tornado Segments'!$AB$8:$AB$2001, "EF31"))</f>
        <v>2</v>
      </c>
      <c r="G14" s="2">
        <f>(COUNTIF('Database - Tornado Segments'!$AB$8:$AB$2001, "F41")+COUNTIF('Database - Tornado Segments'!$AB$8:$AB$2001, "EF41"))</f>
        <v>0</v>
      </c>
      <c r="H14" s="2">
        <f>(COUNTIF('Database - Tornado Segments'!$AB$8:$AB$2001, "F51")+COUNTIF('Database - Tornado Segments'!$AB$8:$AB$2001, "EF51"))</f>
        <v>0</v>
      </c>
      <c r="I14" s="56">
        <f t="shared" si="1"/>
        <v>199</v>
      </c>
      <c r="K14" s="521"/>
    </row>
    <row r="15" spans="2:12" ht="15.75">
      <c r="B15" s="40" t="s">
        <v>495</v>
      </c>
      <c r="C15" s="2">
        <f>(COUNTIF('Database - Tornado Segments'!$AB$8:$AB$2001, "F02")+COUNTIF('Database - Tornado Segments'!$AB$8:$AB$2001, "EF02"))</f>
        <v>107</v>
      </c>
      <c r="D15" s="2">
        <f>(COUNTIF('Database - Tornado Segments'!$AB$8:$AB$2001, "F12")+COUNTIF('Database - Tornado Segments'!$AB$8:$AB$2001, "EF12"))</f>
        <v>75</v>
      </c>
      <c r="E15" s="2">
        <f>(COUNTIF('Database - Tornado Segments'!$AB$8:$AB$2001, "F22")+COUNTIF('Database - Tornado Segments'!$AB$8:$AB$2001, "EF22"))</f>
        <v>32</v>
      </c>
      <c r="F15" s="2">
        <f>(COUNTIF('Database - Tornado Segments'!$AB$8:$AB$2001, "F32")+COUNTIF('Database - Tornado Segments'!$AB$8:$AB$2001, "EF32"))</f>
        <v>14</v>
      </c>
      <c r="G15" s="2">
        <f>(COUNTIF('Database - Tornado Segments'!$AB$8:$AB$2001, "F42")+COUNTIF('Database - Tornado Segments'!$AB$8:$AB$2001, "EF42"))</f>
        <v>2</v>
      </c>
      <c r="H15" s="2">
        <f>(COUNTIF('Database - Tornado Segments'!$AB$8:$AB$2001, "F52")+COUNTIF('Database - Tornado Segments'!$AB$8:$AB$2001, "EF52"))</f>
        <v>0</v>
      </c>
      <c r="I15" s="56">
        <f t="shared" si="1"/>
        <v>230</v>
      </c>
      <c r="K15" s="521"/>
    </row>
    <row r="16" spans="2:12" ht="15.75">
      <c r="B16" s="40" t="s">
        <v>496</v>
      </c>
      <c r="C16" s="2">
        <f>(COUNTIF('Database - Tornado Segments'!$AB$8:$AB$2001, "F05")+COUNTIF('Database - Tornado Segments'!$AB$8:$AB$2001, "EF05"))</f>
        <v>23</v>
      </c>
      <c r="D16" s="2">
        <f>(COUNTIF('Database - Tornado Segments'!$AB$8:$AB$2001, "F15")+COUNTIF('Database - Tornado Segments'!$AB$8:$AB$2001, "EF15"))</f>
        <v>25</v>
      </c>
      <c r="E16" s="2">
        <f>(COUNTIF('Database - Tornado Segments'!$AB$8:$AB$2001, "F25")+COUNTIF('Database - Tornado Segments'!$AB$8:$AB$2001, "EF25"))</f>
        <v>30</v>
      </c>
      <c r="F16" s="2">
        <f>(COUNTIF('Database - Tornado Segments'!$AB$8:$AB$2001, "F35")+COUNTIF('Database - Tornado Segments'!$AB$8:$AB$2001, "EF35"))</f>
        <v>11</v>
      </c>
      <c r="G16" s="2">
        <f>(COUNTIF('Database - Tornado Segments'!$AB$8:$AB$2001, "F45")+COUNTIF('Database - Tornado Segments'!$AB$8:$AB$2001, "EF45"))</f>
        <v>9</v>
      </c>
      <c r="H16" s="2">
        <f>(COUNTIF('Database - Tornado Segments'!$AB$8:$AB$2001, "F55")+COUNTIF('Database - Tornado Segments'!$AB$8:$AB$2001, "EF55"))</f>
        <v>0</v>
      </c>
      <c r="I16" s="56">
        <f t="shared" si="1"/>
        <v>98</v>
      </c>
      <c r="K16" s="521"/>
    </row>
    <row r="17" spans="2:11" ht="15.75">
      <c r="B17" s="40" t="s">
        <v>497</v>
      </c>
      <c r="C17" s="2">
        <f>(COUNTIF('Database - Tornado Segments'!$AB$8:$AB$2001, "F010")+COUNTIF('Database - Tornado Segments'!$AB$8:$AB$2001, "EF010"))</f>
        <v>7</v>
      </c>
      <c r="D17" s="2">
        <f>(COUNTIF('Database - Tornado Segments'!$AB$8:$AB$2001, "F110")+COUNTIF('Database - Tornado Segments'!$AB$8:$AB$2001, "EF110"))</f>
        <v>23</v>
      </c>
      <c r="E17" s="2">
        <f>(COUNTIF('Database - Tornado Segments'!$AB$8:$AB$2001, "F210")+COUNTIF('Database - Tornado Segments'!$AB$8:$AB$2001, "EF210"))</f>
        <v>17</v>
      </c>
      <c r="F17" s="2">
        <f>(COUNTIF('Database - Tornado Segments'!$AB$8:$AB$2001, "F310")+COUNTIF('Database - Tornado Segments'!$AB$8:$AB$2001, "EF310"))</f>
        <v>11</v>
      </c>
      <c r="G17" s="2">
        <f>(COUNTIF('Database - Tornado Segments'!$AB$8:$AB$2001, "F410")+COUNTIF('Database - Tornado Segments'!$AB$8:$AB$2001, "EF410"))</f>
        <v>7</v>
      </c>
      <c r="H17" s="2">
        <f>(COUNTIF('Database - Tornado Segments'!$AB$8:$AB$2001, "F510")+COUNTIF('Database - Tornado Segments'!$AB$8:$AB$2001, "EF510"))</f>
        <v>0</v>
      </c>
      <c r="I17" s="56">
        <f t="shared" si="1"/>
        <v>65</v>
      </c>
      <c r="K17" s="521"/>
    </row>
    <row r="18" spans="2:11" ht="15.75">
      <c r="B18" s="40" t="s">
        <v>498</v>
      </c>
      <c r="C18" s="2">
        <f>(COUNTIF('Database - Tornado Segments'!$AB$8:$AB$2001, "F020")+COUNTIF('Database - Tornado Segments'!$AB$8:$AB$2001, "EF020"))</f>
        <v>2</v>
      </c>
      <c r="D18" s="2">
        <f>(COUNTIF('Database - Tornado Segments'!$AB$8:$AB$2001, "F120")+COUNTIF('Database - Tornado Segments'!$AB$8:$AB$2001, "EF120"))</f>
        <v>5</v>
      </c>
      <c r="E18" s="2">
        <f>(COUNTIF('Database - Tornado Segments'!$AB$8:$AB$2001, "F220")+COUNTIF('Database - Tornado Segments'!$AB$8:$AB$2001, "EF220"))</f>
        <v>1</v>
      </c>
      <c r="F18" s="2">
        <f>(COUNTIF('Database - Tornado Segments'!$AB$8:$AB$2001, "F320")+COUNTIF('Database - Tornado Segments'!$AB$8:$AB$2001, "EF320"))</f>
        <v>3</v>
      </c>
      <c r="G18" s="2">
        <f>(COUNTIF('Database - Tornado Segments'!$AB$8:$AB$2001, "F420")+COUNTIF('Database - Tornado Segments'!$AB$8:$AB$2001, "EF420"))</f>
        <v>5</v>
      </c>
      <c r="H18" s="2">
        <f>(COUNTIF('Database - Tornado Segments'!$AB$8:$AB$2001, "F520")+COUNTIF('Database - Tornado Segments'!$AB$8:$AB$2001, "EF520"))</f>
        <v>0</v>
      </c>
      <c r="I18" s="56">
        <f t="shared" si="1"/>
        <v>16</v>
      </c>
      <c r="K18" s="521"/>
    </row>
    <row r="19" spans="2:11" ht="15.75">
      <c r="B19" s="40" t="s">
        <v>499</v>
      </c>
      <c r="C19" s="2">
        <f>(COUNTIF('Database - Tornado Segments'!$AB$8:$AB$2001, "F050")+COUNTIF('Database - Tornado Segments'!$AB$8:$AB$2001, "EF050"))</f>
        <v>0</v>
      </c>
      <c r="D19" s="2">
        <f>(COUNTIF('Database - Tornado Segments'!$AB$8:$AB$2001, "F150")+COUNTIF('Database - Tornado Segments'!$AB$8:$AB$2001, "EF150"))</f>
        <v>0</v>
      </c>
      <c r="E19" s="2">
        <f>(COUNTIF('Database - Tornado Segments'!$AB$8:$AB$2001, "F250")+COUNTIF('Database - Tornado Segments'!$AB$8:$AB$2001, "EF250"))</f>
        <v>1</v>
      </c>
      <c r="F19" s="2">
        <f>(COUNTIF('Database - Tornado Segments'!$AB$8:$AB$2001, "F350")+COUNTIF('Database - Tornado Segments'!$AB$8:$AB$2001, "EF350"))</f>
        <v>0</v>
      </c>
      <c r="G19" s="2">
        <f>(COUNTIF('Database - Tornado Segments'!$AB$8:$AB$2001, "F450")+COUNTIF('Database - Tornado Segments'!$AB$8:$AB$2001, "EF450"))</f>
        <v>0</v>
      </c>
      <c r="H19" s="2">
        <f>(COUNTIF('Database - Tornado Segments'!$AB$8:$AB$2001, "F550")+COUNTIF('Database - Tornado Segments'!$AB$8:$AB$2001, "EF550"))</f>
        <v>0</v>
      </c>
      <c r="I19" s="56">
        <f t="shared" si="1"/>
        <v>1</v>
      </c>
      <c r="K19" s="521"/>
    </row>
    <row r="20" spans="2:11">
      <c r="B20" s="40"/>
      <c r="C20" s="1"/>
      <c r="D20" s="1"/>
      <c r="E20" s="1"/>
      <c r="F20" s="1"/>
      <c r="G20" s="1"/>
      <c r="H20" s="1"/>
      <c r="I20" s="39"/>
      <c r="K20" s="521"/>
    </row>
    <row r="21" spans="2:11" ht="16.5" thickBot="1">
      <c r="B21" s="349" t="s">
        <v>1494</v>
      </c>
      <c r="C21" s="956">
        <f t="shared" ref="C21:H21" si="2">SUM(C7:C19)</f>
        <v>807</v>
      </c>
      <c r="D21" s="956">
        <f t="shared" si="2"/>
        <v>262</v>
      </c>
      <c r="E21" s="956">
        <f t="shared" si="2"/>
        <v>137</v>
      </c>
      <c r="F21" s="956">
        <f t="shared" si="2"/>
        <v>43</v>
      </c>
      <c r="G21" s="956">
        <f t="shared" si="2"/>
        <v>23</v>
      </c>
      <c r="H21" s="956">
        <f t="shared" si="2"/>
        <v>0</v>
      </c>
      <c r="I21" s="58">
        <f>SUM(I7:I19)</f>
        <v>1272</v>
      </c>
      <c r="K21" s="521"/>
    </row>
    <row r="22" spans="2:11" ht="15.75" thickTop="1">
      <c r="B22" s="1"/>
      <c r="C22" s="1"/>
      <c r="D22" s="1"/>
      <c r="E22" s="1"/>
      <c r="F22" s="1"/>
      <c r="G22" s="1"/>
      <c r="H22" s="1"/>
      <c r="I22" s="2"/>
    </row>
    <row r="23" spans="2:11">
      <c r="B23" s="1"/>
      <c r="C23" s="1"/>
      <c r="D23" s="1"/>
      <c r="E23" s="1"/>
      <c r="F23" s="1"/>
      <c r="G23" s="1"/>
      <c r="H23" s="1"/>
      <c r="I23" s="2"/>
    </row>
    <row r="24" spans="2:11" ht="15.75" thickBot="1">
      <c r="B24" s="1"/>
      <c r="C24" s="1"/>
      <c r="D24" s="1"/>
      <c r="E24" s="1"/>
      <c r="F24" s="1"/>
      <c r="G24" s="1"/>
      <c r="H24" s="1"/>
      <c r="I24" s="2"/>
    </row>
    <row r="25" spans="2:11" ht="24" thickTop="1">
      <c r="B25" s="1118" t="s">
        <v>501</v>
      </c>
      <c r="C25" s="1122"/>
      <c r="D25" s="1122"/>
      <c r="E25" s="1122"/>
      <c r="F25" s="1122"/>
      <c r="G25" s="1122"/>
      <c r="H25" s="1122"/>
      <c r="I25" s="1123"/>
    </row>
    <row r="26" spans="2:11" ht="15.75">
      <c r="B26" s="62"/>
      <c r="C26" s="1121" t="s">
        <v>479</v>
      </c>
      <c r="D26" s="1121"/>
      <c r="E26" s="1121"/>
      <c r="F26" s="1121"/>
      <c r="G26" s="1121"/>
      <c r="H26" s="1121"/>
      <c r="I26" s="63"/>
    </row>
    <row r="27" spans="2:11" ht="16.5" thickBot="1">
      <c r="B27" s="64" t="s">
        <v>480</v>
      </c>
      <c r="C27" s="65" t="s">
        <v>481</v>
      </c>
      <c r="D27" s="65" t="s">
        <v>167</v>
      </c>
      <c r="E27" s="65" t="s">
        <v>168</v>
      </c>
      <c r="F27" s="65" t="s">
        <v>169</v>
      </c>
      <c r="G27" s="65" t="s">
        <v>170</v>
      </c>
      <c r="H27" s="65" t="s">
        <v>171</v>
      </c>
      <c r="I27" s="66" t="s">
        <v>482</v>
      </c>
    </row>
    <row r="28" spans="2:11">
      <c r="B28" s="55"/>
      <c r="C28" s="1"/>
      <c r="D28" s="1"/>
      <c r="E28" s="1"/>
      <c r="F28" s="1"/>
      <c r="G28" s="1"/>
      <c r="H28" s="1"/>
      <c r="I28" s="39"/>
    </row>
    <row r="29" spans="2:11" ht="15.75">
      <c r="B29" s="67" t="s">
        <v>511</v>
      </c>
      <c r="C29" s="2">
        <f>(COUNTIF('Database - Tornado Segments'!$AB$8:$AB$2001, "F00")+COUNTIF('Database - Tornado Segments'!$AB$8:$AB$2001, "EF00"))+C30</f>
        <v>807</v>
      </c>
      <c r="D29" s="2">
        <f>(COUNTIF('Database - Tornado Segments'!$AB$8:$AB$2001, "F10")+COUNTIF('Database - Tornado Segments'!$AB$8:$AB$2001, "EF10"))+D30</f>
        <v>262</v>
      </c>
      <c r="E29" s="2">
        <f>(COUNTIF('Database - Tornado Segments'!$AB$8:$AB$2001, "F20")+COUNTIF('Database - Tornado Segments'!$AB$8:$AB$2001, "EF20"))+E30</f>
        <v>137</v>
      </c>
      <c r="F29" s="2">
        <f>(COUNTIF('Database - Tornado Segments'!$AB$8:$AB$2001, "F30")+COUNTIF('Database - Tornado Segments'!$AB$8:$AB$2001, "EF30"))+F30</f>
        <v>43</v>
      </c>
      <c r="G29" s="2">
        <f>(COUNTIF('Database - Tornado Segments'!$AB$8:$AB$2001, "F40")+COUNTIF('Database - Tornado Segments'!$AB$8:$AB$2001, "EF40"))+G30</f>
        <v>23</v>
      </c>
      <c r="H29" s="2">
        <f>(COUNTIF('Database - Tornado Segments'!$AB$8:$AB$2001, "F50")+COUNTIF('Database - Tornado Segments'!$AB$8:$AB$2001, "EF50"))+H30</f>
        <v>0</v>
      </c>
      <c r="I29" s="56">
        <f>SUM(C29:H29)</f>
        <v>1272</v>
      </c>
    </row>
    <row r="30" spans="2:11" ht="15.75">
      <c r="B30" s="780" t="s">
        <v>1275</v>
      </c>
      <c r="C30" s="2">
        <f>(COUNTIF('Database - Tornado Segments'!$AB$8:$AB$2001, "F00.01")+COUNTIF('Database - Tornado Segments'!$AB$8:$AB$2001, "EF00.01"))+C31</f>
        <v>807</v>
      </c>
      <c r="D30" s="2">
        <f>(COUNTIF('Database - Tornado Segments'!$AB$8:$AB$2001, "F10.01")+COUNTIF('Database - Tornado Segments'!$AB$8:$AB$2001, "EF10.01"))+D31</f>
        <v>262</v>
      </c>
      <c r="E30" s="2">
        <f>(COUNTIF('Database - Tornado Segments'!$AB$8:$AB$2001, "F20.01")+COUNTIF('Database - Tornado Segments'!$AB$8:$AB$2001, "EF20.01"))+E31</f>
        <v>137</v>
      </c>
      <c r="F30" s="2">
        <f>(COUNTIF('Database - Tornado Segments'!$AB$8:$AB$2001, "F30.01")+COUNTIF('Database - Tornado Segments'!$AB$8:$AB$2001, "EF30.01"))+F31</f>
        <v>43</v>
      </c>
      <c r="G30" s="2">
        <f>(COUNTIF('Database - Tornado Segments'!$AB$8:$AB$2001, "F40.01")+COUNTIF('Database - Tornado Segments'!$AB$8:$AB$2001, "EF40.01"))+G31</f>
        <v>23</v>
      </c>
      <c r="H30" s="2">
        <f>(COUNTIF('Database - Tornado Segments'!$AB$8:$AB$2001, "F50.01")+COUNTIF('Database - Tornado Segments'!$AB$8:$AB$2001, "EF50.01"))+H31</f>
        <v>0</v>
      </c>
      <c r="I30" s="56">
        <f t="shared" ref="I30:I32" si="3">SUM(C30:H30)</f>
        <v>1272</v>
      </c>
    </row>
    <row r="31" spans="2:11" ht="15.75">
      <c r="B31" s="780" t="s">
        <v>1276</v>
      </c>
      <c r="C31" s="2">
        <f>(COUNTIF('Database - Tornado Segments'!$AB$8:$AB$2001, "F00.02")+COUNTIF('Database - Tornado Segments'!$AB$8:$AB$2001, "EF00.02"))+C32</f>
        <v>804</v>
      </c>
      <c r="D31" s="2">
        <f>(COUNTIF('Database - Tornado Segments'!$AB$8:$AB$2001, "F10.02")+COUNTIF('Database - Tornado Segments'!$AB$8:$AB$2001, "EF10.02"))+D32</f>
        <v>262</v>
      </c>
      <c r="E31" s="2">
        <f>(COUNTIF('Database - Tornado Segments'!$AB$8:$AB$2001, "F20.02")+COUNTIF('Database - Tornado Segments'!$AB$8:$AB$2001, "EF20.02"))+E32</f>
        <v>137</v>
      </c>
      <c r="F31" s="2">
        <f>(COUNTIF('Database - Tornado Segments'!$AB$8:$AB$2001, "F30.02")+COUNTIF('Database - Tornado Segments'!$AB$8:$AB$2001, "EF30.02"))+F32</f>
        <v>43</v>
      </c>
      <c r="G31" s="2">
        <f>(COUNTIF('Database - Tornado Segments'!$AB$8:$AB$2001, "F40.02")+COUNTIF('Database - Tornado Segments'!$AB$8:$AB$2001, "EF40.02"))+G32</f>
        <v>23</v>
      </c>
      <c r="H31" s="2">
        <f>(COUNTIF('Database - Tornado Segments'!$AB$8:$AB$2001, "F50.02")+COUNTIF('Database - Tornado Segments'!$AB$8:$AB$2001, "EF50.02"))+H32</f>
        <v>0</v>
      </c>
      <c r="I31" s="56">
        <f t="shared" si="3"/>
        <v>1269</v>
      </c>
    </row>
    <row r="32" spans="2:11" ht="15.75">
      <c r="B32" s="780" t="s">
        <v>1277</v>
      </c>
      <c r="C32" s="2">
        <f>(COUNTIF('Database - Tornado Segments'!$AB$8:$AB$2001, "F00.05")+COUNTIF('Database - Tornado Segments'!$AB$8:$AB$2001, "EF00.05"))+C33</f>
        <v>799</v>
      </c>
      <c r="D32" s="2">
        <f>(COUNTIF('Database - Tornado Segments'!$AB$8:$AB$2001, "F10.05")+COUNTIF('Database - Tornado Segments'!$AB$8:$AB$2001, "EF10.05"))+D33</f>
        <v>262</v>
      </c>
      <c r="E32" s="2">
        <f>(COUNTIF('Database - Tornado Segments'!$AB$8:$AB$2001, "F20.05")+COUNTIF('Database - Tornado Segments'!$AB$8:$AB$2001, "EF20.05"))+E33</f>
        <v>137</v>
      </c>
      <c r="F32" s="2">
        <f>(COUNTIF('Database - Tornado Segments'!$AB$8:$AB$2001, "F30.05")+COUNTIF('Database - Tornado Segments'!$AB$8:$AB$2001, "EF30.05"))+F33</f>
        <v>43</v>
      </c>
      <c r="G32" s="2">
        <f>(COUNTIF('Database - Tornado Segments'!$AB$8:$AB$2001, "F40.05")+COUNTIF('Database - Tornado Segments'!$AB$8:$AB$2001, "EF40.05"))+G33</f>
        <v>23</v>
      </c>
      <c r="H32" s="2">
        <f>(COUNTIF('Database - Tornado Segments'!$AB$8:$AB$2001, "F50.05")+COUNTIF('Database - Tornado Segments'!$AB$8:$AB$2001, "EF50.05"))+H33</f>
        <v>0</v>
      </c>
      <c r="I32" s="56">
        <f t="shared" si="3"/>
        <v>1264</v>
      </c>
    </row>
    <row r="33" spans="2:9" ht="15.75">
      <c r="B33" s="67" t="s">
        <v>510</v>
      </c>
      <c r="C33" s="2">
        <f>(COUNTIF('Database - Tornado Segments'!$AB$8:$AB$2001, "F00.1")+COUNTIF('Database - Tornado Segments'!$AB$8:$AB$2001, "EF00.1"))+C34</f>
        <v>789</v>
      </c>
      <c r="D33" s="2">
        <f>(COUNTIF('Database - Tornado Segments'!$AB$8:$AB$2001, "F10.1")+COUNTIF('Database - Tornado Segments'!$AB$8:$AB$2001, "EF10.1"))+D34</f>
        <v>261</v>
      </c>
      <c r="E33" s="2">
        <f>(COUNTIF('Database - Tornado Segments'!$AB$8:$AB$2001, "F20.1")+COUNTIF('Database - Tornado Segments'!$AB$8:$AB$2001, "EF20.1"))+E34</f>
        <v>137</v>
      </c>
      <c r="F33" s="2">
        <f>(COUNTIF('Database - Tornado Segments'!$AB$8:$AB$2001, "F30.1")+COUNTIF('Database - Tornado Segments'!$AB$8:$AB$2001, "EF30.1"))+F34</f>
        <v>43</v>
      </c>
      <c r="G33" s="2">
        <f>(COUNTIF('Database - Tornado Segments'!$AB$8:$AB$2001, "F40.1")+COUNTIF('Database - Tornado Segments'!$AB$8:$AB$2001, "EF40.1"))+G34</f>
        <v>23</v>
      </c>
      <c r="H33" s="2">
        <f>(COUNTIF('Database - Tornado Segments'!$AB$8:$AB$2001, "F50.1")+COUNTIF('Database - Tornado Segments'!$AB$8:$AB$2001, "EF50.1"))+H34</f>
        <v>0</v>
      </c>
      <c r="I33" s="56">
        <f t="shared" ref="I33:I41" si="4">SUM(C33:H33)</f>
        <v>1253</v>
      </c>
    </row>
    <row r="34" spans="2:9" ht="15.75">
      <c r="B34" s="67" t="s">
        <v>509</v>
      </c>
      <c r="C34" s="2">
        <f>(COUNTIF('Database - Tornado Segments'!$AB$8:$AB$2001, "F00.2")+COUNTIF('Database - Tornado Segments'!$AB$8:$AB$2001, "EF00.2"))+C35</f>
        <v>544</v>
      </c>
      <c r="D34" s="2">
        <f>(COUNTIF('Database - Tornado Segments'!$AB$8:$AB$2001, "F10.2")+COUNTIF('Database - Tornado Segments'!$AB$8:$AB$2001, "EF10.2"))+D35</f>
        <v>219</v>
      </c>
      <c r="E34" s="2">
        <f>(COUNTIF('Database - Tornado Segments'!$AB$8:$AB$2001, "F20.2")+COUNTIF('Database - Tornado Segments'!$AB$8:$AB$2001, "EF20.2"))+E35</f>
        <v>108</v>
      </c>
      <c r="F34" s="2">
        <f>(COUNTIF('Database - Tornado Segments'!$AB$8:$AB$2001, "F30.2")+COUNTIF('Database - Tornado Segments'!$AB$8:$AB$2001, "EF30.2"))+F35</f>
        <v>42</v>
      </c>
      <c r="G34" s="2">
        <f>(COUNTIF('Database - Tornado Segments'!$AB$8:$AB$2001, "F40.2")+COUNTIF('Database - Tornado Segments'!$AB$8:$AB$2001, "EF40.2"))+G35</f>
        <v>23</v>
      </c>
      <c r="H34" s="2">
        <f>(COUNTIF('Database - Tornado Segments'!$AB$8:$AB$2001, "F50.2")+COUNTIF('Database - Tornado Segments'!$AB$8:$AB$2001, "EF50.2"))+H35</f>
        <v>0</v>
      </c>
      <c r="I34" s="56">
        <f t="shared" si="4"/>
        <v>936</v>
      </c>
    </row>
    <row r="35" spans="2:9" ht="15.75">
      <c r="B35" s="67" t="s">
        <v>508</v>
      </c>
      <c r="C35" s="2">
        <f>(COUNTIF('Database - Tornado Segments'!$AB$8:$AB$2001, "F00.5")+COUNTIF('Database - Tornado Segments'!$AB$8:$AB$2001, "EF00.5"))+C36</f>
        <v>416</v>
      </c>
      <c r="D35" s="2">
        <f>(COUNTIF('Database - Tornado Segments'!$AB$8:$AB$2001, "F10.5")+COUNTIF('Database - Tornado Segments'!$AB$8:$AB$2001, "EF10.5"))+D36</f>
        <v>198</v>
      </c>
      <c r="E35" s="2">
        <f>(COUNTIF('Database - Tornado Segments'!$AB$8:$AB$2001, "F20.5")+COUNTIF('Database - Tornado Segments'!$AB$8:$AB$2001, "EF20.5"))+E36</f>
        <v>103</v>
      </c>
      <c r="F35" s="2">
        <f>(COUNTIF('Database - Tornado Segments'!$AB$8:$AB$2001, "F30.5")+COUNTIF('Database - Tornado Segments'!$AB$8:$AB$2001, "EF30.5"))+F36</f>
        <v>42</v>
      </c>
      <c r="G35" s="2">
        <f>(COUNTIF('Database - Tornado Segments'!$AB$8:$AB$2001, "F40.5")+COUNTIF('Database - Tornado Segments'!$AB$8:$AB$2001, "EF40.5"))+G36</f>
        <v>23</v>
      </c>
      <c r="H35" s="2">
        <f>(COUNTIF('Database - Tornado Segments'!$AB$8:$AB$2001, "F50.5")+COUNTIF('Database - Tornado Segments'!$AB$8:$AB$2001, "EF50.5"))+H36</f>
        <v>0</v>
      </c>
      <c r="I35" s="56">
        <f t="shared" si="4"/>
        <v>782</v>
      </c>
    </row>
    <row r="36" spans="2:9" ht="15.75">
      <c r="B36" s="67" t="s">
        <v>512</v>
      </c>
      <c r="C36" s="2">
        <f>(COUNTIF('Database - Tornado Segments'!$AB$8:$AB$2001, "F01")+COUNTIF('Database - Tornado Segments'!$AB$8:$AB$2001, "EF01"))+C37</f>
        <v>277</v>
      </c>
      <c r="D36" s="2">
        <f>(COUNTIF('Database - Tornado Segments'!$AB$8:$AB$2001, "F11")+COUNTIF('Database - Tornado Segments'!$AB$8:$AB$2001, "EF11"))+D37</f>
        <v>173</v>
      </c>
      <c r="E36" s="2">
        <f>(COUNTIF('Database - Tornado Segments'!$AB$8:$AB$2001, "F21")+COUNTIF('Database - Tornado Segments'!$AB$8:$AB$2001, "EF21"))+E37</f>
        <v>95</v>
      </c>
      <c r="F36" s="2">
        <f>(COUNTIF('Database - Tornado Segments'!$AB$8:$AB$2001, "F31")+COUNTIF('Database - Tornado Segments'!$AB$8:$AB$2001, "EF31"))+F37</f>
        <v>41</v>
      </c>
      <c r="G36" s="2">
        <f>(COUNTIF('Database - Tornado Segments'!$AB$8:$AB$2001, "F41")+COUNTIF('Database - Tornado Segments'!$AB$8:$AB$2001, "EF41"))+G37</f>
        <v>23</v>
      </c>
      <c r="H36" s="2">
        <f>(COUNTIF('Database - Tornado Segments'!$AB$8:$AB$2001, "F51")+COUNTIF('Database - Tornado Segments'!$AB$8:$AB$2001, "EF51"))+H37</f>
        <v>0</v>
      </c>
      <c r="I36" s="56">
        <f t="shared" si="4"/>
        <v>609</v>
      </c>
    </row>
    <row r="37" spans="2:9" ht="15.75">
      <c r="B37" s="67" t="s">
        <v>513</v>
      </c>
      <c r="C37" s="2">
        <f>(COUNTIF('Database - Tornado Segments'!$AB$8:$AB$2001, "F02")+COUNTIF('Database - Tornado Segments'!$AB$8:$AB$2001, "EF02"))+C38</f>
        <v>139</v>
      </c>
      <c r="D37" s="2">
        <f>(COUNTIF('Database - Tornado Segments'!$AB$8:$AB$2001, "F12")+COUNTIF('Database - Tornado Segments'!$AB$8:$AB$2001, "EF12"))+D38</f>
        <v>128</v>
      </c>
      <c r="E37" s="2">
        <f>(COUNTIF('Database - Tornado Segments'!$AB$8:$AB$2001, "F22")+COUNTIF('Database - Tornado Segments'!$AB$8:$AB$2001, "EF22"))+E38</f>
        <v>81</v>
      </c>
      <c r="F37" s="2">
        <f>(COUNTIF('Database - Tornado Segments'!$AB$8:$AB$2001, "F32")+COUNTIF('Database - Tornado Segments'!$AB$8:$AB$2001, "EF32"))+F38</f>
        <v>39</v>
      </c>
      <c r="G37" s="2">
        <f>(COUNTIF('Database - Tornado Segments'!$AB$8:$AB$2001, "F42")+COUNTIF('Database - Tornado Segments'!$AB$8:$AB$2001, "EF42"))+G38</f>
        <v>23</v>
      </c>
      <c r="H37" s="2">
        <f>(COUNTIF('Database - Tornado Segments'!$AB$8:$AB$2001, "F52")+COUNTIF('Database - Tornado Segments'!$AB$8:$AB$2001, "EF52"))+H38</f>
        <v>0</v>
      </c>
      <c r="I37" s="56">
        <f t="shared" si="4"/>
        <v>410</v>
      </c>
    </row>
    <row r="38" spans="2:9" ht="15.75">
      <c r="B38" s="67" t="s">
        <v>514</v>
      </c>
      <c r="C38" s="2">
        <f>(COUNTIF('Database - Tornado Segments'!$AB$8:$AB$2001, "F05")+COUNTIF('Database - Tornado Segments'!$AB$8:$AB$2001, "EF05"))+C39</f>
        <v>32</v>
      </c>
      <c r="D38" s="2">
        <f>(COUNTIF('Database - Tornado Segments'!$AB$8:$AB$2001, "F15")+COUNTIF('Database - Tornado Segments'!$AB$8:$AB$2001, "EF15"))+D39</f>
        <v>53</v>
      </c>
      <c r="E38" s="2">
        <f>(COUNTIF('Database - Tornado Segments'!$AB$8:$AB$2001, "F25")+COUNTIF('Database - Tornado Segments'!$AB$8:$AB$2001, "EF25"))+E39</f>
        <v>49</v>
      </c>
      <c r="F38" s="2">
        <f>(COUNTIF('Database - Tornado Segments'!$AB$8:$AB$2001, "F35")+COUNTIF('Database - Tornado Segments'!$AB$8:$AB$2001, "EF35"))+F39</f>
        <v>25</v>
      </c>
      <c r="G38" s="2">
        <f>(COUNTIF('Database - Tornado Segments'!$AB$8:$AB$2001, "F45")+COUNTIF('Database - Tornado Segments'!$AB$8:$AB$2001, "EF45"))+G39</f>
        <v>21</v>
      </c>
      <c r="H38" s="2">
        <f>(COUNTIF('Database - Tornado Segments'!$AB$8:$AB$2001, "F55")+COUNTIF('Database - Tornado Segments'!$AB$8:$AB$2001, "EF55"))+H39</f>
        <v>0</v>
      </c>
      <c r="I38" s="56">
        <f t="shared" si="4"/>
        <v>180</v>
      </c>
    </row>
    <row r="39" spans="2:9" ht="15.75">
      <c r="B39" s="67" t="s">
        <v>515</v>
      </c>
      <c r="C39" s="2">
        <f>(COUNTIF('Database - Tornado Segments'!$AB$8:$AB$2001, "F010")+COUNTIF('Database - Tornado Segments'!$AB$8:$AB$2001, "EF010"))+C40</f>
        <v>9</v>
      </c>
      <c r="D39" s="2">
        <f>(COUNTIF('Database - Tornado Segments'!$AB$8:$AB$2001, "F110")+COUNTIF('Database - Tornado Segments'!$AB$8:$AB$2001, "EF110"))+D40</f>
        <v>28</v>
      </c>
      <c r="E39" s="2">
        <f>(COUNTIF('Database - Tornado Segments'!$AB$8:$AB$2001, "F210")+COUNTIF('Database - Tornado Segments'!$AB$8:$AB$2001, "EF210"))+E40</f>
        <v>19</v>
      </c>
      <c r="F39" s="2">
        <f>(COUNTIF('Database - Tornado Segments'!$AB$8:$AB$2001, "F310")+COUNTIF('Database - Tornado Segments'!$AB$8:$AB$2001, "EF310"))+F40</f>
        <v>14</v>
      </c>
      <c r="G39" s="2">
        <f>(COUNTIF('Database - Tornado Segments'!$AB$8:$AB$2001, "F410")+COUNTIF('Database - Tornado Segments'!$AB$8:$AB$2001, "EF410"))+G40</f>
        <v>12</v>
      </c>
      <c r="H39" s="2">
        <f>(COUNTIF('Database - Tornado Segments'!$AB$8:$AB$2001, "F510")+COUNTIF('Database - Tornado Segments'!$AB$8:$AB$2001, "EF510"))+H40</f>
        <v>0</v>
      </c>
      <c r="I39" s="56">
        <f t="shared" si="4"/>
        <v>82</v>
      </c>
    </row>
    <row r="40" spans="2:9" ht="15.75">
      <c r="B40" s="67" t="s">
        <v>516</v>
      </c>
      <c r="C40" s="2">
        <f>(COUNTIF('Database - Tornado Segments'!$AB$8:$AB$2001, "F020")+COUNTIF('Database - Tornado Segments'!$AB$8:$AB$2001, "EF020"))+C41</f>
        <v>2</v>
      </c>
      <c r="D40" s="2">
        <f>(COUNTIF('Database - Tornado Segments'!$AB$8:$AB$2001, "F120")+COUNTIF('Database - Tornado Segments'!$AB$8:$AB$2001, "EF120"))+D41</f>
        <v>5</v>
      </c>
      <c r="E40" s="2">
        <f>(COUNTIF('Database - Tornado Segments'!$AB$8:$AB$2001, "F220")+COUNTIF('Database - Tornado Segments'!$AB$8:$AB$2001, "EF220"))+E41</f>
        <v>2</v>
      </c>
      <c r="F40" s="2">
        <f>(COUNTIF('Database - Tornado Segments'!$AB$8:$AB$2001, "F320")+COUNTIF('Database - Tornado Segments'!$AB$8:$AB$2001, "EF320"))+F41</f>
        <v>3</v>
      </c>
      <c r="G40" s="2">
        <f>(COUNTIF('Database - Tornado Segments'!$AB$8:$AB$2001, "F420")+COUNTIF('Database - Tornado Segments'!$AB$8:$AB$2001, "EF420"))+G41</f>
        <v>5</v>
      </c>
      <c r="H40" s="2">
        <f>(COUNTIF('Database - Tornado Segments'!$AB$8:$AB$2001, "F520")+COUNTIF('Database - Tornado Segments'!$AB$8:$AB$2001, "EF520"))+H41</f>
        <v>0</v>
      </c>
      <c r="I40" s="56">
        <f t="shared" si="4"/>
        <v>17</v>
      </c>
    </row>
    <row r="41" spans="2:9" ht="15.75">
      <c r="B41" s="67" t="s">
        <v>517</v>
      </c>
      <c r="C41" s="2">
        <f>(COUNTIF('Database - Tornado Segments'!$AB$8:$AB$2001, "F050")+COUNTIF('Database - Tornado Segments'!$AB$8:$AB$2001, "EF050"))</f>
        <v>0</v>
      </c>
      <c r="D41" s="2">
        <f>(COUNTIF('Database - Tornado Segments'!$AB$8:$AB$2001, "F150")+COUNTIF('Database - Tornado Segments'!$AB$8:$AB$2001, "EF150"))</f>
        <v>0</v>
      </c>
      <c r="E41" s="2">
        <f>(COUNTIF('Database - Tornado Segments'!$AB$8:$AB$2001, "F250")+COUNTIF('Database - Tornado Segments'!$AB$8:$AB$2001, "EF250"))</f>
        <v>1</v>
      </c>
      <c r="F41" s="2">
        <f>(COUNTIF('Database - Tornado Segments'!$AB$8:$AB$2001, "F350")+COUNTIF('Database - Tornado Segments'!$AB$8:$AB$2001, "EF350"))</f>
        <v>0</v>
      </c>
      <c r="G41" s="2">
        <f>(COUNTIF('Database - Tornado Segments'!$AB$8:$AB$2001, "F450")+COUNTIF('Database - Tornado Segments'!$AB$8:$AB$2001, "EF450"))</f>
        <v>0</v>
      </c>
      <c r="H41" s="2">
        <f>(COUNTIF('Database - Tornado Segments'!$AB$8:$AB$2001, "F550")+COUNTIF('Database - Tornado Segments'!$AB$8:$AB$2001, "EF550"))</f>
        <v>0</v>
      </c>
      <c r="I41" s="56">
        <f t="shared" si="4"/>
        <v>1</v>
      </c>
    </row>
    <row r="42" spans="2:9" ht="16.5" thickBot="1">
      <c r="B42" s="68"/>
      <c r="C42" s="42"/>
      <c r="D42" s="42"/>
      <c r="E42" s="42"/>
      <c r="F42" s="42"/>
      <c r="G42" s="42"/>
      <c r="H42" s="57"/>
      <c r="I42" s="58"/>
    </row>
    <row r="43" spans="2:9" ht="15.75" thickTop="1">
      <c r="B43" s="1"/>
      <c r="C43" s="1"/>
      <c r="D43" s="1"/>
      <c r="E43" s="1"/>
      <c r="F43" s="1"/>
      <c r="G43" s="1"/>
      <c r="H43" s="1"/>
      <c r="I43" s="2"/>
    </row>
    <row r="44" spans="2:9">
      <c r="B44" s="1"/>
      <c r="C44" s="1"/>
      <c r="D44" s="1"/>
      <c r="E44" s="1"/>
      <c r="F44" s="1"/>
      <c r="G44" s="1"/>
      <c r="H44" s="1"/>
      <c r="I44" s="2"/>
    </row>
    <row r="45" spans="2:9" ht="15.75" thickBot="1">
      <c r="B45" s="1"/>
      <c r="C45" s="1"/>
      <c r="D45" s="1"/>
      <c r="E45" s="1"/>
      <c r="F45" s="1"/>
      <c r="G45" s="1"/>
      <c r="H45" s="1"/>
      <c r="I45" s="2"/>
    </row>
    <row r="46" spans="2:9" ht="24" thickTop="1">
      <c r="B46" s="1118" t="s">
        <v>504</v>
      </c>
      <c r="C46" s="1122"/>
      <c r="D46" s="1122"/>
      <c r="E46" s="1122"/>
      <c r="F46" s="1122"/>
      <c r="G46" s="1122"/>
      <c r="H46" s="1122"/>
      <c r="I46" s="1123"/>
    </row>
    <row r="47" spans="2:9" ht="15.75">
      <c r="B47" s="62"/>
      <c r="C47" s="1121" t="s">
        <v>479</v>
      </c>
      <c r="D47" s="1121"/>
      <c r="E47" s="1121"/>
      <c r="F47" s="1121"/>
      <c r="G47" s="1121"/>
      <c r="H47" s="1121"/>
      <c r="I47" s="63"/>
    </row>
    <row r="48" spans="2:9" ht="16.5" thickBot="1">
      <c r="B48" s="64" t="s">
        <v>483</v>
      </c>
      <c r="C48" s="65" t="s">
        <v>481</v>
      </c>
      <c r="D48" s="65" t="s">
        <v>167</v>
      </c>
      <c r="E48" s="65" t="s">
        <v>168</v>
      </c>
      <c r="F48" s="65" t="s">
        <v>169</v>
      </c>
      <c r="G48" s="65" t="s">
        <v>170</v>
      </c>
      <c r="H48" s="65" t="s">
        <v>171</v>
      </c>
      <c r="I48" s="66" t="s">
        <v>482</v>
      </c>
    </row>
    <row r="49" spans="2:9">
      <c r="B49" s="55"/>
      <c r="C49" s="1"/>
      <c r="D49" s="1"/>
      <c r="E49" s="1"/>
      <c r="F49" s="1"/>
      <c r="G49" s="1"/>
      <c r="H49" s="1"/>
      <c r="I49" s="39"/>
    </row>
    <row r="50" spans="2:9" ht="15.75">
      <c r="B50" s="40" t="s">
        <v>486</v>
      </c>
      <c r="C50" s="2">
        <f>(COUNTIF('Database - Tornado Segments'!$AA$8:$AA$2001, "F02")+COUNTIF('Database - Tornado Segments'!$AA$8:$AA$2001, "EF02"))</f>
        <v>8</v>
      </c>
      <c r="D50" s="2">
        <f>(COUNTIF('Database - Tornado Segments'!$AA$8:$AA$2001, "F12")+COUNTIF('Database - Tornado Segments'!$AA$8:$AA$2001, "EF12"))</f>
        <v>1</v>
      </c>
      <c r="E50" s="2">
        <f>(COUNTIF('Database - Tornado Segments'!$AA$8:$AA$2001, "F22")+COUNTIF('Database - Tornado Segments'!$AA$8:$AA$2001, "EF22"))</f>
        <v>0</v>
      </c>
      <c r="F50" s="2">
        <f>(COUNTIF('Database - Tornado Segments'!$AA$8:$AA$2001, "F32")+COUNTIF('Database - Tornado Segments'!$AA$8:$AA$2001, "EF32"))</f>
        <v>0</v>
      </c>
      <c r="G50" s="2">
        <f>(COUNTIF('Database - Tornado Segments'!$AA$8:$AA$2001, "F42")+COUNTIF('Database - Tornado Segments'!$AA$8:$AA$2001, "EF42"))</f>
        <v>0</v>
      </c>
      <c r="H50" s="2">
        <f>(COUNTIF('Database - Tornado Segments'!$AA$8:$AA$2001, "F52")+COUNTIF('Database - Tornado Segments'!$AA$8:$AA$2001, "EF52"))</f>
        <v>0</v>
      </c>
      <c r="I50" s="56">
        <f t="shared" ref="I50:I59" si="5">SUM(C50:H50)</f>
        <v>9</v>
      </c>
    </row>
    <row r="51" spans="2:9" ht="15.75">
      <c r="B51" s="40" t="s">
        <v>487</v>
      </c>
      <c r="C51" s="2">
        <f>(COUNTIF('Database - Tornado Segments'!$AA$8:$AA$2001, "F05")+COUNTIF('Database - Tornado Segments'!$AA$8:$AA$2001, "EF05"))</f>
        <v>7</v>
      </c>
      <c r="D51" s="2">
        <f>(COUNTIF('Database - Tornado Segments'!$AA$8:$AA$2001, "F15")+COUNTIF('Database - Tornado Segments'!$AA$8:$AA$2001, "EF15"))</f>
        <v>1</v>
      </c>
      <c r="E51" s="2">
        <f>(COUNTIF('Database - Tornado Segments'!$AA$8:$AA$2001, "F25")+COUNTIF('Database - Tornado Segments'!$AA$8:$AA$2001, "EF25"))</f>
        <v>0</v>
      </c>
      <c r="F51" s="2">
        <f>(COUNTIF('Database - Tornado Segments'!$AA$8:$AA$2001, "F35")+COUNTIF('Database - Tornado Segments'!$AA$8:$AA$2001, "EF35"))</f>
        <v>0</v>
      </c>
      <c r="G51" s="2">
        <f>(COUNTIF('Database - Tornado Segments'!$AA$8:$AA$2001, "F45")+COUNTIF('Database - Tornado Segments'!$AA$8:$AA$2001, "EF45"))</f>
        <v>0</v>
      </c>
      <c r="H51" s="2">
        <f>(COUNTIF('Database - Tornado Segments'!$AA$8:$AA$2001, "F55")+COUNTIF('Database - Tornado Segments'!$AA$8:$AA$2001, "EF55"))</f>
        <v>0</v>
      </c>
      <c r="I51" s="56">
        <f t="shared" si="5"/>
        <v>8</v>
      </c>
    </row>
    <row r="52" spans="2:9" ht="15.75">
      <c r="B52" s="40" t="s">
        <v>488</v>
      </c>
      <c r="C52" s="2">
        <f>(COUNTIF('Database - Tornado Segments'!$AA$8:$AA$2001, "F010")+COUNTIF('Database - Tornado Segments'!$AA$8:$AA$2001, "EF010"))</f>
        <v>127</v>
      </c>
      <c r="D52" s="2">
        <f>(COUNTIF('Database - Tornado Segments'!$AA$8:$AA$2001, "F110")+COUNTIF('Database - Tornado Segments'!$AA$8:$AA$2001, "EF110"))</f>
        <v>42</v>
      </c>
      <c r="E52" s="2">
        <f>(COUNTIF('Database - Tornado Segments'!$AA$8:$AA$2001, "F210")+COUNTIF('Database - Tornado Segments'!$AA$8:$AA$2001, "EF210"))</f>
        <v>28</v>
      </c>
      <c r="F52" s="2">
        <f>(COUNTIF('Database - Tornado Segments'!$AA$8:$AA$2001, "F310")+COUNTIF('Database - Tornado Segments'!$AA$8:$AA$2001, "EF310"))</f>
        <v>1</v>
      </c>
      <c r="G52" s="2">
        <f>(COUNTIF('Database - Tornado Segments'!$AA$8:$AA$2001, "F410")+COUNTIF('Database - Tornado Segments'!$AA$8:$AA$2001, "EF410"))</f>
        <v>0</v>
      </c>
      <c r="H52" s="2">
        <f>(COUNTIF('Database - Tornado Segments'!$AA$8:$AA$2001, "F510")+COUNTIF('Database - Tornado Segments'!$AA$8:$AA$2001, "EF510"))</f>
        <v>0</v>
      </c>
      <c r="I52" s="56">
        <f t="shared" si="5"/>
        <v>198</v>
      </c>
    </row>
    <row r="53" spans="2:9" ht="15.75">
      <c r="B53" s="40" t="s">
        <v>489</v>
      </c>
      <c r="C53" s="2">
        <f>(COUNTIF('Database - Tornado Segments'!$AA$8:$AA$2001, "F020")+COUNTIF('Database - Tornado Segments'!$AA$8:$AA$2001, "EF020"))</f>
        <v>323</v>
      </c>
      <c r="D53" s="2">
        <f>(COUNTIF('Database - Tornado Segments'!$AA$8:$AA$2001, "F120")+COUNTIF('Database - Tornado Segments'!$AA$8:$AA$2001, "EF120"))</f>
        <v>61</v>
      </c>
      <c r="E53" s="2">
        <f>(COUNTIF('Database - Tornado Segments'!$AA$8:$AA$2001, "F220")+COUNTIF('Database - Tornado Segments'!$AA$8:$AA$2001, "EF220"))</f>
        <v>14</v>
      </c>
      <c r="F53" s="2">
        <f>(COUNTIF('Database - Tornado Segments'!$AA$8:$AA$2001, "F320")+COUNTIF('Database - Tornado Segments'!$AA$8:$AA$2001, "EF320"))</f>
        <v>5</v>
      </c>
      <c r="G53" s="2">
        <f>(COUNTIF('Database - Tornado Segments'!$AA$8:$AA$2001, "F420")+COUNTIF('Database - Tornado Segments'!$AA$8:$AA$2001, "EF420"))</f>
        <v>0</v>
      </c>
      <c r="H53" s="2">
        <f>(COUNTIF('Database - Tornado Segments'!$AA$8:$AA$2001, "F520")+COUNTIF('Database - Tornado Segments'!$AA$8:$AA$2001, "EF520"))</f>
        <v>0</v>
      </c>
      <c r="I53" s="56">
        <f t="shared" si="5"/>
        <v>403</v>
      </c>
    </row>
    <row r="54" spans="2:9" ht="15.75">
      <c r="B54" s="40" t="s">
        <v>490</v>
      </c>
      <c r="C54" s="2">
        <f>(COUNTIF('Database - Tornado Segments'!$AA$8:$AA$2001, "F050")+COUNTIF('Database - Tornado Segments'!$AA$8:$AA$2001, "EF050"))</f>
        <v>238</v>
      </c>
      <c r="D54" s="2">
        <f>(COUNTIF('Database - Tornado Segments'!$AA$8:$AA$2001, "F150")+COUNTIF('Database - Tornado Segments'!$AA$8:$AA$2001, "EF150"))</f>
        <v>43</v>
      </c>
      <c r="E54" s="2">
        <f>(COUNTIF('Database - Tornado Segments'!$AA$8:$AA$2001, "F250")+COUNTIF('Database - Tornado Segments'!$AA$8:$AA$2001, "EF250"))</f>
        <v>13</v>
      </c>
      <c r="F54" s="2">
        <f>(COUNTIF('Database - Tornado Segments'!$AA$8:$AA$2001, "F350")+COUNTIF('Database - Tornado Segments'!$AA$8:$AA$2001, "EF350"))</f>
        <v>3</v>
      </c>
      <c r="G54" s="2">
        <f>(COUNTIF('Database - Tornado Segments'!$AA$8:$AA$2001, "F450")+COUNTIF('Database - Tornado Segments'!$AA$8:$AA$2001, "EF450"))</f>
        <v>1</v>
      </c>
      <c r="H54" s="2">
        <f>(COUNTIF('Database - Tornado Segments'!$AA$8:$AA$2001, "F550")+COUNTIF('Database - Tornado Segments'!$AA$8:$AA$2001, "EF550"))</f>
        <v>0</v>
      </c>
      <c r="I54" s="56">
        <f t="shared" si="5"/>
        <v>298</v>
      </c>
    </row>
    <row r="55" spans="2:9" ht="15.75">
      <c r="B55" s="40" t="s">
        <v>485</v>
      </c>
      <c r="C55" s="2">
        <f>(COUNTIF('Database - Tornado Segments'!$AA$8:$AA$2001, "F0100")+COUNTIF('Database - Tornado Segments'!$AA$8:$AA$2001, "EF0100"))</f>
        <v>78</v>
      </c>
      <c r="D55" s="2">
        <f>(COUNTIF('Database - Tornado Segments'!$AA$8:$AA$2001, "F1100")+COUNTIF('Database - Tornado Segments'!$AA$8:$AA$2001, "EF1100"))</f>
        <v>55</v>
      </c>
      <c r="E55" s="2">
        <f>(COUNTIF('Database - Tornado Segments'!$AA$8:$AA$2001, "F2100")+COUNTIF('Database - Tornado Segments'!$AA$8:$AA$2001, "EF2100"))</f>
        <v>34</v>
      </c>
      <c r="F55" s="2">
        <f>(COUNTIF('Database - Tornado Segments'!$AA$8:$AA$2001, "F3100")+COUNTIF('Database - Tornado Segments'!$AA$8:$AA$2001, "EF3100"))</f>
        <v>7</v>
      </c>
      <c r="G55" s="2">
        <f>(COUNTIF('Database - Tornado Segments'!$AA$8:$AA$2001, "F4100")+COUNTIF('Database - Tornado Segments'!$AA$8:$AA$2001, "EF4100"))</f>
        <v>0</v>
      </c>
      <c r="H55" s="2">
        <f>(COUNTIF('Database - Tornado Segments'!$AA$8:$AA$2001, "F5100")+COUNTIF('Database - Tornado Segments'!$AA$8:$AA$2001, "EF5100"))</f>
        <v>0</v>
      </c>
      <c r="I55" s="56">
        <f t="shared" si="5"/>
        <v>174</v>
      </c>
    </row>
    <row r="56" spans="2:9" ht="15.75">
      <c r="B56" s="59" t="s">
        <v>526</v>
      </c>
      <c r="C56" s="2">
        <f>(COUNTIF('Database - Tornado Segments'!$AA$8:$AA$2001, "F0200")+COUNTIF('Database - Tornado Segments'!$AA$8:$AA$2001, "EF0200"))</f>
        <v>18</v>
      </c>
      <c r="D56" s="2">
        <f>(COUNTIF('Database - Tornado Segments'!$AA$8:$AA$2001, "F1200")+COUNTIF('Database - Tornado Segments'!$AA$8:$AA$2001, "EF1200"))</f>
        <v>39</v>
      </c>
      <c r="E56" s="2">
        <f>(COUNTIF('Database - Tornado Segments'!$AA$8:$AA$2001, "F2200")+COUNTIF('Database - Tornado Segments'!$AA$8:$AA$2001, "EF2200"))</f>
        <v>25</v>
      </c>
      <c r="F56" s="2">
        <f>(COUNTIF('Database - Tornado Segments'!$AA$8:$AA$2001, "F3200")+COUNTIF('Database - Tornado Segments'!$AA$8:$AA$2001, "EF3200"))</f>
        <v>8</v>
      </c>
      <c r="G56" s="2">
        <f>(COUNTIF('Database - Tornado Segments'!$AA$8:$AA$2001, "F4200")+COUNTIF('Database - Tornado Segments'!$AA$8:$AA$2001, "EF4200"))</f>
        <v>2</v>
      </c>
      <c r="H56" s="2">
        <f>(COUNTIF('Database - Tornado Segments'!$AA$8:$AA$2001, "F5200")+COUNTIF('Database - Tornado Segments'!$AA$8:$AA$2001, "EF5200"))</f>
        <v>0</v>
      </c>
      <c r="I56" s="56">
        <f t="shared" si="5"/>
        <v>92</v>
      </c>
    </row>
    <row r="57" spans="2:9" ht="15.75">
      <c r="B57" s="59" t="s">
        <v>527</v>
      </c>
      <c r="C57" s="2">
        <f>(COUNTIF('Database - Tornado Segments'!$AA$8:$AA$2001, "F0500")+COUNTIF('Database - Tornado Segments'!$AA$8:$AA$2001, "EF0500"))</f>
        <v>6</v>
      </c>
      <c r="D57" s="2">
        <f>(COUNTIF('Database - Tornado Segments'!$AA$8:$AA$2001, "F1500")+COUNTIF('Database - Tornado Segments'!$AA$8:$AA$2001, "EF1500"))</f>
        <v>15</v>
      </c>
      <c r="E57" s="2">
        <f>(COUNTIF('Database - Tornado Segments'!$AA$8:$AA$2001, "F2500")+COUNTIF('Database - Tornado Segments'!$AA$8:$AA$2001, "EF2500"))</f>
        <v>11</v>
      </c>
      <c r="F57" s="2">
        <f>(COUNTIF('Database - Tornado Segments'!$AA$8:$AA$2001, "F3500")+COUNTIF('Database - Tornado Segments'!$AA$8:$AA$2001, "EF3500"))</f>
        <v>14</v>
      </c>
      <c r="G57" s="2">
        <f>(COUNTIF('Database - Tornado Segments'!$AA$8:$AA$2001, "F4500")+COUNTIF('Database - Tornado Segments'!$AA$8:$AA$2001, "EF4500"))</f>
        <v>11</v>
      </c>
      <c r="H57" s="2">
        <f>(COUNTIF('Database - Tornado Segments'!$AA$8:$AA$2001, "F5500")+COUNTIF('Database - Tornado Segments'!$AA$8:$AA$2001, "EF5500"))</f>
        <v>0</v>
      </c>
      <c r="I57" s="56">
        <f t="shared" si="5"/>
        <v>57</v>
      </c>
    </row>
    <row r="58" spans="2:9" ht="15.75">
      <c r="B58" s="59" t="s">
        <v>528</v>
      </c>
      <c r="C58" s="2">
        <f>(COUNTIF('Database - Tornado Segments'!$AA$8:$AA$2001, "F01000")+COUNTIF('Database - Tornado Segments'!$AA$8:$AA$2001, "EF01000"))</f>
        <v>2</v>
      </c>
      <c r="D58" s="2">
        <f>(COUNTIF('Database - Tornado Segments'!$AA$8:$AA$2001, "F11000")+COUNTIF('Database - Tornado Segments'!$AA$8:$AA$2001, "EF11000"))</f>
        <v>5</v>
      </c>
      <c r="E58" s="2">
        <f>(COUNTIF('Database - Tornado Segments'!$AA$8:$AA$2001, "F21000")+COUNTIF('Database - Tornado Segments'!$AA$8:$AA$2001, "EF21000"))</f>
        <v>12</v>
      </c>
      <c r="F58" s="2">
        <f>(COUNTIF('Database - Tornado Segments'!$AA$8:$AA$2001, "F31000")+COUNTIF('Database - Tornado Segments'!$AA$8:$AA$2001, "EF31000"))</f>
        <v>5</v>
      </c>
      <c r="G58" s="2">
        <f>(COUNTIF('Database - Tornado Segments'!$AA$8:$AA$2001, "F41000")+COUNTIF('Database - Tornado Segments'!$AA$8:$AA$2001, "EF41000"))</f>
        <v>8</v>
      </c>
      <c r="H58" s="2">
        <f>(COUNTIF('Database - Tornado Segments'!$AA$8:$AA$2001, "F51000")+COUNTIF('Database - Tornado Segments'!$AA$8:$AA$2001, "EF51000"))</f>
        <v>0</v>
      </c>
      <c r="I58" s="56">
        <f t="shared" si="5"/>
        <v>32</v>
      </c>
    </row>
    <row r="59" spans="2:9" ht="15.75">
      <c r="B59" s="346" t="s">
        <v>666</v>
      </c>
      <c r="C59" s="2">
        <f>(COUNTIF('Database - Tornado Segments'!$AA$8:$AA$2001, "F02000")+COUNTIF('Database - Tornado Segments'!$AA$8:$AA$2001, "EF02000"))</f>
        <v>0</v>
      </c>
      <c r="D59" s="2">
        <f>(COUNTIF('Database - Tornado Segments'!$AA$8:$AA$2001, "F12000")+COUNTIF('Database - Tornado Segments'!$AA$8:$AA$2001, "EF12000"))</f>
        <v>0</v>
      </c>
      <c r="E59" s="2">
        <f>(COUNTIF('Database - Tornado Segments'!$AA$8:$AA$2001, "F22000")+COUNTIF('Database - Tornado Segments'!$AA$8:$AA$2001, "EF22000"))</f>
        <v>0</v>
      </c>
      <c r="F59" s="2">
        <f>(COUNTIF('Database - Tornado Segments'!$AA$8:$AA$2001, "F32000")+COUNTIF('Database - Tornado Segments'!$AA$8:$AA$2001, "EF32000"))</f>
        <v>0</v>
      </c>
      <c r="G59" s="2">
        <f>(COUNTIF('Database - Tornado Segments'!$AA$8:$AA$2001, "F42000")+COUNTIF('Database - Tornado Segments'!$AA$8:$AA$2001, "EF42000"))</f>
        <v>1</v>
      </c>
      <c r="H59" s="2">
        <f>(COUNTIF('Database - Tornado Segments'!$AA$8:$AA$2001, "F52000")+COUNTIF('Database - Tornado Segments'!$AA$8:$AA$2001, "EF52000"))</f>
        <v>0</v>
      </c>
      <c r="I59" s="56">
        <f t="shared" si="5"/>
        <v>1</v>
      </c>
    </row>
    <row r="60" spans="2:9">
      <c r="B60" s="59"/>
      <c r="C60" s="52"/>
      <c r="D60" s="52"/>
      <c r="E60" s="52"/>
      <c r="F60" s="52"/>
      <c r="G60" s="52"/>
      <c r="H60" s="52"/>
      <c r="I60" s="60"/>
    </row>
    <row r="61" spans="2:9" ht="16.5" thickBot="1">
      <c r="B61" s="349" t="s">
        <v>1494</v>
      </c>
      <c r="C61" s="956">
        <f t="shared" ref="C61:H61" si="6">SUM(C50:C59)</f>
        <v>807</v>
      </c>
      <c r="D61" s="956">
        <f t="shared" si="6"/>
        <v>262</v>
      </c>
      <c r="E61" s="956">
        <f t="shared" si="6"/>
        <v>137</v>
      </c>
      <c r="F61" s="956">
        <f t="shared" si="6"/>
        <v>43</v>
      </c>
      <c r="G61" s="956">
        <f t="shared" si="6"/>
        <v>23</v>
      </c>
      <c r="H61" s="956">
        <f t="shared" si="6"/>
        <v>0</v>
      </c>
      <c r="I61" s="58">
        <f>SUM(I50:I59)</f>
        <v>1272</v>
      </c>
    </row>
    <row r="62" spans="2:9" ht="15.75" thickTop="1">
      <c r="B62" s="52"/>
      <c r="C62" s="52"/>
      <c r="D62" s="52"/>
      <c r="E62" s="52"/>
      <c r="F62" s="52"/>
      <c r="G62" s="52"/>
      <c r="H62" s="52"/>
      <c r="I62" s="53"/>
    </row>
    <row r="63" spans="2:9">
      <c r="B63" s="52"/>
      <c r="C63" s="52"/>
      <c r="D63" s="52"/>
      <c r="E63" s="52"/>
      <c r="F63" s="52"/>
      <c r="G63" s="52"/>
      <c r="H63" s="52"/>
      <c r="I63" s="53"/>
    </row>
    <row r="64" spans="2:9" ht="15.75" thickBot="1">
      <c r="B64" s="52"/>
      <c r="C64" s="52"/>
      <c r="D64" s="52"/>
      <c r="E64" s="52"/>
      <c r="F64" s="52"/>
      <c r="G64" s="52"/>
      <c r="H64" s="52"/>
      <c r="I64" s="53"/>
    </row>
    <row r="65" spans="2:9" ht="24" thickTop="1">
      <c r="B65" s="1118" t="s">
        <v>502</v>
      </c>
      <c r="C65" s="1119"/>
      <c r="D65" s="1119"/>
      <c r="E65" s="1119"/>
      <c r="F65" s="1119"/>
      <c r="G65" s="1119"/>
      <c r="H65" s="1119"/>
      <c r="I65" s="1120"/>
    </row>
    <row r="66" spans="2:9" ht="15.75">
      <c r="B66" s="62"/>
      <c r="C66" s="1121" t="s">
        <v>479</v>
      </c>
      <c r="D66" s="1121"/>
      <c r="E66" s="1121"/>
      <c r="F66" s="1121"/>
      <c r="G66" s="1121"/>
      <c r="H66" s="1121"/>
      <c r="I66" s="63"/>
    </row>
    <row r="67" spans="2:9" ht="16.5" thickBot="1">
      <c r="B67" s="64" t="s">
        <v>483</v>
      </c>
      <c r="C67" s="65" t="s">
        <v>481</v>
      </c>
      <c r="D67" s="65" t="s">
        <v>167</v>
      </c>
      <c r="E67" s="65" t="s">
        <v>168</v>
      </c>
      <c r="F67" s="65" t="s">
        <v>169</v>
      </c>
      <c r="G67" s="65" t="s">
        <v>170</v>
      </c>
      <c r="H67" s="65" t="s">
        <v>171</v>
      </c>
      <c r="I67" s="66" t="s">
        <v>482</v>
      </c>
    </row>
    <row r="68" spans="2:9">
      <c r="B68" s="55"/>
      <c r="C68" s="1"/>
      <c r="D68" s="1"/>
      <c r="E68" s="1"/>
      <c r="F68" s="1"/>
      <c r="G68" s="1"/>
      <c r="H68" s="1"/>
      <c r="I68" s="39"/>
    </row>
    <row r="69" spans="2:9" ht="15.75">
      <c r="B69" s="67" t="s">
        <v>507</v>
      </c>
      <c r="C69" s="2">
        <f>(COUNTIF('Database - Tornado Segments'!$AA$8:$AA$2001, "F02")+COUNTIF('Database - Tornado Segments'!$AA$8:$AA$2001, "EF02"))+C70</f>
        <v>807</v>
      </c>
      <c r="D69" s="2">
        <f>(COUNTIF('Database - Tornado Segments'!$AA$8:$AA$2001, "F12")+COUNTIF('Database - Tornado Segments'!$AA$8:$AA$2001, "EF12"))+D70</f>
        <v>262</v>
      </c>
      <c r="E69" s="2">
        <f>(COUNTIF('Database - Tornado Segments'!$AA$8:$AA$2001, "F22")+COUNTIF('Database - Tornado Segments'!$AA$8:$AA$2001, "EF22"))+E70</f>
        <v>137</v>
      </c>
      <c r="F69" s="2">
        <f>(COUNTIF('Database - Tornado Segments'!$AA$8:$AA$2001, "F32")+COUNTIF('Database - Tornado Segments'!$AA$8:$AA$2001, "EF32"))+F70</f>
        <v>43</v>
      </c>
      <c r="G69" s="2">
        <f>(COUNTIF('Database - Tornado Segments'!$AA$8:$AA$2001, "F42")+COUNTIF('Database - Tornado Segments'!$AA$8:$AA$2001, "EF42"))+G70</f>
        <v>23</v>
      </c>
      <c r="H69" s="2">
        <f>(COUNTIF('Database - Tornado Segments'!$AA$8:$AA$2001, "F52")+COUNTIF('Database - Tornado Segments'!$AA$8:$AA$2001, "EF52"))+H70</f>
        <v>0</v>
      </c>
      <c r="I69" s="56">
        <f t="shared" ref="I69:I78" si="7">SUM(C69:H69)</f>
        <v>1272</v>
      </c>
    </row>
    <row r="70" spans="2:9" ht="15.75">
      <c r="B70" s="67" t="s">
        <v>524</v>
      </c>
      <c r="C70" s="2">
        <f>(COUNTIF('Database - Tornado Segments'!$AA$8:$AA$2001, "F05")+COUNTIF('Database - Tornado Segments'!$AA$8:$AA$2001, "EF05"))+C71</f>
        <v>799</v>
      </c>
      <c r="D70" s="2">
        <f>(COUNTIF('Database - Tornado Segments'!$AA$8:$AA$2001, "F15")+COUNTIF('Database - Tornado Segments'!$AA$8:$AA$2001, "EF15"))+D71</f>
        <v>261</v>
      </c>
      <c r="E70" s="2">
        <f>(COUNTIF('Database - Tornado Segments'!$AA$8:$AA$2001, "F25")+COUNTIF('Database - Tornado Segments'!$AA$8:$AA$2001, "EF25"))+E71</f>
        <v>137</v>
      </c>
      <c r="F70" s="2">
        <f>(COUNTIF('Database - Tornado Segments'!$AA$8:$AA$2001, "F35")+COUNTIF('Database - Tornado Segments'!$AA$8:$AA$2001, "EF35"))+F71</f>
        <v>43</v>
      </c>
      <c r="G70" s="2">
        <f>(COUNTIF('Database - Tornado Segments'!$AA$8:$AA$2001, "F45")+COUNTIF('Database - Tornado Segments'!$AA$8:$AA$2001, "EF45"))+G71</f>
        <v>23</v>
      </c>
      <c r="H70" s="2">
        <f>(COUNTIF('Database - Tornado Segments'!$AA$8:$AA$2001, "F55")+COUNTIF('Database - Tornado Segments'!$AA$8:$AA$2001, "EF55"))+H71</f>
        <v>0</v>
      </c>
      <c r="I70" s="56">
        <f t="shared" si="7"/>
        <v>1263</v>
      </c>
    </row>
    <row r="71" spans="2:9" ht="15.75">
      <c r="B71" s="67" t="s">
        <v>523</v>
      </c>
      <c r="C71" s="2">
        <f>(COUNTIF('Database - Tornado Segments'!$AA$8:$AA$2001, "F010")+COUNTIF('Database - Tornado Segments'!$AA$8:$AA$2001, "EF010"))+C72</f>
        <v>792</v>
      </c>
      <c r="D71" s="2">
        <f>(COUNTIF('Database - Tornado Segments'!$AA$8:$AA$2001, "F110")+COUNTIF('Database - Tornado Segments'!$AA$8:$AA$2001, "EF110"))+D72</f>
        <v>260</v>
      </c>
      <c r="E71" s="2">
        <f>(COUNTIF('Database - Tornado Segments'!$AA$8:$AA$2001, "F210")+COUNTIF('Database - Tornado Segments'!$AA$8:$AA$2001, "EF210"))+E72</f>
        <v>137</v>
      </c>
      <c r="F71" s="2">
        <f>(COUNTIF('Database - Tornado Segments'!$AA$8:$AA$2001, "F310")+COUNTIF('Database - Tornado Segments'!$AA$8:$AA$2001, "EF310"))+F72</f>
        <v>43</v>
      </c>
      <c r="G71" s="2">
        <f>(COUNTIF('Database - Tornado Segments'!$AA$8:$AA$2001, "F410")+COUNTIF('Database - Tornado Segments'!$AA$8:$AA$2001, "EF410"))+G72</f>
        <v>23</v>
      </c>
      <c r="H71" s="2">
        <f>(COUNTIF('Database - Tornado Segments'!$AA$8:$AA$2001, "F510")+COUNTIF('Database - Tornado Segments'!$AA$8:$AA$2001, "EF510"))+H72</f>
        <v>0</v>
      </c>
      <c r="I71" s="56">
        <f t="shared" si="7"/>
        <v>1255</v>
      </c>
    </row>
    <row r="72" spans="2:9" ht="15.75">
      <c r="B72" s="67" t="s">
        <v>506</v>
      </c>
      <c r="C72" s="2">
        <f>(COUNTIF('Database - Tornado Segments'!$AA$8:$AA$2001, "F020")+COUNTIF('Database - Tornado Segments'!$AA$8:$AA$2001, "EF020"))+C73</f>
        <v>665</v>
      </c>
      <c r="D72" s="2">
        <f>(COUNTIF('Database - Tornado Segments'!$AA$8:$AA$2001, "F120")+COUNTIF('Database - Tornado Segments'!$AA$8:$AA$2001, "EF120"))+D73</f>
        <v>218</v>
      </c>
      <c r="E72" s="2">
        <f>(COUNTIF('Database - Tornado Segments'!$AA$8:$AA$2001, "F220")+COUNTIF('Database - Tornado Segments'!$AA$8:$AA$2001, "EF220"))+E73</f>
        <v>109</v>
      </c>
      <c r="F72" s="2">
        <f>(COUNTIF('Database - Tornado Segments'!$AA$8:$AA$2001, "F320")+COUNTIF('Database - Tornado Segments'!$AA$8:$AA$2001, "EF320"))+F73</f>
        <v>42</v>
      </c>
      <c r="G72" s="2">
        <f>(COUNTIF('Database - Tornado Segments'!$AA$8:$AA$2001, "F420")+COUNTIF('Database - Tornado Segments'!$AA$8:$AA$2001, "EF420"))+G73</f>
        <v>23</v>
      </c>
      <c r="H72" s="2">
        <f>(COUNTIF('Database - Tornado Segments'!$AA$8:$AA$2001, "F520")+COUNTIF('Database - Tornado Segments'!$AA$8:$AA$2001, "EF520"))+H73</f>
        <v>0</v>
      </c>
      <c r="I72" s="56">
        <f t="shared" si="7"/>
        <v>1057</v>
      </c>
    </row>
    <row r="73" spans="2:9" ht="15.75">
      <c r="B73" s="67" t="s">
        <v>505</v>
      </c>
      <c r="C73" s="2">
        <f>(COUNTIF('Database - Tornado Segments'!$AA$8:$AA$2001, "F050")+COUNTIF('Database - Tornado Segments'!$AA$8:$AA$2001, "EF050"))+C74</f>
        <v>342</v>
      </c>
      <c r="D73" s="2">
        <f>(COUNTIF('Database - Tornado Segments'!$AA$8:$AA$2001, "F150")+COUNTIF('Database - Tornado Segments'!$AA$8:$AA$2001, "EF150"))+D74</f>
        <v>157</v>
      </c>
      <c r="E73" s="2">
        <f>(COUNTIF('Database - Tornado Segments'!$AA$8:$AA$2001, "F250")+COUNTIF('Database - Tornado Segments'!$AA$8:$AA$2001, "EF250"))+E74</f>
        <v>95</v>
      </c>
      <c r="F73" s="2">
        <f>(COUNTIF('Database - Tornado Segments'!$AA$8:$AA$2001, "F350")+COUNTIF('Database - Tornado Segments'!$AA$8:$AA$2001, "EF350"))+F74</f>
        <v>37</v>
      </c>
      <c r="G73" s="2">
        <f>(COUNTIF('Database - Tornado Segments'!$AA$8:$AA$2001, "F450")+COUNTIF('Database - Tornado Segments'!$AA$8:$AA$2001, "EF450"))+G74</f>
        <v>23</v>
      </c>
      <c r="H73" s="2">
        <f>(COUNTIF('Database - Tornado Segments'!$AA$8:$AA$2001, "F550")+COUNTIF('Database - Tornado Segments'!$AA$8:$AA$2001, "EF550"))+H74</f>
        <v>0</v>
      </c>
      <c r="I73" s="56">
        <f t="shared" si="7"/>
        <v>654</v>
      </c>
    </row>
    <row r="74" spans="2:9" ht="15.75">
      <c r="B74" s="67" t="s">
        <v>522</v>
      </c>
      <c r="C74" s="2">
        <f>(COUNTIF('Database - Tornado Segments'!$AA$8:$AA$2001, "F0100")+COUNTIF('Database - Tornado Segments'!$AA$8:$AA$2001, "EF0100"))+C75</f>
        <v>104</v>
      </c>
      <c r="D74" s="2">
        <f>(COUNTIF('Database - Tornado Segments'!$AA$8:$AA$2001, "F1100")+COUNTIF('Database - Tornado Segments'!$AA$8:$AA$2001, "EF1100"))+D75</f>
        <v>114</v>
      </c>
      <c r="E74" s="2">
        <f>(COUNTIF('Database - Tornado Segments'!$AA$8:$AA$2001, "F2100")+COUNTIF('Database - Tornado Segments'!$AA$8:$AA$2001, "EF2100"))+E75</f>
        <v>82</v>
      </c>
      <c r="F74" s="2">
        <f>(COUNTIF('Database - Tornado Segments'!$AA$8:$AA$2001, "F3100")+COUNTIF('Database - Tornado Segments'!$AA$8:$AA$2001, "EF3100"))+F75</f>
        <v>34</v>
      </c>
      <c r="G74" s="2">
        <f>(COUNTIF('Database - Tornado Segments'!$AA$8:$AA$2001, "F4100")+COUNTIF('Database - Tornado Segments'!$AA$8:$AA$2001, "EF4100"))+G75</f>
        <v>22</v>
      </c>
      <c r="H74" s="2">
        <f>(COUNTIF('Database - Tornado Segments'!$AA$8:$AA$2001, "F5100")+COUNTIF('Database - Tornado Segments'!$AA$8:$AA$2001, "EF5100"))+H75</f>
        <v>0</v>
      </c>
      <c r="I74" s="56">
        <f t="shared" si="7"/>
        <v>356</v>
      </c>
    </row>
    <row r="75" spans="2:9" ht="15.75">
      <c r="B75" s="67" t="s">
        <v>521</v>
      </c>
      <c r="C75" s="2">
        <f>(COUNTIF('Database - Tornado Segments'!$AA$8:$AA$2001, "F0200")+COUNTIF('Database - Tornado Segments'!$AA$8:$AA$2001, "EF0200"))+C76</f>
        <v>26</v>
      </c>
      <c r="D75" s="2">
        <f>(COUNTIF('Database - Tornado Segments'!$AA$8:$AA$2001, "F1200")+COUNTIF('Database - Tornado Segments'!$AA$8:$AA$2001, "EF1200"))+D76</f>
        <v>59</v>
      </c>
      <c r="E75" s="2">
        <f>(COUNTIF('Database - Tornado Segments'!$AA$8:$AA$2001, "F2200")+COUNTIF('Database - Tornado Segments'!$AA$8:$AA$2001, "EF2200"))+E76</f>
        <v>48</v>
      </c>
      <c r="F75" s="2">
        <f>(COUNTIF('Database - Tornado Segments'!$AA$8:$AA$2001, "F3200")+COUNTIF('Database - Tornado Segments'!$AA$8:$AA$2001, "EF3200"))+F76</f>
        <v>27</v>
      </c>
      <c r="G75" s="2">
        <f>(COUNTIF('Database - Tornado Segments'!$AA$8:$AA$2001, "F4200")+COUNTIF('Database - Tornado Segments'!$AA$8:$AA$2001, "EF4200"))+G76</f>
        <v>22</v>
      </c>
      <c r="H75" s="2">
        <f>(COUNTIF('Database - Tornado Segments'!$AA$8:$AA$2001, "F5200")+COUNTIF('Database - Tornado Segments'!$AA$8:$AA$2001, "EF5200"))+H76</f>
        <v>0</v>
      </c>
      <c r="I75" s="56">
        <f t="shared" si="7"/>
        <v>182</v>
      </c>
    </row>
    <row r="76" spans="2:9" ht="15.75">
      <c r="B76" s="67" t="s">
        <v>520</v>
      </c>
      <c r="C76" s="2">
        <f>(COUNTIF('Database - Tornado Segments'!$AA$8:$AA$2001, "F0500")+COUNTIF('Database - Tornado Segments'!$AA$8:$AA$2001, "EF0500"))+C77</f>
        <v>8</v>
      </c>
      <c r="D76" s="2">
        <f>(COUNTIF('Database - Tornado Segments'!$AA$8:$AA$2001, "F1500")+COUNTIF('Database - Tornado Segments'!$AA$8:$AA$2001, "EF1500"))+D77</f>
        <v>20</v>
      </c>
      <c r="E76" s="2">
        <f>(COUNTIF('Database - Tornado Segments'!$AA$8:$AA$2001, "F2500")+COUNTIF('Database - Tornado Segments'!$AA$8:$AA$2001, "EF2500"))+E77</f>
        <v>23</v>
      </c>
      <c r="F76" s="2">
        <f>(COUNTIF('Database - Tornado Segments'!$AA$8:$AA$2001, "F3500")+COUNTIF('Database - Tornado Segments'!$AA$8:$AA$2001, "EF3500"))+F77</f>
        <v>19</v>
      </c>
      <c r="G76" s="2">
        <f>(COUNTIF('Database - Tornado Segments'!$AA$8:$AA$2001, "F4500")+COUNTIF('Database - Tornado Segments'!$AA$8:$AA$2001, "EF4500"))+G77</f>
        <v>20</v>
      </c>
      <c r="H76" s="2">
        <f>(COUNTIF('Database - Tornado Segments'!$AA$8:$AA$2001, "F5500")+COUNTIF('Database - Tornado Segments'!$AA$8:$AA$2001, "EF5500"))+H77</f>
        <v>0</v>
      </c>
      <c r="I76" s="56">
        <f t="shared" si="7"/>
        <v>90</v>
      </c>
    </row>
    <row r="77" spans="2:9" ht="15.75">
      <c r="B77" s="69" t="s">
        <v>519</v>
      </c>
      <c r="C77" s="2">
        <f>(COUNTIF('Database - Tornado Segments'!$AA$8:$AA$2001, "F01000")+COUNTIF('Database - Tornado Segments'!$AA$8:$AA$2001, "EF01000"))+C78</f>
        <v>2</v>
      </c>
      <c r="D77" s="2">
        <f>(COUNTIF('Database - Tornado Segments'!$AA$8:$AA$2001, "F11000")+COUNTIF('Database - Tornado Segments'!$AA$8:$AA$2001, "EF11000"))+D78</f>
        <v>5</v>
      </c>
      <c r="E77" s="2">
        <f>(COUNTIF('Database - Tornado Segments'!$AA$8:$AA$2001, "F21000")+COUNTIF('Database - Tornado Segments'!$AA$8:$AA$2001, "EF21000"))+E78</f>
        <v>12</v>
      </c>
      <c r="F77" s="2">
        <f>(COUNTIF('Database - Tornado Segments'!$AA$8:$AA$2001, "F31000")+COUNTIF('Database - Tornado Segments'!$AA$8:$AA$2001, "EF31000"))+F78</f>
        <v>5</v>
      </c>
      <c r="G77" s="2">
        <f>(COUNTIF('Database - Tornado Segments'!$AA$8:$AA$2001, "F41000")+COUNTIF('Database - Tornado Segments'!$AA$8:$AA$2001, "EF41000"))+G78</f>
        <v>9</v>
      </c>
      <c r="H77" s="2">
        <f>(COUNTIF('Database - Tornado Segments'!$AA$8:$AA$2001, "F51000")+COUNTIF('Database - Tornado Segments'!$AA$8:$AA$2001, "EF51000"))+H78</f>
        <v>0</v>
      </c>
      <c r="I77" s="56">
        <f t="shared" si="7"/>
        <v>33</v>
      </c>
    </row>
    <row r="78" spans="2:9" ht="15.75">
      <c r="B78" s="69" t="s">
        <v>518</v>
      </c>
      <c r="C78" s="2">
        <f>(COUNTIF('Database - Tornado Segments'!$AA$8:$AA$2001, "F02000")+COUNTIF('Database - Tornado Segments'!$AA$8:$AA$2001, "EF02000"))</f>
        <v>0</v>
      </c>
      <c r="D78" s="2">
        <f>(COUNTIF('Database - Tornado Segments'!$AA$8:$AA$2001, "F12000")+COUNTIF('Database - Tornado Segments'!$AA$8:$AA$2001, "EF12000"))</f>
        <v>0</v>
      </c>
      <c r="E78" s="2">
        <f>(COUNTIF('Database - Tornado Segments'!$AA$8:$AA$2001, "F22000")+COUNTIF('Database - Tornado Segments'!$AA$8:$AA$2001, "EF22000"))</f>
        <v>0</v>
      </c>
      <c r="F78" s="2">
        <f>(COUNTIF('Database - Tornado Segments'!$AA$8:$AA$2001, "F32000")+COUNTIF('Database - Tornado Segments'!$AA$8:$AA$2001, "EF32000"))</f>
        <v>0</v>
      </c>
      <c r="G78" s="2">
        <f>(COUNTIF('Database - Tornado Segments'!$AA$8:$AA$2001, "F42000")+COUNTIF('Database - Tornado Segments'!$AA$8:$AA$2001, "EF42000"))</f>
        <v>1</v>
      </c>
      <c r="H78" s="2">
        <f>(COUNTIF('Database - Tornado Segments'!$AA$8:$AA$2001, "F52000")+COUNTIF('Database - Tornado Segments'!$AA$8:$AA$2001, "EF52000"))</f>
        <v>0</v>
      </c>
      <c r="I78" s="56">
        <f t="shared" si="7"/>
        <v>1</v>
      </c>
    </row>
    <row r="79" spans="2:9" ht="16.5" thickBot="1">
      <c r="B79" s="70"/>
      <c r="C79" s="61"/>
      <c r="D79" s="61"/>
      <c r="E79" s="61"/>
      <c r="F79" s="61"/>
      <c r="G79" s="61"/>
      <c r="H79" s="57"/>
      <c r="I79" s="58"/>
    </row>
    <row r="80" spans="2:9" ht="15.75" thickTop="1"/>
    <row r="81" spans="2:9"/>
    <row r="82" spans="2:9" ht="15.75" thickBot="1"/>
    <row r="83" spans="2:9" ht="24" thickTop="1">
      <c r="B83" s="1124" t="s">
        <v>667</v>
      </c>
      <c r="C83" s="1122"/>
      <c r="D83" s="1122"/>
      <c r="E83" s="1122"/>
      <c r="F83" s="1122"/>
      <c r="G83" s="1122"/>
      <c r="H83" s="1122"/>
      <c r="I83" s="1123"/>
    </row>
    <row r="84" spans="2:9" ht="15.75">
      <c r="B84" s="62"/>
      <c r="C84" s="1121" t="s">
        <v>479</v>
      </c>
      <c r="D84" s="1121"/>
      <c r="E84" s="1121"/>
      <c r="F84" s="1121"/>
      <c r="G84" s="1121"/>
      <c r="H84" s="1121"/>
      <c r="I84" s="63"/>
    </row>
    <row r="85" spans="2:9" ht="19.5" thickBot="1">
      <c r="B85" s="347" t="s">
        <v>669</v>
      </c>
      <c r="C85" s="65" t="s">
        <v>481</v>
      </c>
      <c r="D85" s="65" t="s">
        <v>167</v>
      </c>
      <c r="E85" s="65" t="s">
        <v>168</v>
      </c>
      <c r="F85" s="65" t="s">
        <v>169</v>
      </c>
      <c r="G85" s="65" t="s">
        <v>170</v>
      </c>
      <c r="H85" s="65" t="s">
        <v>171</v>
      </c>
      <c r="I85" s="66" t="s">
        <v>482</v>
      </c>
    </row>
    <row r="86" spans="2:9">
      <c r="B86" s="55"/>
      <c r="C86" s="1"/>
      <c r="D86" s="1"/>
      <c r="E86" s="1"/>
      <c r="F86" s="1"/>
      <c r="G86" s="1"/>
      <c r="H86" s="1"/>
      <c r="I86" s="39"/>
    </row>
    <row r="87" spans="2:9" ht="15.75">
      <c r="B87" s="346" t="s">
        <v>1267</v>
      </c>
      <c r="C87" s="2">
        <f>(COUNTIF('Database - Tornado Segments'!$AC$8:$AC$2001, "F00.00005")+COUNTIF('Database - Tornado Segments'!$AC$8:$AC$2001, "EF00.00005"))</f>
        <v>1</v>
      </c>
      <c r="D87" s="2">
        <f>(COUNTIF('Database - Tornado Segments'!$AC$8:$AC$2001, "F10.00005")+COUNTIF('Database - Tornado Segments'!$AC$8:$AC$2001, "EF10.00005"))</f>
        <v>0</v>
      </c>
      <c r="E87" s="2">
        <f>(COUNTIF('Database - Tornado Segments'!$AC$8:$AC$2001, "F20.00005")+COUNTIF('Database - Tornado Segments'!$AC$8:$AC$2001, "EF20.00005"))</f>
        <v>0</v>
      </c>
      <c r="F87" s="2">
        <f>(COUNTIF('Database - Tornado Segments'!$AC$8:$AC$2001, "F30.00005")+COUNTIF('Database - Tornado Segments'!$AC$8:$AC$2001, "EF30.00005"))</f>
        <v>0</v>
      </c>
      <c r="G87" s="2">
        <f>(COUNTIF('Database - Tornado Segments'!$AC$8:$AC$2001, "F40.00005")+COUNTIF('Database - Tornado Segments'!$AC$8:$AC$2001, "EF40.00005"))</f>
        <v>0</v>
      </c>
      <c r="H87" s="2">
        <f>(COUNTIF('Database - Tornado Segments'!$AC$8:$AC$2001, "F50.00005")+COUNTIF('Database - Tornado Segments'!$AC$8:$AC$2001, "EF50.00005"))</f>
        <v>0</v>
      </c>
      <c r="I87" s="56">
        <f t="shared" ref="I87:I88" si="8">SUM(C87:H87)</f>
        <v>1</v>
      </c>
    </row>
    <row r="88" spans="2:9" ht="15.75">
      <c r="B88" s="346" t="s">
        <v>1268</v>
      </c>
      <c r="C88" s="2">
        <f>(COUNTIF('Database - Tornado Segments'!$AC$8:$AC$2001, "F00.0001")+COUNTIF('Database - Tornado Segments'!$AC$8:$AC$2001, "EF00.0001"))</f>
        <v>9</v>
      </c>
      <c r="D88" s="2">
        <f>(COUNTIF('Database - Tornado Segments'!$AC$8:$AC$2001, "F10.0001")+COUNTIF('Database - Tornado Segments'!$AC$8:$AC$2001, "EF10.0001"))</f>
        <v>1</v>
      </c>
      <c r="E88" s="2">
        <f>(COUNTIF('Database - Tornado Segments'!$AC$8:$AC$2001, "F20.0001")+COUNTIF('Database - Tornado Segments'!$AC$8:$AC$2001, "EF20.0001"))</f>
        <v>0</v>
      </c>
      <c r="F88" s="2">
        <f>(COUNTIF('Database - Tornado Segments'!$AC$8:$AC$2001, "F30.0001")+COUNTIF('Database - Tornado Segments'!$AC$8:$AC$2001, "EF30.0001"))</f>
        <v>0</v>
      </c>
      <c r="G88" s="2">
        <f>(COUNTIF('Database - Tornado Segments'!$AC$8:$AC$2001, "F40.0001")+COUNTIF('Database - Tornado Segments'!$AC$8:$AC$2001, "EF40.0001"))</f>
        <v>0</v>
      </c>
      <c r="H88" s="2">
        <f>(COUNTIF('Database - Tornado Segments'!$AC$8:$AC$2001, "F50.0001")+COUNTIF('Database - Tornado Segments'!$AC$8:$AC$2001, "EF50.0001"))</f>
        <v>0</v>
      </c>
      <c r="I88" s="56">
        <f t="shared" si="8"/>
        <v>10</v>
      </c>
    </row>
    <row r="89" spans="2:9" ht="15.75">
      <c r="B89" s="346" t="s">
        <v>681</v>
      </c>
      <c r="C89" s="2">
        <f>(COUNTIF('Database - Tornado Segments'!$AC$8:$AC$2001, "F00.0002")+COUNTIF('Database - Tornado Segments'!$AC$8:$AC$2001, "EF00.0002"))</f>
        <v>8</v>
      </c>
      <c r="D89" s="2">
        <f>(COUNTIF('Database - Tornado Segments'!$AC$8:$AC$2001, "F10.0002")+COUNTIF('Database - Tornado Segments'!$AC$8:$AC$2001, "EF10.0002"))</f>
        <v>1</v>
      </c>
      <c r="E89" s="2">
        <f>(COUNTIF('Database - Tornado Segments'!$AC$8:$AC$2001, "F20.0002")+COUNTIF('Database - Tornado Segments'!$AC$8:$AC$2001, "EF20.0002"))</f>
        <v>0</v>
      </c>
      <c r="F89" s="2">
        <f>(COUNTIF('Database - Tornado Segments'!$AC$8:$AC$2001, "F30.0002")+COUNTIF('Database - Tornado Segments'!$AC$8:$AC$2001, "EF30.0002"))</f>
        <v>0</v>
      </c>
      <c r="G89" s="2">
        <f>(COUNTIF('Database - Tornado Segments'!$AC$8:$AC$2001, "F40.0002")+COUNTIF('Database - Tornado Segments'!$AC$8:$AC$2001, "EF40.0002"))</f>
        <v>0</v>
      </c>
      <c r="H89" s="2">
        <f>(COUNTIF('Database - Tornado Segments'!$AC$8:$AC$2001, "F50.0002")+COUNTIF('Database - Tornado Segments'!$AC$8:$AC$2001, "EF50.0002"))</f>
        <v>0</v>
      </c>
      <c r="I89" s="56">
        <f t="shared" ref="I89:I104" si="9">SUM(C89:H89)</f>
        <v>9</v>
      </c>
    </row>
    <row r="90" spans="2:9" ht="15.75">
      <c r="B90" s="346" t="s">
        <v>682</v>
      </c>
      <c r="C90" s="2">
        <f>(COUNTIF('Database - Tornado Segments'!$AC$8:$AC$2001, "F00.0005")+COUNTIF('Database - Tornado Segments'!$AC$8:$AC$2001, "EF00.0005"))</f>
        <v>85</v>
      </c>
      <c r="D90" s="2">
        <f>(COUNTIF('Database - Tornado Segments'!$AC$8:$AC$2001, "F10.0005")+COUNTIF('Database - Tornado Segments'!$AC$8:$AC$2001, "EF10.0005"))</f>
        <v>28</v>
      </c>
      <c r="E90" s="2">
        <f>(COUNTIF('Database - Tornado Segments'!$AC$8:$AC$2001, "F20.0005")+COUNTIF('Database - Tornado Segments'!$AC$8:$AC$2001, "EF20.0005"))</f>
        <v>27</v>
      </c>
      <c r="F90" s="2">
        <f>(COUNTIF('Database - Tornado Segments'!$AC$8:$AC$2001, "F30.0005")+COUNTIF('Database - Tornado Segments'!$AC$8:$AC$2001, "EF30.0005"))</f>
        <v>1</v>
      </c>
      <c r="G90" s="2">
        <f>(COUNTIF('Database - Tornado Segments'!$AC$8:$AC$2001, "F40.0005")+COUNTIF('Database - Tornado Segments'!$AC$8:$AC$2001, "EF40.0005"))</f>
        <v>0</v>
      </c>
      <c r="H90" s="2">
        <f>(COUNTIF('Database - Tornado Segments'!$AC$8:$AC$2001, "F50.0005")+COUNTIF('Database - Tornado Segments'!$AC$8:$AC$2001, "EF50.0005"))</f>
        <v>0</v>
      </c>
      <c r="I90" s="56">
        <f t="shared" si="9"/>
        <v>141</v>
      </c>
    </row>
    <row r="91" spans="2:9" ht="15.75">
      <c r="B91" s="346" t="s">
        <v>683</v>
      </c>
      <c r="C91" s="2">
        <f>(COUNTIF('Database - Tornado Segments'!$AC$8:$AC$2001, "F00.001")+COUNTIF('Database - Tornado Segments'!$AC$8:$AC$2001, "EF00.001"))</f>
        <v>137</v>
      </c>
      <c r="D91" s="2">
        <f>(COUNTIF('Database - Tornado Segments'!$AC$8:$AC$2001, "F10.001")+COUNTIF('Database - Tornado Segments'!$AC$8:$AC$2001, "EF10.001"))</f>
        <v>12</v>
      </c>
      <c r="E91" s="2">
        <f>(COUNTIF('Database - Tornado Segments'!$AC$8:$AC$2001, "F20.001")+COUNTIF('Database - Tornado Segments'!$AC$8:$AC$2001, "EF20.001"))</f>
        <v>2</v>
      </c>
      <c r="F91" s="2">
        <f>(COUNTIF('Database - Tornado Segments'!$AC$8:$AC$2001, "F30.001")+COUNTIF('Database - Tornado Segments'!$AC$8:$AC$2001, "EF30.001"))</f>
        <v>0</v>
      </c>
      <c r="G91" s="2">
        <f>(COUNTIF('Database - Tornado Segments'!$AC$8:$AC$2001, "F40.001")+COUNTIF('Database - Tornado Segments'!$AC$8:$AC$2001, "EF40.001"))</f>
        <v>0</v>
      </c>
      <c r="H91" s="2">
        <f>(COUNTIF('Database - Tornado Segments'!$AC$8:$AC$2001, "F50.001")+COUNTIF('Database - Tornado Segments'!$AC$8:$AC$2001, "EF50.001"))</f>
        <v>0</v>
      </c>
      <c r="I91" s="56">
        <f t="shared" si="9"/>
        <v>151</v>
      </c>
    </row>
    <row r="92" spans="2:9" ht="15.75">
      <c r="B92" s="346" t="s">
        <v>684</v>
      </c>
      <c r="C92" s="2">
        <f>(COUNTIF('Database - Tornado Segments'!$AC$8:$AC$2001, "F00.002")+COUNTIF('Database - Tornado Segments'!$AC$8:$AC$2001, "EF00.002"))</f>
        <v>104</v>
      </c>
      <c r="D92" s="2">
        <f>(COUNTIF('Database - Tornado Segments'!$AC$8:$AC$2001, "F10.002")+COUNTIF('Database - Tornado Segments'!$AC$8:$AC$2001, "EF10.002"))</f>
        <v>8</v>
      </c>
      <c r="E92" s="2">
        <f>(COUNTIF('Database - Tornado Segments'!$AC$8:$AC$2001, "F20.002")+COUNTIF('Database - Tornado Segments'!$AC$8:$AC$2001, "EF20.002"))</f>
        <v>1</v>
      </c>
      <c r="F92" s="2">
        <f>(COUNTIF('Database - Tornado Segments'!$AC$8:$AC$2001, "F30.002")+COUNTIF('Database - Tornado Segments'!$AC$8:$AC$2001, "EF30.002"))</f>
        <v>0</v>
      </c>
      <c r="G92" s="2">
        <f>(COUNTIF('Database - Tornado Segments'!$AC$8:$AC$2001, "F40.002")+COUNTIF('Database - Tornado Segments'!$AC$8:$AC$2001, "EF40.002"))</f>
        <v>0</v>
      </c>
      <c r="H92" s="2">
        <f>(COUNTIF('Database - Tornado Segments'!$AC$8:$AC$2001, "F50.002")+COUNTIF('Database - Tornado Segments'!$AC$8:$AC$2001, "EF50.002"))</f>
        <v>0</v>
      </c>
      <c r="I92" s="56">
        <f t="shared" si="9"/>
        <v>113</v>
      </c>
    </row>
    <row r="93" spans="2:9" ht="15.75">
      <c r="B93" s="346" t="s">
        <v>685</v>
      </c>
      <c r="C93" s="2">
        <f>(COUNTIF('Database - Tornado Segments'!$AC$8:$AC$2001, "F00.005")+COUNTIF('Database - Tornado Segments'!$AC$8:$AC$2001, "EF00.005"))</f>
        <v>90</v>
      </c>
      <c r="D93" s="2">
        <f>(COUNTIF('Database - Tornado Segments'!$AC$8:$AC$2001, "F10.005")+COUNTIF('Database - Tornado Segments'!$AC$8:$AC$2001, "EF10.005"))</f>
        <v>21</v>
      </c>
      <c r="E93" s="2">
        <f>(COUNTIF('Database - Tornado Segments'!$AC$8:$AC$2001, "F20.005")+COUNTIF('Database - Tornado Segments'!$AC$8:$AC$2001, "EF20.005"))</f>
        <v>5</v>
      </c>
      <c r="F93" s="2">
        <f>(COUNTIF('Database - Tornado Segments'!$AC$8:$AC$2001, "F30.005")+COUNTIF('Database - Tornado Segments'!$AC$8:$AC$2001, "EF30.005"))</f>
        <v>0</v>
      </c>
      <c r="G93" s="2">
        <f>(COUNTIF('Database - Tornado Segments'!$AC$8:$AC$2001, "F40.005")+COUNTIF('Database - Tornado Segments'!$AC$8:$AC$2001, "EF40.005"))</f>
        <v>0</v>
      </c>
      <c r="H93" s="2">
        <f>(COUNTIF('Database - Tornado Segments'!$AC$8:$AC$2001, "F50.005")+COUNTIF('Database - Tornado Segments'!$AC$8:$AC$2001, "EF50.005"))</f>
        <v>0</v>
      </c>
      <c r="I93" s="56">
        <f t="shared" si="9"/>
        <v>116</v>
      </c>
    </row>
    <row r="94" spans="2:9" ht="15.75">
      <c r="B94" s="346" t="s">
        <v>686</v>
      </c>
      <c r="C94" s="2">
        <f>(COUNTIF('Database - Tornado Segments'!$AC$8:$AC$2001, "F00.01")+COUNTIF('Database - Tornado Segments'!$AC$8:$AC$2001, "EF00.01"))</f>
        <v>88</v>
      </c>
      <c r="D94" s="2">
        <f>(COUNTIF('Database - Tornado Segments'!$AC$8:$AC$2001, "F10.01")+COUNTIF('Database - Tornado Segments'!$AC$8:$AC$2001, "EF10.01"))</f>
        <v>22</v>
      </c>
      <c r="E94" s="2">
        <f>(COUNTIF('Database - Tornado Segments'!$AC$8:$AC$2001, "F20.01")+COUNTIF('Database - Tornado Segments'!$AC$8:$AC$2001, "EF20.01"))</f>
        <v>5</v>
      </c>
      <c r="F94" s="2">
        <f>(COUNTIF('Database - Tornado Segments'!$AC$8:$AC$2001, "F30.01")+COUNTIF('Database - Tornado Segments'!$AC$8:$AC$2001, "EF30.01"))</f>
        <v>0</v>
      </c>
      <c r="G94" s="2">
        <f>(COUNTIF('Database - Tornado Segments'!$AC$8:$AC$2001, "F40.01")+COUNTIF('Database - Tornado Segments'!$AC$8:$AC$2001, "EF40.01"))</f>
        <v>0</v>
      </c>
      <c r="H94" s="2">
        <f>(COUNTIF('Database - Tornado Segments'!$AC$8:$AC$2001, "F50.01")+COUNTIF('Database - Tornado Segments'!$AC$8:$AC$2001, "EF50.01"))</f>
        <v>0</v>
      </c>
      <c r="I94" s="56">
        <f t="shared" si="9"/>
        <v>115</v>
      </c>
    </row>
    <row r="95" spans="2:9" ht="15.75">
      <c r="B95" s="346" t="s">
        <v>687</v>
      </c>
      <c r="C95" s="2">
        <f>(COUNTIF('Database - Tornado Segments'!$AC$8:$AC$2001, "F00.02")+COUNTIF('Database - Tornado Segments'!$AC$8:$AC$2001, "EF00.02"))</f>
        <v>125</v>
      </c>
      <c r="D95" s="2">
        <f>(COUNTIF('Database - Tornado Segments'!$AC$8:$AC$2001, "F10.02")+COUNTIF('Database - Tornado Segments'!$AC$8:$AC$2001, "EF10.02"))</f>
        <v>31</v>
      </c>
      <c r="E95" s="2">
        <f>(COUNTIF('Database - Tornado Segments'!$AC$8:$AC$2001, "F20.02")+COUNTIF('Database - Tornado Segments'!$AC$8:$AC$2001, "EF20.02"))</f>
        <v>8</v>
      </c>
      <c r="F95" s="2">
        <f>(COUNTIF('Database - Tornado Segments'!$AC$8:$AC$2001, "F30.02")+COUNTIF('Database - Tornado Segments'!$AC$8:$AC$2001, "EF30.02"))</f>
        <v>3</v>
      </c>
      <c r="G95" s="2">
        <f>(COUNTIF('Database - Tornado Segments'!$AC$8:$AC$2001, "F40.02")+COUNTIF('Database - Tornado Segments'!$AC$8:$AC$2001, "EF40.02"))</f>
        <v>0</v>
      </c>
      <c r="H95" s="2">
        <f>(COUNTIF('Database - Tornado Segments'!$AC$8:$AC$2001, "F50.02")+COUNTIF('Database - Tornado Segments'!$AC$8:$AC$2001, "EF50.02"))</f>
        <v>0</v>
      </c>
      <c r="I95" s="56">
        <f t="shared" si="9"/>
        <v>167</v>
      </c>
    </row>
    <row r="96" spans="2:9" ht="15.75">
      <c r="B96" s="346" t="s">
        <v>688</v>
      </c>
      <c r="C96" s="2">
        <f>(COUNTIF('Database - Tornado Segments'!$AC$8:$AC$2001, "F00.05")+COUNTIF('Database - Tornado Segments'!$AC$8:$AC$2001, "EF00.05"))</f>
        <v>69</v>
      </c>
      <c r="D96" s="2">
        <f>(COUNTIF('Database - Tornado Segments'!$AC$8:$AC$2001, "F10.05")+COUNTIF('Database - Tornado Segments'!$AC$8:$AC$2001, "EF10.05"))</f>
        <v>27</v>
      </c>
      <c r="E96" s="2">
        <f>(COUNTIF('Database - Tornado Segments'!$AC$8:$AC$2001, "F20.05")+COUNTIF('Database - Tornado Segments'!$AC$8:$AC$2001, "EF20.05"))</f>
        <v>8</v>
      </c>
      <c r="F96" s="2">
        <f>(COUNTIF('Database - Tornado Segments'!$AC$8:$AC$2001, "F30.05")+COUNTIF('Database - Tornado Segments'!$AC$8:$AC$2001, "EF30.05"))</f>
        <v>0</v>
      </c>
      <c r="G96" s="2">
        <f>(COUNTIF('Database - Tornado Segments'!$AC$8:$AC$2001, "F40.05")+COUNTIF('Database - Tornado Segments'!$AC$8:$AC$2001, "EF40.05"))</f>
        <v>0</v>
      </c>
      <c r="H96" s="2">
        <f>(COUNTIF('Database - Tornado Segments'!$AC$8:$AC$2001, "F50.05")+COUNTIF('Database - Tornado Segments'!$AC$8:$AC$2001, "EF50.05"))</f>
        <v>0</v>
      </c>
      <c r="I96" s="56">
        <f t="shared" si="9"/>
        <v>104</v>
      </c>
    </row>
    <row r="97" spans="2:10" ht="15.75">
      <c r="B97" s="346" t="s">
        <v>670</v>
      </c>
      <c r="C97" s="2">
        <f>(COUNTIF('Database - Tornado Segments'!$AC$8:$AC$2001, "F00.1")+COUNTIF('Database - Tornado Segments'!$AC$8:$AC$2001, "EF00.1"))</f>
        <v>47</v>
      </c>
      <c r="D97" s="2">
        <f>(COUNTIF('Database - Tornado Segments'!$AC$8:$AC$2001, "F10.1")+COUNTIF('Database - Tornado Segments'!$AC$8:$AC$2001, "EF10.1"))</f>
        <v>20</v>
      </c>
      <c r="E97" s="2">
        <f>(COUNTIF('Database - Tornado Segments'!$AC$8:$AC$2001, "F20.1")+COUNTIF('Database - Tornado Segments'!$AC$8:$AC$2001, "EF20.1"))</f>
        <v>12</v>
      </c>
      <c r="F97" s="2">
        <f>(COUNTIF('Database - Tornado Segments'!$AC$8:$AC$2001, "F30.1")+COUNTIF('Database - Tornado Segments'!$AC$8:$AC$2001, "EF30.1"))</f>
        <v>6</v>
      </c>
      <c r="G97" s="2">
        <f>(COUNTIF('Database - Tornado Segments'!$AC$8:$AC$2001, "F40.1")+COUNTIF('Database - Tornado Segments'!$AC$8:$AC$2001, "EF40.1"))</f>
        <v>0</v>
      </c>
      <c r="H97" s="2">
        <f>(COUNTIF('Database - Tornado Segments'!$AC$8:$AC$2001, "F50.1")+COUNTIF('Database - Tornado Segments'!$AC$8:$AC$2001, "EF50.1"))</f>
        <v>0</v>
      </c>
      <c r="I97" s="56">
        <f t="shared" si="9"/>
        <v>85</v>
      </c>
    </row>
    <row r="98" spans="2:10" ht="15.75">
      <c r="B98" s="346" t="s">
        <v>671</v>
      </c>
      <c r="C98" s="2">
        <f>(COUNTIF('Database - Tornado Segments'!$AC$8:$AC$2001, "F00.2")+COUNTIF('Database - Tornado Segments'!$AC$8:$AC$2001, "EF00.2"))</f>
        <v>26</v>
      </c>
      <c r="D98" s="2">
        <f>(COUNTIF('Database - Tornado Segments'!$AC$8:$AC$2001, "F10.2")+COUNTIF('Database - Tornado Segments'!$AC$8:$AC$2001, "EF10.2"))</f>
        <v>38</v>
      </c>
      <c r="E98" s="2">
        <f>(COUNTIF('Database - Tornado Segments'!$AC$8:$AC$2001, "F20.2")+COUNTIF('Database - Tornado Segments'!$AC$8:$AC$2001, "EF20.2"))</f>
        <v>17</v>
      </c>
      <c r="F98" s="2">
        <f>(COUNTIF('Database - Tornado Segments'!$AC$8:$AC$2001, "F30.2")+COUNTIF('Database - Tornado Segments'!$AC$8:$AC$2001, "EF30.2"))</f>
        <v>2</v>
      </c>
      <c r="G98" s="2">
        <f>(COUNTIF('Database - Tornado Segments'!$AC$8:$AC$2001, "F40.2")+COUNTIF('Database - Tornado Segments'!$AC$8:$AC$2001, "EF40.2"))</f>
        <v>1</v>
      </c>
      <c r="H98" s="2">
        <f>(COUNTIF('Database - Tornado Segments'!$AC$8:$AC$2001, "F50.2")+COUNTIF('Database - Tornado Segments'!$AC$8:$AC$2001, "EF50.2"))</f>
        <v>0</v>
      </c>
      <c r="I98" s="56">
        <f t="shared" si="9"/>
        <v>84</v>
      </c>
    </row>
    <row r="99" spans="2:10" ht="15.75">
      <c r="B99" s="346" t="s">
        <v>672</v>
      </c>
      <c r="C99" s="2">
        <f>(COUNTIF('Database - Tornado Segments'!$AC$8:$AC$2001, "F00.5")+COUNTIF('Database - Tornado Segments'!$AC$8:$AC$2001, "EF00.5"))</f>
        <v>8</v>
      </c>
      <c r="D99" s="2">
        <f>(COUNTIF('Database - Tornado Segments'!$AC$8:$AC$2001, "F10.5")+COUNTIF('Database - Tornado Segments'!$AC$8:$AC$2001, "EF10.5"))</f>
        <v>27</v>
      </c>
      <c r="E99" s="2">
        <f>(COUNTIF('Database - Tornado Segments'!$AC$8:$AC$2001, "F20.5")+COUNTIF('Database - Tornado Segments'!$AC$8:$AC$2001, "EF20.5"))</f>
        <v>18</v>
      </c>
      <c r="F99" s="2">
        <f>(COUNTIF('Database - Tornado Segments'!$AC$8:$AC$2001, "F30.5")+COUNTIF('Database - Tornado Segments'!$AC$8:$AC$2001, "EF30.5"))</f>
        <v>9</v>
      </c>
      <c r="G99" s="2">
        <f>(COUNTIF('Database - Tornado Segments'!$AC$8:$AC$2001, "F40.5")+COUNTIF('Database - Tornado Segments'!$AC$8:$AC$2001, "EF40.5"))</f>
        <v>1</v>
      </c>
      <c r="H99" s="2">
        <f>(COUNTIF('Database - Tornado Segments'!$AC$8:$AC$2001, "F50.5")+COUNTIF('Database - Tornado Segments'!$AC$8:$AC$2001, "EF50.5"))</f>
        <v>0</v>
      </c>
      <c r="I99" s="56">
        <f t="shared" si="9"/>
        <v>63</v>
      </c>
    </row>
    <row r="100" spans="2:10" ht="15.75">
      <c r="B100" s="346" t="s">
        <v>673</v>
      </c>
      <c r="C100" s="2">
        <f>(COUNTIF('Database - Tornado Segments'!$AC$8:$AC$2001, "F01")+COUNTIF('Database - Tornado Segments'!$AC$8:$AC$2001, "EF01"))</f>
        <v>7</v>
      </c>
      <c r="D100" s="2">
        <f>(COUNTIF('Database - Tornado Segments'!$AC$8:$AC$2001, "F11")+COUNTIF('Database - Tornado Segments'!$AC$8:$AC$2001, "EF11"))</f>
        <v>12</v>
      </c>
      <c r="E100" s="2">
        <f>(COUNTIF('Database - Tornado Segments'!$AC$8:$AC$2001, "F21")+COUNTIF('Database - Tornado Segments'!$AC$8:$AC$2001, "EF21"))</f>
        <v>12</v>
      </c>
      <c r="F100" s="2">
        <f>(COUNTIF('Database - Tornado Segments'!$AC$8:$AC$2001, "F31")+COUNTIF('Database - Tornado Segments'!$AC$8:$AC$2001, "EF31"))</f>
        <v>6</v>
      </c>
      <c r="G100" s="2">
        <f>(COUNTIF('Database - Tornado Segments'!$AC$8:$AC$2001, "F41")+COUNTIF('Database - Tornado Segments'!$AC$8:$AC$2001, "EF41"))</f>
        <v>1</v>
      </c>
      <c r="H100" s="2">
        <f>(COUNTIF('Database - Tornado Segments'!$AC$8:$AC$2001, "F51")+COUNTIF('Database - Tornado Segments'!$AC$8:$AC$2001, "EF51"))</f>
        <v>0</v>
      </c>
      <c r="I100" s="56">
        <f t="shared" si="9"/>
        <v>38</v>
      </c>
    </row>
    <row r="101" spans="2:10" ht="15.75">
      <c r="B101" s="346" t="s">
        <v>674</v>
      </c>
      <c r="C101" s="2">
        <f>(COUNTIF('Database - Tornado Segments'!$AC$8:$AC$2001, "F02")+COUNTIF('Database - Tornado Segments'!$AC$8:$AC$2001, "EF02"))</f>
        <v>2</v>
      </c>
      <c r="D101" s="2">
        <f>(COUNTIF('Database - Tornado Segments'!$AC$8:$AC$2001, "F12")+COUNTIF('Database - Tornado Segments'!$AC$8:$AC$2001, "EF12"))</f>
        <v>8</v>
      </c>
      <c r="E101" s="2">
        <f>(COUNTIF('Database - Tornado Segments'!$AC$8:$AC$2001, "F22")+COUNTIF('Database - Tornado Segments'!$AC$8:$AC$2001, "EF22"))</f>
        <v>13</v>
      </c>
      <c r="F101" s="2">
        <f>(COUNTIF('Database - Tornado Segments'!$AC$8:$AC$2001, "F32")+COUNTIF('Database - Tornado Segments'!$AC$8:$AC$2001, "EF32"))</f>
        <v>9</v>
      </c>
      <c r="G101" s="2">
        <f>(COUNTIF('Database - Tornado Segments'!$AC$8:$AC$2001, "F42")+COUNTIF('Database - Tornado Segments'!$AC$8:$AC$2001, "EF42"))</f>
        <v>9</v>
      </c>
      <c r="H101" s="2">
        <f>(COUNTIF('Database - Tornado Segments'!$AC$8:$AC$2001, "F52")+COUNTIF('Database - Tornado Segments'!$AC$8:$AC$2001, "EF52"))</f>
        <v>0</v>
      </c>
      <c r="I101" s="56">
        <f t="shared" si="9"/>
        <v>41</v>
      </c>
    </row>
    <row r="102" spans="2:10" ht="15.75">
      <c r="B102" s="346" t="s">
        <v>675</v>
      </c>
      <c r="C102" s="2">
        <f>(COUNTIF('Database - Tornado Segments'!$AC$8:$AC$2001, "F05")+COUNTIF('Database - Tornado Segments'!$AC$8:$AC$2001, "EF05"))</f>
        <v>1</v>
      </c>
      <c r="D102" s="2">
        <f>(COUNTIF('Database - Tornado Segments'!$AC$8:$AC$2001, "F15")+COUNTIF('Database - Tornado Segments'!$AC$8:$AC$2001, "EF15"))</f>
        <v>6</v>
      </c>
      <c r="E102" s="2">
        <f>(COUNTIF('Database - Tornado Segments'!$AC$8:$AC$2001, "F25")+COUNTIF('Database - Tornado Segments'!$AC$8:$AC$2001, "EF25"))</f>
        <v>8</v>
      </c>
      <c r="F102" s="2">
        <f>(COUNTIF('Database - Tornado Segments'!$AC$8:$AC$2001, "F35")+COUNTIF('Database - Tornado Segments'!$AC$8:$AC$2001, "EF35"))</f>
        <v>5</v>
      </c>
      <c r="G102" s="2">
        <f>(COUNTIF('Database - Tornado Segments'!$AC$8:$AC$2001, "F45")+COUNTIF('Database - Tornado Segments'!$AC$8:$AC$2001, "EF45"))</f>
        <v>4</v>
      </c>
      <c r="H102" s="2">
        <f>(COUNTIF('Database - Tornado Segments'!$AC$8:$AC$2001, "F55")+COUNTIF('Database - Tornado Segments'!$AC$8:$AC$2001, "EF55"))</f>
        <v>0</v>
      </c>
      <c r="I102" s="56">
        <f t="shared" si="9"/>
        <v>24</v>
      </c>
    </row>
    <row r="103" spans="2:10" ht="15.75">
      <c r="B103" s="346" t="s">
        <v>676</v>
      </c>
      <c r="C103" s="2">
        <f>(COUNTIF('Database - Tornado Segments'!$AC$8:$AC$2001, "F010")+COUNTIF('Database - Tornado Segments'!$AC$8:$AC$2001, "EF010"))</f>
        <v>0</v>
      </c>
      <c r="D103" s="2">
        <f>(COUNTIF('Database - Tornado Segments'!$AC$8:$AC$2001, "F110")+COUNTIF('Database - Tornado Segments'!$AC$8:$AC$2001, "EF110"))</f>
        <v>0</v>
      </c>
      <c r="E103" s="2">
        <f>(COUNTIF('Database - Tornado Segments'!$AC$8:$AC$2001, "F210")+COUNTIF('Database - Tornado Segments'!$AC$8:$AC$2001, "EF210"))</f>
        <v>1</v>
      </c>
      <c r="F103" s="2">
        <f>(COUNTIF('Database - Tornado Segments'!$AC$8:$AC$2001, "F310")+COUNTIF('Database - Tornado Segments'!$AC$8:$AC$2001, "EF310"))</f>
        <v>2</v>
      </c>
      <c r="G103" s="2">
        <f>(COUNTIF('Database - Tornado Segments'!$AC$8:$AC$2001, "F410")+COUNTIF('Database - Tornado Segments'!$AC$8:$AC$2001, "EF410"))</f>
        <v>6</v>
      </c>
      <c r="H103" s="2">
        <f>(COUNTIF('Database - Tornado Segments'!$AC$8:$AC$2001, "F510")+COUNTIF('Database - Tornado Segments'!$AC$8:$AC$2001, "EF510"))</f>
        <v>0</v>
      </c>
      <c r="I103" s="56">
        <f t="shared" si="9"/>
        <v>9</v>
      </c>
    </row>
    <row r="104" spans="2:10" ht="15.75">
      <c r="B104" s="346" t="s">
        <v>677</v>
      </c>
      <c r="C104" s="2">
        <f>(COUNTIF('Database - Tornado Segments'!$AC$8:$AC$2001, "F020")+COUNTIF('Database - Tornado Segments'!$AC$8:$AC$2001, "EF020"))</f>
        <v>0</v>
      </c>
      <c r="D104" s="2">
        <f>(COUNTIF('Database - Tornado Segments'!$AC$8:$AC$2001, "F120")+COUNTIF('Database - Tornado Segments'!$AC$8:$AC$2001, "EF120"))</f>
        <v>0</v>
      </c>
      <c r="E104" s="2">
        <f>(COUNTIF('Database - Tornado Segments'!$AC$8:$AC$2001, "F220")+COUNTIF('Database - Tornado Segments'!$AC$8:$AC$2001, "EF220"))</f>
        <v>0</v>
      </c>
      <c r="F104" s="2">
        <f>(COUNTIF('Database - Tornado Segments'!$AC$8:$AC$2001, "F320")+COUNTIF('Database - Tornado Segments'!$AC$8:$AC$2001, "EF320"))</f>
        <v>0</v>
      </c>
      <c r="G104" s="2">
        <f>(COUNTIF('Database - Tornado Segments'!$AC$8:$AC$2001, "F420")+COUNTIF('Database - Tornado Segments'!$AC$8:$AC$2001, "EF420"))</f>
        <v>1</v>
      </c>
      <c r="H104" s="2">
        <f>(COUNTIF('Database - Tornado Segments'!$AC$8:$AC$2001, "F520")+COUNTIF('Database - Tornado Segments'!$AC$8:$AC$2001, "EF520"))</f>
        <v>0</v>
      </c>
      <c r="I104" s="56">
        <f t="shared" si="9"/>
        <v>1</v>
      </c>
    </row>
    <row r="105" spans="2:10" ht="15.75">
      <c r="B105" s="346"/>
      <c r="C105" s="2"/>
      <c r="D105" s="2"/>
      <c r="E105" s="2"/>
      <c r="F105" s="2"/>
      <c r="G105" s="2"/>
      <c r="I105" s="56"/>
    </row>
    <row r="106" spans="2:10" ht="16.5" thickBot="1">
      <c r="B106" s="349" t="s">
        <v>1494</v>
      </c>
      <c r="C106" s="954">
        <f t="shared" ref="C106:H106" si="10">SUM(C87:C105)</f>
        <v>807</v>
      </c>
      <c r="D106" s="954">
        <f t="shared" si="10"/>
        <v>262</v>
      </c>
      <c r="E106" s="954">
        <f t="shared" si="10"/>
        <v>137</v>
      </c>
      <c r="F106" s="954">
        <f t="shared" si="10"/>
        <v>43</v>
      </c>
      <c r="G106" s="954">
        <f t="shared" si="10"/>
        <v>23</v>
      </c>
      <c r="H106" s="954">
        <f t="shared" si="10"/>
        <v>0</v>
      </c>
      <c r="I106" s="350">
        <f>SUM(I87:I104)</f>
        <v>1272</v>
      </c>
      <c r="J106" s="955"/>
    </row>
    <row r="107" spans="2:10" ht="15.75" thickTop="1">
      <c r="B107" s="52"/>
      <c r="C107" s="52"/>
      <c r="D107" s="52"/>
      <c r="E107" s="52"/>
      <c r="F107" s="52"/>
      <c r="G107" s="52"/>
      <c r="H107" s="52"/>
      <c r="I107" s="53"/>
    </row>
    <row r="108" spans="2:10">
      <c r="B108" s="52"/>
      <c r="C108" s="52"/>
      <c r="D108" s="52"/>
      <c r="E108" s="52"/>
      <c r="F108" s="52"/>
      <c r="G108" s="52"/>
      <c r="H108" s="52"/>
      <c r="I108" s="53"/>
    </row>
    <row r="109" spans="2:10" ht="15.75" thickBot="1">
      <c r="B109" s="52"/>
      <c r="C109" s="52"/>
      <c r="D109" s="52"/>
      <c r="E109" s="52"/>
      <c r="F109" s="52"/>
      <c r="G109" s="52"/>
      <c r="H109" s="52"/>
      <c r="I109" s="53"/>
    </row>
    <row r="110" spans="2:10" ht="24" thickTop="1">
      <c r="B110" s="1124" t="s">
        <v>668</v>
      </c>
      <c r="C110" s="1119"/>
      <c r="D110" s="1119"/>
      <c r="E110" s="1119"/>
      <c r="F110" s="1119"/>
      <c r="G110" s="1119"/>
      <c r="H110" s="1119"/>
      <c r="I110" s="1120"/>
    </row>
    <row r="111" spans="2:10" ht="15.75">
      <c r="B111" s="62"/>
      <c r="C111" s="1121" t="s">
        <v>479</v>
      </c>
      <c r="D111" s="1121"/>
      <c r="E111" s="1121"/>
      <c r="F111" s="1121"/>
      <c r="G111" s="1121"/>
      <c r="H111" s="1121"/>
      <c r="I111" s="63"/>
    </row>
    <row r="112" spans="2:10" ht="19.5" thickBot="1">
      <c r="B112" s="347" t="s">
        <v>669</v>
      </c>
      <c r="C112" s="65" t="s">
        <v>481</v>
      </c>
      <c r="D112" s="65" t="s">
        <v>167</v>
      </c>
      <c r="E112" s="65" t="s">
        <v>168</v>
      </c>
      <c r="F112" s="65" t="s">
        <v>169</v>
      </c>
      <c r="G112" s="65" t="s">
        <v>170</v>
      </c>
      <c r="H112" s="65" t="s">
        <v>171</v>
      </c>
      <c r="I112" s="66" t="s">
        <v>482</v>
      </c>
    </row>
    <row r="113" spans="2:9">
      <c r="B113" s="55"/>
      <c r="C113" s="1"/>
      <c r="D113" s="1"/>
      <c r="E113" s="1"/>
      <c r="F113" s="1"/>
      <c r="G113" s="1"/>
      <c r="H113" s="1"/>
      <c r="I113" s="39"/>
    </row>
    <row r="114" spans="2:9" ht="15.75">
      <c r="B114" s="780" t="s">
        <v>1270</v>
      </c>
      <c r="C114" s="2">
        <f>(COUNTIF('Database - Tornado Segments'!$AC$8:$AC$2001, "F00.00005")+COUNTIF('Database - Tornado Segments'!$AC$8:$AC$2001, "EF00.00005"))+C115</f>
        <v>807</v>
      </c>
      <c r="D114" s="2">
        <f>(COUNTIF('Database - Tornado Segments'!$AC$8:$AC$2001, "F10.00005")+COUNTIF('Database - Tornado Segments'!$AC$8:$AC$2001, "EF10.00005"))+D115</f>
        <v>262</v>
      </c>
      <c r="E114" s="2">
        <f>(COUNTIF('Database - Tornado Segments'!$AC$8:$AC$2001, "F20.00005")+COUNTIF('Database - Tornado Segments'!$AC$8:$AC$2001, "EF20.00005"))+E115</f>
        <v>137</v>
      </c>
      <c r="F114" s="2">
        <f>(COUNTIF('Database - Tornado Segments'!$AC$8:$AC$2001, "F30.00005")+COUNTIF('Database - Tornado Segments'!$AC$8:$AC$2001, "EF30.000052"))+F115</f>
        <v>43</v>
      </c>
      <c r="G114" s="2">
        <f>(COUNTIF('Database - Tornado Segments'!$AC$8:$AC$2001, "F40.00005")+COUNTIF('Database - Tornado Segments'!$AC$8:$AC$2001, "EF40.00005"))+G115</f>
        <v>23</v>
      </c>
      <c r="H114" s="2">
        <f>(COUNTIF('Database - Tornado Segments'!$AC$8:$AC$2001, "F50.00005")+COUNTIF('Database - Tornado Segments'!$AC$8:AC$2001, "EF50.00005"))+H115</f>
        <v>0</v>
      </c>
      <c r="I114" s="56">
        <f t="shared" ref="I114" si="11">SUM(C114:H114)</f>
        <v>1272</v>
      </c>
    </row>
    <row r="115" spans="2:9" ht="15.75">
      <c r="B115" s="780" t="s">
        <v>1269</v>
      </c>
      <c r="C115" s="2">
        <f>(COUNTIF('Database - Tornado Segments'!$AC$8:$AC$2001, "F00.0001")+COUNTIF('Database - Tornado Segments'!$AC$8:$AC$2001, "EF00.0001"))+C116</f>
        <v>806</v>
      </c>
      <c r="D115" s="2">
        <f>(COUNTIF('Database - Tornado Segments'!$AC$8:$AC$2001, "F10.0001")+COUNTIF('Database - Tornado Segments'!$AC$8:$AC$2001, "EF10.0001"))+D116</f>
        <v>262</v>
      </c>
      <c r="E115" s="2">
        <f>(COUNTIF('Database - Tornado Segments'!$AC$8:$AC$2001, "F20.0001")+COUNTIF('Database - Tornado Segments'!$AC$8:$AC$2001, "EF20.0001"))+E116</f>
        <v>137</v>
      </c>
      <c r="F115" s="2">
        <f>(COUNTIF('Database - Tornado Segments'!$AC$8:$AC$2001, "F30.0001")+COUNTIF('Database - Tornado Segments'!$AC$8:$AC$2001, "EF30.0001"))+F116</f>
        <v>43</v>
      </c>
      <c r="G115" s="2">
        <f>(COUNTIF('Database - Tornado Segments'!$AC$8:$AC$2001, "F40.0001")+COUNTIF('Database - Tornado Segments'!$AC$8:$AC$2001, "EF40.0001"))+G116</f>
        <v>23</v>
      </c>
      <c r="H115" s="2">
        <f>(COUNTIF('Database - Tornado Segments'!$AC$8:$AC$2001, "F50.0001")+COUNTIF('Database - Tornado Segments'!$AC$8:AC$2001, "EF50.0001"))+H116</f>
        <v>0</v>
      </c>
      <c r="I115" s="56">
        <f t="shared" ref="I115" si="12">SUM(C115:H115)</f>
        <v>1271</v>
      </c>
    </row>
    <row r="116" spans="2:9" ht="15.75">
      <c r="B116" s="67" t="s">
        <v>689</v>
      </c>
      <c r="C116" s="2">
        <f>(COUNTIF('Database - Tornado Segments'!$AC$8:$AC$2001, "F00.0002")+COUNTIF('Database - Tornado Segments'!$AC$8:$AC$2001, "EF00.0002"))+C117</f>
        <v>797</v>
      </c>
      <c r="D116" s="2">
        <f>(COUNTIF('Database - Tornado Segments'!$AC$8:$AC$2001, "F10.0002")+COUNTIF('Database - Tornado Segments'!$AC$8:$AC$2001, "EF10.0002"))+D117</f>
        <v>261</v>
      </c>
      <c r="E116" s="2">
        <f>(COUNTIF('Database - Tornado Segments'!$AC$8:$AC$2001, "F20.0002")+COUNTIF('Database - Tornado Segments'!$AC$8:$AC$2001, "EF20.0002"))+E117</f>
        <v>137</v>
      </c>
      <c r="F116" s="2">
        <f>(COUNTIF('Database - Tornado Segments'!$AC$8:$AC$2001, "F30.0002")+COUNTIF('Database - Tornado Segments'!$AC$8:$AC$2001, "EF30.0002"))+F117</f>
        <v>43</v>
      </c>
      <c r="G116" s="2">
        <f>(COUNTIF('Database - Tornado Segments'!$AC$8:$AC$2001, "F40.0002")+COUNTIF('Database - Tornado Segments'!$AC$8:$AC$2001, "EF40.0002"))+G117</f>
        <v>23</v>
      </c>
      <c r="H116" s="2">
        <f>(COUNTIF('Database - Tornado Segments'!$AC$8:$AC$2001, "F50.0002")+COUNTIF('Database - Tornado Segments'!$AC$8:AC$2001, "EF50.0002"))+H117</f>
        <v>0</v>
      </c>
      <c r="I116" s="56">
        <f t="shared" ref="I116:I123" si="13">SUM(C116:H116)</f>
        <v>1261</v>
      </c>
    </row>
    <row r="117" spans="2:9" ht="15.75">
      <c r="B117" s="67" t="s">
        <v>690</v>
      </c>
      <c r="C117" s="2">
        <f>(COUNTIF('Database - Tornado Segments'!$AC$8:$AC$2001, "F00.0005")+COUNTIF('Database - Tornado Segments'!$AC$8:$AC$2001, "EF00.0005"))+C118</f>
        <v>789</v>
      </c>
      <c r="D117" s="2">
        <f>(COUNTIF('Database - Tornado Segments'!$AC$8:$AC$2001, "F10.0005")+COUNTIF('Database - Tornado Segments'!$AC$8:$AC$2001, "EF10.0005"))+D118</f>
        <v>260</v>
      </c>
      <c r="E117" s="2">
        <f>(COUNTIF('Database - Tornado Segments'!$AC$8:$AC$2001, "F20.0005")+COUNTIF('Database - Tornado Segments'!$AC$8:$AC$2001, "EF20.0005"))+E118</f>
        <v>137</v>
      </c>
      <c r="F117" s="2">
        <f>(COUNTIF('Database - Tornado Segments'!$AC$8:$AC$2001, "F30.0005")+COUNTIF('Database - Tornado Segments'!$AC$8:$AC$2001, "EF30.0005"))+F118</f>
        <v>43</v>
      </c>
      <c r="G117" s="2">
        <f>(COUNTIF('Database - Tornado Segments'!$AC$8:$AC$2001, "F40.0005")+COUNTIF('Database - Tornado Segments'!$AC$8:$AC$2001, "EF40.0005"))+G118</f>
        <v>23</v>
      </c>
      <c r="H117" s="2">
        <f>(COUNTIF('Database - Tornado Segments'!$AC$8:$AC$2001, "F50.0005")+COUNTIF('Database - Tornado Segments'!$AC$8:$AC$2001, "EF50.0005"))+H118</f>
        <v>0</v>
      </c>
      <c r="I117" s="56">
        <f t="shared" si="13"/>
        <v>1252</v>
      </c>
    </row>
    <row r="118" spans="2:9" ht="15.75">
      <c r="B118" s="67" t="s">
        <v>691</v>
      </c>
      <c r="C118" s="2">
        <f>(COUNTIF('Database - Tornado Segments'!$AC$8:$AC$2001, "F00.001")+COUNTIF('Database - Tornado Segments'!$AC$8:$AC$2001, "EF00.001"))+C119</f>
        <v>704</v>
      </c>
      <c r="D118" s="2">
        <f>(COUNTIF('Database - Tornado Segments'!$AC$8:$AC$2001, "F10.001")+COUNTIF('Database - Tornado Segments'!$AC$8:$AC$2001, "EF10.001"))+D119</f>
        <v>232</v>
      </c>
      <c r="E118" s="2">
        <f>(COUNTIF('Database - Tornado Segments'!$AC$8:$AC$2001, "F20.001")+COUNTIF('Database - Tornado Segments'!$AC$8:$AC$2001, "EF20.001"))+E119</f>
        <v>110</v>
      </c>
      <c r="F118" s="2">
        <f>(COUNTIF('Database - Tornado Segments'!$AC$8:$AC$2001, "F30.001")+COUNTIF('Database - Tornado Segments'!$AC$8:$AC$2001, "EF30.001"))+F119</f>
        <v>42</v>
      </c>
      <c r="G118" s="2">
        <f>(COUNTIF('Database - Tornado Segments'!$AC$8:$AC$2001, "F40.001")+COUNTIF('Database - Tornado Segments'!$AC$8:$AC$2001, "EF40.001"))+G119</f>
        <v>23</v>
      </c>
      <c r="H118" s="2">
        <f>(COUNTIF('Database - Tornado Segments'!$AC$8:$AC$2001, "F50.001")+COUNTIF('Database - Tornado Segments'!$AC$8:$AC$2001, "EF50.001"))+H119</f>
        <v>0</v>
      </c>
      <c r="I118" s="56">
        <f t="shared" si="13"/>
        <v>1111</v>
      </c>
    </row>
    <row r="119" spans="2:9" ht="15.75">
      <c r="B119" s="67" t="s">
        <v>692</v>
      </c>
      <c r="C119" s="2">
        <f>(COUNTIF('Database - Tornado Segments'!$AC$8:$AC$2001, "F00.002")+COUNTIF('Database - Tornado Segments'!$AC$8:$AC$2001, "EF00.002"))+C120</f>
        <v>567</v>
      </c>
      <c r="D119" s="2">
        <f>(COUNTIF('Database - Tornado Segments'!$AC$8:$AC$2001, "F10.002")+COUNTIF('Database - Tornado Segments'!$AC$8:$AC$2001, "EF10.002"))+D120</f>
        <v>220</v>
      </c>
      <c r="E119" s="2">
        <f>(COUNTIF('Database - Tornado Segments'!$AC$8:$AC$2001, "F20.002")+COUNTIF('Database - Tornado Segments'!$AC$8:$AC$2001, "EF20.002"))+E120</f>
        <v>108</v>
      </c>
      <c r="F119" s="2">
        <f>(COUNTIF('Database - Tornado Segments'!$AC$8:$AC$2001, "F30.002")+COUNTIF('Database - Tornado Segments'!$AC$8:$AC$2001, "EF30.002"))+F120</f>
        <v>42</v>
      </c>
      <c r="G119" s="2">
        <f>(COUNTIF('Database - Tornado Segments'!$AC$8:$AC$2001, "F40.002")+COUNTIF('Database - Tornado Segments'!$AC$8:$AC$2001, "EF40.002"))+G120</f>
        <v>23</v>
      </c>
      <c r="H119" s="2">
        <f>(COUNTIF('Database - Tornado Segments'!$AC$8:$AC$2001, "F50.002")+COUNTIF('Database - Tornado Segments'!$AC$8:$AC$2001, "EF50.002"))+H120</f>
        <v>0</v>
      </c>
      <c r="I119" s="56">
        <f t="shared" si="13"/>
        <v>960</v>
      </c>
    </row>
    <row r="120" spans="2:9" ht="15.75">
      <c r="B120" s="67" t="s">
        <v>693</v>
      </c>
      <c r="C120" s="2">
        <f>(COUNTIF('Database - Tornado Segments'!$AC$8:$AC$2001, "F00.005")+COUNTIF('Database - Tornado Segments'!$AC$8:$AC$2001, "EF00.005"))+C121</f>
        <v>463</v>
      </c>
      <c r="D120" s="2">
        <f>(COUNTIF('Database - Tornado Segments'!$AC$8:$AC$2001, "F10.005")+COUNTIF('Database - Tornado Segments'!$AC$8:$AC$2001, "EF10.005"))+D121</f>
        <v>212</v>
      </c>
      <c r="E120" s="2">
        <f>(COUNTIF('Database - Tornado Segments'!$AC$8:$AC$2001, "F20.005")+COUNTIF('Database - Tornado Segments'!$AC$8:$AC$2001, "EF20.005"))+E121</f>
        <v>107</v>
      </c>
      <c r="F120" s="2">
        <f>(COUNTIF('Database - Tornado Segments'!$AC$8:$AC$2001, "F30.005")+COUNTIF('Database - Tornado Segments'!$AC$8:$AC$2001, "EF30.005"))+F121</f>
        <v>42</v>
      </c>
      <c r="G120" s="2">
        <f>(COUNTIF('Database - Tornado Segments'!$AC$8:$AC$2001, "F40.005")+COUNTIF('Database - Tornado Segments'!$AC$8:$AC$2001, "EF40.005"))+G121</f>
        <v>23</v>
      </c>
      <c r="H120" s="2">
        <f>(COUNTIF('Database - Tornado Segments'!$AC$8:$AC$2001, "F50.005")+COUNTIF('Database - Tornado Segments'!$AC$8:$AC$2001, "EF50.005"))+H121</f>
        <v>0</v>
      </c>
      <c r="I120" s="56">
        <f t="shared" si="13"/>
        <v>847</v>
      </c>
    </row>
    <row r="121" spans="2:9" ht="15.75">
      <c r="B121" s="67" t="s">
        <v>694</v>
      </c>
      <c r="C121" s="2">
        <f>(COUNTIF('Database - Tornado Segments'!$AC$8:$AC$2001, "F00.01")+COUNTIF('Database - Tornado Segments'!$AC$8:$AC$2001, "EF00.01"))+C122</f>
        <v>373</v>
      </c>
      <c r="D121" s="2">
        <f>(COUNTIF('Database - Tornado Segments'!$AC$8:$AC$2001, "F10.01")+COUNTIF('Database - Tornado Segments'!$AC$8:$AC$2001, "EF10.01"))+D122</f>
        <v>191</v>
      </c>
      <c r="E121" s="2">
        <f>(COUNTIF('Database - Tornado Segments'!$AC$8:$AC$2001, "F20.01")+COUNTIF('Database - Tornado Segments'!$AC$8:$AC$2001, "EF20.01"))+E122</f>
        <v>102</v>
      </c>
      <c r="F121" s="2">
        <f>(COUNTIF('Database - Tornado Segments'!$AC$8:$AC$2001, "F30.01")+COUNTIF('Database - Tornado Segments'!$AC$8:$AC$2001, "EF30.01"))+F122</f>
        <v>42</v>
      </c>
      <c r="G121" s="2">
        <f>(COUNTIF('Database - Tornado Segments'!$AC$8:$AC$2001, "F40.01")+COUNTIF('Database - Tornado Segments'!$AC$8:$AC$2001, "EF40.01"))+G122</f>
        <v>23</v>
      </c>
      <c r="H121" s="2">
        <f>(COUNTIF('Database - Tornado Segments'!$AC$8:$AC$2001, "F50.01")+COUNTIF('Database - Tornado Segments'!$AC$8:$AC$2001, "EF50.01"))+H122</f>
        <v>0</v>
      </c>
      <c r="I121" s="56">
        <f t="shared" si="13"/>
        <v>731</v>
      </c>
    </row>
    <row r="122" spans="2:9" ht="15.75">
      <c r="B122" s="67" t="s">
        <v>695</v>
      </c>
      <c r="C122" s="2">
        <f>(COUNTIF('Database - Tornado Segments'!$AC$8:$AC$2001, "F00.02")+COUNTIF('Database - Tornado Segments'!$AC$8:$AC$2001, "EF00.02"))+C123</f>
        <v>285</v>
      </c>
      <c r="D122" s="2">
        <f>(COUNTIF('Database - Tornado Segments'!$AC$8:$AC$2001, "F10.02")+COUNTIF('Database - Tornado Segments'!$AC$8:$AC$2001, "EF10.02"))+D123</f>
        <v>169</v>
      </c>
      <c r="E122" s="2">
        <f>(COUNTIF('Database - Tornado Segments'!$AC$8:$AC$2001, "F20.02")+COUNTIF('Database - Tornado Segments'!$AC$8:$AC$2001, "EF20.02"))+E123</f>
        <v>97</v>
      </c>
      <c r="F122" s="2">
        <f>(COUNTIF('Database - Tornado Segments'!$AC$8:$AC$2001, "F30.02")+COUNTIF('Database - Tornado Segments'!$AC$8:$AC$2001, "EF30.02"))+F123</f>
        <v>42</v>
      </c>
      <c r="G122" s="2">
        <f>(COUNTIF('Database - Tornado Segments'!$AC$8:$AC$2001, "F40.02")+COUNTIF('Database - Tornado Segments'!$AC$8:$AC$2001, "EF40.02"))+G123</f>
        <v>23</v>
      </c>
      <c r="H122" s="2">
        <f>(COUNTIF('Database - Tornado Segments'!$AC$8:$AC$2001, "F50.02")+COUNTIF('Database - Tornado Segments'!$AC$8:$AC$2001, "EF50.02"))+H123</f>
        <v>0</v>
      </c>
      <c r="I122" s="56">
        <f t="shared" si="13"/>
        <v>616</v>
      </c>
    </row>
    <row r="123" spans="2:9" ht="15.75">
      <c r="B123" s="67" t="s">
        <v>696</v>
      </c>
      <c r="C123" s="2">
        <f>(COUNTIF('Database - Tornado Segments'!$AC$8:$AC$2001, "F00.05")+COUNTIF('Database - Tornado Segments'!$AC$8:$AC$2001, "EF00.05"))+C124</f>
        <v>160</v>
      </c>
      <c r="D123" s="2">
        <f>(COUNTIF('Database - Tornado Segments'!$AC$8:$AC$2001, "F10.05")+COUNTIF('Database - Tornado Segments'!$AC$8:$AC$2001, "EF10.05"))+D124</f>
        <v>138</v>
      </c>
      <c r="E123" s="2">
        <f>(COUNTIF('Database - Tornado Segments'!$AC$8:$AC$2001, "F20.05")+COUNTIF('Database - Tornado Segments'!$AC$8:$AC$2001, "EF20.05"))+E124</f>
        <v>89</v>
      </c>
      <c r="F123" s="2">
        <f>(COUNTIF('Database - Tornado Segments'!$AC$8:$AC$2001, "F30.05")+COUNTIF('Database - Tornado Segments'!$AC$8:$AC$2001, "EF30.05"))+F124</f>
        <v>39</v>
      </c>
      <c r="G123" s="2">
        <f>(COUNTIF('Database - Tornado Segments'!$AC$8:$AC$2001, "F40.05")+COUNTIF('Database - Tornado Segments'!$AC$8:$AC$2001, "EF40.05"))+G124</f>
        <v>23</v>
      </c>
      <c r="H123" s="2">
        <f>(COUNTIF('Database - Tornado Segments'!$AC$8:$AC$2001, "F50.05")+COUNTIF('Database - Tornado Segments'!$AC$8:$AC$2001, "EF50.05"))+H124</f>
        <v>0</v>
      </c>
      <c r="I123" s="56">
        <f t="shared" si="13"/>
        <v>449</v>
      </c>
    </row>
    <row r="124" spans="2:9" ht="15.75">
      <c r="B124" s="67" t="s">
        <v>510</v>
      </c>
      <c r="C124" s="2">
        <f>(COUNTIF('Database - Tornado Segments'!$AC$8:$AC$2001, "F00.1")+COUNTIF('Database - Tornado Segments'!$AC$8:$AC$2001, "EF00.1"))+C125</f>
        <v>91</v>
      </c>
      <c r="D124" s="2">
        <f>(COUNTIF('Database - Tornado Segments'!$AC$8:$AC$2001, "F10.1")+COUNTIF('Database - Tornado Segments'!$AC$8:$AC$2001, "EF10.1"))+D125</f>
        <v>111</v>
      </c>
      <c r="E124" s="2">
        <f>(COUNTIF('Database - Tornado Segments'!$AC$8:$AC$2001, "F20.1")+COUNTIF('Database - Tornado Segments'!$AC$8:$AC$2001, "EF20.1"))+E125</f>
        <v>81</v>
      </c>
      <c r="F124" s="2">
        <f>(COUNTIF('Database - Tornado Segments'!$AC$8:$AC$2001, "F30.1")+COUNTIF('Database - Tornado Segments'!$AC$8:$AC$2001, "EF30.1"))+F125</f>
        <v>39</v>
      </c>
      <c r="G124" s="2">
        <f>(COUNTIF('Database - Tornado Segments'!$AC$8:$AC$2001, "F40.1")+COUNTIF('Database - Tornado Segments'!$AC$8:$AC$2001, "EF40.1"))+G125</f>
        <v>23</v>
      </c>
      <c r="H124" s="2">
        <f>(COUNTIF('Database - Tornado Segments'!$AC$8:$AC$2001, "F50.1")+COUNTIF('Database - Tornado Segments'!$AC$8:$AC$2001, "EF50.1"))+H125</f>
        <v>0</v>
      </c>
      <c r="I124" s="56">
        <f t="shared" ref="I124:I131" si="14">SUM(C124:H124)</f>
        <v>345</v>
      </c>
    </row>
    <row r="125" spans="2:9" ht="15.75">
      <c r="B125" s="67" t="s">
        <v>509</v>
      </c>
      <c r="C125" s="2">
        <f>(COUNTIF('Database - Tornado Segments'!$AC$8:$AC$2001, "F00.2")+COUNTIF('Database - Tornado Segments'!$AC$8:$AC$2001, "EF00.2"))+C126</f>
        <v>44</v>
      </c>
      <c r="D125" s="2">
        <f>(COUNTIF('Database - Tornado Segments'!$AC$8:$AC$2001, "F10.2")+COUNTIF('Database - Tornado Segments'!$AC$8:$AC$2001, "EF10.2"))+D126</f>
        <v>91</v>
      </c>
      <c r="E125" s="2">
        <f>(COUNTIF('Database - Tornado Segments'!$AC$8:$AC$2001, "F20.2")+COUNTIF('Database - Tornado Segments'!$AC$8:$AC$2001, "EF20.2"))+E126</f>
        <v>69</v>
      </c>
      <c r="F125" s="2">
        <f>(COUNTIF('Database - Tornado Segments'!$AC$8:$AC$2001, "F30.2")+COUNTIF('Database - Tornado Segments'!$AC$8:$AC$2001, "EF30.2"))+F126</f>
        <v>33</v>
      </c>
      <c r="G125" s="2">
        <f>(COUNTIF('Database - Tornado Segments'!$AC$8:$AC$2001, "F40.2")+COUNTIF('Database - Tornado Segments'!$AC$8:$AC$2001, "EF40.2"))+G126</f>
        <v>23</v>
      </c>
      <c r="H125" s="2">
        <f>(COUNTIF('Database - Tornado Segments'!$AC$8:$AC$2001, "F50.2")+COUNTIF('Database - Tornado Segments'!$AC$8:$AC$2001, "EF50.2"))+H126</f>
        <v>0</v>
      </c>
      <c r="I125" s="56">
        <f t="shared" si="14"/>
        <v>260</v>
      </c>
    </row>
    <row r="126" spans="2:9" ht="15.75">
      <c r="B126" s="67" t="s">
        <v>508</v>
      </c>
      <c r="C126" s="2">
        <f>(COUNTIF('Database - Tornado Segments'!$AC$8:$AC$2001, "F00.5")+COUNTIF('Database - Tornado Segments'!$AC$8:$AC$2001, "EF00.5"))+C127</f>
        <v>18</v>
      </c>
      <c r="D126" s="2">
        <f>(COUNTIF('Database - Tornado Segments'!$AC$8:$AC$2001, "F10.5")+COUNTIF('Database - Tornado Segments'!$AC$8:$AC$2001, "EF10.5"))+D127</f>
        <v>53</v>
      </c>
      <c r="E126" s="2">
        <f>(COUNTIF('Database - Tornado Segments'!$AC$8:$AC$2001, "F20.5")+COUNTIF('Database - Tornado Segments'!$AC$8:$AC$2001, "EF20.5"))+E127</f>
        <v>52</v>
      </c>
      <c r="F126" s="2">
        <f>(COUNTIF('Database - Tornado Segments'!$AC$8:$AC$2001, "F30.5")+COUNTIF('Database - Tornado Segments'!$AC$8:$AC$2001, "EF30.5"))+F127</f>
        <v>31</v>
      </c>
      <c r="G126" s="2">
        <f>(COUNTIF('Database - Tornado Segments'!$AC$8:$AC$2001, "F40.5")+COUNTIF('Database - Tornado Segments'!$AC$8:$AC$2001, "EF40.5"))+G127</f>
        <v>22</v>
      </c>
      <c r="H126" s="2">
        <f>(COUNTIF('Database - Tornado Segments'!$AC$8:$AC$2001, "F50.5")+COUNTIF('Database - Tornado Segments'!$AC$8:$AC$2001, "EF50.5"))+H127</f>
        <v>0</v>
      </c>
      <c r="I126" s="56">
        <f t="shared" si="14"/>
        <v>176</v>
      </c>
    </row>
    <row r="127" spans="2:9" ht="15.75">
      <c r="B127" s="67" t="s">
        <v>512</v>
      </c>
      <c r="C127" s="2">
        <f>(COUNTIF('Database - Tornado Segments'!$AC$8:$AC$2001, "F01")+COUNTIF('Database - Tornado Segments'!$AC$8:$AC$2001, "EF01"))+C128</f>
        <v>10</v>
      </c>
      <c r="D127" s="2">
        <f>(COUNTIF('Database - Tornado Segments'!$AC$8:$AC$2001, "F11")+COUNTIF('Database - Tornado Segments'!$AC$8:$AC$2001, "EF11"))+D128</f>
        <v>26</v>
      </c>
      <c r="E127" s="2">
        <f>(COUNTIF('Database - Tornado Segments'!$AC$8:$AC$2001, "F21")+COUNTIF('Database - Tornado Segments'!$AC$8:$AC$2001, "EF21"))+E128</f>
        <v>34</v>
      </c>
      <c r="F127" s="2">
        <f>(COUNTIF('Database - Tornado Segments'!$AC$8:$AC$2001, "F31")+COUNTIF('Database - Tornado Segments'!$AC$8:$AC$2001, "EF31"))+F128</f>
        <v>22</v>
      </c>
      <c r="G127" s="2">
        <f>(COUNTIF('Database - Tornado Segments'!$AC$8:$AC$2001, "F41")+COUNTIF('Database - Tornado Segments'!$AC$8:$AC$2001, "EF41"))+G128</f>
        <v>21</v>
      </c>
      <c r="H127" s="2">
        <f>(COUNTIF('Database - Tornado Segments'!$AC$8:$AC$2001, "F51")+COUNTIF('Database - Tornado Segments'!$AC$8:$AC$2001, "EF51"))+H128</f>
        <v>0</v>
      </c>
      <c r="I127" s="56">
        <f t="shared" si="14"/>
        <v>113</v>
      </c>
    </row>
    <row r="128" spans="2:9" ht="15.75">
      <c r="B128" s="67" t="s">
        <v>513</v>
      </c>
      <c r="C128" s="2">
        <f>(COUNTIF('Database - Tornado Segments'!$AC$8:$AC$2001, "F02")+COUNTIF('Database - Tornado Segments'!$AC$8:$AC$2001, "EF02"))+C129</f>
        <v>3</v>
      </c>
      <c r="D128" s="2">
        <f>(COUNTIF('Database - Tornado Segments'!$AC$8:$AC$2001, "F12")+COUNTIF('Database - Tornado Segments'!$AC$8:$AC$2001, "EF12"))+D129</f>
        <v>14</v>
      </c>
      <c r="E128" s="2">
        <f>(COUNTIF('Database - Tornado Segments'!$AC$8:$AC$2001, "F22")+COUNTIF('Database - Tornado Segments'!$AC$8:$AC$2001, "EF22"))+E129</f>
        <v>22</v>
      </c>
      <c r="F128" s="2">
        <f>(COUNTIF('Database - Tornado Segments'!$AC$8:$AC$2001, "F32")+COUNTIF('Database - Tornado Segments'!$AC$8:$AC$2001, "EF32"))+F129</f>
        <v>16</v>
      </c>
      <c r="G128" s="2">
        <f>(COUNTIF('Database - Tornado Segments'!$AC$8:$AC$2001, "F42")+COUNTIF('Database - Tornado Segments'!$AC$8:$AC$2001, "EF42"))+G129</f>
        <v>20</v>
      </c>
      <c r="H128" s="2">
        <f>(COUNTIF('Database - Tornado Segments'!$AC$8:$AC$2001, "F52")+COUNTIF('Database - Tornado Segments'!$AC$8:$AC$2001, "EF52"))+H129</f>
        <v>0</v>
      </c>
      <c r="I128" s="56">
        <f t="shared" si="14"/>
        <v>75</v>
      </c>
    </row>
    <row r="129" spans="2:9" ht="15.75">
      <c r="B129" s="67" t="s">
        <v>514</v>
      </c>
      <c r="C129" s="2">
        <f>(COUNTIF('Database - Tornado Segments'!$AC$8:$AC$2001, "F05")+COUNTIF('Database - Tornado Segments'!$AC$8:$AC$2001, "EF05"))+C130</f>
        <v>1</v>
      </c>
      <c r="D129" s="2">
        <f>(COUNTIF('Database - Tornado Segments'!$AC$8:$AC$2001, "F15")+COUNTIF('Database - Tornado Segments'!$AC$8:$AC$2001, "EF15"))+D130</f>
        <v>6</v>
      </c>
      <c r="E129" s="2">
        <f>(COUNTIF('Database - Tornado Segments'!$AC$8:$AC$2001, "F25")+COUNTIF('Database - Tornado Segments'!$AC$8:$AC$2001, "EF25"))+E130</f>
        <v>9</v>
      </c>
      <c r="F129" s="2">
        <f>(COUNTIF('Database - Tornado Segments'!$AC$8:$AC$2001, "F35")+COUNTIF('Database - Tornado Segments'!$AC$8:$AC$2001, "EF35"))+F130</f>
        <v>7</v>
      </c>
      <c r="G129" s="2">
        <f>(COUNTIF('Database - Tornado Segments'!$AC$8:$AC$2001, "F45")+COUNTIF('Database - Tornado Segments'!$AC$8:$AC$2001, "EF45"))+G130</f>
        <v>11</v>
      </c>
      <c r="H129" s="2">
        <f>(COUNTIF('Database - Tornado Segments'!$AC$8:$AC$2001, "F55")+COUNTIF('Database - Tornado Segments'!$AC$8:$AC$2001, "EF55"))+H130</f>
        <v>0</v>
      </c>
      <c r="I129" s="56">
        <f t="shared" si="14"/>
        <v>34</v>
      </c>
    </row>
    <row r="130" spans="2:9" ht="15.75">
      <c r="B130" s="67" t="s">
        <v>515</v>
      </c>
      <c r="C130" s="2">
        <f>(COUNTIF('Database - Tornado Segments'!$AC$8:$AC$2001, "F010")+COUNTIF('Database - Tornado Segments'!$AC$8:$AC$2001, "EF010"))+C131</f>
        <v>0</v>
      </c>
      <c r="D130" s="2">
        <f>(COUNTIF('Database - Tornado Segments'!$AC$8:$AC$2001, "F110")+COUNTIF('Database - Tornado Segments'!$AC$8:$AC$2001, "EF110"))+D131</f>
        <v>0</v>
      </c>
      <c r="E130" s="2">
        <f>(COUNTIF('Database - Tornado Segments'!$AC$8:$AC$2001, "F210")+COUNTIF('Database - Tornado Segments'!$AC$8:$AC$2001, "EF210"))+E131</f>
        <v>1</v>
      </c>
      <c r="F130" s="2">
        <f>(COUNTIF('Database - Tornado Segments'!$AC$8:$AC$2001, "F310")+COUNTIF('Database - Tornado Segments'!$AC$8:$AC$2001, "EF310"))+F131</f>
        <v>2</v>
      </c>
      <c r="G130" s="2">
        <f>(COUNTIF('Database - Tornado Segments'!$AC$8:$AC$2001, "F410")+COUNTIF('Database - Tornado Segments'!$AC$8:$AC$2001, "EF410"))+G131</f>
        <v>7</v>
      </c>
      <c r="H130" s="2">
        <f>(COUNTIF('Database - Tornado Segments'!$AC$8:$AC$2001, "F510")+COUNTIF('Database - Tornado Segments'!$AC$8:$AC$2001, "EF510"))+H131</f>
        <v>0</v>
      </c>
      <c r="I130" s="56">
        <f t="shared" si="14"/>
        <v>10</v>
      </c>
    </row>
    <row r="131" spans="2:9" ht="15.75">
      <c r="B131" s="67" t="s">
        <v>516</v>
      </c>
      <c r="C131" s="2">
        <f>(COUNTIF('Database - Tornado Segments'!$AC$8:$AC$2001, "F020")+COUNTIF('Database - Tornado Segments'!$AC$8:$AC$2001, "EF020"))</f>
        <v>0</v>
      </c>
      <c r="D131" s="2">
        <f>(COUNTIF('Database - Tornado Segments'!$AC$8:$AC$2001, "F120")+COUNTIF('Database - Tornado Segments'!$AC$8:$AC$2001, "EF120"))</f>
        <v>0</v>
      </c>
      <c r="E131" s="2">
        <f>(COUNTIF('Database - Tornado Segments'!$AC$8:$AC$2001, "F220")+COUNTIF('Database - Tornado Segments'!$AC$8:$AC$2001, "EF220"))</f>
        <v>0</v>
      </c>
      <c r="F131" s="2">
        <f>(COUNTIF('Database - Tornado Segments'!$AC$8:$AC$2001, "F320")+COUNTIF('Database - Tornado Segments'!$AC$8:$AC$2001, "EF320"))</f>
        <v>0</v>
      </c>
      <c r="G131" s="2">
        <f>(COUNTIF('Database - Tornado Segments'!$AC$8:$AC$2001, "F420")+COUNTIF('Database - Tornado Segments'!$AC$8:$AC$2001, "EF420"))</f>
        <v>1</v>
      </c>
      <c r="H131" s="2">
        <f>(COUNTIF('Database - Tornado Segments'!$AC$8:$AC$2001, "F520")+COUNTIF('Database - Tornado Segments'!$AC$8:$AC$2001, "EF520"))</f>
        <v>0</v>
      </c>
      <c r="I131" s="56">
        <f t="shared" si="14"/>
        <v>1</v>
      </c>
    </row>
    <row r="132" spans="2:9" ht="15.75">
      <c r="B132" s="69"/>
      <c r="C132" s="2"/>
      <c r="D132" s="2"/>
      <c r="E132" s="2"/>
      <c r="F132" s="2"/>
      <c r="G132" s="2"/>
      <c r="H132" s="2"/>
      <c r="I132" s="56"/>
    </row>
    <row r="133" spans="2:9" ht="16.5" thickBot="1">
      <c r="B133" s="70"/>
      <c r="C133" s="61"/>
      <c r="D133" s="61"/>
      <c r="E133" s="61"/>
      <c r="F133" s="61"/>
      <c r="G133" s="61"/>
      <c r="H133" s="57"/>
      <c r="I133" s="58"/>
    </row>
    <row r="134" spans="2:9" ht="15.75" thickTop="1"/>
    <row r="135" spans="2:9"/>
    <row r="136" spans="2:9"/>
    <row r="137" spans="2:9">
      <c r="B137" s="1125" t="s">
        <v>962</v>
      </c>
      <c r="C137" s="1126" t="s">
        <v>589</v>
      </c>
    </row>
    <row r="138" spans="2:9" ht="15" customHeight="1">
      <c r="B138" s="1069"/>
      <c r="C138" s="1126"/>
    </row>
    <row r="139" spans="2:9" ht="15" customHeight="1">
      <c r="B139" s="1069"/>
      <c r="C139" s="1126"/>
    </row>
    <row r="140" spans="2:9">
      <c r="B140" s="36">
        <v>1</v>
      </c>
      <c r="C140" s="1">
        <f>COUNTIF('Summary - Whole Tornadoes'!I$12:I$98,B140)</f>
        <v>1</v>
      </c>
    </row>
    <row r="141" spans="2:9">
      <c r="B141" s="1">
        <f t="shared" ref="B141:B172" si="15">+B140+1</f>
        <v>2</v>
      </c>
      <c r="C141" s="1">
        <f>COUNTIF('Summary - Whole Tornadoes'!I$12:I$98,B141)</f>
        <v>4</v>
      </c>
    </row>
    <row r="142" spans="2:9">
      <c r="B142" s="1">
        <f t="shared" si="15"/>
        <v>3</v>
      </c>
      <c r="C142" s="1">
        <f>COUNTIF('Summary - Whole Tornadoes'!I$12:I$98,B142)</f>
        <v>1</v>
      </c>
    </row>
    <row r="143" spans="2:9">
      <c r="B143" s="1">
        <f t="shared" si="15"/>
        <v>4</v>
      </c>
      <c r="C143" s="1">
        <f>COUNTIF('Summary - Whole Tornadoes'!I$12:I$98,B143)</f>
        <v>4</v>
      </c>
    </row>
    <row r="144" spans="2:9">
      <c r="B144" s="1">
        <f t="shared" si="15"/>
        <v>5</v>
      </c>
      <c r="C144" s="1">
        <f>COUNTIF('Summary - Whole Tornadoes'!I$12:I$98,B144)</f>
        <v>2</v>
      </c>
    </row>
    <row r="145" spans="2:3">
      <c r="B145" s="1">
        <f t="shared" si="15"/>
        <v>6</v>
      </c>
      <c r="C145" s="1">
        <f>COUNTIF('Summary - Whole Tornadoes'!I$12:I$98,B145)</f>
        <v>4</v>
      </c>
    </row>
    <row r="146" spans="2:3">
      <c r="B146" s="1">
        <f t="shared" si="15"/>
        <v>7</v>
      </c>
      <c r="C146" s="1">
        <f>COUNTIF('Summary - Whole Tornadoes'!I$12:I$98,B146)</f>
        <v>1</v>
      </c>
    </row>
    <row r="147" spans="2:3">
      <c r="B147" s="1">
        <f t="shared" si="15"/>
        <v>8</v>
      </c>
      <c r="C147" s="1">
        <f>COUNTIF('Summary - Whole Tornadoes'!I$12:I$98,B147)</f>
        <v>4</v>
      </c>
    </row>
    <row r="148" spans="2:3">
      <c r="B148" s="1">
        <f t="shared" si="15"/>
        <v>9</v>
      </c>
      <c r="C148" s="1">
        <f>COUNTIF('Summary - Whole Tornadoes'!I$12:I$98,B148)</f>
        <v>0</v>
      </c>
    </row>
    <row r="149" spans="2:3">
      <c r="B149" s="1">
        <f t="shared" si="15"/>
        <v>10</v>
      </c>
      <c r="C149" s="1">
        <f>COUNTIF('Summary - Whole Tornadoes'!I$12:I$98,B149)</f>
        <v>4</v>
      </c>
    </row>
    <row r="150" spans="2:3">
      <c r="B150" s="1">
        <f t="shared" si="15"/>
        <v>11</v>
      </c>
      <c r="C150" s="1">
        <f>COUNTIF('Summary - Whole Tornadoes'!I$12:I$98,B150)</f>
        <v>3</v>
      </c>
    </row>
    <row r="151" spans="2:3">
      <c r="B151" s="1">
        <f t="shared" si="15"/>
        <v>12</v>
      </c>
      <c r="C151" s="1">
        <f>COUNTIF('Summary - Whole Tornadoes'!I$12:I$98,B151)</f>
        <v>3</v>
      </c>
    </row>
    <row r="152" spans="2:3">
      <c r="B152" s="1">
        <f t="shared" si="15"/>
        <v>13</v>
      </c>
      <c r="C152" s="1">
        <f>COUNTIF('Summary - Whole Tornadoes'!I$12:I$98,B152)</f>
        <v>6</v>
      </c>
    </row>
    <row r="153" spans="2:3">
      <c r="B153" s="1">
        <f t="shared" si="15"/>
        <v>14</v>
      </c>
      <c r="C153" s="1">
        <f>COUNTIF('Summary - Whole Tornadoes'!I$12:I$98,B153)</f>
        <v>3</v>
      </c>
    </row>
    <row r="154" spans="2:3">
      <c r="B154" s="1">
        <f t="shared" si="15"/>
        <v>15</v>
      </c>
      <c r="C154" s="1">
        <f>COUNTIF('Summary - Whole Tornadoes'!I$12:I$98,B154)</f>
        <v>2</v>
      </c>
    </row>
    <row r="155" spans="2:3">
      <c r="B155" s="1">
        <f t="shared" si="15"/>
        <v>16</v>
      </c>
      <c r="C155" s="1">
        <f>COUNTIF('Summary - Whole Tornadoes'!I$12:I$98,B155)</f>
        <v>4</v>
      </c>
    </row>
    <row r="156" spans="2:3">
      <c r="B156" s="1">
        <f t="shared" si="15"/>
        <v>17</v>
      </c>
      <c r="C156" s="1">
        <f>COUNTIF('Summary - Whole Tornadoes'!I$12:I$98,B156)</f>
        <v>0</v>
      </c>
    </row>
    <row r="157" spans="2:3">
      <c r="B157" s="1">
        <f t="shared" si="15"/>
        <v>18</v>
      </c>
      <c r="C157" s="1">
        <f>COUNTIF('Summary - Whole Tornadoes'!I$12:I$98,B157)</f>
        <v>2</v>
      </c>
    </row>
    <row r="158" spans="2:3">
      <c r="B158" s="1">
        <f t="shared" si="15"/>
        <v>19</v>
      </c>
      <c r="C158" s="1">
        <f>COUNTIF('Summary - Whole Tornadoes'!I$12:I$98,B158)</f>
        <v>2</v>
      </c>
    </row>
    <row r="159" spans="2:3">
      <c r="B159" s="1">
        <f t="shared" si="15"/>
        <v>20</v>
      </c>
      <c r="C159" s="1">
        <f>COUNTIF('Summary - Whole Tornadoes'!I$12:I$98,B159)</f>
        <v>1</v>
      </c>
    </row>
    <row r="160" spans="2:3">
      <c r="B160" s="1">
        <f t="shared" si="15"/>
        <v>21</v>
      </c>
      <c r="C160" s="1">
        <f>COUNTIF('Summary - Whole Tornadoes'!I$12:I$98,B160)</f>
        <v>2</v>
      </c>
    </row>
    <row r="161" spans="2:3">
      <c r="B161" s="1">
        <f t="shared" si="15"/>
        <v>22</v>
      </c>
      <c r="C161" s="1">
        <f>COUNTIF('Summary - Whole Tornadoes'!I$12:I$98,B161)</f>
        <v>2</v>
      </c>
    </row>
    <row r="162" spans="2:3">
      <c r="B162" s="1">
        <f t="shared" si="15"/>
        <v>23</v>
      </c>
      <c r="C162" s="1">
        <f>COUNTIF('Summary - Whole Tornadoes'!I$12:I$98,B162)</f>
        <v>0</v>
      </c>
    </row>
    <row r="163" spans="2:3">
      <c r="B163" s="1">
        <f t="shared" si="15"/>
        <v>24</v>
      </c>
      <c r="C163" s="1">
        <f>COUNTIF('Summary - Whole Tornadoes'!I$12:I$98,B163)</f>
        <v>0</v>
      </c>
    </row>
    <row r="164" spans="2:3">
      <c r="B164" s="1">
        <f t="shared" si="15"/>
        <v>25</v>
      </c>
      <c r="C164" s="1">
        <f>COUNTIF('Summary - Whole Tornadoes'!I$12:I$98,B164)</f>
        <v>1</v>
      </c>
    </row>
    <row r="165" spans="2:3">
      <c r="B165" s="1">
        <f t="shared" si="15"/>
        <v>26</v>
      </c>
      <c r="C165" s="1">
        <f>COUNTIF('Summary - Whole Tornadoes'!I$12:I$98,B165)</f>
        <v>1</v>
      </c>
    </row>
    <row r="166" spans="2:3">
      <c r="B166" s="1">
        <f t="shared" si="15"/>
        <v>27</v>
      </c>
      <c r="C166" s="1">
        <f>COUNTIF('Summary - Whole Tornadoes'!I$12:I$98,B166)</f>
        <v>0</v>
      </c>
    </row>
    <row r="167" spans="2:3">
      <c r="B167" s="1">
        <f t="shared" si="15"/>
        <v>28</v>
      </c>
      <c r="C167" s="1">
        <f>COUNTIF('Summary - Whole Tornadoes'!I$12:I$98,B167)</f>
        <v>2</v>
      </c>
    </row>
    <row r="168" spans="2:3">
      <c r="B168" s="1">
        <f t="shared" si="15"/>
        <v>29</v>
      </c>
      <c r="C168" s="1">
        <f>COUNTIF('Summary - Whole Tornadoes'!I$12:I$98,B168)</f>
        <v>2</v>
      </c>
    </row>
    <row r="169" spans="2:3">
      <c r="B169" s="1">
        <f t="shared" si="15"/>
        <v>30</v>
      </c>
      <c r="C169" s="1">
        <f>COUNTIF('Summary - Whole Tornadoes'!I$12:I$98,B169)</f>
        <v>0</v>
      </c>
    </row>
    <row r="170" spans="2:3">
      <c r="B170" s="1">
        <f t="shared" si="15"/>
        <v>31</v>
      </c>
      <c r="C170" s="1">
        <f>COUNTIF('Summary - Whole Tornadoes'!I$12:I$98,B170)</f>
        <v>0</v>
      </c>
    </row>
    <row r="171" spans="2:3">
      <c r="B171" s="1">
        <f t="shared" si="15"/>
        <v>32</v>
      </c>
      <c r="C171" s="1">
        <f>COUNTIF('Summary - Whole Tornadoes'!I$12:I$98,B171)</f>
        <v>2</v>
      </c>
    </row>
    <row r="172" spans="2:3">
      <c r="B172" s="1">
        <f t="shared" si="15"/>
        <v>33</v>
      </c>
      <c r="C172" s="1">
        <f>COUNTIF('Summary - Whole Tornadoes'!I$12:I$98,B172)</f>
        <v>1</v>
      </c>
    </row>
    <row r="173" spans="2:3">
      <c r="B173" s="1">
        <f t="shared" ref="B173:B209" si="16">+B172+1</f>
        <v>34</v>
      </c>
      <c r="C173" s="1">
        <f>COUNTIF('Summary - Whole Tornadoes'!I$12:I$98,B173)</f>
        <v>0</v>
      </c>
    </row>
    <row r="174" spans="2:3">
      <c r="B174" s="1">
        <f t="shared" si="16"/>
        <v>35</v>
      </c>
      <c r="C174" s="1">
        <f>COUNTIF('Summary - Whole Tornadoes'!I$12:I$98,B174)</f>
        <v>2</v>
      </c>
    </row>
    <row r="175" spans="2:3">
      <c r="B175" s="1">
        <f t="shared" si="16"/>
        <v>36</v>
      </c>
      <c r="C175" s="1">
        <f>COUNTIF('Summary - Whole Tornadoes'!I$12:I$98,B175)</f>
        <v>1</v>
      </c>
    </row>
    <row r="176" spans="2:3">
      <c r="B176" s="1">
        <f t="shared" si="16"/>
        <v>37</v>
      </c>
      <c r="C176" s="1">
        <f>COUNTIF('Summary - Whole Tornadoes'!I$12:I$98,B176)</f>
        <v>1</v>
      </c>
    </row>
    <row r="177" spans="2:3">
      <c r="B177" s="1">
        <f t="shared" si="16"/>
        <v>38</v>
      </c>
      <c r="C177" s="1">
        <f>COUNTIF('Summary - Whole Tornadoes'!I$12:I$98,B177)</f>
        <v>2</v>
      </c>
    </row>
    <row r="178" spans="2:3">
      <c r="B178" s="1">
        <f t="shared" si="16"/>
        <v>39</v>
      </c>
      <c r="C178" s="1">
        <f>COUNTIF('Summary - Whole Tornadoes'!I$12:I$98,B178)</f>
        <v>1</v>
      </c>
    </row>
    <row r="179" spans="2:3">
      <c r="B179" s="1">
        <f t="shared" si="16"/>
        <v>40</v>
      </c>
      <c r="C179" s="1">
        <f>COUNTIF('Summary - Whole Tornadoes'!I$12:I$98,B179)</f>
        <v>0</v>
      </c>
    </row>
    <row r="180" spans="2:3">
      <c r="B180" s="1">
        <f t="shared" si="16"/>
        <v>41</v>
      </c>
      <c r="C180" s="1">
        <f>COUNTIF('Summary - Whole Tornadoes'!I$12:I$98,B180)</f>
        <v>1</v>
      </c>
    </row>
    <row r="181" spans="2:3">
      <c r="B181" s="1">
        <f t="shared" si="16"/>
        <v>42</v>
      </c>
      <c r="C181" s="1">
        <f>COUNTIF('Summary - Whole Tornadoes'!I$12:I$98,B181)</f>
        <v>0</v>
      </c>
    </row>
    <row r="182" spans="2:3">
      <c r="B182" s="1">
        <f t="shared" si="16"/>
        <v>43</v>
      </c>
      <c r="C182" s="1">
        <f>COUNTIF('Summary - Whole Tornadoes'!I$12:I$98,B182)</f>
        <v>0</v>
      </c>
    </row>
    <row r="183" spans="2:3">
      <c r="B183" s="1">
        <f t="shared" si="16"/>
        <v>44</v>
      </c>
      <c r="C183" s="1">
        <f>COUNTIF('Summary - Whole Tornadoes'!I$12:I$98,B183)</f>
        <v>0</v>
      </c>
    </row>
    <row r="184" spans="2:3">
      <c r="B184" s="1">
        <f t="shared" si="16"/>
        <v>45</v>
      </c>
      <c r="C184" s="1">
        <f>COUNTIF('Summary - Whole Tornadoes'!I$12:I$98,B184)</f>
        <v>0</v>
      </c>
    </row>
    <row r="185" spans="2:3">
      <c r="B185" s="1">
        <f t="shared" si="16"/>
        <v>46</v>
      </c>
      <c r="C185" s="1">
        <f>COUNTIF('Summary - Whole Tornadoes'!I$12:I$98,B185)</f>
        <v>0</v>
      </c>
    </row>
    <row r="186" spans="2:3">
      <c r="B186" s="1">
        <f t="shared" si="16"/>
        <v>47</v>
      </c>
      <c r="C186" s="1">
        <f>COUNTIF('Summary - Whole Tornadoes'!I$12:I$98,B186)</f>
        <v>0</v>
      </c>
    </row>
    <row r="187" spans="2:3">
      <c r="B187" s="1">
        <f t="shared" si="16"/>
        <v>48</v>
      </c>
      <c r="C187" s="1">
        <f>COUNTIF('Summary - Whole Tornadoes'!I$12:I$98,B187)</f>
        <v>0</v>
      </c>
    </row>
    <row r="188" spans="2:3">
      <c r="B188" s="1">
        <f t="shared" si="16"/>
        <v>49</v>
      </c>
      <c r="C188" s="1">
        <f>COUNTIF('Summary - Whole Tornadoes'!I$12:I$98,B188)</f>
        <v>0</v>
      </c>
    </row>
    <row r="189" spans="2:3">
      <c r="B189" s="1">
        <f t="shared" si="16"/>
        <v>50</v>
      </c>
      <c r="C189" s="1">
        <f>COUNTIF('Summary - Whole Tornadoes'!I$12:I$98,B189)</f>
        <v>0</v>
      </c>
    </row>
    <row r="190" spans="2:3">
      <c r="B190" s="1">
        <f t="shared" si="16"/>
        <v>51</v>
      </c>
      <c r="C190" s="1">
        <f>COUNTIF('Summary - Whole Tornadoes'!I$12:I$98,B190)</f>
        <v>0</v>
      </c>
    </row>
    <row r="191" spans="2:3">
      <c r="B191" s="1">
        <f t="shared" si="16"/>
        <v>52</v>
      </c>
      <c r="C191" s="1">
        <f>COUNTIF('Summary - Whole Tornadoes'!I$12:I$98,B191)</f>
        <v>0</v>
      </c>
    </row>
    <row r="192" spans="2:3">
      <c r="B192" s="1">
        <f t="shared" si="16"/>
        <v>53</v>
      </c>
      <c r="C192" s="1">
        <f>COUNTIF('Summary - Whole Tornadoes'!I$12:I$98,B192)</f>
        <v>0</v>
      </c>
    </row>
    <row r="193" spans="2:3">
      <c r="B193" s="1">
        <f t="shared" si="16"/>
        <v>54</v>
      </c>
      <c r="C193" s="1">
        <f>COUNTIF('Summary - Whole Tornadoes'!I$12:I$98,B193)</f>
        <v>0</v>
      </c>
    </row>
    <row r="194" spans="2:3">
      <c r="B194" s="1">
        <f t="shared" si="16"/>
        <v>55</v>
      </c>
      <c r="C194" s="1">
        <f>COUNTIF('Summary - Whole Tornadoes'!I$12:I$98,B194)</f>
        <v>0</v>
      </c>
    </row>
    <row r="195" spans="2:3">
      <c r="B195" s="1">
        <f t="shared" si="16"/>
        <v>56</v>
      </c>
      <c r="C195" s="1">
        <f>COUNTIF('Summary - Whole Tornadoes'!I$12:I$98,B195)</f>
        <v>0</v>
      </c>
    </row>
    <row r="196" spans="2:3">
      <c r="B196" s="1">
        <f t="shared" si="16"/>
        <v>57</v>
      </c>
      <c r="C196" s="1">
        <f>COUNTIF('Summary - Whole Tornadoes'!I$12:I$98,B196)</f>
        <v>0</v>
      </c>
    </row>
    <row r="197" spans="2:3">
      <c r="B197" s="1">
        <f t="shared" si="16"/>
        <v>58</v>
      </c>
      <c r="C197" s="1">
        <f>COUNTIF('Summary - Whole Tornadoes'!I$12:I$98,B197)</f>
        <v>1</v>
      </c>
    </row>
    <row r="198" spans="2:3">
      <c r="B198" s="1">
        <f t="shared" si="16"/>
        <v>59</v>
      </c>
      <c r="C198" s="1">
        <f>COUNTIF('Summary - Whole Tornadoes'!I$12:I$98,B198)</f>
        <v>0</v>
      </c>
    </row>
    <row r="199" spans="2:3">
      <c r="B199" s="1">
        <f t="shared" si="16"/>
        <v>60</v>
      </c>
      <c r="C199" s="1">
        <f>COUNTIF('Summary - Whole Tornadoes'!I$12:I$98,B199)</f>
        <v>0</v>
      </c>
    </row>
    <row r="200" spans="2:3">
      <c r="B200" s="1">
        <f t="shared" si="16"/>
        <v>61</v>
      </c>
      <c r="C200" s="1">
        <f>COUNTIF('Summary - Whole Tornadoes'!I$12:I$98,B200)</f>
        <v>0</v>
      </c>
    </row>
    <row r="201" spans="2:3">
      <c r="B201" s="1">
        <f t="shared" si="16"/>
        <v>62</v>
      </c>
      <c r="C201" s="1">
        <f>COUNTIF('Summary - Whole Tornadoes'!I$12:I$98,B201)</f>
        <v>0</v>
      </c>
    </row>
    <row r="202" spans="2:3">
      <c r="B202" s="1">
        <f t="shared" si="16"/>
        <v>63</v>
      </c>
      <c r="C202" s="1">
        <f>COUNTIF('Summary - Whole Tornadoes'!I$12:I$98,B202)</f>
        <v>0</v>
      </c>
    </row>
    <row r="203" spans="2:3">
      <c r="B203" s="1">
        <f t="shared" si="16"/>
        <v>64</v>
      </c>
      <c r="C203" s="1">
        <f>COUNTIF('Summary - Whole Tornadoes'!I$12:I$98,B203)</f>
        <v>0</v>
      </c>
    </row>
    <row r="204" spans="2:3">
      <c r="B204" s="1">
        <f t="shared" si="16"/>
        <v>65</v>
      </c>
      <c r="C204" s="1">
        <f>COUNTIF('Summary - Whole Tornadoes'!I$12:I$98,B204)</f>
        <v>0</v>
      </c>
    </row>
    <row r="205" spans="2:3">
      <c r="B205" s="1">
        <f t="shared" si="16"/>
        <v>66</v>
      </c>
      <c r="C205" s="1">
        <f>COUNTIF('Summary - Whole Tornadoes'!I$12:I$98,B205)</f>
        <v>0</v>
      </c>
    </row>
    <row r="206" spans="2:3">
      <c r="B206" s="1">
        <f t="shared" si="16"/>
        <v>67</v>
      </c>
      <c r="C206" s="1">
        <f>COUNTIF('Summary - Whole Tornadoes'!I$12:I$98,B206)</f>
        <v>0</v>
      </c>
    </row>
    <row r="207" spans="2:3">
      <c r="B207" s="1">
        <f t="shared" si="16"/>
        <v>68</v>
      </c>
      <c r="C207" s="1">
        <f>COUNTIF('Summary - Whole Tornadoes'!I$12:I$98,B207)</f>
        <v>0</v>
      </c>
    </row>
    <row r="208" spans="2:3">
      <c r="B208" s="1">
        <f t="shared" si="16"/>
        <v>69</v>
      </c>
      <c r="C208" s="1">
        <f>COUNTIF('Summary - Whole Tornadoes'!I$12:I$98,B208)</f>
        <v>0</v>
      </c>
    </row>
    <row r="209" spans="2:5">
      <c r="B209" s="1">
        <f t="shared" si="16"/>
        <v>70</v>
      </c>
      <c r="C209" s="1">
        <f>COUNTIF('Summary - Whole Tornadoes'!I$12:I$98,B209)</f>
        <v>0</v>
      </c>
    </row>
    <row r="210" spans="2:5">
      <c r="C210" s="701">
        <f>SUM(C140:C209)</f>
        <v>73</v>
      </c>
      <c r="D210" s="702" t="s">
        <v>1057</v>
      </c>
      <c r="E210" s="703"/>
    </row>
    <row r="211" spans="2:5"/>
    <row r="212" spans="2:5"/>
    <row r="213" spans="2:5"/>
    <row r="214" spans="2:5"/>
    <row r="215" spans="2:5"/>
    <row r="216" spans="2:5"/>
    <row r="217" spans="2:5"/>
    <row r="218" spans="2:5"/>
    <row r="219" spans="2:5"/>
    <row r="220" spans="2:5"/>
    <row r="221" spans="2:5"/>
    <row r="222" spans="2:5"/>
    <row r="223" spans="2:5"/>
    <row r="224" spans="2:5"/>
    <row r="225"/>
    <row r="226"/>
    <row r="227"/>
    <row r="228"/>
    <row r="229"/>
    <row r="230"/>
    <row r="231"/>
    <row r="232"/>
    <row r="233"/>
    <row r="234"/>
    <row r="235"/>
    <row r="236"/>
    <row r="237"/>
    <row r="238"/>
    <row r="239"/>
    <row r="240"/>
    <row r="241"/>
    <row r="242"/>
    <row r="243"/>
    <row r="244"/>
    <row r="245"/>
    <row r="246"/>
    <row r="247"/>
    <row r="248"/>
    <row r="249"/>
    <row r="250"/>
    <row r="251"/>
    <row r="252"/>
    <row r="361"/>
    <row r="362"/>
    <row r="363"/>
    <row r="364"/>
    <row r="365"/>
    <row r="366"/>
    <row r="367"/>
    <row r="368"/>
  </sheetData>
  <customSheetViews>
    <customSheetView guid="{CFA9FB8A-52FF-44B9-AE70-27339693E196}" scale="90" topLeftCell="B1">
      <selection activeCell="K7" sqref="K7"/>
      <rowBreaks count="6" manualBreakCount="6">
        <brk id="19" max="16383" man="1"/>
        <brk id="37" max="16383" man="1"/>
        <brk id="56" max="16383" man="1"/>
        <brk id="74" max="16383" man="1"/>
        <brk id="132" max="10" man="1"/>
        <brk id="149" max="16383" man="1"/>
      </rowBreaks>
      <pageMargins left="0.75" right="0.75" top="1" bottom="1" header="0.5" footer="0.5"/>
      <pageSetup scale="62" orientation="portrait" r:id="rId1"/>
      <headerFooter alignWithMargins="0"/>
    </customSheetView>
  </customSheetViews>
  <mergeCells count="14">
    <mergeCell ref="B83:I83"/>
    <mergeCell ref="C84:H84"/>
    <mergeCell ref="B110:I110"/>
    <mergeCell ref="C111:H111"/>
    <mergeCell ref="B137:B139"/>
    <mergeCell ref="C137:C139"/>
    <mergeCell ref="B65:I65"/>
    <mergeCell ref="C66:H66"/>
    <mergeCell ref="B3:I3"/>
    <mergeCell ref="C4:H4"/>
    <mergeCell ref="B25:I25"/>
    <mergeCell ref="C26:H26"/>
    <mergeCell ref="B46:I46"/>
    <mergeCell ref="C47:H47"/>
  </mergeCells>
  <phoneticPr fontId="18" type="noConversion"/>
  <printOptions horizontalCentered="1"/>
  <pageMargins left="0.75" right="0.75" top="1.25" bottom="0.5" header="0.5" footer="0"/>
  <pageSetup scale="95" fitToHeight="11" orientation="landscape" r:id="rId2"/>
  <headerFooter scaleWithDoc="0">
    <oddFooter>Page &amp;P of &amp;N</oddFooter>
  </headerFooter>
  <rowBreaks count="8" manualBreakCount="8">
    <brk id="22" max="16383" man="1"/>
    <brk id="43" max="16383" man="1"/>
    <brk id="62" max="16383" man="1"/>
    <brk id="80" max="16383" man="1"/>
    <brk id="107" max="16383" man="1"/>
    <brk id="135" max="16383" man="1"/>
    <brk id="197" max="16383" man="1"/>
    <brk id="210"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topLeftCell="A37" zoomScaleNormal="100" workbookViewId="0">
      <selection activeCell="F18" sqref="F18"/>
    </sheetView>
  </sheetViews>
  <sheetFormatPr defaultColWidth="0" defaultRowHeight="15" zeroHeight="1"/>
  <cols>
    <col min="1" max="1" width="2.77734375" customWidth="1"/>
    <col min="2" max="2" width="8.88671875" customWidth="1"/>
    <col min="3" max="3" width="12.77734375" customWidth="1"/>
    <col min="4" max="6" width="11.77734375" customWidth="1"/>
    <col min="7" max="8" width="14.77734375" customWidth="1"/>
    <col min="9" max="9" width="13.77734375" customWidth="1"/>
    <col min="10" max="10" width="2.77734375" customWidth="1"/>
    <col min="11" max="13" width="8.88671875" hidden="1" customWidth="1"/>
  </cols>
  <sheetData>
    <row r="1" spans="1:9" ht="15.75" thickBot="1"/>
    <row r="2" spans="1:9" s="260" customFormat="1" ht="24.95" customHeight="1" thickTop="1" thickBot="1">
      <c r="B2" s="1132" t="s">
        <v>697</v>
      </c>
      <c r="C2" s="1133"/>
      <c r="D2" s="1133"/>
      <c r="E2" s="1133"/>
      <c r="F2" s="1133"/>
      <c r="G2" s="1133"/>
      <c r="H2" s="1133"/>
      <c r="I2" s="1134"/>
    </row>
    <row r="3" spans="1:9" ht="17.25" thickTop="1" thickBot="1">
      <c r="B3" s="97" t="s">
        <v>530</v>
      </c>
      <c r="C3" s="108" t="s">
        <v>543</v>
      </c>
      <c r="D3" s="1135" t="s">
        <v>531</v>
      </c>
      <c r="E3" s="1135"/>
      <c r="F3" s="1135"/>
      <c r="G3" s="1135"/>
      <c r="H3" s="1135"/>
      <c r="I3" s="1136"/>
    </row>
    <row r="4" spans="1:9" ht="16.5" thickBot="1">
      <c r="B4" s="99" t="s">
        <v>529</v>
      </c>
      <c r="C4" s="100" t="s">
        <v>538</v>
      </c>
      <c r="D4" s="98" t="s">
        <v>122</v>
      </c>
      <c r="E4" s="98" t="s">
        <v>123</v>
      </c>
      <c r="F4" s="98" t="s">
        <v>124</v>
      </c>
      <c r="G4" s="98" t="s">
        <v>125</v>
      </c>
      <c r="H4" s="98" t="s">
        <v>126</v>
      </c>
      <c r="I4" s="101" t="s">
        <v>187</v>
      </c>
    </row>
    <row r="5" spans="1:9">
      <c r="B5" s="83" t="s">
        <v>161</v>
      </c>
      <c r="C5" s="82" t="s">
        <v>532</v>
      </c>
      <c r="D5" s="52">
        <v>1</v>
      </c>
      <c r="E5" s="52">
        <v>0.77200000000000002</v>
      </c>
      <c r="F5" s="52">
        <v>0.61599999999999999</v>
      </c>
      <c r="G5" s="52">
        <v>0.52900000000000003</v>
      </c>
      <c r="H5" s="52">
        <v>0.54300000000000004</v>
      </c>
      <c r="I5" s="84">
        <v>0.53800000000000003</v>
      </c>
    </row>
    <row r="6" spans="1:9">
      <c r="B6" s="83" t="s">
        <v>162</v>
      </c>
      <c r="C6" s="82" t="s">
        <v>533</v>
      </c>
      <c r="D6" s="52"/>
      <c r="E6" s="52">
        <v>0.22800000000000001</v>
      </c>
      <c r="F6" s="52">
        <v>0.26800000000000002</v>
      </c>
      <c r="G6" s="52">
        <v>0.27100000000000002</v>
      </c>
      <c r="H6" s="52">
        <v>0.23799999999999999</v>
      </c>
      <c r="I6" s="84">
        <v>0.223</v>
      </c>
    </row>
    <row r="7" spans="1:9">
      <c r="B7" s="83" t="s">
        <v>160</v>
      </c>
      <c r="C7" s="82" t="s">
        <v>534</v>
      </c>
      <c r="D7" s="52"/>
      <c r="E7" s="52"/>
      <c r="F7" s="52">
        <v>0.11600000000000001</v>
      </c>
      <c r="G7" s="52">
        <v>0.13300000000000001</v>
      </c>
      <c r="H7" s="52">
        <v>0.13100000000000001</v>
      </c>
      <c r="I7" s="84">
        <v>0.11899999999999999</v>
      </c>
    </row>
    <row r="8" spans="1:9">
      <c r="B8" s="83" t="s">
        <v>163</v>
      </c>
      <c r="C8" s="82" t="s">
        <v>535</v>
      </c>
      <c r="D8" s="52"/>
      <c r="E8" s="52"/>
      <c r="F8" s="52"/>
      <c r="G8" s="52">
        <v>6.7000000000000004E-2</v>
      </c>
      <c r="H8" s="52">
        <v>5.6000000000000001E-2</v>
      </c>
      <c r="I8" s="84">
        <v>7.0000000000000007E-2</v>
      </c>
    </row>
    <row r="9" spans="1:9">
      <c r="B9" s="83" t="s">
        <v>188</v>
      </c>
      <c r="C9" s="82" t="s">
        <v>536</v>
      </c>
      <c r="D9" s="52"/>
      <c r="E9" s="52"/>
      <c r="F9" s="52"/>
      <c r="G9" s="52"/>
      <c r="H9" s="52">
        <v>3.2000000000000001E-2</v>
      </c>
      <c r="I9" s="84">
        <v>3.3000000000000002E-2</v>
      </c>
    </row>
    <row r="10" spans="1:9" ht="15.75" thickBot="1">
      <c r="B10" s="85" t="s">
        <v>189</v>
      </c>
      <c r="C10" s="86" t="s">
        <v>537</v>
      </c>
      <c r="D10" s="87"/>
      <c r="E10" s="87"/>
      <c r="F10" s="87"/>
      <c r="G10" s="87"/>
      <c r="H10" s="87"/>
      <c r="I10" s="88">
        <v>1.7000000000000001E-2</v>
      </c>
    </row>
    <row r="11" spans="1:9" ht="15.75" thickTop="1"/>
    <row r="12" spans="1:9" ht="15.75" thickBot="1"/>
    <row r="13" spans="1:9" s="260" customFormat="1" ht="24.95" customHeight="1" thickTop="1" thickBot="1">
      <c r="A13" s="520"/>
      <c r="B13" s="353"/>
      <c r="C13" s="1140" t="s">
        <v>853</v>
      </c>
      <c r="D13" s="1141"/>
      <c r="E13" s="1141"/>
      <c r="F13" s="1141"/>
      <c r="G13" s="1141"/>
      <c r="H13" s="1142"/>
    </row>
    <row r="14" spans="1:9" ht="16.5" thickTop="1">
      <c r="A14" s="260"/>
      <c r="B14" s="259"/>
      <c r="C14" s="102"/>
      <c r="D14" s="109"/>
      <c r="E14" s="102" t="s">
        <v>539</v>
      </c>
      <c r="F14" s="109"/>
      <c r="G14" s="103" t="s">
        <v>542</v>
      </c>
      <c r="H14" s="104" t="s">
        <v>546</v>
      </c>
    </row>
    <row r="15" spans="1:9" ht="15.75">
      <c r="A15" s="260"/>
      <c r="B15" s="259"/>
      <c r="C15" s="102"/>
      <c r="D15" s="102" t="s">
        <v>539</v>
      </c>
      <c r="E15" s="102" t="s">
        <v>564</v>
      </c>
      <c r="F15" s="102" t="s">
        <v>132</v>
      </c>
      <c r="G15" s="103" t="s">
        <v>543</v>
      </c>
      <c r="H15" s="104" t="s">
        <v>547</v>
      </c>
    </row>
    <row r="16" spans="1:9" ht="15.75">
      <c r="A16" s="260"/>
      <c r="B16" s="259"/>
      <c r="C16" s="102" t="s">
        <v>530</v>
      </c>
      <c r="D16" s="356" t="s">
        <v>705</v>
      </c>
      <c r="E16" s="102" t="s">
        <v>565</v>
      </c>
      <c r="F16" s="102" t="s">
        <v>540</v>
      </c>
      <c r="G16" s="103" t="s">
        <v>544</v>
      </c>
      <c r="H16" s="104" t="s">
        <v>548</v>
      </c>
    </row>
    <row r="17" spans="1:9" ht="19.5" thickBot="1">
      <c r="A17" s="260"/>
      <c r="B17" s="259"/>
      <c r="C17" s="105" t="s">
        <v>529</v>
      </c>
      <c r="D17" s="354" t="s">
        <v>699</v>
      </c>
      <c r="E17" s="354" t="s">
        <v>700</v>
      </c>
      <c r="F17" s="354" t="s">
        <v>699</v>
      </c>
      <c r="G17" s="106" t="s">
        <v>20</v>
      </c>
      <c r="H17" s="107" t="s">
        <v>475</v>
      </c>
    </row>
    <row r="18" spans="1:9">
      <c r="A18" s="260"/>
      <c r="C18" s="89" t="s">
        <v>122</v>
      </c>
      <c r="D18" s="90">
        <f>'F0 - EF0'!L2</f>
        <v>50.174176136363513</v>
      </c>
      <c r="E18" s="90">
        <f>+D18*D5+D19*E5+D20*F5+D21*G5+D22*H5+D23*I5</f>
        <v>395.0308045795453</v>
      </c>
      <c r="F18" s="90">
        <f>+F19+E18</f>
        <v>642.65928977272711</v>
      </c>
      <c r="G18" s="91">
        <f t="shared" ref="G18:G23" si="0">+F18/$F$18</f>
        <v>1</v>
      </c>
      <c r="H18" s="92" t="s">
        <v>532</v>
      </c>
    </row>
    <row r="19" spans="1:9">
      <c r="A19" s="260"/>
      <c r="C19" s="89" t="s">
        <v>123</v>
      </c>
      <c r="D19" s="90">
        <f>'F1 - EF1'!L2</f>
        <v>117.67210227272719</v>
      </c>
      <c r="E19" s="90">
        <f>+D19*E6+D20*F6+D21*G6+D22*H6+D23*I6</f>
        <v>141.7427456931818</v>
      </c>
      <c r="F19" s="90">
        <f>+F20+E19</f>
        <v>247.6284851931818</v>
      </c>
      <c r="G19" s="91">
        <f t="shared" si="0"/>
        <v>0.38531845588158264</v>
      </c>
      <c r="H19" s="92" t="s">
        <v>533</v>
      </c>
    </row>
    <row r="20" spans="1:9">
      <c r="A20" s="260"/>
      <c r="C20" s="89" t="s">
        <v>124</v>
      </c>
      <c r="D20" s="90">
        <f>'F2 - EF2'!L2</f>
        <v>154.91006818181819</v>
      </c>
      <c r="E20" s="90">
        <f>+D20*F7+D21*G7+D22*H7+D23+I7</f>
        <v>81.29772698863637</v>
      </c>
      <c r="F20" s="90">
        <f>+F21+E20</f>
        <v>105.8857395</v>
      </c>
      <c r="G20" s="91">
        <f t="shared" si="0"/>
        <v>0.16476185933209789</v>
      </c>
      <c r="H20" s="92" t="s">
        <v>534</v>
      </c>
    </row>
    <row r="21" spans="1:9">
      <c r="A21" s="260"/>
      <c r="C21" s="89" t="s">
        <v>125</v>
      </c>
      <c r="D21" s="90">
        <f>'F3 - EF3'!L2</f>
        <v>108.48526136363635</v>
      </c>
      <c r="E21" s="90">
        <f>+D21*G8+D22*H8+D23*I8</f>
        <v>18.111830693181819</v>
      </c>
      <c r="F21" s="90">
        <f>+F22+E21</f>
        <v>24.588012511363637</v>
      </c>
      <c r="G21" s="91">
        <f t="shared" si="0"/>
        <v>3.8259794735183941E-2</v>
      </c>
      <c r="H21" s="92" t="s">
        <v>535</v>
      </c>
    </row>
    <row r="22" spans="1:9">
      <c r="C22" s="89" t="s">
        <v>126</v>
      </c>
      <c r="D22" s="90">
        <f>'F4 - EF4'!L2</f>
        <v>158.63068181818184</v>
      </c>
      <c r="E22" s="90">
        <f>+D22*H9+D23*I9</f>
        <v>6.0001818181818196</v>
      </c>
      <c r="F22" s="90">
        <f>+F23+E22</f>
        <v>6.4761818181818196</v>
      </c>
      <c r="G22" s="91">
        <f t="shared" si="0"/>
        <v>1.0077162068990064E-2</v>
      </c>
      <c r="H22" s="92" t="s">
        <v>536</v>
      </c>
    </row>
    <row r="23" spans="1:9" ht="15.75" thickBot="1">
      <c r="C23" s="93" t="s">
        <v>187</v>
      </c>
      <c r="D23" s="94">
        <f>'EF5'!L2</f>
        <v>28</v>
      </c>
      <c r="E23" s="94">
        <f>+D23*I10</f>
        <v>0.47600000000000003</v>
      </c>
      <c r="F23" s="94">
        <f>+E23</f>
        <v>0.47600000000000003</v>
      </c>
      <c r="G23" s="95">
        <f t="shared" si="0"/>
        <v>7.4067240227451594E-4</v>
      </c>
      <c r="H23" s="96" t="s">
        <v>537</v>
      </c>
    </row>
    <row r="24" spans="1:9" ht="15.75" thickTop="1">
      <c r="D24" s="32"/>
    </row>
    <row r="25" spans="1:9">
      <c r="B25" s="124" t="s">
        <v>772</v>
      </c>
      <c r="F25" s="32"/>
    </row>
    <row r="26" spans="1:9">
      <c r="B26" s="81" t="s">
        <v>21</v>
      </c>
    </row>
    <row r="27" spans="1:9" ht="15.75" thickBot="1"/>
    <row r="28" spans="1:9" s="260" customFormat="1" ht="24.95" customHeight="1" thickTop="1" thickBot="1">
      <c r="B28" s="1137" t="s">
        <v>698</v>
      </c>
      <c r="C28" s="1138"/>
      <c r="D28" s="1138"/>
      <c r="E28" s="1138"/>
      <c r="F28" s="1138"/>
      <c r="G28" s="1138"/>
      <c r="H28" s="1138"/>
      <c r="I28" s="1139"/>
    </row>
    <row r="29" spans="1:9" ht="17.25" thickTop="1" thickBot="1">
      <c r="B29" s="116" t="s">
        <v>530</v>
      </c>
      <c r="C29" s="117" t="s">
        <v>543</v>
      </c>
      <c r="D29" s="1130" t="s">
        <v>531</v>
      </c>
      <c r="E29" s="1130"/>
      <c r="F29" s="1130"/>
      <c r="G29" s="1130"/>
      <c r="H29" s="1130"/>
      <c r="I29" s="1131"/>
    </row>
    <row r="30" spans="1:9" ht="16.5" thickBot="1">
      <c r="B30" s="119" t="s">
        <v>529</v>
      </c>
      <c r="C30" s="120" t="s">
        <v>538</v>
      </c>
      <c r="D30" s="118" t="s">
        <v>122</v>
      </c>
      <c r="E30" s="118" t="s">
        <v>123</v>
      </c>
      <c r="F30" s="118" t="s">
        <v>124</v>
      </c>
      <c r="G30" s="118" t="s">
        <v>125</v>
      </c>
      <c r="H30" s="118" t="s">
        <v>126</v>
      </c>
      <c r="I30" s="121" t="s">
        <v>187</v>
      </c>
    </row>
    <row r="31" spans="1:9">
      <c r="B31" s="110" t="s">
        <v>161</v>
      </c>
      <c r="C31" s="82" t="s">
        <v>532</v>
      </c>
      <c r="D31" s="52">
        <v>1</v>
      </c>
      <c r="E31" s="52">
        <v>0.57199999999999995</v>
      </c>
      <c r="F31" s="52">
        <v>0.28000000000000003</v>
      </c>
      <c r="G31" s="52">
        <v>0.11600000000000001</v>
      </c>
      <c r="H31" s="52">
        <v>0.14199999999999999</v>
      </c>
      <c r="I31" s="111">
        <v>0.13300000000000001</v>
      </c>
    </row>
    <row r="32" spans="1:9">
      <c r="B32" s="110" t="s">
        <v>162</v>
      </c>
      <c r="C32" s="82" t="s">
        <v>533</v>
      </c>
      <c r="D32" s="52"/>
      <c r="E32" s="52">
        <v>0.42799999999999999</v>
      </c>
      <c r="F32" s="52">
        <v>0.35199999999999998</v>
      </c>
      <c r="G32" s="52">
        <v>0.245</v>
      </c>
      <c r="H32" s="52">
        <v>0.158</v>
      </c>
      <c r="I32" s="111">
        <v>0.10199999999999999</v>
      </c>
    </row>
    <row r="33" spans="2:9">
      <c r="B33" s="110" t="s">
        <v>160</v>
      </c>
      <c r="C33" s="82" t="s">
        <v>534</v>
      </c>
      <c r="D33" s="52"/>
      <c r="E33" s="52"/>
      <c r="F33" s="52">
        <v>0.36799999999999999</v>
      </c>
      <c r="G33" s="52">
        <v>0.318</v>
      </c>
      <c r="H33" s="52">
        <v>0.27800000000000002</v>
      </c>
      <c r="I33" s="111">
        <v>0.189</v>
      </c>
    </row>
    <row r="34" spans="2:9">
      <c r="B34" s="110" t="s">
        <v>163</v>
      </c>
      <c r="C34" s="82" t="s">
        <v>535</v>
      </c>
      <c r="D34" s="52"/>
      <c r="E34" s="52"/>
      <c r="F34" s="52"/>
      <c r="G34" s="52">
        <v>0.32100000000000001</v>
      </c>
      <c r="H34" s="52">
        <v>0.21</v>
      </c>
      <c r="I34" s="111">
        <v>0.24199999999999999</v>
      </c>
    </row>
    <row r="35" spans="2:9">
      <c r="B35" s="110" t="s">
        <v>188</v>
      </c>
      <c r="C35" s="82" t="s">
        <v>536</v>
      </c>
      <c r="D35" s="52"/>
      <c r="E35" s="52"/>
      <c r="F35" s="52"/>
      <c r="G35" s="52"/>
      <c r="H35" s="52">
        <v>0.21199999999999999</v>
      </c>
      <c r="I35" s="111">
        <v>0.185</v>
      </c>
    </row>
    <row r="36" spans="2:9" ht="15.75" thickBot="1">
      <c r="B36" s="112" t="s">
        <v>189</v>
      </c>
      <c r="C36" s="113" t="s">
        <v>537</v>
      </c>
      <c r="D36" s="114"/>
      <c r="E36" s="114"/>
      <c r="F36" s="114"/>
      <c r="G36" s="114"/>
      <c r="H36" s="114"/>
      <c r="I36" s="115">
        <v>0.14899999999999999</v>
      </c>
    </row>
    <row r="37" spans="2:9" ht="15.75" thickTop="1"/>
    <row r="38" spans="2:9" ht="15.75" thickBot="1"/>
    <row r="39" spans="2:9" ht="20.25" thickTop="1" thickBot="1">
      <c r="C39" s="1127" t="s">
        <v>854</v>
      </c>
      <c r="D39" s="1128"/>
      <c r="E39" s="1128"/>
      <c r="F39" s="1128"/>
      <c r="G39" s="1128"/>
      <c r="H39" s="1129"/>
    </row>
    <row r="40" spans="2:9" ht="16.5" thickTop="1">
      <c r="C40" s="416"/>
      <c r="D40" s="109"/>
      <c r="E40" s="356" t="s">
        <v>760</v>
      </c>
      <c r="F40" s="109"/>
      <c r="G40" s="103" t="s">
        <v>542</v>
      </c>
      <c r="H40" s="104" t="s">
        <v>546</v>
      </c>
    </row>
    <row r="41" spans="2:9" ht="15.75">
      <c r="C41" s="416"/>
      <c r="D41" s="356" t="s">
        <v>760</v>
      </c>
      <c r="E41" s="102" t="s">
        <v>564</v>
      </c>
      <c r="F41" s="102" t="s">
        <v>132</v>
      </c>
      <c r="G41" s="103" t="s">
        <v>543</v>
      </c>
      <c r="H41" s="104" t="s">
        <v>547</v>
      </c>
    </row>
    <row r="42" spans="2:9" ht="15.75">
      <c r="C42" s="416" t="s">
        <v>530</v>
      </c>
      <c r="D42" s="356" t="s">
        <v>705</v>
      </c>
      <c r="E42" s="102" t="s">
        <v>565</v>
      </c>
      <c r="F42" s="356" t="s">
        <v>184</v>
      </c>
      <c r="G42" s="103" t="s">
        <v>544</v>
      </c>
      <c r="H42" s="104" t="s">
        <v>548</v>
      </c>
    </row>
    <row r="43" spans="2:9" ht="16.5" thickBot="1">
      <c r="C43" s="417" t="s">
        <v>529</v>
      </c>
      <c r="D43" s="354" t="s">
        <v>769</v>
      </c>
      <c r="E43" s="354" t="s">
        <v>770</v>
      </c>
      <c r="F43" s="354" t="s">
        <v>769</v>
      </c>
      <c r="G43" s="106" t="s">
        <v>20</v>
      </c>
      <c r="H43" s="107" t="s">
        <v>475</v>
      </c>
    </row>
    <row r="44" spans="2:9">
      <c r="C44" s="89" t="s">
        <v>122</v>
      </c>
      <c r="D44" s="90">
        <f>'F0 - EF0'!L1</f>
        <v>884.03000000000304</v>
      </c>
      <c r="E44" s="90">
        <f>+D44*D31+D45*E31+D46*F31+D47*G31+D48*H31+D49*I31</f>
        <v>1657.7059200000031</v>
      </c>
      <c r="F44" s="90">
        <f>+F45+E44</f>
        <v>3126.0940000000028</v>
      </c>
      <c r="G44" s="91">
        <f t="shared" ref="G44:G49" si="1">+F44/$F$44</f>
        <v>1</v>
      </c>
      <c r="H44" s="92" t="s">
        <v>532</v>
      </c>
    </row>
    <row r="45" spans="2:9">
      <c r="C45" s="89" t="s">
        <v>123</v>
      </c>
      <c r="D45" s="90">
        <f>'F1 - EF1'!L1</f>
        <v>880.59000000000037</v>
      </c>
      <c r="E45" s="90">
        <f>+D45*E32+D46*F32+D47*G32+D48*H32+D49*I32</f>
        <v>742.70929000000001</v>
      </c>
      <c r="F45" s="90">
        <f>+F46+E45</f>
        <v>1468.3880799999999</v>
      </c>
      <c r="G45" s="91">
        <f t="shared" si="1"/>
        <v>0.46971974611128092</v>
      </c>
      <c r="H45" s="92" t="s">
        <v>533</v>
      </c>
    </row>
    <row r="46" spans="2:9">
      <c r="C46" s="89" t="s">
        <v>124</v>
      </c>
      <c r="D46" s="90">
        <f>'F2 - EF2'!L1</f>
        <v>653.10999999999967</v>
      </c>
      <c r="E46" s="90">
        <f>+D46*F33+D47*G33+D48*H33+D49+I33</f>
        <v>468.79669999999993</v>
      </c>
      <c r="F46" s="90">
        <f>+F47+E46</f>
        <v>725.67878999999994</v>
      </c>
      <c r="G46" s="91">
        <f t="shared" si="1"/>
        <v>0.23213594664779733</v>
      </c>
      <c r="H46" s="92" t="s">
        <v>534</v>
      </c>
    </row>
    <row r="47" spans="2:9">
      <c r="C47" s="89" t="s">
        <v>125</v>
      </c>
      <c r="D47" s="90">
        <f>'F3 - EF3'!L1</f>
        <v>350.29</v>
      </c>
      <c r="E47" s="90">
        <f>+D47*G34+D48*H34+D49*I34</f>
        <v>182.75809000000001</v>
      </c>
      <c r="F47" s="90">
        <f>+F48+E47</f>
        <v>256.88209000000001</v>
      </c>
      <c r="G47" s="91">
        <f t="shared" si="1"/>
        <v>8.2173501500594603E-2</v>
      </c>
      <c r="H47" s="92" t="s">
        <v>535</v>
      </c>
    </row>
    <row r="48" spans="2:9">
      <c r="C48" s="89" t="s">
        <v>126</v>
      </c>
      <c r="D48" s="90">
        <f>'F4 - EF4'!L1</f>
        <v>294.5</v>
      </c>
      <c r="E48" s="90">
        <f>+D48*H35+D49*I35</f>
        <v>68.908999999999992</v>
      </c>
      <c r="F48" s="90">
        <f>+F49+E48</f>
        <v>74.123999999999995</v>
      </c>
      <c r="G48" s="91">
        <f t="shared" si="1"/>
        <v>2.3711379120397509E-2</v>
      </c>
      <c r="H48" s="92" t="s">
        <v>536</v>
      </c>
    </row>
    <row r="49" spans="2:8" ht="15.75" thickBot="1">
      <c r="C49" s="93" t="s">
        <v>187</v>
      </c>
      <c r="D49" s="94">
        <f>'EF5'!L1</f>
        <v>35</v>
      </c>
      <c r="E49" s="94">
        <f>+D49*I36</f>
        <v>5.2149999999999999</v>
      </c>
      <c r="F49" s="94">
        <f>+E49</f>
        <v>5.2149999999999999</v>
      </c>
      <c r="G49" s="95">
        <f t="shared" si="1"/>
        <v>1.6682159909458881E-3</v>
      </c>
      <c r="H49" s="96" t="s">
        <v>537</v>
      </c>
    </row>
    <row r="50" spans="2:8" ht="15.75" thickTop="1"/>
    <row r="51" spans="2:8">
      <c r="B51" s="124" t="s">
        <v>772</v>
      </c>
    </row>
    <row r="52" spans="2:8">
      <c r="B52" s="81" t="s">
        <v>21</v>
      </c>
    </row>
    <row r="53" spans="2:8"/>
    <row r="54" spans="2:8"/>
    <row r="55" spans="2:8"/>
    <row r="56" spans="2:8"/>
    <row r="57" spans="2:8"/>
    <row r="58" spans="2:8"/>
    <row r="59" spans="2:8"/>
    <row r="60" spans="2:8"/>
  </sheetData>
  <customSheetViews>
    <customSheetView guid="{CFA9FB8A-52FF-44B9-AE70-27339693E196}">
      <selection activeCell="A24" sqref="A24"/>
      <pageMargins left="0.75" right="0.75" top="1" bottom="1" header="0.5" footer="0.5"/>
      <pageSetup scale="64" orientation="portrait" r:id="rId1"/>
      <headerFooter alignWithMargins="0"/>
    </customSheetView>
  </customSheetViews>
  <mergeCells count="6">
    <mergeCell ref="C39:H39"/>
    <mergeCell ref="D29:I29"/>
    <mergeCell ref="B2:I2"/>
    <mergeCell ref="D3:I3"/>
    <mergeCell ref="B28:I28"/>
    <mergeCell ref="C13:H13"/>
  </mergeCells>
  <phoneticPr fontId="18" type="noConversion"/>
  <printOptions horizontalCentered="1"/>
  <pageMargins left="0.5" right="0.5" top="1.25" bottom="0.5" header="0.5" footer="0"/>
  <pageSetup firstPageNumber="126" orientation="landscape" useFirstPageNumber="1" r:id="rId2"/>
  <headerFooter scaleWithDoc="0">
    <oddFooter>&amp;CPage &amp;P of 172</oddFooter>
  </headerFooter>
  <rowBreaks count="1" manualBreakCount="1">
    <brk id="26"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3"/>
  <sheetViews>
    <sheetView tabSelected="1" topLeftCell="A19" zoomScaleNormal="100" workbookViewId="0">
      <selection activeCell="D23" sqref="D23"/>
    </sheetView>
  </sheetViews>
  <sheetFormatPr defaultColWidth="0" defaultRowHeight="15" zeroHeight="1"/>
  <cols>
    <col min="1" max="2" width="8.88671875" customWidth="1"/>
    <col min="3" max="3" width="11.109375" customWidth="1"/>
    <col min="4" max="4" width="71" customWidth="1"/>
    <col min="5" max="5" width="8.88671875" style="262" customWidth="1"/>
  </cols>
  <sheetData>
    <row r="1" spans="1:5" s="286" customFormat="1" ht="15" customHeight="1" thickBot="1">
      <c r="A1" s="285"/>
      <c r="E1" s="273"/>
    </row>
    <row r="2" spans="1:5" ht="21" thickTop="1">
      <c r="A2" s="262"/>
      <c r="B2" s="996" t="s">
        <v>614</v>
      </c>
      <c r="C2" s="997"/>
      <c r="D2" s="998"/>
    </row>
    <row r="3" spans="1:5" s="27" customFormat="1" ht="16.5" thickBot="1">
      <c r="A3" s="282"/>
      <c r="B3" s="596" t="s">
        <v>613</v>
      </c>
      <c r="C3" s="597" t="s">
        <v>136</v>
      </c>
      <c r="D3" s="598" t="s">
        <v>612</v>
      </c>
      <c r="E3" s="282"/>
    </row>
    <row r="4" spans="1:5" ht="15.75" thickTop="1">
      <c r="A4" s="262"/>
      <c r="B4" s="711" t="s">
        <v>616</v>
      </c>
      <c r="C4" s="712">
        <v>40233</v>
      </c>
      <c r="D4" s="646" t="s">
        <v>615</v>
      </c>
    </row>
    <row r="5" spans="1:5" ht="105">
      <c r="A5" s="262"/>
      <c r="B5" s="709" t="s">
        <v>636</v>
      </c>
      <c r="C5" s="710">
        <v>40277</v>
      </c>
      <c r="D5" s="645" t="s">
        <v>1049</v>
      </c>
    </row>
    <row r="6" spans="1:5" ht="75">
      <c r="A6" s="262"/>
      <c r="B6" s="709" t="s">
        <v>905</v>
      </c>
      <c r="C6" s="710">
        <v>40473</v>
      </c>
      <c r="D6" s="645" t="s">
        <v>912</v>
      </c>
    </row>
    <row r="7" spans="1:5" ht="45">
      <c r="A7" s="262"/>
      <c r="B7" s="709" t="s">
        <v>917</v>
      </c>
      <c r="C7" s="710">
        <v>40710</v>
      </c>
      <c r="D7" s="645" t="s">
        <v>918</v>
      </c>
    </row>
    <row r="8" spans="1:5" ht="105" customHeight="1">
      <c r="A8" s="262"/>
      <c r="B8" s="709" t="s">
        <v>923</v>
      </c>
      <c r="C8" s="710">
        <v>40980</v>
      </c>
      <c r="D8" s="645" t="s">
        <v>951</v>
      </c>
    </row>
    <row r="9" spans="1:5" ht="105">
      <c r="A9" s="262"/>
      <c r="B9" s="709" t="s">
        <v>954</v>
      </c>
      <c r="C9" s="710">
        <v>41308</v>
      </c>
      <c r="D9" s="645" t="s">
        <v>1052</v>
      </c>
    </row>
    <row r="10" spans="1:5" ht="75">
      <c r="A10" s="262"/>
      <c r="B10" s="709" t="s">
        <v>1051</v>
      </c>
      <c r="C10" s="710">
        <v>41665</v>
      </c>
      <c r="D10" s="645" t="s">
        <v>1090</v>
      </c>
    </row>
    <row r="11" spans="1:5" ht="30">
      <c r="A11" s="262"/>
      <c r="B11" s="709" t="s">
        <v>1157</v>
      </c>
      <c r="C11" s="710">
        <v>42045</v>
      </c>
      <c r="D11" s="645" t="s">
        <v>1168</v>
      </c>
    </row>
    <row r="12" spans="1:5" ht="30">
      <c r="A12" s="262"/>
      <c r="B12" s="599" t="s">
        <v>1169</v>
      </c>
      <c r="C12" s="600">
        <v>42501</v>
      </c>
      <c r="D12" s="645" t="s">
        <v>1229</v>
      </c>
    </row>
    <row r="13" spans="1:5" ht="120">
      <c r="A13" s="262"/>
      <c r="B13" s="599" t="s">
        <v>1243</v>
      </c>
      <c r="C13" s="600">
        <v>42776</v>
      </c>
      <c r="D13" s="645" t="s">
        <v>1279</v>
      </c>
    </row>
    <row r="14" spans="1:5" ht="150">
      <c r="A14" s="262"/>
      <c r="B14" s="599" t="s">
        <v>1280</v>
      </c>
      <c r="C14" s="600">
        <v>43115</v>
      </c>
      <c r="D14" s="645" t="s">
        <v>1305</v>
      </c>
    </row>
    <row r="15" spans="1:5" ht="90">
      <c r="A15" s="262"/>
      <c r="B15" s="599" t="s">
        <v>1308</v>
      </c>
      <c r="C15" s="600">
        <v>43480</v>
      </c>
      <c r="D15" s="645" t="s">
        <v>1312</v>
      </c>
    </row>
    <row r="16" spans="1:5" ht="140.1" customHeight="1">
      <c r="A16" s="262"/>
      <c r="B16" s="599" t="s">
        <v>1327</v>
      </c>
      <c r="C16" s="600">
        <v>43536</v>
      </c>
      <c r="D16" s="645" t="s">
        <v>1367</v>
      </c>
    </row>
    <row r="17" spans="1:5" ht="120">
      <c r="A17" s="262"/>
      <c r="B17" s="599" t="s">
        <v>1369</v>
      </c>
      <c r="C17" s="600">
        <v>43844</v>
      </c>
      <c r="D17" s="645" t="s">
        <v>1481</v>
      </c>
    </row>
    <row r="18" spans="1:5" ht="165">
      <c r="A18" s="262"/>
      <c r="B18" s="599" t="s">
        <v>1492</v>
      </c>
      <c r="C18" s="600">
        <v>44197</v>
      </c>
      <c r="D18" s="645" t="s">
        <v>1551</v>
      </c>
    </row>
    <row r="19" spans="1:5" s="26" customFormat="1" ht="60">
      <c r="A19" s="973"/>
      <c r="B19" s="974" t="s">
        <v>1549</v>
      </c>
      <c r="C19" s="975">
        <v>44399</v>
      </c>
      <c r="D19" s="26" t="s">
        <v>1552</v>
      </c>
      <c r="E19" s="973"/>
    </row>
    <row r="20" spans="1:5" ht="60">
      <c r="A20" s="262"/>
      <c r="B20" s="599" t="s">
        <v>1550</v>
      </c>
      <c r="C20" s="908">
        <v>44583</v>
      </c>
      <c r="D20" s="645" t="s">
        <v>1600</v>
      </c>
    </row>
    <row r="21" spans="1:5" ht="75">
      <c r="A21" s="262"/>
      <c r="B21" s="599" t="s">
        <v>1601</v>
      </c>
      <c r="C21" s="908">
        <v>44928</v>
      </c>
      <c r="D21" s="645" t="s">
        <v>1609</v>
      </c>
    </row>
    <row r="22" spans="1:5" ht="63">
      <c r="A22" s="262"/>
      <c r="B22" s="599" t="s">
        <v>1613</v>
      </c>
      <c r="C22" s="908">
        <v>44940</v>
      </c>
      <c r="D22" s="645" t="s">
        <v>1622</v>
      </c>
    </row>
    <row r="23" spans="1:5">
      <c r="A23" s="262"/>
      <c r="B23" s="599"/>
      <c r="C23" s="908"/>
      <c r="D23" s="645"/>
    </row>
    <row r="24" spans="1:5">
      <c r="A24" s="262"/>
      <c r="B24" s="599"/>
      <c r="C24" s="908"/>
      <c r="D24" s="645"/>
    </row>
    <row r="25" spans="1:5">
      <c r="A25" s="262"/>
      <c r="B25" s="599"/>
      <c r="C25" s="908"/>
      <c r="D25" s="645"/>
    </row>
    <row r="26" spans="1:5">
      <c r="A26" s="262"/>
      <c r="B26" s="599"/>
      <c r="C26" s="908"/>
      <c r="D26" s="645"/>
    </row>
    <row r="27" spans="1:5">
      <c r="A27" s="262"/>
      <c r="B27" s="599"/>
      <c r="C27" s="908"/>
      <c r="D27" s="645"/>
    </row>
    <row r="28" spans="1:5">
      <c r="A28" s="262"/>
      <c r="B28" s="599"/>
      <c r="C28" s="908"/>
      <c r="D28" s="645"/>
    </row>
    <row r="29" spans="1:5">
      <c r="A29" s="262"/>
      <c r="B29" s="599"/>
      <c r="C29" s="908"/>
      <c r="D29" s="645"/>
    </row>
    <row r="30" spans="1:5">
      <c r="A30" s="262"/>
      <c r="B30" s="599"/>
      <c r="C30" s="600"/>
      <c r="D30" s="645"/>
    </row>
    <row r="31" spans="1:5">
      <c r="A31" s="262"/>
      <c r="B31" s="599"/>
      <c r="C31" s="601"/>
      <c r="D31" s="645"/>
    </row>
    <row r="32" spans="1:5" ht="15.75" thickBot="1">
      <c r="A32" s="262"/>
      <c r="B32" s="602"/>
      <c r="C32" s="603"/>
      <c r="D32" s="604"/>
    </row>
    <row r="33" spans="1:5" s="273" customFormat="1" ht="15.75" thickTop="1">
      <c r="A33" s="266"/>
      <c r="B33" s="283"/>
      <c r="C33" s="283"/>
      <c r="D33" s="283"/>
      <c r="E33" s="267"/>
    </row>
    <row r="34" spans="1:5" s="271" customFormat="1" hidden="1">
      <c r="A34" s="270"/>
      <c r="B34" s="284"/>
      <c r="C34" s="284"/>
      <c r="D34" s="284"/>
      <c r="E34" s="267"/>
    </row>
    <row r="35" spans="1:5" hidden="1">
      <c r="B35" s="277"/>
      <c r="C35" s="277"/>
      <c r="D35" s="277"/>
    </row>
    <row r="36" spans="1:5" hidden="1">
      <c r="B36" s="277"/>
      <c r="C36" s="277"/>
      <c r="D36" s="277"/>
    </row>
    <row r="37" spans="1:5" hidden="1">
      <c r="B37" s="277"/>
      <c r="C37" s="277"/>
      <c r="D37" s="277"/>
    </row>
    <row r="38" spans="1:5" hidden="1">
      <c r="B38" s="277"/>
      <c r="C38" s="277"/>
      <c r="D38" s="277"/>
    </row>
    <row r="39" spans="1:5" hidden="1">
      <c r="B39" s="277"/>
      <c r="C39" s="277"/>
      <c r="D39" s="277"/>
    </row>
    <row r="40" spans="1:5" hidden="1">
      <c r="B40" s="277"/>
      <c r="C40" s="277"/>
      <c r="D40" s="277"/>
    </row>
    <row r="41" spans="1:5" hidden="1">
      <c r="B41" s="277"/>
      <c r="C41" s="277"/>
      <c r="D41" s="277"/>
    </row>
    <row r="42" spans="1:5" hidden="1">
      <c r="B42" s="277"/>
      <c r="C42" s="277"/>
      <c r="D42" s="277"/>
    </row>
    <row r="43" spans="1:5" hidden="1">
      <c r="B43" s="277"/>
      <c r="C43" s="277"/>
      <c r="D43" s="277"/>
    </row>
    <row r="44" spans="1:5" hidden="1">
      <c r="B44" s="277"/>
      <c r="C44" s="277"/>
      <c r="D44" s="277"/>
    </row>
    <row r="45" spans="1:5" hidden="1">
      <c r="B45" s="277"/>
      <c r="C45" s="277"/>
      <c r="D45" s="277"/>
    </row>
    <row r="46" spans="1:5" hidden="1">
      <c r="B46" s="277"/>
      <c r="C46" s="277"/>
      <c r="D46" s="277"/>
    </row>
    <row r="47" spans="1:5" hidden="1">
      <c r="B47" s="277"/>
      <c r="C47" s="277"/>
      <c r="D47" s="277"/>
    </row>
    <row r="48" spans="1:5" hidden="1">
      <c r="B48" s="277"/>
      <c r="C48" s="277"/>
      <c r="D48" s="277"/>
    </row>
    <row r="49" spans="2:4" hidden="1">
      <c r="B49" s="277"/>
      <c r="C49" s="277"/>
      <c r="D49" s="277"/>
    </row>
    <row r="50" spans="2:4" hidden="1">
      <c r="B50" s="277"/>
      <c r="C50" s="277"/>
      <c r="D50" s="277"/>
    </row>
    <row r="51" spans="2:4" hidden="1">
      <c r="B51" s="277"/>
      <c r="C51" s="277"/>
      <c r="D51" s="277"/>
    </row>
    <row r="52" spans="2:4" hidden="1">
      <c r="B52" s="277"/>
      <c r="C52" s="277"/>
      <c r="D52" s="277"/>
    </row>
    <row r="53" spans="2:4" hidden="1">
      <c r="B53" s="277"/>
      <c r="C53" s="277"/>
      <c r="D53" s="277"/>
    </row>
    <row r="54" spans="2:4" hidden="1">
      <c r="B54" s="277"/>
      <c r="C54" s="277"/>
      <c r="D54" s="277"/>
    </row>
    <row r="55" spans="2:4" hidden="1">
      <c r="B55" s="277"/>
      <c r="C55" s="277"/>
      <c r="D55" s="277"/>
    </row>
    <row r="56" spans="2:4" hidden="1">
      <c r="B56" s="277"/>
      <c r="C56" s="277"/>
      <c r="D56" s="277"/>
    </row>
    <row r="57" spans="2:4" hidden="1">
      <c r="B57" s="277"/>
      <c r="C57" s="277"/>
      <c r="D57" s="277"/>
    </row>
    <row r="58" spans="2:4" hidden="1">
      <c r="B58" s="277"/>
      <c r="C58" s="277"/>
      <c r="D58" s="277"/>
    </row>
    <row r="59" spans="2:4" hidden="1">
      <c r="B59" s="277"/>
      <c r="C59" s="277"/>
      <c r="D59" s="277"/>
    </row>
    <row r="60" spans="2:4" hidden="1">
      <c r="B60" s="277"/>
      <c r="C60" s="277"/>
      <c r="D60" s="277"/>
    </row>
    <row r="61" spans="2:4" hidden="1">
      <c r="B61" s="277"/>
      <c r="C61" s="277"/>
      <c r="D61" s="277"/>
    </row>
    <row r="62" spans="2:4" hidden="1">
      <c r="B62" s="277"/>
      <c r="C62" s="277"/>
      <c r="D62" s="277"/>
    </row>
    <row r="63" spans="2:4" hidden="1">
      <c r="B63" s="277"/>
      <c r="C63" s="277"/>
      <c r="D63" s="277"/>
    </row>
    <row r="64" spans="2:4" hidden="1">
      <c r="B64" s="277"/>
      <c r="C64" s="277"/>
      <c r="D64" s="277"/>
    </row>
    <row r="65" spans="2:4" hidden="1">
      <c r="B65" s="277"/>
      <c r="C65" s="277"/>
      <c r="D65" s="277"/>
    </row>
    <row r="66" spans="2:4" hidden="1">
      <c r="B66" s="277"/>
      <c r="C66" s="277"/>
      <c r="D66" s="277"/>
    </row>
    <row r="67" spans="2:4" hidden="1">
      <c r="B67" s="277"/>
      <c r="C67" s="277"/>
      <c r="D67" s="277"/>
    </row>
    <row r="68" spans="2:4" hidden="1">
      <c r="B68" s="277"/>
      <c r="C68" s="277"/>
      <c r="D68" s="277"/>
    </row>
    <row r="69" spans="2:4" hidden="1">
      <c r="B69" s="277"/>
      <c r="C69" s="277"/>
      <c r="D69" s="277"/>
    </row>
    <row r="70" spans="2:4" hidden="1">
      <c r="B70" s="277"/>
      <c r="C70" s="277"/>
      <c r="D70" s="277"/>
    </row>
    <row r="71" spans="2:4" hidden="1">
      <c r="B71" s="277"/>
      <c r="C71" s="277"/>
      <c r="D71" s="277"/>
    </row>
    <row r="72" spans="2:4" hidden="1">
      <c r="B72" s="277"/>
      <c r="C72" s="277"/>
      <c r="D72" s="277"/>
    </row>
    <row r="73" spans="2:4" hidden="1">
      <c r="B73" s="277"/>
      <c r="C73" s="277"/>
      <c r="D73" s="277"/>
    </row>
    <row r="74" spans="2:4" hidden="1">
      <c r="B74" s="277"/>
      <c r="C74" s="277"/>
      <c r="D74" s="277"/>
    </row>
    <row r="75" spans="2:4" hidden="1">
      <c r="B75" s="277"/>
      <c r="C75" s="277"/>
      <c r="D75" s="277"/>
    </row>
    <row r="76" spans="2:4" hidden="1">
      <c r="B76" s="277"/>
      <c r="C76" s="277"/>
      <c r="D76" s="277"/>
    </row>
    <row r="77" spans="2:4" hidden="1">
      <c r="B77" s="277"/>
      <c r="C77" s="277"/>
      <c r="D77" s="277"/>
    </row>
    <row r="78" spans="2:4" hidden="1">
      <c r="B78" s="277"/>
      <c r="C78" s="277"/>
      <c r="D78" s="277"/>
    </row>
    <row r="79" spans="2:4" hidden="1">
      <c r="B79" s="277"/>
      <c r="C79" s="277"/>
      <c r="D79" s="277"/>
    </row>
    <row r="80" spans="2:4" hidden="1">
      <c r="B80" s="277"/>
      <c r="C80" s="277"/>
      <c r="D80" s="277"/>
    </row>
    <row r="81" spans="2:4" hidden="1">
      <c r="B81" s="277"/>
      <c r="C81" s="277"/>
      <c r="D81" s="277"/>
    </row>
    <row r="82" spans="2:4" hidden="1">
      <c r="B82" s="277"/>
      <c r="C82" s="277"/>
      <c r="D82" s="277"/>
    </row>
    <row r="83" spans="2:4" hidden="1">
      <c r="B83" s="277"/>
      <c r="C83" s="277"/>
      <c r="D83" s="277"/>
    </row>
    <row r="84" spans="2:4" hidden="1">
      <c r="B84" s="277"/>
      <c r="C84" s="277"/>
      <c r="D84" s="277"/>
    </row>
    <row r="85" spans="2:4" hidden="1">
      <c r="B85" s="277"/>
      <c r="C85" s="277"/>
      <c r="D85" s="277"/>
    </row>
    <row r="86" spans="2:4" hidden="1">
      <c r="B86" s="277"/>
      <c r="C86" s="277"/>
      <c r="D86" s="277"/>
    </row>
    <row r="87" spans="2:4" hidden="1">
      <c r="B87" s="277"/>
      <c r="C87" s="277"/>
      <c r="D87" s="277"/>
    </row>
    <row r="88" spans="2:4" hidden="1">
      <c r="B88" s="277"/>
      <c r="C88" s="277"/>
      <c r="D88" s="277"/>
    </row>
    <row r="89" spans="2:4" hidden="1">
      <c r="B89" s="277"/>
      <c r="C89" s="277"/>
      <c r="D89" s="277"/>
    </row>
    <row r="90" spans="2:4" hidden="1">
      <c r="B90" s="277"/>
      <c r="C90" s="277"/>
      <c r="D90" s="277"/>
    </row>
    <row r="91" spans="2:4" hidden="1">
      <c r="B91" s="277"/>
      <c r="C91" s="277"/>
      <c r="D91" s="277"/>
    </row>
    <row r="92" spans="2:4" hidden="1">
      <c r="B92" s="277"/>
      <c r="C92" s="277"/>
      <c r="D92" s="277"/>
    </row>
    <row r="93" spans="2:4" hidden="1">
      <c r="B93" s="277"/>
      <c r="C93" s="277"/>
      <c r="D93" s="277"/>
    </row>
    <row r="94" spans="2:4" hidden="1">
      <c r="B94" s="277"/>
      <c r="C94" s="277"/>
      <c r="D94" s="277"/>
    </row>
    <row r="95" spans="2:4" hidden="1">
      <c r="B95" s="277"/>
      <c r="C95" s="277"/>
      <c r="D95" s="277"/>
    </row>
    <row r="96" spans="2:4" hidden="1">
      <c r="B96" s="277"/>
      <c r="C96" s="277"/>
      <c r="D96" s="277"/>
    </row>
    <row r="97" spans="2:4" hidden="1">
      <c r="B97" s="277"/>
      <c r="C97" s="277"/>
      <c r="D97" s="277"/>
    </row>
    <row r="98" spans="2:4" hidden="1">
      <c r="B98" s="277"/>
      <c r="C98" s="277"/>
      <c r="D98" s="277"/>
    </row>
    <row r="99" spans="2:4" hidden="1">
      <c r="B99" s="277"/>
      <c r="C99" s="277"/>
      <c r="D99" s="277"/>
    </row>
    <row r="100" spans="2:4" hidden="1">
      <c r="B100" s="277"/>
      <c r="C100" s="277"/>
      <c r="D100" s="277"/>
    </row>
    <row r="101" spans="2:4" hidden="1">
      <c r="B101" s="277"/>
      <c r="C101" s="277"/>
      <c r="D101" s="277"/>
    </row>
    <row r="102" spans="2:4" hidden="1">
      <c r="B102" s="277"/>
      <c r="C102" s="277"/>
      <c r="D102" s="277"/>
    </row>
    <row r="103" spans="2:4" hidden="1">
      <c r="B103" s="277"/>
      <c r="C103" s="277"/>
      <c r="D103" s="277"/>
    </row>
    <row r="104" spans="2:4" hidden="1">
      <c r="B104" s="277"/>
      <c r="C104" s="277"/>
      <c r="D104" s="277"/>
    </row>
    <row r="105" spans="2:4" hidden="1">
      <c r="B105" s="277"/>
      <c r="C105" s="277"/>
      <c r="D105" s="277"/>
    </row>
    <row r="106" spans="2:4" hidden="1">
      <c r="B106" s="277"/>
      <c r="C106" s="277"/>
      <c r="D106" s="277"/>
    </row>
    <row r="107" spans="2:4" hidden="1">
      <c r="B107" s="277"/>
      <c r="C107" s="277"/>
      <c r="D107" s="277"/>
    </row>
    <row r="108" spans="2:4" hidden="1">
      <c r="B108" s="277"/>
      <c r="C108" s="277"/>
      <c r="D108" s="277"/>
    </row>
    <row r="109" spans="2:4" hidden="1">
      <c r="B109" s="277"/>
      <c r="C109" s="277"/>
      <c r="D109" s="277"/>
    </row>
    <row r="110" spans="2:4" hidden="1">
      <c r="B110" s="277"/>
      <c r="C110" s="277"/>
      <c r="D110" s="277"/>
    </row>
    <row r="111" spans="2:4" hidden="1">
      <c r="B111" s="277"/>
      <c r="C111" s="277"/>
      <c r="D111" s="277"/>
    </row>
    <row r="112" spans="2:4" hidden="1">
      <c r="B112" s="277"/>
      <c r="C112" s="277"/>
      <c r="D112" s="277"/>
    </row>
    <row r="113" spans="2:4" hidden="1">
      <c r="B113" s="277"/>
      <c r="C113" s="277"/>
      <c r="D113" s="277"/>
    </row>
    <row r="114" spans="2:4" hidden="1">
      <c r="B114" s="277"/>
      <c r="C114" s="277"/>
      <c r="D114" s="277"/>
    </row>
    <row r="115" spans="2:4" hidden="1">
      <c r="B115" s="277"/>
      <c r="C115" s="277"/>
      <c r="D115" s="277"/>
    </row>
    <row r="116" spans="2:4" hidden="1">
      <c r="B116" s="277"/>
      <c r="C116" s="277"/>
      <c r="D116" s="277"/>
    </row>
    <row r="117" spans="2:4" hidden="1">
      <c r="B117" s="277"/>
      <c r="C117" s="277"/>
      <c r="D117" s="277"/>
    </row>
    <row r="118" spans="2:4" hidden="1">
      <c r="B118" s="277"/>
      <c r="C118" s="277"/>
      <c r="D118" s="277"/>
    </row>
    <row r="119" spans="2:4" hidden="1">
      <c r="B119" s="277"/>
      <c r="C119" s="277"/>
      <c r="D119" s="277"/>
    </row>
    <row r="120" spans="2:4" hidden="1">
      <c r="B120" s="277"/>
      <c r="C120" s="277"/>
      <c r="D120" s="277"/>
    </row>
    <row r="121" spans="2:4" hidden="1">
      <c r="B121" s="277"/>
      <c r="C121" s="277"/>
      <c r="D121" s="277"/>
    </row>
    <row r="122" spans="2:4" hidden="1">
      <c r="B122" s="277"/>
      <c r="C122" s="277"/>
      <c r="D122" s="277"/>
    </row>
    <row r="123" spans="2:4" hidden="1">
      <c r="B123" s="277"/>
      <c r="C123" s="277"/>
      <c r="D123" s="277"/>
    </row>
    <row r="124" spans="2:4" hidden="1">
      <c r="B124" s="277"/>
      <c r="C124" s="277"/>
      <c r="D124" s="277"/>
    </row>
    <row r="125" spans="2:4" hidden="1">
      <c r="B125" s="277"/>
      <c r="C125" s="277"/>
      <c r="D125" s="277"/>
    </row>
    <row r="126" spans="2:4" hidden="1">
      <c r="B126" s="277"/>
      <c r="C126" s="277"/>
      <c r="D126" s="277"/>
    </row>
    <row r="127" spans="2:4" hidden="1">
      <c r="B127" s="277"/>
      <c r="C127" s="277"/>
      <c r="D127" s="277"/>
    </row>
    <row r="128" spans="2:4" hidden="1">
      <c r="B128" s="277"/>
      <c r="C128" s="277"/>
      <c r="D128" s="277"/>
    </row>
    <row r="129" spans="2:4" hidden="1">
      <c r="B129" s="277"/>
      <c r="C129" s="277"/>
      <c r="D129" s="277"/>
    </row>
    <row r="130" spans="2:4" hidden="1">
      <c r="B130" s="277"/>
      <c r="C130" s="277"/>
      <c r="D130" s="277"/>
    </row>
    <row r="131" spans="2:4" hidden="1">
      <c r="B131" s="277"/>
      <c r="C131" s="277"/>
      <c r="D131" s="277"/>
    </row>
    <row r="132" spans="2:4" hidden="1">
      <c r="B132" s="277"/>
      <c r="C132" s="277"/>
      <c r="D132" s="277"/>
    </row>
    <row r="133" spans="2:4" hidden="1">
      <c r="B133" s="277"/>
      <c r="C133" s="277"/>
      <c r="D133" s="277"/>
    </row>
    <row r="134" spans="2:4" hidden="1">
      <c r="B134" s="277"/>
      <c r="C134" s="277"/>
      <c r="D134" s="277"/>
    </row>
    <row r="135" spans="2:4" hidden="1">
      <c r="B135" s="277"/>
      <c r="C135" s="277"/>
      <c r="D135" s="277"/>
    </row>
    <row r="136" spans="2:4" hidden="1">
      <c r="B136" s="277"/>
      <c r="C136" s="277"/>
      <c r="D136" s="277"/>
    </row>
    <row r="137" spans="2:4" hidden="1">
      <c r="B137" s="277"/>
      <c r="C137" s="277"/>
      <c r="D137" s="277"/>
    </row>
    <row r="138" spans="2:4" hidden="1">
      <c r="B138" s="277"/>
      <c r="C138" s="277"/>
      <c r="D138" s="277"/>
    </row>
    <row r="139" spans="2:4" hidden="1">
      <c r="B139" s="277"/>
      <c r="C139" s="277"/>
      <c r="D139" s="277"/>
    </row>
    <row r="140" spans="2:4" hidden="1">
      <c r="B140" s="277"/>
      <c r="C140" s="277"/>
      <c r="D140" s="277"/>
    </row>
    <row r="141" spans="2:4" hidden="1">
      <c r="B141" s="277"/>
      <c r="C141" s="277"/>
      <c r="D141" s="277"/>
    </row>
    <row r="142" spans="2:4" hidden="1">
      <c r="B142" s="277"/>
      <c r="C142" s="277"/>
      <c r="D142" s="277"/>
    </row>
    <row r="143" spans="2:4" hidden="1">
      <c r="B143" s="277"/>
      <c r="C143" s="277"/>
      <c r="D143" s="277"/>
    </row>
    <row r="144" spans="2:4" hidden="1">
      <c r="B144" s="277"/>
      <c r="C144" s="277"/>
      <c r="D144" s="277"/>
    </row>
    <row r="145" spans="2:4" hidden="1">
      <c r="B145" s="277"/>
      <c r="C145" s="277"/>
      <c r="D145" s="277"/>
    </row>
    <row r="146" spans="2:4" hidden="1">
      <c r="B146" s="277"/>
      <c r="C146" s="277"/>
      <c r="D146" s="277"/>
    </row>
    <row r="147" spans="2:4" hidden="1">
      <c r="B147" s="277"/>
      <c r="C147" s="277"/>
      <c r="D147" s="277"/>
    </row>
    <row r="148" spans="2:4" hidden="1">
      <c r="B148" s="277"/>
      <c r="C148" s="277"/>
      <c r="D148" s="277"/>
    </row>
    <row r="149" spans="2:4" hidden="1">
      <c r="B149" s="277"/>
      <c r="C149" s="277"/>
      <c r="D149" s="277"/>
    </row>
    <row r="150" spans="2:4" hidden="1">
      <c r="B150" s="277"/>
      <c r="C150" s="277"/>
      <c r="D150" s="277"/>
    </row>
    <row r="151" spans="2:4" hidden="1">
      <c r="B151" s="277"/>
      <c r="C151" s="277"/>
      <c r="D151" s="277"/>
    </row>
    <row r="152" spans="2:4" hidden="1">
      <c r="B152" s="277"/>
      <c r="C152" s="277"/>
      <c r="D152" s="277"/>
    </row>
    <row r="153" spans="2:4" hidden="1">
      <c r="B153" s="277"/>
      <c r="C153" s="277"/>
      <c r="D153" s="277"/>
    </row>
    <row r="154" spans="2:4" hidden="1">
      <c r="B154" s="277"/>
      <c r="C154" s="277"/>
      <c r="D154" s="277"/>
    </row>
    <row r="155" spans="2:4" hidden="1">
      <c r="B155" s="277"/>
      <c r="C155" s="277"/>
      <c r="D155" s="277"/>
    </row>
    <row r="156" spans="2:4" hidden="1">
      <c r="B156" s="277"/>
      <c r="C156" s="277"/>
      <c r="D156" s="277"/>
    </row>
    <row r="157" spans="2:4" hidden="1">
      <c r="B157" s="277"/>
      <c r="C157" s="277"/>
      <c r="D157" s="277"/>
    </row>
    <row r="158" spans="2:4" hidden="1">
      <c r="B158" s="277"/>
      <c r="C158" s="277"/>
      <c r="D158" s="277"/>
    </row>
    <row r="159" spans="2:4" hidden="1">
      <c r="B159" s="277"/>
      <c r="C159" s="277"/>
      <c r="D159" s="277"/>
    </row>
    <row r="160" spans="2:4" hidden="1">
      <c r="B160" s="277"/>
      <c r="C160" s="277"/>
      <c r="D160" s="277"/>
    </row>
    <row r="161" spans="2:4" hidden="1">
      <c r="B161" s="277"/>
      <c r="C161" s="277"/>
      <c r="D161" s="277"/>
    </row>
    <row r="162" spans="2:4" hidden="1">
      <c r="B162" s="277"/>
      <c r="C162" s="277"/>
      <c r="D162" s="277"/>
    </row>
    <row r="163" spans="2:4" hidden="1">
      <c r="B163" s="277"/>
      <c r="C163" s="277"/>
      <c r="D163" s="277"/>
    </row>
    <row r="164" spans="2:4" hidden="1">
      <c r="B164" s="277"/>
      <c r="C164" s="277"/>
      <c r="D164" s="277"/>
    </row>
    <row r="165" spans="2:4" hidden="1">
      <c r="B165" s="277"/>
      <c r="C165" s="277"/>
      <c r="D165" s="277"/>
    </row>
    <row r="166" spans="2:4" hidden="1">
      <c r="B166" s="277"/>
      <c r="C166" s="277"/>
      <c r="D166" s="277"/>
    </row>
    <row r="167" spans="2:4" hidden="1">
      <c r="B167" s="277"/>
      <c r="C167" s="277"/>
      <c r="D167" s="277"/>
    </row>
    <row r="168" spans="2:4" hidden="1">
      <c r="B168" s="277"/>
      <c r="C168" s="277"/>
      <c r="D168" s="277"/>
    </row>
    <row r="169" spans="2:4" hidden="1">
      <c r="B169" s="277"/>
      <c r="C169" s="277"/>
      <c r="D169" s="277"/>
    </row>
    <row r="170" spans="2:4" hidden="1">
      <c r="B170" s="277"/>
      <c r="C170" s="277"/>
      <c r="D170" s="277"/>
    </row>
    <row r="171" spans="2:4" hidden="1">
      <c r="B171" s="277"/>
      <c r="C171" s="277"/>
      <c r="D171" s="277"/>
    </row>
    <row r="172" spans="2:4" hidden="1">
      <c r="B172" s="277"/>
      <c r="C172" s="277"/>
      <c r="D172" s="277"/>
    </row>
    <row r="173" spans="2:4" hidden="1">
      <c r="B173" s="277"/>
      <c r="C173" s="277"/>
      <c r="D173" s="277"/>
    </row>
    <row r="174" spans="2:4" hidden="1">
      <c r="B174" s="277"/>
      <c r="C174" s="277"/>
      <c r="D174" s="277"/>
    </row>
    <row r="175" spans="2:4" hidden="1">
      <c r="B175" s="277"/>
      <c r="C175" s="277"/>
      <c r="D175" s="277"/>
    </row>
    <row r="176" spans="2:4" hidden="1">
      <c r="B176" s="277"/>
      <c r="C176" s="277"/>
      <c r="D176" s="277"/>
    </row>
    <row r="177" spans="2:4" hidden="1">
      <c r="B177" s="277"/>
      <c r="C177" s="277"/>
      <c r="D177" s="277"/>
    </row>
    <row r="178" spans="2:4" hidden="1">
      <c r="B178" s="277"/>
      <c r="C178" s="277"/>
      <c r="D178" s="277"/>
    </row>
    <row r="179" spans="2:4" hidden="1">
      <c r="B179" s="277"/>
      <c r="C179" s="277"/>
      <c r="D179" s="277"/>
    </row>
    <row r="180" spans="2:4" hidden="1">
      <c r="B180" s="277"/>
      <c r="C180" s="277"/>
      <c r="D180" s="277"/>
    </row>
    <row r="181" spans="2:4" hidden="1">
      <c r="B181" s="277"/>
      <c r="C181" s="277"/>
      <c r="D181" s="277"/>
    </row>
    <row r="182" spans="2:4" hidden="1">
      <c r="B182" s="277"/>
      <c r="C182" s="277"/>
      <c r="D182" s="277"/>
    </row>
    <row r="183" spans="2:4" hidden="1">
      <c r="B183" s="277"/>
      <c r="C183" s="277"/>
      <c r="D183" s="277"/>
    </row>
    <row r="184" spans="2:4" hidden="1">
      <c r="B184" s="277"/>
      <c r="C184" s="277"/>
      <c r="D184" s="277"/>
    </row>
    <row r="185" spans="2:4" hidden="1">
      <c r="B185" s="277"/>
      <c r="C185" s="277"/>
      <c r="D185" s="277"/>
    </row>
    <row r="186" spans="2:4" hidden="1">
      <c r="B186" s="277"/>
      <c r="C186" s="277"/>
      <c r="D186" s="277"/>
    </row>
    <row r="187" spans="2:4" hidden="1">
      <c r="B187" s="277"/>
      <c r="C187" s="277"/>
      <c r="D187" s="277"/>
    </row>
    <row r="188" spans="2:4" hidden="1">
      <c r="B188" s="277"/>
      <c r="C188" s="277"/>
      <c r="D188" s="277"/>
    </row>
    <row r="189" spans="2:4" hidden="1">
      <c r="B189" s="277"/>
      <c r="C189" s="277"/>
      <c r="D189" s="277"/>
    </row>
    <row r="190" spans="2:4" hidden="1">
      <c r="B190" s="277"/>
      <c r="C190" s="277"/>
      <c r="D190" s="277"/>
    </row>
    <row r="191" spans="2:4" hidden="1">
      <c r="B191" s="277"/>
      <c r="C191" s="277"/>
      <c r="D191" s="277"/>
    </row>
    <row r="192" spans="2:4" hidden="1">
      <c r="B192" s="277"/>
      <c r="C192" s="277"/>
      <c r="D192" s="277"/>
    </row>
    <row r="193" spans="2:4" hidden="1">
      <c r="B193" s="277"/>
      <c r="C193" s="277"/>
      <c r="D193" s="277"/>
    </row>
    <row r="194" spans="2:4" hidden="1">
      <c r="B194" s="277"/>
      <c r="C194" s="277"/>
      <c r="D194" s="277"/>
    </row>
    <row r="195" spans="2:4" hidden="1">
      <c r="B195" s="277"/>
      <c r="C195" s="277"/>
      <c r="D195" s="277"/>
    </row>
    <row r="196" spans="2:4" hidden="1">
      <c r="B196" s="277"/>
      <c r="C196" s="277"/>
      <c r="D196" s="277"/>
    </row>
    <row r="197" spans="2:4" hidden="1">
      <c r="B197" s="277"/>
      <c r="C197" s="277"/>
      <c r="D197" s="277"/>
    </row>
    <row r="198" spans="2:4" hidden="1">
      <c r="B198" s="277"/>
      <c r="C198" s="277"/>
      <c r="D198" s="277"/>
    </row>
    <row r="199" spans="2:4" hidden="1">
      <c r="B199" s="277"/>
      <c r="C199" s="277"/>
      <c r="D199" s="277"/>
    </row>
    <row r="200" spans="2:4" hidden="1">
      <c r="B200" s="277"/>
      <c r="C200" s="277"/>
      <c r="D200" s="277"/>
    </row>
    <row r="201" spans="2:4" hidden="1">
      <c r="B201" s="277"/>
      <c r="C201" s="277"/>
      <c r="D201" s="277"/>
    </row>
    <row r="202" spans="2:4" hidden="1">
      <c r="B202" s="277"/>
      <c r="C202" s="277"/>
      <c r="D202" s="277"/>
    </row>
    <row r="203" spans="2:4" hidden="1">
      <c r="B203" s="277"/>
      <c r="C203" s="277"/>
      <c r="D203" s="277"/>
    </row>
    <row r="204" spans="2:4" hidden="1">
      <c r="B204" s="277"/>
      <c r="C204" s="277"/>
      <c r="D204" s="277"/>
    </row>
    <row r="205" spans="2:4" hidden="1">
      <c r="B205" s="277"/>
      <c r="C205" s="277"/>
      <c r="D205" s="277"/>
    </row>
    <row r="206" spans="2:4" hidden="1">
      <c r="B206" s="277"/>
      <c r="C206" s="277"/>
      <c r="D206" s="277"/>
    </row>
    <row r="207" spans="2:4" hidden="1">
      <c r="B207" s="277"/>
      <c r="C207" s="277"/>
      <c r="D207" s="277"/>
    </row>
    <row r="208" spans="2:4" hidden="1">
      <c r="B208" s="277"/>
      <c r="C208" s="277"/>
      <c r="D208" s="277"/>
    </row>
    <row r="209" spans="2:4" hidden="1">
      <c r="B209" s="277"/>
      <c r="C209" s="277"/>
      <c r="D209" s="277"/>
    </row>
    <row r="210" spans="2:4" hidden="1">
      <c r="B210" s="277"/>
      <c r="C210" s="277"/>
      <c r="D210" s="277"/>
    </row>
    <row r="211" spans="2:4" hidden="1">
      <c r="B211" s="277"/>
      <c r="C211" s="277"/>
      <c r="D211" s="277"/>
    </row>
    <row r="212" spans="2:4" hidden="1">
      <c r="B212" s="277"/>
      <c r="C212" s="277"/>
      <c r="D212" s="277"/>
    </row>
    <row r="213" spans="2:4" hidden="1">
      <c r="B213" s="277"/>
      <c r="C213" s="277"/>
      <c r="D213" s="277"/>
    </row>
    <row r="214" spans="2:4" hidden="1">
      <c r="B214" s="277"/>
      <c r="C214" s="277"/>
      <c r="D214" s="277"/>
    </row>
    <row r="215" spans="2:4" hidden="1">
      <c r="B215" s="277"/>
      <c r="C215" s="277"/>
      <c r="D215" s="277"/>
    </row>
    <row r="216" spans="2:4" hidden="1">
      <c r="B216" s="277"/>
      <c r="C216" s="277"/>
      <c r="D216" s="277"/>
    </row>
    <row r="217" spans="2:4" hidden="1">
      <c r="B217" s="277"/>
      <c r="C217" s="277"/>
      <c r="D217" s="277"/>
    </row>
    <row r="218" spans="2:4" hidden="1">
      <c r="B218" s="277"/>
      <c r="C218" s="277"/>
      <c r="D218" s="277"/>
    </row>
    <row r="219" spans="2:4" hidden="1">
      <c r="B219" s="277"/>
      <c r="C219" s="277"/>
      <c r="D219" s="277"/>
    </row>
    <row r="220" spans="2:4" hidden="1">
      <c r="B220" s="277"/>
      <c r="C220" s="277"/>
      <c r="D220" s="277"/>
    </row>
    <row r="221" spans="2:4" hidden="1">
      <c r="B221" s="277"/>
      <c r="C221" s="277"/>
      <c r="D221" s="277"/>
    </row>
    <row r="222" spans="2:4" hidden="1">
      <c r="B222" s="277"/>
      <c r="C222" s="277"/>
      <c r="D222" s="277"/>
    </row>
    <row r="223" spans="2:4" hidden="1">
      <c r="B223" s="277"/>
      <c r="C223" s="277"/>
      <c r="D223" s="277"/>
    </row>
    <row r="224" spans="2:4" hidden="1">
      <c r="B224" s="277"/>
      <c r="C224" s="277"/>
      <c r="D224" s="277"/>
    </row>
    <row r="225" spans="2:4" hidden="1">
      <c r="B225" s="277"/>
      <c r="C225" s="277"/>
      <c r="D225" s="277"/>
    </row>
    <row r="226" spans="2:4" hidden="1">
      <c r="B226" s="277"/>
      <c r="C226" s="277"/>
      <c r="D226" s="277"/>
    </row>
    <row r="227" spans="2:4" hidden="1">
      <c r="B227" s="277"/>
      <c r="C227" s="277"/>
      <c r="D227" s="277"/>
    </row>
    <row r="228" spans="2:4" hidden="1">
      <c r="B228" s="277"/>
      <c r="C228" s="277"/>
      <c r="D228" s="277"/>
    </row>
    <row r="229" spans="2:4" hidden="1">
      <c r="B229" s="277"/>
      <c r="C229" s="277"/>
      <c r="D229" s="277"/>
    </row>
    <row r="230" spans="2:4" hidden="1">
      <c r="B230" s="277"/>
      <c r="C230" s="277"/>
      <c r="D230" s="277"/>
    </row>
    <row r="231" spans="2:4" hidden="1">
      <c r="B231" s="277"/>
      <c r="C231" s="277"/>
      <c r="D231" s="277"/>
    </row>
    <row r="232" spans="2:4" hidden="1">
      <c r="B232" s="277"/>
      <c r="C232" s="277"/>
      <c r="D232" s="277"/>
    </row>
    <row r="233" spans="2:4" hidden="1">
      <c r="B233" s="277"/>
      <c r="C233" s="277"/>
      <c r="D233" s="277"/>
    </row>
    <row r="234" spans="2:4" hidden="1">
      <c r="B234" s="277"/>
      <c r="C234" s="277"/>
      <c r="D234" s="277"/>
    </row>
    <row r="235" spans="2:4" hidden="1">
      <c r="B235" s="277"/>
      <c r="C235" s="277"/>
      <c r="D235" s="277"/>
    </row>
    <row r="236" spans="2:4" hidden="1">
      <c r="B236" s="277"/>
      <c r="C236" s="277"/>
      <c r="D236" s="277"/>
    </row>
    <row r="237" spans="2:4" hidden="1">
      <c r="B237" s="277"/>
      <c r="C237" s="277"/>
      <c r="D237" s="277"/>
    </row>
    <row r="238" spans="2:4" hidden="1">
      <c r="B238" s="277"/>
      <c r="C238" s="277"/>
      <c r="D238" s="277"/>
    </row>
    <row r="239" spans="2:4" hidden="1">
      <c r="B239" s="277"/>
      <c r="C239" s="277"/>
      <c r="D239" s="277"/>
    </row>
    <row r="240" spans="2:4" hidden="1">
      <c r="B240" s="277"/>
      <c r="C240" s="277"/>
      <c r="D240" s="277"/>
    </row>
    <row r="241" spans="2:4" hidden="1">
      <c r="B241" s="277"/>
      <c r="C241" s="277"/>
      <c r="D241" s="277"/>
    </row>
    <row r="242" spans="2:4" hidden="1">
      <c r="B242" s="277"/>
      <c r="C242" s="277"/>
      <c r="D242" s="277"/>
    </row>
    <row r="243" spans="2:4" hidden="1">
      <c r="B243" s="277"/>
      <c r="C243" s="277"/>
      <c r="D243" s="277"/>
    </row>
    <row r="244" spans="2:4" hidden="1">
      <c r="B244" s="277"/>
      <c r="C244" s="277"/>
      <c r="D244" s="277"/>
    </row>
    <row r="245" spans="2:4" hidden="1">
      <c r="B245" s="277"/>
      <c r="C245" s="277"/>
      <c r="D245" s="277"/>
    </row>
    <row r="246" spans="2:4" hidden="1">
      <c r="B246" s="277"/>
      <c r="C246" s="277"/>
      <c r="D246" s="277"/>
    </row>
    <row r="247" spans="2:4" hidden="1">
      <c r="B247" s="277"/>
      <c r="C247" s="277"/>
      <c r="D247" s="277"/>
    </row>
    <row r="248" spans="2:4" hidden="1">
      <c r="B248" s="277"/>
      <c r="C248" s="277"/>
      <c r="D248" s="277"/>
    </row>
    <row r="249" spans="2:4" hidden="1">
      <c r="B249" s="277"/>
      <c r="C249" s="277"/>
      <c r="D249" s="277"/>
    </row>
    <row r="250" spans="2:4" hidden="1">
      <c r="B250" s="277"/>
      <c r="C250" s="277"/>
      <c r="D250" s="277"/>
    </row>
    <row r="251" spans="2:4" hidden="1">
      <c r="B251" s="277"/>
      <c r="C251" s="277"/>
      <c r="D251" s="277"/>
    </row>
    <row r="252" spans="2:4" hidden="1">
      <c r="B252" s="277"/>
      <c r="C252" s="277"/>
      <c r="D252" s="277"/>
    </row>
    <row r="253" spans="2:4" hidden="1">
      <c r="B253" s="277"/>
      <c r="C253" s="277"/>
      <c r="D253" s="277"/>
    </row>
    <row r="254" spans="2:4" hidden="1">
      <c r="B254" s="277"/>
      <c r="C254" s="277"/>
      <c r="D254" s="277"/>
    </row>
    <row r="255" spans="2:4" hidden="1">
      <c r="B255" s="277"/>
      <c r="C255" s="277"/>
      <c r="D255" s="277"/>
    </row>
    <row r="256" spans="2:4" hidden="1">
      <c r="B256" s="277"/>
      <c r="C256" s="277"/>
      <c r="D256" s="277"/>
    </row>
    <row r="257" spans="2:4" hidden="1">
      <c r="B257" s="277"/>
      <c r="C257" s="277"/>
      <c r="D257" s="277"/>
    </row>
    <row r="258" spans="2:4" hidden="1">
      <c r="B258" s="277"/>
      <c r="C258" s="277"/>
      <c r="D258" s="277"/>
    </row>
    <row r="259" spans="2:4" hidden="1">
      <c r="B259" s="277"/>
      <c r="C259" s="277"/>
      <c r="D259" s="277"/>
    </row>
    <row r="260" spans="2:4" hidden="1">
      <c r="B260" s="277"/>
      <c r="C260" s="277"/>
      <c r="D260" s="277"/>
    </row>
    <row r="261" spans="2:4" hidden="1">
      <c r="B261" s="277"/>
      <c r="C261" s="277"/>
      <c r="D261" s="277"/>
    </row>
    <row r="262" spans="2:4" hidden="1">
      <c r="B262" s="277"/>
      <c r="C262" s="277"/>
      <c r="D262" s="277"/>
    </row>
    <row r="263" spans="2:4" hidden="1">
      <c r="B263" s="277"/>
      <c r="C263" s="277"/>
      <c r="D263" s="277"/>
    </row>
    <row r="264" spans="2:4" hidden="1">
      <c r="B264" s="277"/>
      <c r="C264" s="277"/>
      <c r="D264" s="277"/>
    </row>
    <row r="265" spans="2:4" hidden="1">
      <c r="B265" s="277"/>
      <c r="C265" s="277"/>
      <c r="D265" s="277"/>
    </row>
    <row r="266" spans="2:4" hidden="1">
      <c r="B266" s="277"/>
      <c r="C266" s="277"/>
      <c r="D266" s="277"/>
    </row>
    <row r="267" spans="2:4" hidden="1">
      <c r="B267" s="277"/>
      <c r="C267" s="277"/>
      <c r="D267" s="277"/>
    </row>
    <row r="268" spans="2:4" hidden="1">
      <c r="B268" s="277"/>
      <c r="C268" s="277"/>
      <c r="D268" s="277"/>
    </row>
    <row r="269" spans="2:4" hidden="1">
      <c r="B269" s="277"/>
      <c r="C269" s="277"/>
      <c r="D269" s="277"/>
    </row>
    <row r="270" spans="2:4" hidden="1">
      <c r="B270" s="277"/>
      <c r="C270" s="277"/>
      <c r="D270" s="277"/>
    </row>
    <row r="271" spans="2:4" hidden="1">
      <c r="B271" s="277"/>
      <c r="C271" s="277"/>
      <c r="D271" s="277"/>
    </row>
    <row r="272" spans="2:4" hidden="1">
      <c r="B272" s="277"/>
      <c r="C272" s="277"/>
      <c r="D272" s="277"/>
    </row>
    <row r="273" spans="2:4" hidden="1">
      <c r="B273" s="277"/>
      <c r="C273" s="277"/>
      <c r="D273" s="277"/>
    </row>
    <row r="274" spans="2:4" hidden="1">
      <c r="B274" s="277"/>
      <c r="C274" s="277"/>
      <c r="D274" s="277"/>
    </row>
    <row r="275" spans="2:4" hidden="1">
      <c r="B275" s="277"/>
      <c r="C275" s="277"/>
      <c r="D275" s="277"/>
    </row>
    <row r="276" spans="2:4" hidden="1">
      <c r="B276" s="277"/>
      <c r="C276" s="277"/>
      <c r="D276" s="277"/>
    </row>
    <row r="277" spans="2:4" hidden="1">
      <c r="B277" s="277"/>
      <c r="C277" s="277"/>
      <c r="D277" s="277"/>
    </row>
    <row r="278" spans="2:4" hidden="1">
      <c r="B278" s="277"/>
      <c r="C278" s="277"/>
      <c r="D278" s="277"/>
    </row>
    <row r="279" spans="2:4" hidden="1">
      <c r="B279" s="277"/>
      <c r="C279" s="277"/>
      <c r="D279" s="277"/>
    </row>
    <row r="280" spans="2:4" hidden="1">
      <c r="B280" s="277"/>
      <c r="C280" s="277"/>
      <c r="D280" s="277"/>
    </row>
    <row r="281" spans="2:4" hidden="1">
      <c r="B281" s="277"/>
      <c r="C281" s="277"/>
      <c r="D281" s="277"/>
    </row>
    <row r="282" spans="2:4" hidden="1">
      <c r="B282" s="277"/>
      <c r="C282" s="277"/>
      <c r="D282" s="277"/>
    </row>
    <row r="283" spans="2:4" hidden="1">
      <c r="B283" s="277"/>
      <c r="C283" s="277"/>
      <c r="D283" s="277"/>
    </row>
    <row r="284" spans="2:4" hidden="1">
      <c r="B284" s="277"/>
      <c r="C284" s="277"/>
      <c r="D284" s="277"/>
    </row>
    <row r="285" spans="2:4" hidden="1">
      <c r="B285" s="277"/>
      <c r="C285" s="277"/>
      <c r="D285" s="277"/>
    </row>
    <row r="286" spans="2:4" hidden="1">
      <c r="B286" s="277"/>
      <c r="C286" s="277"/>
      <c r="D286" s="277"/>
    </row>
    <row r="287" spans="2:4" hidden="1">
      <c r="B287" s="277"/>
      <c r="C287" s="277"/>
      <c r="D287" s="277"/>
    </row>
    <row r="288" spans="2:4" hidden="1">
      <c r="B288" s="277"/>
      <c r="C288" s="277"/>
      <c r="D288" s="277"/>
    </row>
    <row r="289" spans="2:4" hidden="1">
      <c r="B289" s="277"/>
      <c r="C289" s="277"/>
      <c r="D289" s="277"/>
    </row>
    <row r="290" spans="2:4" hidden="1">
      <c r="B290" s="277"/>
      <c r="C290" s="277"/>
      <c r="D290" s="277"/>
    </row>
    <row r="291" spans="2:4" hidden="1">
      <c r="B291" s="277"/>
      <c r="C291" s="277"/>
      <c r="D291" s="277"/>
    </row>
    <row r="292" spans="2:4" hidden="1">
      <c r="B292" s="277"/>
      <c r="C292" s="277"/>
      <c r="D292" s="277"/>
    </row>
    <row r="293" spans="2:4" hidden="1">
      <c r="B293" s="277"/>
      <c r="C293" s="277"/>
      <c r="D293" s="277"/>
    </row>
    <row r="294" spans="2:4" hidden="1">
      <c r="B294" s="277"/>
      <c r="C294" s="277"/>
      <c r="D294" s="277"/>
    </row>
    <row r="295" spans="2:4" hidden="1">
      <c r="B295" s="277"/>
      <c r="C295" s="277"/>
      <c r="D295" s="277"/>
    </row>
    <row r="296" spans="2:4" hidden="1">
      <c r="B296" s="277"/>
      <c r="C296" s="277"/>
      <c r="D296" s="277"/>
    </row>
    <row r="297" spans="2:4" hidden="1">
      <c r="B297" s="277"/>
      <c r="C297" s="277"/>
      <c r="D297" s="277"/>
    </row>
    <row r="298" spans="2:4" hidden="1">
      <c r="B298" s="277"/>
      <c r="C298" s="277"/>
      <c r="D298" s="277"/>
    </row>
    <row r="299" spans="2:4" hidden="1">
      <c r="B299" s="277"/>
      <c r="C299" s="277"/>
      <c r="D299" s="277"/>
    </row>
    <row r="300" spans="2:4" hidden="1">
      <c r="B300" s="277"/>
      <c r="C300" s="277"/>
      <c r="D300" s="277"/>
    </row>
    <row r="301" spans="2:4" hidden="1">
      <c r="B301" s="277"/>
      <c r="C301" s="277"/>
      <c r="D301" s="277"/>
    </row>
    <row r="302" spans="2:4" hidden="1">
      <c r="B302" s="277"/>
      <c r="C302" s="277"/>
      <c r="D302" s="277"/>
    </row>
    <row r="303" spans="2:4" hidden="1">
      <c r="B303" s="277"/>
      <c r="C303" s="277"/>
      <c r="D303" s="277"/>
    </row>
    <row r="304" spans="2:4" hidden="1">
      <c r="B304" s="277"/>
      <c r="C304" s="277"/>
      <c r="D304" s="277"/>
    </row>
    <row r="305" spans="2:4" hidden="1">
      <c r="B305" s="277"/>
      <c r="C305" s="277"/>
      <c r="D305" s="277"/>
    </row>
    <row r="306" spans="2:4" hidden="1">
      <c r="B306" s="277"/>
      <c r="C306" s="277"/>
      <c r="D306" s="277"/>
    </row>
    <row r="307" spans="2:4" hidden="1">
      <c r="B307" s="277"/>
      <c r="C307" s="277"/>
      <c r="D307" s="277"/>
    </row>
    <row r="308" spans="2:4" hidden="1">
      <c r="B308" s="277"/>
      <c r="C308" s="277"/>
      <c r="D308" s="277"/>
    </row>
    <row r="309" spans="2:4" hidden="1">
      <c r="B309" s="277"/>
      <c r="C309" s="277"/>
      <c r="D309" s="277"/>
    </row>
    <row r="310" spans="2:4" hidden="1">
      <c r="B310" s="277"/>
      <c r="C310" s="277"/>
      <c r="D310" s="277"/>
    </row>
    <row r="311" spans="2:4" hidden="1">
      <c r="B311" s="277"/>
      <c r="C311" s="277"/>
      <c r="D311" s="277"/>
    </row>
    <row r="312" spans="2:4" hidden="1">
      <c r="B312" s="277"/>
      <c r="C312" s="277"/>
      <c r="D312" s="277"/>
    </row>
    <row r="313" spans="2:4" hidden="1">
      <c r="B313" s="277"/>
      <c r="C313" s="277"/>
      <c r="D313" s="277"/>
    </row>
    <row r="314" spans="2:4" hidden="1">
      <c r="B314" s="277"/>
      <c r="C314" s="277"/>
      <c r="D314" s="277"/>
    </row>
    <row r="315" spans="2:4" hidden="1">
      <c r="B315" s="277"/>
      <c r="C315" s="277"/>
      <c r="D315" s="277"/>
    </row>
    <row r="316" spans="2:4" hidden="1">
      <c r="B316" s="277"/>
      <c r="C316" s="277"/>
      <c r="D316" s="277"/>
    </row>
    <row r="317" spans="2:4" hidden="1">
      <c r="B317" s="277"/>
      <c r="C317" s="277"/>
      <c r="D317" s="277"/>
    </row>
    <row r="318" spans="2:4" hidden="1">
      <c r="B318" s="277"/>
      <c r="C318" s="277"/>
      <c r="D318" s="277"/>
    </row>
    <row r="319" spans="2:4" hidden="1">
      <c r="B319" s="277"/>
      <c r="C319" s="277"/>
      <c r="D319" s="277"/>
    </row>
    <row r="320" spans="2:4" hidden="1">
      <c r="B320" s="277"/>
      <c r="C320" s="277"/>
      <c r="D320" s="277"/>
    </row>
    <row r="321" spans="2:4" hidden="1">
      <c r="B321" s="277"/>
      <c r="C321" s="277"/>
      <c r="D321" s="277"/>
    </row>
    <row r="322" spans="2:4" hidden="1">
      <c r="B322" s="277"/>
      <c r="C322" s="277"/>
      <c r="D322" s="277"/>
    </row>
    <row r="323" spans="2:4" hidden="1">
      <c r="B323" s="277"/>
      <c r="C323" s="277"/>
      <c r="D323" s="277"/>
    </row>
    <row r="324" spans="2:4" hidden="1">
      <c r="B324" s="277"/>
      <c r="C324" s="277"/>
      <c r="D324" s="277"/>
    </row>
    <row r="325" spans="2:4" hidden="1">
      <c r="B325" s="277"/>
      <c r="C325" s="277"/>
      <c r="D325" s="277"/>
    </row>
    <row r="326" spans="2:4" hidden="1">
      <c r="B326" s="277"/>
      <c r="C326" s="277"/>
      <c r="D326" s="277"/>
    </row>
    <row r="327" spans="2:4" hidden="1">
      <c r="B327" s="277"/>
      <c r="C327" s="277"/>
      <c r="D327" s="277"/>
    </row>
    <row r="328" spans="2:4" hidden="1">
      <c r="B328" s="277"/>
      <c r="C328" s="277"/>
      <c r="D328" s="277"/>
    </row>
    <row r="329" spans="2:4" hidden="1">
      <c r="B329" s="277"/>
      <c r="C329" s="277"/>
      <c r="D329" s="277"/>
    </row>
    <row r="330" spans="2:4" hidden="1">
      <c r="B330" s="277"/>
      <c r="C330" s="277"/>
      <c r="D330" s="277"/>
    </row>
    <row r="331" spans="2:4" hidden="1">
      <c r="B331" s="277"/>
      <c r="C331" s="277"/>
      <c r="D331" s="277"/>
    </row>
    <row r="332" spans="2:4" hidden="1">
      <c r="B332" s="277"/>
      <c r="C332" s="277"/>
      <c r="D332" s="277"/>
    </row>
    <row r="333" spans="2:4" hidden="1">
      <c r="B333" s="277"/>
      <c r="C333" s="277"/>
      <c r="D333" s="277"/>
    </row>
    <row r="334" spans="2:4" hidden="1">
      <c r="B334" s="277"/>
      <c r="C334" s="277"/>
      <c r="D334" s="277"/>
    </row>
    <row r="335" spans="2:4" hidden="1">
      <c r="B335" s="277"/>
      <c r="C335" s="277"/>
      <c r="D335" s="277"/>
    </row>
    <row r="336" spans="2:4" hidden="1">
      <c r="B336" s="277"/>
      <c r="C336" s="277"/>
      <c r="D336" s="277"/>
    </row>
    <row r="337" spans="2:4" hidden="1">
      <c r="B337" s="277"/>
      <c r="C337" s="277"/>
      <c r="D337" s="277"/>
    </row>
    <row r="338" spans="2:4" hidden="1">
      <c r="B338" s="277"/>
      <c r="C338" s="277"/>
      <c r="D338" s="277"/>
    </row>
    <row r="339" spans="2:4" hidden="1">
      <c r="B339" s="277"/>
      <c r="C339" s="277"/>
      <c r="D339" s="277"/>
    </row>
    <row r="340" spans="2:4" hidden="1">
      <c r="B340" s="277"/>
      <c r="C340" s="277"/>
      <c r="D340" s="277"/>
    </row>
    <row r="341" spans="2:4" hidden="1">
      <c r="B341" s="277"/>
      <c r="C341" s="277"/>
      <c r="D341" s="277"/>
    </row>
    <row r="342" spans="2:4" hidden="1">
      <c r="B342" s="277"/>
      <c r="C342" s="277"/>
      <c r="D342" s="277"/>
    </row>
    <row r="343" spans="2:4" hidden="1">
      <c r="B343" s="277"/>
      <c r="C343" s="277"/>
      <c r="D343" s="277"/>
    </row>
    <row r="344" spans="2:4" hidden="1">
      <c r="B344" s="277"/>
      <c r="C344" s="277"/>
      <c r="D344" s="277"/>
    </row>
    <row r="345" spans="2:4" hidden="1">
      <c r="B345" s="277"/>
      <c r="C345" s="277"/>
      <c r="D345" s="277"/>
    </row>
    <row r="346" spans="2:4" hidden="1">
      <c r="B346" s="277"/>
      <c r="C346" s="277"/>
      <c r="D346" s="277"/>
    </row>
    <row r="347" spans="2:4" hidden="1">
      <c r="B347" s="277"/>
      <c r="C347" s="277"/>
      <c r="D347" s="277"/>
    </row>
    <row r="348" spans="2:4" hidden="1">
      <c r="B348" s="277"/>
      <c r="C348" s="277"/>
      <c r="D348" s="277"/>
    </row>
    <row r="349" spans="2:4" hidden="1">
      <c r="B349" s="277"/>
      <c r="C349" s="277"/>
      <c r="D349" s="277"/>
    </row>
    <row r="350" spans="2:4" hidden="1">
      <c r="B350" s="277"/>
      <c r="C350" s="277"/>
      <c r="D350" s="277"/>
    </row>
    <row r="351" spans="2:4" hidden="1">
      <c r="B351" s="277"/>
      <c r="C351" s="277"/>
      <c r="D351" s="277"/>
    </row>
    <row r="352" spans="2:4" hidden="1">
      <c r="B352" s="277"/>
      <c r="C352" s="277"/>
      <c r="D352" s="277"/>
    </row>
    <row r="353" spans="2:4" hidden="1">
      <c r="B353" s="277"/>
      <c r="C353" s="277"/>
      <c r="D353" s="277"/>
    </row>
    <row r="354" spans="2:4" hidden="1">
      <c r="B354" s="277"/>
      <c r="C354" s="277"/>
      <c r="D354" s="277"/>
    </row>
    <row r="355" spans="2:4" hidden="1">
      <c r="B355" s="277"/>
      <c r="C355" s="277"/>
      <c r="D355" s="277"/>
    </row>
    <row r="356" spans="2:4" hidden="1">
      <c r="B356" s="277"/>
      <c r="C356" s="277"/>
      <c r="D356" s="277"/>
    </row>
    <row r="357" spans="2:4" hidden="1">
      <c r="B357" s="277"/>
      <c r="C357" s="277"/>
      <c r="D357" s="277"/>
    </row>
    <row r="358" spans="2:4" hidden="1">
      <c r="B358" s="277"/>
      <c r="C358" s="277"/>
      <c r="D358" s="277"/>
    </row>
    <row r="359" spans="2:4" hidden="1">
      <c r="B359" s="277"/>
      <c r="C359" s="277"/>
      <c r="D359" s="277"/>
    </row>
    <row r="360" spans="2:4" hidden="1">
      <c r="B360" s="277"/>
      <c r="C360" s="277"/>
      <c r="D360" s="277"/>
    </row>
    <row r="361" spans="2:4" hidden="1">
      <c r="B361" s="277"/>
      <c r="C361" s="277"/>
      <c r="D361" s="277"/>
    </row>
    <row r="362" spans="2:4" hidden="1">
      <c r="B362" s="277"/>
      <c r="C362" s="277"/>
      <c r="D362" s="277"/>
    </row>
    <row r="363" spans="2:4" hidden="1">
      <c r="B363" s="277"/>
      <c r="C363" s="277"/>
      <c r="D363" s="277"/>
    </row>
    <row r="364" spans="2:4" hidden="1">
      <c r="B364" s="277"/>
      <c r="C364" s="277"/>
      <c r="D364" s="277"/>
    </row>
    <row r="365" spans="2:4" hidden="1">
      <c r="B365" s="277"/>
      <c r="C365" s="277"/>
      <c r="D365" s="277"/>
    </row>
    <row r="366" spans="2:4" hidden="1">
      <c r="B366" s="277"/>
      <c r="C366" s="277"/>
      <c r="D366" s="277"/>
    </row>
    <row r="367" spans="2:4" hidden="1">
      <c r="B367" s="277"/>
      <c r="C367" s="277"/>
      <c r="D367" s="277"/>
    </row>
    <row r="368" spans="2:4" hidden="1">
      <c r="B368" s="277"/>
      <c r="C368" s="277"/>
      <c r="D368" s="277"/>
    </row>
    <row r="369" spans="2:4" hidden="1">
      <c r="B369" s="277"/>
      <c r="C369" s="277"/>
      <c r="D369" s="277"/>
    </row>
    <row r="370" spans="2:4" hidden="1">
      <c r="B370" s="277"/>
      <c r="C370" s="277"/>
      <c r="D370" s="277"/>
    </row>
    <row r="371" spans="2:4" hidden="1">
      <c r="B371" s="277"/>
      <c r="C371" s="277"/>
      <c r="D371" s="277"/>
    </row>
    <row r="372" spans="2:4" hidden="1">
      <c r="B372" s="277"/>
      <c r="C372" s="277"/>
      <c r="D372" s="277"/>
    </row>
    <row r="373" spans="2:4" hidden="1">
      <c r="B373" s="277"/>
      <c r="C373" s="277"/>
      <c r="D373" s="277"/>
    </row>
    <row r="374" spans="2:4" hidden="1">
      <c r="B374" s="277"/>
      <c r="C374" s="277"/>
      <c r="D374" s="277"/>
    </row>
    <row r="375" spans="2:4" hidden="1">
      <c r="B375" s="277"/>
      <c r="C375" s="277"/>
      <c r="D375" s="277"/>
    </row>
    <row r="376" spans="2:4" hidden="1">
      <c r="B376" s="277"/>
      <c r="C376" s="277"/>
      <c r="D376" s="277"/>
    </row>
    <row r="377" spans="2:4" hidden="1">
      <c r="B377" s="277"/>
      <c r="C377" s="277"/>
      <c r="D377" s="277"/>
    </row>
    <row r="378" spans="2:4" hidden="1">
      <c r="B378" s="277"/>
      <c r="C378" s="277"/>
      <c r="D378" s="277"/>
    </row>
    <row r="379" spans="2:4" hidden="1">
      <c r="B379" s="277"/>
      <c r="C379" s="277"/>
      <c r="D379" s="277"/>
    </row>
    <row r="380" spans="2:4" hidden="1">
      <c r="B380" s="277"/>
      <c r="C380" s="277"/>
      <c r="D380" s="277"/>
    </row>
    <row r="381" spans="2:4" hidden="1">
      <c r="B381" s="277"/>
      <c r="C381" s="277"/>
      <c r="D381" s="277"/>
    </row>
    <row r="382" spans="2:4" hidden="1">
      <c r="B382" s="277"/>
      <c r="C382" s="277"/>
      <c r="D382" s="277"/>
    </row>
    <row r="383" spans="2:4" hidden="1">
      <c r="B383" s="277"/>
      <c r="C383" s="277"/>
      <c r="D383" s="277"/>
    </row>
    <row r="384" spans="2:4" hidden="1">
      <c r="B384" s="277"/>
      <c r="C384" s="277"/>
      <c r="D384" s="277"/>
    </row>
    <row r="385" spans="2:4" hidden="1">
      <c r="B385" s="277"/>
      <c r="C385" s="277"/>
      <c r="D385" s="277"/>
    </row>
    <row r="386" spans="2:4" hidden="1">
      <c r="B386" s="277"/>
      <c r="C386" s="277"/>
      <c r="D386" s="277"/>
    </row>
    <row r="387" spans="2:4" hidden="1">
      <c r="B387" s="277"/>
      <c r="C387" s="277"/>
      <c r="D387" s="277"/>
    </row>
    <row r="388" spans="2:4" hidden="1">
      <c r="B388" s="277"/>
      <c r="C388" s="277"/>
      <c r="D388" s="277"/>
    </row>
    <row r="389" spans="2:4" hidden="1">
      <c r="B389" s="277"/>
      <c r="C389" s="277"/>
      <c r="D389" s="277"/>
    </row>
    <row r="390" spans="2:4" hidden="1">
      <c r="B390" s="277"/>
      <c r="C390" s="277"/>
      <c r="D390" s="277"/>
    </row>
    <row r="391" spans="2:4" hidden="1">
      <c r="B391" s="277"/>
      <c r="C391" s="277"/>
      <c r="D391" s="277"/>
    </row>
    <row r="392" spans="2:4" hidden="1">
      <c r="B392" s="277"/>
      <c r="C392" s="277"/>
      <c r="D392" s="277"/>
    </row>
    <row r="393" spans="2:4" hidden="1">
      <c r="B393" s="277"/>
      <c r="C393" s="277"/>
      <c r="D393" s="277"/>
    </row>
    <row r="394" spans="2:4" hidden="1">
      <c r="B394" s="277"/>
      <c r="C394" s="277"/>
      <c r="D394" s="277"/>
    </row>
    <row r="395" spans="2:4" hidden="1">
      <c r="B395" s="277"/>
      <c r="C395" s="277"/>
      <c r="D395" s="277"/>
    </row>
    <row r="396" spans="2:4" hidden="1">
      <c r="B396" s="277"/>
      <c r="C396" s="277"/>
      <c r="D396" s="277"/>
    </row>
    <row r="397" spans="2:4" hidden="1">
      <c r="B397" s="277"/>
      <c r="C397" s="277"/>
      <c r="D397" s="277"/>
    </row>
    <row r="398" spans="2:4" hidden="1">
      <c r="B398" s="277"/>
      <c r="C398" s="277"/>
      <c r="D398" s="277"/>
    </row>
    <row r="399" spans="2:4" hidden="1">
      <c r="B399" s="277"/>
      <c r="C399" s="277"/>
      <c r="D399" s="277"/>
    </row>
    <row r="400" spans="2:4" hidden="1">
      <c r="B400" s="277"/>
      <c r="C400" s="277"/>
      <c r="D400" s="277"/>
    </row>
    <row r="401" spans="2:4" hidden="1">
      <c r="B401" s="277"/>
      <c r="C401" s="277"/>
      <c r="D401" s="277"/>
    </row>
    <row r="402" spans="2:4" hidden="1">
      <c r="B402" s="277"/>
      <c r="C402" s="277"/>
      <c r="D402" s="277"/>
    </row>
    <row r="403" spans="2:4" hidden="1">
      <c r="B403" s="277"/>
      <c r="C403" s="277"/>
      <c r="D403" s="277"/>
    </row>
    <row r="404" spans="2:4" hidden="1">
      <c r="B404" s="277"/>
      <c r="C404" s="277"/>
      <c r="D404" s="277"/>
    </row>
    <row r="405" spans="2:4" hidden="1">
      <c r="B405" s="277"/>
      <c r="C405" s="277"/>
      <c r="D405" s="277"/>
    </row>
    <row r="406" spans="2:4" hidden="1">
      <c r="B406" s="277"/>
      <c r="C406" s="277"/>
      <c r="D406" s="277"/>
    </row>
    <row r="407" spans="2:4" hidden="1">
      <c r="B407" s="277"/>
      <c r="C407" s="277"/>
      <c r="D407" s="277"/>
    </row>
    <row r="408" spans="2:4" hidden="1">
      <c r="B408" s="277"/>
      <c r="C408" s="277"/>
      <c r="D408" s="277"/>
    </row>
    <row r="409" spans="2:4" hidden="1">
      <c r="B409" s="277"/>
      <c r="C409" s="277"/>
      <c r="D409" s="277"/>
    </row>
    <row r="410" spans="2:4" hidden="1">
      <c r="B410" s="277"/>
      <c r="C410" s="277"/>
      <c r="D410" s="277"/>
    </row>
    <row r="411" spans="2:4" hidden="1">
      <c r="B411" s="277"/>
      <c r="C411" s="277"/>
      <c r="D411" s="277"/>
    </row>
    <row r="412" spans="2:4" hidden="1">
      <c r="B412" s="277"/>
      <c r="C412" s="277"/>
      <c r="D412" s="277"/>
    </row>
    <row r="413" spans="2:4" hidden="1">
      <c r="B413" s="277"/>
      <c r="C413" s="277"/>
      <c r="D413" s="277"/>
    </row>
    <row r="414" spans="2:4" hidden="1">
      <c r="B414" s="277"/>
      <c r="C414" s="277"/>
      <c r="D414" s="277"/>
    </row>
    <row r="415" spans="2:4" hidden="1">
      <c r="B415" s="277"/>
      <c r="C415" s="277"/>
      <c r="D415" s="277"/>
    </row>
    <row r="416" spans="2:4" hidden="1">
      <c r="B416" s="277"/>
      <c r="C416" s="277"/>
      <c r="D416" s="277"/>
    </row>
    <row r="417" spans="2:4" hidden="1">
      <c r="B417" s="277"/>
      <c r="C417" s="277"/>
      <c r="D417" s="277"/>
    </row>
    <row r="418" spans="2:4" hidden="1">
      <c r="B418" s="277"/>
      <c r="C418" s="277"/>
      <c r="D418" s="277"/>
    </row>
    <row r="419" spans="2:4" hidden="1">
      <c r="B419" s="277"/>
      <c r="C419" s="277"/>
      <c r="D419" s="277"/>
    </row>
    <row r="420" spans="2:4" hidden="1">
      <c r="B420" s="277"/>
      <c r="C420" s="277"/>
      <c r="D420" s="277"/>
    </row>
    <row r="421" spans="2:4" hidden="1">
      <c r="B421" s="277"/>
      <c r="C421" s="277"/>
      <c r="D421" s="277"/>
    </row>
    <row r="422" spans="2:4" hidden="1">
      <c r="B422" s="277"/>
      <c r="C422" s="277"/>
      <c r="D422" s="277"/>
    </row>
    <row r="423" spans="2:4" hidden="1">
      <c r="B423" s="277"/>
      <c r="C423" s="277"/>
      <c r="D423" s="277"/>
    </row>
    <row r="424" spans="2:4" hidden="1">
      <c r="B424" s="277"/>
      <c r="C424" s="277"/>
      <c r="D424" s="277"/>
    </row>
    <row r="425" spans="2:4" hidden="1">
      <c r="B425" s="277"/>
      <c r="C425" s="277"/>
      <c r="D425" s="277"/>
    </row>
    <row r="426" spans="2:4" hidden="1">
      <c r="B426" s="277"/>
      <c r="C426" s="277"/>
      <c r="D426" s="277"/>
    </row>
    <row r="427" spans="2:4" hidden="1">
      <c r="B427" s="277"/>
      <c r="C427" s="277"/>
      <c r="D427" s="277"/>
    </row>
    <row r="428" spans="2:4" hidden="1">
      <c r="B428" s="277"/>
      <c r="C428" s="277"/>
      <c r="D428" s="277"/>
    </row>
    <row r="429" spans="2:4" hidden="1">
      <c r="B429" s="277"/>
      <c r="C429" s="277"/>
      <c r="D429" s="277"/>
    </row>
    <row r="430" spans="2:4" hidden="1">
      <c r="B430" s="277"/>
      <c r="C430" s="277"/>
      <c r="D430" s="277"/>
    </row>
    <row r="431" spans="2:4" hidden="1">
      <c r="B431" s="277"/>
      <c r="C431" s="277"/>
      <c r="D431" s="277"/>
    </row>
    <row r="432" spans="2:4" hidden="1">
      <c r="B432" s="277"/>
      <c r="C432" s="277"/>
      <c r="D432" s="277"/>
    </row>
    <row r="433" spans="2:4" hidden="1">
      <c r="B433" s="277"/>
      <c r="C433" s="277"/>
      <c r="D433" s="277"/>
    </row>
    <row r="434" spans="2:4" hidden="1">
      <c r="B434" s="277"/>
      <c r="C434" s="277"/>
      <c r="D434" s="277"/>
    </row>
    <row r="435" spans="2:4" hidden="1">
      <c r="B435" s="277"/>
      <c r="C435" s="277"/>
      <c r="D435" s="277"/>
    </row>
    <row r="436" spans="2:4" hidden="1">
      <c r="B436" s="277"/>
      <c r="C436" s="277"/>
      <c r="D436" s="277"/>
    </row>
    <row r="437" spans="2:4" hidden="1">
      <c r="B437" s="277"/>
      <c r="C437" s="277"/>
      <c r="D437" s="277"/>
    </row>
    <row r="438" spans="2:4" hidden="1">
      <c r="B438" s="277"/>
      <c r="C438" s="277"/>
      <c r="D438" s="277"/>
    </row>
    <row r="439" spans="2:4" hidden="1">
      <c r="B439" s="277"/>
      <c r="C439" s="277"/>
      <c r="D439" s="277"/>
    </row>
    <row r="440" spans="2:4" hidden="1">
      <c r="B440" s="277"/>
      <c r="C440" s="277"/>
      <c r="D440" s="277"/>
    </row>
    <row r="441" spans="2:4" hidden="1">
      <c r="B441" s="277"/>
      <c r="C441" s="277"/>
      <c r="D441" s="277"/>
    </row>
    <row r="442" spans="2:4" hidden="1">
      <c r="B442" s="277"/>
      <c r="C442" s="277"/>
      <c r="D442" s="277"/>
    </row>
    <row r="443" spans="2:4" hidden="1">
      <c r="B443" s="277"/>
      <c r="C443" s="277"/>
      <c r="D443" s="277"/>
    </row>
    <row r="444" spans="2:4" hidden="1">
      <c r="B444" s="277"/>
      <c r="C444" s="277"/>
      <c r="D444" s="277"/>
    </row>
    <row r="445" spans="2:4" hidden="1">
      <c r="B445" s="277"/>
      <c r="C445" s="277"/>
      <c r="D445" s="277"/>
    </row>
    <row r="446" spans="2:4" hidden="1">
      <c r="B446" s="277"/>
      <c r="C446" s="277"/>
      <c r="D446" s="277"/>
    </row>
    <row r="447" spans="2:4" hidden="1">
      <c r="B447" s="277"/>
      <c r="C447" s="277"/>
      <c r="D447" s="277"/>
    </row>
    <row r="448" spans="2:4" hidden="1">
      <c r="B448" s="277"/>
      <c r="C448" s="277"/>
      <c r="D448" s="277"/>
    </row>
    <row r="449" spans="2:4" hidden="1">
      <c r="B449" s="277"/>
      <c r="C449" s="277"/>
      <c r="D449" s="277"/>
    </row>
    <row r="450" spans="2:4" hidden="1">
      <c r="B450" s="277"/>
      <c r="C450" s="277"/>
      <c r="D450" s="277"/>
    </row>
    <row r="451" spans="2:4" hidden="1">
      <c r="B451" s="277"/>
      <c r="C451" s="277"/>
      <c r="D451" s="277"/>
    </row>
    <row r="452" spans="2:4" hidden="1">
      <c r="B452" s="277"/>
      <c r="C452" s="277"/>
      <c r="D452" s="277"/>
    </row>
    <row r="453" spans="2:4" hidden="1">
      <c r="B453" s="277"/>
      <c r="C453" s="277"/>
      <c r="D453" s="277"/>
    </row>
    <row r="454" spans="2:4" hidden="1">
      <c r="B454" s="277"/>
      <c r="C454" s="277"/>
      <c r="D454" s="277"/>
    </row>
    <row r="455" spans="2:4" hidden="1">
      <c r="B455" s="277"/>
      <c r="C455" s="277"/>
      <c r="D455" s="277"/>
    </row>
    <row r="456" spans="2:4" hidden="1">
      <c r="B456" s="277"/>
      <c r="C456" s="277"/>
      <c r="D456" s="277"/>
    </row>
    <row r="457" spans="2:4" hidden="1">
      <c r="B457" s="277"/>
      <c r="C457" s="277"/>
      <c r="D457" s="277"/>
    </row>
    <row r="458" spans="2:4" hidden="1">
      <c r="B458" s="277"/>
      <c r="C458" s="277"/>
      <c r="D458" s="277"/>
    </row>
    <row r="459" spans="2:4" hidden="1">
      <c r="B459" s="277"/>
      <c r="C459" s="277"/>
      <c r="D459" s="277"/>
    </row>
    <row r="460" spans="2:4" hidden="1">
      <c r="B460" s="277"/>
      <c r="C460" s="277"/>
      <c r="D460" s="277"/>
    </row>
    <row r="461" spans="2:4" hidden="1">
      <c r="B461" s="277"/>
      <c r="C461" s="277"/>
      <c r="D461" s="277"/>
    </row>
    <row r="462" spans="2:4" hidden="1">
      <c r="B462" s="277"/>
      <c r="C462" s="277"/>
      <c r="D462" s="277"/>
    </row>
    <row r="463" spans="2:4" hidden="1">
      <c r="B463" s="277"/>
      <c r="C463" s="277"/>
      <c r="D463" s="277"/>
    </row>
    <row r="464" spans="2:4" hidden="1">
      <c r="B464" s="277"/>
      <c r="C464" s="277"/>
      <c r="D464" s="277"/>
    </row>
    <row r="465" spans="2:4" hidden="1">
      <c r="B465" s="277"/>
      <c r="C465" s="277"/>
      <c r="D465" s="277"/>
    </row>
    <row r="466" spans="2:4" hidden="1">
      <c r="B466" s="277"/>
      <c r="C466" s="277"/>
      <c r="D466" s="277"/>
    </row>
    <row r="467" spans="2:4" hidden="1">
      <c r="B467" s="277"/>
      <c r="C467" s="277"/>
      <c r="D467" s="277"/>
    </row>
    <row r="468" spans="2:4" hidden="1">
      <c r="B468" s="277"/>
      <c r="C468" s="277"/>
      <c r="D468" s="277"/>
    </row>
    <row r="469" spans="2:4" hidden="1">
      <c r="B469" s="277"/>
      <c r="C469" s="277"/>
      <c r="D469" s="277"/>
    </row>
    <row r="470" spans="2:4" hidden="1">
      <c r="B470" s="277"/>
      <c r="C470" s="277"/>
      <c r="D470" s="277"/>
    </row>
    <row r="471" spans="2:4" hidden="1">
      <c r="B471" s="277"/>
      <c r="C471" s="277"/>
      <c r="D471" s="277"/>
    </row>
    <row r="472" spans="2:4" hidden="1">
      <c r="B472" s="277"/>
      <c r="C472" s="277"/>
      <c r="D472" s="277"/>
    </row>
    <row r="473" spans="2:4" hidden="1">
      <c r="B473" s="277"/>
      <c r="C473" s="277"/>
      <c r="D473" s="277"/>
    </row>
    <row r="474" spans="2:4" hidden="1">
      <c r="B474" s="277"/>
      <c r="C474" s="277"/>
      <c r="D474" s="277"/>
    </row>
    <row r="475" spans="2:4" hidden="1">
      <c r="B475" s="277"/>
      <c r="C475" s="277"/>
      <c r="D475" s="277"/>
    </row>
    <row r="476" spans="2:4" hidden="1">
      <c r="B476" s="277"/>
      <c r="C476" s="277"/>
      <c r="D476" s="277"/>
    </row>
    <row r="477" spans="2:4" hidden="1">
      <c r="B477" s="277"/>
      <c r="C477" s="277"/>
      <c r="D477" s="277"/>
    </row>
    <row r="478" spans="2:4" hidden="1">
      <c r="B478" s="277"/>
      <c r="C478" s="277"/>
      <c r="D478" s="277"/>
    </row>
    <row r="479" spans="2:4" hidden="1">
      <c r="B479" s="277"/>
      <c r="C479" s="277"/>
      <c r="D479" s="277"/>
    </row>
    <row r="480" spans="2:4" hidden="1">
      <c r="B480" s="277"/>
      <c r="C480" s="277"/>
      <c r="D480" s="277"/>
    </row>
    <row r="481" spans="2:4" hidden="1">
      <c r="B481" s="277"/>
      <c r="C481" s="277"/>
      <c r="D481" s="277"/>
    </row>
    <row r="482" spans="2:4" hidden="1">
      <c r="B482" s="277"/>
      <c r="C482" s="277"/>
      <c r="D482" s="277"/>
    </row>
    <row r="483" spans="2:4" hidden="1">
      <c r="B483" s="277"/>
      <c r="C483" s="277"/>
      <c r="D483" s="277"/>
    </row>
    <row r="484" spans="2:4" hidden="1">
      <c r="B484" s="277"/>
      <c r="C484" s="277"/>
      <c r="D484" s="277"/>
    </row>
    <row r="485" spans="2:4" hidden="1">
      <c r="B485" s="277"/>
      <c r="C485" s="277"/>
      <c r="D485" s="277"/>
    </row>
    <row r="486" spans="2:4" hidden="1">
      <c r="B486" s="277"/>
      <c r="C486" s="277"/>
      <c r="D486" s="277"/>
    </row>
    <row r="487" spans="2:4" hidden="1">
      <c r="B487" s="277"/>
      <c r="C487" s="277"/>
      <c r="D487" s="277"/>
    </row>
    <row r="488" spans="2:4" hidden="1">
      <c r="B488" s="277"/>
      <c r="C488" s="277"/>
      <c r="D488" s="277"/>
    </row>
    <row r="489" spans="2:4" hidden="1">
      <c r="B489" s="277"/>
      <c r="C489" s="277"/>
      <c r="D489" s="277"/>
    </row>
    <row r="490" spans="2:4" hidden="1">
      <c r="B490" s="277"/>
      <c r="C490" s="277"/>
      <c r="D490" s="277"/>
    </row>
    <row r="491" spans="2:4" hidden="1">
      <c r="B491" s="277"/>
      <c r="C491" s="277"/>
      <c r="D491" s="277"/>
    </row>
    <row r="492" spans="2:4" hidden="1">
      <c r="B492" s="277"/>
      <c r="C492" s="277"/>
      <c r="D492" s="277"/>
    </row>
    <row r="493" spans="2:4" hidden="1">
      <c r="B493" s="277"/>
      <c r="C493" s="277"/>
      <c r="D493" s="277"/>
    </row>
    <row r="494" spans="2:4" hidden="1">
      <c r="B494" s="277"/>
      <c r="C494" s="277"/>
      <c r="D494" s="277"/>
    </row>
    <row r="495" spans="2:4" hidden="1">
      <c r="B495" s="277"/>
      <c r="C495" s="277"/>
      <c r="D495" s="277"/>
    </row>
    <row r="496" spans="2:4" hidden="1">
      <c r="B496" s="277"/>
      <c r="C496" s="277"/>
      <c r="D496" s="277"/>
    </row>
    <row r="497" spans="2:4" hidden="1">
      <c r="B497" s="277"/>
      <c r="C497" s="277"/>
      <c r="D497" s="277"/>
    </row>
    <row r="498" spans="2:4" hidden="1">
      <c r="B498" s="277"/>
      <c r="C498" s="277"/>
      <c r="D498" s="277"/>
    </row>
    <row r="499" spans="2:4" hidden="1">
      <c r="B499" s="277"/>
      <c r="C499" s="277"/>
      <c r="D499" s="277"/>
    </row>
    <row r="500" spans="2:4" hidden="1">
      <c r="B500" s="277"/>
      <c r="C500" s="277"/>
      <c r="D500" s="277"/>
    </row>
    <row r="501" spans="2:4" hidden="1">
      <c r="B501" s="277"/>
      <c r="C501" s="277"/>
      <c r="D501" s="277"/>
    </row>
    <row r="502" spans="2:4" hidden="1">
      <c r="B502" s="277"/>
      <c r="C502" s="277"/>
      <c r="D502" s="277"/>
    </row>
    <row r="503" spans="2:4" hidden="1">
      <c r="B503" s="277"/>
      <c r="C503" s="277"/>
      <c r="D503" s="277"/>
    </row>
    <row r="504" spans="2:4" hidden="1">
      <c r="B504" s="277"/>
      <c r="C504" s="277"/>
      <c r="D504" s="277"/>
    </row>
    <row r="505" spans="2:4" hidden="1">
      <c r="B505" s="277"/>
      <c r="C505" s="277"/>
      <c r="D505" s="277"/>
    </row>
    <row r="506" spans="2:4" hidden="1">
      <c r="B506" s="277"/>
      <c r="C506" s="277"/>
      <c r="D506" s="277"/>
    </row>
    <row r="507" spans="2:4" hidden="1">
      <c r="B507" s="277"/>
      <c r="C507" s="277"/>
      <c r="D507" s="277"/>
    </row>
    <row r="508" spans="2:4" hidden="1">
      <c r="B508" s="277"/>
      <c r="C508" s="277"/>
      <c r="D508" s="277"/>
    </row>
    <row r="509" spans="2:4" hidden="1">
      <c r="B509" s="277"/>
      <c r="C509" s="277"/>
      <c r="D509" s="277"/>
    </row>
    <row r="510" spans="2:4" hidden="1">
      <c r="B510" s="277"/>
      <c r="C510" s="277"/>
      <c r="D510" s="277"/>
    </row>
    <row r="511" spans="2:4" hidden="1">
      <c r="B511" s="277"/>
      <c r="C511" s="277"/>
      <c r="D511" s="277"/>
    </row>
    <row r="512" spans="2:4" hidden="1">
      <c r="B512" s="277"/>
      <c r="C512" s="277"/>
      <c r="D512" s="277"/>
    </row>
    <row r="513" spans="2:4" hidden="1">
      <c r="B513" s="277"/>
      <c r="C513" s="277"/>
      <c r="D513" s="277"/>
    </row>
    <row r="514" spans="2:4" hidden="1">
      <c r="B514" s="277"/>
      <c r="C514" s="277"/>
      <c r="D514" s="277"/>
    </row>
    <row r="515" spans="2:4" hidden="1">
      <c r="B515" s="277"/>
      <c r="C515" s="277"/>
      <c r="D515" s="277"/>
    </row>
    <row r="516" spans="2:4" hidden="1">
      <c r="B516" s="277"/>
      <c r="C516" s="277"/>
      <c r="D516" s="277"/>
    </row>
    <row r="517" spans="2:4" hidden="1">
      <c r="B517" s="277"/>
      <c r="C517" s="277"/>
      <c r="D517" s="277"/>
    </row>
    <row r="518" spans="2:4" hidden="1">
      <c r="B518" s="277"/>
      <c r="C518" s="277"/>
      <c r="D518" s="277"/>
    </row>
    <row r="519" spans="2:4" hidden="1">
      <c r="B519" s="277"/>
      <c r="C519" s="277"/>
      <c r="D519" s="277"/>
    </row>
    <row r="520" spans="2:4" hidden="1">
      <c r="B520" s="277"/>
      <c r="C520" s="277"/>
      <c r="D520" s="277"/>
    </row>
    <row r="521" spans="2:4" hidden="1">
      <c r="B521" s="277"/>
      <c r="C521" s="277"/>
      <c r="D521" s="277"/>
    </row>
    <row r="522" spans="2:4" hidden="1">
      <c r="B522" s="277"/>
      <c r="C522" s="277"/>
      <c r="D522" s="277"/>
    </row>
    <row r="523" spans="2:4" hidden="1">
      <c r="B523" s="277"/>
      <c r="C523" s="277"/>
      <c r="D523" s="277"/>
    </row>
    <row r="524" spans="2:4" hidden="1">
      <c r="B524" s="277"/>
      <c r="C524" s="277"/>
      <c r="D524" s="277"/>
    </row>
    <row r="525" spans="2:4" hidden="1">
      <c r="B525" s="277"/>
      <c r="C525" s="277"/>
      <c r="D525" s="277"/>
    </row>
    <row r="526" spans="2:4" hidden="1">
      <c r="B526" s="277"/>
      <c r="C526" s="277"/>
      <c r="D526" s="277"/>
    </row>
    <row r="527" spans="2:4" hidden="1">
      <c r="B527" s="277"/>
      <c r="C527" s="277"/>
      <c r="D527" s="277"/>
    </row>
    <row r="528" spans="2:4" hidden="1">
      <c r="B528" s="277"/>
      <c r="C528" s="277"/>
      <c r="D528" s="277"/>
    </row>
    <row r="529" spans="2:4" hidden="1">
      <c r="B529" s="277"/>
      <c r="C529" s="277"/>
      <c r="D529" s="277"/>
    </row>
    <row r="530" spans="2:4" hidden="1">
      <c r="B530" s="277"/>
      <c r="C530" s="277"/>
      <c r="D530" s="277"/>
    </row>
    <row r="531" spans="2:4" hidden="1">
      <c r="B531" s="277"/>
      <c r="C531" s="277"/>
      <c r="D531" s="277"/>
    </row>
    <row r="532" spans="2:4" hidden="1">
      <c r="B532" s="277"/>
      <c r="C532" s="277"/>
      <c r="D532" s="277"/>
    </row>
    <row r="533" spans="2:4" hidden="1">
      <c r="B533" s="277"/>
      <c r="C533" s="277"/>
      <c r="D533" s="277"/>
    </row>
    <row r="534" spans="2:4" hidden="1">
      <c r="B534" s="277"/>
      <c r="C534" s="277"/>
      <c r="D534" s="277"/>
    </row>
    <row r="535" spans="2:4" hidden="1">
      <c r="B535" s="277"/>
      <c r="C535" s="277"/>
      <c r="D535" s="277"/>
    </row>
    <row r="536" spans="2:4" hidden="1">
      <c r="B536" s="277"/>
      <c r="C536" s="277"/>
      <c r="D536" s="277"/>
    </row>
    <row r="537" spans="2:4" hidden="1">
      <c r="B537" s="277"/>
      <c r="C537" s="277"/>
      <c r="D537" s="277"/>
    </row>
    <row r="538" spans="2:4" hidden="1">
      <c r="B538" s="277"/>
      <c r="C538" s="277"/>
      <c r="D538" s="277"/>
    </row>
    <row r="539" spans="2:4" hidden="1">
      <c r="B539" s="277"/>
      <c r="C539" s="277"/>
      <c r="D539" s="277"/>
    </row>
    <row r="540" spans="2:4" hidden="1">
      <c r="B540" s="277"/>
      <c r="C540" s="277"/>
      <c r="D540" s="277"/>
    </row>
    <row r="541" spans="2:4" hidden="1">
      <c r="B541" s="277"/>
      <c r="C541" s="277"/>
      <c r="D541" s="277"/>
    </row>
    <row r="542" spans="2:4" hidden="1">
      <c r="B542" s="277"/>
      <c r="C542" s="277"/>
      <c r="D542" s="277"/>
    </row>
    <row r="543" spans="2:4" hidden="1">
      <c r="B543" s="277"/>
      <c r="C543" s="277"/>
      <c r="D543" s="277"/>
    </row>
    <row r="544" spans="2:4" hidden="1">
      <c r="B544" s="277"/>
      <c r="C544" s="277"/>
      <c r="D544" s="277"/>
    </row>
    <row r="545" spans="2:4" hidden="1">
      <c r="B545" s="277"/>
      <c r="C545" s="277"/>
      <c r="D545" s="277"/>
    </row>
    <row r="546" spans="2:4" hidden="1">
      <c r="B546" s="277"/>
      <c r="C546" s="277"/>
      <c r="D546" s="277"/>
    </row>
    <row r="547" spans="2:4" hidden="1">
      <c r="B547" s="277"/>
      <c r="C547" s="277"/>
      <c r="D547" s="277"/>
    </row>
    <row r="548" spans="2:4" hidden="1">
      <c r="B548" s="277"/>
      <c r="C548" s="277"/>
      <c r="D548" s="277"/>
    </row>
    <row r="549" spans="2:4" hidden="1">
      <c r="B549" s="277"/>
      <c r="C549" s="277"/>
      <c r="D549" s="277"/>
    </row>
    <row r="550" spans="2:4" hidden="1">
      <c r="B550" s="277"/>
      <c r="C550" s="277"/>
      <c r="D550" s="277"/>
    </row>
    <row r="551" spans="2:4" hidden="1">
      <c r="B551" s="277"/>
      <c r="C551" s="277"/>
      <c r="D551" s="277"/>
    </row>
    <row r="552" spans="2:4" hidden="1">
      <c r="B552" s="277"/>
      <c r="C552" s="277"/>
      <c r="D552" s="277"/>
    </row>
    <row r="553" spans="2:4" hidden="1">
      <c r="B553" s="277"/>
      <c r="C553" s="277"/>
      <c r="D553" s="277"/>
    </row>
    <row r="554" spans="2:4" hidden="1">
      <c r="B554" s="277"/>
      <c r="C554" s="277"/>
      <c r="D554" s="277"/>
    </row>
    <row r="555" spans="2:4" hidden="1">
      <c r="B555" s="277"/>
      <c r="C555" s="277"/>
      <c r="D555" s="277"/>
    </row>
    <row r="556" spans="2:4" hidden="1">
      <c r="B556" s="277"/>
      <c r="C556" s="277"/>
      <c r="D556" s="277"/>
    </row>
    <row r="557" spans="2:4" hidden="1">
      <c r="B557" s="277"/>
      <c r="C557" s="277"/>
      <c r="D557" s="277"/>
    </row>
    <row r="558" spans="2:4" hidden="1">
      <c r="B558" s="277"/>
      <c r="C558" s="277"/>
      <c r="D558" s="277"/>
    </row>
    <row r="559" spans="2:4" hidden="1">
      <c r="B559" s="277"/>
      <c r="C559" s="277"/>
      <c r="D559" s="277"/>
    </row>
    <row r="560" spans="2:4" hidden="1">
      <c r="B560" s="277"/>
      <c r="C560" s="277"/>
      <c r="D560" s="277"/>
    </row>
    <row r="561" spans="2:4" hidden="1">
      <c r="B561" s="277"/>
      <c r="C561" s="277"/>
      <c r="D561" s="277"/>
    </row>
    <row r="562" spans="2:4" hidden="1">
      <c r="B562" s="277"/>
      <c r="C562" s="277"/>
      <c r="D562" s="277"/>
    </row>
    <row r="563" spans="2:4" hidden="1">
      <c r="B563" s="277"/>
      <c r="C563" s="277"/>
      <c r="D563" s="277"/>
    </row>
    <row r="564" spans="2:4" hidden="1">
      <c r="B564" s="277"/>
      <c r="C564" s="277"/>
      <c r="D564" s="277"/>
    </row>
    <row r="565" spans="2:4" hidden="1">
      <c r="B565" s="277"/>
      <c r="C565" s="277"/>
      <c r="D565" s="277"/>
    </row>
    <row r="566" spans="2:4" hidden="1">
      <c r="B566" s="277"/>
      <c r="C566" s="277"/>
      <c r="D566" s="277"/>
    </row>
    <row r="567" spans="2:4" hidden="1">
      <c r="B567" s="277"/>
      <c r="C567" s="277"/>
      <c r="D567" s="277"/>
    </row>
    <row r="568" spans="2:4" hidden="1">
      <c r="B568" s="277"/>
      <c r="C568" s="277"/>
      <c r="D568" s="277"/>
    </row>
    <row r="569" spans="2:4" hidden="1">
      <c r="B569" s="277"/>
      <c r="C569" s="277"/>
      <c r="D569" s="277"/>
    </row>
    <row r="570" spans="2:4" hidden="1">
      <c r="B570" s="277"/>
      <c r="C570" s="277"/>
      <c r="D570" s="277"/>
    </row>
    <row r="571" spans="2:4" hidden="1">
      <c r="B571" s="277"/>
      <c r="C571" s="277"/>
      <c r="D571" s="277"/>
    </row>
    <row r="572" spans="2:4" hidden="1">
      <c r="B572" s="277"/>
      <c r="C572" s="277"/>
      <c r="D572" s="277"/>
    </row>
    <row r="573" spans="2:4" hidden="1">
      <c r="B573" s="277"/>
      <c r="C573" s="277"/>
      <c r="D573" s="277"/>
    </row>
    <row r="574" spans="2:4" hidden="1">
      <c r="B574" s="277"/>
      <c r="C574" s="277"/>
      <c r="D574" s="277"/>
    </row>
    <row r="575" spans="2:4" hidden="1">
      <c r="B575" s="277"/>
      <c r="C575" s="277"/>
      <c r="D575" s="277"/>
    </row>
    <row r="576" spans="2:4" hidden="1">
      <c r="B576" s="277"/>
      <c r="C576" s="277"/>
      <c r="D576" s="277"/>
    </row>
    <row r="577" spans="2:4" hidden="1">
      <c r="B577" s="277"/>
      <c r="C577" s="277"/>
      <c r="D577" s="277"/>
    </row>
    <row r="578" spans="2:4" hidden="1">
      <c r="B578" s="277"/>
      <c r="C578" s="277"/>
      <c r="D578" s="277"/>
    </row>
    <row r="579" spans="2:4" hidden="1">
      <c r="B579" s="277"/>
      <c r="C579" s="277"/>
      <c r="D579" s="277"/>
    </row>
    <row r="580" spans="2:4" hidden="1">
      <c r="B580" s="277"/>
      <c r="C580" s="277"/>
      <c r="D580" s="277"/>
    </row>
    <row r="581" spans="2:4" hidden="1">
      <c r="B581" s="277"/>
      <c r="C581" s="277"/>
      <c r="D581" s="277"/>
    </row>
    <row r="582" spans="2:4" hidden="1">
      <c r="B582" s="277"/>
      <c r="C582" s="277"/>
      <c r="D582" s="277"/>
    </row>
    <row r="583" spans="2:4" hidden="1">
      <c r="B583" s="277"/>
      <c r="C583" s="277"/>
      <c r="D583" s="277"/>
    </row>
    <row r="584" spans="2:4" hidden="1">
      <c r="B584" s="277"/>
      <c r="C584" s="277"/>
      <c r="D584" s="277"/>
    </row>
    <row r="585" spans="2:4" hidden="1">
      <c r="B585" s="277"/>
      <c r="C585" s="277"/>
      <c r="D585" s="277"/>
    </row>
    <row r="586" spans="2:4" hidden="1">
      <c r="B586" s="277"/>
      <c r="C586" s="277"/>
      <c r="D586" s="277"/>
    </row>
    <row r="587" spans="2:4" hidden="1">
      <c r="B587" s="277"/>
      <c r="C587" s="277"/>
      <c r="D587" s="277"/>
    </row>
    <row r="588" spans="2:4" hidden="1">
      <c r="B588" s="277"/>
      <c r="C588" s="277"/>
      <c r="D588" s="277"/>
    </row>
    <row r="589" spans="2:4" hidden="1">
      <c r="B589" s="277"/>
      <c r="C589" s="277"/>
      <c r="D589" s="277"/>
    </row>
    <row r="590" spans="2:4" hidden="1">
      <c r="B590" s="277"/>
      <c r="C590" s="277"/>
      <c r="D590" s="277"/>
    </row>
    <row r="591" spans="2:4" hidden="1">
      <c r="B591" s="277"/>
      <c r="C591" s="277"/>
      <c r="D591" s="277"/>
    </row>
    <row r="592" spans="2:4" hidden="1">
      <c r="B592" s="277"/>
      <c r="C592" s="277"/>
      <c r="D592" s="277"/>
    </row>
    <row r="593" spans="2:4" hidden="1">
      <c r="B593" s="277"/>
      <c r="C593" s="277"/>
      <c r="D593" s="277"/>
    </row>
    <row r="594" spans="2:4" hidden="1">
      <c r="B594" s="277"/>
      <c r="C594" s="277"/>
      <c r="D594" s="277"/>
    </row>
    <row r="595" spans="2:4" hidden="1">
      <c r="B595" s="277"/>
      <c r="C595" s="277"/>
      <c r="D595" s="277"/>
    </row>
    <row r="596" spans="2:4" hidden="1">
      <c r="B596" s="277"/>
      <c r="C596" s="277"/>
      <c r="D596" s="277"/>
    </row>
    <row r="597" spans="2:4" hidden="1">
      <c r="B597" s="277"/>
      <c r="C597" s="277"/>
      <c r="D597" s="277"/>
    </row>
    <row r="598" spans="2:4" hidden="1">
      <c r="B598" s="277"/>
      <c r="C598" s="277"/>
      <c r="D598" s="277"/>
    </row>
    <row r="599" spans="2:4" hidden="1">
      <c r="B599" s="277"/>
      <c r="C599" s="277"/>
      <c r="D599" s="277"/>
    </row>
    <row r="600" spans="2:4" hidden="1">
      <c r="B600" s="277"/>
      <c r="C600" s="277"/>
      <c r="D600" s="277"/>
    </row>
    <row r="601" spans="2:4" hidden="1">
      <c r="B601" s="277"/>
      <c r="C601" s="277"/>
      <c r="D601" s="277"/>
    </row>
    <row r="602" spans="2:4" hidden="1">
      <c r="B602" s="277"/>
      <c r="C602" s="277"/>
      <c r="D602" s="277"/>
    </row>
    <row r="603" spans="2:4" hidden="1">
      <c r="B603" s="277"/>
      <c r="C603" s="277"/>
      <c r="D603" s="277"/>
    </row>
    <row r="604" spans="2:4" hidden="1">
      <c r="B604" s="277"/>
      <c r="C604" s="277"/>
      <c r="D604" s="277"/>
    </row>
    <row r="605" spans="2:4" hidden="1">
      <c r="B605" s="277"/>
      <c r="C605" s="277"/>
      <c r="D605" s="277"/>
    </row>
    <row r="606" spans="2:4" hidden="1">
      <c r="B606" s="277"/>
      <c r="C606" s="277"/>
      <c r="D606" s="277"/>
    </row>
    <row r="607" spans="2:4" hidden="1">
      <c r="B607" s="277"/>
      <c r="C607" s="277"/>
      <c r="D607" s="277"/>
    </row>
    <row r="608" spans="2:4" hidden="1">
      <c r="B608" s="277"/>
      <c r="C608" s="277"/>
      <c r="D608" s="277"/>
    </row>
    <row r="609" spans="2:4" hidden="1">
      <c r="B609" s="277"/>
      <c r="C609" s="277"/>
      <c r="D609" s="277"/>
    </row>
    <row r="610" spans="2:4" hidden="1">
      <c r="B610" s="277"/>
      <c r="C610" s="277"/>
      <c r="D610" s="277"/>
    </row>
    <row r="611" spans="2:4" hidden="1">
      <c r="B611" s="277"/>
      <c r="C611" s="277"/>
      <c r="D611" s="277"/>
    </row>
    <row r="612" spans="2:4" hidden="1">
      <c r="B612" s="277"/>
      <c r="C612" s="277"/>
      <c r="D612" s="277"/>
    </row>
    <row r="613" spans="2:4" hidden="1">
      <c r="B613" s="277"/>
      <c r="C613" s="277"/>
      <c r="D613" s="277"/>
    </row>
    <row r="614" spans="2:4" hidden="1">
      <c r="B614" s="277"/>
      <c r="C614" s="277"/>
      <c r="D614" s="277"/>
    </row>
    <row r="615" spans="2:4" hidden="1">
      <c r="B615" s="277"/>
      <c r="C615" s="277"/>
      <c r="D615" s="277"/>
    </row>
    <row r="616" spans="2:4" hidden="1">
      <c r="B616" s="277"/>
      <c r="C616" s="277"/>
      <c r="D616" s="277"/>
    </row>
    <row r="617" spans="2:4" hidden="1">
      <c r="B617" s="277"/>
      <c r="C617" s="277"/>
      <c r="D617" s="277"/>
    </row>
    <row r="618" spans="2:4" hidden="1">
      <c r="B618" s="277"/>
      <c r="C618" s="277"/>
      <c r="D618" s="277"/>
    </row>
    <row r="619" spans="2:4" hidden="1">
      <c r="B619" s="277"/>
      <c r="C619" s="277"/>
      <c r="D619" s="277"/>
    </row>
    <row r="620" spans="2:4" hidden="1">
      <c r="B620" s="277"/>
      <c r="C620" s="277"/>
      <c r="D620" s="277"/>
    </row>
    <row r="621" spans="2:4" hidden="1">
      <c r="B621" s="277"/>
      <c r="C621" s="277"/>
      <c r="D621" s="277"/>
    </row>
    <row r="622" spans="2:4" hidden="1">
      <c r="B622" s="277"/>
      <c r="C622" s="277"/>
      <c r="D622" s="277"/>
    </row>
    <row r="623" spans="2:4" hidden="1">
      <c r="B623" s="277"/>
      <c r="C623" s="277"/>
      <c r="D623" s="277"/>
    </row>
    <row r="624" spans="2:4" hidden="1">
      <c r="B624" s="277"/>
      <c r="C624" s="277"/>
      <c r="D624" s="277"/>
    </row>
    <row r="625" spans="2:4" hidden="1">
      <c r="B625" s="277"/>
      <c r="C625" s="277"/>
      <c r="D625" s="277"/>
    </row>
    <row r="626" spans="2:4" hidden="1">
      <c r="B626" s="277"/>
      <c r="C626" s="277"/>
      <c r="D626" s="277"/>
    </row>
    <row r="627" spans="2:4" hidden="1">
      <c r="B627" s="277"/>
      <c r="C627" s="277"/>
      <c r="D627" s="277"/>
    </row>
    <row r="628" spans="2:4" hidden="1">
      <c r="B628" s="277"/>
      <c r="C628" s="277"/>
      <c r="D628" s="277"/>
    </row>
    <row r="629" spans="2:4" hidden="1">
      <c r="B629" s="277"/>
      <c r="C629" s="277"/>
      <c r="D629" s="277"/>
    </row>
    <row r="630" spans="2:4" hidden="1">
      <c r="B630" s="277"/>
      <c r="C630" s="277"/>
      <c r="D630" s="277"/>
    </row>
    <row r="631" spans="2:4" hidden="1">
      <c r="B631" s="277"/>
      <c r="C631" s="277"/>
      <c r="D631" s="277"/>
    </row>
    <row r="632" spans="2:4" hidden="1">
      <c r="B632" s="277"/>
      <c r="C632" s="277"/>
      <c r="D632" s="277"/>
    </row>
    <row r="633" spans="2:4" hidden="1">
      <c r="B633" s="277"/>
      <c r="C633" s="277"/>
      <c r="D633" s="277"/>
    </row>
    <row r="634" spans="2:4" hidden="1">
      <c r="B634" s="277"/>
      <c r="C634" s="277"/>
      <c r="D634" s="277"/>
    </row>
    <row r="635" spans="2:4" hidden="1">
      <c r="B635" s="277"/>
      <c r="C635" s="277"/>
      <c r="D635" s="277"/>
    </row>
    <row r="636" spans="2:4" hidden="1">
      <c r="B636" s="277"/>
      <c r="C636" s="277"/>
      <c r="D636" s="277"/>
    </row>
    <row r="637" spans="2:4" hidden="1">
      <c r="B637" s="277"/>
      <c r="C637" s="277"/>
      <c r="D637" s="277"/>
    </row>
    <row r="638" spans="2:4" hidden="1">
      <c r="B638" s="277"/>
      <c r="C638" s="277"/>
      <c r="D638" s="277"/>
    </row>
    <row r="639" spans="2:4" hidden="1">
      <c r="B639" s="277"/>
      <c r="C639" s="277"/>
      <c r="D639" s="277"/>
    </row>
    <row r="640" spans="2:4" hidden="1">
      <c r="B640" s="277"/>
      <c r="C640" s="277"/>
      <c r="D640" s="277"/>
    </row>
    <row r="641" spans="2:4" hidden="1">
      <c r="B641" s="277"/>
      <c r="C641" s="277"/>
      <c r="D641" s="277"/>
    </row>
    <row r="642" spans="2:4" hidden="1">
      <c r="B642" s="277"/>
      <c r="C642" s="277"/>
      <c r="D642" s="277"/>
    </row>
    <row r="643" spans="2:4" hidden="1">
      <c r="B643" s="277"/>
      <c r="C643" s="277"/>
      <c r="D643" s="277"/>
    </row>
    <row r="644" spans="2:4" hidden="1">
      <c r="B644" s="277"/>
      <c r="C644" s="277"/>
      <c r="D644" s="277"/>
    </row>
    <row r="645" spans="2:4" hidden="1">
      <c r="B645" s="277"/>
      <c r="C645" s="277"/>
      <c r="D645" s="277"/>
    </row>
    <row r="646" spans="2:4" hidden="1">
      <c r="B646" s="277"/>
      <c r="C646" s="277"/>
      <c r="D646" s="277"/>
    </row>
    <row r="647" spans="2:4" hidden="1">
      <c r="B647" s="277"/>
      <c r="C647" s="277"/>
      <c r="D647" s="277"/>
    </row>
    <row r="648" spans="2:4" hidden="1">
      <c r="B648" s="277"/>
      <c r="C648" s="277"/>
      <c r="D648" s="277"/>
    </row>
    <row r="649" spans="2:4" hidden="1">
      <c r="B649" s="277"/>
      <c r="C649" s="277"/>
      <c r="D649" s="277"/>
    </row>
    <row r="650" spans="2:4" hidden="1">
      <c r="B650" s="277"/>
      <c r="C650" s="277"/>
      <c r="D650" s="277"/>
    </row>
    <row r="651" spans="2:4" hidden="1">
      <c r="B651" s="277"/>
      <c r="C651" s="277"/>
      <c r="D651" s="277"/>
    </row>
    <row r="652" spans="2:4" hidden="1">
      <c r="B652" s="277"/>
      <c r="C652" s="277"/>
      <c r="D652" s="277"/>
    </row>
    <row r="653" spans="2:4" hidden="1">
      <c r="B653" s="277"/>
      <c r="C653" s="277"/>
      <c r="D653" s="277"/>
    </row>
    <row r="654" spans="2:4" hidden="1">
      <c r="B654" s="277"/>
      <c r="C654" s="277"/>
      <c r="D654" s="277"/>
    </row>
    <row r="655" spans="2:4" hidden="1">
      <c r="B655" s="277"/>
      <c r="C655" s="277"/>
      <c r="D655" s="277"/>
    </row>
    <row r="656" spans="2:4" hidden="1">
      <c r="B656" s="277"/>
      <c r="C656" s="277"/>
      <c r="D656" s="277"/>
    </row>
    <row r="657" spans="2:4" hidden="1">
      <c r="B657" s="277"/>
      <c r="C657" s="277"/>
      <c r="D657" s="277"/>
    </row>
    <row r="658" spans="2:4" hidden="1">
      <c r="B658" s="277"/>
      <c r="C658" s="277"/>
      <c r="D658" s="277"/>
    </row>
    <row r="659" spans="2:4" hidden="1">
      <c r="B659" s="277"/>
      <c r="C659" s="277"/>
      <c r="D659" s="277"/>
    </row>
    <row r="660" spans="2:4" hidden="1">
      <c r="B660" s="277"/>
      <c r="C660" s="277"/>
      <c r="D660" s="277"/>
    </row>
    <row r="661" spans="2:4" hidden="1">
      <c r="B661" s="277"/>
      <c r="C661" s="277"/>
      <c r="D661" s="277"/>
    </row>
    <row r="662" spans="2:4" hidden="1">
      <c r="B662" s="277"/>
      <c r="C662" s="277"/>
      <c r="D662" s="277"/>
    </row>
    <row r="663" spans="2:4" hidden="1">
      <c r="B663" s="277"/>
      <c r="C663" s="277"/>
      <c r="D663" s="277"/>
    </row>
    <row r="664" spans="2:4" hidden="1">
      <c r="B664" s="277"/>
      <c r="C664" s="277"/>
      <c r="D664" s="277"/>
    </row>
    <row r="665" spans="2:4" hidden="1">
      <c r="B665" s="277"/>
      <c r="C665" s="277"/>
      <c r="D665" s="277"/>
    </row>
    <row r="666" spans="2:4" hidden="1">
      <c r="B666" s="277"/>
      <c r="C666" s="277"/>
      <c r="D666" s="277"/>
    </row>
    <row r="667" spans="2:4" hidden="1">
      <c r="B667" s="277"/>
      <c r="C667" s="277"/>
      <c r="D667" s="277"/>
    </row>
    <row r="668" spans="2:4" hidden="1">
      <c r="B668" s="277"/>
      <c r="C668" s="277"/>
      <c r="D668" s="277"/>
    </row>
    <row r="669" spans="2:4" hidden="1">
      <c r="B669" s="277"/>
      <c r="C669" s="277"/>
      <c r="D669" s="277"/>
    </row>
    <row r="670" spans="2:4" hidden="1">
      <c r="B670" s="277"/>
      <c r="C670" s="277"/>
      <c r="D670" s="277"/>
    </row>
    <row r="671" spans="2:4" hidden="1">
      <c r="B671" s="277"/>
      <c r="C671" s="277"/>
      <c r="D671" s="277"/>
    </row>
    <row r="672" spans="2:4" hidden="1">
      <c r="B672" s="277"/>
      <c r="C672" s="277"/>
      <c r="D672" s="277"/>
    </row>
    <row r="673" spans="2:4" hidden="1">
      <c r="B673" s="277"/>
      <c r="C673" s="277"/>
      <c r="D673" s="277"/>
    </row>
    <row r="674" spans="2:4" hidden="1">
      <c r="B674" s="277"/>
      <c r="C674" s="277"/>
      <c r="D674" s="277"/>
    </row>
    <row r="675" spans="2:4" hidden="1">
      <c r="B675" s="277"/>
      <c r="C675" s="277"/>
      <c r="D675" s="277"/>
    </row>
    <row r="676" spans="2:4" hidden="1">
      <c r="B676" s="277"/>
      <c r="C676" s="277"/>
      <c r="D676" s="277"/>
    </row>
    <row r="677" spans="2:4" hidden="1">
      <c r="B677" s="277"/>
      <c r="C677" s="277"/>
      <c r="D677" s="277"/>
    </row>
    <row r="678" spans="2:4" hidden="1">
      <c r="B678" s="277"/>
      <c r="C678" s="277"/>
      <c r="D678" s="277"/>
    </row>
    <row r="679" spans="2:4" hidden="1">
      <c r="B679" s="277"/>
      <c r="C679" s="277"/>
      <c r="D679" s="277"/>
    </row>
    <row r="680" spans="2:4" hidden="1">
      <c r="B680" s="277"/>
      <c r="C680" s="277"/>
      <c r="D680" s="277"/>
    </row>
    <row r="681" spans="2:4" hidden="1">
      <c r="B681" s="277"/>
      <c r="C681" s="277"/>
      <c r="D681" s="277"/>
    </row>
    <row r="682" spans="2:4" hidden="1">
      <c r="B682" s="277"/>
      <c r="C682" s="277"/>
      <c r="D682" s="277"/>
    </row>
    <row r="683" spans="2:4" hidden="1">
      <c r="B683" s="277"/>
      <c r="C683" s="277"/>
      <c r="D683" s="277"/>
    </row>
    <row r="684" spans="2:4" hidden="1">
      <c r="B684" s="277"/>
      <c r="C684" s="277"/>
      <c r="D684" s="277"/>
    </row>
    <row r="685" spans="2:4" hidden="1">
      <c r="B685" s="277"/>
      <c r="C685" s="277"/>
      <c r="D685" s="277"/>
    </row>
    <row r="686" spans="2:4" hidden="1">
      <c r="B686" s="277"/>
      <c r="C686" s="277"/>
      <c r="D686" s="277"/>
    </row>
    <row r="687" spans="2:4" hidden="1">
      <c r="B687" s="277"/>
      <c r="C687" s="277"/>
      <c r="D687" s="277"/>
    </row>
    <row r="688" spans="2:4" hidden="1">
      <c r="B688" s="277"/>
      <c r="C688" s="277"/>
      <c r="D688" s="277"/>
    </row>
    <row r="689" spans="2:4" hidden="1">
      <c r="B689" s="277"/>
      <c r="C689" s="277"/>
      <c r="D689" s="277"/>
    </row>
    <row r="690" spans="2:4" hidden="1">
      <c r="B690" s="277"/>
      <c r="C690" s="277"/>
      <c r="D690" s="277"/>
    </row>
    <row r="691" spans="2:4" hidden="1">
      <c r="B691" s="277"/>
      <c r="C691" s="277"/>
      <c r="D691" s="277"/>
    </row>
    <row r="692" spans="2:4" hidden="1">
      <c r="B692" s="277"/>
      <c r="C692" s="277"/>
      <c r="D692" s="277"/>
    </row>
    <row r="693" spans="2:4" hidden="1">
      <c r="B693" s="277"/>
      <c r="C693" s="277"/>
      <c r="D693" s="277"/>
    </row>
    <row r="694" spans="2:4" hidden="1">
      <c r="B694" s="277"/>
      <c r="C694" s="277"/>
      <c r="D694" s="277"/>
    </row>
    <row r="695" spans="2:4" hidden="1">
      <c r="B695" s="277"/>
      <c r="C695" s="277"/>
      <c r="D695" s="277"/>
    </row>
    <row r="696" spans="2:4" hidden="1">
      <c r="B696" s="277"/>
      <c r="C696" s="277"/>
      <c r="D696" s="277"/>
    </row>
    <row r="697" spans="2:4" hidden="1">
      <c r="B697" s="277"/>
      <c r="C697" s="277"/>
      <c r="D697" s="277"/>
    </row>
    <row r="698" spans="2:4" hidden="1">
      <c r="B698" s="277"/>
      <c r="C698" s="277"/>
      <c r="D698" s="277"/>
    </row>
    <row r="699" spans="2:4" hidden="1">
      <c r="B699" s="277"/>
      <c r="C699" s="277"/>
      <c r="D699" s="277"/>
    </row>
    <row r="700" spans="2:4" hidden="1">
      <c r="B700" s="277"/>
      <c r="C700" s="277"/>
      <c r="D700" s="277"/>
    </row>
    <row r="701" spans="2:4" hidden="1">
      <c r="B701" s="277"/>
      <c r="C701" s="277"/>
      <c r="D701" s="277"/>
    </row>
    <row r="702" spans="2:4" hidden="1">
      <c r="B702" s="277"/>
      <c r="C702" s="277"/>
      <c r="D702" s="277"/>
    </row>
    <row r="703" spans="2:4" hidden="1">
      <c r="B703" s="277"/>
      <c r="C703" s="277"/>
      <c r="D703" s="277"/>
    </row>
    <row r="704" spans="2:4" hidden="1">
      <c r="B704" s="277"/>
      <c r="C704" s="277"/>
      <c r="D704" s="277"/>
    </row>
    <row r="705" spans="2:4" hidden="1">
      <c r="B705" s="277"/>
      <c r="C705" s="277"/>
      <c r="D705" s="277"/>
    </row>
    <row r="706" spans="2:4" hidden="1">
      <c r="B706" s="277"/>
      <c r="C706" s="277"/>
      <c r="D706" s="277"/>
    </row>
    <row r="707" spans="2:4" hidden="1">
      <c r="B707" s="277"/>
      <c r="C707" s="277"/>
      <c r="D707" s="277"/>
    </row>
    <row r="708" spans="2:4" hidden="1">
      <c r="B708" s="277"/>
      <c r="C708" s="277"/>
      <c r="D708" s="277"/>
    </row>
    <row r="709" spans="2:4" hidden="1">
      <c r="B709" s="277"/>
      <c r="C709" s="277"/>
      <c r="D709" s="277"/>
    </row>
    <row r="710" spans="2:4" hidden="1">
      <c r="B710" s="277"/>
      <c r="C710" s="277"/>
      <c r="D710" s="277"/>
    </row>
    <row r="711" spans="2:4" hidden="1">
      <c r="B711" s="277"/>
      <c r="C711" s="277"/>
      <c r="D711" s="277"/>
    </row>
    <row r="712" spans="2:4" hidden="1">
      <c r="B712" s="277"/>
      <c r="C712" s="277"/>
      <c r="D712" s="277"/>
    </row>
    <row r="713" spans="2:4" hidden="1">
      <c r="B713" s="277"/>
      <c r="C713" s="277"/>
      <c r="D713" s="277"/>
    </row>
    <row r="714" spans="2:4" hidden="1">
      <c r="B714" s="277"/>
      <c r="C714" s="277"/>
      <c r="D714" s="277"/>
    </row>
    <row r="715" spans="2:4" hidden="1">
      <c r="B715" s="277"/>
      <c r="C715" s="277"/>
      <c r="D715" s="277"/>
    </row>
    <row r="716" spans="2:4" hidden="1">
      <c r="B716" s="277"/>
      <c r="C716" s="277"/>
      <c r="D716" s="277"/>
    </row>
    <row r="717" spans="2:4" hidden="1">
      <c r="B717" s="277"/>
      <c r="C717" s="277"/>
      <c r="D717" s="277"/>
    </row>
    <row r="718" spans="2:4" hidden="1">
      <c r="B718" s="277"/>
      <c r="C718" s="277"/>
      <c r="D718" s="277"/>
    </row>
    <row r="719" spans="2:4" hidden="1">
      <c r="B719" s="277"/>
      <c r="C719" s="277"/>
      <c r="D719" s="277"/>
    </row>
    <row r="720" spans="2:4" hidden="1">
      <c r="B720" s="277"/>
      <c r="C720" s="277"/>
      <c r="D720" s="277"/>
    </row>
    <row r="721" spans="2:4" hidden="1">
      <c r="B721" s="277"/>
      <c r="C721" s="277"/>
      <c r="D721" s="277"/>
    </row>
    <row r="722" spans="2:4" hidden="1">
      <c r="B722" s="277"/>
      <c r="C722" s="277"/>
      <c r="D722" s="277"/>
    </row>
    <row r="723" spans="2:4" hidden="1">
      <c r="B723" s="277"/>
      <c r="C723" s="277"/>
      <c r="D723" s="277"/>
    </row>
    <row r="724" spans="2:4" hidden="1">
      <c r="B724" s="277"/>
      <c r="C724" s="277"/>
      <c r="D724" s="277"/>
    </row>
    <row r="725" spans="2:4" hidden="1">
      <c r="B725" s="277"/>
      <c r="C725" s="277"/>
      <c r="D725" s="277"/>
    </row>
    <row r="726" spans="2:4" hidden="1">
      <c r="B726" s="277"/>
      <c r="C726" s="277"/>
      <c r="D726" s="277"/>
    </row>
    <row r="727" spans="2:4" hidden="1">
      <c r="B727" s="277"/>
      <c r="C727" s="277"/>
      <c r="D727" s="277"/>
    </row>
    <row r="728" spans="2:4" hidden="1">
      <c r="B728" s="277"/>
      <c r="C728" s="277"/>
      <c r="D728" s="277"/>
    </row>
    <row r="729" spans="2:4" hidden="1">
      <c r="B729" s="277"/>
      <c r="C729" s="277"/>
      <c r="D729" s="277"/>
    </row>
    <row r="730" spans="2:4" hidden="1">
      <c r="B730" s="277"/>
      <c r="C730" s="277"/>
      <c r="D730" s="277"/>
    </row>
    <row r="731" spans="2:4" hidden="1">
      <c r="B731" s="277"/>
      <c r="C731" s="277"/>
      <c r="D731" s="277"/>
    </row>
    <row r="732" spans="2:4" hidden="1">
      <c r="B732" s="277"/>
      <c r="C732" s="277"/>
      <c r="D732" s="277"/>
    </row>
    <row r="733" spans="2:4" hidden="1">
      <c r="B733" s="277"/>
      <c r="C733" s="277"/>
      <c r="D733" s="277"/>
    </row>
  </sheetData>
  <customSheetViews>
    <customSheetView guid="{CFA9FB8A-52FF-44B9-AE70-27339693E196}" scale="60" showPageBreaks="1" view="pageBreakPreview">
      <pane ySplit="2" topLeftCell="A3" activePane="bottomLeft" state="frozen"/>
      <selection pane="bottomLeft" sqref="A1:C27"/>
      <pageMargins left="0.7" right="0.7" top="0.75" bottom="0.75" header="0.3" footer="0.3"/>
      <pageSetup scale="85" orientation="portrait" r:id="rId1"/>
    </customSheetView>
  </customSheetViews>
  <mergeCells count="1">
    <mergeCell ref="B2:D2"/>
  </mergeCells>
  <printOptions horizontalCentered="1"/>
  <pageMargins left="0.7" right="0.7" top="1.25" bottom="0.5" header="0.3" footer="0"/>
  <pageSetup orientation="landscape" r:id="rId2"/>
  <headerFooter scaleWithDoc="0">
    <oddFoote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09"/>
  <sheetViews>
    <sheetView zoomScaleNormal="100" workbookViewId="0">
      <pane ySplit="2" topLeftCell="A117" activePane="bottomLeft" state="frozen"/>
      <selection pane="bottomLeft" activeCell="G112" sqref="G112"/>
    </sheetView>
  </sheetViews>
  <sheetFormatPr defaultColWidth="0" defaultRowHeight="15" zeroHeight="1"/>
  <cols>
    <col min="1" max="1" width="4.77734375" customWidth="1"/>
    <col min="2" max="2" width="2.77734375" customWidth="1"/>
    <col min="3" max="3" width="16.33203125" customWidth="1"/>
    <col min="4" max="4" width="10.77734375" customWidth="1"/>
    <col min="5" max="5" width="2.6640625" customWidth="1"/>
    <col min="6" max="6" width="7.33203125" customWidth="1"/>
    <col min="7" max="8" width="8.77734375" customWidth="1"/>
    <col min="9" max="9" width="9.33203125" customWidth="1"/>
    <col min="10" max="11" width="8.77734375" customWidth="1"/>
    <col min="12" max="12" width="4.6640625" customWidth="1"/>
    <col min="13" max="13" width="19.109375" hidden="1" customWidth="1"/>
    <col min="14" max="16" width="8.88671875" hidden="1" customWidth="1"/>
  </cols>
  <sheetData>
    <row r="1" spans="2:13" ht="15.75" thickBot="1"/>
    <row r="2" spans="2:13" s="131" customFormat="1" ht="24.75" thickTop="1" thickBot="1">
      <c r="B2" s="1158" t="s">
        <v>701</v>
      </c>
      <c r="C2" s="1159"/>
      <c r="D2" s="1159"/>
      <c r="E2" s="1159"/>
      <c r="F2" s="1159"/>
      <c r="G2" s="1159"/>
      <c r="H2" s="1159"/>
      <c r="I2" s="1159"/>
      <c r="J2" s="1159"/>
      <c r="K2" s="1160"/>
      <c r="L2" s="183"/>
    </row>
    <row r="3" spans="2:13" ht="16.5" thickTop="1">
      <c r="B3" s="123"/>
      <c r="C3" s="10"/>
      <c r="D3" s="20" t="s">
        <v>584</v>
      </c>
      <c r="E3" s="1"/>
      <c r="F3" s="133" t="s">
        <v>540</v>
      </c>
      <c r="G3" s="1"/>
      <c r="H3" s="1"/>
      <c r="I3" s="1"/>
      <c r="J3" s="1"/>
      <c r="K3" s="182"/>
      <c r="L3" s="184"/>
      <c r="M3" s="1"/>
    </row>
    <row r="4" spans="2:13" ht="16.5" thickBot="1">
      <c r="B4" s="123"/>
      <c r="C4" s="357" t="s">
        <v>175</v>
      </c>
      <c r="D4" s="192" t="s">
        <v>585</v>
      </c>
      <c r="E4" s="192"/>
      <c r="F4" s="192" t="s">
        <v>541</v>
      </c>
      <c r="G4" s="41"/>
      <c r="I4" s="1"/>
      <c r="J4" s="1"/>
      <c r="K4" s="182"/>
      <c r="L4" s="184"/>
      <c r="M4" s="1"/>
    </row>
    <row r="5" spans="2:13">
      <c r="B5" s="123"/>
      <c r="C5" s="358" t="s">
        <v>17</v>
      </c>
      <c r="D5" s="154">
        <v>16</v>
      </c>
      <c r="E5" s="154"/>
      <c r="F5" s="155">
        <f>SUM(Counties!C6:C25)-F6</f>
        <v>14712</v>
      </c>
      <c r="G5" s="154"/>
      <c r="H5" s="154"/>
      <c r="I5" s="154"/>
      <c r="J5" s="154"/>
      <c r="K5" s="182"/>
      <c r="L5" s="184"/>
      <c r="M5" s="1"/>
    </row>
    <row r="6" spans="2:13">
      <c r="B6" s="123"/>
      <c r="C6" s="358" t="s">
        <v>18</v>
      </c>
      <c r="D6" s="154">
        <v>4</v>
      </c>
      <c r="E6" s="154"/>
      <c r="F6" s="155">
        <f>+Counties!C9+Counties!C10+Counties!C14+Counties!C20</f>
        <v>5967</v>
      </c>
      <c r="G6" s="154"/>
      <c r="H6" s="154"/>
      <c r="I6" s="156"/>
      <c r="J6" s="156"/>
      <c r="K6" s="39"/>
      <c r="L6" s="55"/>
      <c r="M6" s="298"/>
    </row>
    <row r="7" spans="2:13">
      <c r="B7" s="123"/>
      <c r="C7" s="358" t="s">
        <v>19</v>
      </c>
      <c r="D7" s="154">
        <v>3</v>
      </c>
      <c r="E7" s="154"/>
      <c r="F7" s="155">
        <f>+Counties!C26+Counties!C27+Counties!C28</f>
        <v>5708</v>
      </c>
      <c r="G7" s="154"/>
      <c r="H7" s="154"/>
      <c r="I7" s="155"/>
      <c r="J7" s="155"/>
      <c r="K7" s="122"/>
      <c r="L7" s="55"/>
      <c r="M7" s="1"/>
    </row>
    <row r="8" spans="2:13">
      <c r="B8" s="123"/>
      <c r="C8" s="159"/>
      <c r="D8" s="154"/>
      <c r="E8" s="154"/>
      <c r="F8" s="380">
        <f>SUM(F5:F7)</f>
        <v>26387</v>
      </c>
      <c r="G8" s="154" t="s">
        <v>135</v>
      </c>
      <c r="I8" s="155"/>
      <c r="J8" s="155"/>
      <c r="K8" s="39"/>
      <c r="L8" s="55"/>
      <c r="M8" s="1"/>
    </row>
    <row r="9" spans="2:13">
      <c r="B9" s="123"/>
      <c r="C9" s="10"/>
      <c r="D9" s="124"/>
      <c r="E9" s="124"/>
      <c r="F9" s="124"/>
      <c r="G9" s="125"/>
      <c r="H9" s="124"/>
      <c r="I9" s="126"/>
      <c r="J9" s="126"/>
      <c r="K9" s="127"/>
      <c r="L9" s="185"/>
      <c r="M9" s="124"/>
    </row>
    <row r="10" spans="2:13" ht="15.75" thickBot="1">
      <c r="B10" s="370"/>
      <c r="C10" s="371"/>
      <c r="D10" s="372"/>
      <c r="E10" s="372"/>
      <c r="F10" s="372"/>
      <c r="G10" s="373"/>
      <c r="H10" s="372"/>
      <c r="I10" s="374"/>
      <c r="J10" s="374"/>
      <c r="K10" s="375"/>
      <c r="L10" s="185"/>
      <c r="M10" s="124"/>
    </row>
    <row r="11" spans="2:13" s="132" customFormat="1" ht="18">
      <c r="B11" s="359"/>
      <c r="C11" s="376" t="s">
        <v>30</v>
      </c>
      <c r="D11" s="190"/>
      <c r="E11" s="190"/>
      <c r="F11" s="190"/>
      <c r="G11" s="190"/>
      <c r="H11" s="190"/>
      <c r="I11" s="190"/>
      <c r="J11" s="190"/>
      <c r="K11" s="369"/>
      <c r="L11" s="189"/>
      <c r="M11" s="190"/>
    </row>
    <row r="12" spans="2:13" ht="45" customHeight="1">
      <c r="B12" s="123"/>
      <c r="C12" s="1167" t="s">
        <v>566</v>
      </c>
      <c r="D12" s="1168"/>
      <c r="E12" s="1168"/>
      <c r="F12" s="1168"/>
      <c r="G12" s="1168"/>
      <c r="H12" s="1168"/>
      <c r="I12" s="1168"/>
      <c r="J12" s="1168"/>
      <c r="K12" s="1169"/>
      <c r="L12" s="186"/>
      <c r="M12" s="179"/>
    </row>
    <row r="13" spans="2:13">
      <c r="B13" s="123"/>
      <c r="C13" s="159"/>
      <c r="D13" s="158"/>
      <c r="E13" s="158"/>
      <c r="F13" s="159"/>
      <c r="G13" s="159"/>
      <c r="H13" s="159"/>
      <c r="I13" s="158"/>
      <c r="J13" s="158"/>
      <c r="K13" s="160"/>
      <c r="L13" s="157"/>
      <c r="M13" s="159"/>
    </row>
    <row r="14" spans="2:13" ht="19.5" customHeight="1">
      <c r="B14" s="123"/>
      <c r="C14" s="361" t="s">
        <v>567</v>
      </c>
      <c r="D14" s="154"/>
      <c r="E14" s="154"/>
      <c r="F14" s="154"/>
      <c r="G14" s="154"/>
      <c r="H14" s="154"/>
      <c r="I14" s="154"/>
      <c r="J14" s="154"/>
      <c r="K14" s="161"/>
      <c r="L14" s="162"/>
      <c r="M14" s="154"/>
    </row>
    <row r="15" spans="2:13">
      <c r="B15" s="123"/>
      <c r="C15" s="154"/>
      <c r="D15" s="154"/>
      <c r="E15" s="154"/>
      <c r="F15" s="154"/>
      <c r="G15" s="154"/>
      <c r="H15" s="154"/>
      <c r="I15" s="163"/>
      <c r="J15" s="163"/>
      <c r="K15" s="161"/>
      <c r="L15" s="162"/>
      <c r="M15" s="154"/>
    </row>
    <row r="16" spans="2:13">
      <c r="B16" s="123"/>
      <c r="C16" s="377" t="s">
        <v>31</v>
      </c>
      <c r="D16" s="154"/>
      <c r="E16" s="154"/>
      <c r="F16" s="154"/>
      <c r="G16" s="163"/>
      <c r="H16" s="154"/>
      <c r="I16" s="154"/>
      <c r="J16" s="163"/>
      <c r="K16" s="161"/>
      <c r="L16" s="162"/>
      <c r="M16" s="154"/>
    </row>
    <row r="17" spans="2:13">
      <c r="B17" s="123"/>
      <c r="C17" s="154"/>
      <c r="D17" s="154"/>
      <c r="E17" s="154"/>
      <c r="F17" s="154"/>
      <c r="G17" s="154"/>
      <c r="H17" s="154"/>
      <c r="I17" s="154"/>
      <c r="J17" s="154"/>
      <c r="K17" s="161"/>
      <c r="L17" s="162"/>
      <c r="M17" s="154"/>
    </row>
    <row r="18" spans="2:13" ht="16.5">
      <c r="B18" s="123"/>
      <c r="C18" s="165" t="s">
        <v>568</v>
      </c>
      <c r="D18" s="154"/>
      <c r="E18" s="154"/>
      <c r="F18" s="154"/>
      <c r="G18" s="155"/>
      <c r="H18" s="154"/>
      <c r="I18" s="154"/>
      <c r="J18" s="155"/>
      <c r="K18" s="161"/>
      <c r="L18" s="162"/>
      <c r="M18" s="154"/>
    </row>
    <row r="19" spans="2:13" ht="16.5">
      <c r="B19" s="123"/>
      <c r="C19" s="360" t="s">
        <v>22</v>
      </c>
      <c r="D19" s="166" t="s">
        <v>569</v>
      </c>
      <c r="E19" s="154"/>
      <c r="F19" s="154"/>
      <c r="G19" s="154"/>
      <c r="H19" s="154"/>
      <c r="I19" s="154"/>
      <c r="J19" s="154"/>
      <c r="K19" s="161"/>
      <c r="L19" s="162"/>
      <c r="M19" s="154"/>
    </row>
    <row r="20" spans="2:13">
      <c r="B20" s="123"/>
      <c r="C20" s="154"/>
      <c r="D20" s="165" t="s">
        <v>23</v>
      </c>
      <c r="E20" s="154"/>
      <c r="F20" s="154"/>
      <c r="G20" s="154"/>
      <c r="H20" s="154"/>
      <c r="I20" s="154"/>
      <c r="J20" s="154"/>
      <c r="K20" s="161"/>
      <c r="L20" s="162"/>
      <c r="M20" s="154"/>
    </row>
    <row r="21" spans="2:13" ht="16.5">
      <c r="B21" s="123"/>
      <c r="C21" s="155"/>
      <c r="D21" s="164" t="s">
        <v>583</v>
      </c>
      <c r="E21" s="154"/>
      <c r="F21" s="154"/>
      <c r="G21" s="154"/>
      <c r="H21" s="154"/>
      <c r="I21" s="154"/>
      <c r="J21" s="154"/>
      <c r="K21" s="161"/>
      <c r="L21" s="162"/>
      <c r="M21" s="154"/>
    </row>
    <row r="22" spans="2:13">
      <c r="B22" s="123"/>
      <c r="C22" s="154"/>
      <c r="E22" s="154"/>
      <c r="F22" s="154"/>
      <c r="G22" s="154"/>
      <c r="H22" s="154"/>
      <c r="I22" s="154"/>
      <c r="J22" s="154"/>
      <c r="K22" s="161"/>
      <c r="L22" s="162"/>
      <c r="M22" s="154"/>
    </row>
    <row r="23" spans="2:13" ht="16.5">
      <c r="B23" s="123"/>
      <c r="C23" s="358" t="s">
        <v>570</v>
      </c>
      <c r="D23" s="155">
        <f>+F8</f>
        <v>26387</v>
      </c>
      <c r="E23" s="378" t="s">
        <v>706</v>
      </c>
      <c r="F23" s="154"/>
      <c r="G23" s="154"/>
      <c r="H23" s="154"/>
      <c r="J23" s="180"/>
      <c r="K23" s="181"/>
      <c r="L23" s="168"/>
      <c r="M23" s="180"/>
    </row>
    <row r="24" spans="2:13">
      <c r="B24" s="123"/>
      <c r="C24" s="358" t="s">
        <v>26</v>
      </c>
      <c r="D24" s="358">
        <f>'Summary - Tornado Segments'!D5</f>
        <v>73</v>
      </c>
      <c r="E24" s="379" t="s">
        <v>86</v>
      </c>
      <c r="I24" s="180"/>
      <c r="J24" s="180"/>
      <c r="K24" s="181"/>
      <c r="L24" s="168"/>
      <c r="M24" s="180"/>
    </row>
    <row r="25" spans="2:13" ht="15" customHeight="1">
      <c r="B25" s="123"/>
      <c r="C25" s="358" t="s">
        <v>571</v>
      </c>
      <c r="D25" s="156">
        <f>'Adjustments to Data'!F18</f>
        <v>642.65928977272711</v>
      </c>
      <c r="E25" s="378" t="s">
        <v>706</v>
      </c>
      <c r="G25" s="167"/>
      <c r="H25" s="191"/>
      <c r="I25" s="351"/>
      <c r="K25" s="122"/>
      <c r="L25" s="168"/>
      <c r="M25" s="180"/>
    </row>
    <row r="26" spans="2:13">
      <c r="B26" s="123"/>
      <c r="K26" s="122"/>
      <c r="L26" s="168"/>
      <c r="M26" s="180"/>
    </row>
    <row r="27" spans="2:13" ht="16.5">
      <c r="B27" s="123"/>
      <c r="C27" s="358" t="s">
        <v>572</v>
      </c>
      <c r="D27" s="163">
        <f>+D25/(D24*D23)</f>
        <v>3.3363216412229095E-4</v>
      </c>
      <c r="E27" s="154"/>
      <c r="F27" s="277" t="s">
        <v>702</v>
      </c>
      <c r="G27" s="154"/>
      <c r="H27" s="154"/>
      <c r="K27" s="122"/>
      <c r="L27" s="168"/>
      <c r="M27" s="180"/>
    </row>
    <row r="28" spans="2:13">
      <c r="B28" s="123"/>
      <c r="C28" s="154"/>
      <c r="D28" s="154"/>
      <c r="E28" s="154"/>
      <c r="F28" s="154"/>
      <c r="G28" s="154"/>
      <c r="H28" s="154"/>
      <c r="K28" s="122"/>
      <c r="L28" s="162"/>
      <c r="M28" s="154"/>
    </row>
    <row r="29" spans="2:13">
      <c r="B29" s="123"/>
      <c r="C29" s="154"/>
      <c r="D29" s="154"/>
      <c r="E29" s="154"/>
      <c r="F29" s="154"/>
      <c r="G29" s="154"/>
      <c r="H29" s="154"/>
      <c r="K29" s="122"/>
      <c r="L29" s="162"/>
      <c r="M29" s="154"/>
    </row>
    <row r="30" spans="2:13">
      <c r="B30" s="123"/>
      <c r="C30" s="377" t="s">
        <v>32</v>
      </c>
      <c r="D30" s="154"/>
      <c r="E30" s="154"/>
      <c r="F30" s="154"/>
      <c r="G30" s="154"/>
      <c r="H30" s="154"/>
      <c r="K30" s="122"/>
      <c r="L30" s="162"/>
      <c r="M30" s="154"/>
    </row>
    <row r="31" spans="2:13">
      <c r="B31" s="123"/>
      <c r="C31" s="154"/>
      <c r="D31" s="154"/>
      <c r="E31" s="154"/>
      <c r="F31" s="154"/>
      <c r="G31" s="154"/>
      <c r="H31" s="154"/>
      <c r="I31" s="154"/>
      <c r="J31" s="154"/>
      <c r="K31" s="161"/>
      <c r="L31" s="162"/>
      <c r="M31" s="154"/>
    </row>
    <row r="32" spans="2:13" ht="16.5">
      <c r="B32" s="123"/>
      <c r="C32" s="361" t="s">
        <v>703</v>
      </c>
      <c r="D32" s="154"/>
      <c r="E32" s="154"/>
      <c r="F32" s="154"/>
      <c r="G32" s="154"/>
      <c r="H32" s="154"/>
      <c r="I32" s="154"/>
      <c r="J32" s="154"/>
      <c r="K32" s="161"/>
      <c r="L32" s="162"/>
      <c r="M32" s="154"/>
    </row>
    <row r="33" spans="2:13">
      <c r="B33" s="123"/>
      <c r="C33" s="154"/>
      <c r="D33" s="154"/>
      <c r="E33" s="154"/>
      <c r="F33" s="154"/>
      <c r="G33" s="154"/>
      <c r="H33" s="154"/>
      <c r="I33" s="154"/>
      <c r="J33" s="154"/>
      <c r="K33" s="161"/>
      <c r="L33" s="162"/>
      <c r="M33" s="154"/>
    </row>
    <row r="34" spans="2:13">
      <c r="B34" s="123"/>
      <c r="C34" s="169" t="s">
        <v>542</v>
      </c>
      <c r="D34" s="169"/>
      <c r="E34" s="154"/>
      <c r="F34" s="154"/>
      <c r="G34" s="154"/>
      <c r="H34" s="154"/>
      <c r="I34" s="154"/>
      <c r="J34" s="154"/>
      <c r="K34" s="161"/>
      <c r="L34" s="162"/>
      <c r="M34" s="154"/>
    </row>
    <row r="35" spans="2:13">
      <c r="B35" s="123"/>
      <c r="C35" s="169" t="s">
        <v>543</v>
      </c>
      <c r="D35" s="169" t="s">
        <v>545</v>
      </c>
      <c r="E35" s="154"/>
      <c r="F35" s="154"/>
      <c r="G35" s="154"/>
      <c r="H35" s="154"/>
      <c r="I35" s="154"/>
      <c r="J35" s="154"/>
      <c r="K35" s="161"/>
      <c r="L35" s="162"/>
      <c r="M35" s="154"/>
    </row>
    <row r="36" spans="2:13">
      <c r="B36" s="123"/>
      <c r="C36" s="169" t="s">
        <v>544</v>
      </c>
      <c r="D36" s="169" t="s">
        <v>543</v>
      </c>
      <c r="E36" s="154"/>
      <c r="F36" s="154"/>
      <c r="G36" s="154"/>
      <c r="H36" s="154"/>
      <c r="I36" s="154"/>
      <c r="J36" s="154"/>
      <c r="K36" s="161"/>
      <c r="L36" s="162"/>
      <c r="M36" s="154"/>
    </row>
    <row r="37" spans="2:13" ht="15.75" thickBot="1">
      <c r="B37" s="123"/>
      <c r="C37" s="170" t="s">
        <v>545</v>
      </c>
      <c r="D37" s="170" t="s">
        <v>475</v>
      </c>
      <c r="E37" s="154"/>
      <c r="F37" s="154"/>
      <c r="G37" s="154"/>
      <c r="H37" s="154"/>
      <c r="I37" s="154"/>
      <c r="J37" s="154"/>
      <c r="K37" s="161"/>
      <c r="L37" s="162"/>
      <c r="M37" s="154"/>
    </row>
    <row r="38" spans="2:13">
      <c r="B38" s="123"/>
      <c r="C38" s="362">
        <f>'Adjustments to Data'!G18</f>
        <v>1</v>
      </c>
      <c r="D38" s="167">
        <v>65</v>
      </c>
      <c r="E38" s="154"/>
      <c r="F38" s="154"/>
      <c r="G38" s="154"/>
      <c r="H38" s="154"/>
      <c r="I38" s="154"/>
      <c r="J38" s="154"/>
      <c r="K38" s="161"/>
      <c r="L38" s="162"/>
      <c r="M38" s="154"/>
    </row>
    <row r="39" spans="2:13">
      <c r="B39" s="123"/>
      <c r="C39" s="363">
        <f>'Adjustments to Data'!G19</f>
        <v>0.38531845588158264</v>
      </c>
      <c r="D39" s="167">
        <v>86</v>
      </c>
      <c r="E39" s="154"/>
      <c r="F39" s="154"/>
      <c r="G39" s="154"/>
      <c r="H39" s="154"/>
      <c r="I39" s="154"/>
      <c r="J39" s="154"/>
      <c r="K39" s="161"/>
      <c r="L39" s="162"/>
      <c r="M39" s="154"/>
    </row>
    <row r="40" spans="2:13">
      <c r="B40" s="123"/>
      <c r="C40" s="363">
        <f>'Adjustments to Data'!G20</f>
        <v>0.16476185933209789</v>
      </c>
      <c r="D40" s="167">
        <v>111</v>
      </c>
      <c r="E40" s="154"/>
      <c r="F40" s="154"/>
      <c r="G40" s="154"/>
      <c r="H40" s="154"/>
      <c r="I40" s="154"/>
      <c r="J40" s="154"/>
      <c r="K40" s="161"/>
      <c r="L40" s="162"/>
      <c r="M40" s="154"/>
    </row>
    <row r="41" spans="2:13">
      <c r="B41" s="123"/>
      <c r="C41" s="363">
        <f>'Adjustments to Data'!G21</f>
        <v>3.8259794735183941E-2</v>
      </c>
      <c r="D41" s="167">
        <v>136</v>
      </c>
      <c r="E41" s="154"/>
      <c r="F41" s="154"/>
      <c r="G41" s="154"/>
      <c r="H41" s="154"/>
      <c r="I41" s="154"/>
      <c r="J41" s="154"/>
      <c r="K41" s="161"/>
      <c r="L41" s="162"/>
      <c r="M41" s="154"/>
    </row>
    <row r="42" spans="2:13">
      <c r="B42" s="123"/>
      <c r="C42" s="363">
        <f>'Adjustments to Data'!G22</f>
        <v>1.0077162068990064E-2</v>
      </c>
      <c r="D42" s="167">
        <v>166</v>
      </c>
      <c r="E42" s="154"/>
      <c r="F42" s="154"/>
      <c r="G42" s="154"/>
      <c r="H42" s="154"/>
      <c r="I42" s="154"/>
      <c r="J42" s="154"/>
      <c r="K42" s="161"/>
      <c r="L42" s="162"/>
      <c r="M42" s="154"/>
    </row>
    <row r="43" spans="2:13">
      <c r="B43" s="123"/>
      <c r="C43" s="363">
        <f>'Adjustments to Data'!G23</f>
        <v>7.4067240227451594E-4</v>
      </c>
      <c r="D43" s="167" t="s">
        <v>537</v>
      </c>
      <c r="E43" s="154"/>
      <c r="F43" s="154"/>
      <c r="G43" s="154"/>
      <c r="H43" s="154"/>
      <c r="I43" s="154"/>
      <c r="J43" s="154"/>
      <c r="K43" s="161"/>
      <c r="L43" s="162"/>
      <c r="M43" s="154"/>
    </row>
    <row r="44" spans="2:13">
      <c r="B44" s="123"/>
      <c r="C44" s="154"/>
      <c r="D44" s="154"/>
      <c r="E44" s="154"/>
      <c r="F44" s="154"/>
      <c r="G44" s="154"/>
      <c r="H44" s="154"/>
      <c r="I44" s="154"/>
      <c r="J44" s="154"/>
      <c r="K44" s="161"/>
      <c r="L44" s="162"/>
      <c r="M44" s="154"/>
    </row>
    <row r="45" spans="2:13" ht="15.75" thickBot="1">
      <c r="B45" s="123"/>
      <c r="C45" s="154"/>
      <c r="D45" s="154"/>
      <c r="E45" s="154"/>
      <c r="F45" s="154"/>
      <c r="G45" s="154"/>
      <c r="H45" s="154"/>
      <c r="I45" s="154"/>
      <c r="J45" s="154"/>
      <c r="K45" s="161"/>
      <c r="L45" s="162"/>
      <c r="M45" s="154"/>
    </row>
    <row r="46" spans="2:13" ht="15.75" thickTop="1">
      <c r="B46" s="123"/>
      <c r="C46" s="1161" t="s">
        <v>25</v>
      </c>
      <c r="D46" s="1170"/>
      <c r="E46" s="167"/>
      <c r="F46" s="167"/>
      <c r="G46" s="154"/>
      <c r="H46" s="154"/>
      <c r="I46" s="154"/>
      <c r="J46" s="154"/>
      <c r="K46" s="161"/>
      <c r="L46" s="162"/>
      <c r="M46" s="154"/>
    </row>
    <row r="47" spans="2:13">
      <c r="B47" s="123"/>
      <c r="C47" s="355"/>
      <c r="D47" s="381" t="s">
        <v>543</v>
      </c>
      <c r="E47" s="154"/>
      <c r="F47" s="154"/>
      <c r="G47" s="154"/>
      <c r="H47" s="154"/>
      <c r="I47" s="154"/>
      <c r="J47" s="154"/>
      <c r="K47" s="161"/>
      <c r="L47" s="162"/>
      <c r="M47" s="154"/>
    </row>
    <row r="48" spans="2:13" ht="15.75" thickBot="1">
      <c r="B48" s="123"/>
      <c r="C48" s="382" t="s">
        <v>28</v>
      </c>
      <c r="D48" s="383" t="s">
        <v>475</v>
      </c>
      <c r="E48" s="154"/>
      <c r="F48" s="154"/>
      <c r="G48" s="154"/>
      <c r="H48" s="154"/>
      <c r="I48" s="154"/>
      <c r="J48" s="154"/>
      <c r="K48" s="161"/>
      <c r="L48" s="162"/>
      <c r="M48" s="154"/>
    </row>
    <row r="49" spans="2:13">
      <c r="B49" s="123"/>
      <c r="C49" s="384">
        <f t="shared" ref="C49:C54" si="0">+$D$27*C38</f>
        <v>3.3363216412229095E-4</v>
      </c>
      <c r="D49" s="385">
        <v>65</v>
      </c>
      <c r="E49" s="154"/>
      <c r="F49" s="154"/>
      <c r="G49" s="154"/>
      <c r="H49" s="154"/>
      <c r="I49" s="154"/>
      <c r="J49" s="154"/>
      <c r="K49" s="161"/>
      <c r="L49" s="162"/>
      <c r="M49" s="154"/>
    </row>
    <row r="50" spans="2:13">
      <c r="B50" s="123"/>
      <c r="C50" s="384">
        <f t="shared" si="0"/>
        <v>1.2855463031203191E-4</v>
      </c>
      <c r="D50" s="385">
        <v>86</v>
      </c>
      <c r="E50" s="154"/>
      <c r="F50" s="154"/>
      <c r="G50" s="154"/>
      <c r="H50" s="154"/>
      <c r="I50" s="154"/>
      <c r="J50" s="154"/>
      <c r="K50" s="161"/>
      <c r="L50" s="162"/>
      <c r="M50" s="154"/>
    </row>
    <row r="51" spans="2:13">
      <c r="B51" s="123"/>
      <c r="C51" s="384">
        <f t="shared" si="0"/>
        <v>5.49698556937803E-5</v>
      </c>
      <c r="D51" s="385">
        <v>111</v>
      </c>
      <c r="E51" s="154"/>
      <c r="F51" s="154"/>
      <c r="G51" s="154"/>
      <c r="H51" s="154"/>
      <c r="I51" s="154"/>
      <c r="J51" s="154"/>
      <c r="K51" s="161"/>
      <c r="L51" s="162"/>
      <c r="M51" s="154"/>
    </row>
    <row r="52" spans="2:13">
      <c r="B52" s="123"/>
      <c r="C52" s="384">
        <f t="shared" si="0"/>
        <v>1.2764698116374053E-5</v>
      </c>
      <c r="D52" s="385">
        <v>136</v>
      </c>
      <c r="E52" s="154"/>
      <c r="F52" s="154"/>
      <c r="G52" s="154"/>
      <c r="H52" s="154"/>
      <c r="I52" s="154"/>
      <c r="J52" s="154"/>
      <c r="K52" s="161"/>
      <c r="L52" s="162"/>
      <c r="M52" s="154"/>
    </row>
    <row r="53" spans="2:13">
      <c r="B53" s="123"/>
      <c r="C53" s="384">
        <f t="shared" si="0"/>
        <v>3.3620653892882183E-6</v>
      </c>
      <c r="D53" s="385">
        <v>166</v>
      </c>
      <c r="E53" s="154"/>
      <c r="F53" s="154"/>
      <c r="G53" s="154"/>
      <c r="H53" s="154"/>
      <c r="I53" s="154"/>
      <c r="J53" s="154"/>
      <c r="K53" s="161"/>
      <c r="L53" s="162"/>
      <c r="M53" s="154"/>
    </row>
    <row r="54" spans="2:13" ht="15.75" thickBot="1">
      <c r="B54" s="123"/>
      <c r="C54" s="386">
        <f t="shared" si="0"/>
        <v>2.4711213647650279E-7</v>
      </c>
      <c r="D54" s="387">
        <v>200</v>
      </c>
      <c r="E54" s="154"/>
      <c r="F54" s="154"/>
      <c r="G54" s="154"/>
      <c r="H54" s="154"/>
      <c r="I54" s="154"/>
      <c r="J54" s="154"/>
      <c r="K54" s="161"/>
      <c r="L54" s="162"/>
      <c r="M54" s="154"/>
    </row>
    <row r="55" spans="2:13" ht="16.5" thickTop="1" thickBot="1">
      <c r="B55" s="370"/>
      <c r="C55" s="388"/>
      <c r="D55" s="388"/>
      <c r="E55" s="388"/>
      <c r="F55" s="388"/>
      <c r="G55" s="388"/>
      <c r="H55" s="388"/>
      <c r="I55" s="388"/>
      <c r="J55" s="388"/>
      <c r="K55" s="389"/>
      <c r="L55" s="123"/>
    </row>
    <row r="56" spans="2:13" s="132" customFormat="1" ht="18">
      <c r="B56" s="359"/>
      <c r="C56" s="367" t="s">
        <v>33</v>
      </c>
      <c r="D56" s="190"/>
      <c r="E56" s="190"/>
      <c r="F56" s="190"/>
      <c r="G56" s="190"/>
      <c r="H56" s="190"/>
      <c r="I56" s="190"/>
      <c r="J56" s="190"/>
      <c r="K56" s="369"/>
      <c r="L56" s="189"/>
      <c r="M56" s="190"/>
    </row>
    <row r="57" spans="2:13" ht="53.25" customHeight="1">
      <c r="B57" s="123"/>
      <c r="C57" s="1164" t="s">
        <v>85</v>
      </c>
      <c r="D57" s="1165"/>
      <c r="E57" s="1165"/>
      <c r="F57" s="1165"/>
      <c r="G57" s="1165"/>
      <c r="H57" s="1165"/>
      <c r="I57" s="1165"/>
      <c r="J57" s="1165"/>
      <c r="K57" s="1166"/>
      <c r="L57" s="168"/>
      <c r="M57" s="180"/>
    </row>
    <row r="58" spans="2:13">
      <c r="B58" s="123"/>
      <c r="C58" s="154"/>
      <c r="D58" s="154"/>
      <c r="E58" s="154"/>
      <c r="F58" s="154"/>
      <c r="G58" s="154"/>
      <c r="H58" s="154"/>
      <c r="I58" s="154"/>
      <c r="J58" s="154"/>
      <c r="K58" s="161"/>
      <c r="L58" s="162"/>
      <c r="M58" s="154"/>
    </row>
    <row r="59" spans="2:13" ht="16.5">
      <c r="B59" s="123"/>
      <c r="C59" s="165" t="s">
        <v>573</v>
      </c>
      <c r="D59" s="154"/>
      <c r="E59" s="154"/>
      <c r="F59" s="154"/>
      <c r="G59" s="154"/>
      <c r="H59" s="154"/>
      <c r="I59" s="154"/>
      <c r="J59" s="154"/>
      <c r="K59" s="161"/>
      <c r="L59" s="162"/>
      <c r="M59" s="154"/>
    </row>
    <row r="60" spans="2:13">
      <c r="B60" s="123"/>
      <c r="C60" s="154"/>
      <c r="D60" s="154"/>
      <c r="E60" s="154"/>
      <c r="F60" s="154"/>
      <c r="G60" s="154"/>
      <c r="H60" s="154"/>
      <c r="I60" s="154"/>
      <c r="J60" s="154"/>
      <c r="K60" s="161"/>
      <c r="L60" s="162"/>
      <c r="M60" s="154"/>
    </row>
    <row r="61" spans="2:13">
      <c r="B61" s="123"/>
      <c r="C61" s="377" t="s">
        <v>31</v>
      </c>
      <c r="D61" s="154"/>
      <c r="E61" s="154"/>
      <c r="F61" s="154"/>
      <c r="G61" s="154"/>
      <c r="H61" s="154"/>
      <c r="I61" s="154"/>
      <c r="J61" s="154"/>
      <c r="K61" s="161"/>
      <c r="L61" s="162"/>
      <c r="M61" s="154"/>
    </row>
    <row r="62" spans="2:13">
      <c r="B62" s="123"/>
      <c r="C62" s="154"/>
      <c r="D62" s="154"/>
      <c r="E62" s="154"/>
      <c r="F62" s="154"/>
      <c r="G62" s="154"/>
      <c r="H62" s="154"/>
      <c r="I62" s="154"/>
      <c r="J62" s="154"/>
      <c r="K62" s="161"/>
      <c r="L62" s="162"/>
      <c r="M62" s="154"/>
    </row>
    <row r="63" spans="2:13" s="1" customFormat="1" ht="16.5">
      <c r="B63" s="55"/>
      <c r="C63" s="165" t="s">
        <v>574</v>
      </c>
      <c r="D63" s="154"/>
      <c r="E63" s="154"/>
      <c r="F63" s="154"/>
      <c r="G63" s="155"/>
      <c r="H63" s="154"/>
      <c r="I63" s="154"/>
      <c r="J63" s="155"/>
      <c r="K63" s="161"/>
      <c r="L63" s="162"/>
      <c r="M63" s="154"/>
    </row>
    <row r="64" spans="2:13" ht="16.5">
      <c r="B64" s="123"/>
      <c r="C64" s="360" t="s">
        <v>22</v>
      </c>
      <c r="D64" s="164" t="s">
        <v>575</v>
      </c>
      <c r="E64" s="154"/>
      <c r="F64" s="154"/>
      <c r="G64" s="154"/>
      <c r="H64" s="154"/>
      <c r="I64" s="154"/>
      <c r="J64" s="154"/>
      <c r="K64" s="161"/>
      <c r="L64" s="162"/>
      <c r="M64" s="154"/>
    </row>
    <row r="65" spans="2:13" ht="16.5">
      <c r="B65" s="123"/>
      <c r="C65" s="154"/>
      <c r="D65" s="165" t="s">
        <v>576</v>
      </c>
      <c r="E65" s="154"/>
      <c r="F65" s="154"/>
      <c r="G65" s="154"/>
      <c r="H65" s="154"/>
      <c r="I65" s="154"/>
      <c r="J65" s="154"/>
      <c r="K65" s="161"/>
      <c r="L65" s="162"/>
      <c r="M65" s="154"/>
    </row>
    <row r="66" spans="2:13">
      <c r="B66" s="123"/>
      <c r="C66" s="155"/>
      <c r="D66" s="166"/>
      <c r="E66" s="154"/>
      <c r="F66" s="154"/>
      <c r="G66" s="154"/>
      <c r="H66" s="154"/>
      <c r="I66" s="154"/>
      <c r="J66" s="154"/>
      <c r="K66" s="161"/>
      <c r="L66" s="162"/>
      <c r="M66" s="154"/>
    </row>
    <row r="67" spans="2:13">
      <c r="B67" s="123"/>
      <c r="C67" s="154"/>
      <c r="D67" s="154"/>
      <c r="E67" s="154"/>
      <c r="F67" s="154"/>
      <c r="G67" s="154"/>
      <c r="H67" s="154"/>
      <c r="I67" s="154"/>
      <c r="J67" s="154"/>
      <c r="K67" s="161"/>
      <c r="L67" s="162"/>
      <c r="M67" s="154"/>
    </row>
    <row r="68" spans="2:13" ht="16.5">
      <c r="B68" s="123"/>
      <c r="C68" s="358" t="s">
        <v>570</v>
      </c>
      <c r="D68" s="155">
        <f>+F8</f>
        <v>26387</v>
      </c>
      <c r="E68" s="378" t="s">
        <v>706</v>
      </c>
      <c r="F68" s="154"/>
      <c r="G68" s="154"/>
      <c r="H68" s="154"/>
      <c r="I68" s="175"/>
      <c r="J68" s="175"/>
      <c r="K68" s="176"/>
      <c r="L68" s="187"/>
      <c r="M68" s="175"/>
    </row>
    <row r="69" spans="2:13">
      <c r="B69" s="123"/>
      <c r="C69" s="358" t="s">
        <v>26</v>
      </c>
      <c r="D69" s="154">
        <f>+D24</f>
        <v>73</v>
      </c>
      <c r="E69" s="379" t="s">
        <v>86</v>
      </c>
      <c r="F69" s="159"/>
      <c r="G69" s="167"/>
      <c r="H69" s="154"/>
      <c r="I69" s="175"/>
      <c r="J69" s="175"/>
      <c r="K69" s="176"/>
      <c r="L69" s="187"/>
      <c r="M69" s="175"/>
    </row>
    <row r="70" spans="2:13" ht="16.5">
      <c r="B70" s="123"/>
      <c r="C70" s="358" t="s">
        <v>577</v>
      </c>
      <c r="D70" s="277">
        <v>200</v>
      </c>
      <c r="E70" s="396" t="s">
        <v>3</v>
      </c>
      <c r="F70" s="361" t="s">
        <v>707</v>
      </c>
      <c r="G70" s="277"/>
      <c r="H70" s="154"/>
      <c r="I70" s="175"/>
      <c r="J70" s="175"/>
      <c r="K70" s="176"/>
      <c r="L70" s="187"/>
      <c r="M70" s="175"/>
    </row>
    <row r="71" spans="2:13" ht="16.5">
      <c r="B71" s="123"/>
      <c r="C71" s="358" t="s">
        <v>577</v>
      </c>
      <c r="D71" s="394">
        <f>+D70/5280</f>
        <v>3.787878787878788E-2</v>
      </c>
      <c r="E71" s="378" t="s">
        <v>87</v>
      </c>
      <c r="F71" s="361" t="s">
        <v>707</v>
      </c>
      <c r="G71" s="277"/>
      <c r="H71" s="154"/>
      <c r="I71" s="175"/>
      <c r="J71" s="175"/>
      <c r="K71" s="176"/>
      <c r="L71" s="187"/>
      <c r="M71" s="175"/>
    </row>
    <row r="72" spans="2:13" ht="16.5">
      <c r="B72" s="123"/>
      <c r="C72" s="358" t="s">
        <v>578</v>
      </c>
      <c r="D72" s="154">
        <f>SUM('Database - Tornado Segments'!J8:J2008)</f>
        <v>3069.8299999999913</v>
      </c>
      <c r="E72" s="395" t="s">
        <v>87</v>
      </c>
      <c r="F72" s="154"/>
      <c r="G72" s="154"/>
      <c r="H72" s="154"/>
      <c r="I72" s="175"/>
      <c r="J72" s="175"/>
      <c r="K72" s="176"/>
      <c r="L72" s="187"/>
      <c r="M72" s="175"/>
    </row>
    <row r="73" spans="2:13">
      <c r="B73" s="123"/>
      <c r="C73" s="358"/>
      <c r="D73" s="163"/>
      <c r="E73" s="154"/>
      <c r="F73" s="154"/>
      <c r="G73" s="154"/>
      <c r="H73" s="154"/>
      <c r="I73" s="175"/>
      <c r="J73" s="175"/>
      <c r="K73" s="176"/>
      <c r="L73" s="187"/>
      <c r="M73" s="175"/>
    </row>
    <row r="74" spans="2:13" ht="16.5">
      <c r="B74" s="123"/>
      <c r="C74" s="358" t="s">
        <v>579</v>
      </c>
      <c r="D74" s="154">
        <f>+(D71*D72)/(D68*D69)</f>
        <v>6.0366712019326173E-5</v>
      </c>
      <c r="E74" s="154"/>
      <c r="F74" s="277" t="s">
        <v>702</v>
      </c>
      <c r="G74" s="154"/>
      <c r="H74" s="154"/>
      <c r="I74" s="154"/>
      <c r="J74" s="154"/>
      <c r="K74" s="161"/>
      <c r="L74" s="162"/>
      <c r="M74" s="154"/>
    </row>
    <row r="75" spans="2:13">
      <c r="B75" s="123"/>
      <c r="C75" s="154"/>
      <c r="D75" s="154"/>
      <c r="E75" s="154"/>
      <c r="F75" s="154"/>
      <c r="G75" s="154"/>
      <c r="H75" s="154"/>
      <c r="I75" s="154"/>
      <c r="J75" s="154"/>
      <c r="K75" s="161"/>
      <c r="L75" s="162"/>
      <c r="M75" s="154"/>
    </row>
    <row r="76" spans="2:13">
      <c r="B76" s="123"/>
      <c r="C76" s="154"/>
      <c r="D76" s="154"/>
      <c r="E76" s="154"/>
      <c r="F76" s="154"/>
      <c r="G76" s="154"/>
      <c r="H76" s="154"/>
      <c r="I76" s="154"/>
      <c r="J76" s="154"/>
      <c r="K76" s="161"/>
      <c r="L76" s="162"/>
      <c r="M76" s="154"/>
    </row>
    <row r="77" spans="2:13">
      <c r="B77" s="123"/>
      <c r="C77" s="377" t="s">
        <v>32</v>
      </c>
      <c r="D77" s="154"/>
      <c r="E77" s="154"/>
      <c r="F77" s="154"/>
      <c r="G77" s="154"/>
      <c r="H77" s="154"/>
      <c r="I77" s="154"/>
      <c r="J77" s="154"/>
      <c r="K77" s="161"/>
      <c r="L77" s="162"/>
      <c r="M77" s="154"/>
    </row>
    <row r="78" spans="2:13">
      <c r="B78" s="123"/>
      <c r="C78" s="154"/>
      <c r="D78" s="154"/>
      <c r="E78" s="154"/>
      <c r="F78" s="154"/>
      <c r="G78" s="154"/>
      <c r="H78" s="154"/>
      <c r="I78" s="154"/>
      <c r="J78" s="154"/>
      <c r="K78" s="161"/>
      <c r="L78" s="162"/>
      <c r="M78" s="154"/>
    </row>
    <row r="79" spans="2:13" ht="16.5">
      <c r="B79" s="123"/>
      <c r="C79" s="165" t="s">
        <v>580</v>
      </c>
      <c r="D79" s="154"/>
      <c r="E79" s="154"/>
      <c r="F79" s="154"/>
      <c r="G79" s="154"/>
      <c r="H79" s="154"/>
      <c r="I79" s="154"/>
      <c r="J79" s="154"/>
      <c r="K79" s="161"/>
      <c r="L79" s="162"/>
      <c r="M79" s="154"/>
    </row>
    <row r="80" spans="2:13" ht="16.5">
      <c r="B80" s="123"/>
      <c r="C80" s="360" t="s">
        <v>22</v>
      </c>
      <c r="D80" s="154" t="s">
        <v>581</v>
      </c>
      <c r="E80" s="154"/>
      <c r="F80" s="154"/>
      <c r="G80" s="154"/>
      <c r="H80" s="154"/>
      <c r="I80" s="154"/>
      <c r="J80" s="154"/>
      <c r="K80" s="161"/>
      <c r="L80" s="162"/>
      <c r="M80" s="154"/>
    </row>
    <row r="81" spans="2:13">
      <c r="B81" s="123"/>
      <c r="C81" s="360"/>
      <c r="D81" s="154"/>
      <c r="E81" s="154"/>
      <c r="F81" s="154"/>
      <c r="G81" s="154"/>
      <c r="H81" s="154"/>
      <c r="I81" s="154"/>
      <c r="J81" s="154"/>
      <c r="K81" s="161"/>
      <c r="L81" s="162"/>
      <c r="M81" s="154"/>
    </row>
    <row r="82" spans="2:13">
      <c r="B82" s="123"/>
      <c r="C82" s="154"/>
      <c r="D82" s="154"/>
      <c r="E82" s="154"/>
      <c r="F82" s="169" t="s">
        <v>542</v>
      </c>
      <c r="G82" s="154"/>
      <c r="H82" s="154"/>
      <c r="I82" s="154"/>
      <c r="J82" s="154"/>
      <c r="K82" s="161"/>
      <c r="L82" s="162"/>
      <c r="M82" s="154"/>
    </row>
    <row r="83" spans="2:13">
      <c r="B83" s="123"/>
      <c r="C83" s="167" t="s">
        <v>132</v>
      </c>
      <c r="D83" s="169" t="s">
        <v>545</v>
      </c>
      <c r="E83" s="154"/>
      <c r="F83" s="169" t="s">
        <v>89</v>
      </c>
      <c r="G83" s="154"/>
      <c r="H83" s="154"/>
      <c r="I83" s="154"/>
      <c r="J83" s="154"/>
      <c r="K83" s="161"/>
      <c r="L83" s="162"/>
      <c r="M83" s="154"/>
    </row>
    <row r="84" spans="2:13">
      <c r="B84" s="123"/>
      <c r="C84" s="365" t="s">
        <v>704</v>
      </c>
      <c r="D84" s="169" t="s">
        <v>543</v>
      </c>
      <c r="E84" s="154"/>
      <c r="F84" s="169" t="s">
        <v>544</v>
      </c>
      <c r="G84" s="154"/>
      <c r="H84" s="154"/>
      <c r="I84" s="154"/>
      <c r="J84" s="154"/>
      <c r="K84" s="161"/>
      <c r="L84" s="162"/>
      <c r="M84" s="154"/>
    </row>
    <row r="85" spans="2:13" ht="15.75" thickBot="1">
      <c r="B85" s="123"/>
      <c r="C85" s="364" t="s">
        <v>88</v>
      </c>
      <c r="D85" s="170" t="s">
        <v>475</v>
      </c>
      <c r="E85" s="177"/>
      <c r="F85" s="170" t="s">
        <v>545</v>
      </c>
      <c r="G85" s="154"/>
      <c r="H85" s="154"/>
      <c r="I85" s="154"/>
      <c r="J85" s="154"/>
      <c r="K85" s="161"/>
      <c r="L85" s="162"/>
      <c r="M85" s="154"/>
    </row>
    <row r="86" spans="2:13">
      <c r="B86" s="123"/>
      <c r="C86" s="366">
        <f>SUM('F0 - EF0'!G7:G1201)+C87</f>
        <v>3097.5200000000027</v>
      </c>
      <c r="D86" s="167">
        <v>65</v>
      </c>
      <c r="E86" s="154"/>
      <c r="F86" s="163">
        <f t="shared" ref="F86:F91" si="1">+C86/$C$86</f>
        <v>1</v>
      </c>
      <c r="G86" s="154"/>
      <c r="H86" s="154"/>
      <c r="I86" s="154"/>
      <c r="J86" s="154"/>
      <c r="K86" s="161"/>
      <c r="L86" s="162"/>
      <c r="M86" s="154"/>
    </row>
    <row r="87" spans="2:13">
      <c r="B87" s="123"/>
      <c r="C87" s="154">
        <f>SUM('F1 - EF1'!G7:G350)+C88</f>
        <v>2213.4899999999998</v>
      </c>
      <c r="D87" s="167">
        <v>86</v>
      </c>
      <c r="E87" s="154"/>
      <c r="F87" s="163">
        <f t="shared" si="1"/>
        <v>0.71460071282832649</v>
      </c>
      <c r="G87" s="154"/>
      <c r="H87" s="154"/>
      <c r="I87" s="154"/>
      <c r="J87" s="154"/>
      <c r="K87" s="161"/>
      <c r="L87" s="162"/>
      <c r="M87" s="154"/>
    </row>
    <row r="88" spans="2:13">
      <c r="B88" s="123"/>
      <c r="C88" s="154">
        <f>SUM('F2 - EF2'!G7:G200)+C89</f>
        <v>1332.8999999999996</v>
      </c>
      <c r="D88" s="167">
        <v>111</v>
      </c>
      <c r="E88" s="154"/>
      <c r="F88" s="163">
        <f t="shared" si="1"/>
        <v>0.43031199152870636</v>
      </c>
      <c r="G88" s="154"/>
      <c r="H88" s="154"/>
      <c r="I88" s="154"/>
      <c r="J88" s="154"/>
      <c r="K88" s="161"/>
      <c r="L88" s="162"/>
      <c r="M88" s="154"/>
    </row>
    <row r="89" spans="2:13">
      <c r="B89" s="123"/>
      <c r="C89" s="154">
        <f>SUM('F3 - EF3'!G7:G101)+C90</f>
        <v>679.79</v>
      </c>
      <c r="D89" s="167">
        <v>136</v>
      </c>
      <c r="E89" s="154"/>
      <c r="F89" s="163">
        <f t="shared" si="1"/>
        <v>0.21946266690771951</v>
      </c>
      <c r="G89" s="154"/>
      <c r="H89" s="154"/>
      <c r="I89" s="154"/>
      <c r="J89" s="154"/>
      <c r="K89" s="161"/>
      <c r="L89" s="162"/>
      <c r="M89" s="154"/>
    </row>
    <row r="90" spans="2:13">
      <c r="B90" s="123"/>
      <c r="C90" s="154">
        <f>SUM('F4 - EF4'!G7:G49)+C91</f>
        <v>329.5</v>
      </c>
      <c r="D90" s="167">
        <v>166</v>
      </c>
      <c r="E90" s="154"/>
      <c r="F90" s="163">
        <f t="shared" si="1"/>
        <v>0.10637542291898025</v>
      </c>
      <c r="G90" s="154"/>
      <c r="H90" s="154"/>
      <c r="I90" s="154"/>
      <c r="J90" s="154"/>
      <c r="K90" s="161"/>
      <c r="L90" s="162"/>
      <c r="M90" s="154"/>
    </row>
    <row r="91" spans="2:13">
      <c r="B91" s="123"/>
      <c r="C91" s="154">
        <f>SUM('EF5'!G7:G20)</f>
        <v>35</v>
      </c>
      <c r="D91" s="167" t="s">
        <v>537</v>
      </c>
      <c r="E91" s="154"/>
      <c r="F91" s="163">
        <f t="shared" si="1"/>
        <v>1.1299362070301392E-2</v>
      </c>
      <c r="G91" s="154"/>
      <c r="H91" s="154"/>
      <c r="I91" s="154"/>
      <c r="J91" s="154"/>
      <c r="K91" s="161"/>
      <c r="L91" s="162"/>
      <c r="M91" s="154"/>
    </row>
    <row r="92" spans="2:13">
      <c r="B92" s="123"/>
      <c r="C92" s="154"/>
      <c r="D92" s="167"/>
      <c r="E92" s="154"/>
      <c r="F92" s="163"/>
      <c r="G92" s="154"/>
      <c r="H92" s="154"/>
      <c r="I92" s="154"/>
      <c r="J92" s="154"/>
      <c r="K92" s="161"/>
      <c r="L92" s="162"/>
      <c r="M92" s="154"/>
    </row>
    <row r="93" spans="2:13">
      <c r="B93" s="123"/>
      <c r="C93" s="277" t="s">
        <v>771</v>
      </c>
      <c r="D93" s="154"/>
      <c r="E93" s="154"/>
      <c r="F93" s="154"/>
      <c r="G93" s="154"/>
      <c r="H93" s="154"/>
      <c r="I93" s="154"/>
      <c r="J93" s="154"/>
      <c r="K93" s="161"/>
      <c r="L93" s="162"/>
      <c r="M93" s="154"/>
    </row>
    <row r="94" spans="2:13" ht="15.75" thickBot="1">
      <c r="B94" s="123"/>
      <c r="C94" s="154"/>
      <c r="D94" s="154"/>
      <c r="E94" s="154"/>
      <c r="F94" s="154"/>
      <c r="G94" s="154"/>
      <c r="H94" s="154"/>
      <c r="I94" s="154"/>
      <c r="J94" s="154"/>
      <c r="K94" s="161"/>
      <c r="L94" s="162"/>
      <c r="M94" s="154"/>
    </row>
    <row r="95" spans="2:13" ht="15.75" thickTop="1">
      <c r="B95" s="123"/>
      <c r="C95" s="1161" t="s">
        <v>29</v>
      </c>
      <c r="D95" s="1162"/>
      <c r="E95" s="1163"/>
      <c r="F95" s="167"/>
      <c r="G95" s="154"/>
      <c r="H95" s="154"/>
      <c r="I95" s="154"/>
      <c r="J95" s="154"/>
      <c r="K95" s="161"/>
      <c r="L95" s="162"/>
      <c r="M95" s="154"/>
    </row>
    <row r="96" spans="2:13">
      <c r="B96" s="123"/>
      <c r="C96" s="355"/>
      <c r="D96" s="169" t="s">
        <v>543</v>
      </c>
      <c r="E96" s="171"/>
      <c r="F96" s="154"/>
      <c r="G96" s="154"/>
      <c r="H96" s="154"/>
      <c r="I96" s="154"/>
      <c r="J96" s="154"/>
      <c r="K96" s="161"/>
      <c r="L96" s="162"/>
      <c r="M96" s="154"/>
    </row>
    <row r="97" spans="2:13" ht="15.75" thickBot="1">
      <c r="B97" s="123"/>
      <c r="C97" s="382" t="s">
        <v>28</v>
      </c>
      <c r="D97" s="170" t="s">
        <v>475</v>
      </c>
      <c r="E97" s="172"/>
      <c r="F97" s="154"/>
      <c r="G97" s="154"/>
      <c r="H97" s="154"/>
      <c r="I97" s="154"/>
      <c r="J97" s="154"/>
      <c r="K97" s="161"/>
      <c r="L97" s="162"/>
      <c r="M97" s="154"/>
    </row>
    <row r="98" spans="2:13">
      <c r="B98" s="123"/>
      <c r="C98" s="384">
        <f t="shared" ref="C98:C103" si="2">+$D$74*F86</f>
        <v>6.0366712019326173E-5</v>
      </c>
      <c r="D98" s="167">
        <v>65</v>
      </c>
      <c r="E98" s="171"/>
      <c r="F98" s="154"/>
      <c r="G98" s="154"/>
      <c r="H98" s="154"/>
      <c r="I98" s="154"/>
      <c r="J98" s="154"/>
      <c r="K98" s="161"/>
      <c r="L98" s="162"/>
      <c r="M98" s="154"/>
    </row>
    <row r="99" spans="2:13">
      <c r="B99" s="123"/>
      <c r="C99" s="384">
        <f t="shared" si="2"/>
        <v>4.3138095440112789E-5</v>
      </c>
      <c r="D99" s="167">
        <v>86</v>
      </c>
      <c r="E99" s="171"/>
      <c r="F99" s="154"/>
      <c r="G99" s="154"/>
      <c r="H99" s="154"/>
      <c r="I99" s="154"/>
      <c r="J99" s="154"/>
      <c r="K99" s="161"/>
      <c r="L99" s="162"/>
      <c r="M99" s="154"/>
    </row>
    <row r="100" spans="2:13">
      <c r="B100" s="123"/>
      <c r="C100" s="384">
        <f t="shared" si="2"/>
        <v>2.597652007107614E-5</v>
      </c>
      <c r="D100" s="167">
        <v>111</v>
      </c>
      <c r="E100" s="171"/>
      <c r="F100" s="154"/>
      <c r="G100" s="154"/>
      <c r="H100" s="154"/>
      <c r="I100" s="154"/>
      <c r="J100" s="154"/>
      <c r="K100" s="161"/>
      <c r="L100" s="162"/>
      <c r="M100" s="154"/>
    </row>
    <row r="101" spans="2:13">
      <c r="B101" s="123"/>
      <c r="C101" s="384">
        <f t="shared" si="2"/>
        <v>1.3248239612211607E-5</v>
      </c>
      <c r="D101" s="167">
        <v>136</v>
      </c>
      <c r="E101" s="171"/>
      <c r="F101" s="154"/>
      <c r="G101" s="154"/>
      <c r="H101" s="154"/>
      <c r="I101" s="154"/>
      <c r="J101" s="154"/>
      <c r="K101" s="161"/>
      <c r="L101" s="162"/>
      <c r="M101" s="154"/>
    </row>
    <row r="102" spans="2:13">
      <c r="B102" s="123"/>
      <c r="C102" s="384">
        <f t="shared" si="2"/>
        <v>6.4215345212841097E-6</v>
      </c>
      <c r="D102" s="167">
        <v>166</v>
      </c>
      <c r="E102" s="171"/>
      <c r="F102" s="154"/>
      <c r="G102" s="154"/>
      <c r="H102" s="154"/>
      <c r="I102" s="154"/>
      <c r="J102" s="154"/>
      <c r="K102" s="161"/>
      <c r="L102" s="162"/>
      <c r="M102" s="154"/>
    </row>
    <row r="103" spans="2:13" ht="15.75" thickBot="1">
      <c r="B103" s="123"/>
      <c r="C103" s="386">
        <f t="shared" si="2"/>
        <v>6.8210533609998131E-7</v>
      </c>
      <c r="D103" s="173">
        <v>200</v>
      </c>
      <c r="E103" s="174"/>
      <c r="F103" s="154"/>
      <c r="G103" s="154"/>
      <c r="H103" s="154"/>
      <c r="I103" s="154"/>
      <c r="J103" s="154"/>
      <c r="K103" s="161"/>
      <c r="L103" s="162"/>
      <c r="M103" s="154"/>
    </row>
    <row r="104" spans="2:13" ht="16.5" thickTop="1" thickBot="1">
      <c r="B104" s="370"/>
      <c r="C104" s="390"/>
      <c r="D104" s="390"/>
      <c r="E104" s="390"/>
      <c r="F104" s="390"/>
      <c r="G104" s="390"/>
      <c r="H104" s="390"/>
      <c r="I104" s="390"/>
      <c r="J104" s="390"/>
      <c r="K104" s="391"/>
      <c r="L104" s="162"/>
      <c r="M104" s="154"/>
    </row>
    <row r="105" spans="2:13" ht="20.25">
      <c r="B105" s="123"/>
      <c r="C105" s="367" t="s">
        <v>34</v>
      </c>
      <c r="D105" s="128"/>
      <c r="E105" s="128"/>
      <c r="F105" s="128"/>
      <c r="G105" s="128"/>
      <c r="H105" s="128"/>
      <c r="I105" s="129"/>
      <c r="J105" s="129"/>
      <c r="K105" s="130"/>
      <c r="L105" s="188"/>
      <c r="M105" s="128"/>
    </row>
    <row r="106" spans="2:13" ht="30" customHeight="1">
      <c r="B106" s="123"/>
      <c r="C106" s="1164" t="s">
        <v>24</v>
      </c>
      <c r="D106" s="1165"/>
      <c r="E106" s="1165"/>
      <c r="F106" s="1165"/>
      <c r="G106" s="1165"/>
      <c r="H106" s="1165"/>
      <c r="I106" s="1165"/>
      <c r="J106" s="1165"/>
      <c r="K106" s="1166"/>
      <c r="L106" s="168"/>
      <c r="M106" s="180"/>
    </row>
    <row r="107" spans="2:13">
      <c r="B107" s="123"/>
      <c r="C107" s="159"/>
      <c r="D107" s="159"/>
      <c r="E107" s="159"/>
      <c r="F107" s="159"/>
      <c r="G107" s="159"/>
      <c r="H107" s="159"/>
      <c r="I107" s="178"/>
      <c r="J107" s="178"/>
      <c r="K107" s="160"/>
      <c r="L107" s="157"/>
      <c r="M107" s="159"/>
    </row>
    <row r="108" spans="2:13" ht="16.5">
      <c r="B108" s="123"/>
      <c r="C108" s="165" t="s">
        <v>582</v>
      </c>
      <c r="D108" s="159"/>
      <c r="E108" s="159"/>
      <c r="F108" s="159"/>
      <c r="G108" s="159"/>
      <c r="H108" s="154"/>
      <c r="I108" s="154"/>
      <c r="J108" s="178"/>
      <c r="K108" s="160"/>
      <c r="L108" s="157"/>
      <c r="M108" s="159"/>
    </row>
    <row r="109" spans="2:13" ht="15.75" thickBot="1">
      <c r="B109" s="123"/>
      <c r="C109" s="154"/>
      <c r="D109" s="154"/>
      <c r="E109" s="154"/>
      <c r="F109" s="154"/>
      <c r="G109" s="154"/>
      <c r="H109" s="277"/>
      <c r="I109" s="277"/>
      <c r="J109" s="154"/>
      <c r="K109" s="161"/>
      <c r="L109" s="162"/>
      <c r="M109" s="154"/>
    </row>
    <row r="110" spans="2:13" ht="16.5" thickTop="1" thickBot="1">
      <c r="B110" s="123"/>
      <c r="C110" s="571" t="s">
        <v>543</v>
      </c>
      <c r="D110" s="572" t="s">
        <v>190</v>
      </c>
      <c r="E110" s="154"/>
      <c r="G110" s="154"/>
      <c r="H110" s="154"/>
      <c r="I110" s="154"/>
      <c r="J110" s="154"/>
      <c r="K110" s="161"/>
      <c r="L110" s="162"/>
      <c r="M110" s="154"/>
    </row>
    <row r="111" spans="2:13" ht="16.5" customHeight="1" thickTop="1" thickBot="1">
      <c r="B111" s="123"/>
      <c r="C111" s="573" t="s">
        <v>475</v>
      </c>
      <c r="D111" s="574" t="s">
        <v>28</v>
      </c>
      <c r="E111" s="154"/>
      <c r="G111" s="584" t="s">
        <v>904</v>
      </c>
      <c r="H111" s="585" t="s">
        <v>28</v>
      </c>
      <c r="I111" s="1171" t="s">
        <v>1476</v>
      </c>
      <c r="J111" s="1172"/>
      <c r="K111" s="1173"/>
      <c r="L111" s="154"/>
      <c r="M111" s="154"/>
    </row>
    <row r="112" spans="2:13">
      <c r="B112" s="123"/>
      <c r="C112" s="575">
        <v>65</v>
      </c>
      <c r="D112" s="576">
        <f t="shared" ref="D112:D117" si="3">+C49+C98</f>
        <v>3.9399887614161711E-4</v>
      </c>
      <c r="E112" s="154"/>
      <c r="F112" s="167"/>
      <c r="G112" s="670">
        <v>145.76</v>
      </c>
      <c r="H112" s="570">
        <v>2.0000000000000002E-5</v>
      </c>
      <c r="I112" s="1174"/>
      <c r="J112" s="1175"/>
      <c r="K112" s="1176"/>
      <c r="L112" s="154"/>
      <c r="M112" s="154"/>
    </row>
    <row r="113" spans="2:13">
      <c r="B113" s="123"/>
      <c r="C113" s="575">
        <v>86</v>
      </c>
      <c r="D113" s="577">
        <f t="shared" si="3"/>
        <v>1.716927257521447E-4</v>
      </c>
      <c r="E113" s="154"/>
      <c r="F113" s="167"/>
      <c r="G113" s="580"/>
      <c r="H113" s="397"/>
      <c r="I113" s="1174"/>
      <c r="J113" s="1175"/>
      <c r="K113" s="1176"/>
      <c r="L113" s="154"/>
      <c r="M113" s="154"/>
    </row>
    <row r="114" spans="2:13" ht="15.75" thickBot="1">
      <c r="B114" s="123"/>
      <c r="C114" s="575">
        <v>111</v>
      </c>
      <c r="D114" s="577">
        <f t="shared" si="3"/>
        <v>8.094637576485644E-5</v>
      </c>
      <c r="E114" s="154"/>
      <c r="F114" s="167"/>
      <c r="G114" s="669">
        <v>195.03</v>
      </c>
      <c r="H114" s="581">
        <v>1.9999999999999999E-6</v>
      </c>
      <c r="I114" s="1177"/>
      <c r="J114" s="1178"/>
      <c r="K114" s="1179"/>
      <c r="L114" s="154"/>
      <c r="M114" s="154"/>
    </row>
    <row r="115" spans="2:13" ht="15.75" customHeight="1" thickTop="1">
      <c r="B115" s="123"/>
      <c r="C115" s="575">
        <v>136</v>
      </c>
      <c r="D115" s="577">
        <f t="shared" si="3"/>
        <v>2.601293772858566E-5</v>
      </c>
      <c r="E115" s="154"/>
      <c r="F115" s="167"/>
      <c r="G115" s="1152" t="s">
        <v>1497</v>
      </c>
      <c r="H115" s="1152"/>
      <c r="I115" s="1152"/>
      <c r="J115" s="1152"/>
      <c r="K115" s="1153"/>
      <c r="L115" s="162"/>
      <c r="M115" s="154"/>
    </row>
    <row r="116" spans="2:13">
      <c r="B116" s="123"/>
      <c r="C116" s="575">
        <v>166</v>
      </c>
      <c r="D116" s="577">
        <f t="shared" si="3"/>
        <v>9.7835999105723271E-6</v>
      </c>
      <c r="E116" s="154"/>
      <c r="F116" s="167"/>
      <c r="G116" s="1154"/>
      <c r="H116" s="1154"/>
      <c r="I116" s="1154"/>
      <c r="J116" s="1154"/>
      <c r="K116" s="1155"/>
      <c r="L116" s="162"/>
      <c r="M116" s="154"/>
    </row>
    <row r="117" spans="2:13" ht="15.75" thickBot="1">
      <c r="B117" s="123"/>
      <c r="C117" s="578">
        <v>200</v>
      </c>
      <c r="D117" s="579">
        <f t="shared" si="3"/>
        <v>9.2921747257648405E-7</v>
      </c>
      <c r="E117" s="155"/>
      <c r="F117" s="167"/>
      <c r="G117" s="1154"/>
      <c r="H117" s="1154"/>
      <c r="I117" s="1154"/>
      <c r="J117" s="1154"/>
      <c r="K117" s="1155"/>
      <c r="L117" s="162"/>
      <c r="M117" s="154"/>
    </row>
    <row r="118" spans="2:13" ht="16.5" thickTop="1" thickBot="1">
      <c r="B118" s="368"/>
      <c r="C118" s="392"/>
      <c r="D118" s="393"/>
      <c r="E118" s="393"/>
      <c r="F118" s="393"/>
      <c r="G118" s="1156"/>
      <c r="H118" s="1156"/>
      <c r="I118" s="1156"/>
      <c r="J118" s="1156"/>
      <c r="K118" s="1157"/>
      <c r="L118" s="1"/>
      <c r="M118" s="1"/>
    </row>
    <row r="119" spans="2:13" ht="15.75" thickTop="1">
      <c r="C119" s="6"/>
      <c r="D119" s="1"/>
      <c r="E119" s="1"/>
      <c r="F119" s="1"/>
      <c r="G119" s="1"/>
      <c r="H119" s="1"/>
      <c r="I119" s="1"/>
      <c r="J119" s="1"/>
      <c r="K119" s="1"/>
      <c r="L119" s="1"/>
      <c r="M119" s="1"/>
    </row>
    <row r="120" spans="2:13">
      <c r="C120" s="6"/>
      <c r="D120" s="1"/>
      <c r="E120" s="1"/>
      <c r="F120" s="1"/>
      <c r="G120" s="1"/>
      <c r="H120" s="1"/>
      <c r="I120" s="1"/>
      <c r="J120" s="1"/>
      <c r="K120" s="1"/>
      <c r="L120" s="1"/>
      <c r="M120" s="1"/>
    </row>
    <row r="121" spans="2:13">
      <c r="C121" s="6"/>
      <c r="D121" s="1"/>
      <c r="E121" s="1"/>
      <c r="F121" s="1"/>
      <c r="G121" s="1"/>
      <c r="H121" s="1"/>
      <c r="I121" s="1"/>
      <c r="J121" s="1"/>
      <c r="K121" s="1"/>
      <c r="L121" s="1"/>
      <c r="M121" s="1"/>
    </row>
    <row r="122" spans="2:13">
      <c r="C122" s="6"/>
      <c r="D122" s="1"/>
      <c r="E122" s="1"/>
      <c r="F122" s="1"/>
      <c r="G122" s="1"/>
      <c r="H122" s="1"/>
      <c r="I122" s="1"/>
      <c r="J122" s="1"/>
      <c r="K122" s="1"/>
      <c r="L122" s="1"/>
      <c r="M122" s="1"/>
    </row>
    <row r="123" spans="2:13">
      <c r="C123" s="6"/>
      <c r="D123" s="1"/>
      <c r="E123" s="1"/>
      <c r="F123" s="1"/>
      <c r="G123" s="1"/>
      <c r="H123" s="1"/>
      <c r="I123" s="1"/>
      <c r="J123" s="1"/>
      <c r="K123" s="1"/>
      <c r="L123" s="1"/>
      <c r="M123" s="1"/>
    </row>
    <row r="124" spans="2:13">
      <c r="C124" s="6"/>
      <c r="D124" s="1"/>
      <c r="E124" s="1"/>
      <c r="F124" s="1"/>
      <c r="G124" s="1"/>
      <c r="H124" s="1"/>
      <c r="I124" s="1"/>
      <c r="J124" s="1"/>
      <c r="K124" s="1"/>
      <c r="L124" s="1"/>
      <c r="M124" s="1"/>
    </row>
    <row r="125" spans="2:13">
      <c r="C125" s="6"/>
      <c r="D125" s="1"/>
      <c r="E125" s="1"/>
      <c r="F125" s="1"/>
      <c r="G125" s="1"/>
      <c r="H125" s="1"/>
      <c r="I125" s="1"/>
      <c r="J125" s="1"/>
      <c r="K125" s="1"/>
      <c r="L125" s="1"/>
      <c r="M125" s="1"/>
    </row>
    <row r="126" spans="2:13">
      <c r="C126" s="6"/>
      <c r="D126" s="1"/>
      <c r="E126" s="1"/>
      <c r="F126" s="1"/>
      <c r="G126" s="1"/>
      <c r="H126" s="1"/>
      <c r="I126" s="1"/>
      <c r="J126" s="1"/>
      <c r="K126" s="1"/>
      <c r="L126" s="1"/>
      <c r="M126" s="1"/>
    </row>
    <row r="127" spans="2:13"/>
    <row r="128" spans="2:13"/>
    <row r="129"/>
    <row r="130"/>
    <row r="131"/>
    <row r="132"/>
    <row r="133"/>
    <row r="134"/>
    <row r="135"/>
    <row r="136"/>
    <row r="137"/>
    <row r="138"/>
    <row r="139"/>
    <row r="140"/>
    <row r="141"/>
    <row r="142"/>
    <row r="143"/>
    <row r="144"/>
    <row r="145" spans="2:11"/>
    <row r="146" spans="2:11"/>
    <row r="147" spans="2:11"/>
    <row r="148" spans="2:11"/>
    <row r="149" spans="2:11"/>
    <row r="150" spans="2:11"/>
    <row r="151" spans="2:11"/>
    <row r="152" spans="2:11"/>
    <row r="153" spans="2:11"/>
    <row r="154" spans="2:11" ht="15.75" thickBot="1"/>
    <row r="155" spans="2:11" ht="15" customHeight="1" thickTop="1">
      <c r="B155" s="1143" t="s">
        <v>1482</v>
      </c>
      <c r="C155" s="1144"/>
      <c r="D155" s="1144"/>
      <c r="E155" s="1144"/>
      <c r="F155" s="1144"/>
      <c r="G155" s="1144"/>
      <c r="H155" s="1144"/>
      <c r="I155" s="1144"/>
      <c r="J155" s="1144"/>
      <c r="K155" s="1145"/>
    </row>
    <row r="156" spans="2:11">
      <c r="B156" s="1146"/>
      <c r="C156" s="1147"/>
      <c r="D156" s="1147"/>
      <c r="E156" s="1147"/>
      <c r="F156" s="1147"/>
      <c r="G156" s="1147"/>
      <c r="H156" s="1147"/>
      <c r="I156" s="1147"/>
      <c r="J156" s="1147"/>
      <c r="K156" s="1148"/>
    </row>
    <row r="157" spans="2:11">
      <c r="B157" s="1146"/>
      <c r="C157" s="1147"/>
      <c r="D157" s="1147"/>
      <c r="E157" s="1147"/>
      <c r="F157" s="1147"/>
      <c r="G157" s="1147"/>
      <c r="H157" s="1147"/>
      <c r="I157" s="1147"/>
      <c r="J157" s="1147"/>
      <c r="K157" s="1148"/>
    </row>
    <row r="158" spans="2:11">
      <c r="B158" s="1146"/>
      <c r="C158" s="1147"/>
      <c r="D158" s="1147"/>
      <c r="E158" s="1147"/>
      <c r="F158" s="1147"/>
      <c r="G158" s="1147"/>
      <c r="H158" s="1147"/>
      <c r="I158" s="1147"/>
      <c r="J158" s="1147"/>
      <c r="K158" s="1148"/>
    </row>
    <row r="159" spans="2:11">
      <c r="B159" s="1146"/>
      <c r="C159" s="1147"/>
      <c r="D159" s="1147"/>
      <c r="E159" s="1147"/>
      <c r="F159" s="1147"/>
      <c r="G159" s="1147"/>
      <c r="H159" s="1147"/>
      <c r="I159" s="1147"/>
      <c r="J159" s="1147"/>
      <c r="K159" s="1148"/>
    </row>
    <row r="160" spans="2:11">
      <c r="B160" s="1146"/>
      <c r="C160" s="1147"/>
      <c r="D160" s="1147"/>
      <c r="E160" s="1147"/>
      <c r="F160" s="1147"/>
      <c r="G160" s="1147"/>
      <c r="H160" s="1147"/>
      <c r="I160" s="1147"/>
      <c r="J160" s="1147"/>
      <c r="K160" s="1148"/>
    </row>
    <row r="161" spans="2:11">
      <c r="B161" s="1146"/>
      <c r="C161" s="1147"/>
      <c r="D161" s="1147"/>
      <c r="E161" s="1147"/>
      <c r="F161" s="1147"/>
      <c r="G161" s="1147"/>
      <c r="H161" s="1147"/>
      <c r="I161" s="1147"/>
      <c r="J161" s="1147"/>
      <c r="K161" s="1148"/>
    </row>
    <row r="162" spans="2:11">
      <c r="B162" s="1146"/>
      <c r="C162" s="1147"/>
      <c r="D162" s="1147"/>
      <c r="E162" s="1147"/>
      <c r="F162" s="1147"/>
      <c r="G162" s="1147"/>
      <c r="H162" s="1147"/>
      <c r="I162" s="1147"/>
      <c r="J162" s="1147"/>
      <c r="K162" s="1148"/>
    </row>
    <row r="163" spans="2:11" ht="15.75" customHeight="1">
      <c r="B163" s="1146"/>
      <c r="C163" s="1147"/>
      <c r="D163" s="1147"/>
      <c r="E163" s="1147"/>
      <c r="F163" s="1147"/>
      <c r="G163" s="1147"/>
      <c r="H163" s="1147"/>
      <c r="I163" s="1147"/>
      <c r="J163" s="1147"/>
      <c r="K163" s="1148"/>
    </row>
    <row r="164" spans="2:11">
      <c r="B164" s="1146"/>
      <c r="C164" s="1147"/>
      <c r="D164" s="1147"/>
      <c r="E164" s="1147"/>
      <c r="F164" s="1147"/>
      <c r="G164" s="1147"/>
      <c r="H164" s="1147"/>
      <c r="I164" s="1147"/>
      <c r="J164" s="1147"/>
      <c r="K164" s="1148"/>
    </row>
    <row r="165" spans="2:11">
      <c r="B165" s="1146"/>
      <c r="C165" s="1147"/>
      <c r="D165" s="1147"/>
      <c r="E165" s="1147"/>
      <c r="F165" s="1147"/>
      <c r="G165" s="1147"/>
      <c r="H165" s="1147"/>
      <c r="I165" s="1147"/>
      <c r="J165" s="1147"/>
      <c r="K165" s="1148"/>
    </row>
    <row r="166" spans="2:11">
      <c r="B166" s="1146"/>
      <c r="C166" s="1147"/>
      <c r="D166" s="1147"/>
      <c r="E166" s="1147"/>
      <c r="F166" s="1147"/>
      <c r="G166" s="1147"/>
      <c r="H166" s="1147"/>
      <c r="I166" s="1147"/>
      <c r="J166" s="1147"/>
      <c r="K166" s="1148"/>
    </row>
    <row r="167" spans="2:11">
      <c r="B167" s="1146"/>
      <c r="C167" s="1147"/>
      <c r="D167" s="1147"/>
      <c r="E167" s="1147"/>
      <c r="F167" s="1147"/>
      <c r="G167" s="1147"/>
      <c r="H167" s="1147"/>
      <c r="I167" s="1147"/>
      <c r="J167" s="1147"/>
      <c r="K167" s="1148"/>
    </row>
    <row r="168" spans="2:11">
      <c r="B168" s="1146"/>
      <c r="C168" s="1147"/>
      <c r="D168" s="1147"/>
      <c r="E168" s="1147"/>
      <c r="F168" s="1147"/>
      <c r="G168" s="1147"/>
      <c r="H168" s="1147"/>
      <c r="I168" s="1147"/>
      <c r="J168" s="1147"/>
      <c r="K168" s="1148"/>
    </row>
    <row r="169" spans="2:11">
      <c r="B169" s="1146"/>
      <c r="C169" s="1147"/>
      <c r="D169" s="1147"/>
      <c r="E169" s="1147"/>
      <c r="F169" s="1147"/>
      <c r="G169" s="1147"/>
      <c r="H169" s="1147"/>
      <c r="I169" s="1147"/>
      <c r="J169" s="1147"/>
      <c r="K169" s="1148"/>
    </row>
    <row r="170" spans="2:11">
      <c r="B170" s="1146"/>
      <c r="C170" s="1147"/>
      <c r="D170" s="1147"/>
      <c r="E170" s="1147"/>
      <c r="F170" s="1147"/>
      <c r="G170" s="1147"/>
      <c r="H170" s="1147"/>
      <c r="I170" s="1147"/>
      <c r="J170" s="1147"/>
      <c r="K170" s="1148"/>
    </row>
    <row r="171" spans="2:11" ht="15.75" thickBot="1">
      <c r="B171" s="1149"/>
      <c r="C171" s="1150"/>
      <c r="D171" s="1150"/>
      <c r="E171" s="1150"/>
      <c r="F171" s="1150"/>
      <c r="G171" s="1150"/>
      <c r="H171" s="1150"/>
      <c r="I171" s="1150"/>
      <c r="J171" s="1150"/>
      <c r="K171" s="1151"/>
    </row>
    <row r="172" spans="2:11" ht="15.75" thickTop="1">
      <c r="C172" s="909"/>
      <c r="D172" s="909"/>
      <c r="E172" s="909"/>
      <c r="F172" s="909"/>
      <c r="G172" s="909"/>
      <c r="H172" s="909"/>
      <c r="I172" s="909"/>
      <c r="J172" s="909"/>
      <c r="K172" s="909"/>
    </row>
    <row r="173" spans="2:11">
      <c r="C173" s="909"/>
      <c r="D173" s="909"/>
      <c r="E173" s="909"/>
      <c r="F173" s="909"/>
      <c r="G173" s="909"/>
      <c r="H173" s="909"/>
      <c r="I173" s="909"/>
      <c r="J173" s="909"/>
      <c r="K173" s="909"/>
    </row>
    <row r="174" spans="2:11">
      <c r="C174" s="909"/>
      <c r="D174" s="909"/>
      <c r="E174" s="909"/>
      <c r="F174" s="909"/>
      <c r="G174" s="909"/>
      <c r="H174" s="909"/>
      <c r="I174" s="909"/>
      <c r="J174" s="909"/>
      <c r="K174" s="909"/>
    </row>
    <row r="175" spans="2:11">
      <c r="C175" s="909"/>
      <c r="D175" s="909"/>
      <c r="E175" s="909"/>
      <c r="F175" s="909"/>
      <c r="G175" s="909"/>
      <c r="H175" s="909"/>
      <c r="I175" s="909"/>
      <c r="J175" s="909"/>
      <c r="K175" s="909"/>
    </row>
    <row r="176" spans="2:11">
      <c r="C176" s="909"/>
      <c r="D176" s="909"/>
      <c r="E176" s="909"/>
      <c r="F176" s="909"/>
      <c r="G176" s="909"/>
      <c r="H176" s="909"/>
      <c r="I176" s="909"/>
      <c r="J176" s="909"/>
      <c r="K176" s="909"/>
    </row>
    <row r="177" spans="3:11">
      <c r="C177" s="909"/>
      <c r="D177" s="909"/>
      <c r="E177" s="909"/>
      <c r="F177" s="909"/>
      <c r="G177" s="909"/>
      <c r="H177" s="909"/>
      <c r="I177" s="909"/>
      <c r="J177" s="909"/>
      <c r="K177" s="909"/>
    </row>
    <row r="178" spans="3:11">
      <c r="C178" s="909"/>
      <c r="D178" s="909"/>
      <c r="E178" s="909"/>
      <c r="F178" s="909"/>
      <c r="G178" s="909"/>
      <c r="H178" s="909"/>
      <c r="I178" s="909"/>
      <c r="J178" s="909"/>
      <c r="K178" s="909"/>
    </row>
    <row r="179" spans="3:11">
      <c r="C179" s="909"/>
      <c r="D179" s="909"/>
      <c r="E179" s="909"/>
      <c r="F179" s="909"/>
      <c r="G179" s="909"/>
      <c r="H179" s="909"/>
      <c r="I179" s="909"/>
      <c r="J179" s="909"/>
      <c r="K179" s="909"/>
    </row>
    <row r="180" spans="3:11">
      <c r="C180" s="909"/>
      <c r="D180" s="909"/>
      <c r="E180" s="909"/>
      <c r="F180" s="909"/>
      <c r="G180" s="909"/>
      <c r="H180" s="909"/>
      <c r="I180" s="909"/>
      <c r="J180" s="909"/>
      <c r="K180" s="909"/>
    </row>
    <row r="181" spans="3:11">
      <c r="C181" s="909"/>
      <c r="D181" s="909"/>
      <c r="E181" s="909"/>
      <c r="F181" s="909"/>
      <c r="G181" s="909"/>
      <c r="H181" s="909"/>
      <c r="I181" s="909"/>
      <c r="J181" s="909"/>
      <c r="K181" s="909"/>
    </row>
    <row r="182" spans="3:11">
      <c r="C182" s="909"/>
      <c r="D182" s="909"/>
      <c r="E182" s="909"/>
      <c r="F182" s="909"/>
      <c r="G182" s="909"/>
      <c r="H182" s="909"/>
      <c r="I182" s="909"/>
      <c r="J182" s="909"/>
      <c r="K182" s="909"/>
    </row>
    <row r="183" spans="3:11">
      <c r="C183" s="909"/>
      <c r="D183" s="909"/>
      <c r="E183" s="909"/>
      <c r="F183" s="909"/>
      <c r="G183" s="909"/>
      <c r="H183" s="909"/>
      <c r="I183" s="909"/>
      <c r="J183" s="909"/>
      <c r="K183" s="909"/>
    </row>
    <row r="184" spans="3:11">
      <c r="C184" s="909"/>
      <c r="D184" s="909"/>
      <c r="E184" s="909"/>
      <c r="F184" s="909"/>
      <c r="G184" s="909"/>
      <c r="H184" s="909"/>
      <c r="I184" s="909"/>
      <c r="J184" s="909"/>
      <c r="K184" s="909"/>
    </row>
    <row r="185" spans="3:11">
      <c r="C185" s="909"/>
      <c r="D185" s="909"/>
      <c r="E185" s="909"/>
      <c r="F185" s="909"/>
      <c r="G185" s="909"/>
      <c r="H185" s="909"/>
      <c r="I185" s="909"/>
      <c r="J185" s="909"/>
      <c r="K185" s="909"/>
    </row>
    <row r="186" spans="3:11">
      <c r="C186" s="909"/>
      <c r="D186" s="909"/>
      <c r="E186" s="909"/>
      <c r="F186" s="909"/>
      <c r="G186" s="909"/>
      <c r="H186" s="909"/>
      <c r="I186" s="909"/>
      <c r="J186" s="909"/>
      <c r="K186" s="909"/>
    </row>
    <row r="187" spans="3:11">
      <c r="C187" s="909"/>
      <c r="D187" s="909"/>
      <c r="E187" s="909"/>
      <c r="F187" s="909"/>
      <c r="G187" s="909"/>
      <c r="H187" s="909"/>
      <c r="I187" s="909"/>
      <c r="J187" s="909"/>
      <c r="K187" s="909"/>
    </row>
    <row r="188" spans="3:11">
      <c r="C188" s="909"/>
      <c r="D188" s="909"/>
      <c r="E188" s="909"/>
      <c r="F188" s="909"/>
      <c r="G188" s="909"/>
      <c r="H188" s="909"/>
      <c r="I188" s="909"/>
      <c r="J188" s="909"/>
      <c r="K188" s="909"/>
    </row>
    <row r="189" spans="3:11">
      <c r="C189" s="909"/>
      <c r="D189" s="909"/>
      <c r="E189" s="909"/>
      <c r="F189" s="909"/>
      <c r="G189" s="909"/>
      <c r="H189" s="909"/>
      <c r="I189" s="909"/>
      <c r="J189" s="909"/>
      <c r="K189" s="909"/>
    </row>
    <row r="190" spans="3:11">
      <c r="C190" s="909"/>
      <c r="D190" s="909"/>
      <c r="E190" s="909"/>
      <c r="F190" s="909"/>
      <c r="G190" s="909"/>
      <c r="H190" s="909"/>
      <c r="I190" s="909"/>
      <c r="J190" s="909"/>
      <c r="K190" s="909"/>
    </row>
    <row r="191" spans="3:11">
      <c r="C191" s="909"/>
      <c r="D191" s="909"/>
      <c r="E191" s="909"/>
      <c r="F191" s="909"/>
      <c r="G191" s="909"/>
      <c r="H191" s="909"/>
      <c r="I191" s="909"/>
      <c r="J191" s="909"/>
      <c r="K191" s="909"/>
    </row>
    <row r="192" spans="3:11">
      <c r="C192" s="909"/>
      <c r="D192" s="909"/>
      <c r="E192" s="909"/>
      <c r="F192" s="909"/>
      <c r="G192" s="909"/>
      <c r="H192" s="909"/>
      <c r="I192" s="909"/>
      <c r="J192" s="909"/>
      <c r="K192" s="909"/>
    </row>
    <row r="193" spans="3:11">
      <c r="C193" s="909"/>
      <c r="D193" s="909"/>
      <c r="E193" s="909"/>
      <c r="F193" s="909"/>
      <c r="G193" s="909"/>
      <c r="H193" s="909"/>
      <c r="I193" s="909"/>
      <c r="J193" s="909"/>
      <c r="K193" s="909"/>
    </row>
    <row r="194" spans="3:11">
      <c r="C194" s="909"/>
      <c r="D194" s="909"/>
      <c r="E194" s="909"/>
      <c r="F194" s="909"/>
      <c r="G194" s="909"/>
      <c r="H194" s="909"/>
      <c r="I194" s="909"/>
      <c r="J194" s="909"/>
      <c r="K194" s="909"/>
    </row>
    <row r="195" spans="3:11">
      <c r="C195" s="909"/>
      <c r="D195" s="909"/>
      <c r="E195" s="909"/>
      <c r="F195" s="909"/>
      <c r="G195" s="909"/>
      <c r="H195" s="909"/>
      <c r="I195" s="909"/>
      <c r="J195" s="909"/>
      <c r="K195" s="909"/>
    </row>
    <row r="196" spans="3:11">
      <c r="C196" s="909"/>
      <c r="D196" s="909"/>
      <c r="E196" s="909"/>
      <c r="F196" s="909"/>
      <c r="G196" s="909"/>
      <c r="H196" s="909"/>
      <c r="I196" s="909"/>
      <c r="J196" s="909"/>
      <c r="K196" s="909"/>
    </row>
    <row r="197" spans="3:11">
      <c r="C197" s="909"/>
      <c r="D197" s="909"/>
      <c r="E197" s="909"/>
      <c r="F197" s="909"/>
      <c r="G197" s="909"/>
      <c r="H197" s="909"/>
      <c r="I197" s="909"/>
      <c r="J197" s="909"/>
      <c r="K197" s="909"/>
    </row>
    <row r="198" spans="3:11">
      <c r="C198" s="909"/>
      <c r="D198" s="909"/>
      <c r="E198" s="909"/>
      <c r="F198" s="909"/>
      <c r="G198" s="909"/>
      <c r="H198" s="909"/>
      <c r="I198" s="909"/>
      <c r="J198" s="909"/>
      <c r="K198" s="909"/>
    </row>
    <row r="199" spans="3:11">
      <c r="C199" s="909"/>
      <c r="D199" s="909"/>
      <c r="E199" s="909"/>
      <c r="F199" s="909"/>
      <c r="G199" s="909"/>
      <c r="H199" s="909"/>
      <c r="I199" s="909"/>
      <c r="J199" s="909"/>
      <c r="K199" s="909"/>
    </row>
    <row r="200" spans="3:11">
      <c r="C200" s="909"/>
      <c r="D200" s="909"/>
      <c r="E200" s="909"/>
      <c r="F200" s="909"/>
      <c r="G200" s="909"/>
      <c r="H200" s="909"/>
      <c r="I200" s="909"/>
      <c r="J200" s="909"/>
      <c r="K200" s="909"/>
    </row>
    <row r="201" spans="3:11">
      <c r="C201" s="909"/>
      <c r="D201" s="909"/>
      <c r="E201" s="909"/>
      <c r="F201" s="909"/>
      <c r="G201" s="909"/>
      <c r="H201" s="909"/>
      <c r="I201" s="909"/>
      <c r="J201" s="909"/>
      <c r="K201" s="909"/>
    </row>
    <row r="202" spans="3:11">
      <c r="C202" s="909"/>
      <c r="D202" s="909"/>
      <c r="E202" s="909"/>
      <c r="F202" s="909"/>
      <c r="G202" s="909"/>
      <c r="H202" s="909"/>
      <c r="I202" s="909"/>
      <c r="J202" s="909"/>
      <c r="K202" s="909"/>
    </row>
    <row r="203" spans="3:11">
      <c r="C203" s="909"/>
      <c r="D203" s="909"/>
      <c r="E203" s="909"/>
      <c r="F203" s="909"/>
      <c r="G203" s="909"/>
      <c r="H203" s="909"/>
      <c r="I203" s="909"/>
      <c r="J203" s="909"/>
      <c r="K203" s="909"/>
    </row>
    <row r="204" spans="3:11">
      <c r="C204" s="909"/>
      <c r="D204" s="909"/>
      <c r="E204" s="909"/>
      <c r="F204" s="909"/>
      <c r="G204" s="909"/>
      <c r="H204" s="909"/>
      <c r="I204" s="909"/>
      <c r="J204" s="909"/>
      <c r="K204" s="909"/>
    </row>
    <row r="205" spans="3:11">
      <c r="C205" s="909"/>
      <c r="D205" s="909"/>
      <c r="E205" s="909"/>
      <c r="F205" s="909"/>
      <c r="G205" s="909"/>
      <c r="H205" s="909"/>
      <c r="I205" s="909"/>
      <c r="J205" s="909"/>
      <c r="K205" s="909"/>
    </row>
    <row r="206" spans="3:11">
      <c r="C206" s="909"/>
      <c r="D206" s="909"/>
      <c r="E206" s="909"/>
      <c r="F206" s="909"/>
      <c r="G206" s="909"/>
      <c r="H206" s="909"/>
      <c r="I206" s="909"/>
      <c r="J206" s="909"/>
      <c r="K206" s="909"/>
    </row>
    <row r="207" spans="3:11">
      <c r="C207" s="909"/>
      <c r="D207" s="909"/>
      <c r="E207" s="909"/>
      <c r="F207" s="909"/>
      <c r="G207" s="909"/>
      <c r="H207" s="909"/>
      <c r="I207" s="909"/>
      <c r="J207" s="909"/>
      <c r="K207" s="909"/>
    </row>
    <row r="208" spans="3:11"/>
    <row r="209"/>
  </sheetData>
  <customSheetViews>
    <customSheetView guid="{CFA9FB8A-52FF-44B9-AE70-27339693E196}">
      <selection activeCell="G15" sqref="G15"/>
      <rowBreaks count="2" manualBreakCount="2">
        <brk id="46" max="16383" man="1"/>
        <brk id="93" max="16383" man="1"/>
      </rowBreaks>
      <pageMargins left="0.75" right="0.75" top="1" bottom="1" header="0.5" footer="0.5"/>
      <pageSetup scale="82" orientation="portrait" r:id="rId1"/>
      <headerFooter alignWithMargins="0"/>
    </customSheetView>
  </customSheetViews>
  <mergeCells count="9">
    <mergeCell ref="B155:K171"/>
    <mergeCell ref="G115:K118"/>
    <mergeCell ref="B2:K2"/>
    <mergeCell ref="C95:E95"/>
    <mergeCell ref="C106:K106"/>
    <mergeCell ref="C12:K12"/>
    <mergeCell ref="C57:K57"/>
    <mergeCell ref="C46:D46"/>
    <mergeCell ref="I111:K114"/>
  </mergeCells>
  <phoneticPr fontId="18" type="noConversion"/>
  <printOptions horizontalCentered="1"/>
  <pageMargins left="0.75" right="0.75" top="1.25" bottom="0.5" header="0.5" footer="0"/>
  <pageSetup orientation="landscape" r:id="rId2"/>
  <headerFooter scaleWithDoc="0">
    <oddFooter>Page &amp;P of &amp;N</oddFooter>
  </headerFooter>
  <rowBreaks count="3" manualBreakCount="3">
    <brk id="55" min="1" max="10" man="1"/>
    <brk id="75" min="1" max="10" man="1"/>
    <brk id="126" min="1" max="10" man="1"/>
  </rowBreaks>
  <cellWatches>
    <cellWatch r="J88"/>
  </cellWatch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01"/>
  <sheetViews>
    <sheetView zoomScaleNormal="100" workbookViewId="0">
      <pane ySplit="6" topLeftCell="A805" activePane="bottomLeft" state="frozen"/>
      <selection activeCell="C1" sqref="C1"/>
      <selection pane="bottomLeft" activeCell="I809" sqref="I809"/>
    </sheetView>
  </sheetViews>
  <sheetFormatPr defaultRowHeight="15"/>
  <cols>
    <col min="1" max="1" width="6.77734375" customWidth="1"/>
    <col min="2" max="2" width="18.77734375" customWidth="1"/>
    <col min="3" max="3" width="10.77734375" customWidth="1"/>
    <col min="4" max="4" width="14.77734375" customWidth="1"/>
    <col min="5" max="5" width="10.77734375" style="27" customWidth="1"/>
    <col min="6"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180" t="s">
        <v>848</v>
      </c>
      <c r="B1" s="1181"/>
      <c r="C1" s="1181"/>
      <c r="D1" s="1181"/>
      <c r="E1" s="1181"/>
      <c r="F1" s="1181"/>
      <c r="G1" s="1181"/>
      <c r="H1" s="1182"/>
      <c r="I1" s="253"/>
      <c r="J1" s="253"/>
      <c r="K1" s="411" t="s">
        <v>761</v>
      </c>
      <c r="L1" s="252">
        <f>SUM(G7:G1201)</f>
        <v>884.03000000000304</v>
      </c>
      <c r="M1" s="253" t="s">
        <v>87</v>
      </c>
    </row>
    <row r="2" spans="1:26" ht="18">
      <c r="A2" s="1183"/>
      <c r="B2" s="1046"/>
      <c r="C2" s="1046"/>
      <c r="D2" s="1046"/>
      <c r="E2" s="1046"/>
      <c r="F2" s="1046"/>
      <c r="G2" s="1046"/>
      <c r="H2" s="1184"/>
      <c r="J2" s="311"/>
      <c r="K2" s="412" t="s">
        <v>654</v>
      </c>
      <c r="L2" s="252">
        <f>SUM(H7:H1201)</f>
        <v>50.174176136363513</v>
      </c>
      <c r="M2" s="253" t="s">
        <v>607</v>
      </c>
    </row>
    <row r="3" spans="1:26" ht="16.5" thickBot="1">
      <c r="A3" s="1183"/>
      <c r="B3" s="1046"/>
      <c r="C3" s="1046"/>
      <c r="D3" s="1046"/>
      <c r="E3" s="1046"/>
      <c r="F3" s="1046"/>
      <c r="G3" s="1046"/>
      <c r="H3" s="1184"/>
      <c r="I3" s="16"/>
      <c r="L3" s="7"/>
      <c r="M3" s="7"/>
      <c r="N3" s="7"/>
      <c r="O3" s="7"/>
      <c r="P3" s="7"/>
      <c r="Q3" s="7"/>
      <c r="R3" s="7"/>
      <c r="S3" s="7"/>
      <c r="T3" s="7"/>
      <c r="U3" s="7"/>
      <c r="V3" s="7"/>
      <c r="W3" s="7"/>
      <c r="X3" s="7"/>
      <c r="Y3" s="7"/>
      <c r="Z3" s="7"/>
    </row>
    <row r="4" spans="1:26" ht="15.75" customHeight="1">
      <c r="A4" s="43"/>
      <c r="B4" s="45"/>
      <c r="C4" s="44" t="s">
        <v>204</v>
      </c>
      <c r="D4" s="45"/>
      <c r="E4" s="46"/>
      <c r="F4" s="44"/>
      <c r="G4" s="198"/>
      <c r="H4" s="202"/>
      <c r="I4" s="4" t="s">
        <v>604</v>
      </c>
      <c r="J4" s="4" t="s">
        <v>604</v>
      </c>
      <c r="K4" s="4" t="s">
        <v>604</v>
      </c>
      <c r="L4" s="81"/>
      <c r="O4" s="80"/>
    </row>
    <row r="5" spans="1:26" ht="15.75">
      <c r="A5" s="47" t="s">
        <v>180</v>
      </c>
      <c r="B5" s="48"/>
      <c r="C5" s="48" t="s">
        <v>137</v>
      </c>
      <c r="D5" s="48"/>
      <c r="E5" s="48"/>
      <c r="F5" s="48" t="s">
        <v>183</v>
      </c>
      <c r="G5" s="199" t="s">
        <v>184</v>
      </c>
      <c r="H5" s="203" t="s">
        <v>540</v>
      </c>
      <c r="I5" s="4" t="s">
        <v>605</v>
      </c>
      <c r="J5" s="4" t="s">
        <v>605</v>
      </c>
      <c r="K5" s="4" t="s">
        <v>605</v>
      </c>
      <c r="L5" s="81"/>
      <c r="M5" s="250"/>
      <c r="O5" s="80"/>
      <c r="Q5" s="250"/>
      <c r="U5" s="80"/>
      <c r="Y5" s="80"/>
    </row>
    <row r="6" spans="1:26" ht="16.5" thickBot="1">
      <c r="A6" s="49" t="s">
        <v>181</v>
      </c>
      <c r="B6" s="50" t="s">
        <v>136</v>
      </c>
      <c r="C6" s="51" t="s">
        <v>138</v>
      </c>
      <c r="D6" s="50" t="s">
        <v>139</v>
      </c>
      <c r="E6" s="50" t="s">
        <v>140</v>
      </c>
      <c r="F6" s="51" t="s">
        <v>141</v>
      </c>
      <c r="G6" s="200" t="s">
        <v>142</v>
      </c>
      <c r="H6" s="204" t="s">
        <v>587</v>
      </c>
      <c r="I6" s="4" t="s">
        <v>602</v>
      </c>
      <c r="J6" s="249" t="s">
        <v>603</v>
      </c>
      <c r="K6" s="249" t="s">
        <v>651</v>
      </c>
      <c r="L6" s="81"/>
      <c r="O6" s="80"/>
      <c r="P6" s="1"/>
      <c r="Q6" s="250"/>
      <c r="R6" s="1"/>
      <c r="X6" s="1"/>
      <c r="Y6" s="32"/>
      <c r="Z6" s="1"/>
    </row>
    <row r="7" spans="1:26" ht="15.75" thickTop="1">
      <c r="A7" s="469">
        <v>1</v>
      </c>
      <c r="B7" s="606">
        <v>18433</v>
      </c>
      <c r="C7" s="607">
        <v>0.86111111111111116</v>
      </c>
      <c r="D7" s="470" t="s">
        <v>107</v>
      </c>
      <c r="E7" s="608" t="s">
        <v>122</v>
      </c>
      <c r="F7" s="609">
        <v>167</v>
      </c>
      <c r="G7" s="610">
        <v>15.8</v>
      </c>
      <c r="H7" s="839">
        <f>+(F7/1760)*G7</f>
        <v>1.4992045454545455</v>
      </c>
      <c r="I7" s="1">
        <f>LN(F7)</f>
        <v>5.1179938124167554</v>
      </c>
      <c r="J7" s="1">
        <f>LN(G7)</f>
        <v>2.760009940032921</v>
      </c>
      <c r="K7" s="1">
        <f>LN(H7)</f>
        <v>0.40493466441747877</v>
      </c>
      <c r="P7" s="1"/>
    </row>
    <row r="8" spans="1:26">
      <c r="A8" s="483">
        <f>+A7+1</f>
        <v>2</v>
      </c>
      <c r="B8" s="485">
        <v>18785</v>
      </c>
      <c r="C8" s="473">
        <v>0.86111111111111116</v>
      </c>
      <c r="D8" s="484" t="s">
        <v>115</v>
      </c>
      <c r="E8" s="472" t="s">
        <v>122</v>
      </c>
      <c r="F8" s="486">
        <v>10</v>
      </c>
      <c r="G8" s="611">
        <v>0.1</v>
      </c>
      <c r="H8" s="829">
        <f>+(F8/1760)*G8</f>
        <v>5.6818181818181826E-4</v>
      </c>
      <c r="I8" s="1">
        <f t="shared" ref="I8:I71" si="0">LN(F8)</f>
        <v>2.3025850929940459</v>
      </c>
      <c r="J8" s="1">
        <f t="shared" ref="J8:J71" si="1">LN(G8)</f>
        <v>-2.3025850929940455</v>
      </c>
      <c r="K8" s="1">
        <f t="shared" ref="K8:K71" si="2">LN(H8)</f>
        <v>-7.4730690880321973</v>
      </c>
    </row>
    <row r="9" spans="1:26">
      <c r="A9" s="483">
        <f t="shared" ref="A9:A72" si="3">+A8+1</f>
        <v>3</v>
      </c>
      <c r="B9" s="485">
        <v>19515</v>
      </c>
      <c r="C9" s="473">
        <v>0.5625</v>
      </c>
      <c r="D9" s="484" t="s">
        <v>121</v>
      </c>
      <c r="E9" s="472" t="s">
        <v>122</v>
      </c>
      <c r="F9" s="486">
        <v>10</v>
      </c>
      <c r="G9" s="611">
        <v>0.1</v>
      </c>
      <c r="H9" s="829">
        <f t="shared" ref="H9:H72" si="4">+(F9/1760)*G9</f>
        <v>5.6818181818181826E-4</v>
      </c>
      <c r="I9" s="1">
        <f t="shared" si="0"/>
        <v>2.3025850929940459</v>
      </c>
      <c r="J9" s="1">
        <f t="shared" si="1"/>
        <v>-2.3025850929940455</v>
      </c>
      <c r="K9" s="1">
        <f t="shared" si="2"/>
        <v>-7.4730690880321973</v>
      </c>
    </row>
    <row r="10" spans="1:26">
      <c r="A10" s="483">
        <f t="shared" si="3"/>
        <v>4</v>
      </c>
      <c r="B10" s="485">
        <v>19888</v>
      </c>
      <c r="C10" s="473">
        <v>0.71875</v>
      </c>
      <c r="D10" s="484" t="s">
        <v>109</v>
      </c>
      <c r="E10" s="472" t="s">
        <v>122</v>
      </c>
      <c r="F10" s="486">
        <v>10</v>
      </c>
      <c r="G10" s="611">
        <v>0.1</v>
      </c>
      <c r="H10" s="829">
        <f t="shared" si="4"/>
        <v>5.6818181818181826E-4</v>
      </c>
      <c r="I10" s="1">
        <f t="shared" si="0"/>
        <v>2.3025850929940459</v>
      </c>
      <c r="J10" s="1">
        <f t="shared" si="1"/>
        <v>-2.3025850929940455</v>
      </c>
      <c r="K10" s="1">
        <f t="shared" si="2"/>
        <v>-7.4730690880321973</v>
      </c>
    </row>
    <row r="11" spans="1:26">
      <c r="A11" s="483">
        <f t="shared" si="3"/>
        <v>5</v>
      </c>
      <c r="B11" s="485">
        <v>20231</v>
      </c>
      <c r="C11" s="473">
        <v>0.84722222222222221</v>
      </c>
      <c r="D11" s="484" t="s">
        <v>109</v>
      </c>
      <c r="E11" s="472" t="s">
        <v>122</v>
      </c>
      <c r="F11" s="486">
        <v>33</v>
      </c>
      <c r="G11" s="611">
        <v>1.5</v>
      </c>
      <c r="H11" s="829">
        <f t="shared" si="4"/>
        <v>2.8124999999999997E-2</v>
      </c>
      <c r="I11" s="1">
        <f t="shared" si="0"/>
        <v>3.4965075614664802</v>
      </c>
      <c r="J11" s="1">
        <f t="shared" si="1"/>
        <v>0.40546510810816438</v>
      </c>
      <c r="K11" s="1">
        <f t="shared" si="2"/>
        <v>-3.5710964184575529</v>
      </c>
    </row>
    <row r="12" spans="1:26">
      <c r="A12" s="483">
        <f t="shared" si="3"/>
        <v>6</v>
      </c>
      <c r="B12" s="485">
        <v>20231</v>
      </c>
      <c r="C12" s="473">
        <v>0.875</v>
      </c>
      <c r="D12" s="484" t="s">
        <v>101</v>
      </c>
      <c r="E12" s="472" t="s">
        <v>122</v>
      </c>
      <c r="F12" s="486">
        <v>10</v>
      </c>
      <c r="G12" s="611">
        <v>0.1</v>
      </c>
      <c r="H12" s="829">
        <f t="shared" si="4"/>
        <v>5.6818181818181826E-4</v>
      </c>
      <c r="I12" s="1">
        <f t="shared" si="0"/>
        <v>2.3025850929940459</v>
      </c>
      <c r="J12" s="1">
        <f t="shared" si="1"/>
        <v>-2.3025850929940455</v>
      </c>
      <c r="K12" s="1">
        <f t="shared" si="2"/>
        <v>-7.4730690880321973</v>
      </c>
    </row>
    <row r="13" spans="1:26">
      <c r="A13" s="483">
        <f t="shared" si="3"/>
        <v>7</v>
      </c>
      <c r="B13" s="489">
        <v>20243</v>
      </c>
      <c r="C13" s="492">
        <v>0.72222222222222221</v>
      </c>
      <c r="D13" s="488" t="s">
        <v>111</v>
      </c>
      <c r="E13" s="490" t="s">
        <v>122</v>
      </c>
      <c r="F13" s="491">
        <v>33</v>
      </c>
      <c r="G13" s="612">
        <v>5.7</v>
      </c>
      <c r="H13" s="829">
        <f t="shared" si="4"/>
        <v>0.106875</v>
      </c>
      <c r="I13" s="1">
        <f t="shared" si="0"/>
        <v>3.4965075614664802</v>
      </c>
      <c r="J13" s="1">
        <f t="shared" si="1"/>
        <v>1.7404661748405046</v>
      </c>
      <c r="K13" s="1">
        <f t="shared" si="2"/>
        <v>-2.2360953517252127</v>
      </c>
    </row>
    <row r="14" spans="1:26">
      <c r="A14" s="483">
        <f t="shared" si="3"/>
        <v>8</v>
      </c>
      <c r="B14" s="485">
        <v>20256</v>
      </c>
      <c r="C14" s="473">
        <v>0.64583333333333337</v>
      </c>
      <c r="D14" s="484" t="s">
        <v>119</v>
      </c>
      <c r="E14" s="472" t="s">
        <v>122</v>
      </c>
      <c r="F14" s="486">
        <v>17</v>
      </c>
      <c r="G14" s="611">
        <v>2</v>
      </c>
      <c r="H14" s="829">
        <f t="shared" si="4"/>
        <v>1.9318181818181818E-2</v>
      </c>
      <c r="I14" s="1">
        <f t="shared" si="0"/>
        <v>2.8332133440562162</v>
      </c>
      <c r="J14" s="1">
        <f t="shared" si="1"/>
        <v>0.69314718055994529</v>
      </c>
      <c r="K14" s="1">
        <f t="shared" si="2"/>
        <v>-3.9467085634160362</v>
      </c>
    </row>
    <row r="15" spans="1:26">
      <c r="A15" s="483">
        <f t="shared" si="3"/>
        <v>9</v>
      </c>
      <c r="B15" s="485">
        <v>20256</v>
      </c>
      <c r="C15" s="473">
        <v>0.64583333333333337</v>
      </c>
      <c r="D15" s="484" t="s">
        <v>119</v>
      </c>
      <c r="E15" s="472" t="s">
        <v>122</v>
      </c>
      <c r="F15" s="486">
        <v>17</v>
      </c>
      <c r="G15" s="611">
        <v>2</v>
      </c>
      <c r="H15" s="829">
        <f t="shared" si="4"/>
        <v>1.9318181818181818E-2</v>
      </c>
      <c r="I15" s="1">
        <f t="shared" si="0"/>
        <v>2.8332133440562162</v>
      </c>
      <c r="J15" s="1">
        <f t="shared" si="1"/>
        <v>0.69314718055994529</v>
      </c>
      <c r="K15" s="1">
        <f t="shared" si="2"/>
        <v>-3.9467085634160362</v>
      </c>
    </row>
    <row r="16" spans="1:26">
      <c r="A16" s="483">
        <f t="shared" si="3"/>
        <v>10</v>
      </c>
      <c r="B16" s="485">
        <v>20256</v>
      </c>
      <c r="C16" s="473">
        <v>0.64583333333333337</v>
      </c>
      <c r="D16" s="484" t="s">
        <v>113</v>
      </c>
      <c r="E16" s="472" t="s">
        <v>122</v>
      </c>
      <c r="F16" s="486">
        <v>67</v>
      </c>
      <c r="G16" s="611">
        <v>0.3</v>
      </c>
      <c r="H16" s="829">
        <f t="shared" si="4"/>
        <v>1.1420454545454546E-2</v>
      </c>
      <c r="I16" s="1">
        <f t="shared" si="0"/>
        <v>4.2046926193909657</v>
      </c>
      <c r="J16" s="1">
        <f t="shared" si="1"/>
        <v>-1.2039728043259361</v>
      </c>
      <c r="K16" s="1">
        <f t="shared" si="2"/>
        <v>-4.4723492729671674</v>
      </c>
    </row>
    <row r="17" spans="1:11">
      <c r="A17" s="483">
        <f t="shared" si="3"/>
        <v>11</v>
      </c>
      <c r="B17" s="485">
        <v>20256</v>
      </c>
      <c r="C17" s="473">
        <v>0.67152777777777783</v>
      </c>
      <c r="D17" s="484" t="s">
        <v>114</v>
      </c>
      <c r="E17" s="472" t="s">
        <v>122</v>
      </c>
      <c r="F17" s="486">
        <v>33</v>
      </c>
      <c r="G17" s="611">
        <v>0.3</v>
      </c>
      <c r="H17" s="829">
        <f t="shared" si="4"/>
        <v>5.6249999999999998E-3</v>
      </c>
      <c r="I17" s="1">
        <f t="shared" si="0"/>
        <v>3.4965075614664802</v>
      </c>
      <c r="J17" s="1">
        <f t="shared" si="1"/>
        <v>-1.2039728043259361</v>
      </c>
      <c r="K17" s="1">
        <f t="shared" si="2"/>
        <v>-5.1805343308916534</v>
      </c>
    </row>
    <row r="18" spans="1:11">
      <c r="A18" s="483">
        <f t="shared" si="3"/>
        <v>12</v>
      </c>
      <c r="B18" s="485">
        <v>20256</v>
      </c>
      <c r="C18" s="473">
        <v>0.77083333333333337</v>
      </c>
      <c r="D18" s="484" t="s">
        <v>120</v>
      </c>
      <c r="E18" s="472" t="s">
        <v>122</v>
      </c>
      <c r="F18" s="486">
        <v>3</v>
      </c>
      <c r="G18" s="611">
        <v>0.1</v>
      </c>
      <c r="H18" s="829">
        <f t="shared" si="4"/>
        <v>1.7045454545454547E-4</v>
      </c>
      <c r="I18" s="1">
        <f t="shared" si="0"/>
        <v>1.0986122886681098</v>
      </c>
      <c r="J18" s="1">
        <f t="shared" si="1"/>
        <v>-2.3025850929940455</v>
      </c>
      <c r="K18" s="1">
        <f t="shared" si="2"/>
        <v>-8.6770418923581332</v>
      </c>
    </row>
    <row r="19" spans="1:11">
      <c r="A19" s="483">
        <f t="shared" si="3"/>
        <v>13</v>
      </c>
      <c r="B19" s="485">
        <v>20258</v>
      </c>
      <c r="C19" s="473">
        <v>0.83333333333333337</v>
      </c>
      <c r="D19" s="484" t="s">
        <v>103</v>
      </c>
      <c r="E19" s="472" t="s">
        <v>122</v>
      </c>
      <c r="F19" s="486">
        <v>10</v>
      </c>
      <c r="G19" s="611">
        <v>0.1</v>
      </c>
      <c r="H19" s="829">
        <f t="shared" si="4"/>
        <v>5.6818181818181826E-4</v>
      </c>
      <c r="I19" s="1">
        <f t="shared" si="0"/>
        <v>2.3025850929940459</v>
      </c>
      <c r="J19" s="1">
        <f t="shared" si="1"/>
        <v>-2.3025850929940455</v>
      </c>
      <c r="K19" s="1">
        <f t="shared" si="2"/>
        <v>-7.4730690880321973</v>
      </c>
    </row>
    <row r="20" spans="1:11">
      <c r="A20" s="483">
        <f t="shared" si="3"/>
        <v>14</v>
      </c>
      <c r="B20" s="485">
        <v>20258</v>
      </c>
      <c r="C20" s="473">
        <v>0.83333333333333337</v>
      </c>
      <c r="D20" s="484" t="s">
        <v>103</v>
      </c>
      <c r="E20" s="472" t="s">
        <v>122</v>
      </c>
      <c r="F20" s="486">
        <v>10</v>
      </c>
      <c r="G20" s="611">
        <v>0.1</v>
      </c>
      <c r="H20" s="829">
        <f t="shared" si="4"/>
        <v>5.6818181818181826E-4</v>
      </c>
      <c r="I20" s="1">
        <f t="shared" si="0"/>
        <v>2.3025850929940459</v>
      </c>
      <c r="J20" s="1">
        <f t="shared" si="1"/>
        <v>-2.3025850929940455</v>
      </c>
      <c r="K20" s="1">
        <f t="shared" si="2"/>
        <v>-7.4730690880321973</v>
      </c>
    </row>
    <row r="21" spans="1:11">
      <c r="A21" s="483">
        <f t="shared" si="3"/>
        <v>15</v>
      </c>
      <c r="B21" s="485">
        <v>20258</v>
      </c>
      <c r="C21" s="473">
        <v>0.83333333333333337</v>
      </c>
      <c r="D21" s="484" t="s">
        <v>103</v>
      </c>
      <c r="E21" s="472" t="s">
        <v>122</v>
      </c>
      <c r="F21" s="486">
        <v>10</v>
      </c>
      <c r="G21" s="611">
        <v>0.1</v>
      </c>
      <c r="H21" s="829">
        <f t="shared" si="4"/>
        <v>5.6818181818181826E-4</v>
      </c>
      <c r="I21" s="1">
        <f t="shared" si="0"/>
        <v>2.3025850929940459</v>
      </c>
      <c r="J21" s="1">
        <f t="shared" si="1"/>
        <v>-2.3025850929940455</v>
      </c>
      <c r="K21" s="1">
        <f t="shared" si="2"/>
        <v>-7.4730690880321973</v>
      </c>
    </row>
    <row r="22" spans="1:11">
      <c r="A22" s="483">
        <f t="shared" si="3"/>
        <v>16</v>
      </c>
      <c r="B22" s="485">
        <v>20259</v>
      </c>
      <c r="C22" s="473">
        <v>0.73263888888888884</v>
      </c>
      <c r="D22" s="484" t="s">
        <v>103</v>
      </c>
      <c r="E22" s="472" t="s">
        <v>122</v>
      </c>
      <c r="F22" s="486">
        <v>10</v>
      </c>
      <c r="G22" s="611">
        <v>0.1</v>
      </c>
      <c r="H22" s="829">
        <f t="shared" si="4"/>
        <v>5.6818181818181826E-4</v>
      </c>
      <c r="I22" s="1">
        <f t="shared" si="0"/>
        <v>2.3025850929940459</v>
      </c>
      <c r="J22" s="1">
        <f t="shared" si="1"/>
        <v>-2.3025850929940455</v>
      </c>
      <c r="K22" s="1">
        <f t="shared" si="2"/>
        <v>-7.4730690880321973</v>
      </c>
    </row>
    <row r="23" spans="1:11">
      <c r="A23" s="483">
        <f t="shared" si="3"/>
        <v>17</v>
      </c>
      <c r="B23" s="485">
        <v>20640</v>
      </c>
      <c r="C23" s="473">
        <v>0.70833333333333337</v>
      </c>
      <c r="D23" s="484" t="s">
        <v>118</v>
      </c>
      <c r="E23" s="472" t="s">
        <v>122</v>
      </c>
      <c r="F23" s="486">
        <v>33</v>
      </c>
      <c r="G23" s="611">
        <v>0.4</v>
      </c>
      <c r="H23" s="829">
        <f t="shared" si="4"/>
        <v>7.4999999999999997E-3</v>
      </c>
      <c r="I23" s="1">
        <f t="shared" si="0"/>
        <v>3.4965075614664802</v>
      </c>
      <c r="J23" s="1">
        <f t="shared" si="1"/>
        <v>-0.916290731874155</v>
      </c>
      <c r="K23" s="1">
        <f t="shared" si="2"/>
        <v>-4.8928522584398726</v>
      </c>
    </row>
    <row r="24" spans="1:11">
      <c r="A24" s="483">
        <f t="shared" si="3"/>
        <v>18</v>
      </c>
      <c r="B24" s="485">
        <v>20964</v>
      </c>
      <c r="C24" s="473">
        <v>0.47916666666666669</v>
      </c>
      <c r="D24" s="484" t="s">
        <v>117</v>
      </c>
      <c r="E24" s="472" t="s">
        <v>122</v>
      </c>
      <c r="F24" s="486">
        <v>10</v>
      </c>
      <c r="G24" s="611">
        <v>1</v>
      </c>
      <c r="H24" s="829">
        <f t="shared" si="4"/>
        <v>5.681818181818182E-3</v>
      </c>
      <c r="I24" s="1">
        <f t="shared" si="0"/>
        <v>2.3025850929940459</v>
      </c>
      <c r="J24" s="1">
        <f t="shared" si="1"/>
        <v>0</v>
      </c>
      <c r="K24" s="1">
        <f t="shared" si="2"/>
        <v>-5.1704839950381514</v>
      </c>
    </row>
    <row r="25" spans="1:11">
      <c r="A25" s="483">
        <f t="shared" si="3"/>
        <v>19</v>
      </c>
      <c r="B25" s="485">
        <v>20964</v>
      </c>
      <c r="C25" s="473">
        <v>0.57638888888888895</v>
      </c>
      <c r="D25" s="484" t="s">
        <v>113</v>
      </c>
      <c r="E25" s="472" t="s">
        <v>122</v>
      </c>
      <c r="F25" s="486">
        <v>50</v>
      </c>
      <c r="G25" s="611">
        <v>0.3</v>
      </c>
      <c r="H25" s="829">
        <f t="shared" si="4"/>
        <v>8.5227272727272721E-3</v>
      </c>
      <c r="I25" s="1">
        <f t="shared" si="0"/>
        <v>3.912023005428146</v>
      </c>
      <c r="J25" s="1">
        <f t="shared" si="1"/>
        <v>-1.2039728043259361</v>
      </c>
      <c r="K25" s="1">
        <f t="shared" si="2"/>
        <v>-4.7650188869299877</v>
      </c>
    </row>
    <row r="26" spans="1:11">
      <c r="A26" s="483">
        <f t="shared" si="3"/>
        <v>20</v>
      </c>
      <c r="B26" s="485">
        <v>21106</v>
      </c>
      <c r="C26" s="473">
        <v>0.72222222222222221</v>
      </c>
      <c r="D26" s="484" t="s">
        <v>101</v>
      </c>
      <c r="E26" s="472" t="s">
        <v>122</v>
      </c>
      <c r="F26" s="486">
        <v>10</v>
      </c>
      <c r="G26" s="611">
        <v>0.1</v>
      </c>
      <c r="H26" s="829">
        <f t="shared" si="4"/>
        <v>5.6818181818181826E-4</v>
      </c>
      <c r="I26" s="1">
        <f t="shared" si="0"/>
        <v>2.3025850929940459</v>
      </c>
      <c r="J26" s="1">
        <f t="shared" si="1"/>
        <v>-2.3025850929940455</v>
      </c>
      <c r="K26" s="1">
        <f t="shared" si="2"/>
        <v>-7.4730690880321973</v>
      </c>
    </row>
    <row r="27" spans="1:11">
      <c r="A27" s="483">
        <f t="shared" si="3"/>
        <v>21</v>
      </c>
      <c r="B27" s="485">
        <v>21322</v>
      </c>
      <c r="C27" s="473">
        <v>4.8611111111111112E-2</v>
      </c>
      <c r="D27" s="484" t="s">
        <v>118</v>
      </c>
      <c r="E27" s="472" t="s">
        <v>122</v>
      </c>
      <c r="F27" s="486">
        <v>17</v>
      </c>
      <c r="G27" s="611">
        <v>0.3</v>
      </c>
      <c r="H27" s="829">
        <f t="shared" si="4"/>
        <v>2.8977272727272727E-3</v>
      </c>
      <c r="I27" s="1">
        <f t="shared" si="0"/>
        <v>2.8332133440562162</v>
      </c>
      <c r="J27" s="1">
        <f t="shared" si="1"/>
        <v>-1.2039728043259361</v>
      </c>
      <c r="K27" s="1">
        <f t="shared" si="2"/>
        <v>-5.843828548301917</v>
      </c>
    </row>
    <row r="28" spans="1:11">
      <c r="A28" s="483">
        <f t="shared" si="3"/>
        <v>22</v>
      </c>
      <c r="B28" s="485">
        <v>21356</v>
      </c>
      <c r="C28" s="473">
        <v>0.11388888888888889</v>
      </c>
      <c r="D28" s="484" t="s">
        <v>115</v>
      </c>
      <c r="E28" s="472" t="s">
        <v>122</v>
      </c>
      <c r="F28" s="486">
        <v>33</v>
      </c>
      <c r="G28" s="611">
        <v>2</v>
      </c>
      <c r="H28" s="829">
        <f t="shared" si="4"/>
        <v>3.7499999999999999E-2</v>
      </c>
      <c r="I28" s="1">
        <f t="shared" si="0"/>
        <v>3.4965075614664802</v>
      </c>
      <c r="J28" s="1">
        <f t="shared" si="1"/>
        <v>0.69314718055994529</v>
      </c>
      <c r="K28" s="1">
        <f t="shared" si="2"/>
        <v>-3.2834143460057721</v>
      </c>
    </row>
    <row r="29" spans="1:11">
      <c r="A29" s="483">
        <f t="shared" si="3"/>
        <v>23</v>
      </c>
      <c r="B29" s="485">
        <v>21381</v>
      </c>
      <c r="C29" s="473">
        <v>0.97222222222222221</v>
      </c>
      <c r="D29" s="484" t="s">
        <v>112</v>
      </c>
      <c r="E29" s="472" t="s">
        <v>122</v>
      </c>
      <c r="F29" s="486">
        <v>50</v>
      </c>
      <c r="G29" s="611">
        <v>4.3</v>
      </c>
      <c r="H29" s="829">
        <f t="shared" si="4"/>
        <v>0.1221590909090909</v>
      </c>
      <c r="I29" s="1">
        <f t="shared" si="0"/>
        <v>3.912023005428146</v>
      </c>
      <c r="J29" s="1">
        <f t="shared" si="1"/>
        <v>1.4586150226995167</v>
      </c>
      <c r="K29" s="1">
        <f t="shared" si="2"/>
        <v>-2.1024310599045348</v>
      </c>
    </row>
    <row r="30" spans="1:11">
      <c r="A30" s="483">
        <f t="shared" si="3"/>
        <v>24</v>
      </c>
      <c r="B30" s="485">
        <v>21393</v>
      </c>
      <c r="C30" s="473">
        <v>0.69444444444444453</v>
      </c>
      <c r="D30" s="484" t="s">
        <v>109</v>
      </c>
      <c r="E30" s="472" t="s">
        <v>122</v>
      </c>
      <c r="F30" s="486">
        <v>33</v>
      </c>
      <c r="G30" s="611">
        <v>2</v>
      </c>
      <c r="H30" s="829">
        <f t="shared" si="4"/>
        <v>3.7499999999999999E-2</v>
      </c>
      <c r="I30" s="1">
        <f t="shared" si="0"/>
        <v>3.4965075614664802</v>
      </c>
      <c r="J30" s="1">
        <f t="shared" si="1"/>
        <v>0.69314718055994529</v>
      </c>
      <c r="K30" s="1">
        <f t="shared" si="2"/>
        <v>-3.2834143460057721</v>
      </c>
    </row>
    <row r="31" spans="1:11">
      <c r="A31" s="483">
        <f t="shared" si="3"/>
        <v>25</v>
      </c>
      <c r="B31" s="485">
        <v>21695</v>
      </c>
      <c r="C31" s="473">
        <v>0.9375</v>
      </c>
      <c r="D31" s="484" t="s">
        <v>119</v>
      </c>
      <c r="E31" s="472" t="s">
        <v>122</v>
      </c>
      <c r="F31" s="486">
        <v>17</v>
      </c>
      <c r="G31" s="611">
        <v>0.4</v>
      </c>
      <c r="H31" s="829">
        <f t="shared" si="4"/>
        <v>3.8636363636363638E-3</v>
      </c>
      <c r="I31" s="1">
        <f t="shared" si="0"/>
        <v>2.8332133440562162</v>
      </c>
      <c r="J31" s="1">
        <f t="shared" si="1"/>
        <v>-0.916290731874155</v>
      </c>
      <c r="K31" s="1">
        <f t="shared" si="2"/>
        <v>-5.5561464758501362</v>
      </c>
    </row>
    <row r="32" spans="1:11">
      <c r="A32" s="483">
        <f t="shared" si="3"/>
        <v>26</v>
      </c>
      <c r="B32" s="485">
        <v>21817</v>
      </c>
      <c r="C32" s="473">
        <v>0.6020833333333333</v>
      </c>
      <c r="D32" s="484" t="s">
        <v>108</v>
      </c>
      <c r="E32" s="472" t="s">
        <v>122</v>
      </c>
      <c r="F32" s="486">
        <v>117</v>
      </c>
      <c r="G32" s="611">
        <v>0.1</v>
      </c>
      <c r="H32" s="829">
        <f t="shared" si="4"/>
        <v>6.6477272727272739E-3</v>
      </c>
      <c r="I32" s="1">
        <f t="shared" si="0"/>
        <v>4.7621739347977563</v>
      </c>
      <c r="J32" s="1">
        <f t="shared" si="1"/>
        <v>-2.3025850929940455</v>
      </c>
      <c r="K32" s="1">
        <f t="shared" si="2"/>
        <v>-5.0134802462284869</v>
      </c>
    </row>
    <row r="33" spans="1:11">
      <c r="A33" s="483">
        <f t="shared" si="3"/>
        <v>27</v>
      </c>
      <c r="B33" s="485">
        <v>22064</v>
      </c>
      <c r="C33" s="473">
        <v>0.67222222222222217</v>
      </c>
      <c r="D33" s="484" t="s">
        <v>118</v>
      </c>
      <c r="E33" s="472" t="s">
        <v>122</v>
      </c>
      <c r="F33" s="486">
        <v>7</v>
      </c>
      <c r="G33" s="611">
        <v>0.1</v>
      </c>
      <c r="H33" s="829">
        <f t="shared" si="4"/>
        <v>3.9772727272727269E-4</v>
      </c>
      <c r="I33" s="1">
        <f t="shared" si="0"/>
        <v>1.9459101490553132</v>
      </c>
      <c r="J33" s="1">
        <f t="shared" si="1"/>
        <v>-2.3025850929940455</v>
      </c>
      <c r="K33" s="1">
        <f t="shared" si="2"/>
        <v>-7.8297440319709297</v>
      </c>
    </row>
    <row r="34" spans="1:11">
      <c r="A34" s="483">
        <f t="shared" si="3"/>
        <v>28</v>
      </c>
      <c r="B34" s="485">
        <v>22064</v>
      </c>
      <c r="C34" s="473">
        <v>0.70833333333333337</v>
      </c>
      <c r="D34" s="484" t="s">
        <v>118</v>
      </c>
      <c r="E34" s="472" t="s">
        <v>122</v>
      </c>
      <c r="F34" s="486">
        <v>3</v>
      </c>
      <c r="G34" s="611">
        <v>0.1</v>
      </c>
      <c r="H34" s="829">
        <f t="shared" si="4"/>
        <v>1.7045454545454547E-4</v>
      </c>
      <c r="I34" s="1">
        <f t="shared" si="0"/>
        <v>1.0986122886681098</v>
      </c>
      <c r="J34" s="1">
        <f t="shared" si="1"/>
        <v>-2.3025850929940455</v>
      </c>
      <c r="K34" s="1">
        <f t="shared" si="2"/>
        <v>-8.6770418923581332</v>
      </c>
    </row>
    <row r="35" spans="1:11">
      <c r="A35" s="483">
        <f t="shared" si="3"/>
        <v>29</v>
      </c>
      <c r="B35" s="485">
        <v>22075</v>
      </c>
      <c r="C35" s="473">
        <v>4.1666666666666664E-2</v>
      </c>
      <c r="D35" s="484" t="s">
        <v>114</v>
      </c>
      <c r="E35" s="472" t="s">
        <v>122</v>
      </c>
      <c r="F35" s="486">
        <v>33</v>
      </c>
      <c r="G35" s="611">
        <v>0.5</v>
      </c>
      <c r="H35" s="829">
        <f t="shared" si="4"/>
        <v>9.3749999999999997E-3</v>
      </c>
      <c r="I35" s="1">
        <f t="shared" si="0"/>
        <v>3.4965075614664802</v>
      </c>
      <c r="J35" s="1">
        <f t="shared" si="1"/>
        <v>-0.69314718055994529</v>
      </c>
      <c r="K35" s="1">
        <f t="shared" si="2"/>
        <v>-4.6697087071256629</v>
      </c>
    </row>
    <row r="36" spans="1:11">
      <c r="A36" s="483">
        <f t="shared" si="3"/>
        <v>30</v>
      </c>
      <c r="B36" s="485">
        <v>22076</v>
      </c>
      <c r="C36" s="473">
        <v>1.0416666666666666E-2</v>
      </c>
      <c r="D36" s="484" t="s">
        <v>108</v>
      </c>
      <c r="E36" s="472" t="s">
        <v>122</v>
      </c>
      <c r="F36" s="486">
        <v>23</v>
      </c>
      <c r="G36" s="611">
        <v>0.1</v>
      </c>
      <c r="H36" s="829">
        <f t="shared" si="4"/>
        <v>1.3068181818181818E-3</v>
      </c>
      <c r="I36" s="1">
        <f t="shared" si="0"/>
        <v>3.1354942159291497</v>
      </c>
      <c r="J36" s="1">
        <f t="shared" si="1"/>
        <v>-2.3025850929940455</v>
      </c>
      <c r="K36" s="1">
        <f t="shared" si="2"/>
        <v>-6.6401599650970935</v>
      </c>
    </row>
    <row r="37" spans="1:11">
      <c r="A37" s="483">
        <f t="shared" si="3"/>
        <v>31</v>
      </c>
      <c r="B37" s="485">
        <v>22077</v>
      </c>
      <c r="C37" s="473">
        <v>0.72916666666666663</v>
      </c>
      <c r="D37" s="484" t="s">
        <v>117</v>
      </c>
      <c r="E37" s="472" t="s">
        <v>122</v>
      </c>
      <c r="F37" s="486">
        <v>10</v>
      </c>
      <c r="G37" s="611">
        <v>0.1</v>
      </c>
      <c r="H37" s="829">
        <f t="shared" si="4"/>
        <v>5.6818181818181826E-4</v>
      </c>
      <c r="I37" s="1">
        <f t="shared" si="0"/>
        <v>2.3025850929940459</v>
      </c>
      <c r="J37" s="1">
        <f t="shared" si="1"/>
        <v>-2.3025850929940455</v>
      </c>
      <c r="K37" s="1">
        <f t="shared" si="2"/>
        <v>-7.4730690880321973</v>
      </c>
    </row>
    <row r="38" spans="1:11">
      <c r="A38" s="483">
        <f t="shared" si="3"/>
        <v>32</v>
      </c>
      <c r="B38" s="485">
        <v>22077</v>
      </c>
      <c r="C38" s="473">
        <v>0.82361111111111107</v>
      </c>
      <c r="D38" s="484" t="s">
        <v>113</v>
      </c>
      <c r="E38" s="472" t="s">
        <v>122</v>
      </c>
      <c r="F38" s="486">
        <v>10</v>
      </c>
      <c r="G38" s="611">
        <v>0.1</v>
      </c>
      <c r="H38" s="829">
        <f t="shared" si="4"/>
        <v>5.6818181818181826E-4</v>
      </c>
      <c r="I38" s="1">
        <f t="shared" si="0"/>
        <v>2.3025850929940459</v>
      </c>
      <c r="J38" s="1">
        <f t="shared" si="1"/>
        <v>-2.3025850929940455</v>
      </c>
      <c r="K38" s="1">
        <f t="shared" si="2"/>
        <v>-7.4730690880321973</v>
      </c>
    </row>
    <row r="39" spans="1:11">
      <c r="A39" s="483">
        <f t="shared" si="3"/>
        <v>33</v>
      </c>
      <c r="B39" s="485">
        <v>22405</v>
      </c>
      <c r="C39" s="473">
        <v>0.58333333333333337</v>
      </c>
      <c r="D39" s="484" t="s">
        <v>111</v>
      </c>
      <c r="E39" s="472" t="s">
        <v>122</v>
      </c>
      <c r="F39" s="486">
        <v>33</v>
      </c>
      <c r="G39" s="611">
        <v>8.4</v>
      </c>
      <c r="H39" s="829">
        <f t="shared" si="4"/>
        <v>0.1575</v>
      </c>
      <c r="I39" s="1">
        <f t="shared" si="0"/>
        <v>3.4965075614664802</v>
      </c>
      <c r="J39" s="1">
        <f t="shared" si="1"/>
        <v>2.1282317058492679</v>
      </c>
      <c r="K39" s="1">
        <f t="shared" si="2"/>
        <v>-1.8483298207164494</v>
      </c>
    </row>
    <row r="40" spans="1:11">
      <c r="A40" s="483">
        <f t="shared" si="3"/>
        <v>34</v>
      </c>
      <c r="B40" s="485">
        <v>22417</v>
      </c>
      <c r="C40" s="473">
        <v>0.73611111111111116</v>
      </c>
      <c r="D40" s="484" t="s">
        <v>115</v>
      </c>
      <c r="E40" s="472" t="s">
        <v>122</v>
      </c>
      <c r="F40" s="486">
        <v>33</v>
      </c>
      <c r="G40" s="611">
        <v>0.2</v>
      </c>
      <c r="H40" s="829">
        <f t="shared" si="4"/>
        <v>3.7499999999999999E-3</v>
      </c>
      <c r="I40" s="1">
        <f t="shared" si="0"/>
        <v>3.4965075614664802</v>
      </c>
      <c r="J40" s="1">
        <f t="shared" si="1"/>
        <v>-1.6094379124341003</v>
      </c>
      <c r="K40" s="1">
        <f t="shared" si="2"/>
        <v>-5.585999438999818</v>
      </c>
    </row>
    <row r="41" spans="1:11">
      <c r="A41" s="483">
        <f t="shared" si="3"/>
        <v>35</v>
      </c>
      <c r="B41" s="485">
        <v>22435</v>
      </c>
      <c r="C41" s="473">
        <v>0.83333333333333337</v>
      </c>
      <c r="D41" s="484" t="s">
        <v>112</v>
      </c>
      <c r="E41" s="472" t="s">
        <v>122</v>
      </c>
      <c r="F41" s="486">
        <v>50</v>
      </c>
      <c r="G41" s="611">
        <v>27.3</v>
      </c>
      <c r="H41" s="829">
        <f t="shared" si="4"/>
        <v>0.77556818181818177</v>
      </c>
      <c r="I41" s="1">
        <f t="shared" si="0"/>
        <v>3.912023005428146</v>
      </c>
      <c r="J41" s="1">
        <f t="shared" si="1"/>
        <v>3.3068867021909143</v>
      </c>
      <c r="K41" s="1">
        <f t="shared" si="2"/>
        <v>-0.2541593804131374</v>
      </c>
    </row>
    <row r="42" spans="1:11">
      <c r="A42" s="483">
        <f t="shared" si="3"/>
        <v>36</v>
      </c>
      <c r="B42" s="485">
        <v>22439</v>
      </c>
      <c r="C42" s="473">
        <v>2.0833333333333332E-2</v>
      </c>
      <c r="D42" s="484" t="s">
        <v>110</v>
      </c>
      <c r="E42" s="472" t="s">
        <v>122</v>
      </c>
      <c r="F42" s="486">
        <v>33</v>
      </c>
      <c r="G42" s="611">
        <v>20</v>
      </c>
      <c r="H42" s="829">
        <f t="shared" si="4"/>
        <v>0.375</v>
      </c>
      <c r="I42" s="1">
        <f t="shared" si="0"/>
        <v>3.4965075614664802</v>
      </c>
      <c r="J42" s="1">
        <f t="shared" si="1"/>
        <v>2.9957322735539909</v>
      </c>
      <c r="K42" s="1">
        <f t="shared" si="2"/>
        <v>-0.98082925301172619</v>
      </c>
    </row>
    <row r="43" spans="1:11">
      <c r="A43" s="483">
        <f t="shared" si="3"/>
        <v>37</v>
      </c>
      <c r="B43" s="485">
        <v>22439</v>
      </c>
      <c r="C43" s="473">
        <v>0.83333333333333337</v>
      </c>
      <c r="D43" s="484" t="s">
        <v>100</v>
      </c>
      <c r="E43" s="472" t="s">
        <v>122</v>
      </c>
      <c r="F43" s="486">
        <v>10</v>
      </c>
      <c r="G43" s="611">
        <v>0.1</v>
      </c>
      <c r="H43" s="829">
        <f t="shared" si="4"/>
        <v>5.6818181818181826E-4</v>
      </c>
      <c r="I43" s="1">
        <f t="shared" si="0"/>
        <v>2.3025850929940459</v>
      </c>
      <c r="J43" s="1">
        <f t="shared" si="1"/>
        <v>-2.3025850929940455</v>
      </c>
      <c r="K43" s="1">
        <f t="shared" si="2"/>
        <v>-7.4730690880321973</v>
      </c>
    </row>
    <row r="44" spans="1:11">
      <c r="A44" s="483">
        <f t="shared" si="3"/>
        <v>38</v>
      </c>
      <c r="B44" s="485">
        <v>22783</v>
      </c>
      <c r="C44" s="473">
        <v>0.59861111111111109</v>
      </c>
      <c r="D44" s="484" t="s">
        <v>99</v>
      </c>
      <c r="E44" s="472" t="s">
        <v>122</v>
      </c>
      <c r="F44" s="486">
        <v>10</v>
      </c>
      <c r="G44" s="611">
        <v>0.1</v>
      </c>
      <c r="H44" s="829">
        <f t="shared" si="4"/>
        <v>5.6818181818181826E-4</v>
      </c>
      <c r="I44" s="1">
        <f t="shared" si="0"/>
        <v>2.3025850929940459</v>
      </c>
      <c r="J44" s="1">
        <f t="shared" si="1"/>
        <v>-2.3025850929940455</v>
      </c>
      <c r="K44" s="1">
        <f t="shared" si="2"/>
        <v>-7.4730690880321973</v>
      </c>
    </row>
    <row r="45" spans="1:11">
      <c r="A45" s="483">
        <f t="shared" si="3"/>
        <v>39</v>
      </c>
      <c r="B45" s="485">
        <v>22793</v>
      </c>
      <c r="C45" s="473">
        <v>0.72916666666666663</v>
      </c>
      <c r="D45" s="484" t="s">
        <v>101</v>
      </c>
      <c r="E45" s="472" t="s">
        <v>122</v>
      </c>
      <c r="F45" s="486">
        <v>10</v>
      </c>
      <c r="G45" s="611">
        <v>0.1</v>
      </c>
      <c r="H45" s="829">
        <f t="shared" si="4"/>
        <v>5.6818181818181826E-4</v>
      </c>
      <c r="I45" s="1">
        <f t="shared" si="0"/>
        <v>2.3025850929940459</v>
      </c>
      <c r="J45" s="1">
        <f t="shared" si="1"/>
        <v>-2.3025850929940455</v>
      </c>
      <c r="K45" s="1">
        <f t="shared" si="2"/>
        <v>-7.4730690880321973</v>
      </c>
    </row>
    <row r="46" spans="1:11">
      <c r="A46" s="483">
        <f t="shared" si="3"/>
        <v>40</v>
      </c>
      <c r="B46" s="485">
        <v>22803</v>
      </c>
      <c r="C46" s="473">
        <v>0.70833333333333337</v>
      </c>
      <c r="D46" s="484" t="s">
        <v>104</v>
      </c>
      <c r="E46" s="472" t="s">
        <v>122</v>
      </c>
      <c r="F46" s="486">
        <v>27</v>
      </c>
      <c r="G46" s="611">
        <v>1</v>
      </c>
      <c r="H46" s="829">
        <f t="shared" si="4"/>
        <v>1.5340909090909091E-2</v>
      </c>
      <c r="I46" s="1">
        <f t="shared" si="0"/>
        <v>3.2958368660043291</v>
      </c>
      <c r="J46" s="1">
        <f t="shared" si="1"/>
        <v>0</v>
      </c>
      <c r="K46" s="1">
        <f t="shared" si="2"/>
        <v>-4.1772322220278681</v>
      </c>
    </row>
    <row r="47" spans="1:11">
      <c r="A47" s="483">
        <f t="shared" si="3"/>
        <v>41</v>
      </c>
      <c r="B47" s="485">
        <v>22803</v>
      </c>
      <c r="C47" s="473">
        <v>0.75</v>
      </c>
      <c r="D47" s="484" t="s">
        <v>100</v>
      </c>
      <c r="E47" s="472" t="s">
        <v>122</v>
      </c>
      <c r="F47" s="486">
        <v>10</v>
      </c>
      <c r="G47" s="611">
        <v>0.1</v>
      </c>
      <c r="H47" s="829">
        <f t="shared" si="4"/>
        <v>5.6818181818181826E-4</v>
      </c>
      <c r="I47" s="1">
        <f t="shared" si="0"/>
        <v>2.3025850929940459</v>
      </c>
      <c r="J47" s="1">
        <f t="shared" si="1"/>
        <v>-2.3025850929940455</v>
      </c>
      <c r="K47" s="1">
        <f t="shared" si="2"/>
        <v>-7.4730690880321973</v>
      </c>
    </row>
    <row r="48" spans="1:11">
      <c r="A48" s="483">
        <f t="shared" si="3"/>
        <v>42</v>
      </c>
      <c r="B48" s="485">
        <v>22803</v>
      </c>
      <c r="C48" s="473">
        <v>0.96527777777777779</v>
      </c>
      <c r="D48" s="484" t="s">
        <v>111</v>
      </c>
      <c r="E48" s="472" t="s">
        <v>122</v>
      </c>
      <c r="F48" s="486">
        <v>100</v>
      </c>
      <c r="G48" s="611">
        <v>2</v>
      </c>
      <c r="H48" s="829">
        <f t="shared" si="4"/>
        <v>0.11363636363636363</v>
      </c>
      <c r="I48" s="1">
        <f t="shared" si="0"/>
        <v>4.6051701859880918</v>
      </c>
      <c r="J48" s="1">
        <f t="shared" si="1"/>
        <v>0.69314718055994529</v>
      </c>
      <c r="K48" s="1">
        <f t="shared" si="2"/>
        <v>-2.174751721484161</v>
      </c>
    </row>
    <row r="49" spans="1:11">
      <c r="A49" s="483">
        <f t="shared" si="3"/>
        <v>43</v>
      </c>
      <c r="B49" s="485">
        <v>22805</v>
      </c>
      <c r="C49" s="473">
        <v>0.84375</v>
      </c>
      <c r="D49" s="484" t="s">
        <v>101</v>
      </c>
      <c r="E49" s="472" t="s">
        <v>122</v>
      </c>
      <c r="F49" s="486">
        <v>10</v>
      </c>
      <c r="G49" s="611">
        <v>0.1</v>
      </c>
      <c r="H49" s="829">
        <f t="shared" si="4"/>
        <v>5.6818181818181826E-4</v>
      </c>
      <c r="I49" s="1">
        <f t="shared" si="0"/>
        <v>2.3025850929940459</v>
      </c>
      <c r="J49" s="1">
        <f t="shared" si="1"/>
        <v>-2.3025850929940455</v>
      </c>
      <c r="K49" s="1">
        <f t="shared" si="2"/>
        <v>-7.4730690880321973</v>
      </c>
    </row>
    <row r="50" spans="1:11">
      <c r="A50" s="483">
        <f t="shared" si="3"/>
        <v>44</v>
      </c>
      <c r="B50" s="485">
        <v>22805</v>
      </c>
      <c r="C50" s="473">
        <v>0.84375</v>
      </c>
      <c r="D50" s="484" t="s">
        <v>101</v>
      </c>
      <c r="E50" s="472" t="s">
        <v>122</v>
      </c>
      <c r="F50" s="486">
        <v>10</v>
      </c>
      <c r="G50" s="611">
        <v>0.1</v>
      </c>
      <c r="H50" s="829">
        <f t="shared" si="4"/>
        <v>5.6818181818181826E-4</v>
      </c>
      <c r="I50" s="1">
        <f t="shared" si="0"/>
        <v>2.3025850929940459</v>
      </c>
      <c r="J50" s="1">
        <f t="shared" si="1"/>
        <v>-2.3025850929940455</v>
      </c>
      <c r="K50" s="1">
        <f t="shared" si="2"/>
        <v>-7.4730690880321973</v>
      </c>
    </row>
    <row r="51" spans="1:11">
      <c r="A51" s="483">
        <f t="shared" si="3"/>
        <v>45</v>
      </c>
      <c r="B51" s="485">
        <v>22811</v>
      </c>
      <c r="C51" s="473">
        <v>0.84097222222222223</v>
      </c>
      <c r="D51" s="484" t="s">
        <v>118</v>
      </c>
      <c r="E51" s="472" t="s">
        <v>122</v>
      </c>
      <c r="F51" s="486">
        <v>33</v>
      </c>
      <c r="G51" s="611">
        <v>2</v>
      </c>
      <c r="H51" s="829">
        <f t="shared" si="4"/>
        <v>3.7499999999999999E-2</v>
      </c>
      <c r="I51" s="1">
        <f t="shared" si="0"/>
        <v>3.4965075614664802</v>
      </c>
      <c r="J51" s="1">
        <f t="shared" si="1"/>
        <v>0.69314718055994529</v>
      </c>
      <c r="K51" s="1">
        <f t="shared" si="2"/>
        <v>-3.2834143460057721</v>
      </c>
    </row>
    <row r="52" spans="1:11">
      <c r="A52" s="483">
        <f t="shared" si="3"/>
        <v>46</v>
      </c>
      <c r="B52" s="485">
        <v>22819</v>
      </c>
      <c r="C52" s="473">
        <v>0.95347222222222217</v>
      </c>
      <c r="D52" s="484" t="s">
        <v>101</v>
      </c>
      <c r="E52" s="472" t="s">
        <v>122</v>
      </c>
      <c r="F52" s="486">
        <v>10</v>
      </c>
      <c r="G52" s="611">
        <v>0.1</v>
      </c>
      <c r="H52" s="829">
        <f t="shared" si="4"/>
        <v>5.6818181818181826E-4</v>
      </c>
      <c r="I52" s="1">
        <f t="shared" si="0"/>
        <v>2.3025850929940459</v>
      </c>
      <c r="J52" s="1">
        <f t="shared" si="1"/>
        <v>-2.3025850929940455</v>
      </c>
      <c r="K52" s="1">
        <f t="shared" si="2"/>
        <v>-7.4730690880321973</v>
      </c>
    </row>
    <row r="53" spans="1:11">
      <c r="A53" s="483">
        <f t="shared" si="3"/>
        <v>47</v>
      </c>
      <c r="B53" s="485">
        <v>23135</v>
      </c>
      <c r="C53" s="473">
        <v>0.625</v>
      </c>
      <c r="D53" s="484" t="s">
        <v>109</v>
      </c>
      <c r="E53" s="472" t="s">
        <v>122</v>
      </c>
      <c r="F53" s="486">
        <v>33</v>
      </c>
      <c r="G53" s="611">
        <v>1</v>
      </c>
      <c r="H53" s="829">
        <f t="shared" si="4"/>
        <v>1.8749999999999999E-2</v>
      </c>
      <c r="I53" s="1">
        <f t="shared" si="0"/>
        <v>3.4965075614664802</v>
      </c>
      <c r="J53" s="1">
        <f t="shared" si="1"/>
        <v>0</v>
      </c>
      <c r="K53" s="1">
        <f t="shared" si="2"/>
        <v>-3.9765615265657175</v>
      </c>
    </row>
    <row r="54" spans="1:11">
      <c r="A54" s="483">
        <f t="shared" si="3"/>
        <v>48</v>
      </c>
      <c r="B54" s="485">
        <v>23203</v>
      </c>
      <c r="C54" s="473">
        <v>0.875</v>
      </c>
      <c r="D54" s="484" t="s">
        <v>107</v>
      </c>
      <c r="E54" s="472" t="s">
        <v>122</v>
      </c>
      <c r="F54" s="486">
        <v>33</v>
      </c>
      <c r="G54" s="611">
        <v>0.8</v>
      </c>
      <c r="H54" s="829">
        <f t="shared" si="4"/>
        <v>1.4999999999999999E-2</v>
      </c>
      <c r="I54" s="1">
        <f t="shared" si="0"/>
        <v>3.4965075614664802</v>
      </c>
      <c r="J54" s="1">
        <f t="shared" si="1"/>
        <v>-0.22314355131420971</v>
      </c>
      <c r="K54" s="1">
        <f t="shared" si="2"/>
        <v>-4.1997050778799272</v>
      </c>
    </row>
    <row r="55" spans="1:11">
      <c r="A55" s="483">
        <f t="shared" si="3"/>
        <v>49</v>
      </c>
      <c r="B55" s="485">
        <v>23507</v>
      </c>
      <c r="C55" s="473">
        <v>0.625</v>
      </c>
      <c r="D55" s="484" t="s">
        <v>99</v>
      </c>
      <c r="E55" s="472" t="s">
        <v>122</v>
      </c>
      <c r="F55" s="486">
        <v>10</v>
      </c>
      <c r="G55" s="611">
        <v>0.1</v>
      </c>
      <c r="H55" s="829">
        <f t="shared" si="4"/>
        <v>5.6818181818181826E-4</v>
      </c>
      <c r="I55" s="1">
        <f t="shared" si="0"/>
        <v>2.3025850929940459</v>
      </c>
      <c r="J55" s="1">
        <f t="shared" si="1"/>
        <v>-2.3025850929940455</v>
      </c>
      <c r="K55" s="1">
        <f t="shared" si="2"/>
        <v>-7.4730690880321973</v>
      </c>
    </row>
    <row r="56" spans="1:11">
      <c r="A56" s="483">
        <f t="shared" si="3"/>
        <v>50</v>
      </c>
      <c r="B56" s="485">
        <v>23540</v>
      </c>
      <c r="C56" s="473">
        <v>0.625</v>
      </c>
      <c r="D56" s="484" t="s">
        <v>117</v>
      </c>
      <c r="E56" s="472" t="s">
        <v>122</v>
      </c>
      <c r="F56" s="486">
        <v>13</v>
      </c>
      <c r="G56" s="611">
        <v>0.5</v>
      </c>
      <c r="H56" s="829">
        <f t="shared" si="4"/>
        <v>3.6931818181818181E-3</v>
      </c>
      <c r="I56" s="1">
        <f t="shared" si="0"/>
        <v>2.5649493574615367</v>
      </c>
      <c r="J56" s="1">
        <f t="shared" si="1"/>
        <v>-0.69314718055994529</v>
      </c>
      <c r="K56" s="1">
        <f t="shared" si="2"/>
        <v>-5.6012669111306064</v>
      </c>
    </row>
    <row r="57" spans="1:11">
      <c r="A57" s="483">
        <f t="shared" si="3"/>
        <v>51</v>
      </c>
      <c r="B57" s="485">
        <v>23550</v>
      </c>
      <c r="C57" s="473">
        <v>0.72916666666666663</v>
      </c>
      <c r="D57" s="484" t="s">
        <v>111</v>
      </c>
      <c r="E57" s="472" t="s">
        <v>122</v>
      </c>
      <c r="F57" s="486">
        <v>17</v>
      </c>
      <c r="G57" s="611">
        <v>1</v>
      </c>
      <c r="H57" s="829">
        <f t="shared" si="4"/>
        <v>9.6590909090909088E-3</v>
      </c>
      <c r="I57" s="1">
        <f t="shared" si="0"/>
        <v>2.8332133440562162</v>
      </c>
      <c r="J57" s="1">
        <f t="shared" si="1"/>
        <v>0</v>
      </c>
      <c r="K57" s="1">
        <f t="shared" si="2"/>
        <v>-4.6398557439759811</v>
      </c>
    </row>
    <row r="58" spans="1:11">
      <c r="A58" s="483">
        <f t="shared" si="3"/>
        <v>52</v>
      </c>
      <c r="B58" s="485">
        <v>23866</v>
      </c>
      <c r="C58" s="473">
        <v>0.83333333333333337</v>
      </c>
      <c r="D58" s="484" t="s">
        <v>107</v>
      </c>
      <c r="E58" s="472" t="s">
        <v>122</v>
      </c>
      <c r="F58" s="486">
        <v>33</v>
      </c>
      <c r="G58" s="611">
        <v>4.5999999999999996</v>
      </c>
      <c r="H58" s="829">
        <f t="shared" si="4"/>
        <v>8.6249999999999993E-2</v>
      </c>
      <c r="I58" s="1">
        <f t="shared" si="0"/>
        <v>3.4965075614664802</v>
      </c>
      <c r="J58" s="1">
        <f t="shared" si="1"/>
        <v>1.5260563034950492</v>
      </c>
      <c r="K58" s="1">
        <f t="shared" si="2"/>
        <v>-2.4505052230706679</v>
      </c>
    </row>
    <row r="59" spans="1:11">
      <c r="A59" s="483">
        <f t="shared" si="3"/>
        <v>53</v>
      </c>
      <c r="B59" s="485">
        <v>23869</v>
      </c>
      <c r="C59" s="473">
        <v>0.78472222222222221</v>
      </c>
      <c r="D59" s="484" t="s">
        <v>116</v>
      </c>
      <c r="E59" s="472" t="s">
        <v>122</v>
      </c>
      <c r="F59" s="486">
        <v>17</v>
      </c>
      <c r="G59" s="611">
        <v>0.8</v>
      </c>
      <c r="H59" s="829">
        <f t="shared" si="4"/>
        <v>7.7272727272727276E-3</v>
      </c>
      <c r="I59" s="1">
        <f t="shared" si="0"/>
        <v>2.8332133440562162</v>
      </c>
      <c r="J59" s="1">
        <f t="shared" si="1"/>
        <v>-0.22314355131420971</v>
      </c>
      <c r="K59" s="1">
        <f t="shared" si="2"/>
        <v>-4.8629992952901908</v>
      </c>
    </row>
    <row r="60" spans="1:11">
      <c r="A60" s="483">
        <f t="shared" si="3"/>
        <v>54</v>
      </c>
      <c r="B60" s="485">
        <v>23887</v>
      </c>
      <c r="C60" s="473">
        <v>0.81944444444444453</v>
      </c>
      <c r="D60" s="484" t="s">
        <v>111</v>
      </c>
      <c r="E60" s="472" t="s">
        <v>122</v>
      </c>
      <c r="F60" s="486">
        <v>10</v>
      </c>
      <c r="G60" s="611">
        <v>0.1</v>
      </c>
      <c r="H60" s="829">
        <f t="shared" si="4"/>
        <v>5.6818181818181826E-4</v>
      </c>
      <c r="I60" s="1">
        <f t="shared" si="0"/>
        <v>2.3025850929940459</v>
      </c>
      <c r="J60" s="1">
        <f t="shared" si="1"/>
        <v>-2.3025850929940455</v>
      </c>
      <c r="K60" s="1">
        <f t="shared" si="2"/>
        <v>-7.4730690880321973</v>
      </c>
    </row>
    <row r="61" spans="1:11">
      <c r="A61" s="483">
        <f t="shared" si="3"/>
        <v>55</v>
      </c>
      <c r="B61" s="485">
        <v>23896</v>
      </c>
      <c r="C61" s="473">
        <v>0.875</v>
      </c>
      <c r="D61" s="484" t="s">
        <v>109</v>
      </c>
      <c r="E61" s="472" t="s">
        <v>122</v>
      </c>
      <c r="F61" s="486">
        <v>17</v>
      </c>
      <c r="G61" s="611">
        <v>0.2</v>
      </c>
      <c r="H61" s="829">
        <f t="shared" si="4"/>
        <v>1.9318181818181819E-3</v>
      </c>
      <c r="I61" s="1">
        <f t="shared" si="0"/>
        <v>2.8332133440562162</v>
      </c>
      <c r="J61" s="1">
        <f t="shared" si="1"/>
        <v>-1.6094379124341003</v>
      </c>
      <c r="K61" s="1">
        <f t="shared" si="2"/>
        <v>-6.2492936564100816</v>
      </c>
    </row>
    <row r="62" spans="1:11">
      <c r="A62" s="483">
        <f t="shared" si="3"/>
        <v>56</v>
      </c>
      <c r="B62" s="485">
        <v>23902</v>
      </c>
      <c r="C62" s="473">
        <v>0.625</v>
      </c>
      <c r="D62" s="484" t="s">
        <v>105</v>
      </c>
      <c r="E62" s="472" t="s">
        <v>122</v>
      </c>
      <c r="F62" s="486">
        <v>17</v>
      </c>
      <c r="G62" s="611">
        <v>0.5</v>
      </c>
      <c r="H62" s="829">
        <f t="shared" si="4"/>
        <v>4.8295454545454544E-3</v>
      </c>
      <c r="I62" s="1">
        <f t="shared" si="0"/>
        <v>2.8332133440562162</v>
      </c>
      <c r="J62" s="1">
        <f t="shared" si="1"/>
        <v>-0.69314718055994529</v>
      </c>
      <c r="K62" s="1">
        <f t="shared" si="2"/>
        <v>-5.3330029245359265</v>
      </c>
    </row>
    <row r="63" spans="1:11">
      <c r="A63" s="483">
        <f t="shared" si="3"/>
        <v>57</v>
      </c>
      <c r="B63" s="485">
        <v>23918</v>
      </c>
      <c r="C63" s="473">
        <v>0.79166666666666663</v>
      </c>
      <c r="D63" s="484" t="s">
        <v>109</v>
      </c>
      <c r="E63" s="472" t="s">
        <v>122</v>
      </c>
      <c r="F63" s="486">
        <v>17</v>
      </c>
      <c r="G63" s="611">
        <v>0.1</v>
      </c>
      <c r="H63" s="829">
        <f t="shared" si="4"/>
        <v>9.6590909090909095E-4</v>
      </c>
      <c r="I63" s="1">
        <f t="shared" si="0"/>
        <v>2.8332133440562162</v>
      </c>
      <c r="J63" s="1">
        <f t="shared" si="1"/>
        <v>-2.3025850929940455</v>
      </c>
      <c r="K63" s="1">
        <f t="shared" si="2"/>
        <v>-6.942440836970027</v>
      </c>
    </row>
    <row r="64" spans="1:11">
      <c r="A64" s="483">
        <f t="shared" si="3"/>
        <v>58</v>
      </c>
      <c r="B64" s="485">
        <v>24275</v>
      </c>
      <c r="C64" s="473">
        <v>0.67361111111111116</v>
      </c>
      <c r="D64" s="484" t="s">
        <v>109</v>
      </c>
      <c r="E64" s="472" t="s">
        <v>122</v>
      </c>
      <c r="F64" s="486">
        <v>23</v>
      </c>
      <c r="G64" s="611">
        <v>1</v>
      </c>
      <c r="H64" s="829">
        <f t="shared" si="4"/>
        <v>1.3068181818181817E-2</v>
      </c>
      <c r="I64" s="1">
        <f t="shared" si="0"/>
        <v>3.1354942159291497</v>
      </c>
      <c r="J64" s="1">
        <f t="shared" si="1"/>
        <v>0</v>
      </c>
      <c r="K64" s="1">
        <f t="shared" si="2"/>
        <v>-4.3375748721030476</v>
      </c>
    </row>
    <row r="65" spans="1:11">
      <c r="A65" s="483">
        <f t="shared" si="3"/>
        <v>59</v>
      </c>
      <c r="B65" s="485">
        <v>24278</v>
      </c>
      <c r="C65" s="473">
        <v>0.93958333333333333</v>
      </c>
      <c r="D65" s="484" t="s">
        <v>102</v>
      </c>
      <c r="E65" s="472" t="s">
        <v>122</v>
      </c>
      <c r="F65" s="486">
        <v>20</v>
      </c>
      <c r="G65" s="611">
        <v>1</v>
      </c>
      <c r="H65" s="829">
        <f t="shared" si="4"/>
        <v>1.1363636363636364E-2</v>
      </c>
      <c r="I65" s="1">
        <f t="shared" si="0"/>
        <v>2.9957322735539909</v>
      </c>
      <c r="J65" s="1">
        <f t="shared" si="1"/>
        <v>0</v>
      </c>
      <c r="K65" s="1">
        <f t="shared" si="2"/>
        <v>-4.4773368144782069</v>
      </c>
    </row>
    <row r="66" spans="1:11">
      <c r="A66" s="483">
        <f t="shared" si="3"/>
        <v>60</v>
      </c>
      <c r="B66" s="485">
        <v>24283</v>
      </c>
      <c r="C66" s="473">
        <v>0.73055555555555562</v>
      </c>
      <c r="D66" s="484" t="s">
        <v>102</v>
      </c>
      <c r="E66" s="472" t="s">
        <v>122</v>
      </c>
      <c r="F66" s="486">
        <v>33</v>
      </c>
      <c r="G66" s="611">
        <v>2</v>
      </c>
      <c r="H66" s="829">
        <f t="shared" si="4"/>
        <v>3.7499999999999999E-2</v>
      </c>
      <c r="I66" s="1">
        <f t="shared" si="0"/>
        <v>3.4965075614664802</v>
      </c>
      <c r="J66" s="1">
        <f t="shared" si="1"/>
        <v>0.69314718055994529</v>
      </c>
      <c r="K66" s="1">
        <f t="shared" si="2"/>
        <v>-3.2834143460057721</v>
      </c>
    </row>
    <row r="67" spans="1:11">
      <c r="A67" s="483">
        <f t="shared" si="3"/>
        <v>61</v>
      </c>
      <c r="B67" s="485">
        <v>24307</v>
      </c>
      <c r="C67" s="473">
        <v>0.5805555555555556</v>
      </c>
      <c r="D67" s="484" t="s">
        <v>106</v>
      </c>
      <c r="E67" s="472" t="s">
        <v>122</v>
      </c>
      <c r="F67" s="486">
        <v>10</v>
      </c>
      <c r="G67" s="611">
        <v>1</v>
      </c>
      <c r="H67" s="829">
        <f t="shared" si="4"/>
        <v>5.681818181818182E-3</v>
      </c>
      <c r="I67" s="1">
        <f t="shared" si="0"/>
        <v>2.3025850929940459</v>
      </c>
      <c r="J67" s="1">
        <f t="shared" si="1"/>
        <v>0</v>
      </c>
      <c r="K67" s="1">
        <f t="shared" si="2"/>
        <v>-5.1704839950381514</v>
      </c>
    </row>
    <row r="68" spans="1:11">
      <c r="A68" s="483">
        <f t="shared" si="3"/>
        <v>62</v>
      </c>
      <c r="B68" s="485">
        <v>24307</v>
      </c>
      <c r="C68" s="473">
        <v>0.5805555555555556</v>
      </c>
      <c r="D68" s="484" t="s">
        <v>106</v>
      </c>
      <c r="E68" s="472" t="s">
        <v>122</v>
      </c>
      <c r="F68" s="486">
        <v>17</v>
      </c>
      <c r="G68" s="611">
        <v>1.5</v>
      </c>
      <c r="H68" s="829">
        <f t="shared" si="4"/>
        <v>1.4488636363636363E-2</v>
      </c>
      <c r="I68" s="1">
        <f t="shared" si="0"/>
        <v>2.8332133440562162</v>
      </c>
      <c r="J68" s="1">
        <f t="shared" si="1"/>
        <v>0.40546510810816438</v>
      </c>
      <c r="K68" s="1">
        <f t="shared" si="2"/>
        <v>-4.2343906358678174</v>
      </c>
    </row>
    <row r="69" spans="1:11">
      <c r="A69" s="483">
        <f t="shared" si="3"/>
        <v>63</v>
      </c>
      <c r="B69" s="485">
        <v>24328</v>
      </c>
      <c r="C69" s="473">
        <v>0.82291666666666663</v>
      </c>
      <c r="D69" s="484" t="s">
        <v>109</v>
      </c>
      <c r="E69" s="472" t="s">
        <v>122</v>
      </c>
      <c r="F69" s="486">
        <v>27</v>
      </c>
      <c r="G69" s="611">
        <v>2.7</v>
      </c>
      <c r="H69" s="829">
        <f t="shared" si="4"/>
        <v>4.1420454545454545E-2</v>
      </c>
      <c r="I69" s="1">
        <f t="shared" si="0"/>
        <v>3.2958368660043291</v>
      </c>
      <c r="J69" s="1">
        <f t="shared" si="1"/>
        <v>0.99325177301028345</v>
      </c>
      <c r="K69" s="1">
        <f t="shared" si="2"/>
        <v>-3.1839804490175849</v>
      </c>
    </row>
    <row r="70" spans="1:11">
      <c r="A70" s="483">
        <f t="shared" si="3"/>
        <v>64</v>
      </c>
      <c r="B70" s="485">
        <v>24328</v>
      </c>
      <c r="C70" s="473">
        <v>0.89583333333333337</v>
      </c>
      <c r="D70" s="484" t="s">
        <v>107</v>
      </c>
      <c r="E70" s="472" t="s">
        <v>122</v>
      </c>
      <c r="F70" s="486">
        <v>33</v>
      </c>
      <c r="G70" s="611">
        <v>1</v>
      </c>
      <c r="H70" s="829">
        <f t="shared" si="4"/>
        <v>1.8749999999999999E-2</v>
      </c>
      <c r="I70" s="1">
        <f t="shared" si="0"/>
        <v>3.4965075614664802</v>
      </c>
      <c r="J70" s="1">
        <f t="shared" si="1"/>
        <v>0</v>
      </c>
      <c r="K70" s="1">
        <f t="shared" si="2"/>
        <v>-3.9765615265657175</v>
      </c>
    </row>
    <row r="71" spans="1:11">
      <c r="A71" s="483">
        <f t="shared" si="3"/>
        <v>65</v>
      </c>
      <c r="B71" s="485">
        <v>24337</v>
      </c>
      <c r="C71" s="473">
        <v>0.66666666666666663</v>
      </c>
      <c r="D71" s="484" t="s">
        <v>121</v>
      </c>
      <c r="E71" s="472" t="s">
        <v>122</v>
      </c>
      <c r="F71" s="486">
        <v>23</v>
      </c>
      <c r="G71" s="611">
        <v>1</v>
      </c>
      <c r="H71" s="829">
        <f t="shared" si="4"/>
        <v>1.3068181818181817E-2</v>
      </c>
      <c r="I71" s="1">
        <f t="shared" si="0"/>
        <v>3.1354942159291497</v>
      </c>
      <c r="J71" s="1">
        <f t="shared" si="1"/>
        <v>0</v>
      </c>
      <c r="K71" s="1">
        <f t="shared" si="2"/>
        <v>-4.3375748721030476</v>
      </c>
    </row>
    <row r="72" spans="1:11">
      <c r="A72" s="483">
        <f t="shared" si="3"/>
        <v>66</v>
      </c>
      <c r="B72" s="485">
        <v>24550</v>
      </c>
      <c r="C72" s="473">
        <v>0.75</v>
      </c>
      <c r="D72" s="484" t="s">
        <v>117</v>
      </c>
      <c r="E72" s="472" t="s">
        <v>122</v>
      </c>
      <c r="F72" s="486">
        <v>10</v>
      </c>
      <c r="G72" s="611">
        <v>0.5</v>
      </c>
      <c r="H72" s="829">
        <f t="shared" si="4"/>
        <v>2.840909090909091E-3</v>
      </c>
      <c r="I72" s="1">
        <f t="shared" ref="I72:I135" si="5">LN(F72)</f>
        <v>2.3025850929940459</v>
      </c>
      <c r="J72" s="1">
        <f t="shared" ref="J72:J135" si="6">LN(G72)</f>
        <v>-0.69314718055994529</v>
      </c>
      <c r="K72" s="1">
        <f t="shared" ref="K72:K135" si="7">LN(H72)</f>
        <v>-5.8636311755980968</v>
      </c>
    </row>
    <row r="73" spans="1:11">
      <c r="A73" s="483">
        <f t="shared" ref="A73:A136" si="8">+A72+1</f>
        <v>67</v>
      </c>
      <c r="B73" s="485">
        <v>24550</v>
      </c>
      <c r="C73" s="473">
        <v>0.75</v>
      </c>
      <c r="D73" s="484" t="s">
        <v>117</v>
      </c>
      <c r="E73" s="472" t="s">
        <v>122</v>
      </c>
      <c r="F73" s="486">
        <v>10</v>
      </c>
      <c r="G73" s="611">
        <v>0.5</v>
      </c>
      <c r="H73" s="829">
        <f t="shared" ref="H73:H136" si="9">+(F73/1760)*G73</f>
        <v>2.840909090909091E-3</v>
      </c>
      <c r="I73" s="1">
        <f t="shared" si="5"/>
        <v>2.3025850929940459</v>
      </c>
      <c r="J73" s="1">
        <f t="shared" si="6"/>
        <v>-0.69314718055994529</v>
      </c>
      <c r="K73" s="1">
        <f t="shared" si="7"/>
        <v>-5.8636311755980968</v>
      </c>
    </row>
    <row r="74" spans="1:11">
      <c r="A74" s="483">
        <f t="shared" si="8"/>
        <v>68</v>
      </c>
      <c r="B74" s="485">
        <v>24597</v>
      </c>
      <c r="C74" s="473">
        <v>0.57638888888888895</v>
      </c>
      <c r="D74" s="484" t="s">
        <v>118</v>
      </c>
      <c r="E74" s="472" t="s">
        <v>122</v>
      </c>
      <c r="F74" s="486">
        <v>33</v>
      </c>
      <c r="G74" s="611">
        <v>0.1</v>
      </c>
      <c r="H74" s="829">
        <f t="shared" si="9"/>
        <v>1.8749999999999999E-3</v>
      </c>
      <c r="I74" s="1">
        <f t="shared" si="5"/>
        <v>3.4965075614664802</v>
      </c>
      <c r="J74" s="1">
        <f t="shared" si="6"/>
        <v>-2.3025850929940455</v>
      </c>
      <c r="K74" s="1">
        <f t="shared" si="7"/>
        <v>-6.2791466195597634</v>
      </c>
    </row>
    <row r="75" spans="1:11">
      <c r="A75" s="483">
        <f t="shared" si="8"/>
        <v>69</v>
      </c>
      <c r="B75" s="485">
        <v>24597</v>
      </c>
      <c r="C75" s="473">
        <v>0.65625</v>
      </c>
      <c r="D75" s="484" t="s">
        <v>114</v>
      </c>
      <c r="E75" s="472" t="s">
        <v>122</v>
      </c>
      <c r="F75" s="486">
        <v>17</v>
      </c>
      <c r="G75" s="611">
        <v>0.5</v>
      </c>
      <c r="H75" s="829">
        <f t="shared" si="9"/>
        <v>4.8295454545454544E-3</v>
      </c>
      <c r="I75" s="1">
        <f t="shared" si="5"/>
        <v>2.8332133440562162</v>
      </c>
      <c r="J75" s="1">
        <f t="shared" si="6"/>
        <v>-0.69314718055994529</v>
      </c>
      <c r="K75" s="1">
        <f t="shared" si="7"/>
        <v>-5.3330029245359265</v>
      </c>
    </row>
    <row r="76" spans="1:11">
      <c r="A76" s="483">
        <f t="shared" si="8"/>
        <v>70</v>
      </c>
      <c r="B76" s="485">
        <v>24597</v>
      </c>
      <c r="C76" s="473">
        <v>0.69097222222222221</v>
      </c>
      <c r="D76" s="484" t="s">
        <v>114</v>
      </c>
      <c r="E76" s="472" t="s">
        <v>122</v>
      </c>
      <c r="F76" s="486">
        <v>3</v>
      </c>
      <c r="G76" s="611">
        <v>0.1</v>
      </c>
      <c r="H76" s="829">
        <f t="shared" si="9"/>
        <v>1.7045454545454547E-4</v>
      </c>
      <c r="I76" s="1">
        <f t="shared" si="5"/>
        <v>1.0986122886681098</v>
      </c>
      <c r="J76" s="1">
        <f t="shared" si="6"/>
        <v>-2.3025850929940455</v>
      </c>
      <c r="K76" s="1">
        <f t="shared" si="7"/>
        <v>-8.6770418923581332</v>
      </c>
    </row>
    <row r="77" spans="1:11">
      <c r="A77" s="483">
        <f t="shared" si="8"/>
        <v>71</v>
      </c>
      <c r="B77" s="485">
        <v>24622</v>
      </c>
      <c r="C77" s="473">
        <v>0.79166666666666663</v>
      </c>
      <c r="D77" s="484" t="s">
        <v>112</v>
      </c>
      <c r="E77" s="472" t="s">
        <v>122</v>
      </c>
      <c r="F77" s="486">
        <v>17</v>
      </c>
      <c r="G77" s="611">
        <v>1</v>
      </c>
      <c r="H77" s="829">
        <f t="shared" si="9"/>
        <v>9.6590909090909088E-3</v>
      </c>
      <c r="I77" s="1">
        <f t="shared" si="5"/>
        <v>2.8332133440562162</v>
      </c>
      <c r="J77" s="1">
        <f t="shared" si="6"/>
        <v>0</v>
      </c>
      <c r="K77" s="1">
        <f t="shared" si="7"/>
        <v>-4.6398557439759811</v>
      </c>
    </row>
    <row r="78" spans="1:11">
      <c r="A78" s="483">
        <f t="shared" si="8"/>
        <v>72</v>
      </c>
      <c r="B78" s="485">
        <v>24637</v>
      </c>
      <c r="C78" s="473">
        <v>0.89166666666666661</v>
      </c>
      <c r="D78" s="484" t="s">
        <v>100</v>
      </c>
      <c r="E78" s="472" t="s">
        <v>122</v>
      </c>
      <c r="F78" s="486">
        <v>10</v>
      </c>
      <c r="G78" s="611">
        <v>0.1</v>
      </c>
      <c r="H78" s="829">
        <f t="shared" si="9"/>
        <v>5.6818181818181826E-4</v>
      </c>
      <c r="I78" s="1">
        <f t="shared" si="5"/>
        <v>2.3025850929940459</v>
      </c>
      <c r="J78" s="1">
        <f t="shared" si="6"/>
        <v>-2.3025850929940455</v>
      </c>
      <c r="K78" s="1">
        <f t="shared" si="7"/>
        <v>-7.4730690880321973</v>
      </c>
    </row>
    <row r="79" spans="1:11">
      <c r="A79" s="483">
        <f t="shared" si="8"/>
        <v>73</v>
      </c>
      <c r="B79" s="485">
        <v>24637</v>
      </c>
      <c r="C79" s="473">
        <v>0.90625</v>
      </c>
      <c r="D79" s="484" t="s">
        <v>100</v>
      </c>
      <c r="E79" s="472" t="s">
        <v>122</v>
      </c>
      <c r="F79" s="486">
        <v>150</v>
      </c>
      <c r="G79" s="611">
        <v>0.3</v>
      </c>
      <c r="H79" s="829">
        <f t="shared" si="9"/>
        <v>2.5568181818181816E-2</v>
      </c>
      <c r="I79" s="1">
        <f t="shared" si="5"/>
        <v>5.0106352940962555</v>
      </c>
      <c r="J79" s="1">
        <f t="shared" si="6"/>
        <v>-1.2039728043259361</v>
      </c>
      <c r="K79" s="1">
        <f t="shared" si="7"/>
        <v>-3.6664065982618776</v>
      </c>
    </row>
    <row r="80" spans="1:11">
      <c r="A80" s="483">
        <f t="shared" si="8"/>
        <v>74</v>
      </c>
      <c r="B80" s="485">
        <v>24646</v>
      </c>
      <c r="C80" s="473">
        <v>0.70833333333333337</v>
      </c>
      <c r="D80" s="484" t="s">
        <v>108</v>
      </c>
      <c r="E80" s="472" t="s">
        <v>122</v>
      </c>
      <c r="F80" s="486">
        <v>33</v>
      </c>
      <c r="G80" s="611">
        <v>0.1</v>
      </c>
      <c r="H80" s="829">
        <f t="shared" si="9"/>
        <v>1.8749999999999999E-3</v>
      </c>
      <c r="I80" s="1">
        <f t="shared" si="5"/>
        <v>3.4965075614664802</v>
      </c>
      <c r="J80" s="1">
        <f t="shared" si="6"/>
        <v>-2.3025850929940455</v>
      </c>
      <c r="K80" s="1">
        <f t="shared" si="7"/>
        <v>-6.2791466195597634</v>
      </c>
    </row>
    <row r="81" spans="1:11">
      <c r="A81" s="483">
        <f t="shared" si="8"/>
        <v>75</v>
      </c>
      <c r="B81" s="485">
        <v>24651</v>
      </c>
      <c r="C81" s="473">
        <v>0.78125</v>
      </c>
      <c r="D81" s="484" t="s">
        <v>112</v>
      </c>
      <c r="E81" s="472" t="s">
        <v>122</v>
      </c>
      <c r="F81" s="486">
        <v>10</v>
      </c>
      <c r="G81" s="611">
        <v>0.1</v>
      </c>
      <c r="H81" s="829">
        <f t="shared" si="9"/>
        <v>5.6818181818181826E-4</v>
      </c>
      <c r="I81" s="1">
        <f t="shared" si="5"/>
        <v>2.3025850929940459</v>
      </c>
      <c r="J81" s="1">
        <f t="shared" si="6"/>
        <v>-2.3025850929940455</v>
      </c>
      <c r="K81" s="1">
        <f t="shared" si="7"/>
        <v>-7.4730690880321973</v>
      </c>
    </row>
    <row r="82" spans="1:11">
      <c r="A82" s="483">
        <f t="shared" si="8"/>
        <v>76</v>
      </c>
      <c r="B82" s="485">
        <v>24653</v>
      </c>
      <c r="C82" s="473">
        <v>0.72916666666666663</v>
      </c>
      <c r="D82" s="484" t="s">
        <v>118</v>
      </c>
      <c r="E82" s="472" t="s">
        <v>122</v>
      </c>
      <c r="F82" s="486">
        <v>33</v>
      </c>
      <c r="G82" s="611">
        <v>0.1</v>
      </c>
      <c r="H82" s="829">
        <f t="shared" si="9"/>
        <v>1.8749999999999999E-3</v>
      </c>
      <c r="I82" s="1">
        <f t="shared" si="5"/>
        <v>3.4965075614664802</v>
      </c>
      <c r="J82" s="1">
        <f t="shared" si="6"/>
        <v>-2.3025850929940455</v>
      </c>
      <c r="K82" s="1">
        <f t="shared" si="7"/>
        <v>-6.2791466195597634</v>
      </c>
    </row>
    <row r="83" spans="1:11">
      <c r="A83" s="483">
        <f t="shared" si="8"/>
        <v>77</v>
      </c>
      <c r="B83" s="485">
        <v>24656</v>
      </c>
      <c r="C83" s="473">
        <v>0.625</v>
      </c>
      <c r="D83" s="484" t="s">
        <v>99</v>
      </c>
      <c r="E83" s="472" t="s">
        <v>122</v>
      </c>
      <c r="F83" s="486">
        <v>33</v>
      </c>
      <c r="G83" s="611">
        <v>6.8</v>
      </c>
      <c r="H83" s="829">
        <f t="shared" si="9"/>
        <v>0.1275</v>
      </c>
      <c r="I83" s="1">
        <f t="shared" si="5"/>
        <v>3.4965075614664802</v>
      </c>
      <c r="J83" s="1">
        <f t="shared" si="6"/>
        <v>1.9169226121820611</v>
      </c>
      <c r="K83" s="1">
        <f t="shared" si="7"/>
        <v>-2.059638914383656</v>
      </c>
    </row>
    <row r="84" spans="1:11">
      <c r="A84" s="483">
        <f t="shared" si="8"/>
        <v>78</v>
      </c>
      <c r="B84" s="485">
        <v>24656</v>
      </c>
      <c r="C84" s="473">
        <v>0.625</v>
      </c>
      <c r="D84" s="484" t="s">
        <v>99</v>
      </c>
      <c r="E84" s="472" t="s">
        <v>122</v>
      </c>
      <c r="F84" s="486">
        <v>33</v>
      </c>
      <c r="G84" s="611">
        <v>0.1</v>
      </c>
      <c r="H84" s="829">
        <f t="shared" si="9"/>
        <v>1.8749999999999999E-3</v>
      </c>
      <c r="I84" s="1">
        <f t="shared" si="5"/>
        <v>3.4965075614664802</v>
      </c>
      <c r="J84" s="1">
        <f t="shared" si="6"/>
        <v>-2.3025850929940455</v>
      </c>
      <c r="K84" s="1">
        <f t="shared" si="7"/>
        <v>-6.2791466195597634</v>
      </c>
    </row>
    <row r="85" spans="1:11">
      <c r="A85" s="483">
        <f t="shared" si="8"/>
        <v>79</v>
      </c>
      <c r="B85" s="485">
        <v>24656</v>
      </c>
      <c r="C85" s="473">
        <v>0.625</v>
      </c>
      <c r="D85" s="484" t="s">
        <v>99</v>
      </c>
      <c r="E85" s="472" t="s">
        <v>122</v>
      </c>
      <c r="F85" s="486">
        <v>33</v>
      </c>
      <c r="G85" s="611">
        <v>0.1</v>
      </c>
      <c r="H85" s="829">
        <f t="shared" si="9"/>
        <v>1.8749999999999999E-3</v>
      </c>
      <c r="I85" s="1">
        <f t="shared" si="5"/>
        <v>3.4965075614664802</v>
      </c>
      <c r="J85" s="1">
        <f t="shared" si="6"/>
        <v>-2.3025850929940455</v>
      </c>
      <c r="K85" s="1">
        <f t="shared" si="7"/>
        <v>-6.2791466195597634</v>
      </c>
    </row>
    <row r="86" spans="1:11">
      <c r="A86" s="483">
        <f t="shared" si="8"/>
        <v>80</v>
      </c>
      <c r="B86" s="485">
        <v>24961</v>
      </c>
      <c r="C86" s="473">
        <v>0.13194444444444445</v>
      </c>
      <c r="D86" s="484" t="s">
        <v>101</v>
      </c>
      <c r="E86" s="472" t="s">
        <v>122</v>
      </c>
      <c r="F86" s="486">
        <v>10</v>
      </c>
      <c r="G86" s="611">
        <v>0.1</v>
      </c>
      <c r="H86" s="829">
        <f t="shared" si="9"/>
        <v>5.6818181818181826E-4</v>
      </c>
      <c r="I86" s="1">
        <f t="shared" si="5"/>
        <v>2.3025850929940459</v>
      </c>
      <c r="J86" s="1">
        <f t="shared" si="6"/>
        <v>-2.3025850929940455</v>
      </c>
      <c r="K86" s="1">
        <f t="shared" si="7"/>
        <v>-7.4730690880321973</v>
      </c>
    </row>
    <row r="87" spans="1:11">
      <c r="A87" s="483">
        <f t="shared" si="8"/>
        <v>81</v>
      </c>
      <c r="B87" s="485">
        <v>24964</v>
      </c>
      <c r="C87" s="473">
        <v>0.54861111111111105</v>
      </c>
      <c r="D87" s="484" t="s">
        <v>110</v>
      </c>
      <c r="E87" s="472" t="s">
        <v>122</v>
      </c>
      <c r="F87" s="486">
        <v>100</v>
      </c>
      <c r="G87" s="611">
        <v>12.3</v>
      </c>
      <c r="H87" s="829">
        <f t="shared" si="9"/>
        <v>0.69886363636363635</v>
      </c>
      <c r="I87" s="1">
        <f t="shared" si="5"/>
        <v>4.6051701859880918</v>
      </c>
      <c r="J87" s="1">
        <f t="shared" si="6"/>
        <v>2.5095992623783721</v>
      </c>
      <c r="K87" s="1">
        <f t="shared" si="7"/>
        <v>-0.3582996396657343</v>
      </c>
    </row>
    <row r="88" spans="1:11">
      <c r="A88" s="483">
        <f t="shared" si="8"/>
        <v>82</v>
      </c>
      <c r="B88" s="485">
        <v>24964</v>
      </c>
      <c r="C88" s="473">
        <v>0.54861111111111105</v>
      </c>
      <c r="D88" s="484" t="s">
        <v>110</v>
      </c>
      <c r="E88" s="472" t="s">
        <v>122</v>
      </c>
      <c r="F88" s="486">
        <v>100</v>
      </c>
      <c r="G88" s="611">
        <v>12.3</v>
      </c>
      <c r="H88" s="829">
        <f t="shared" si="9"/>
        <v>0.69886363636363635</v>
      </c>
      <c r="I88" s="1">
        <f t="shared" si="5"/>
        <v>4.6051701859880918</v>
      </c>
      <c r="J88" s="1">
        <f t="shared" si="6"/>
        <v>2.5095992623783721</v>
      </c>
      <c r="K88" s="1">
        <f t="shared" si="7"/>
        <v>-0.3582996396657343</v>
      </c>
    </row>
    <row r="89" spans="1:11">
      <c r="A89" s="483">
        <f t="shared" si="8"/>
        <v>83</v>
      </c>
      <c r="B89" s="485">
        <v>24968</v>
      </c>
      <c r="C89" s="473">
        <v>0.75</v>
      </c>
      <c r="D89" s="484" t="s">
        <v>107</v>
      </c>
      <c r="E89" s="472" t="s">
        <v>122</v>
      </c>
      <c r="F89" s="486">
        <v>100</v>
      </c>
      <c r="G89" s="611">
        <v>0.5</v>
      </c>
      <c r="H89" s="829">
        <f t="shared" si="9"/>
        <v>2.8409090909090908E-2</v>
      </c>
      <c r="I89" s="1">
        <f t="shared" si="5"/>
        <v>4.6051701859880918</v>
      </c>
      <c r="J89" s="1">
        <f t="shared" si="6"/>
        <v>-0.69314718055994529</v>
      </c>
      <c r="K89" s="1">
        <f t="shared" si="7"/>
        <v>-3.5610460826040513</v>
      </c>
    </row>
    <row r="90" spans="1:11">
      <c r="A90" s="483">
        <f t="shared" si="8"/>
        <v>84</v>
      </c>
      <c r="B90" s="485">
        <v>24988</v>
      </c>
      <c r="C90" s="473">
        <v>0.71527777777777779</v>
      </c>
      <c r="D90" s="484" t="s">
        <v>107</v>
      </c>
      <c r="E90" s="472" t="s">
        <v>122</v>
      </c>
      <c r="F90" s="486">
        <v>67</v>
      </c>
      <c r="G90" s="611">
        <v>1</v>
      </c>
      <c r="H90" s="829">
        <f t="shared" si="9"/>
        <v>3.806818181818182E-2</v>
      </c>
      <c r="I90" s="1">
        <f t="shared" si="5"/>
        <v>4.2046926193909657</v>
      </c>
      <c r="J90" s="1">
        <f t="shared" si="6"/>
        <v>0</v>
      </c>
      <c r="K90" s="1">
        <f t="shared" si="7"/>
        <v>-3.2683764686412315</v>
      </c>
    </row>
    <row r="91" spans="1:11">
      <c r="A91" s="483">
        <f t="shared" si="8"/>
        <v>85</v>
      </c>
      <c r="B91" s="485">
        <v>24989</v>
      </c>
      <c r="C91" s="473">
        <v>0.6875</v>
      </c>
      <c r="D91" s="484" t="s">
        <v>117</v>
      </c>
      <c r="E91" s="472" t="s">
        <v>122</v>
      </c>
      <c r="F91" s="486">
        <v>17</v>
      </c>
      <c r="G91" s="611">
        <v>0.2</v>
      </c>
      <c r="H91" s="829">
        <f t="shared" si="9"/>
        <v>1.9318181818181819E-3</v>
      </c>
      <c r="I91" s="1">
        <f t="shared" si="5"/>
        <v>2.8332133440562162</v>
      </c>
      <c r="J91" s="1">
        <f t="shared" si="6"/>
        <v>-1.6094379124341003</v>
      </c>
      <c r="K91" s="1">
        <f t="shared" si="7"/>
        <v>-6.2492936564100816</v>
      </c>
    </row>
    <row r="92" spans="1:11">
      <c r="A92" s="483">
        <f t="shared" si="8"/>
        <v>86</v>
      </c>
      <c r="B92" s="485">
        <v>24995</v>
      </c>
      <c r="C92" s="473">
        <v>0.67708333333333337</v>
      </c>
      <c r="D92" s="484" t="s">
        <v>105</v>
      </c>
      <c r="E92" s="472" t="s">
        <v>122</v>
      </c>
      <c r="F92" s="486">
        <v>10</v>
      </c>
      <c r="G92" s="611">
        <v>0.1</v>
      </c>
      <c r="H92" s="829">
        <f t="shared" si="9"/>
        <v>5.6818181818181826E-4</v>
      </c>
      <c r="I92" s="1">
        <f t="shared" si="5"/>
        <v>2.3025850929940459</v>
      </c>
      <c r="J92" s="1">
        <f t="shared" si="6"/>
        <v>-2.3025850929940455</v>
      </c>
      <c r="K92" s="1">
        <f t="shared" si="7"/>
        <v>-7.4730690880321973</v>
      </c>
    </row>
    <row r="93" spans="1:11">
      <c r="A93" s="483">
        <f t="shared" si="8"/>
        <v>87</v>
      </c>
      <c r="B93" s="485">
        <v>24996</v>
      </c>
      <c r="C93" s="473">
        <v>0.89236111111111116</v>
      </c>
      <c r="D93" s="484" t="s">
        <v>103</v>
      </c>
      <c r="E93" s="472" t="s">
        <v>122</v>
      </c>
      <c r="F93" s="486">
        <v>33</v>
      </c>
      <c r="G93" s="611">
        <v>0.5</v>
      </c>
      <c r="H93" s="829">
        <f t="shared" si="9"/>
        <v>9.3749999999999997E-3</v>
      </c>
      <c r="I93" s="1">
        <f t="shared" si="5"/>
        <v>3.4965075614664802</v>
      </c>
      <c r="J93" s="1">
        <f t="shared" si="6"/>
        <v>-0.69314718055994529</v>
      </c>
      <c r="K93" s="1">
        <f t="shared" si="7"/>
        <v>-4.6697087071256629</v>
      </c>
    </row>
    <row r="94" spans="1:11">
      <c r="A94" s="483">
        <f t="shared" si="8"/>
        <v>88</v>
      </c>
      <c r="B94" s="485">
        <v>24998</v>
      </c>
      <c r="C94" s="473">
        <v>0.35416666666666669</v>
      </c>
      <c r="D94" s="484" t="s">
        <v>119</v>
      </c>
      <c r="E94" s="472" t="s">
        <v>122</v>
      </c>
      <c r="F94" s="486">
        <v>17</v>
      </c>
      <c r="G94" s="611">
        <v>1</v>
      </c>
      <c r="H94" s="829">
        <f t="shared" si="9"/>
        <v>9.6590909090909088E-3</v>
      </c>
      <c r="I94" s="1">
        <f t="shared" si="5"/>
        <v>2.8332133440562162</v>
      </c>
      <c r="J94" s="1">
        <f t="shared" si="6"/>
        <v>0</v>
      </c>
      <c r="K94" s="1">
        <f t="shared" si="7"/>
        <v>-4.6398557439759811</v>
      </c>
    </row>
    <row r="95" spans="1:11">
      <c r="A95" s="483">
        <f t="shared" si="8"/>
        <v>89</v>
      </c>
      <c r="B95" s="485">
        <v>25028</v>
      </c>
      <c r="C95" s="473">
        <v>0.76041666666666663</v>
      </c>
      <c r="D95" s="484" t="s">
        <v>100</v>
      </c>
      <c r="E95" s="472" t="s">
        <v>122</v>
      </c>
      <c r="F95" s="486">
        <v>10</v>
      </c>
      <c r="G95" s="611">
        <v>0.1</v>
      </c>
      <c r="H95" s="829">
        <f t="shared" si="9"/>
        <v>5.6818181818181826E-4</v>
      </c>
      <c r="I95" s="1">
        <f t="shared" si="5"/>
        <v>2.3025850929940459</v>
      </c>
      <c r="J95" s="1">
        <f t="shared" si="6"/>
        <v>-2.3025850929940455</v>
      </c>
      <c r="K95" s="1">
        <f t="shared" si="7"/>
        <v>-7.4730690880321973</v>
      </c>
    </row>
    <row r="96" spans="1:11">
      <c r="A96" s="483">
        <f t="shared" si="8"/>
        <v>90</v>
      </c>
      <c r="B96" s="485">
        <v>25036</v>
      </c>
      <c r="C96" s="473">
        <v>0.72916666666666663</v>
      </c>
      <c r="D96" s="484" t="s">
        <v>114</v>
      </c>
      <c r="E96" s="472" t="s">
        <v>122</v>
      </c>
      <c r="F96" s="486">
        <v>100</v>
      </c>
      <c r="G96" s="611">
        <v>0.5</v>
      </c>
      <c r="H96" s="829">
        <f t="shared" si="9"/>
        <v>2.8409090909090908E-2</v>
      </c>
      <c r="I96" s="1">
        <f t="shared" si="5"/>
        <v>4.6051701859880918</v>
      </c>
      <c r="J96" s="1">
        <f t="shared" si="6"/>
        <v>-0.69314718055994529</v>
      </c>
      <c r="K96" s="1">
        <f t="shared" si="7"/>
        <v>-3.5610460826040513</v>
      </c>
    </row>
    <row r="97" spans="1:11">
      <c r="A97" s="483">
        <f t="shared" si="8"/>
        <v>91</v>
      </c>
      <c r="B97" s="485">
        <v>25036</v>
      </c>
      <c r="C97" s="473">
        <v>0.83472222222222225</v>
      </c>
      <c r="D97" s="484" t="s">
        <v>114</v>
      </c>
      <c r="E97" s="472" t="s">
        <v>122</v>
      </c>
      <c r="F97" s="486">
        <v>33</v>
      </c>
      <c r="G97" s="611">
        <v>4.5</v>
      </c>
      <c r="H97" s="829">
        <f t="shared" si="9"/>
        <v>8.4374999999999992E-2</v>
      </c>
      <c r="I97" s="1">
        <f t="shared" si="5"/>
        <v>3.4965075614664802</v>
      </c>
      <c r="J97" s="1">
        <f t="shared" si="6"/>
        <v>1.5040773967762742</v>
      </c>
      <c r="K97" s="1">
        <f t="shared" si="7"/>
        <v>-2.4724841297894433</v>
      </c>
    </row>
    <row r="98" spans="1:11">
      <c r="A98" s="483">
        <f t="shared" si="8"/>
        <v>92</v>
      </c>
      <c r="B98" s="485">
        <v>25036</v>
      </c>
      <c r="C98" s="473">
        <v>0.83472222222222225</v>
      </c>
      <c r="D98" s="484" t="s">
        <v>114</v>
      </c>
      <c r="E98" s="472" t="s">
        <v>122</v>
      </c>
      <c r="F98" s="486">
        <v>33</v>
      </c>
      <c r="G98" s="611">
        <v>3.6</v>
      </c>
      <c r="H98" s="829">
        <f t="shared" si="9"/>
        <v>6.7500000000000004E-2</v>
      </c>
      <c r="I98" s="1">
        <f t="shared" si="5"/>
        <v>3.4965075614664802</v>
      </c>
      <c r="J98" s="1">
        <f t="shared" si="6"/>
        <v>1.2809338454620642</v>
      </c>
      <c r="K98" s="1">
        <f t="shared" si="7"/>
        <v>-2.695627681103653</v>
      </c>
    </row>
    <row r="99" spans="1:11">
      <c r="A99" s="483">
        <f t="shared" si="8"/>
        <v>93</v>
      </c>
      <c r="B99" s="485">
        <v>25036</v>
      </c>
      <c r="C99" s="473">
        <v>0.85763888888888884</v>
      </c>
      <c r="D99" s="484" t="s">
        <v>116</v>
      </c>
      <c r="E99" s="472" t="s">
        <v>122</v>
      </c>
      <c r="F99" s="486">
        <v>10</v>
      </c>
      <c r="G99" s="611">
        <v>0.1</v>
      </c>
      <c r="H99" s="829">
        <f t="shared" si="9"/>
        <v>5.6818181818181826E-4</v>
      </c>
      <c r="I99" s="1">
        <f t="shared" si="5"/>
        <v>2.3025850929940459</v>
      </c>
      <c r="J99" s="1">
        <f t="shared" si="6"/>
        <v>-2.3025850929940455</v>
      </c>
      <c r="K99" s="1">
        <f t="shared" si="7"/>
        <v>-7.4730690880321973</v>
      </c>
    </row>
    <row r="100" spans="1:11">
      <c r="A100" s="483">
        <f t="shared" si="8"/>
        <v>94</v>
      </c>
      <c r="B100" s="485">
        <v>25064</v>
      </c>
      <c r="C100" s="473">
        <v>0.69444444444444453</v>
      </c>
      <c r="D100" s="484" t="s">
        <v>113</v>
      </c>
      <c r="E100" s="472" t="s">
        <v>122</v>
      </c>
      <c r="F100" s="486">
        <v>17</v>
      </c>
      <c r="G100" s="611">
        <v>0.2</v>
      </c>
      <c r="H100" s="829">
        <f t="shared" si="9"/>
        <v>1.9318181818181819E-3</v>
      </c>
      <c r="I100" s="1">
        <f t="shared" si="5"/>
        <v>2.8332133440562162</v>
      </c>
      <c r="J100" s="1">
        <f t="shared" si="6"/>
        <v>-1.6094379124341003</v>
      </c>
      <c r="K100" s="1">
        <f t="shared" si="7"/>
        <v>-6.2492936564100816</v>
      </c>
    </row>
    <row r="101" spans="1:11">
      <c r="A101" s="483">
        <f t="shared" si="8"/>
        <v>95</v>
      </c>
      <c r="B101" s="485">
        <v>25119</v>
      </c>
      <c r="C101" s="473">
        <v>0.63888888888888895</v>
      </c>
      <c r="D101" s="484" t="s">
        <v>110</v>
      </c>
      <c r="E101" s="472" t="s">
        <v>122</v>
      </c>
      <c r="F101" s="486">
        <v>13</v>
      </c>
      <c r="G101" s="611">
        <v>0.1</v>
      </c>
      <c r="H101" s="829">
        <f t="shared" si="9"/>
        <v>7.3863636363636362E-4</v>
      </c>
      <c r="I101" s="1">
        <f t="shared" si="5"/>
        <v>2.5649493574615367</v>
      </c>
      <c r="J101" s="1">
        <f t="shared" si="6"/>
        <v>-2.3025850929940455</v>
      </c>
      <c r="K101" s="1">
        <f t="shared" si="7"/>
        <v>-7.210704823564706</v>
      </c>
    </row>
    <row r="102" spans="1:11">
      <c r="A102" s="483">
        <f t="shared" si="8"/>
        <v>96</v>
      </c>
      <c r="B102" s="485">
        <v>25120</v>
      </c>
      <c r="C102" s="473">
        <v>0.83333333333333337</v>
      </c>
      <c r="D102" s="484" t="s">
        <v>105</v>
      </c>
      <c r="E102" s="472" t="s">
        <v>122</v>
      </c>
      <c r="F102" s="486">
        <v>17</v>
      </c>
      <c r="G102" s="611">
        <v>0.1</v>
      </c>
      <c r="H102" s="829">
        <f t="shared" si="9"/>
        <v>9.6590909090909095E-4</v>
      </c>
      <c r="I102" s="1">
        <f t="shared" si="5"/>
        <v>2.8332133440562162</v>
      </c>
      <c r="J102" s="1">
        <f t="shared" si="6"/>
        <v>-2.3025850929940455</v>
      </c>
      <c r="K102" s="1">
        <f t="shared" si="7"/>
        <v>-6.942440836970027</v>
      </c>
    </row>
    <row r="103" spans="1:11">
      <c r="A103" s="483">
        <f t="shared" si="8"/>
        <v>97</v>
      </c>
      <c r="B103" s="485">
        <v>25325</v>
      </c>
      <c r="C103" s="473">
        <v>0.6694444444444444</v>
      </c>
      <c r="D103" s="484" t="s">
        <v>118</v>
      </c>
      <c r="E103" s="472" t="s">
        <v>122</v>
      </c>
      <c r="F103" s="486">
        <v>33</v>
      </c>
      <c r="G103" s="611">
        <v>0.2</v>
      </c>
      <c r="H103" s="829">
        <f t="shared" si="9"/>
        <v>3.7499999999999999E-3</v>
      </c>
      <c r="I103" s="1">
        <f t="shared" si="5"/>
        <v>3.4965075614664802</v>
      </c>
      <c r="J103" s="1">
        <f t="shared" si="6"/>
        <v>-1.6094379124341003</v>
      </c>
      <c r="K103" s="1">
        <f t="shared" si="7"/>
        <v>-5.585999438999818</v>
      </c>
    </row>
    <row r="104" spans="1:11">
      <c r="A104" s="483">
        <f t="shared" si="8"/>
        <v>98</v>
      </c>
      <c r="B104" s="485">
        <v>25325</v>
      </c>
      <c r="C104" s="473">
        <v>0.6875</v>
      </c>
      <c r="D104" s="484" t="s">
        <v>118</v>
      </c>
      <c r="E104" s="472" t="s">
        <v>122</v>
      </c>
      <c r="F104" s="486">
        <v>33</v>
      </c>
      <c r="G104" s="611">
        <v>0.2</v>
      </c>
      <c r="H104" s="829">
        <f t="shared" si="9"/>
        <v>3.7499999999999999E-3</v>
      </c>
      <c r="I104" s="1">
        <f t="shared" si="5"/>
        <v>3.4965075614664802</v>
      </c>
      <c r="J104" s="1">
        <f t="shared" si="6"/>
        <v>-1.6094379124341003</v>
      </c>
      <c r="K104" s="1">
        <f t="shared" si="7"/>
        <v>-5.585999438999818</v>
      </c>
    </row>
    <row r="105" spans="1:11">
      <c r="A105" s="483">
        <f t="shared" si="8"/>
        <v>99</v>
      </c>
      <c r="B105" s="485">
        <v>25335</v>
      </c>
      <c r="C105" s="473">
        <v>0.72222222222222221</v>
      </c>
      <c r="D105" s="484" t="s">
        <v>110</v>
      </c>
      <c r="E105" s="472" t="s">
        <v>122</v>
      </c>
      <c r="F105" s="486">
        <v>33</v>
      </c>
      <c r="G105" s="611">
        <v>0.1</v>
      </c>
      <c r="H105" s="829">
        <f t="shared" si="9"/>
        <v>1.8749999999999999E-3</v>
      </c>
      <c r="I105" s="1">
        <f t="shared" si="5"/>
        <v>3.4965075614664802</v>
      </c>
      <c r="J105" s="1">
        <f t="shared" si="6"/>
        <v>-2.3025850929940455</v>
      </c>
      <c r="K105" s="1">
        <f t="shared" si="7"/>
        <v>-6.2791466195597634</v>
      </c>
    </row>
    <row r="106" spans="1:11">
      <c r="A106" s="483">
        <f t="shared" si="8"/>
        <v>100</v>
      </c>
      <c r="B106" s="485">
        <v>25335</v>
      </c>
      <c r="C106" s="473">
        <v>0.79166666666666663</v>
      </c>
      <c r="D106" s="484" t="s">
        <v>116</v>
      </c>
      <c r="E106" s="472" t="s">
        <v>122</v>
      </c>
      <c r="F106" s="486">
        <v>33</v>
      </c>
      <c r="G106" s="611">
        <v>0.1</v>
      </c>
      <c r="H106" s="829">
        <f t="shared" si="9"/>
        <v>1.8749999999999999E-3</v>
      </c>
      <c r="I106" s="1">
        <f t="shared" si="5"/>
        <v>3.4965075614664802</v>
      </c>
      <c r="J106" s="1">
        <f t="shared" si="6"/>
        <v>-2.3025850929940455</v>
      </c>
      <c r="K106" s="1">
        <f t="shared" si="7"/>
        <v>-6.2791466195597634</v>
      </c>
    </row>
    <row r="107" spans="1:11">
      <c r="A107" s="483">
        <f t="shared" si="8"/>
        <v>101</v>
      </c>
      <c r="B107" s="485">
        <v>25335</v>
      </c>
      <c r="C107" s="473">
        <v>0.97222222222222221</v>
      </c>
      <c r="D107" s="484" t="s">
        <v>116</v>
      </c>
      <c r="E107" s="472" t="s">
        <v>122</v>
      </c>
      <c r="F107" s="486">
        <v>10</v>
      </c>
      <c r="G107" s="611">
        <v>0.1</v>
      </c>
      <c r="H107" s="829">
        <f t="shared" si="9"/>
        <v>5.6818181818181826E-4</v>
      </c>
      <c r="I107" s="1">
        <f t="shared" si="5"/>
        <v>2.3025850929940459</v>
      </c>
      <c r="J107" s="1">
        <f t="shared" si="6"/>
        <v>-2.3025850929940455</v>
      </c>
      <c r="K107" s="1">
        <f t="shared" si="7"/>
        <v>-7.4730690880321973</v>
      </c>
    </row>
    <row r="108" spans="1:11">
      <c r="A108" s="483">
        <f t="shared" si="8"/>
        <v>102</v>
      </c>
      <c r="B108" s="485">
        <v>25336</v>
      </c>
      <c r="C108" s="473">
        <v>0.78125</v>
      </c>
      <c r="D108" s="484" t="s">
        <v>116</v>
      </c>
      <c r="E108" s="472" t="s">
        <v>122</v>
      </c>
      <c r="F108" s="486">
        <v>10</v>
      </c>
      <c r="G108" s="611">
        <v>0.1</v>
      </c>
      <c r="H108" s="829">
        <f t="shared" si="9"/>
        <v>5.6818181818181826E-4</v>
      </c>
      <c r="I108" s="1">
        <f t="shared" si="5"/>
        <v>2.3025850929940459</v>
      </c>
      <c r="J108" s="1">
        <f t="shared" si="6"/>
        <v>-2.3025850929940455</v>
      </c>
      <c r="K108" s="1">
        <f t="shared" si="7"/>
        <v>-7.4730690880321973</v>
      </c>
    </row>
    <row r="109" spans="1:11">
      <c r="A109" s="483">
        <f t="shared" si="8"/>
        <v>103</v>
      </c>
      <c r="B109" s="485">
        <v>25337</v>
      </c>
      <c r="C109" s="473">
        <v>0.79861111111111116</v>
      </c>
      <c r="D109" s="484" t="s">
        <v>103</v>
      </c>
      <c r="E109" s="472" t="s">
        <v>122</v>
      </c>
      <c r="F109" s="486">
        <v>17</v>
      </c>
      <c r="G109" s="611">
        <v>0.1</v>
      </c>
      <c r="H109" s="829">
        <f t="shared" si="9"/>
        <v>9.6590909090909095E-4</v>
      </c>
      <c r="I109" s="1">
        <f t="shared" si="5"/>
        <v>2.8332133440562162</v>
      </c>
      <c r="J109" s="1">
        <f t="shared" si="6"/>
        <v>-2.3025850929940455</v>
      </c>
      <c r="K109" s="1">
        <f t="shared" si="7"/>
        <v>-6.942440836970027</v>
      </c>
    </row>
    <row r="110" spans="1:11">
      <c r="A110" s="483">
        <f t="shared" si="8"/>
        <v>104</v>
      </c>
      <c r="B110" s="485">
        <v>25338</v>
      </c>
      <c r="C110" s="473">
        <v>0.625</v>
      </c>
      <c r="D110" s="484" t="s">
        <v>118</v>
      </c>
      <c r="E110" s="472" t="s">
        <v>122</v>
      </c>
      <c r="F110" s="486">
        <v>33</v>
      </c>
      <c r="G110" s="611">
        <v>0.5</v>
      </c>
      <c r="H110" s="829">
        <f t="shared" si="9"/>
        <v>9.3749999999999997E-3</v>
      </c>
      <c r="I110" s="1">
        <f t="shared" si="5"/>
        <v>3.4965075614664802</v>
      </c>
      <c r="J110" s="1">
        <f t="shared" si="6"/>
        <v>-0.69314718055994529</v>
      </c>
      <c r="K110" s="1">
        <f t="shared" si="7"/>
        <v>-4.6697087071256629</v>
      </c>
    </row>
    <row r="111" spans="1:11">
      <c r="A111" s="483">
        <f t="shared" si="8"/>
        <v>105</v>
      </c>
      <c r="B111" s="485">
        <v>25339</v>
      </c>
      <c r="C111" s="473">
        <v>0.60416666666666663</v>
      </c>
      <c r="D111" s="484" t="s">
        <v>107</v>
      </c>
      <c r="E111" s="472" t="s">
        <v>122</v>
      </c>
      <c r="F111" s="486">
        <v>33</v>
      </c>
      <c r="G111" s="611">
        <v>1</v>
      </c>
      <c r="H111" s="829">
        <f t="shared" si="9"/>
        <v>1.8749999999999999E-2</v>
      </c>
      <c r="I111" s="1">
        <f t="shared" si="5"/>
        <v>3.4965075614664802</v>
      </c>
      <c r="J111" s="1">
        <f t="shared" si="6"/>
        <v>0</v>
      </c>
      <c r="K111" s="1">
        <f t="shared" si="7"/>
        <v>-3.9765615265657175</v>
      </c>
    </row>
    <row r="112" spans="1:11">
      <c r="A112" s="483">
        <f t="shared" si="8"/>
        <v>106</v>
      </c>
      <c r="B112" s="485">
        <v>25339</v>
      </c>
      <c r="C112" s="473">
        <v>0.61111111111111105</v>
      </c>
      <c r="D112" s="484" t="s">
        <v>115</v>
      </c>
      <c r="E112" s="472" t="s">
        <v>122</v>
      </c>
      <c r="F112" s="486">
        <v>33</v>
      </c>
      <c r="G112" s="611">
        <v>0.1</v>
      </c>
      <c r="H112" s="829">
        <f t="shared" si="9"/>
        <v>1.8749999999999999E-3</v>
      </c>
      <c r="I112" s="1">
        <f t="shared" si="5"/>
        <v>3.4965075614664802</v>
      </c>
      <c r="J112" s="1">
        <f t="shared" si="6"/>
        <v>-2.3025850929940455</v>
      </c>
      <c r="K112" s="1">
        <f t="shared" si="7"/>
        <v>-6.2791466195597634</v>
      </c>
    </row>
    <row r="113" spans="1:11">
      <c r="A113" s="483">
        <f t="shared" si="8"/>
        <v>107</v>
      </c>
      <c r="B113" s="485">
        <v>25364</v>
      </c>
      <c r="C113" s="473">
        <v>0.76249999999999996</v>
      </c>
      <c r="D113" s="484" t="s">
        <v>105</v>
      </c>
      <c r="E113" s="472" t="s">
        <v>122</v>
      </c>
      <c r="F113" s="486">
        <v>33</v>
      </c>
      <c r="G113" s="611">
        <v>0.1</v>
      </c>
      <c r="H113" s="829">
        <f t="shared" si="9"/>
        <v>1.8749999999999999E-3</v>
      </c>
      <c r="I113" s="1">
        <f t="shared" si="5"/>
        <v>3.4965075614664802</v>
      </c>
      <c r="J113" s="1">
        <f t="shared" si="6"/>
        <v>-2.3025850929940455</v>
      </c>
      <c r="K113" s="1">
        <f t="shared" si="7"/>
        <v>-6.2791466195597634</v>
      </c>
    </row>
    <row r="114" spans="1:11">
      <c r="A114" s="483">
        <f t="shared" si="8"/>
        <v>108</v>
      </c>
      <c r="B114" s="485">
        <v>25364</v>
      </c>
      <c r="C114" s="473">
        <v>0.79166666666666663</v>
      </c>
      <c r="D114" s="484" t="s">
        <v>101</v>
      </c>
      <c r="E114" s="472" t="s">
        <v>122</v>
      </c>
      <c r="F114" s="486">
        <v>10</v>
      </c>
      <c r="G114" s="611">
        <v>0.1</v>
      </c>
      <c r="H114" s="829">
        <f t="shared" si="9"/>
        <v>5.6818181818181826E-4</v>
      </c>
      <c r="I114" s="1">
        <f t="shared" si="5"/>
        <v>2.3025850929940459</v>
      </c>
      <c r="J114" s="1">
        <f t="shared" si="6"/>
        <v>-2.3025850929940455</v>
      </c>
      <c r="K114" s="1">
        <f t="shared" si="7"/>
        <v>-7.4730690880321973</v>
      </c>
    </row>
    <row r="115" spans="1:11">
      <c r="A115" s="483">
        <f t="shared" si="8"/>
        <v>109</v>
      </c>
      <c r="B115" s="485">
        <v>25364</v>
      </c>
      <c r="C115" s="473">
        <v>0.91180555555555554</v>
      </c>
      <c r="D115" s="484" t="s">
        <v>103</v>
      </c>
      <c r="E115" s="472" t="s">
        <v>122</v>
      </c>
      <c r="F115" s="486">
        <v>17</v>
      </c>
      <c r="G115" s="611">
        <v>0.1</v>
      </c>
      <c r="H115" s="829">
        <f t="shared" si="9"/>
        <v>9.6590909090909095E-4</v>
      </c>
      <c r="I115" s="1">
        <f t="shared" si="5"/>
        <v>2.8332133440562162</v>
      </c>
      <c r="J115" s="1">
        <f t="shared" si="6"/>
        <v>-2.3025850929940455</v>
      </c>
      <c r="K115" s="1">
        <f t="shared" si="7"/>
        <v>-6.942440836970027</v>
      </c>
    </row>
    <row r="116" spans="1:11">
      <c r="A116" s="483">
        <f t="shared" si="8"/>
        <v>110</v>
      </c>
      <c r="B116" s="485">
        <v>25377</v>
      </c>
      <c r="C116" s="473">
        <v>0.70486111111111116</v>
      </c>
      <c r="D116" s="484" t="s">
        <v>106</v>
      </c>
      <c r="E116" s="472" t="s">
        <v>122</v>
      </c>
      <c r="F116" s="486">
        <v>300</v>
      </c>
      <c r="G116" s="611">
        <v>1</v>
      </c>
      <c r="H116" s="829">
        <f t="shared" si="9"/>
        <v>0.17045454545454544</v>
      </c>
      <c r="I116" s="1">
        <f t="shared" si="5"/>
        <v>5.7037824746562009</v>
      </c>
      <c r="J116" s="1">
        <f t="shared" si="6"/>
        <v>0</v>
      </c>
      <c r="K116" s="1">
        <f t="shared" si="7"/>
        <v>-1.7692866133759966</v>
      </c>
    </row>
    <row r="117" spans="1:11">
      <c r="A117" s="483">
        <f t="shared" si="8"/>
        <v>111</v>
      </c>
      <c r="B117" s="485">
        <v>25719</v>
      </c>
      <c r="C117" s="473">
        <v>0.58819444444444446</v>
      </c>
      <c r="D117" s="484" t="s">
        <v>114</v>
      </c>
      <c r="E117" s="472" t="s">
        <v>122</v>
      </c>
      <c r="F117" s="486">
        <v>33</v>
      </c>
      <c r="G117" s="611">
        <v>5.0999999999999996</v>
      </c>
      <c r="H117" s="829">
        <f t="shared" si="9"/>
        <v>9.5624999999999988E-2</v>
      </c>
      <c r="I117" s="1">
        <f t="shared" si="5"/>
        <v>3.4965075614664802</v>
      </c>
      <c r="J117" s="1">
        <f t="shared" si="6"/>
        <v>1.62924053973028</v>
      </c>
      <c r="K117" s="1">
        <f t="shared" si="7"/>
        <v>-2.3473209868354372</v>
      </c>
    </row>
    <row r="118" spans="1:11">
      <c r="A118" s="483">
        <f t="shared" si="8"/>
        <v>112</v>
      </c>
      <c r="B118" s="485">
        <v>26045</v>
      </c>
      <c r="C118" s="473">
        <v>0.52083333333333337</v>
      </c>
      <c r="D118" s="484" t="s">
        <v>99</v>
      </c>
      <c r="E118" s="472" t="s">
        <v>122</v>
      </c>
      <c r="F118" s="486">
        <v>10</v>
      </c>
      <c r="G118" s="611">
        <v>0.1</v>
      </c>
      <c r="H118" s="829">
        <f t="shared" si="9"/>
        <v>5.6818181818181826E-4</v>
      </c>
      <c r="I118" s="1">
        <f t="shared" si="5"/>
        <v>2.3025850929940459</v>
      </c>
      <c r="J118" s="1">
        <f t="shared" si="6"/>
        <v>-2.3025850929940455</v>
      </c>
      <c r="K118" s="1">
        <f t="shared" si="7"/>
        <v>-7.4730690880321973</v>
      </c>
    </row>
    <row r="119" spans="1:11">
      <c r="A119" s="483">
        <f t="shared" si="8"/>
        <v>113</v>
      </c>
      <c r="B119" s="485">
        <v>26081</v>
      </c>
      <c r="C119" s="473">
        <v>0.76597222222222217</v>
      </c>
      <c r="D119" s="484" t="s">
        <v>99</v>
      </c>
      <c r="E119" s="472" t="s">
        <v>122</v>
      </c>
      <c r="F119" s="486">
        <v>10</v>
      </c>
      <c r="G119" s="611">
        <v>0.1</v>
      </c>
      <c r="H119" s="829">
        <f t="shared" si="9"/>
        <v>5.6818181818181826E-4</v>
      </c>
      <c r="I119" s="1">
        <f t="shared" si="5"/>
        <v>2.3025850929940459</v>
      </c>
      <c r="J119" s="1">
        <f t="shared" si="6"/>
        <v>-2.3025850929940455</v>
      </c>
      <c r="K119" s="1">
        <f t="shared" si="7"/>
        <v>-7.4730690880321973</v>
      </c>
    </row>
    <row r="120" spans="1:11">
      <c r="A120" s="483">
        <f t="shared" si="8"/>
        <v>114</v>
      </c>
      <c r="B120" s="485">
        <v>26093</v>
      </c>
      <c r="C120" s="473">
        <v>0.71250000000000002</v>
      </c>
      <c r="D120" s="484" t="s">
        <v>101</v>
      </c>
      <c r="E120" s="472" t="s">
        <v>122</v>
      </c>
      <c r="F120" s="486">
        <v>10</v>
      </c>
      <c r="G120" s="611">
        <v>0.1</v>
      </c>
      <c r="H120" s="829">
        <f t="shared" si="9"/>
        <v>5.6818181818181826E-4</v>
      </c>
      <c r="I120" s="1">
        <f t="shared" si="5"/>
        <v>2.3025850929940459</v>
      </c>
      <c r="J120" s="1">
        <f t="shared" si="6"/>
        <v>-2.3025850929940455</v>
      </c>
      <c r="K120" s="1">
        <f t="shared" si="7"/>
        <v>-7.4730690880321973</v>
      </c>
    </row>
    <row r="121" spans="1:11">
      <c r="A121" s="483">
        <f t="shared" si="8"/>
        <v>115</v>
      </c>
      <c r="B121" s="485">
        <v>26093</v>
      </c>
      <c r="C121" s="473">
        <v>0.89930555555555547</v>
      </c>
      <c r="D121" s="484" t="s">
        <v>100</v>
      </c>
      <c r="E121" s="472" t="s">
        <v>122</v>
      </c>
      <c r="F121" s="486">
        <v>10</v>
      </c>
      <c r="G121" s="611">
        <v>0.1</v>
      </c>
      <c r="H121" s="829">
        <f t="shared" si="9"/>
        <v>5.6818181818181826E-4</v>
      </c>
      <c r="I121" s="1">
        <f t="shared" si="5"/>
        <v>2.3025850929940459</v>
      </c>
      <c r="J121" s="1">
        <f t="shared" si="6"/>
        <v>-2.3025850929940455</v>
      </c>
      <c r="K121" s="1">
        <f t="shared" si="7"/>
        <v>-7.4730690880321973</v>
      </c>
    </row>
    <row r="122" spans="1:11">
      <c r="A122" s="483">
        <f t="shared" si="8"/>
        <v>116</v>
      </c>
      <c r="B122" s="485">
        <v>26519</v>
      </c>
      <c r="C122" s="473">
        <v>0.59375</v>
      </c>
      <c r="D122" s="484" t="s">
        <v>113</v>
      </c>
      <c r="E122" s="472" t="s">
        <v>122</v>
      </c>
      <c r="F122" s="486">
        <v>50</v>
      </c>
      <c r="G122" s="611">
        <v>2</v>
      </c>
      <c r="H122" s="829">
        <f t="shared" si="9"/>
        <v>5.6818181818181816E-2</v>
      </c>
      <c r="I122" s="1">
        <f t="shared" si="5"/>
        <v>3.912023005428146</v>
      </c>
      <c r="J122" s="1">
        <f t="shared" si="6"/>
        <v>0.69314718055994529</v>
      </c>
      <c r="K122" s="1">
        <f t="shared" si="7"/>
        <v>-2.8678989020441059</v>
      </c>
    </row>
    <row r="123" spans="1:11">
      <c r="A123" s="483">
        <f t="shared" si="8"/>
        <v>117</v>
      </c>
      <c r="B123" s="485">
        <v>26785</v>
      </c>
      <c r="C123" s="473">
        <v>0.375</v>
      </c>
      <c r="D123" s="484" t="s">
        <v>100</v>
      </c>
      <c r="E123" s="472" t="s">
        <v>122</v>
      </c>
      <c r="F123" s="486">
        <v>150</v>
      </c>
      <c r="G123" s="611">
        <v>1</v>
      </c>
      <c r="H123" s="829">
        <f t="shared" si="9"/>
        <v>8.5227272727272721E-2</v>
      </c>
      <c r="I123" s="1">
        <f t="shared" si="5"/>
        <v>5.0106352940962555</v>
      </c>
      <c r="J123" s="1">
        <f t="shared" si="6"/>
        <v>0</v>
      </c>
      <c r="K123" s="1">
        <f t="shared" si="7"/>
        <v>-2.4624337939359418</v>
      </c>
    </row>
    <row r="124" spans="1:11">
      <c r="A124" s="483">
        <f t="shared" si="8"/>
        <v>118</v>
      </c>
      <c r="B124" s="485">
        <v>27183</v>
      </c>
      <c r="C124" s="473">
        <v>0.77083333333333337</v>
      </c>
      <c r="D124" s="484" t="s">
        <v>108</v>
      </c>
      <c r="E124" s="472" t="s">
        <v>122</v>
      </c>
      <c r="F124" s="486">
        <v>30</v>
      </c>
      <c r="G124" s="611">
        <v>0.5</v>
      </c>
      <c r="H124" s="829">
        <f t="shared" si="9"/>
        <v>8.5227272727272721E-3</v>
      </c>
      <c r="I124" s="1">
        <f t="shared" si="5"/>
        <v>3.4011973816621555</v>
      </c>
      <c r="J124" s="1">
        <f t="shared" si="6"/>
        <v>-0.69314718055994529</v>
      </c>
      <c r="K124" s="1">
        <f t="shared" si="7"/>
        <v>-4.7650188869299877</v>
      </c>
    </row>
    <row r="125" spans="1:11">
      <c r="A125" s="483">
        <f t="shared" si="8"/>
        <v>119</v>
      </c>
      <c r="B125" s="485">
        <v>27191</v>
      </c>
      <c r="C125" s="473">
        <v>0.6069444444444444</v>
      </c>
      <c r="D125" s="484" t="s">
        <v>120</v>
      </c>
      <c r="E125" s="472" t="s">
        <v>122</v>
      </c>
      <c r="F125" s="486">
        <v>17</v>
      </c>
      <c r="G125" s="611">
        <v>0.5</v>
      </c>
      <c r="H125" s="829">
        <f t="shared" si="9"/>
        <v>4.8295454545454544E-3</v>
      </c>
      <c r="I125" s="1">
        <f t="shared" si="5"/>
        <v>2.8332133440562162</v>
      </c>
      <c r="J125" s="1">
        <f t="shared" si="6"/>
        <v>-0.69314718055994529</v>
      </c>
      <c r="K125" s="1">
        <f t="shared" si="7"/>
        <v>-5.3330029245359265</v>
      </c>
    </row>
    <row r="126" spans="1:11">
      <c r="A126" s="483">
        <f t="shared" si="8"/>
        <v>120</v>
      </c>
      <c r="B126" s="485">
        <v>27193</v>
      </c>
      <c r="C126" s="473">
        <v>0.66666666666666663</v>
      </c>
      <c r="D126" s="484" t="s">
        <v>112</v>
      </c>
      <c r="E126" s="472" t="s">
        <v>122</v>
      </c>
      <c r="F126" s="486">
        <v>10</v>
      </c>
      <c r="G126" s="611">
        <v>0.5</v>
      </c>
      <c r="H126" s="829">
        <f t="shared" si="9"/>
        <v>2.840909090909091E-3</v>
      </c>
      <c r="I126" s="1">
        <f t="shared" si="5"/>
        <v>2.3025850929940459</v>
      </c>
      <c r="J126" s="1">
        <f t="shared" si="6"/>
        <v>-0.69314718055994529</v>
      </c>
      <c r="K126" s="1">
        <f t="shared" si="7"/>
        <v>-5.8636311755980968</v>
      </c>
    </row>
    <row r="127" spans="1:11">
      <c r="A127" s="483">
        <f t="shared" si="8"/>
        <v>121</v>
      </c>
      <c r="B127" s="485">
        <v>27201</v>
      </c>
      <c r="C127" s="473">
        <v>0.74097222222222225</v>
      </c>
      <c r="D127" s="484" t="s">
        <v>103</v>
      </c>
      <c r="E127" s="472" t="s">
        <v>122</v>
      </c>
      <c r="F127" s="486">
        <v>20</v>
      </c>
      <c r="G127" s="611">
        <v>0.5</v>
      </c>
      <c r="H127" s="829">
        <f t="shared" si="9"/>
        <v>5.681818181818182E-3</v>
      </c>
      <c r="I127" s="1">
        <f t="shared" si="5"/>
        <v>2.9957322735539909</v>
      </c>
      <c r="J127" s="1">
        <f t="shared" si="6"/>
        <v>-0.69314718055994529</v>
      </c>
      <c r="K127" s="1">
        <f t="shared" si="7"/>
        <v>-5.1704839950381514</v>
      </c>
    </row>
    <row r="128" spans="1:11">
      <c r="A128" s="483">
        <f t="shared" si="8"/>
        <v>122</v>
      </c>
      <c r="B128" s="485">
        <v>27248</v>
      </c>
      <c r="C128" s="473">
        <v>0.78125</v>
      </c>
      <c r="D128" s="484" t="s">
        <v>119</v>
      </c>
      <c r="E128" s="472" t="s">
        <v>122</v>
      </c>
      <c r="F128" s="486">
        <v>20</v>
      </c>
      <c r="G128" s="611">
        <v>0.5</v>
      </c>
      <c r="H128" s="829">
        <f t="shared" si="9"/>
        <v>5.681818181818182E-3</v>
      </c>
      <c r="I128" s="1">
        <f t="shared" si="5"/>
        <v>2.9957322735539909</v>
      </c>
      <c r="J128" s="1">
        <f t="shared" si="6"/>
        <v>-0.69314718055994529</v>
      </c>
      <c r="K128" s="1">
        <f t="shared" si="7"/>
        <v>-5.1704839950381514</v>
      </c>
    </row>
    <row r="129" spans="1:11">
      <c r="A129" s="483">
        <f t="shared" si="8"/>
        <v>123</v>
      </c>
      <c r="B129" s="485">
        <v>27248</v>
      </c>
      <c r="C129" s="473">
        <v>0.88888888888888884</v>
      </c>
      <c r="D129" s="484" t="s">
        <v>114</v>
      </c>
      <c r="E129" s="472" t="s">
        <v>122</v>
      </c>
      <c r="F129" s="486">
        <v>17</v>
      </c>
      <c r="G129" s="611">
        <v>0.3</v>
      </c>
      <c r="H129" s="829">
        <f t="shared" si="9"/>
        <v>2.8977272727272727E-3</v>
      </c>
      <c r="I129" s="1">
        <f t="shared" si="5"/>
        <v>2.8332133440562162</v>
      </c>
      <c r="J129" s="1">
        <f t="shared" si="6"/>
        <v>-1.2039728043259361</v>
      </c>
      <c r="K129" s="1">
        <f t="shared" si="7"/>
        <v>-5.843828548301917</v>
      </c>
    </row>
    <row r="130" spans="1:11">
      <c r="A130" s="483">
        <f t="shared" si="8"/>
        <v>124</v>
      </c>
      <c r="B130" s="485">
        <v>27524</v>
      </c>
      <c r="C130" s="473">
        <v>0.80555555555555547</v>
      </c>
      <c r="D130" s="484" t="s">
        <v>112</v>
      </c>
      <c r="E130" s="472" t="s">
        <v>122</v>
      </c>
      <c r="F130" s="486">
        <v>30</v>
      </c>
      <c r="G130" s="611">
        <v>1</v>
      </c>
      <c r="H130" s="829">
        <f t="shared" si="9"/>
        <v>1.7045454545454544E-2</v>
      </c>
      <c r="I130" s="1">
        <f t="shared" si="5"/>
        <v>3.4011973816621555</v>
      </c>
      <c r="J130" s="1">
        <f t="shared" si="6"/>
        <v>0</v>
      </c>
      <c r="K130" s="1">
        <f t="shared" si="7"/>
        <v>-4.0718717063700423</v>
      </c>
    </row>
    <row r="131" spans="1:11">
      <c r="A131" s="483">
        <f t="shared" si="8"/>
        <v>125</v>
      </c>
      <c r="B131" s="485">
        <v>27526</v>
      </c>
      <c r="C131" s="473">
        <v>0.72222222222222221</v>
      </c>
      <c r="D131" s="484" t="s">
        <v>107</v>
      </c>
      <c r="E131" s="472" t="s">
        <v>122</v>
      </c>
      <c r="F131" s="486">
        <v>60</v>
      </c>
      <c r="G131" s="611">
        <v>3.6</v>
      </c>
      <c r="H131" s="829">
        <f t="shared" si="9"/>
        <v>0.12272727272727273</v>
      </c>
      <c r="I131" s="1">
        <f t="shared" si="5"/>
        <v>4.0943445622221004</v>
      </c>
      <c r="J131" s="1">
        <f t="shared" si="6"/>
        <v>1.2809338454620642</v>
      </c>
      <c r="K131" s="1">
        <f t="shared" si="7"/>
        <v>-2.0977906803480324</v>
      </c>
    </row>
    <row r="132" spans="1:11">
      <c r="A132" s="483">
        <f t="shared" si="8"/>
        <v>126</v>
      </c>
      <c r="B132" s="485">
        <v>27526</v>
      </c>
      <c r="C132" s="473">
        <v>0.97916666666666663</v>
      </c>
      <c r="D132" s="484" t="s">
        <v>114</v>
      </c>
      <c r="E132" s="472" t="s">
        <v>122</v>
      </c>
      <c r="F132" s="486">
        <v>30</v>
      </c>
      <c r="G132" s="611">
        <v>1</v>
      </c>
      <c r="H132" s="829">
        <f t="shared" si="9"/>
        <v>1.7045454545454544E-2</v>
      </c>
      <c r="I132" s="1">
        <f t="shared" si="5"/>
        <v>3.4011973816621555</v>
      </c>
      <c r="J132" s="1">
        <f t="shared" si="6"/>
        <v>0</v>
      </c>
      <c r="K132" s="1">
        <f t="shared" si="7"/>
        <v>-4.0718717063700423</v>
      </c>
    </row>
    <row r="133" spans="1:11">
      <c r="A133" s="483">
        <f t="shared" si="8"/>
        <v>127</v>
      </c>
      <c r="B133" s="485">
        <v>27526</v>
      </c>
      <c r="C133" s="473">
        <v>0.99791666666666667</v>
      </c>
      <c r="D133" s="484" t="s">
        <v>115</v>
      </c>
      <c r="E133" s="472" t="s">
        <v>122</v>
      </c>
      <c r="F133" s="486">
        <v>30</v>
      </c>
      <c r="G133" s="611">
        <v>0.5</v>
      </c>
      <c r="H133" s="829">
        <f t="shared" si="9"/>
        <v>8.5227272727272721E-3</v>
      </c>
      <c r="I133" s="1">
        <f t="shared" si="5"/>
        <v>3.4011973816621555</v>
      </c>
      <c r="J133" s="1">
        <f t="shared" si="6"/>
        <v>-0.69314718055994529</v>
      </c>
      <c r="K133" s="1">
        <f t="shared" si="7"/>
        <v>-4.7650188869299877</v>
      </c>
    </row>
    <row r="134" spans="1:11">
      <c r="A134" s="483">
        <f t="shared" si="8"/>
        <v>128</v>
      </c>
      <c r="B134" s="485">
        <v>27536</v>
      </c>
      <c r="C134" s="473">
        <v>0.82291666666666663</v>
      </c>
      <c r="D134" s="484" t="s">
        <v>109</v>
      </c>
      <c r="E134" s="472" t="s">
        <v>122</v>
      </c>
      <c r="F134" s="486">
        <v>40</v>
      </c>
      <c r="G134" s="611">
        <v>2</v>
      </c>
      <c r="H134" s="829">
        <f t="shared" si="9"/>
        <v>4.5454545454545456E-2</v>
      </c>
      <c r="I134" s="1">
        <f t="shared" si="5"/>
        <v>3.6888794541139363</v>
      </c>
      <c r="J134" s="1">
        <f t="shared" si="6"/>
        <v>0.69314718055994529</v>
      </c>
      <c r="K134" s="1">
        <f t="shared" si="7"/>
        <v>-3.0910424533583156</v>
      </c>
    </row>
    <row r="135" spans="1:11">
      <c r="A135" s="483">
        <f t="shared" si="8"/>
        <v>129</v>
      </c>
      <c r="B135" s="485">
        <v>27542</v>
      </c>
      <c r="C135" s="473">
        <v>0.73472222222222217</v>
      </c>
      <c r="D135" s="484" t="s">
        <v>119</v>
      </c>
      <c r="E135" s="472" t="s">
        <v>122</v>
      </c>
      <c r="F135" s="486">
        <v>50</v>
      </c>
      <c r="G135" s="611">
        <v>3</v>
      </c>
      <c r="H135" s="829">
        <f t="shared" si="9"/>
        <v>8.5227272727272721E-2</v>
      </c>
      <c r="I135" s="1">
        <f t="shared" si="5"/>
        <v>3.912023005428146</v>
      </c>
      <c r="J135" s="1">
        <f t="shared" si="6"/>
        <v>1.0986122886681098</v>
      </c>
      <c r="K135" s="1">
        <f t="shared" si="7"/>
        <v>-2.4624337939359418</v>
      </c>
    </row>
    <row r="136" spans="1:11">
      <c r="A136" s="483">
        <f t="shared" si="8"/>
        <v>130</v>
      </c>
      <c r="B136" s="485">
        <v>27542</v>
      </c>
      <c r="C136" s="473">
        <v>0.79027777777777775</v>
      </c>
      <c r="D136" s="484" t="s">
        <v>104</v>
      </c>
      <c r="E136" s="472" t="s">
        <v>122</v>
      </c>
      <c r="F136" s="486">
        <v>30</v>
      </c>
      <c r="G136" s="611">
        <v>0.5</v>
      </c>
      <c r="H136" s="829">
        <f t="shared" si="9"/>
        <v>8.5227272727272721E-3</v>
      </c>
      <c r="I136" s="1">
        <f t="shared" ref="I136:I199" si="10">LN(F136)</f>
        <v>3.4011973816621555</v>
      </c>
      <c r="J136" s="1">
        <f t="shared" ref="J136:J199" si="11">LN(G136)</f>
        <v>-0.69314718055994529</v>
      </c>
      <c r="K136" s="1">
        <f t="shared" ref="K136:K199" si="12">LN(H136)</f>
        <v>-4.7650188869299877</v>
      </c>
    </row>
    <row r="137" spans="1:11">
      <c r="A137" s="483">
        <f t="shared" ref="A137:A200" si="13">+A136+1</f>
        <v>131</v>
      </c>
      <c r="B137" s="485">
        <v>27542</v>
      </c>
      <c r="C137" s="473">
        <v>0.80902777777777779</v>
      </c>
      <c r="D137" s="484" t="s">
        <v>109</v>
      </c>
      <c r="E137" s="472" t="s">
        <v>122</v>
      </c>
      <c r="F137" s="486">
        <v>40</v>
      </c>
      <c r="G137" s="611">
        <v>1</v>
      </c>
      <c r="H137" s="829">
        <f t="shared" ref="H137:H200" si="14">+(F137/1760)*G137</f>
        <v>2.2727272727272728E-2</v>
      </c>
      <c r="I137" s="1">
        <f t="shared" si="10"/>
        <v>3.6888794541139363</v>
      </c>
      <c r="J137" s="1">
        <f t="shared" si="11"/>
        <v>0</v>
      </c>
      <c r="K137" s="1">
        <f t="shared" si="12"/>
        <v>-3.784189633918261</v>
      </c>
    </row>
    <row r="138" spans="1:11">
      <c r="A138" s="483">
        <f t="shared" si="13"/>
        <v>132</v>
      </c>
      <c r="B138" s="485">
        <v>27571</v>
      </c>
      <c r="C138" s="473">
        <v>0.69791666666666663</v>
      </c>
      <c r="D138" s="484" t="s">
        <v>104</v>
      </c>
      <c r="E138" s="472" t="s">
        <v>122</v>
      </c>
      <c r="F138" s="486">
        <v>60</v>
      </c>
      <c r="G138" s="611">
        <v>1.9</v>
      </c>
      <c r="H138" s="829">
        <f t="shared" si="14"/>
        <v>6.477272727272726E-2</v>
      </c>
      <c r="I138" s="1">
        <f t="shared" si="10"/>
        <v>4.0943445622221004</v>
      </c>
      <c r="J138" s="1">
        <f t="shared" si="11"/>
        <v>0.64185388617239469</v>
      </c>
      <c r="K138" s="1">
        <f t="shared" si="12"/>
        <v>-2.7368706396377021</v>
      </c>
    </row>
    <row r="139" spans="1:11">
      <c r="A139" s="483">
        <f t="shared" si="13"/>
        <v>133</v>
      </c>
      <c r="B139" s="485">
        <v>27584</v>
      </c>
      <c r="C139" s="473">
        <v>0.85069444444444453</v>
      </c>
      <c r="D139" s="484" t="s">
        <v>109</v>
      </c>
      <c r="E139" s="472" t="s">
        <v>122</v>
      </c>
      <c r="F139" s="486">
        <v>10</v>
      </c>
      <c r="G139" s="611">
        <v>0.1</v>
      </c>
      <c r="H139" s="829">
        <f t="shared" si="14"/>
        <v>5.6818181818181826E-4</v>
      </c>
      <c r="I139" s="1">
        <f t="shared" si="10"/>
        <v>2.3025850929940459</v>
      </c>
      <c r="J139" s="1">
        <f t="shared" si="11"/>
        <v>-2.3025850929940455</v>
      </c>
      <c r="K139" s="1">
        <f t="shared" si="12"/>
        <v>-7.4730690880321973</v>
      </c>
    </row>
    <row r="140" spans="1:11">
      <c r="A140" s="483">
        <f t="shared" si="13"/>
        <v>134</v>
      </c>
      <c r="B140" s="485">
        <v>27857</v>
      </c>
      <c r="C140" s="473">
        <v>0.6875</v>
      </c>
      <c r="D140" s="484" t="s">
        <v>120</v>
      </c>
      <c r="E140" s="472" t="s">
        <v>122</v>
      </c>
      <c r="F140" s="486">
        <v>10</v>
      </c>
      <c r="G140" s="611">
        <v>0.1</v>
      </c>
      <c r="H140" s="829">
        <f t="shared" si="14"/>
        <v>5.6818181818181826E-4</v>
      </c>
      <c r="I140" s="1">
        <f t="shared" si="10"/>
        <v>2.3025850929940459</v>
      </c>
      <c r="J140" s="1">
        <f t="shared" si="11"/>
        <v>-2.3025850929940455</v>
      </c>
      <c r="K140" s="1">
        <f t="shared" si="12"/>
        <v>-7.4730690880321973</v>
      </c>
    </row>
    <row r="141" spans="1:11">
      <c r="A141" s="483">
        <f t="shared" si="13"/>
        <v>135</v>
      </c>
      <c r="B141" s="485">
        <v>27857</v>
      </c>
      <c r="C141" s="473">
        <v>0.69097222222222221</v>
      </c>
      <c r="D141" s="484" t="s">
        <v>120</v>
      </c>
      <c r="E141" s="472" t="s">
        <v>122</v>
      </c>
      <c r="F141" s="486">
        <v>10</v>
      </c>
      <c r="G141" s="611">
        <v>0.1</v>
      </c>
      <c r="H141" s="829">
        <f t="shared" si="14"/>
        <v>5.6818181818181826E-4</v>
      </c>
      <c r="I141" s="1">
        <f t="shared" si="10"/>
        <v>2.3025850929940459</v>
      </c>
      <c r="J141" s="1">
        <f t="shared" si="11"/>
        <v>-2.3025850929940455</v>
      </c>
      <c r="K141" s="1">
        <f t="shared" si="12"/>
        <v>-7.4730690880321973</v>
      </c>
    </row>
    <row r="142" spans="1:11">
      <c r="A142" s="483">
        <f t="shared" si="13"/>
        <v>136</v>
      </c>
      <c r="B142" s="485">
        <v>27857</v>
      </c>
      <c r="C142" s="473">
        <v>0.74305555555555547</v>
      </c>
      <c r="D142" s="484" t="s">
        <v>121</v>
      </c>
      <c r="E142" s="472" t="s">
        <v>122</v>
      </c>
      <c r="F142" s="486">
        <v>10</v>
      </c>
      <c r="G142" s="611">
        <v>0.1</v>
      </c>
      <c r="H142" s="829">
        <f t="shared" si="14"/>
        <v>5.6818181818181826E-4</v>
      </c>
      <c r="I142" s="1">
        <f t="shared" si="10"/>
        <v>2.3025850929940459</v>
      </c>
      <c r="J142" s="1">
        <f t="shared" si="11"/>
        <v>-2.3025850929940455</v>
      </c>
      <c r="K142" s="1">
        <f t="shared" si="12"/>
        <v>-7.4730690880321973</v>
      </c>
    </row>
    <row r="143" spans="1:11">
      <c r="A143" s="483">
        <f t="shared" si="13"/>
        <v>137</v>
      </c>
      <c r="B143" s="485">
        <v>27865</v>
      </c>
      <c r="C143" s="473">
        <v>0.60416666666666663</v>
      </c>
      <c r="D143" s="484" t="s">
        <v>104</v>
      </c>
      <c r="E143" s="472" t="s">
        <v>122</v>
      </c>
      <c r="F143" s="486">
        <v>10</v>
      </c>
      <c r="G143" s="611">
        <v>0.1</v>
      </c>
      <c r="H143" s="829">
        <f t="shared" si="14"/>
        <v>5.6818181818181826E-4</v>
      </c>
      <c r="I143" s="1">
        <f t="shared" si="10"/>
        <v>2.3025850929940459</v>
      </c>
      <c r="J143" s="1">
        <f t="shared" si="11"/>
        <v>-2.3025850929940455</v>
      </c>
      <c r="K143" s="1">
        <f t="shared" si="12"/>
        <v>-7.4730690880321973</v>
      </c>
    </row>
    <row r="144" spans="1:11">
      <c r="A144" s="483">
        <f t="shared" si="13"/>
        <v>138</v>
      </c>
      <c r="B144" s="485">
        <v>27865</v>
      </c>
      <c r="C144" s="473">
        <v>0.60416666666666663</v>
      </c>
      <c r="D144" s="484" t="s">
        <v>104</v>
      </c>
      <c r="E144" s="472" t="s">
        <v>122</v>
      </c>
      <c r="F144" s="486">
        <v>10</v>
      </c>
      <c r="G144" s="611">
        <v>0.1</v>
      </c>
      <c r="H144" s="829">
        <f t="shared" si="14"/>
        <v>5.6818181818181826E-4</v>
      </c>
      <c r="I144" s="1">
        <f t="shared" si="10"/>
        <v>2.3025850929940459</v>
      </c>
      <c r="J144" s="1">
        <f t="shared" si="11"/>
        <v>-2.3025850929940455</v>
      </c>
      <c r="K144" s="1">
        <f t="shared" si="12"/>
        <v>-7.4730690880321973</v>
      </c>
    </row>
    <row r="145" spans="1:11">
      <c r="A145" s="483">
        <f t="shared" si="13"/>
        <v>139</v>
      </c>
      <c r="B145" s="485">
        <v>27865</v>
      </c>
      <c r="C145" s="473">
        <v>0.61597222222222225</v>
      </c>
      <c r="D145" s="484" t="s">
        <v>104</v>
      </c>
      <c r="E145" s="472" t="s">
        <v>122</v>
      </c>
      <c r="F145" s="486">
        <v>10</v>
      </c>
      <c r="G145" s="611">
        <v>0.1</v>
      </c>
      <c r="H145" s="829">
        <f t="shared" si="14"/>
        <v>5.6818181818181826E-4</v>
      </c>
      <c r="I145" s="1">
        <f t="shared" si="10"/>
        <v>2.3025850929940459</v>
      </c>
      <c r="J145" s="1">
        <f t="shared" si="11"/>
        <v>-2.3025850929940455</v>
      </c>
      <c r="K145" s="1">
        <f t="shared" si="12"/>
        <v>-7.4730690880321973</v>
      </c>
    </row>
    <row r="146" spans="1:11">
      <c r="A146" s="483">
        <f t="shared" si="13"/>
        <v>140</v>
      </c>
      <c r="B146" s="485">
        <v>27869</v>
      </c>
      <c r="C146" s="473">
        <v>0.62152777777777779</v>
      </c>
      <c r="D146" s="484" t="s">
        <v>108</v>
      </c>
      <c r="E146" s="472" t="s">
        <v>122</v>
      </c>
      <c r="F146" s="486">
        <v>10</v>
      </c>
      <c r="G146" s="611">
        <v>0.1</v>
      </c>
      <c r="H146" s="829">
        <f t="shared" si="14"/>
        <v>5.6818181818181826E-4</v>
      </c>
      <c r="I146" s="1">
        <f t="shared" si="10"/>
        <v>2.3025850929940459</v>
      </c>
      <c r="J146" s="1">
        <f t="shared" si="11"/>
        <v>-2.3025850929940455</v>
      </c>
      <c r="K146" s="1">
        <f t="shared" si="12"/>
        <v>-7.4730690880321973</v>
      </c>
    </row>
    <row r="147" spans="1:11">
      <c r="A147" s="483">
        <f t="shared" si="13"/>
        <v>141</v>
      </c>
      <c r="B147" s="485">
        <v>27877</v>
      </c>
      <c r="C147" s="473">
        <v>0.79166666666666663</v>
      </c>
      <c r="D147" s="484" t="s">
        <v>108</v>
      </c>
      <c r="E147" s="472" t="s">
        <v>122</v>
      </c>
      <c r="F147" s="486">
        <v>10</v>
      </c>
      <c r="G147" s="611">
        <v>0.1</v>
      </c>
      <c r="H147" s="829">
        <f t="shared" si="14"/>
        <v>5.6818181818181826E-4</v>
      </c>
      <c r="I147" s="1">
        <f t="shared" si="10"/>
        <v>2.3025850929940459</v>
      </c>
      <c r="J147" s="1">
        <f t="shared" si="11"/>
        <v>-2.3025850929940455</v>
      </c>
      <c r="K147" s="1">
        <f t="shared" si="12"/>
        <v>-7.4730690880321973</v>
      </c>
    </row>
    <row r="148" spans="1:11">
      <c r="A148" s="483">
        <f t="shared" si="13"/>
        <v>142</v>
      </c>
      <c r="B148" s="485">
        <v>27932</v>
      </c>
      <c r="C148" s="473">
        <v>0.76249999999999996</v>
      </c>
      <c r="D148" s="484" t="s">
        <v>118</v>
      </c>
      <c r="E148" s="472" t="s">
        <v>122</v>
      </c>
      <c r="F148" s="486">
        <v>10</v>
      </c>
      <c r="G148" s="611">
        <v>0.3</v>
      </c>
      <c r="H148" s="829">
        <f t="shared" si="14"/>
        <v>1.7045454545454545E-3</v>
      </c>
      <c r="I148" s="1">
        <f t="shared" si="10"/>
        <v>2.3025850929940459</v>
      </c>
      <c r="J148" s="1">
        <f t="shared" si="11"/>
        <v>-1.2039728043259361</v>
      </c>
      <c r="K148" s="1">
        <f t="shared" si="12"/>
        <v>-6.3744567993640882</v>
      </c>
    </row>
    <row r="149" spans="1:11">
      <c r="A149" s="483">
        <f t="shared" si="13"/>
        <v>143</v>
      </c>
      <c r="B149" s="485">
        <v>28234</v>
      </c>
      <c r="C149" s="473">
        <v>0.64583333333333337</v>
      </c>
      <c r="D149" s="484" t="s">
        <v>120</v>
      </c>
      <c r="E149" s="472" t="s">
        <v>122</v>
      </c>
      <c r="F149" s="486">
        <v>10</v>
      </c>
      <c r="G149" s="611">
        <v>0.1</v>
      </c>
      <c r="H149" s="829">
        <f t="shared" si="14"/>
        <v>5.6818181818181826E-4</v>
      </c>
      <c r="I149" s="1">
        <f t="shared" si="10"/>
        <v>2.3025850929940459</v>
      </c>
      <c r="J149" s="1">
        <f t="shared" si="11"/>
        <v>-2.3025850929940455</v>
      </c>
      <c r="K149" s="1">
        <f t="shared" si="12"/>
        <v>-7.4730690880321973</v>
      </c>
    </row>
    <row r="150" spans="1:11">
      <c r="A150" s="483">
        <f t="shared" si="13"/>
        <v>144</v>
      </c>
      <c r="B150" s="485">
        <v>28262</v>
      </c>
      <c r="C150" s="473">
        <v>0.77083333333333337</v>
      </c>
      <c r="D150" s="484" t="s">
        <v>119</v>
      </c>
      <c r="E150" s="472" t="s">
        <v>122</v>
      </c>
      <c r="F150" s="486">
        <v>20</v>
      </c>
      <c r="G150" s="611">
        <v>0.2</v>
      </c>
      <c r="H150" s="829">
        <f t="shared" si="14"/>
        <v>2.2727272727272731E-3</v>
      </c>
      <c r="I150" s="1">
        <f t="shared" si="10"/>
        <v>2.9957322735539909</v>
      </c>
      <c r="J150" s="1">
        <f t="shared" si="11"/>
        <v>-1.6094379124341003</v>
      </c>
      <c r="K150" s="1">
        <f t="shared" si="12"/>
        <v>-6.0867747269123065</v>
      </c>
    </row>
    <row r="151" spans="1:11">
      <c r="A151" s="483">
        <f t="shared" si="13"/>
        <v>145</v>
      </c>
      <c r="B151" s="485">
        <v>28262</v>
      </c>
      <c r="C151" s="473">
        <v>0.92361111111111116</v>
      </c>
      <c r="D151" s="484" t="s">
        <v>115</v>
      </c>
      <c r="E151" s="472" t="s">
        <v>122</v>
      </c>
      <c r="F151" s="486">
        <v>20</v>
      </c>
      <c r="G151" s="611">
        <v>0.5</v>
      </c>
      <c r="H151" s="829">
        <f t="shared" si="14"/>
        <v>5.681818181818182E-3</v>
      </c>
      <c r="I151" s="1">
        <f t="shared" si="10"/>
        <v>2.9957322735539909</v>
      </c>
      <c r="J151" s="1">
        <f t="shared" si="11"/>
        <v>-0.69314718055994529</v>
      </c>
      <c r="K151" s="1">
        <f t="shared" si="12"/>
        <v>-5.1704839950381514</v>
      </c>
    </row>
    <row r="152" spans="1:11">
      <c r="A152" s="483">
        <f t="shared" si="13"/>
        <v>146</v>
      </c>
      <c r="B152" s="485">
        <v>28265</v>
      </c>
      <c r="C152" s="473">
        <v>0.71805555555555556</v>
      </c>
      <c r="D152" s="484" t="s">
        <v>116</v>
      </c>
      <c r="E152" s="472" t="s">
        <v>122</v>
      </c>
      <c r="F152" s="486">
        <v>20</v>
      </c>
      <c r="G152" s="611">
        <v>1</v>
      </c>
      <c r="H152" s="829">
        <f t="shared" si="14"/>
        <v>1.1363636363636364E-2</v>
      </c>
      <c r="I152" s="1">
        <f t="shared" si="10"/>
        <v>2.9957322735539909</v>
      </c>
      <c r="J152" s="1">
        <f t="shared" si="11"/>
        <v>0</v>
      </c>
      <c r="K152" s="1">
        <f t="shared" si="12"/>
        <v>-4.4773368144782069</v>
      </c>
    </row>
    <row r="153" spans="1:11">
      <c r="A153" s="483">
        <f t="shared" si="13"/>
        <v>147</v>
      </c>
      <c r="B153" s="485">
        <v>28270</v>
      </c>
      <c r="C153" s="473">
        <v>0.71944444444444444</v>
      </c>
      <c r="D153" s="484" t="s">
        <v>104</v>
      </c>
      <c r="E153" s="472" t="s">
        <v>122</v>
      </c>
      <c r="F153" s="486">
        <v>20</v>
      </c>
      <c r="G153" s="611">
        <v>1</v>
      </c>
      <c r="H153" s="829">
        <f t="shared" si="14"/>
        <v>1.1363636363636364E-2</v>
      </c>
      <c r="I153" s="1">
        <f t="shared" si="10"/>
        <v>2.9957322735539909</v>
      </c>
      <c r="J153" s="1">
        <f t="shared" si="11"/>
        <v>0</v>
      </c>
      <c r="K153" s="1">
        <f t="shared" si="12"/>
        <v>-4.4773368144782069</v>
      </c>
    </row>
    <row r="154" spans="1:11">
      <c r="A154" s="483">
        <f t="shared" si="13"/>
        <v>148</v>
      </c>
      <c r="B154" s="485">
        <v>28295</v>
      </c>
      <c r="C154" s="473">
        <v>0.87152777777777779</v>
      </c>
      <c r="D154" s="484" t="s">
        <v>103</v>
      </c>
      <c r="E154" s="472" t="s">
        <v>122</v>
      </c>
      <c r="F154" s="486">
        <v>30</v>
      </c>
      <c r="G154" s="611">
        <v>0.5</v>
      </c>
      <c r="H154" s="829">
        <f t="shared" si="14"/>
        <v>8.5227272727272721E-3</v>
      </c>
      <c r="I154" s="1">
        <f t="shared" si="10"/>
        <v>3.4011973816621555</v>
      </c>
      <c r="J154" s="1">
        <f t="shared" si="11"/>
        <v>-0.69314718055994529</v>
      </c>
      <c r="K154" s="1">
        <f t="shared" si="12"/>
        <v>-4.7650188869299877</v>
      </c>
    </row>
    <row r="155" spans="1:11">
      <c r="A155" s="483">
        <f t="shared" si="13"/>
        <v>149</v>
      </c>
      <c r="B155" s="485">
        <v>28339</v>
      </c>
      <c r="C155" s="473">
        <v>0.6875</v>
      </c>
      <c r="D155" s="484" t="s">
        <v>104</v>
      </c>
      <c r="E155" s="472" t="s">
        <v>122</v>
      </c>
      <c r="F155" s="486">
        <v>30</v>
      </c>
      <c r="G155" s="611">
        <v>0.5</v>
      </c>
      <c r="H155" s="829">
        <f t="shared" si="14"/>
        <v>8.5227272727272721E-3</v>
      </c>
      <c r="I155" s="1">
        <f t="shared" si="10"/>
        <v>3.4011973816621555</v>
      </c>
      <c r="J155" s="1">
        <f t="shared" si="11"/>
        <v>-0.69314718055994529</v>
      </c>
      <c r="K155" s="1">
        <f t="shared" si="12"/>
        <v>-4.7650188869299877</v>
      </c>
    </row>
    <row r="156" spans="1:11">
      <c r="A156" s="483">
        <f t="shared" si="13"/>
        <v>150</v>
      </c>
      <c r="B156" s="485">
        <v>28613</v>
      </c>
      <c r="C156" s="473">
        <v>0.6875</v>
      </c>
      <c r="D156" s="484" t="s">
        <v>106</v>
      </c>
      <c r="E156" s="472" t="s">
        <v>122</v>
      </c>
      <c r="F156" s="486">
        <v>400</v>
      </c>
      <c r="G156" s="611">
        <v>6.5</v>
      </c>
      <c r="H156" s="829">
        <f t="shared" si="14"/>
        <v>1.4772727272727273</v>
      </c>
      <c r="I156" s="1">
        <f t="shared" si="10"/>
        <v>5.9914645471079817</v>
      </c>
      <c r="J156" s="1">
        <f t="shared" si="11"/>
        <v>1.8718021769015913</v>
      </c>
      <c r="K156" s="1">
        <f t="shared" si="12"/>
        <v>0.39019763597737595</v>
      </c>
    </row>
    <row r="157" spans="1:11">
      <c r="A157" s="483">
        <f t="shared" si="13"/>
        <v>151</v>
      </c>
      <c r="B157" s="485">
        <v>28614</v>
      </c>
      <c r="C157" s="473">
        <v>0.70138888888888884</v>
      </c>
      <c r="D157" s="484" t="s">
        <v>103</v>
      </c>
      <c r="E157" s="472" t="s">
        <v>122</v>
      </c>
      <c r="F157" s="486">
        <v>60</v>
      </c>
      <c r="G157" s="611">
        <v>11.3</v>
      </c>
      <c r="H157" s="829">
        <f t="shared" si="14"/>
        <v>0.3852272727272727</v>
      </c>
      <c r="I157" s="1">
        <f t="shared" si="10"/>
        <v>4.0943445622221004</v>
      </c>
      <c r="J157" s="1">
        <f t="shared" si="11"/>
        <v>2.4248027257182949</v>
      </c>
      <c r="K157" s="1">
        <f t="shared" si="12"/>
        <v>-0.95392180009180194</v>
      </c>
    </row>
    <row r="158" spans="1:11">
      <c r="A158" s="483">
        <f t="shared" si="13"/>
        <v>152</v>
      </c>
      <c r="B158" s="485">
        <v>28615</v>
      </c>
      <c r="C158" s="473">
        <v>0.73958333333333337</v>
      </c>
      <c r="D158" s="484" t="s">
        <v>102</v>
      </c>
      <c r="E158" s="472" t="s">
        <v>122</v>
      </c>
      <c r="F158" s="486">
        <v>30</v>
      </c>
      <c r="G158" s="611">
        <v>4.5</v>
      </c>
      <c r="H158" s="829">
        <f t="shared" si="14"/>
        <v>7.6704545454545442E-2</v>
      </c>
      <c r="I158" s="1">
        <f t="shared" si="10"/>
        <v>3.4011973816621555</v>
      </c>
      <c r="J158" s="1">
        <f t="shared" si="11"/>
        <v>1.5040773967762742</v>
      </c>
      <c r="K158" s="1">
        <f t="shared" si="12"/>
        <v>-2.5677943095937681</v>
      </c>
    </row>
    <row r="159" spans="1:11">
      <c r="A159" s="483">
        <f t="shared" si="13"/>
        <v>153</v>
      </c>
      <c r="B159" s="485">
        <v>28615</v>
      </c>
      <c r="C159" s="473">
        <v>0.77083333333333337</v>
      </c>
      <c r="D159" s="484" t="s">
        <v>102</v>
      </c>
      <c r="E159" s="472" t="s">
        <v>122</v>
      </c>
      <c r="F159" s="486">
        <v>30</v>
      </c>
      <c r="G159" s="611">
        <v>2</v>
      </c>
      <c r="H159" s="829">
        <f t="shared" si="14"/>
        <v>3.4090909090909088E-2</v>
      </c>
      <c r="I159" s="1">
        <f t="shared" si="10"/>
        <v>3.4011973816621555</v>
      </c>
      <c r="J159" s="1">
        <f t="shared" si="11"/>
        <v>0.69314718055994529</v>
      </c>
      <c r="K159" s="1">
        <f t="shared" si="12"/>
        <v>-3.3787245258100969</v>
      </c>
    </row>
    <row r="160" spans="1:11">
      <c r="A160" s="483">
        <f t="shared" si="13"/>
        <v>154</v>
      </c>
      <c r="B160" s="485">
        <v>28630</v>
      </c>
      <c r="C160" s="473">
        <v>0.96597222222222223</v>
      </c>
      <c r="D160" s="484" t="s">
        <v>116</v>
      </c>
      <c r="E160" s="472" t="s">
        <v>122</v>
      </c>
      <c r="F160" s="486">
        <v>30</v>
      </c>
      <c r="G160" s="611">
        <v>2</v>
      </c>
      <c r="H160" s="829">
        <f t="shared" si="14"/>
        <v>3.4090909090909088E-2</v>
      </c>
      <c r="I160" s="1">
        <f t="shared" si="10"/>
        <v>3.4011973816621555</v>
      </c>
      <c r="J160" s="1">
        <f t="shared" si="11"/>
        <v>0.69314718055994529</v>
      </c>
      <c r="K160" s="1">
        <f t="shared" si="12"/>
        <v>-3.3787245258100969</v>
      </c>
    </row>
    <row r="161" spans="1:11">
      <c r="A161" s="483">
        <f t="shared" si="13"/>
        <v>155</v>
      </c>
      <c r="B161" s="485">
        <v>28635</v>
      </c>
      <c r="C161" s="473">
        <v>0.76736111111111116</v>
      </c>
      <c r="D161" s="484" t="s">
        <v>117</v>
      </c>
      <c r="E161" s="472" t="s">
        <v>122</v>
      </c>
      <c r="F161" s="486">
        <v>60</v>
      </c>
      <c r="G161" s="611">
        <v>6.1</v>
      </c>
      <c r="H161" s="829">
        <f t="shared" si="14"/>
        <v>0.20795454545454542</v>
      </c>
      <c r="I161" s="1">
        <f t="shared" si="10"/>
        <v>4.0943445622221004</v>
      </c>
      <c r="J161" s="1">
        <f t="shared" si="11"/>
        <v>1.8082887711792655</v>
      </c>
      <c r="K161" s="1">
        <f t="shared" si="12"/>
        <v>-1.5704357546308314</v>
      </c>
    </row>
    <row r="162" spans="1:11">
      <c r="A162" s="483">
        <f t="shared" si="13"/>
        <v>156</v>
      </c>
      <c r="B162" s="485">
        <v>28636</v>
      </c>
      <c r="C162" s="473">
        <v>0.78888888888888886</v>
      </c>
      <c r="D162" s="484" t="s">
        <v>118</v>
      </c>
      <c r="E162" s="472" t="s">
        <v>122</v>
      </c>
      <c r="F162" s="486">
        <v>40</v>
      </c>
      <c r="G162" s="611">
        <v>1</v>
      </c>
      <c r="H162" s="829">
        <f t="shared" si="14"/>
        <v>2.2727272727272728E-2</v>
      </c>
      <c r="I162" s="1">
        <f t="shared" si="10"/>
        <v>3.6888794541139363</v>
      </c>
      <c r="J162" s="1">
        <f t="shared" si="11"/>
        <v>0</v>
      </c>
      <c r="K162" s="1">
        <f t="shared" si="12"/>
        <v>-3.784189633918261</v>
      </c>
    </row>
    <row r="163" spans="1:11">
      <c r="A163" s="483">
        <f t="shared" si="13"/>
        <v>157</v>
      </c>
      <c r="B163" s="485">
        <v>28636</v>
      </c>
      <c r="C163" s="473">
        <v>0.7944444444444444</v>
      </c>
      <c r="D163" s="484" t="s">
        <v>117</v>
      </c>
      <c r="E163" s="472" t="s">
        <v>122</v>
      </c>
      <c r="F163" s="486">
        <v>30</v>
      </c>
      <c r="G163" s="611">
        <v>2</v>
      </c>
      <c r="H163" s="829">
        <f t="shared" si="14"/>
        <v>3.4090909090909088E-2</v>
      </c>
      <c r="I163" s="1">
        <f t="shared" si="10"/>
        <v>3.4011973816621555</v>
      </c>
      <c r="J163" s="1">
        <f t="shared" si="11"/>
        <v>0.69314718055994529</v>
      </c>
      <c r="K163" s="1">
        <f t="shared" si="12"/>
        <v>-3.3787245258100969</v>
      </c>
    </row>
    <row r="164" spans="1:11">
      <c r="A164" s="483">
        <f t="shared" si="13"/>
        <v>158</v>
      </c>
      <c r="B164" s="485">
        <v>28636</v>
      </c>
      <c r="C164" s="473">
        <v>0.80902777777777779</v>
      </c>
      <c r="D164" s="484" t="s">
        <v>117</v>
      </c>
      <c r="E164" s="472" t="s">
        <v>122</v>
      </c>
      <c r="F164" s="486">
        <v>50</v>
      </c>
      <c r="G164" s="611">
        <v>2</v>
      </c>
      <c r="H164" s="829">
        <f t="shared" si="14"/>
        <v>5.6818181818181816E-2</v>
      </c>
      <c r="I164" s="1">
        <f t="shared" si="10"/>
        <v>3.912023005428146</v>
      </c>
      <c r="J164" s="1">
        <f t="shared" si="11"/>
        <v>0.69314718055994529</v>
      </c>
      <c r="K164" s="1">
        <f t="shared" si="12"/>
        <v>-2.8678989020441059</v>
      </c>
    </row>
    <row r="165" spans="1:11">
      <c r="A165" s="483">
        <f t="shared" si="13"/>
        <v>159</v>
      </c>
      <c r="B165" s="485">
        <v>28636</v>
      </c>
      <c r="C165" s="473">
        <v>0.91666666666666663</v>
      </c>
      <c r="D165" s="484" t="s">
        <v>120</v>
      </c>
      <c r="E165" s="472" t="s">
        <v>122</v>
      </c>
      <c r="F165" s="486">
        <v>40</v>
      </c>
      <c r="G165" s="611">
        <v>1</v>
      </c>
      <c r="H165" s="829">
        <f t="shared" si="14"/>
        <v>2.2727272727272728E-2</v>
      </c>
      <c r="I165" s="1">
        <f t="shared" si="10"/>
        <v>3.6888794541139363</v>
      </c>
      <c r="J165" s="1">
        <f t="shared" si="11"/>
        <v>0</v>
      </c>
      <c r="K165" s="1">
        <f t="shared" si="12"/>
        <v>-3.784189633918261</v>
      </c>
    </row>
    <row r="166" spans="1:11">
      <c r="A166" s="483">
        <f t="shared" si="13"/>
        <v>160</v>
      </c>
      <c r="B166" s="485">
        <v>28637</v>
      </c>
      <c r="C166" s="473">
        <v>8.3333333333333329E-2</v>
      </c>
      <c r="D166" s="484" t="s">
        <v>121</v>
      </c>
      <c r="E166" s="472" t="s">
        <v>122</v>
      </c>
      <c r="F166" s="486">
        <v>30</v>
      </c>
      <c r="G166" s="611">
        <v>2</v>
      </c>
      <c r="H166" s="829">
        <f t="shared" si="14"/>
        <v>3.4090909090909088E-2</v>
      </c>
      <c r="I166" s="1">
        <f t="shared" si="10"/>
        <v>3.4011973816621555</v>
      </c>
      <c r="J166" s="1">
        <f t="shared" si="11"/>
        <v>0.69314718055994529</v>
      </c>
      <c r="K166" s="1">
        <f t="shared" si="12"/>
        <v>-3.3787245258100969</v>
      </c>
    </row>
    <row r="167" spans="1:11">
      <c r="A167" s="483">
        <f t="shared" si="13"/>
        <v>161</v>
      </c>
      <c r="B167" s="485">
        <v>28641</v>
      </c>
      <c r="C167" s="473">
        <v>0.64930555555555558</v>
      </c>
      <c r="D167" s="484" t="s">
        <v>117</v>
      </c>
      <c r="E167" s="472" t="s">
        <v>122</v>
      </c>
      <c r="F167" s="486">
        <v>30</v>
      </c>
      <c r="G167" s="611">
        <v>2</v>
      </c>
      <c r="H167" s="829">
        <f t="shared" si="14"/>
        <v>3.4090909090909088E-2</v>
      </c>
      <c r="I167" s="1">
        <f t="shared" si="10"/>
        <v>3.4011973816621555</v>
      </c>
      <c r="J167" s="1">
        <f t="shared" si="11"/>
        <v>0.69314718055994529</v>
      </c>
      <c r="K167" s="1">
        <f t="shared" si="12"/>
        <v>-3.3787245258100969</v>
      </c>
    </row>
    <row r="168" spans="1:11">
      <c r="A168" s="483">
        <f t="shared" si="13"/>
        <v>162</v>
      </c>
      <c r="B168" s="485">
        <v>28645</v>
      </c>
      <c r="C168" s="473">
        <v>2.9861111111111113E-2</v>
      </c>
      <c r="D168" s="484" t="s">
        <v>103</v>
      </c>
      <c r="E168" s="472" t="s">
        <v>122</v>
      </c>
      <c r="F168" s="486">
        <v>60</v>
      </c>
      <c r="G168" s="611">
        <v>1</v>
      </c>
      <c r="H168" s="829">
        <f t="shared" si="14"/>
        <v>3.4090909090909088E-2</v>
      </c>
      <c r="I168" s="1">
        <f t="shared" si="10"/>
        <v>4.0943445622221004</v>
      </c>
      <c r="J168" s="1">
        <f t="shared" si="11"/>
        <v>0</v>
      </c>
      <c r="K168" s="1">
        <f t="shared" si="12"/>
        <v>-3.3787245258100969</v>
      </c>
    </row>
    <row r="169" spans="1:11">
      <c r="A169" s="483">
        <f t="shared" si="13"/>
        <v>163</v>
      </c>
      <c r="B169" s="485">
        <v>28672</v>
      </c>
      <c r="C169" s="473">
        <v>0.68055555555555547</v>
      </c>
      <c r="D169" s="484" t="s">
        <v>103</v>
      </c>
      <c r="E169" s="472" t="s">
        <v>122</v>
      </c>
      <c r="F169" s="486">
        <v>7</v>
      </c>
      <c r="G169" s="611">
        <v>0.4</v>
      </c>
      <c r="H169" s="829">
        <f t="shared" si="14"/>
        <v>1.5909090909090907E-3</v>
      </c>
      <c r="I169" s="1">
        <f t="shared" si="10"/>
        <v>1.9459101490553132</v>
      </c>
      <c r="J169" s="1">
        <f t="shared" si="11"/>
        <v>-0.916290731874155</v>
      </c>
      <c r="K169" s="1">
        <f t="shared" si="12"/>
        <v>-6.4434496708510389</v>
      </c>
    </row>
    <row r="170" spans="1:11">
      <c r="A170" s="483">
        <f t="shared" si="13"/>
        <v>164</v>
      </c>
      <c r="B170" s="485">
        <v>28932</v>
      </c>
      <c r="C170" s="473">
        <v>0.10416666666666667</v>
      </c>
      <c r="D170" s="484" t="s">
        <v>114</v>
      </c>
      <c r="E170" s="472" t="s">
        <v>122</v>
      </c>
      <c r="F170" s="486">
        <v>30</v>
      </c>
      <c r="G170" s="611">
        <v>0.5</v>
      </c>
      <c r="H170" s="829">
        <f t="shared" si="14"/>
        <v>8.5227272727272721E-3</v>
      </c>
      <c r="I170" s="1">
        <f t="shared" si="10"/>
        <v>3.4011973816621555</v>
      </c>
      <c r="J170" s="1">
        <f t="shared" si="11"/>
        <v>-0.69314718055994529</v>
      </c>
      <c r="K170" s="1">
        <f t="shared" si="12"/>
        <v>-4.7650188869299877</v>
      </c>
    </row>
    <row r="171" spans="1:11">
      <c r="A171" s="483">
        <f t="shared" si="13"/>
        <v>165</v>
      </c>
      <c r="B171" s="485">
        <v>28984</v>
      </c>
      <c r="C171" s="473">
        <v>0.72013888888888899</v>
      </c>
      <c r="D171" s="484" t="s">
        <v>111</v>
      </c>
      <c r="E171" s="472" t="s">
        <v>122</v>
      </c>
      <c r="F171" s="486">
        <v>33</v>
      </c>
      <c r="G171" s="611">
        <v>5.7</v>
      </c>
      <c r="H171" s="829">
        <f t="shared" si="14"/>
        <v>0.106875</v>
      </c>
      <c r="I171" s="1">
        <f t="shared" si="10"/>
        <v>3.4965075614664802</v>
      </c>
      <c r="J171" s="1">
        <f t="shared" si="11"/>
        <v>1.7404661748405046</v>
      </c>
      <c r="K171" s="1">
        <f t="shared" si="12"/>
        <v>-2.2360953517252127</v>
      </c>
    </row>
    <row r="172" spans="1:11">
      <c r="A172" s="483">
        <f t="shared" si="13"/>
        <v>166</v>
      </c>
      <c r="B172" s="485">
        <v>29001</v>
      </c>
      <c r="C172" s="473">
        <v>0.65347222222222223</v>
      </c>
      <c r="D172" s="484" t="s">
        <v>115</v>
      </c>
      <c r="E172" s="472" t="s">
        <v>122</v>
      </c>
      <c r="F172" s="486">
        <v>30</v>
      </c>
      <c r="G172" s="611">
        <v>0.3</v>
      </c>
      <c r="H172" s="829">
        <f t="shared" si="14"/>
        <v>5.1136363636363627E-3</v>
      </c>
      <c r="I172" s="1">
        <f t="shared" si="10"/>
        <v>3.4011973816621555</v>
      </c>
      <c r="J172" s="1">
        <f t="shared" si="11"/>
        <v>-1.2039728043259361</v>
      </c>
      <c r="K172" s="1">
        <f t="shared" si="12"/>
        <v>-5.2758445106959782</v>
      </c>
    </row>
    <row r="173" spans="1:11">
      <c r="A173" s="483">
        <f t="shared" si="13"/>
        <v>167</v>
      </c>
      <c r="B173" s="485">
        <v>29002</v>
      </c>
      <c r="C173" s="473">
        <v>0.6875</v>
      </c>
      <c r="D173" s="484" t="s">
        <v>112</v>
      </c>
      <c r="E173" s="472" t="s">
        <v>122</v>
      </c>
      <c r="F173" s="486">
        <v>10</v>
      </c>
      <c r="G173" s="611">
        <v>0.1</v>
      </c>
      <c r="H173" s="829">
        <f t="shared" si="14"/>
        <v>5.6818181818181826E-4</v>
      </c>
      <c r="I173" s="1">
        <f t="shared" si="10"/>
        <v>2.3025850929940459</v>
      </c>
      <c r="J173" s="1">
        <f t="shared" si="11"/>
        <v>-2.3025850929940455</v>
      </c>
      <c r="K173" s="1">
        <f t="shared" si="12"/>
        <v>-7.4730690880321973</v>
      </c>
    </row>
    <row r="174" spans="1:11">
      <c r="A174" s="483">
        <f t="shared" si="13"/>
        <v>168</v>
      </c>
      <c r="B174" s="485">
        <v>29043</v>
      </c>
      <c r="C174" s="473">
        <v>0.88194444444444453</v>
      </c>
      <c r="D174" s="484" t="s">
        <v>113</v>
      </c>
      <c r="E174" s="472" t="s">
        <v>122</v>
      </c>
      <c r="F174" s="486">
        <v>10</v>
      </c>
      <c r="G174" s="611">
        <v>0.1</v>
      </c>
      <c r="H174" s="829">
        <f t="shared" si="14"/>
        <v>5.6818181818181826E-4</v>
      </c>
      <c r="I174" s="1">
        <f t="shared" si="10"/>
        <v>2.3025850929940459</v>
      </c>
      <c r="J174" s="1">
        <f t="shared" si="11"/>
        <v>-2.3025850929940455</v>
      </c>
      <c r="K174" s="1">
        <f t="shared" si="12"/>
        <v>-7.4730690880321973</v>
      </c>
    </row>
    <row r="175" spans="1:11">
      <c r="A175" s="483">
        <f t="shared" si="13"/>
        <v>169</v>
      </c>
      <c r="B175" s="485">
        <v>29059</v>
      </c>
      <c r="C175" s="473">
        <v>0.70486111111111116</v>
      </c>
      <c r="D175" s="484" t="s">
        <v>111</v>
      </c>
      <c r="E175" s="472" t="s">
        <v>122</v>
      </c>
      <c r="F175" s="486">
        <v>10</v>
      </c>
      <c r="G175" s="611">
        <v>0.1</v>
      </c>
      <c r="H175" s="829">
        <f t="shared" si="14"/>
        <v>5.6818181818181826E-4</v>
      </c>
      <c r="I175" s="1">
        <f t="shared" si="10"/>
        <v>2.3025850929940459</v>
      </c>
      <c r="J175" s="1">
        <f t="shared" si="11"/>
        <v>-2.3025850929940455</v>
      </c>
      <c r="K175" s="1">
        <f t="shared" si="12"/>
        <v>-7.4730690880321973</v>
      </c>
    </row>
    <row r="176" spans="1:11">
      <c r="A176" s="483">
        <f t="shared" si="13"/>
        <v>170</v>
      </c>
      <c r="B176" s="485">
        <v>29060</v>
      </c>
      <c r="C176" s="473">
        <v>0.70486111111111116</v>
      </c>
      <c r="D176" s="484" t="s">
        <v>104</v>
      </c>
      <c r="E176" s="472" t="s">
        <v>122</v>
      </c>
      <c r="F176" s="486">
        <v>10</v>
      </c>
      <c r="G176" s="611">
        <v>0.1</v>
      </c>
      <c r="H176" s="829">
        <f t="shared" si="14"/>
        <v>5.6818181818181826E-4</v>
      </c>
      <c r="I176" s="1">
        <f t="shared" si="10"/>
        <v>2.3025850929940459</v>
      </c>
      <c r="J176" s="1">
        <f t="shared" si="11"/>
        <v>-2.3025850929940455</v>
      </c>
      <c r="K176" s="1">
        <f t="shared" si="12"/>
        <v>-7.4730690880321973</v>
      </c>
    </row>
    <row r="177" spans="1:11">
      <c r="A177" s="483">
        <f t="shared" si="13"/>
        <v>171</v>
      </c>
      <c r="B177" s="485">
        <v>29060</v>
      </c>
      <c r="C177" s="473">
        <v>0.70486111111111116</v>
      </c>
      <c r="D177" s="484" t="s">
        <v>104</v>
      </c>
      <c r="E177" s="472" t="s">
        <v>122</v>
      </c>
      <c r="F177" s="486">
        <v>10</v>
      </c>
      <c r="G177" s="611">
        <v>0.1</v>
      </c>
      <c r="H177" s="829">
        <f t="shared" si="14"/>
        <v>5.6818181818181826E-4</v>
      </c>
      <c r="I177" s="1">
        <f t="shared" si="10"/>
        <v>2.3025850929940459</v>
      </c>
      <c r="J177" s="1">
        <f t="shared" si="11"/>
        <v>-2.3025850929940455</v>
      </c>
      <c r="K177" s="1">
        <f t="shared" si="12"/>
        <v>-7.4730690880321973</v>
      </c>
    </row>
    <row r="178" spans="1:11">
      <c r="A178" s="483">
        <f t="shared" si="13"/>
        <v>172</v>
      </c>
      <c r="B178" s="485">
        <v>29088</v>
      </c>
      <c r="C178" s="473">
        <v>0.73263888888888884</v>
      </c>
      <c r="D178" s="484" t="s">
        <v>111</v>
      </c>
      <c r="E178" s="472" t="s">
        <v>122</v>
      </c>
      <c r="F178" s="486">
        <v>20</v>
      </c>
      <c r="G178" s="611">
        <v>1</v>
      </c>
      <c r="H178" s="829">
        <f t="shared" si="14"/>
        <v>1.1363636363636364E-2</v>
      </c>
      <c r="I178" s="1">
        <f t="shared" si="10"/>
        <v>2.9957322735539909</v>
      </c>
      <c r="J178" s="1">
        <f t="shared" si="11"/>
        <v>0</v>
      </c>
      <c r="K178" s="1">
        <f t="shared" si="12"/>
        <v>-4.4773368144782069</v>
      </c>
    </row>
    <row r="179" spans="1:11">
      <c r="A179" s="483">
        <f t="shared" si="13"/>
        <v>173</v>
      </c>
      <c r="B179" s="485">
        <v>29092</v>
      </c>
      <c r="C179" s="473">
        <v>0.92500000000000004</v>
      </c>
      <c r="D179" s="484" t="s">
        <v>103</v>
      </c>
      <c r="E179" s="472" t="s">
        <v>122</v>
      </c>
      <c r="F179" s="486">
        <v>10</v>
      </c>
      <c r="G179" s="611">
        <v>0.1</v>
      </c>
      <c r="H179" s="829">
        <f t="shared" si="14"/>
        <v>5.6818181818181826E-4</v>
      </c>
      <c r="I179" s="1">
        <f t="shared" si="10"/>
        <v>2.3025850929940459</v>
      </c>
      <c r="J179" s="1">
        <f t="shared" si="11"/>
        <v>-2.3025850929940455</v>
      </c>
      <c r="K179" s="1">
        <f t="shared" si="12"/>
        <v>-7.4730690880321973</v>
      </c>
    </row>
    <row r="180" spans="1:11">
      <c r="A180" s="483">
        <f t="shared" si="13"/>
        <v>174</v>
      </c>
      <c r="B180" s="485">
        <v>29335</v>
      </c>
      <c r="C180" s="473">
        <v>0.50694444444444442</v>
      </c>
      <c r="D180" s="484" t="s">
        <v>118</v>
      </c>
      <c r="E180" s="472" t="s">
        <v>122</v>
      </c>
      <c r="F180" s="486">
        <v>7</v>
      </c>
      <c r="G180" s="611">
        <v>0.5</v>
      </c>
      <c r="H180" s="829">
        <f t="shared" si="14"/>
        <v>1.9886363636363634E-3</v>
      </c>
      <c r="I180" s="1">
        <f t="shared" si="10"/>
        <v>1.9459101490553132</v>
      </c>
      <c r="J180" s="1">
        <f t="shared" si="11"/>
        <v>-0.69314718055994529</v>
      </c>
      <c r="K180" s="1">
        <f t="shared" si="12"/>
        <v>-6.2203061195368292</v>
      </c>
    </row>
    <row r="181" spans="1:11">
      <c r="A181" s="483">
        <f t="shared" si="13"/>
        <v>175</v>
      </c>
      <c r="B181" s="485">
        <v>29335</v>
      </c>
      <c r="C181" s="473">
        <v>0.72916666666666663</v>
      </c>
      <c r="D181" s="484" t="s">
        <v>111</v>
      </c>
      <c r="E181" s="472" t="s">
        <v>122</v>
      </c>
      <c r="F181" s="486">
        <v>7</v>
      </c>
      <c r="G181" s="611">
        <v>1.5</v>
      </c>
      <c r="H181" s="829">
        <f t="shared" si="14"/>
        <v>5.9659090909090903E-3</v>
      </c>
      <c r="I181" s="1">
        <f t="shared" si="10"/>
        <v>1.9459101490553132</v>
      </c>
      <c r="J181" s="1">
        <f t="shared" si="11"/>
        <v>0.40546510810816438</v>
      </c>
      <c r="K181" s="1">
        <f t="shared" si="12"/>
        <v>-5.1216938308687201</v>
      </c>
    </row>
    <row r="182" spans="1:11">
      <c r="A182" s="483">
        <f t="shared" si="13"/>
        <v>176</v>
      </c>
      <c r="B182" s="485">
        <v>29361</v>
      </c>
      <c r="C182" s="473">
        <v>0.68402777777777779</v>
      </c>
      <c r="D182" s="484" t="s">
        <v>101</v>
      </c>
      <c r="E182" s="472" t="s">
        <v>122</v>
      </c>
      <c r="F182" s="486">
        <v>10</v>
      </c>
      <c r="G182" s="611">
        <v>0.1</v>
      </c>
      <c r="H182" s="829">
        <f t="shared" si="14"/>
        <v>5.6818181818181826E-4</v>
      </c>
      <c r="I182" s="1">
        <f t="shared" si="10"/>
        <v>2.3025850929940459</v>
      </c>
      <c r="J182" s="1">
        <f t="shared" si="11"/>
        <v>-2.3025850929940455</v>
      </c>
      <c r="K182" s="1">
        <f t="shared" si="12"/>
        <v>-7.4730690880321973</v>
      </c>
    </row>
    <row r="183" spans="1:11">
      <c r="A183" s="483">
        <f t="shared" si="13"/>
        <v>177</v>
      </c>
      <c r="B183" s="485">
        <v>29368</v>
      </c>
      <c r="C183" s="473">
        <v>0.63541666666666663</v>
      </c>
      <c r="D183" s="484" t="s">
        <v>107</v>
      </c>
      <c r="E183" s="472" t="s">
        <v>122</v>
      </c>
      <c r="F183" s="486">
        <v>10</v>
      </c>
      <c r="G183" s="611">
        <v>0.1</v>
      </c>
      <c r="H183" s="829">
        <f t="shared" si="14"/>
        <v>5.6818181818181826E-4</v>
      </c>
      <c r="I183" s="1">
        <f t="shared" si="10"/>
        <v>2.3025850929940459</v>
      </c>
      <c r="J183" s="1">
        <f t="shared" si="11"/>
        <v>-2.3025850929940455</v>
      </c>
      <c r="K183" s="1">
        <f t="shared" si="12"/>
        <v>-7.4730690880321973</v>
      </c>
    </row>
    <row r="184" spans="1:11">
      <c r="A184" s="483">
        <f t="shared" si="13"/>
        <v>178</v>
      </c>
      <c r="B184" s="485">
        <v>29368</v>
      </c>
      <c r="C184" s="473">
        <v>0.65138888888888891</v>
      </c>
      <c r="D184" s="484" t="s">
        <v>107</v>
      </c>
      <c r="E184" s="472" t="s">
        <v>122</v>
      </c>
      <c r="F184" s="486">
        <v>10</v>
      </c>
      <c r="G184" s="611">
        <v>0.1</v>
      </c>
      <c r="H184" s="829">
        <f t="shared" si="14"/>
        <v>5.6818181818181826E-4</v>
      </c>
      <c r="I184" s="1">
        <f t="shared" si="10"/>
        <v>2.3025850929940459</v>
      </c>
      <c r="J184" s="1">
        <f t="shared" si="11"/>
        <v>-2.3025850929940455</v>
      </c>
      <c r="K184" s="1">
        <f t="shared" si="12"/>
        <v>-7.4730690880321973</v>
      </c>
    </row>
    <row r="185" spans="1:11">
      <c r="A185" s="483">
        <f t="shared" si="13"/>
        <v>179</v>
      </c>
      <c r="B185" s="485">
        <v>29369</v>
      </c>
      <c r="C185" s="473">
        <v>0.73263888888888884</v>
      </c>
      <c r="D185" s="484" t="s">
        <v>104</v>
      </c>
      <c r="E185" s="472" t="s">
        <v>122</v>
      </c>
      <c r="F185" s="486">
        <v>20</v>
      </c>
      <c r="G185" s="611">
        <v>0.3</v>
      </c>
      <c r="H185" s="829">
        <f t="shared" si="14"/>
        <v>3.4090909090909089E-3</v>
      </c>
      <c r="I185" s="1">
        <f t="shared" si="10"/>
        <v>2.9957322735539909</v>
      </c>
      <c r="J185" s="1">
        <f t="shared" si="11"/>
        <v>-1.2039728043259361</v>
      </c>
      <c r="K185" s="1">
        <f t="shared" si="12"/>
        <v>-5.6813096188041428</v>
      </c>
    </row>
    <row r="186" spans="1:11">
      <c r="A186" s="483">
        <f t="shared" si="13"/>
        <v>180</v>
      </c>
      <c r="B186" s="485">
        <v>29648</v>
      </c>
      <c r="C186" s="473">
        <v>0.68402777777777779</v>
      </c>
      <c r="D186" s="484" t="s">
        <v>109</v>
      </c>
      <c r="E186" s="472" t="s">
        <v>122</v>
      </c>
      <c r="F186" s="486">
        <v>50</v>
      </c>
      <c r="G186" s="611">
        <v>1</v>
      </c>
      <c r="H186" s="829">
        <f t="shared" si="14"/>
        <v>2.8409090909090908E-2</v>
      </c>
      <c r="I186" s="1">
        <f t="shared" si="10"/>
        <v>3.912023005428146</v>
      </c>
      <c r="J186" s="1">
        <f t="shared" si="11"/>
        <v>0</v>
      </c>
      <c r="K186" s="1">
        <f t="shared" si="12"/>
        <v>-3.5610460826040513</v>
      </c>
    </row>
    <row r="187" spans="1:11">
      <c r="A187" s="483">
        <f t="shared" si="13"/>
        <v>181</v>
      </c>
      <c r="B187" s="485">
        <v>29712</v>
      </c>
      <c r="C187" s="473">
        <v>0.84722222222222221</v>
      </c>
      <c r="D187" s="484" t="s">
        <v>104</v>
      </c>
      <c r="E187" s="472" t="s">
        <v>122</v>
      </c>
      <c r="F187" s="486">
        <v>30</v>
      </c>
      <c r="G187" s="611">
        <v>0.5</v>
      </c>
      <c r="H187" s="829">
        <f t="shared" si="14"/>
        <v>8.5227272727272721E-3</v>
      </c>
      <c r="I187" s="1">
        <f t="shared" si="10"/>
        <v>3.4011973816621555</v>
      </c>
      <c r="J187" s="1">
        <f t="shared" si="11"/>
        <v>-0.69314718055994529</v>
      </c>
      <c r="K187" s="1">
        <f t="shared" si="12"/>
        <v>-4.7650188869299877</v>
      </c>
    </row>
    <row r="188" spans="1:11">
      <c r="A188" s="483">
        <f t="shared" si="13"/>
        <v>182</v>
      </c>
      <c r="B188" s="485">
        <v>29738</v>
      </c>
      <c r="C188" s="473">
        <v>0.72222222222222221</v>
      </c>
      <c r="D188" s="484" t="s">
        <v>121</v>
      </c>
      <c r="E188" s="472" t="s">
        <v>122</v>
      </c>
      <c r="F188" s="486">
        <v>20</v>
      </c>
      <c r="G188" s="611">
        <v>0.3</v>
      </c>
      <c r="H188" s="829">
        <f t="shared" si="14"/>
        <v>3.4090909090909089E-3</v>
      </c>
      <c r="I188" s="1">
        <f t="shared" si="10"/>
        <v>2.9957322735539909</v>
      </c>
      <c r="J188" s="1">
        <f t="shared" si="11"/>
        <v>-1.2039728043259361</v>
      </c>
      <c r="K188" s="1">
        <f t="shared" si="12"/>
        <v>-5.6813096188041428</v>
      </c>
    </row>
    <row r="189" spans="1:11">
      <c r="A189" s="483">
        <f t="shared" si="13"/>
        <v>183</v>
      </c>
      <c r="B189" s="485">
        <v>29739</v>
      </c>
      <c r="C189" s="473">
        <v>0.70833333333333337</v>
      </c>
      <c r="D189" s="484" t="s">
        <v>108</v>
      </c>
      <c r="E189" s="472" t="s">
        <v>122</v>
      </c>
      <c r="F189" s="486">
        <v>10</v>
      </c>
      <c r="G189" s="611">
        <v>0.3</v>
      </c>
      <c r="H189" s="829">
        <f t="shared" si="14"/>
        <v>1.7045454545454545E-3</v>
      </c>
      <c r="I189" s="1">
        <f t="shared" si="10"/>
        <v>2.3025850929940459</v>
      </c>
      <c r="J189" s="1">
        <f t="shared" si="11"/>
        <v>-1.2039728043259361</v>
      </c>
      <c r="K189" s="1">
        <f t="shared" si="12"/>
        <v>-6.3744567993640882</v>
      </c>
    </row>
    <row r="190" spans="1:11">
      <c r="A190" s="483">
        <f t="shared" si="13"/>
        <v>184</v>
      </c>
      <c r="B190" s="485">
        <v>29739</v>
      </c>
      <c r="C190" s="473">
        <v>0.70833333333333337</v>
      </c>
      <c r="D190" s="484" t="s">
        <v>108</v>
      </c>
      <c r="E190" s="472" t="s">
        <v>122</v>
      </c>
      <c r="F190" s="486">
        <v>10</v>
      </c>
      <c r="G190" s="611">
        <v>0.3</v>
      </c>
      <c r="H190" s="829">
        <f t="shared" si="14"/>
        <v>1.7045454545454545E-3</v>
      </c>
      <c r="I190" s="1">
        <f t="shared" si="10"/>
        <v>2.3025850929940459</v>
      </c>
      <c r="J190" s="1">
        <f t="shared" si="11"/>
        <v>-1.2039728043259361</v>
      </c>
      <c r="K190" s="1">
        <f t="shared" si="12"/>
        <v>-6.3744567993640882</v>
      </c>
    </row>
    <row r="191" spans="1:11">
      <c r="A191" s="483">
        <f t="shared" si="13"/>
        <v>185</v>
      </c>
      <c r="B191" s="485">
        <v>29739</v>
      </c>
      <c r="C191" s="473">
        <v>0.70833333333333337</v>
      </c>
      <c r="D191" s="484" t="s">
        <v>100</v>
      </c>
      <c r="E191" s="472" t="s">
        <v>122</v>
      </c>
      <c r="F191" s="486">
        <v>10</v>
      </c>
      <c r="G191" s="611">
        <v>0.1</v>
      </c>
      <c r="H191" s="829">
        <f t="shared" si="14"/>
        <v>5.6818181818181826E-4</v>
      </c>
      <c r="I191" s="1">
        <f t="shared" si="10"/>
        <v>2.3025850929940459</v>
      </c>
      <c r="J191" s="1">
        <f t="shared" si="11"/>
        <v>-2.3025850929940455</v>
      </c>
      <c r="K191" s="1">
        <f t="shared" si="12"/>
        <v>-7.4730690880321973</v>
      </c>
    </row>
    <row r="192" spans="1:11">
      <c r="A192" s="483">
        <f t="shared" si="13"/>
        <v>186</v>
      </c>
      <c r="B192" s="485">
        <v>29748</v>
      </c>
      <c r="C192" s="473">
        <v>0.75</v>
      </c>
      <c r="D192" s="484" t="s">
        <v>99</v>
      </c>
      <c r="E192" s="472" t="s">
        <v>122</v>
      </c>
      <c r="F192" s="486">
        <v>10</v>
      </c>
      <c r="G192" s="611">
        <v>0.1</v>
      </c>
      <c r="H192" s="829">
        <f t="shared" si="14"/>
        <v>5.6818181818181826E-4</v>
      </c>
      <c r="I192" s="1">
        <f t="shared" si="10"/>
        <v>2.3025850929940459</v>
      </c>
      <c r="J192" s="1">
        <f t="shared" si="11"/>
        <v>-2.3025850929940455</v>
      </c>
      <c r="K192" s="1">
        <f t="shared" si="12"/>
        <v>-7.4730690880321973</v>
      </c>
    </row>
    <row r="193" spans="1:11">
      <c r="A193" s="483">
        <f t="shared" si="13"/>
        <v>187</v>
      </c>
      <c r="B193" s="485">
        <v>29748</v>
      </c>
      <c r="C193" s="473">
        <v>0.89583333333333337</v>
      </c>
      <c r="D193" s="484" t="s">
        <v>114</v>
      </c>
      <c r="E193" s="472" t="s">
        <v>122</v>
      </c>
      <c r="F193" s="486">
        <v>30</v>
      </c>
      <c r="G193" s="611">
        <v>0.5</v>
      </c>
      <c r="H193" s="829">
        <f t="shared" si="14"/>
        <v>8.5227272727272721E-3</v>
      </c>
      <c r="I193" s="1">
        <f t="shared" si="10"/>
        <v>3.4011973816621555</v>
      </c>
      <c r="J193" s="1">
        <f t="shared" si="11"/>
        <v>-0.69314718055994529</v>
      </c>
      <c r="K193" s="1">
        <f t="shared" si="12"/>
        <v>-4.7650188869299877</v>
      </c>
    </row>
    <row r="194" spans="1:11">
      <c r="A194" s="483">
        <f t="shared" si="13"/>
        <v>188</v>
      </c>
      <c r="B194" s="485">
        <v>29771</v>
      </c>
      <c r="C194" s="473">
        <v>0.6875</v>
      </c>
      <c r="D194" s="484" t="s">
        <v>104</v>
      </c>
      <c r="E194" s="472" t="s">
        <v>122</v>
      </c>
      <c r="F194" s="486">
        <v>10</v>
      </c>
      <c r="G194" s="611">
        <v>0.2</v>
      </c>
      <c r="H194" s="829">
        <f t="shared" si="14"/>
        <v>1.1363636363636365E-3</v>
      </c>
      <c r="I194" s="1">
        <f t="shared" si="10"/>
        <v>2.3025850929940459</v>
      </c>
      <c r="J194" s="1">
        <f t="shared" si="11"/>
        <v>-1.6094379124341003</v>
      </c>
      <c r="K194" s="1">
        <f t="shared" si="12"/>
        <v>-6.7799219074722519</v>
      </c>
    </row>
    <row r="195" spans="1:11">
      <c r="A195" s="483">
        <f t="shared" si="13"/>
        <v>189</v>
      </c>
      <c r="B195" s="485">
        <v>29804</v>
      </c>
      <c r="C195" s="473">
        <v>0.54027777777777775</v>
      </c>
      <c r="D195" s="484" t="s">
        <v>102</v>
      </c>
      <c r="E195" s="472" t="s">
        <v>122</v>
      </c>
      <c r="F195" s="486">
        <v>67</v>
      </c>
      <c r="G195" s="611">
        <v>0.1</v>
      </c>
      <c r="H195" s="829">
        <f t="shared" si="14"/>
        <v>3.806818181818182E-3</v>
      </c>
      <c r="I195" s="1">
        <f t="shared" si="10"/>
        <v>4.2046926193909657</v>
      </c>
      <c r="J195" s="1">
        <f t="shared" si="11"/>
        <v>-2.3025850929940455</v>
      </c>
      <c r="K195" s="1">
        <f t="shared" si="12"/>
        <v>-5.5709615616352774</v>
      </c>
    </row>
    <row r="196" spans="1:11">
      <c r="A196" s="483">
        <f t="shared" si="13"/>
        <v>190</v>
      </c>
      <c r="B196" s="485">
        <v>30080</v>
      </c>
      <c r="C196" s="473">
        <v>0.77361111111111114</v>
      </c>
      <c r="D196" s="484" t="s">
        <v>109</v>
      </c>
      <c r="E196" s="472" t="s">
        <v>122</v>
      </c>
      <c r="F196" s="486">
        <v>20</v>
      </c>
      <c r="G196" s="611">
        <v>0.2</v>
      </c>
      <c r="H196" s="829">
        <f t="shared" si="14"/>
        <v>2.2727272727272731E-3</v>
      </c>
      <c r="I196" s="1">
        <f t="shared" si="10"/>
        <v>2.9957322735539909</v>
      </c>
      <c r="J196" s="1">
        <f t="shared" si="11"/>
        <v>-1.6094379124341003</v>
      </c>
      <c r="K196" s="1">
        <f t="shared" si="12"/>
        <v>-6.0867747269123065</v>
      </c>
    </row>
    <row r="197" spans="1:11">
      <c r="A197" s="483">
        <f t="shared" si="13"/>
        <v>191</v>
      </c>
      <c r="B197" s="485">
        <v>30080</v>
      </c>
      <c r="C197" s="473">
        <v>0.78680555555555554</v>
      </c>
      <c r="D197" s="484" t="s">
        <v>108</v>
      </c>
      <c r="E197" s="472" t="s">
        <v>122</v>
      </c>
      <c r="F197" s="486">
        <v>10</v>
      </c>
      <c r="G197" s="611">
        <v>0.1</v>
      </c>
      <c r="H197" s="829">
        <f t="shared" si="14"/>
        <v>5.6818181818181826E-4</v>
      </c>
      <c r="I197" s="1">
        <f t="shared" si="10"/>
        <v>2.3025850929940459</v>
      </c>
      <c r="J197" s="1">
        <f t="shared" si="11"/>
        <v>-2.3025850929940455</v>
      </c>
      <c r="K197" s="1">
        <f t="shared" si="12"/>
        <v>-7.4730690880321973</v>
      </c>
    </row>
    <row r="198" spans="1:11">
      <c r="A198" s="483">
        <f t="shared" si="13"/>
        <v>192</v>
      </c>
      <c r="B198" s="485">
        <v>30080</v>
      </c>
      <c r="C198" s="473">
        <v>0.79722222222222217</v>
      </c>
      <c r="D198" s="484" t="s">
        <v>117</v>
      </c>
      <c r="E198" s="472" t="s">
        <v>122</v>
      </c>
      <c r="F198" s="486">
        <v>100</v>
      </c>
      <c r="G198" s="611">
        <v>1</v>
      </c>
      <c r="H198" s="829">
        <f t="shared" si="14"/>
        <v>5.6818181818181816E-2</v>
      </c>
      <c r="I198" s="1">
        <f t="shared" si="10"/>
        <v>4.6051701859880918</v>
      </c>
      <c r="J198" s="1">
        <f t="shared" si="11"/>
        <v>0</v>
      </c>
      <c r="K198" s="1">
        <f t="shared" si="12"/>
        <v>-2.8678989020441059</v>
      </c>
    </row>
    <row r="199" spans="1:11">
      <c r="A199" s="483">
        <f t="shared" si="13"/>
        <v>193</v>
      </c>
      <c r="B199" s="485">
        <v>30080</v>
      </c>
      <c r="C199" s="473">
        <v>0.80833333333333324</v>
      </c>
      <c r="D199" s="484" t="s">
        <v>118</v>
      </c>
      <c r="E199" s="472" t="s">
        <v>122</v>
      </c>
      <c r="F199" s="486">
        <v>10</v>
      </c>
      <c r="G199" s="611">
        <v>0.1</v>
      </c>
      <c r="H199" s="829">
        <f t="shared" si="14"/>
        <v>5.6818181818181826E-4</v>
      </c>
      <c r="I199" s="1">
        <f t="shared" si="10"/>
        <v>2.3025850929940459</v>
      </c>
      <c r="J199" s="1">
        <f t="shared" si="11"/>
        <v>-2.3025850929940455</v>
      </c>
      <c r="K199" s="1">
        <f t="shared" si="12"/>
        <v>-7.4730690880321973</v>
      </c>
    </row>
    <row r="200" spans="1:11">
      <c r="A200" s="483">
        <f t="shared" si="13"/>
        <v>194</v>
      </c>
      <c r="B200" s="485">
        <v>30082</v>
      </c>
      <c r="C200" s="473">
        <v>0.60069444444444442</v>
      </c>
      <c r="D200" s="484" t="s">
        <v>119</v>
      </c>
      <c r="E200" s="472" t="s">
        <v>122</v>
      </c>
      <c r="F200" s="486">
        <v>20</v>
      </c>
      <c r="G200" s="611">
        <v>0.1</v>
      </c>
      <c r="H200" s="829">
        <f t="shared" si="14"/>
        <v>1.1363636363636365E-3</v>
      </c>
      <c r="I200" s="1">
        <f t="shared" ref="I200:I263" si="15">LN(F200)</f>
        <v>2.9957322735539909</v>
      </c>
      <c r="J200" s="1">
        <f t="shared" ref="J200:J263" si="16">LN(G200)</f>
        <v>-2.3025850929940455</v>
      </c>
      <c r="K200" s="1">
        <f t="shared" ref="K200:K263" si="17">LN(H200)</f>
        <v>-6.7799219074722519</v>
      </c>
    </row>
    <row r="201" spans="1:11">
      <c r="A201" s="483">
        <f t="shared" ref="A201:A264" si="18">+A200+1</f>
        <v>195</v>
      </c>
      <c r="B201" s="485">
        <v>30083</v>
      </c>
      <c r="C201" s="473">
        <v>0.64375000000000004</v>
      </c>
      <c r="D201" s="484" t="s">
        <v>115</v>
      </c>
      <c r="E201" s="472" t="s">
        <v>122</v>
      </c>
      <c r="F201" s="486">
        <v>10</v>
      </c>
      <c r="G201" s="611">
        <v>0.1</v>
      </c>
      <c r="H201" s="829">
        <f t="shared" ref="H201:H264" si="19">+(F201/1760)*G201</f>
        <v>5.6818181818181826E-4</v>
      </c>
      <c r="I201" s="1">
        <f t="shared" si="15"/>
        <v>2.3025850929940459</v>
      </c>
      <c r="J201" s="1">
        <f t="shared" si="16"/>
        <v>-2.3025850929940455</v>
      </c>
      <c r="K201" s="1">
        <f t="shared" si="17"/>
        <v>-7.4730690880321973</v>
      </c>
    </row>
    <row r="202" spans="1:11">
      <c r="A202" s="483">
        <f t="shared" si="18"/>
        <v>196</v>
      </c>
      <c r="B202" s="485">
        <v>30088</v>
      </c>
      <c r="C202" s="473">
        <v>0.80902777777777779</v>
      </c>
      <c r="D202" s="484" t="s">
        <v>119</v>
      </c>
      <c r="E202" s="472" t="s">
        <v>122</v>
      </c>
      <c r="F202" s="486">
        <v>20</v>
      </c>
      <c r="G202" s="611">
        <v>0.2</v>
      </c>
      <c r="H202" s="829">
        <f t="shared" si="19"/>
        <v>2.2727272727272731E-3</v>
      </c>
      <c r="I202" s="1">
        <f t="shared" si="15"/>
        <v>2.9957322735539909</v>
      </c>
      <c r="J202" s="1">
        <f t="shared" si="16"/>
        <v>-1.6094379124341003</v>
      </c>
      <c r="K202" s="1">
        <f t="shared" si="17"/>
        <v>-6.0867747269123065</v>
      </c>
    </row>
    <row r="203" spans="1:11">
      <c r="A203" s="483">
        <f t="shared" si="18"/>
        <v>197</v>
      </c>
      <c r="B203" s="485">
        <v>30089</v>
      </c>
      <c r="C203" s="473">
        <v>0.83263888888888893</v>
      </c>
      <c r="D203" s="484" t="s">
        <v>114</v>
      </c>
      <c r="E203" s="472" t="s">
        <v>122</v>
      </c>
      <c r="F203" s="486">
        <v>10</v>
      </c>
      <c r="G203" s="611">
        <v>0.1</v>
      </c>
      <c r="H203" s="829">
        <f t="shared" si="19"/>
        <v>5.6818181818181826E-4</v>
      </c>
      <c r="I203" s="1">
        <f t="shared" si="15"/>
        <v>2.3025850929940459</v>
      </c>
      <c r="J203" s="1">
        <f t="shared" si="16"/>
        <v>-2.3025850929940455</v>
      </c>
      <c r="K203" s="1">
        <f t="shared" si="17"/>
        <v>-7.4730690880321973</v>
      </c>
    </row>
    <row r="204" spans="1:11">
      <c r="A204" s="483">
        <f t="shared" si="18"/>
        <v>198</v>
      </c>
      <c r="B204" s="485">
        <v>30089</v>
      </c>
      <c r="C204" s="473">
        <v>0.83263888888888893</v>
      </c>
      <c r="D204" s="484" t="s">
        <v>103</v>
      </c>
      <c r="E204" s="472" t="s">
        <v>122</v>
      </c>
      <c r="F204" s="486">
        <v>7</v>
      </c>
      <c r="G204" s="611">
        <v>0.1</v>
      </c>
      <c r="H204" s="829">
        <f t="shared" si="19"/>
        <v>3.9772727272727269E-4</v>
      </c>
      <c r="I204" s="1">
        <f t="shared" si="15"/>
        <v>1.9459101490553132</v>
      </c>
      <c r="J204" s="1">
        <f t="shared" si="16"/>
        <v>-2.3025850929940455</v>
      </c>
      <c r="K204" s="1">
        <f t="shared" si="17"/>
        <v>-7.8297440319709297</v>
      </c>
    </row>
    <row r="205" spans="1:11">
      <c r="A205" s="483">
        <f t="shared" si="18"/>
        <v>199</v>
      </c>
      <c r="B205" s="485">
        <v>30090</v>
      </c>
      <c r="C205" s="473">
        <v>0.70694444444444438</v>
      </c>
      <c r="D205" s="484" t="s">
        <v>114</v>
      </c>
      <c r="E205" s="472" t="s">
        <v>122</v>
      </c>
      <c r="F205" s="486">
        <v>50</v>
      </c>
      <c r="G205" s="611">
        <v>0.5</v>
      </c>
      <c r="H205" s="829">
        <f t="shared" si="19"/>
        <v>1.4204545454545454E-2</v>
      </c>
      <c r="I205" s="1">
        <f t="shared" si="15"/>
        <v>3.912023005428146</v>
      </c>
      <c r="J205" s="1">
        <f t="shared" si="16"/>
        <v>-0.69314718055994529</v>
      </c>
      <c r="K205" s="1">
        <f t="shared" si="17"/>
        <v>-4.2541932631639972</v>
      </c>
    </row>
    <row r="206" spans="1:11">
      <c r="A206" s="483">
        <f t="shared" si="18"/>
        <v>200</v>
      </c>
      <c r="B206" s="485">
        <v>30090</v>
      </c>
      <c r="C206" s="473">
        <v>0.75624999999999998</v>
      </c>
      <c r="D206" s="484" t="s">
        <v>115</v>
      </c>
      <c r="E206" s="472" t="s">
        <v>122</v>
      </c>
      <c r="F206" s="486">
        <v>20</v>
      </c>
      <c r="G206" s="611">
        <v>0.5</v>
      </c>
      <c r="H206" s="829">
        <f t="shared" si="19"/>
        <v>5.681818181818182E-3</v>
      </c>
      <c r="I206" s="1">
        <f t="shared" si="15"/>
        <v>2.9957322735539909</v>
      </c>
      <c r="J206" s="1">
        <f t="shared" si="16"/>
        <v>-0.69314718055994529</v>
      </c>
      <c r="K206" s="1">
        <f t="shared" si="17"/>
        <v>-5.1704839950381514</v>
      </c>
    </row>
    <row r="207" spans="1:11">
      <c r="A207" s="483">
        <f t="shared" si="18"/>
        <v>201</v>
      </c>
      <c r="B207" s="485">
        <v>30090</v>
      </c>
      <c r="C207" s="473">
        <v>0.7944444444444444</v>
      </c>
      <c r="D207" s="484" t="s">
        <v>110</v>
      </c>
      <c r="E207" s="472" t="s">
        <v>122</v>
      </c>
      <c r="F207" s="486">
        <v>20</v>
      </c>
      <c r="G207" s="611">
        <v>0.3</v>
      </c>
      <c r="H207" s="829">
        <f t="shared" si="19"/>
        <v>3.4090909090909089E-3</v>
      </c>
      <c r="I207" s="1">
        <f t="shared" si="15"/>
        <v>2.9957322735539909</v>
      </c>
      <c r="J207" s="1">
        <f t="shared" si="16"/>
        <v>-1.2039728043259361</v>
      </c>
      <c r="K207" s="1">
        <f t="shared" si="17"/>
        <v>-5.6813096188041428</v>
      </c>
    </row>
    <row r="208" spans="1:11">
      <c r="A208" s="483">
        <f t="shared" si="18"/>
        <v>202</v>
      </c>
      <c r="B208" s="485">
        <v>30095</v>
      </c>
      <c r="C208" s="473">
        <v>0.69791666666666663</v>
      </c>
      <c r="D208" s="484" t="s">
        <v>101</v>
      </c>
      <c r="E208" s="472" t="s">
        <v>122</v>
      </c>
      <c r="F208" s="486">
        <v>10</v>
      </c>
      <c r="G208" s="611">
        <v>4</v>
      </c>
      <c r="H208" s="829">
        <f t="shared" si="19"/>
        <v>2.2727272727272728E-2</v>
      </c>
      <c r="I208" s="1">
        <f t="shared" si="15"/>
        <v>2.3025850929940459</v>
      </c>
      <c r="J208" s="1">
        <f t="shared" si="16"/>
        <v>1.3862943611198906</v>
      </c>
      <c r="K208" s="1">
        <f t="shared" si="17"/>
        <v>-3.784189633918261</v>
      </c>
    </row>
    <row r="209" spans="1:11">
      <c r="A209" s="483">
        <f t="shared" si="18"/>
        <v>203</v>
      </c>
      <c r="B209" s="485">
        <v>30101</v>
      </c>
      <c r="C209" s="473">
        <v>0.73958333333333337</v>
      </c>
      <c r="D209" s="484" t="s">
        <v>100</v>
      </c>
      <c r="E209" s="472" t="s">
        <v>122</v>
      </c>
      <c r="F209" s="486">
        <v>10</v>
      </c>
      <c r="G209" s="611">
        <v>0.1</v>
      </c>
      <c r="H209" s="829">
        <f t="shared" si="19"/>
        <v>5.6818181818181826E-4</v>
      </c>
      <c r="I209" s="1">
        <f t="shared" si="15"/>
        <v>2.3025850929940459</v>
      </c>
      <c r="J209" s="1">
        <f t="shared" si="16"/>
        <v>-2.3025850929940455</v>
      </c>
      <c r="K209" s="1">
        <f t="shared" si="17"/>
        <v>-7.4730690880321973</v>
      </c>
    </row>
    <row r="210" spans="1:11">
      <c r="A210" s="483">
        <f t="shared" si="18"/>
        <v>204</v>
      </c>
      <c r="B210" s="485">
        <v>30116</v>
      </c>
      <c r="C210" s="473">
        <v>0.80208333333333337</v>
      </c>
      <c r="D210" s="484" t="s">
        <v>114</v>
      </c>
      <c r="E210" s="472" t="s">
        <v>122</v>
      </c>
      <c r="F210" s="486">
        <v>3</v>
      </c>
      <c r="G210" s="611">
        <v>0.1</v>
      </c>
      <c r="H210" s="829">
        <f t="shared" si="19"/>
        <v>1.7045454545454547E-4</v>
      </c>
      <c r="I210" s="1">
        <f t="shared" si="15"/>
        <v>1.0986122886681098</v>
      </c>
      <c r="J210" s="1">
        <f t="shared" si="16"/>
        <v>-2.3025850929940455</v>
      </c>
      <c r="K210" s="1">
        <f t="shared" si="17"/>
        <v>-8.6770418923581332</v>
      </c>
    </row>
    <row r="211" spans="1:11">
      <c r="A211" s="483">
        <f t="shared" si="18"/>
        <v>205</v>
      </c>
      <c r="B211" s="485">
        <v>30116</v>
      </c>
      <c r="C211" s="473">
        <v>0.87847222222222221</v>
      </c>
      <c r="D211" s="484" t="s">
        <v>106</v>
      </c>
      <c r="E211" s="472" t="s">
        <v>122</v>
      </c>
      <c r="F211" s="486">
        <v>3</v>
      </c>
      <c r="G211" s="611">
        <v>0.1</v>
      </c>
      <c r="H211" s="829">
        <f t="shared" si="19"/>
        <v>1.7045454545454547E-4</v>
      </c>
      <c r="I211" s="1">
        <f t="shared" si="15"/>
        <v>1.0986122886681098</v>
      </c>
      <c r="J211" s="1">
        <f t="shared" si="16"/>
        <v>-2.3025850929940455</v>
      </c>
      <c r="K211" s="1">
        <f t="shared" si="17"/>
        <v>-8.6770418923581332</v>
      </c>
    </row>
    <row r="212" spans="1:11">
      <c r="A212" s="483">
        <f t="shared" si="18"/>
        <v>206</v>
      </c>
      <c r="B212" s="485">
        <v>30125</v>
      </c>
      <c r="C212" s="473">
        <v>0.73611111111111116</v>
      </c>
      <c r="D212" s="484" t="s">
        <v>99</v>
      </c>
      <c r="E212" s="472" t="s">
        <v>122</v>
      </c>
      <c r="F212" s="486">
        <v>3</v>
      </c>
      <c r="G212" s="611">
        <v>0.1</v>
      </c>
      <c r="H212" s="829">
        <f t="shared" si="19"/>
        <v>1.7045454545454547E-4</v>
      </c>
      <c r="I212" s="1">
        <f t="shared" si="15"/>
        <v>1.0986122886681098</v>
      </c>
      <c r="J212" s="1">
        <f t="shared" si="16"/>
        <v>-2.3025850929940455</v>
      </c>
      <c r="K212" s="1">
        <f t="shared" si="17"/>
        <v>-8.6770418923581332</v>
      </c>
    </row>
    <row r="213" spans="1:11">
      <c r="A213" s="483">
        <f t="shared" si="18"/>
        <v>207</v>
      </c>
      <c r="B213" s="485">
        <v>30125</v>
      </c>
      <c r="C213" s="473">
        <v>0.8125</v>
      </c>
      <c r="D213" s="484" t="s">
        <v>114</v>
      </c>
      <c r="E213" s="472" t="s">
        <v>122</v>
      </c>
      <c r="F213" s="486">
        <v>3</v>
      </c>
      <c r="G213" s="611">
        <v>0.1</v>
      </c>
      <c r="H213" s="829">
        <f t="shared" si="19"/>
        <v>1.7045454545454547E-4</v>
      </c>
      <c r="I213" s="1">
        <f t="shared" si="15"/>
        <v>1.0986122886681098</v>
      </c>
      <c r="J213" s="1">
        <f t="shared" si="16"/>
        <v>-2.3025850929940455</v>
      </c>
      <c r="K213" s="1">
        <f t="shared" si="17"/>
        <v>-8.6770418923581332</v>
      </c>
    </row>
    <row r="214" spans="1:11">
      <c r="A214" s="483">
        <f t="shared" si="18"/>
        <v>208</v>
      </c>
      <c r="B214" s="485">
        <v>30141</v>
      </c>
      <c r="C214" s="473">
        <v>0.57291666666666663</v>
      </c>
      <c r="D214" s="484" t="s">
        <v>99</v>
      </c>
      <c r="E214" s="472" t="s">
        <v>122</v>
      </c>
      <c r="F214" s="486">
        <v>3</v>
      </c>
      <c r="G214" s="611">
        <v>0.1</v>
      </c>
      <c r="H214" s="829">
        <f t="shared" si="19"/>
        <v>1.7045454545454547E-4</v>
      </c>
      <c r="I214" s="1">
        <f t="shared" si="15"/>
        <v>1.0986122886681098</v>
      </c>
      <c r="J214" s="1">
        <f t="shared" si="16"/>
        <v>-2.3025850929940455</v>
      </c>
      <c r="K214" s="1">
        <f t="shared" si="17"/>
        <v>-8.6770418923581332</v>
      </c>
    </row>
    <row r="215" spans="1:11">
      <c r="A215" s="483">
        <f t="shared" si="18"/>
        <v>209</v>
      </c>
      <c r="B215" s="485">
        <v>30378</v>
      </c>
      <c r="C215" s="473">
        <v>0.79513888888888884</v>
      </c>
      <c r="D215" s="484" t="s">
        <v>115</v>
      </c>
      <c r="E215" s="472" t="s">
        <v>122</v>
      </c>
      <c r="F215" s="486">
        <v>33</v>
      </c>
      <c r="G215" s="611">
        <v>0.5</v>
      </c>
      <c r="H215" s="829">
        <f t="shared" si="19"/>
        <v>9.3749999999999997E-3</v>
      </c>
      <c r="I215" s="1">
        <f t="shared" si="15"/>
        <v>3.4965075614664802</v>
      </c>
      <c r="J215" s="1">
        <f t="shared" si="16"/>
        <v>-0.69314718055994529</v>
      </c>
      <c r="K215" s="1">
        <f t="shared" si="17"/>
        <v>-4.6697087071256629</v>
      </c>
    </row>
    <row r="216" spans="1:11">
      <c r="A216" s="483">
        <f t="shared" si="18"/>
        <v>210</v>
      </c>
      <c r="B216" s="485">
        <v>30449</v>
      </c>
      <c r="C216" s="473">
        <v>0.5625</v>
      </c>
      <c r="D216" s="484" t="s">
        <v>108</v>
      </c>
      <c r="E216" s="472" t="s">
        <v>122</v>
      </c>
      <c r="F216" s="486">
        <v>50</v>
      </c>
      <c r="G216" s="611">
        <v>0.5</v>
      </c>
      <c r="H216" s="829">
        <f t="shared" si="19"/>
        <v>1.4204545454545454E-2</v>
      </c>
      <c r="I216" s="1">
        <f t="shared" si="15"/>
        <v>3.912023005428146</v>
      </c>
      <c r="J216" s="1">
        <f t="shared" si="16"/>
        <v>-0.69314718055994529</v>
      </c>
      <c r="K216" s="1">
        <f t="shared" si="17"/>
        <v>-4.2541932631639972</v>
      </c>
    </row>
    <row r="217" spans="1:11">
      <c r="A217" s="483">
        <f t="shared" si="18"/>
        <v>211</v>
      </c>
      <c r="B217" s="485">
        <v>30477</v>
      </c>
      <c r="C217" s="473">
        <v>0.94791666666666663</v>
      </c>
      <c r="D217" s="484" t="s">
        <v>103</v>
      </c>
      <c r="E217" s="472" t="s">
        <v>122</v>
      </c>
      <c r="F217" s="486">
        <v>70</v>
      </c>
      <c r="G217" s="611">
        <v>0.3</v>
      </c>
      <c r="H217" s="829">
        <f t="shared" si="19"/>
        <v>1.1931818181818181E-2</v>
      </c>
      <c r="I217" s="1">
        <f t="shared" si="15"/>
        <v>4.2484952420493594</v>
      </c>
      <c r="J217" s="1">
        <f t="shared" si="16"/>
        <v>-1.2039728043259361</v>
      </c>
      <c r="K217" s="1">
        <f t="shared" si="17"/>
        <v>-4.4285466503087747</v>
      </c>
    </row>
    <row r="218" spans="1:11">
      <c r="A218" s="483">
        <f t="shared" si="18"/>
        <v>212</v>
      </c>
      <c r="B218" s="485">
        <v>30478</v>
      </c>
      <c r="C218" s="473">
        <v>1.0416666666666666E-2</v>
      </c>
      <c r="D218" s="484" t="s">
        <v>115</v>
      </c>
      <c r="E218" s="472" t="s">
        <v>122</v>
      </c>
      <c r="F218" s="486">
        <v>70</v>
      </c>
      <c r="G218" s="611">
        <v>0.3</v>
      </c>
      <c r="H218" s="829">
        <f t="shared" si="19"/>
        <v>1.1931818181818181E-2</v>
      </c>
      <c r="I218" s="1">
        <f t="shared" si="15"/>
        <v>4.2484952420493594</v>
      </c>
      <c r="J218" s="1">
        <f t="shared" si="16"/>
        <v>-1.2039728043259361</v>
      </c>
      <c r="K218" s="1">
        <f t="shared" si="17"/>
        <v>-4.4285466503087747</v>
      </c>
    </row>
    <row r="219" spans="1:11">
      <c r="A219" s="483">
        <f t="shared" si="18"/>
        <v>213</v>
      </c>
      <c r="B219" s="485">
        <v>30480</v>
      </c>
      <c r="C219" s="473">
        <v>0.61805555555555558</v>
      </c>
      <c r="D219" s="484" t="s">
        <v>105</v>
      </c>
      <c r="E219" s="472" t="s">
        <v>122</v>
      </c>
      <c r="F219" s="486">
        <v>80</v>
      </c>
      <c r="G219" s="611">
        <v>0.3</v>
      </c>
      <c r="H219" s="829">
        <f t="shared" si="19"/>
        <v>1.3636363636363636E-2</v>
      </c>
      <c r="I219" s="1">
        <f t="shared" si="15"/>
        <v>4.3820266346738812</v>
      </c>
      <c r="J219" s="1">
        <f t="shared" si="16"/>
        <v>-1.2039728043259361</v>
      </c>
      <c r="K219" s="1">
        <f t="shared" si="17"/>
        <v>-4.295015257684252</v>
      </c>
    </row>
    <row r="220" spans="1:11">
      <c r="A220" s="483">
        <f t="shared" si="18"/>
        <v>214</v>
      </c>
      <c r="B220" s="485">
        <v>30480</v>
      </c>
      <c r="C220" s="473">
        <v>0.64583333333333337</v>
      </c>
      <c r="D220" s="484" t="s">
        <v>100</v>
      </c>
      <c r="E220" s="472" t="s">
        <v>122</v>
      </c>
      <c r="F220" s="486">
        <v>10</v>
      </c>
      <c r="G220" s="611">
        <v>0.1</v>
      </c>
      <c r="H220" s="829">
        <f t="shared" si="19"/>
        <v>5.6818181818181826E-4</v>
      </c>
      <c r="I220" s="1">
        <f t="shared" si="15"/>
        <v>2.3025850929940459</v>
      </c>
      <c r="J220" s="1">
        <f t="shared" si="16"/>
        <v>-2.3025850929940455</v>
      </c>
      <c r="K220" s="1">
        <f t="shared" si="17"/>
        <v>-7.4730690880321973</v>
      </c>
    </row>
    <row r="221" spans="1:11">
      <c r="A221" s="483">
        <f t="shared" si="18"/>
        <v>215</v>
      </c>
      <c r="B221" s="485">
        <v>30480</v>
      </c>
      <c r="C221" s="473">
        <v>0.7104166666666667</v>
      </c>
      <c r="D221" s="484" t="s">
        <v>101</v>
      </c>
      <c r="E221" s="472" t="s">
        <v>122</v>
      </c>
      <c r="F221" s="486">
        <v>10</v>
      </c>
      <c r="G221" s="611">
        <v>0.1</v>
      </c>
      <c r="H221" s="829">
        <f t="shared" si="19"/>
        <v>5.6818181818181826E-4</v>
      </c>
      <c r="I221" s="1">
        <f t="shared" si="15"/>
        <v>2.3025850929940459</v>
      </c>
      <c r="J221" s="1">
        <f t="shared" si="16"/>
        <v>-2.3025850929940455</v>
      </c>
      <c r="K221" s="1">
        <f t="shared" si="17"/>
        <v>-7.4730690880321973</v>
      </c>
    </row>
    <row r="222" spans="1:11">
      <c r="A222" s="483">
        <f t="shared" si="18"/>
        <v>216</v>
      </c>
      <c r="B222" s="485">
        <v>30549</v>
      </c>
      <c r="C222" s="473">
        <v>0.60416666666666663</v>
      </c>
      <c r="D222" s="484" t="s">
        <v>99</v>
      </c>
      <c r="E222" s="472" t="s">
        <v>122</v>
      </c>
      <c r="F222" s="486">
        <v>10</v>
      </c>
      <c r="G222" s="611">
        <v>0.2</v>
      </c>
      <c r="H222" s="829">
        <f t="shared" si="19"/>
        <v>1.1363636363636365E-3</v>
      </c>
      <c r="I222" s="1">
        <f t="shared" si="15"/>
        <v>2.3025850929940459</v>
      </c>
      <c r="J222" s="1">
        <f t="shared" si="16"/>
        <v>-1.6094379124341003</v>
      </c>
      <c r="K222" s="1">
        <f t="shared" si="17"/>
        <v>-6.7799219074722519</v>
      </c>
    </row>
    <row r="223" spans="1:11">
      <c r="A223" s="483">
        <f t="shared" si="18"/>
        <v>217</v>
      </c>
      <c r="B223" s="485">
        <v>30843</v>
      </c>
      <c r="C223" s="473">
        <v>0.55069444444444449</v>
      </c>
      <c r="D223" s="484" t="s">
        <v>108</v>
      </c>
      <c r="E223" s="472" t="s">
        <v>122</v>
      </c>
      <c r="F223" s="486">
        <v>33</v>
      </c>
      <c r="G223" s="611">
        <v>9</v>
      </c>
      <c r="H223" s="829">
        <f t="shared" si="19"/>
        <v>0.16874999999999998</v>
      </c>
      <c r="I223" s="1">
        <f t="shared" si="15"/>
        <v>3.4965075614664802</v>
      </c>
      <c r="J223" s="1">
        <f t="shared" si="16"/>
        <v>2.1972245773362196</v>
      </c>
      <c r="K223" s="1">
        <f t="shared" si="17"/>
        <v>-1.7793369492294979</v>
      </c>
    </row>
    <row r="224" spans="1:11">
      <c r="A224" s="483">
        <f t="shared" si="18"/>
        <v>218</v>
      </c>
      <c r="B224" s="485">
        <v>30843</v>
      </c>
      <c r="C224" s="473">
        <v>0.61597222222222225</v>
      </c>
      <c r="D224" s="484" t="s">
        <v>116</v>
      </c>
      <c r="E224" s="472" t="s">
        <v>122</v>
      </c>
      <c r="F224" s="486">
        <v>10</v>
      </c>
      <c r="G224" s="611">
        <v>0.1</v>
      </c>
      <c r="H224" s="829">
        <f t="shared" si="19"/>
        <v>5.6818181818181826E-4</v>
      </c>
      <c r="I224" s="1">
        <f t="shared" si="15"/>
        <v>2.3025850929940459</v>
      </c>
      <c r="J224" s="1">
        <f t="shared" si="16"/>
        <v>-2.3025850929940455</v>
      </c>
      <c r="K224" s="1">
        <f t="shared" si="17"/>
        <v>-7.4730690880321973</v>
      </c>
    </row>
    <row r="225" spans="1:11">
      <c r="A225" s="483">
        <f t="shared" si="18"/>
        <v>219</v>
      </c>
      <c r="B225" s="485">
        <v>30860</v>
      </c>
      <c r="C225" s="473">
        <v>0.66805555555555562</v>
      </c>
      <c r="D225" s="484" t="s">
        <v>116</v>
      </c>
      <c r="E225" s="472" t="s">
        <v>122</v>
      </c>
      <c r="F225" s="486">
        <v>10</v>
      </c>
      <c r="G225" s="611">
        <v>0.1</v>
      </c>
      <c r="H225" s="829">
        <f t="shared" si="19"/>
        <v>5.6818181818181826E-4</v>
      </c>
      <c r="I225" s="1">
        <f t="shared" si="15"/>
        <v>2.3025850929940459</v>
      </c>
      <c r="J225" s="1">
        <f t="shared" si="16"/>
        <v>-2.3025850929940455</v>
      </c>
      <c r="K225" s="1">
        <f t="shared" si="17"/>
        <v>-7.4730690880321973</v>
      </c>
    </row>
    <row r="226" spans="1:11">
      <c r="A226" s="483">
        <f t="shared" si="18"/>
        <v>220</v>
      </c>
      <c r="B226" s="485">
        <v>30860</v>
      </c>
      <c r="C226" s="473">
        <v>0.6875</v>
      </c>
      <c r="D226" s="484" t="s">
        <v>121</v>
      </c>
      <c r="E226" s="472" t="s">
        <v>122</v>
      </c>
      <c r="F226" s="486">
        <v>10</v>
      </c>
      <c r="G226" s="611">
        <v>0.1</v>
      </c>
      <c r="H226" s="829">
        <f t="shared" si="19"/>
        <v>5.6818181818181826E-4</v>
      </c>
      <c r="I226" s="1">
        <f t="shared" si="15"/>
        <v>2.3025850929940459</v>
      </c>
      <c r="J226" s="1">
        <f t="shared" si="16"/>
        <v>-2.3025850929940455</v>
      </c>
      <c r="K226" s="1">
        <f t="shared" si="17"/>
        <v>-7.4730690880321973</v>
      </c>
    </row>
    <row r="227" spans="1:11">
      <c r="A227" s="483">
        <f t="shared" si="18"/>
        <v>221</v>
      </c>
      <c r="B227" s="485">
        <v>30860</v>
      </c>
      <c r="C227" s="473">
        <v>0.6875</v>
      </c>
      <c r="D227" s="484" t="s">
        <v>121</v>
      </c>
      <c r="E227" s="472" t="s">
        <v>122</v>
      </c>
      <c r="F227" s="486">
        <v>10</v>
      </c>
      <c r="G227" s="611">
        <v>0.1</v>
      </c>
      <c r="H227" s="829">
        <f t="shared" si="19"/>
        <v>5.6818181818181826E-4</v>
      </c>
      <c r="I227" s="1">
        <f t="shared" si="15"/>
        <v>2.3025850929940459</v>
      </c>
      <c r="J227" s="1">
        <f t="shared" si="16"/>
        <v>-2.3025850929940455</v>
      </c>
      <c r="K227" s="1">
        <f t="shared" si="17"/>
        <v>-7.4730690880321973</v>
      </c>
    </row>
    <row r="228" spans="1:11">
      <c r="A228" s="483">
        <f t="shared" si="18"/>
        <v>222</v>
      </c>
      <c r="B228" s="485">
        <v>30902</v>
      </c>
      <c r="C228" s="473">
        <v>0.97013888888888899</v>
      </c>
      <c r="D228" s="484" t="s">
        <v>118</v>
      </c>
      <c r="E228" s="472" t="s">
        <v>122</v>
      </c>
      <c r="F228" s="486">
        <v>10</v>
      </c>
      <c r="G228" s="611">
        <v>0.1</v>
      </c>
      <c r="H228" s="829">
        <f t="shared" si="19"/>
        <v>5.6818181818181826E-4</v>
      </c>
      <c r="I228" s="1">
        <f t="shared" si="15"/>
        <v>2.3025850929940459</v>
      </c>
      <c r="J228" s="1">
        <f t="shared" si="16"/>
        <v>-2.3025850929940455</v>
      </c>
      <c r="K228" s="1">
        <f t="shared" si="17"/>
        <v>-7.4730690880321973</v>
      </c>
    </row>
    <row r="229" spans="1:11">
      <c r="A229" s="483">
        <f t="shared" si="18"/>
        <v>223</v>
      </c>
      <c r="B229" s="485">
        <v>31163</v>
      </c>
      <c r="C229" s="473">
        <v>0.63194444444444442</v>
      </c>
      <c r="D229" s="484" t="s">
        <v>115</v>
      </c>
      <c r="E229" s="472" t="s">
        <v>122</v>
      </c>
      <c r="F229" s="486">
        <v>30</v>
      </c>
      <c r="G229" s="611">
        <v>0.1</v>
      </c>
      <c r="H229" s="829">
        <f t="shared" si="19"/>
        <v>1.7045454545454545E-3</v>
      </c>
      <c r="I229" s="1">
        <f t="shared" si="15"/>
        <v>3.4011973816621555</v>
      </c>
      <c r="J229" s="1">
        <f t="shared" si="16"/>
        <v>-2.3025850929940455</v>
      </c>
      <c r="K229" s="1">
        <f t="shared" si="17"/>
        <v>-6.3744567993640882</v>
      </c>
    </row>
    <row r="230" spans="1:11">
      <c r="A230" s="483">
        <f t="shared" si="18"/>
        <v>224</v>
      </c>
      <c r="B230" s="485">
        <v>31192</v>
      </c>
      <c r="C230" s="473">
        <v>0.99652777777777779</v>
      </c>
      <c r="D230" s="484" t="s">
        <v>109</v>
      </c>
      <c r="E230" s="472" t="s">
        <v>122</v>
      </c>
      <c r="F230" s="486">
        <v>50</v>
      </c>
      <c r="G230" s="611">
        <v>0.1</v>
      </c>
      <c r="H230" s="829">
        <f t="shared" si="19"/>
        <v>2.840909090909091E-3</v>
      </c>
      <c r="I230" s="1">
        <f t="shared" si="15"/>
        <v>3.912023005428146</v>
      </c>
      <c r="J230" s="1">
        <f t="shared" si="16"/>
        <v>-2.3025850929940455</v>
      </c>
      <c r="K230" s="1">
        <f t="shared" si="17"/>
        <v>-5.8636311755980968</v>
      </c>
    </row>
    <row r="231" spans="1:11">
      <c r="A231" s="483">
        <f t="shared" si="18"/>
        <v>225</v>
      </c>
      <c r="B231" s="485">
        <v>31308</v>
      </c>
      <c r="C231" s="473">
        <v>0.8125</v>
      </c>
      <c r="D231" s="484" t="s">
        <v>105</v>
      </c>
      <c r="E231" s="472" t="s">
        <v>122</v>
      </c>
      <c r="F231" s="486">
        <v>10</v>
      </c>
      <c r="G231" s="611">
        <v>0.1</v>
      </c>
      <c r="H231" s="829">
        <f t="shared" si="19"/>
        <v>5.6818181818181826E-4</v>
      </c>
      <c r="I231" s="1">
        <f t="shared" si="15"/>
        <v>2.3025850929940459</v>
      </c>
      <c r="J231" s="1">
        <f t="shared" si="16"/>
        <v>-2.3025850929940455</v>
      </c>
      <c r="K231" s="1">
        <f t="shared" si="17"/>
        <v>-7.4730690880321973</v>
      </c>
    </row>
    <row r="232" spans="1:11">
      <c r="A232" s="483">
        <f t="shared" si="18"/>
        <v>226</v>
      </c>
      <c r="B232" s="485">
        <v>31539</v>
      </c>
      <c r="C232" s="473">
        <v>0.67500000000000004</v>
      </c>
      <c r="D232" s="484" t="s">
        <v>111</v>
      </c>
      <c r="E232" s="472" t="s">
        <v>122</v>
      </c>
      <c r="F232" s="486">
        <v>100</v>
      </c>
      <c r="G232" s="611">
        <v>1</v>
      </c>
      <c r="H232" s="829">
        <f t="shared" si="19"/>
        <v>5.6818181818181816E-2</v>
      </c>
      <c r="I232" s="1">
        <f t="shared" si="15"/>
        <v>4.6051701859880918</v>
      </c>
      <c r="J232" s="1">
        <f t="shared" si="16"/>
        <v>0</v>
      </c>
      <c r="K232" s="1">
        <f t="shared" si="17"/>
        <v>-2.8678989020441059</v>
      </c>
    </row>
    <row r="233" spans="1:11">
      <c r="A233" s="483">
        <f t="shared" si="18"/>
        <v>227</v>
      </c>
      <c r="B233" s="485">
        <v>31539</v>
      </c>
      <c r="C233" s="473">
        <v>0.70625000000000004</v>
      </c>
      <c r="D233" s="484" t="s">
        <v>111</v>
      </c>
      <c r="E233" s="472" t="s">
        <v>122</v>
      </c>
      <c r="F233" s="486">
        <v>50</v>
      </c>
      <c r="G233" s="611">
        <v>0.2</v>
      </c>
      <c r="H233" s="829">
        <f t="shared" si="19"/>
        <v>5.681818181818182E-3</v>
      </c>
      <c r="I233" s="1">
        <f t="shared" si="15"/>
        <v>3.912023005428146</v>
      </c>
      <c r="J233" s="1">
        <f t="shared" si="16"/>
        <v>-1.6094379124341003</v>
      </c>
      <c r="K233" s="1">
        <f t="shared" si="17"/>
        <v>-5.1704839950381514</v>
      </c>
    </row>
    <row r="234" spans="1:11">
      <c r="A234" s="483">
        <f t="shared" si="18"/>
        <v>228</v>
      </c>
      <c r="B234" s="485">
        <v>31539</v>
      </c>
      <c r="C234" s="473">
        <v>0.75555555555555554</v>
      </c>
      <c r="D234" s="484" t="s">
        <v>111</v>
      </c>
      <c r="E234" s="472" t="s">
        <v>122</v>
      </c>
      <c r="F234" s="486">
        <v>50</v>
      </c>
      <c r="G234" s="611">
        <v>0.2</v>
      </c>
      <c r="H234" s="829">
        <f t="shared" si="19"/>
        <v>5.681818181818182E-3</v>
      </c>
      <c r="I234" s="1">
        <f t="shared" si="15"/>
        <v>3.912023005428146</v>
      </c>
      <c r="J234" s="1">
        <f t="shared" si="16"/>
        <v>-1.6094379124341003</v>
      </c>
      <c r="K234" s="1">
        <f t="shared" si="17"/>
        <v>-5.1704839950381514</v>
      </c>
    </row>
    <row r="235" spans="1:11">
      <c r="A235" s="483">
        <f t="shared" si="18"/>
        <v>229</v>
      </c>
      <c r="B235" s="485">
        <v>31539</v>
      </c>
      <c r="C235" s="473">
        <v>0.78472222222222221</v>
      </c>
      <c r="D235" s="484" t="s">
        <v>106</v>
      </c>
      <c r="E235" s="472" t="s">
        <v>122</v>
      </c>
      <c r="F235" s="486">
        <v>10</v>
      </c>
      <c r="G235" s="611">
        <v>0.2</v>
      </c>
      <c r="H235" s="829">
        <f t="shared" si="19"/>
        <v>1.1363636363636365E-3</v>
      </c>
      <c r="I235" s="1">
        <f t="shared" si="15"/>
        <v>2.3025850929940459</v>
      </c>
      <c r="J235" s="1">
        <f t="shared" si="16"/>
        <v>-1.6094379124341003</v>
      </c>
      <c r="K235" s="1">
        <f t="shared" si="17"/>
        <v>-6.7799219074722519</v>
      </c>
    </row>
    <row r="236" spans="1:11">
      <c r="A236" s="483">
        <f t="shared" si="18"/>
        <v>230</v>
      </c>
      <c r="B236" s="485">
        <v>31546</v>
      </c>
      <c r="C236" s="473">
        <v>0.5625</v>
      </c>
      <c r="D236" s="484" t="s">
        <v>102</v>
      </c>
      <c r="E236" s="472" t="s">
        <v>122</v>
      </c>
      <c r="F236" s="486">
        <v>10</v>
      </c>
      <c r="G236" s="611">
        <v>0.2</v>
      </c>
      <c r="H236" s="829">
        <f t="shared" si="19"/>
        <v>1.1363636363636365E-3</v>
      </c>
      <c r="I236" s="1">
        <f t="shared" si="15"/>
        <v>2.3025850929940459</v>
      </c>
      <c r="J236" s="1">
        <f t="shared" si="16"/>
        <v>-1.6094379124341003</v>
      </c>
      <c r="K236" s="1">
        <f t="shared" si="17"/>
        <v>-6.7799219074722519</v>
      </c>
    </row>
    <row r="237" spans="1:11">
      <c r="A237" s="483">
        <f t="shared" si="18"/>
        <v>231</v>
      </c>
      <c r="B237" s="485">
        <v>31546</v>
      </c>
      <c r="C237" s="473">
        <v>0.5625</v>
      </c>
      <c r="D237" s="484" t="s">
        <v>118</v>
      </c>
      <c r="E237" s="472" t="s">
        <v>122</v>
      </c>
      <c r="F237" s="486">
        <v>50</v>
      </c>
      <c r="G237" s="611">
        <v>3</v>
      </c>
      <c r="H237" s="829">
        <f t="shared" si="19"/>
        <v>8.5227272727272721E-2</v>
      </c>
      <c r="I237" s="1">
        <f t="shared" si="15"/>
        <v>3.912023005428146</v>
      </c>
      <c r="J237" s="1">
        <f t="shared" si="16"/>
        <v>1.0986122886681098</v>
      </c>
      <c r="K237" s="1">
        <f t="shared" si="17"/>
        <v>-2.4624337939359418</v>
      </c>
    </row>
    <row r="238" spans="1:11">
      <c r="A238" s="483">
        <f t="shared" si="18"/>
        <v>232</v>
      </c>
      <c r="B238" s="485">
        <v>31546</v>
      </c>
      <c r="C238" s="473">
        <v>0.58888888888888891</v>
      </c>
      <c r="D238" s="484" t="s">
        <v>119</v>
      </c>
      <c r="E238" s="472" t="s">
        <v>122</v>
      </c>
      <c r="F238" s="486">
        <v>30</v>
      </c>
      <c r="G238" s="611">
        <v>0.2</v>
      </c>
      <c r="H238" s="829">
        <f t="shared" si="19"/>
        <v>3.4090909090909089E-3</v>
      </c>
      <c r="I238" s="1">
        <f t="shared" si="15"/>
        <v>3.4011973816621555</v>
      </c>
      <c r="J238" s="1">
        <f t="shared" si="16"/>
        <v>-1.6094379124341003</v>
      </c>
      <c r="K238" s="1">
        <f t="shared" si="17"/>
        <v>-5.6813096188041428</v>
      </c>
    </row>
    <row r="239" spans="1:11">
      <c r="A239" s="483">
        <f t="shared" si="18"/>
        <v>233</v>
      </c>
      <c r="B239" s="485">
        <v>31548</v>
      </c>
      <c r="C239" s="473">
        <v>0.73124999999999996</v>
      </c>
      <c r="D239" s="484" t="s">
        <v>120</v>
      </c>
      <c r="E239" s="472" t="s">
        <v>122</v>
      </c>
      <c r="F239" s="486">
        <v>30</v>
      </c>
      <c r="G239" s="611">
        <v>0.2</v>
      </c>
      <c r="H239" s="829">
        <f t="shared" si="19"/>
        <v>3.4090909090909089E-3</v>
      </c>
      <c r="I239" s="1">
        <f t="shared" si="15"/>
        <v>3.4011973816621555</v>
      </c>
      <c r="J239" s="1">
        <f t="shared" si="16"/>
        <v>-1.6094379124341003</v>
      </c>
      <c r="K239" s="1">
        <f t="shared" si="17"/>
        <v>-5.6813096188041428</v>
      </c>
    </row>
    <row r="240" spans="1:11">
      <c r="A240" s="483">
        <f t="shared" si="18"/>
        <v>234</v>
      </c>
      <c r="B240" s="485">
        <v>31571</v>
      </c>
      <c r="C240" s="473">
        <v>0.55138888888888882</v>
      </c>
      <c r="D240" s="484" t="s">
        <v>120</v>
      </c>
      <c r="E240" s="472" t="s">
        <v>122</v>
      </c>
      <c r="F240" s="486">
        <v>40</v>
      </c>
      <c r="G240" s="611">
        <v>0.2</v>
      </c>
      <c r="H240" s="829">
        <f t="shared" si="19"/>
        <v>4.5454545454545461E-3</v>
      </c>
      <c r="I240" s="1">
        <f t="shared" si="15"/>
        <v>3.6888794541139363</v>
      </c>
      <c r="J240" s="1">
        <f t="shared" si="16"/>
        <v>-1.6094379124341003</v>
      </c>
      <c r="K240" s="1">
        <f t="shared" si="17"/>
        <v>-5.3936275463523611</v>
      </c>
    </row>
    <row r="241" spans="1:11">
      <c r="A241" s="483">
        <f t="shared" si="18"/>
        <v>235</v>
      </c>
      <c r="B241" s="485">
        <v>31571</v>
      </c>
      <c r="C241" s="473">
        <v>0.63194444444444442</v>
      </c>
      <c r="D241" s="484" t="s">
        <v>120</v>
      </c>
      <c r="E241" s="472" t="s">
        <v>122</v>
      </c>
      <c r="F241" s="486">
        <v>30</v>
      </c>
      <c r="G241" s="611">
        <v>0.2</v>
      </c>
      <c r="H241" s="829">
        <f t="shared" si="19"/>
        <v>3.4090909090909089E-3</v>
      </c>
      <c r="I241" s="1">
        <f t="shared" si="15"/>
        <v>3.4011973816621555</v>
      </c>
      <c r="J241" s="1">
        <f t="shared" si="16"/>
        <v>-1.6094379124341003</v>
      </c>
      <c r="K241" s="1">
        <f t="shared" si="17"/>
        <v>-5.6813096188041428</v>
      </c>
    </row>
    <row r="242" spans="1:11">
      <c r="A242" s="483">
        <f t="shared" si="18"/>
        <v>236</v>
      </c>
      <c r="B242" s="485">
        <v>31593</v>
      </c>
      <c r="C242" s="473">
        <v>0.83680555555555547</v>
      </c>
      <c r="D242" s="484" t="s">
        <v>108</v>
      </c>
      <c r="E242" s="472" t="s">
        <v>122</v>
      </c>
      <c r="F242" s="486">
        <v>30</v>
      </c>
      <c r="G242" s="611">
        <v>0.2</v>
      </c>
      <c r="H242" s="829">
        <f t="shared" si="19"/>
        <v>3.4090909090909089E-3</v>
      </c>
      <c r="I242" s="1">
        <f t="shared" si="15"/>
        <v>3.4011973816621555</v>
      </c>
      <c r="J242" s="1">
        <f t="shared" si="16"/>
        <v>-1.6094379124341003</v>
      </c>
      <c r="K242" s="1">
        <f t="shared" si="17"/>
        <v>-5.6813096188041428</v>
      </c>
    </row>
    <row r="243" spans="1:11">
      <c r="A243" s="483">
        <f t="shared" si="18"/>
        <v>237</v>
      </c>
      <c r="B243" s="485">
        <v>31605</v>
      </c>
      <c r="C243" s="473">
        <v>0.78819444444444453</v>
      </c>
      <c r="D243" s="484" t="s">
        <v>119</v>
      </c>
      <c r="E243" s="472" t="s">
        <v>122</v>
      </c>
      <c r="F243" s="486">
        <v>30</v>
      </c>
      <c r="G243" s="611">
        <v>0.2</v>
      </c>
      <c r="H243" s="829">
        <f t="shared" si="19"/>
        <v>3.4090909090909089E-3</v>
      </c>
      <c r="I243" s="1">
        <f t="shared" si="15"/>
        <v>3.4011973816621555</v>
      </c>
      <c r="J243" s="1">
        <f t="shared" si="16"/>
        <v>-1.6094379124341003</v>
      </c>
      <c r="K243" s="1">
        <f t="shared" si="17"/>
        <v>-5.6813096188041428</v>
      </c>
    </row>
    <row r="244" spans="1:11">
      <c r="A244" s="483">
        <f t="shared" si="18"/>
        <v>238</v>
      </c>
      <c r="B244" s="485">
        <v>31626</v>
      </c>
      <c r="C244" s="473">
        <v>0.64583333333333337</v>
      </c>
      <c r="D244" s="484" t="s">
        <v>99</v>
      </c>
      <c r="E244" s="472" t="s">
        <v>122</v>
      </c>
      <c r="F244" s="486">
        <v>50</v>
      </c>
      <c r="G244" s="611">
        <v>0.5</v>
      </c>
      <c r="H244" s="829">
        <f t="shared" si="19"/>
        <v>1.4204545454545454E-2</v>
      </c>
      <c r="I244" s="1">
        <f t="shared" si="15"/>
        <v>3.912023005428146</v>
      </c>
      <c r="J244" s="1">
        <f t="shared" si="16"/>
        <v>-0.69314718055994529</v>
      </c>
      <c r="K244" s="1">
        <f t="shared" si="17"/>
        <v>-4.2541932631639972</v>
      </c>
    </row>
    <row r="245" spans="1:11">
      <c r="A245" s="483">
        <f t="shared" si="18"/>
        <v>239</v>
      </c>
      <c r="B245" s="485" t="s">
        <v>0</v>
      </c>
      <c r="C245" s="473">
        <v>0.77777777777777779</v>
      </c>
      <c r="D245" s="484" t="s">
        <v>121</v>
      </c>
      <c r="E245" s="472" t="s">
        <v>122</v>
      </c>
      <c r="F245" s="486">
        <v>30</v>
      </c>
      <c r="G245" s="611">
        <v>0.2</v>
      </c>
      <c r="H245" s="829">
        <f t="shared" si="19"/>
        <v>3.4090909090909089E-3</v>
      </c>
      <c r="I245" s="1">
        <f t="shared" si="15"/>
        <v>3.4011973816621555</v>
      </c>
      <c r="J245" s="1">
        <f t="shared" si="16"/>
        <v>-1.6094379124341003</v>
      </c>
      <c r="K245" s="1">
        <f t="shared" si="17"/>
        <v>-5.6813096188041428</v>
      </c>
    </row>
    <row r="246" spans="1:11">
      <c r="A246" s="483">
        <f t="shared" si="18"/>
        <v>240</v>
      </c>
      <c r="B246" s="485">
        <v>31900</v>
      </c>
      <c r="C246" s="473">
        <v>0.56944444444444442</v>
      </c>
      <c r="D246" s="484" t="s">
        <v>99</v>
      </c>
      <c r="E246" s="472" t="s">
        <v>122</v>
      </c>
      <c r="F246" s="486">
        <v>30</v>
      </c>
      <c r="G246" s="611">
        <v>0.1</v>
      </c>
      <c r="H246" s="829">
        <f t="shared" si="19"/>
        <v>1.7045454545454545E-3</v>
      </c>
      <c r="I246" s="1">
        <f t="shared" si="15"/>
        <v>3.4011973816621555</v>
      </c>
      <c r="J246" s="1">
        <f t="shared" si="16"/>
        <v>-2.3025850929940455</v>
      </c>
      <c r="K246" s="1">
        <f t="shared" si="17"/>
        <v>-6.3744567993640882</v>
      </c>
    </row>
    <row r="247" spans="1:11">
      <c r="A247" s="483">
        <f t="shared" si="18"/>
        <v>241</v>
      </c>
      <c r="B247" s="485">
        <v>31918</v>
      </c>
      <c r="C247" s="473">
        <v>0.70138888888888884</v>
      </c>
      <c r="D247" s="484" t="s">
        <v>115</v>
      </c>
      <c r="E247" s="472" t="s">
        <v>122</v>
      </c>
      <c r="F247" s="486">
        <v>40</v>
      </c>
      <c r="G247" s="611">
        <v>1.5</v>
      </c>
      <c r="H247" s="829">
        <f t="shared" si="19"/>
        <v>3.4090909090909088E-2</v>
      </c>
      <c r="I247" s="1">
        <f t="shared" si="15"/>
        <v>3.6888794541139363</v>
      </c>
      <c r="J247" s="1">
        <f t="shared" si="16"/>
        <v>0.40546510810816438</v>
      </c>
      <c r="K247" s="1">
        <f t="shared" si="17"/>
        <v>-3.3787245258100969</v>
      </c>
    </row>
    <row r="248" spans="1:11">
      <c r="A248" s="483">
        <f t="shared" si="18"/>
        <v>242</v>
      </c>
      <c r="B248" s="485">
        <v>31921</v>
      </c>
      <c r="C248" s="473">
        <v>0.89583333333333337</v>
      </c>
      <c r="D248" s="484" t="s">
        <v>120</v>
      </c>
      <c r="E248" s="472" t="s">
        <v>122</v>
      </c>
      <c r="F248" s="486">
        <v>50</v>
      </c>
      <c r="G248" s="611">
        <v>0.5</v>
      </c>
      <c r="H248" s="829">
        <f t="shared" si="19"/>
        <v>1.4204545454545454E-2</v>
      </c>
      <c r="I248" s="1">
        <f t="shared" si="15"/>
        <v>3.912023005428146</v>
      </c>
      <c r="J248" s="1">
        <f t="shared" si="16"/>
        <v>-0.69314718055994529</v>
      </c>
      <c r="K248" s="1">
        <f t="shared" si="17"/>
        <v>-4.2541932631639972</v>
      </c>
    </row>
    <row r="249" spans="1:11">
      <c r="A249" s="483">
        <f t="shared" si="18"/>
        <v>243</v>
      </c>
      <c r="B249" s="485">
        <v>31922</v>
      </c>
      <c r="C249" s="473">
        <v>0.76041666666666663</v>
      </c>
      <c r="D249" s="484" t="s">
        <v>104</v>
      </c>
      <c r="E249" s="472" t="s">
        <v>122</v>
      </c>
      <c r="F249" s="486">
        <v>40</v>
      </c>
      <c r="G249" s="611">
        <v>0.1</v>
      </c>
      <c r="H249" s="829">
        <f t="shared" si="19"/>
        <v>2.2727272727272731E-3</v>
      </c>
      <c r="I249" s="1">
        <f t="shared" si="15"/>
        <v>3.6888794541139363</v>
      </c>
      <c r="J249" s="1">
        <f t="shared" si="16"/>
        <v>-2.3025850929940455</v>
      </c>
      <c r="K249" s="1">
        <f t="shared" si="17"/>
        <v>-6.0867747269123065</v>
      </c>
    </row>
    <row r="250" spans="1:11">
      <c r="A250" s="483">
        <f t="shared" si="18"/>
        <v>244</v>
      </c>
      <c r="B250" s="485">
        <v>31922</v>
      </c>
      <c r="C250" s="473">
        <v>0.78680555555555554</v>
      </c>
      <c r="D250" s="484" t="s">
        <v>118</v>
      </c>
      <c r="E250" s="472" t="s">
        <v>122</v>
      </c>
      <c r="F250" s="486">
        <v>50</v>
      </c>
      <c r="G250" s="611">
        <v>1</v>
      </c>
      <c r="H250" s="829">
        <f t="shared" si="19"/>
        <v>2.8409090909090908E-2</v>
      </c>
      <c r="I250" s="1">
        <f t="shared" si="15"/>
        <v>3.912023005428146</v>
      </c>
      <c r="J250" s="1">
        <f t="shared" si="16"/>
        <v>0</v>
      </c>
      <c r="K250" s="1">
        <f t="shared" si="17"/>
        <v>-3.5610460826040513</v>
      </c>
    </row>
    <row r="251" spans="1:11">
      <c r="A251" s="483">
        <f t="shared" si="18"/>
        <v>245</v>
      </c>
      <c r="B251" s="485">
        <v>31922</v>
      </c>
      <c r="C251" s="473">
        <v>0.83888888888888891</v>
      </c>
      <c r="D251" s="484" t="s">
        <v>118</v>
      </c>
      <c r="E251" s="472" t="s">
        <v>122</v>
      </c>
      <c r="F251" s="486">
        <v>50</v>
      </c>
      <c r="G251" s="611">
        <v>0.1</v>
      </c>
      <c r="H251" s="829">
        <f t="shared" si="19"/>
        <v>2.840909090909091E-3</v>
      </c>
      <c r="I251" s="1">
        <f t="shared" si="15"/>
        <v>3.912023005428146</v>
      </c>
      <c r="J251" s="1">
        <f t="shared" si="16"/>
        <v>-2.3025850929940455</v>
      </c>
      <c r="K251" s="1">
        <f t="shared" si="17"/>
        <v>-5.8636311755980968</v>
      </c>
    </row>
    <row r="252" spans="1:11">
      <c r="A252" s="483">
        <f t="shared" si="18"/>
        <v>246</v>
      </c>
      <c r="B252" s="485">
        <v>31922</v>
      </c>
      <c r="C252" s="473">
        <v>0.84722222222222221</v>
      </c>
      <c r="D252" s="484" t="s">
        <v>118</v>
      </c>
      <c r="E252" s="472" t="s">
        <v>122</v>
      </c>
      <c r="F252" s="486">
        <v>60</v>
      </c>
      <c r="G252" s="611">
        <v>3</v>
      </c>
      <c r="H252" s="829">
        <f t="shared" si="19"/>
        <v>0.10227272727272727</v>
      </c>
      <c r="I252" s="1">
        <f t="shared" si="15"/>
        <v>4.0943445622221004</v>
      </c>
      <c r="J252" s="1">
        <f t="shared" si="16"/>
        <v>1.0986122886681098</v>
      </c>
      <c r="K252" s="1">
        <f t="shared" si="17"/>
        <v>-2.2801122371419873</v>
      </c>
    </row>
    <row r="253" spans="1:11">
      <c r="A253" s="483">
        <f t="shared" si="18"/>
        <v>247</v>
      </c>
      <c r="B253" s="485">
        <v>31922</v>
      </c>
      <c r="C253" s="473">
        <v>0.89583333333333337</v>
      </c>
      <c r="D253" s="484" t="s">
        <v>113</v>
      </c>
      <c r="E253" s="472" t="s">
        <v>122</v>
      </c>
      <c r="F253" s="486">
        <v>40</v>
      </c>
      <c r="G253" s="611">
        <v>0.1</v>
      </c>
      <c r="H253" s="829">
        <f t="shared" si="19"/>
        <v>2.2727272727272731E-3</v>
      </c>
      <c r="I253" s="1">
        <f t="shared" si="15"/>
        <v>3.6888794541139363</v>
      </c>
      <c r="J253" s="1">
        <f t="shared" si="16"/>
        <v>-2.3025850929940455</v>
      </c>
      <c r="K253" s="1">
        <f t="shared" si="17"/>
        <v>-6.0867747269123065</v>
      </c>
    </row>
    <row r="254" spans="1:11">
      <c r="A254" s="483">
        <f t="shared" si="18"/>
        <v>248</v>
      </c>
      <c r="B254" s="485">
        <v>31923</v>
      </c>
      <c r="C254" s="473">
        <v>0.92013888888888884</v>
      </c>
      <c r="D254" s="484" t="s">
        <v>100</v>
      </c>
      <c r="E254" s="472" t="s">
        <v>122</v>
      </c>
      <c r="F254" s="486">
        <v>30</v>
      </c>
      <c r="G254" s="611">
        <v>0.1</v>
      </c>
      <c r="H254" s="829">
        <f t="shared" si="19"/>
        <v>1.7045454545454545E-3</v>
      </c>
      <c r="I254" s="1">
        <f t="shared" si="15"/>
        <v>3.4011973816621555</v>
      </c>
      <c r="J254" s="1">
        <f t="shared" si="16"/>
        <v>-2.3025850929940455</v>
      </c>
      <c r="K254" s="1">
        <f t="shared" si="17"/>
        <v>-6.3744567993640882</v>
      </c>
    </row>
    <row r="255" spans="1:11">
      <c r="A255" s="483">
        <f t="shared" si="18"/>
        <v>249</v>
      </c>
      <c r="B255" s="485">
        <v>31930</v>
      </c>
      <c r="C255" s="473">
        <v>0.80555555555555547</v>
      </c>
      <c r="D255" s="484" t="s">
        <v>113</v>
      </c>
      <c r="E255" s="472" t="s">
        <v>122</v>
      </c>
      <c r="F255" s="486">
        <v>40</v>
      </c>
      <c r="G255" s="611">
        <v>0.1</v>
      </c>
      <c r="H255" s="829">
        <f t="shared" si="19"/>
        <v>2.2727272727272731E-3</v>
      </c>
      <c r="I255" s="1">
        <f t="shared" si="15"/>
        <v>3.6888794541139363</v>
      </c>
      <c r="J255" s="1">
        <f t="shared" si="16"/>
        <v>-2.3025850929940455</v>
      </c>
      <c r="K255" s="1">
        <f t="shared" si="17"/>
        <v>-6.0867747269123065</v>
      </c>
    </row>
    <row r="256" spans="1:11">
      <c r="A256" s="483">
        <f t="shared" si="18"/>
        <v>250</v>
      </c>
      <c r="B256" s="485">
        <v>31957</v>
      </c>
      <c r="C256" s="473">
        <v>0.60763888888888895</v>
      </c>
      <c r="D256" s="484" t="s">
        <v>105</v>
      </c>
      <c r="E256" s="472" t="s">
        <v>122</v>
      </c>
      <c r="F256" s="486">
        <v>40</v>
      </c>
      <c r="G256" s="611">
        <v>0.1</v>
      </c>
      <c r="H256" s="829">
        <f t="shared" si="19"/>
        <v>2.2727272727272731E-3</v>
      </c>
      <c r="I256" s="1">
        <f t="shared" si="15"/>
        <v>3.6888794541139363</v>
      </c>
      <c r="J256" s="1">
        <f t="shared" si="16"/>
        <v>-2.3025850929940455</v>
      </c>
      <c r="K256" s="1">
        <f t="shared" si="17"/>
        <v>-6.0867747269123065</v>
      </c>
    </row>
    <row r="257" spans="1:11">
      <c r="A257" s="483">
        <f t="shared" si="18"/>
        <v>251</v>
      </c>
      <c r="B257" s="485">
        <v>31972</v>
      </c>
      <c r="C257" s="473">
        <v>0.66111111111111109</v>
      </c>
      <c r="D257" s="484" t="s">
        <v>104</v>
      </c>
      <c r="E257" s="472" t="s">
        <v>122</v>
      </c>
      <c r="F257" s="486">
        <v>60</v>
      </c>
      <c r="G257" s="611">
        <v>1</v>
      </c>
      <c r="H257" s="829">
        <f t="shared" si="19"/>
        <v>3.4090909090909088E-2</v>
      </c>
      <c r="I257" s="1">
        <f t="shared" si="15"/>
        <v>4.0943445622221004</v>
      </c>
      <c r="J257" s="1">
        <f t="shared" si="16"/>
        <v>0</v>
      </c>
      <c r="K257" s="1">
        <f t="shared" si="17"/>
        <v>-3.3787245258100969</v>
      </c>
    </row>
    <row r="258" spans="1:11">
      <c r="A258" s="483">
        <f t="shared" si="18"/>
        <v>252</v>
      </c>
      <c r="B258" s="485">
        <v>32031</v>
      </c>
      <c r="C258" s="473">
        <v>0.90277777777777779</v>
      </c>
      <c r="D258" s="484" t="s">
        <v>104</v>
      </c>
      <c r="E258" s="472" t="s">
        <v>122</v>
      </c>
      <c r="F258" s="486">
        <v>40</v>
      </c>
      <c r="G258" s="611">
        <v>0.1</v>
      </c>
      <c r="H258" s="829">
        <f t="shared" si="19"/>
        <v>2.2727272727272731E-3</v>
      </c>
      <c r="I258" s="1">
        <f t="shared" si="15"/>
        <v>3.6888794541139363</v>
      </c>
      <c r="J258" s="1">
        <f t="shared" si="16"/>
        <v>-2.3025850929940455</v>
      </c>
      <c r="K258" s="1">
        <f t="shared" si="17"/>
        <v>-6.0867747269123065</v>
      </c>
    </row>
    <row r="259" spans="1:11">
      <c r="A259" s="483">
        <f t="shared" si="18"/>
        <v>253</v>
      </c>
      <c r="B259" s="485">
        <v>32293</v>
      </c>
      <c r="C259" s="473">
        <v>0.77430555555555547</v>
      </c>
      <c r="D259" s="484" t="s">
        <v>102</v>
      </c>
      <c r="E259" s="472" t="s">
        <v>122</v>
      </c>
      <c r="F259" s="486">
        <v>100</v>
      </c>
      <c r="G259" s="611">
        <v>3</v>
      </c>
      <c r="H259" s="829">
        <f t="shared" si="19"/>
        <v>0.17045454545454544</v>
      </c>
      <c r="I259" s="1">
        <f t="shared" si="15"/>
        <v>4.6051701859880918</v>
      </c>
      <c r="J259" s="1">
        <f t="shared" si="16"/>
        <v>1.0986122886681098</v>
      </c>
      <c r="K259" s="1">
        <f t="shared" si="17"/>
        <v>-1.7692866133759966</v>
      </c>
    </row>
    <row r="260" spans="1:11">
      <c r="A260" s="483">
        <f t="shared" si="18"/>
        <v>254</v>
      </c>
      <c r="B260" s="485">
        <v>32372</v>
      </c>
      <c r="C260" s="473">
        <v>0.66180555555555554</v>
      </c>
      <c r="D260" s="484" t="s">
        <v>114</v>
      </c>
      <c r="E260" s="472" t="s">
        <v>122</v>
      </c>
      <c r="F260" s="486">
        <v>30</v>
      </c>
      <c r="G260" s="611">
        <v>0.1</v>
      </c>
      <c r="H260" s="829">
        <f t="shared" si="19"/>
        <v>1.7045454545454545E-3</v>
      </c>
      <c r="I260" s="1">
        <f t="shared" si="15"/>
        <v>3.4011973816621555</v>
      </c>
      <c r="J260" s="1">
        <f t="shared" si="16"/>
        <v>-2.3025850929940455</v>
      </c>
      <c r="K260" s="1">
        <f t="shared" si="17"/>
        <v>-6.3744567993640882</v>
      </c>
    </row>
    <row r="261" spans="1:11">
      <c r="A261" s="483">
        <f t="shared" si="18"/>
        <v>255</v>
      </c>
      <c r="B261" s="485">
        <v>32628</v>
      </c>
      <c r="C261" s="473">
        <v>0.71875</v>
      </c>
      <c r="D261" s="484" t="s">
        <v>108</v>
      </c>
      <c r="E261" s="472" t="s">
        <v>122</v>
      </c>
      <c r="F261" s="486">
        <v>40</v>
      </c>
      <c r="G261" s="611">
        <v>0.3</v>
      </c>
      <c r="H261" s="829">
        <f t="shared" si="19"/>
        <v>6.8181818181818179E-3</v>
      </c>
      <c r="I261" s="1">
        <f t="shared" si="15"/>
        <v>3.6888794541139363</v>
      </c>
      <c r="J261" s="1">
        <f t="shared" si="16"/>
        <v>-1.2039728043259361</v>
      </c>
      <c r="K261" s="1">
        <f t="shared" si="17"/>
        <v>-4.9881624382441974</v>
      </c>
    </row>
    <row r="262" spans="1:11">
      <c r="A262" s="483">
        <f t="shared" si="18"/>
        <v>256</v>
      </c>
      <c r="B262" s="485">
        <v>32628</v>
      </c>
      <c r="C262" s="473">
        <v>0.76944444444444438</v>
      </c>
      <c r="D262" s="484" t="s">
        <v>113</v>
      </c>
      <c r="E262" s="472" t="s">
        <v>122</v>
      </c>
      <c r="F262" s="486">
        <v>20</v>
      </c>
      <c r="G262" s="611">
        <v>0.1</v>
      </c>
      <c r="H262" s="829">
        <f t="shared" si="19"/>
        <v>1.1363636363636365E-3</v>
      </c>
      <c r="I262" s="1">
        <f t="shared" si="15"/>
        <v>2.9957322735539909</v>
      </c>
      <c r="J262" s="1">
        <f t="shared" si="16"/>
        <v>-2.3025850929940455</v>
      </c>
      <c r="K262" s="1">
        <f t="shared" si="17"/>
        <v>-6.7799219074722519</v>
      </c>
    </row>
    <row r="263" spans="1:11">
      <c r="A263" s="483">
        <f t="shared" si="18"/>
        <v>257</v>
      </c>
      <c r="B263" s="485">
        <v>32628</v>
      </c>
      <c r="C263" s="473">
        <v>0.76944444444444438</v>
      </c>
      <c r="D263" s="484" t="s">
        <v>118</v>
      </c>
      <c r="E263" s="472" t="s">
        <v>122</v>
      </c>
      <c r="F263" s="486">
        <v>20</v>
      </c>
      <c r="G263" s="611">
        <v>0.2</v>
      </c>
      <c r="H263" s="829">
        <f t="shared" si="19"/>
        <v>2.2727272727272731E-3</v>
      </c>
      <c r="I263" s="1">
        <f t="shared" si="15"/>
        <v>2.9957322735539909</v>
      </c>
      <c r="J263" s="1">
        <f t="shared" si="16"/>
        <v>-1.6094379124341003</v>
      </c>
      <c r="K263" s="1">
        <f t="shared" si="17"/>
        <v>-6.0867747269123065</v>
      </c>
    </row>
    <row r="264" spans="1:11">
      <c r="A264" s="483">
        <f t="shared" si="18"/>
        <v>258</v>
      </c>
      <c r="B264" s="485">
        <v>32632</v>
      </c>
      <c r="C264" s="473">
        <v>0.64583333333333337</v>
      </c>
      <c r="D264" s="484" t="s">
        <v>108</v>
      </c>
      <c r="E264" s="472" t="s">
        <v>122</v>
      </c>
      <c r="F264" s="486">
        <v>40</v>
      </c>
      <c r="G264" s="611">
        <v>1</v>
      </c>
      <c r="H264" s="829">
        <f t="shared" si="19"/>
        <v>2.2727272727272728E-2</v>
      </c>
      <c r="I264" s="1">
        <f t="shared" ref="I264:I327" si="20">LN(F264)</f>
        <v>3.6888794541139363</v>
      </c>
      <c r="J264" s="1">
        <f t="shared" ref="J264:J327" si="21">LN(G264)</f>
        <v>0</v>
      </c>
      <c r="K264" s="1">
        <f t="shared" ref="K264:K327" si="22">LN(H264)</f>
        <v>-3.784189633918261</v>
      </c>
    </row>
    <row r="265" spans="1:11">
      <c r="A265" s="483">
        <f t="shared" ref="A265:A328" si="23">+A264+1</f>
        <v>259</v>
      </c>
      <c r="B265" s="485">
        <v>32632</v>
      </c>
      <c r="C265" s="473">
        <v>0.65625</v>
      </c>
      <c r="D265" s="484" t="s">
        <v>108</v>
      </c>
      <c r="E265" s="472" t="s">
        <v>122</v>
      </c>
      <c r="F265" s="486">
        <v>40</v>
      </c>
      <c r="G265" s="611">
        <v>1</v>
      </c>
      <c r="H265" s="829">
        <f t="shared" ref="H265:H328" si="24">+(F265/1760)*G265</f>
        <v>2.2727272727272728E-2</v>
      </c>
      <c r="I265" s="1">
        <f t="shared" si="20"/>
        <v>3.6888794541139363</v>
      </c>
      <c r="J265" s="1">
        <f t="shared" si="21"/>
        <v>0</v>
      </c>
      <c r="K265" s="1">
        <f t="shared" si="22"/>
        <v>-3.784189633918261</v>
      </c>
    </row>
    <row r="266" spans="1:11">
      <c r="A266" s="483">
        <f t="shared" si="23"/>
        <v>260</v>
      </c>
      <c r="B266" s="485">
        <v>32632</v>
      </c>
      <c r="C266" s="473">
        <v>0.71180555555555547</v>
      </c>
      <c r="D266" s="484" t="s">
        <v>118</v>
      </c>
      <c r="E266" s="472" t="s">
        <v>122</v>
      </c>
      <c r="F266" s="486">
        <v>50</v>
      </c>
      <c r="G266" s="611">
        <v>2</v>
      </c>
      <c r="H266" s="829">
        <f t="shared" si="24"/>
        <v>5.6818181818181816E-2</v>
      </c>
      <c r="I266" s="1">
        <f t="shared" si="20"/>
        <v>3.912023005428146</v>
      </c>
      <c r="J266" s="1">
        <f t="shared" si="21"/>
        <v>0.69314718055994529</v>
      </c>
      <c r="K266" s="1">
        <f t="shared" si="22"/>
        <v>-2.8678989020441059</v>
      </c>
    </row>
    <row r="267" spans="1:11">
      <c r="A267" s="483">
        <f t="shared" si="23"/>
        <v>261</v>
      </c>
      <c r="B267" s="485">
        <v>32640</v>
      </c>
      <c r="C267" s="473">
        <v>0.76875000000000004</v>
      </c>
      <c r="D267" s="484" t="s">
        <v>112</v>
      </c>
      <c r="E267" s="472" t="s">
        <v>122</v>
      </c>
      <c r="F267" s="486">
        <v>60</v>
      </c>
      <c r="G267" s="611">
        <v>2</v>
      </c>
      <c r="H267" s="829">
        <f t="shared" si="24"/>
        <v>6.8181818181818177E-2</v>
      </c>
      <c r="I267" s="1">
        <f t="shared" si="20"/>
        <v>4.0943445622221004</v>
      </c>
      <c r="J267" s="1">
        <f t="shared" si="21"/>
        <v>0.69314718055994529</v>
      </c>
      <c r="K267" s="1">
        <f t="shared" si="22"/>
        <v>-2.6855773452501515</v>
      </c>
    </row>
    <row r="268" spans="1:11">
      <c r="A268" s="483">
        <f t="shared" si="23"/>
        <v>262</v>
      </c>
      <c r="B268" s="485">
        <v>32643</v>
      </c>
      <c r="C268" s="473">
        <v>0.76944444444444438</v>
      </c>
      <c r="D268" s="484" t="s">
        <v>117</v>
      </c>
      <c r="E268" s="472" t="s">
        <v>122</v>
      </c>
      <c r="F268" s="486">
        <v>50</v>
      </c>
      <c r="G268" s="611">
        <v>1</v>
      </c>
      <c r="H268" s="829">
        <f t="shared" si="24"/>
        <v>2.8409090909090908E-2</v>
      </c>
      <c r="I268" s="1">
        <f t="shared" si="20"/>
        <v>3.912023005428146</v>
      </c>
      <c r="J268" s="1">
        <f t="shared" si="21"/>
        <v>0</v>
      </c>
      <c r="K268" s="1">
        <f t="shared" si="22"/>
        <v>-3.5610460826040513</v>
      </c>
    </row>
    <row r="269" spans="1:11">
      <c r="A269" s="483">
        <f t="shared" si="23"/>
        <v>263</v>
      </c>
      <c r="B269" s="485">
        <v>32643</v>
      </c>
      <c r="C269" s="473">
        <v>0.83680555555555547</v>
      </c>
      <c r="D269" s="484" t="s">
        <v>112</v>
      </c>
      <c r="E269" s="472" t="s">
        <v>122</v>
      </c>
      <c r="F269" s="486">
        <v>90</v>
      </c>
      <c r="G269" s="611">
        <v>1.5</v>
      </c>
      <c r="H269" s="829">
        <f t="shared" si="24"/>
        <v>7.6704545454545456E-2</v>
      </c>
      <c r="I269" s="1">
        <f t="shared" si="20"/>
        <v>4.499809670330265</v>
      </c>
      <c r="J269" s="1">
        <f t="shared" si="21"/>
        <v>0.40546510810816438</v>
      </c>
      <c r="K269" s="1">
        <f t="shared" si="22"/>
        <v>-2.5677943095937681</v>
      </c>
    </row>
    <row r="270" spans="1:11">
      <c r="A270" s="483">
        <f t="shared" si="23"/>
        <v>264</v>
      </c>
      <c r="B270" s="485">
        <v>32644</v>
      </c>
      <c r="C270" s="473">
        <v>0.68055555555555547</v>
      </c>
      <c r="D270" s="484" t="s">
        <v>118</v>
      </c>
      <c r="E270" s="472" t="s">
        <v>122</v>
      </c>
      <c r="F270" s="486">
        <v>60</v>
      </c>
      <c r="G270" s="611">
        <v>1.5</v>
      </c>
      <c r="H270" s="829">
        <f t="shared" si="24"/>
        <v>5.1136363636363633E-2</v>
      </c>
      <c r="I270" s="1">
        <f t="shared" si="20"/>
        <v>4.0943445622221004</v>
      </c>
      <c r="J270" s="1">
        <f t="shared" si="21"/>
        <v>0.40546510810816438</v>
      </c>
      <c r="K270" s="1">
        <f t="shared" si="22"/>
        <v>-2.9732594177019327</v>
      </c>
    </row>
    <row r="271" spans="1:11">
      <c r="A271" s="483">
        <f t="shared" si="23"/>
        <v>265</v>
      </c>
      <c r="B271" s="485">
        <v>32644</v>
      </c>
      <c r="C271" s="473">
        <v>0.70486111111111116</v>
      </c>
      <c r="D271" s="484" t="s">
        <v>113</v>
      </c>
      <c r="E271" s="472" t="s">
        <v>122</v>
      </c>
      <c r="F271" s="486">
        <v>50</v>
      </c>
      <c r="G271" s="611">
        <v>3</v>
      </c>
      <c r="H271" s="829">
        <f t="shared" si="24"/>
        <v>8.5227272727272721E-2</v>
      </c>
      <c r="I271" s="1">
        <f t="shared" si="20"/>
        <v>3.912023005428146</v>
      </c>
      <c r="J271" s="1">
        <f t="shared" si="21"/>
        <v>1.0986122886681098</v>
      </c>
      <c r="K271" s="1">
        <f t="shared" si="22"/>
        <v>-2.4624337939359418</v>
      </c>
    </row>
    <row r="272" spans="1:11">
      <c r="A272" s="483">
        <f t="shared" si="23"/>
        <v>266</v>
      </c>
      <c r="B272" s="485">
        <v>32644</v>
      </c>
      <c r="C272" s="473">
        <v>0.70486111111111116</v>
      </c>
      <c r="D272" s="484" t="s">
        <v>118</v>
      </c>
      <c r="E272" s="472" t="s">
        <v>122</v>
      </c>
      <c r="F272" s="486">
        <v>40</v>
      </c>
      <c r="G272" s="611">
        <v>1</v>
      </c>
      <c r="H272" s="829">
        <f t="shared" si="24"/>
        <v>2.2727272727272728E-2</v>
      </c>
      <c r="I272" s="1">
        <f t="shared" si="20"/>
        <v>3.6888794541139363</v>
      </c>
      <c r="J272" s="1">
        <f t="shared" si="21"/>
        <v>0</v>
      </c>
      <c r="K272" s="1">
        <f t="shared" si="22"/>
        <v>-3.784189633918261</v>
      </c>
    </row>
    <row r="273" spans="1:11">
      <c r="A273" s="483">
        <f t="shared" si="23"/>
        <v>267</v>
      </c>
      <c r="B273" s="485">
        <v>32644</v>
      </c>
      <c r="C273" s="473">
        <v>0.70972222222222225</v>
      </c>
      <c r="D273" s="484" t="s">
        <v>113</v>
      </c>
      <c r="E273" s="472" t="s">
        <v>122</v>
      </c>
      <c r="F273" s="486">
        <v>40</v>
      </c>
      <c r="G273" s="611">
        <v>0.1</v>
      </c>
      <c r="H273" s="829">
        <f t="shared" si="24"/>
        <v>2.2727272727272731E-3</v>
      </c>
      <c r="I273" s="1">
        <f t="shared" si="20"/>
        <v>3.6888794541139363</v>
      </c>
      <c r="J273" s="1">
        <f t="shared" si="21"/>
        <v>-2.3025850929940455</v>
      </c>
      <c r="K273" s="1">
        <f t="shared" si="22"/>
        <v>-6.0867747269123065</v>
      </c>
    </row>
    <row r="274" spans="1:11">
      <c r="A274" s="483">
        <f t="shared" si="23"/>
        <v>268</v>
      </c>
      <c r="B274" s="485">
        <v>32669</v>
      </c>
      <c r="C274" s="473">
        <v>0.83819444444444446</v>
      </c>
      <c r="D274" s="484" t="s">
        <v>108</v>
      </c>
      <c r="E274" s="472" t="s">
        <v>122</v>
      </c>
      <c r="F274" s="486">
        <v>110</v>
      </c>
      <c r="G274" s="611">
        <v>2.5</v>
      </c>
      <c r="H274" s="829">
        <f t="shared" si="24"/>
        <v>0.15625</v>
      </c>
      <c r="I274" s="1">
        <f t="shared" si="20"/>
        <v>4.7004803657924166</v>
      </c>
      <c r="J274" s="1">
        <f t="shared" si="21"/>
        <v>0.91629073187415511</v>
      </c>
      <c r="K274" s="1">
        <f t="shared" si="22"/>
        <v>-1.8562979903656263</v>
      </c>
    </row>
    <row r="275" spans="1:11">
      <c r="A275" s="483">
        <f t="shared" si="23"/>
        <v>269</v>
      </c>
      <c r="B275" s="485">
        <v>32669</v>
      </c>
      <c r="C275" s="473">
        <v>0.84375</v>
      </c>
      <c r="D275" s="484" t="s">
        <v>108</v>
      </c>
      <c r="E275" s="472" t="s">
        <v>122</v>
      </c>
      <c r="F275" s="486">
        <v>100</v>
      </c>
      <c r="G275" s="611">
        <v>3</v>
      </c>
      <c r="H275" s="829">
        <f t="shared" si="24"/>
        <v>0.17045454545454544</v>
      </c>
      <c r="I275" s="1">
        <f t="shared" si="20"/>
        <v>4.6051701859880918</v>
      </c>
      <c r="J275" s="1">
        <f t="shared" si="21"/>
        <v>1.0986122886681098</v>
      </c>
      <c r="K275" s="1">
        <f t="shared" si="22"/>
        <v>-1.7692866133759966</v>
      </c>
    </row>
    <row r="276" spans="1:11">
      <c r="A276" s="483">
        <f t="shared" si="23"/>
        <v>270</v>
      </c>
      <c r="B276" s="485">
        <v>32669</v>
      </c>
      <c r="C276" s="473">
        <v>0.84513888888888899</v>
      </c>
      <c r="D276" s="484" t="s">
        <v>109</v>
      </c>
      <c r="E276" s="472" t="s">
        <v>122</v>
      </c>
      <c r="F276" s="486">
        <v>100</v>
      </c>
      <c r="G276" s="611">
        <v>1</v>
      </c>
      <c r="H276" s="829">
        <f t="shared" si="24"/>
        <v>5.6818181818181816E-2</v>
      </c>
      <c r="I276" s="1">
        <f t="shared" si="20"/>
        <v>4.6051701859880918</v>
      </c>
      <c r="J276" s="1">
        <f t="shared" si="21"/>
        <v>0</v>
      </c>
      <c r="K276" s="1">
        <f t="shared" si="22"/>
        <v>-2.8678989020441059</v>
      </c>
    </row>
    <row r="277" spans="1:11">
      <c r="A277" s="483">
        <f t="shared" si="23"/>
        <v>271</v>
      </c>
      <c r="B277" s="485">
        <v>32669</v>
      </c>
      <c r="C277" s="473">
        <v>0.86111111111111116</v>
      </c>
      <c r="D277" s="484" t="s">
        <v>109</v>
      </c>
      <c r="E277" s="472" t="s">
        <v>122</v>
      </c>
      <c r="F277" s="486">
        <v>120</v>
      </c>
      <c r="G277" s="611">
        <v>4.5</v>
      </c>
      <c r="H277" s="829">
        <f t="shared" si="24"/>
        <v>0.30681818181818177</v>
      </c>
      <c r="I277" s="1">
        <f t="shared" si="20"/>
        <v>4.7874917427820458</v>
      </c>
      <c r="J277" s="1">
        <f t="shared" si="21"/>
        <v>1.5040773967762742</v>
      </c>
      <c r="K277" s="1">
        <f t="shared" si="22"/>
        <v>-1.1814999484738775</v>
      </c>
    </row>
    <row r="278" spans="1:11">
      <c r="A278" s="483">
        <f t="shared" si="23"/>
        <v>272</v>
      </c>
      <c r="B278" s="485">
        <v>32670</v>
      </c>
      <c r="C278" s="473">
        <v>0.95972222222222225</v>
      </c>
      <c r="D278" s="484" t="s">
        <v>120</v>
      </c>
      <c r="E278" s="472" t="s">
        <v>122</v>
      </c>
      <c r="F278" s="486">
        <v>90</v>
      </c>
      <c r="G278" s="611">
        <v>1.5</v>
      </c>
      <c r="H278" s="829">
        <f t="shared" si="24"/>
        <v>7.6704545454545456E-2</v>
      </c>
      <c r="I278" s="1">
        <f t="shared" si="20"/>
        <v>4.499809670330265</v>
      </c>
      <c r="J278" s="1">
        <f t="shared" si="21"/>
        <v>0.40546510810816438</v>
      </c>
      <c r="K278" s="1">
        <f t="shared" si="22"/>
        <v>-2.5677943095937681</v>
      </c>
    </row>
    <row r="279" spans="1:11">
      <c r="A279" s="483">
        <f t="shared" si="23"/>
        <v>273</v>
      </c>
      <c r="B279" s="485">
        <v>32670</v>
      </c>
      <c r="C279" s="473">
        <v>0.96319444444444446</v>
      </c>
      <c r="D279" s="484" t="s">
        <v>120</v>
      </c>
      <c r="E279" s="472" t="s">
        <v>122</v>
      </c>
      <c r="F279" s="486">
        <v>80</v>
      </c>
      <c r="G279" s="611">
        <v>0.3</v>
      </c>
      <c r="H279" s="829">
        <f t="shared" si="24"/>
        <v>1.3636363636363636E-2</v>
      </c>
      <c r="I279" s="1">
        <f t="shared" si="20"/>
        <v>4.3820266346738812</v>
      </c>
      <c r="J279" s="1">
        <f t="shared" si="21"/>
        <v>-1.2039728043259361</v>
      </c>
      <c r="K279" s="1">
        <f t="shared" si="22"/>
        <v>-4.295015257684252</v>
      </c>
    </row>
    <row r="280" spans="1:11">
      <c r="A280" s="483">
        <f t="shared" si="23"/>
        <v>274</v>
      </c>
      <c r="B280" s="485">
        <v>32670</v>
      </c>
      <c r="C280" s="473">
        <v>0.96388888888888891</v>
      </c>
      <c r="D280" s="484" t="s">
        <v>120</v>
      </c>
      <c r="E280" s="472" t="s">
        <v>122</v>
      </c>
      <c r="F280" s="486">
        <v>80</v>
      </c>
      <c r="G280" s="611">
        <v>0.3</v>
      </c>
      <c r="H280" s="829">
        <f t="shared" si="24"/>
        <v>1.3636363636363636E-2</v>
      </c>
      <c r="I280" s="1">
        <f t="shared" si="20"/>
        <v>4.3820266346738812</v>
      </c>
      <c r="J280" s="1">
        <f t="shared" si="21"/>
        <v>-1.2039728043259361</v>
      </c>
      <c r="K280" s="1">
        <f t="shared" si="22"/>
        <v>-4.295015257684252</v>
      </c>
    </row>
    <row r="281" spans="1:11">
      <c r="A281" s="483">
        <f t="shared" si="23"/>
        <v>275</v>
      </c>
      <c r="B281" s="485">
        <v>32671</v>
      </c>
      <c r="C281" s="473">
        <v>0.93402777777777779</v>
      </c>
      <c r="D281" s="484" t="s">
        <v>120</v>
      </c>
      <c r="E281" s="472" t="s">
        <v>122</v>
      </c>
      <c r="F281" s="486">
        <v>100</v>
      </c>
      <c r="G281" s="611">
        <v>2</v>
      </c>
      <c r="H281" s="829">
        <f t="shared" si="24"/>
        <v>0.11363636363636363</v>
      </c>
      <c r="I281" s="1">
        <f t="shared" si="20"/>
        <v>4.6051701859880918</v>
      </c>
      <c r="J281" s="1">
        <f t="shared" si="21"/>
        <v>0.69314718055994529</v>
      </c>
      <c r="K281" s="1">
        <f t="shared" si="22"/>
        <v>-2.174751721484161</v>
      </c>
    </row>
    <row r="282" spans="1:11">
      <c r="A282" s="483">
        <f t="shared" si="23"/>
        <v>276</v>
      </c>
      <c r="B282" s="485">
        <v>32735</v>
      </c>
      <c r="C282" s="473">
        <v>0.69097222222222221</v>
      </c>
      <c r="D282" s="484" t="s">
        <v>112</v>
      </c>
      <c r="E282" s="472" t="s">
        <v>122</v>
      </c>
      <c r="F282" s="486">
        <v>60</v>
      </c>
      <c r="G282" s="611">
        <v>2.5</v>
      </c>
      <c r="H282" s="829">
        <f t="shared" si="24"/>
        <v>8.5227272727272721E-2</v>
      </c>
      <c r="I282" s="1">
        <f t="shared" si="20"/>
        <v>4.0943445622221004</v>
      </c>
      <c r="J282" s="1">
        <f t="shared" si="21"/>
        <v>0.91629073187415511</v>
      </c>
      <c r="K282" s="1">
        <f t="shared" si="22"/>
        <v>-2.4624337939359418</v>
      </c>
    </row>
    <row r="283" spans="1:11">
      <c r="A283" s="483">
        <f t="shared" si="23"/>
        <v>277</v>
      </c>
      <c r="B283" s="485">
        <v>32735</v>
      </c>
      <c r="C283" s="473">
        <v>0.82916666666666661</v>
      </c>
      <c r="D283" s="484" t="s">
        <v>107</v>
      </c>
      <c r="E283" s="472" t="s">
        <v>122</v>
      </c>
      <c r="F283" s="486">
        <v>90</v>
      </c>
      <c r="G283" s="611">
        <v>3</v>
      </c>
      <c r="H283" s="829">
        <f t="shared" si="24"/>
        <v>0.15340909090909091</v>
      </c>
      <c r="I283" s="1">
        <f t="shared" si="20"/>
        <v>4.499809670330265</v>
      </c>
      <c r="J283" s="1">
        <f t="shared" si="21"/>
        <v>1.0986122886681098</v>
      </c>
      <c r="K283" s="1">
        <f t="shared" si="22"/>
        <v>-1.8746471290338227</v>
      </c>
    </row>
    <row r="284" spans="1:11">
      <c r="A284" s="483">
        <f t="shared" si="23"/>
        <v>278</v>
      </c>
      <c r="B284" s="485">
        <v>32987</v>
      </c>
      <c r="C284" s="473">
        <v>0.71597222222222223</v>
      </c>
      <c r="D284" s="484" t="s">
        <v>115</v>
      </c>
      <c r="E284" s="472" t="s">
        <v>122</v>
      </c>
      <c r="F284" s="486">
        <v>80</v>
      </c>
      <c r="G284" s="611">
        <v>1.4</v>
      </c>
      <c r="H284" s="829">
        <f t="shared" si="24"/>
        <v>6.363636363636363E-2</v>
      </c>
      <c r="I284" s="1">
        <f t="shared" si="20"/>
        <v>4.3820266346738812</v>
      </c>
      <c r="J284" s="1">
        <f t="shared" si="21"/>
        <v>0.33647223662121289</v>
      </c>
      <c r="K284" s="1">
        <f t="shared" si="22"/>
        <v>-2.7545702167371031</v>
      </c>
    </row>
    <row r="285" spans="1:11">
      <c r="A285" s="483">
        <f t="shared" si="23"/>
        <v>279</v>
      </c>
      <c r="B285" s="485">
        <v>32987</v>
      </c>
      <c r="C285" s="473">
        <v>0.8125</v>
      </c>
      <c r="D285" s="484" t="s">
        <v>111</v>
      </c>
      <c r="E285" s="472" t="s">
        <v>122</v>
      </c>
      <c r="F285" s="486">
        <v>70</v>
      </c>
      <c r="G285" s="611">
        <v>1.3</v>
      </c>
      <c r="H285" s="829">
        <f t="shared" si="24"/>
        <v>5.1704545454545454E-2</v>
      </c>
      <c r="I285" s="1">
        <f t="shared" si="20"/>
        <v>4.2484952420493594</v>
      </c>
      <c r="J285" s="1">
        <f t="shared" si="21"/>
        <v>0.26236426446749106</v>
      </c>
      <c r="K285" s="1">
        <f t="shared" si="22"/>
        <v>-2.9622095815153475</v>
      </c>
    </row>
    <row r="286" spans="1:11">
      <c r="A286" s="483">
        <f t="shared" si="23"/>
        <v>280</v>
      </c>
      <c r="B286" s="485">
        <v>32987</v>
      </c>
      <c r="C286" s="473">
        <v>0.90277777777777779</v>
      </c>
      <c r="D286" s="484" t="s">
        <v>120</v>
      </c>
      <c r="E286" s="472" t="s">
        <v>122</v>
      </c>
      <c r="F286" s="486">
        <v>90</v>
      </c>
      <c r="G286" s="611">
        <v>1.5</v>
      </c>
      <c r="H286" s="829">
        <f t="shared" si="24"/>
        <v>7.6704545454545456E-2</v>
      </c>
      <c r="I286" s="1">
        <f t="shared" si="20"/>
        <v>4.499809670330265</v>
      </c>
      <c r="J286" s="1">
        <f t="shared" si="21"/>
        <v>0.40546510810816438</v>
      </c>
      <c r="K286" s="1">
        <f t="shared" si="22"/>
        <v>-2.5677943095937681</v>
      </c>
    </row>
    <row r="287" spans="1:11">
      <c r="A287" s="483">
        <f t="shared" si="23"/>
        <v>281</v>
      </c>
      <c r="B287" s="485">
        <v>33024</v>
      </c>
      <c r="C287" s="473">
        <v>0.67291666666666661</v>
      </c>
      <c r="D287" s="484" t="s">
        <v>105</v>
      </c>
      <c r="E287" s="472" t="s">
        <v>122</v>
      </c>
      <c r="F287" s="486">
        <v>50</v>
      </c>
      <c r="G287" s="611">
        <v>1.2</v>
      </c>
      <c r="H287" s="829">
        <f t="shared" si="24"/>
        <v>3.4090909090909088E-2</v>
      </c>
      <c r="I287" s="1">
        <f t="shared" si="20"/>
        <v>3.912023005428146</v>
      </c>
      <c r="J287" s="1">
        <f t="shared" si="21"/>
        <v>0.18232155679395459</v>
      </c>
      <c r="K287" s="1">
        <f t="shared" si="22"/>
        <v>-3.3787245258100969</v>
      </c>
    </row>
    <row r="288" spans="1:11">
      <c r="A288" s="483">
        <f t="shared" si="23"/>
        <v>282</v>
      </c>
      <c r="B288" s="485">
        <v>33024</v>
      </c>
      <c r="C288" s="473">
        <v>0.73958333333333337</v>
      </c>
      <c r="D288" s="484" t="s">
        <v>104</v>
      </c>
      <c r="E288" s="472" t="s">
        <v>122</v>
      </c>
      <c r="F288" s="486">
        <v>60</v>
      </c>
      <c r="G288" s="611">
        <v>1.3</v>
      </c>
      <c r="H288" s="829">
        <f t="shared" si="24"/>
        <v>4.4318181818181819E-2</v>
      </c>
      <c r="I288" s="1">
        <f t="shared" si="20"/>
        <v>4.0943445622221004</v>
      </c>
      <c r="J288" s="1">
        <f t="shared" si="21"/>
        <v>0.26236426446749106</v>
      </c>
      <c r="K288" s="1">
        <f t="shared" si="22"/>
        <v>-3.1163602613426056</v>
      </c>
    </row>
    <row r="289" spans="1:11">
      <c r="A289" s="483">
        <f t="shared" si="23"/>
        <v>283</v>
      </c>
      <c r="B289" s="485">
        <v>33024</v>
      </c>
      <c r="C289" s="473">
        <v>0.83888888888888891</v>
      </c>
      <c r="D289" s="484" t="s">
        <v>105</v>
      </c>
      <c r="E289" s="472" t="s">
        <v>122</v>
      </c>
      <c r="F289" s="486">
        <v>70</v>
      </c>
      <c r="G289" s="611">
        <v>0.7</v>
      </c>
      <c r="H289" s="829">
        <f t="shared" si="24"/>
        <v>2.784090909090909E-2</v>
      </c>
      <c r="I289" s="1">
        <f t="shared" si="20"/>
        <v>4.2484952420493594</v>
      </c>
      <c r="J289" s="1">
        <f t="shared" si="21"/>
        <v>-0.35667494393873245</v>
      </c>
      <c r="K289" s="1">
        <f t="shared" si="22"/>
        <v>-3.5812487899215708</v>
      </c>
    </row>
    <row r="290" spans="1:11">
      <c r="A290" s="483">
        <f t="shared" si="23"/>
        <v>284</v>
      </c>
      <c r="B290" s="485">
        <v>33024</v>
      </c>
      <c r="C290" s="473">
        <v>0.84305555555555556</v>
      </c>
      <c r="D290" s="484" t="s">
        <v>104</v>
      </c>
      <c r="E290" s="472" t="s">
        <v>122</v>
      </c>
      <c r="F290" s="486">
        <v>50</v>
      </c>
      <c r="G290" s="611">
        <v>0.6</v>
      </c>
      <c r="H290" s="829">
        <f t="shared" si="24"/>
        <v>1.7045454545454544E-2</v>
      </c>
      <c r="I290" s="1">
        <f t="shared" si="20"/>
        <v>3.912023005428146</v>
      </c>
      <c r="J290" s="1">
        <f t="shared" si="21"/>
        <v>-0.51082562376599072</v>
      </c>
      <c r="K290" s="1">
        <f t="shared" si="22"/>
        <v>-4.0718717063700423</v>
      </c>
    </row>
    <row r="291" spans="1:11">
      <c r="A291" s="483">
        <f t="shared" si="23"/>
        <v>285</v>
      </c>
      <c r="B291" s="485">
        <v>33024</v>
      </c>
      <c r="C291" s="473">
        <v>0.92708333333333337</v>
      </c>
      <c r="D291" s="484" t="s">
        <v>111</v>
      </c>
      <c r="E291" s="472" t="s">
        <v>122</v>
      </c>
      <c r="F291" s="486">
        <v>77</v>
      </c>
      <c r="G291" s="611">
        <v>0.6</v>
      </c>
      <c r="H291" s="829">
        <f t="shared" si="24"/>
        <v>2.6249999999999999E-2</v>
      </c>
      <c r="I291" s="1">
        <f t="shared" si="20"/>
        <v>4.3438054218536841</v>
      </c>
      <c r="J291" s="1">
        <f t="shared" si="21"/>
        <v>-0.51082562376599072</v>
      </c>
      <c r="K291" s="1">
        <f t="shared" si="22"/>
        <v>-3.6400892899445045</v>
      </c>
    </row>
    <row r="292" spans="1:11">
      <c r="A292" s="483">
        <f t="shared" si="23"/>
        <v>286</v>
      </c>
      <c r="B292" s="485">
        <v>33024</v>
      </c>
      <c r="C292" s="473">
        <v>0.94513888888888886</v>
      </c>
      <c r="D292" s="484" t="s">
        <v>111</v>
      </c>
      <c r="E292" s="472" t="s">
        <v>122</v>
      </c>
      <c r="F292" s="486">
        <v>70</v>
      </c>
      <c r="G292" s="611">
        <v>0.5</v>
      </c>
      <c r="H292" s="829">
        <f t="shared" si="24"/>
        <v>1.9886363636363636E-2</v>
      </c>
      <c r="I292" s="1">
        <f t="shared" si="20"/>
        <v>4.2484952420493594</v>
      </c>
      <c r="J292" s="1">
        <f t="shared" si="21"/>
        <v>-0.69314718055994529</v>
      </c>
      <c r="K292" s="1">
        <f t="shared" si="22"/>
        <v>-3.9177210265427838</v>
      </c>
    </row>
    <row r="293" spans="1:11">
      <c r="A293" s="483">
        <f t="shared" si="23"/>
        <v>287</v>
      </c>
      <c r="B293" s="485">
        <v>33024</v>
      </c>
      <c r="C293" s="473">
        <v>0.97430555555555554</v>
      </c>
      <c r="D293" s="484" t="s">
        <v>116</v>
      </c>
      <c r="E293" s="472" t="s">
        <v>122</v>
      </c>
      <c r="F293" s="486">
        <v>80</v>
      </c>
      <c r="G293" s="611">
        <v>0.8</v>
      </c>
      <c r="H293" s="829">
        <f t="shared" si="24"/>
        <v>3.6363636363636369E-2</v>
      </c>
      <c r="I293" s="1">
        <f t="shared" si="20"/>
        <v>4.3820266346738812</v>
      </c>
      <c r="J293" s="1">
        <f t="shared" si="21"/>
        <v>-0.22314355131420971</v>
      </c>
      <c r="K293" s="1">
        <f t="shared" si="22"/>
        <v>-3.3141860046725253</v>
      </c>
    </row>
    <row r="294" spans="1:11">
      <c r="A294" s="483">
        <f t="shared" si="23"/>
        <v>288</v>
      </c>
      <c r="B294" s="485">
        <v>33024</v>
      </c>
      <c r="C294" s="473">
        <v>0.99236111111111114</v>
      </c>
      <c r="D294" s="484" t="s">
        <v>116</v>
      </c>
      <c r="E294" s="472" t="s">
        <v>122</v>
      </c>
      <c r="F294" s="486">
        <v>67</v>
      </c>
      <c r="G294" s="611">
        <v>0.6</v>
      </c>
      <c r="H294" s="829">
        <f t="shared" si="24"/>
        <v>2.2840909090909092E-2</v>
      </c>
      <c r="I294" s="1">
        <f t="shared" si="20"/>
        <v>4.2046926193909657</v>
      </c>
      <c r="J294" s="1">
        <f t="shared" si="21"/>
        <v>-0.51082562376599072</v>
      </c>
      <c r="K294" s="1">
        <f t="shared" si="22"/>
        <v>-3.779202092407222</v>
      </c>
    </row>
    <row r="295" spans="1:11">
      <c r="A295" s="483">
        <f t="shared" si="23"/>
        <v>289</v>
      </c>
      <c r="B295" s="485">
        <v>33032</v>
      </c>
      <c r="C295" s="473">
        <v>0.76875000000000004</v>
      </c>
      <c r="D295" s="484" t="s">
        <v>115</v>
      </c>
      <c r="E295" s="472" t="s">
        <v>122</v>
      </c>
      <c r="F295" s="486">
        <v>80</v>
      </c>
      <c r="G295" s="611">
        <v>1.2</v>
      </c>
      <c r="H295" s="829">
        <f t="shared" si="24"/>
        <v>5.4545454545454543E-2</v>
      </c>
      <c r="I295" s="1">
        <f t="shared" si="20"/>
        <v>4.3820266346738812</v>
      </c>
      <c r="J295" s="1">
        <f t="shared" si="21"/>
        <v>0.18232155679395459</v>
      </c>
      <c r="K295" s="1">
        <f t="shared" si="22"/>
        <v>-2.9087208965643612</v>
      </c>
    </row>
    <row r="296" spans="1:11">
      <c r="A296" s="483">
        <f t="shared" si="23"/>
        <v>290</v>
      </c>
      <c r="B296" s="485">
        <v>33032</v>
      </c>
      <c r="C296" s="473">
        <v>0.77083333333333337</v>
      </c>
      <c r="D296" s="484" t="s">
        <v>114</v>
      </c>
      <c r="E296" s="472" t="s">
        <v>122</v>
      </c>
      <c r="F296" s="486">
        <v>70</v>
      </c>
      <c r="G296" s="611">
        <v>0.8</v>
      </c>
      <c r="H296" s="829">
        <f t="shared" si="24"/>
        <v>3.1818181818181822E-2</v>
      </c>
      <c r="I296" s="1">
        <f t="shared" si="20"/>
        <v>4.2484952420493594</v>
      </c>
      <c r="J296" s="1">
        <f t="shared" si="21"/>
        <v>-0.22314355131420971</v>
      </c>
      <c r="K296" s="1">
        <f t="shared" si="22"/>
        <v>-3.4477173972970481</v>
      </c>
    </row>
    <row r="297" spans="1:11">
      <c r="A297" s="483">
        <f t="shared" si="23"/>
        <v>291</v>
      </c>
      <c r="B297" s="485">
        <v>33032</v>
      </c>
      <c r="C297" s="473">
        <v>0.78263888888888899</v>
      </c>
      <c r="D297" s="484" t="s">
        <v>114</v>
      </c>
      <c r="E297" s="472" t="s">
        <v>122</v>
      </c>
      <c r="F297" s="486">
        <v>70</v>
      </c>
      <c r="G297" s="611">
        <v>1.1000000000000001</v>
      </c>
      <c r="H297" s="829">
        <f t="shared" si="24"/>
        <v>4.3750000000000004E-2</v>
      </c>
      <c r="I297" s="1">
        <f t="shared" si="20"/>
        <v>4.2484952420493594</v>
      </c>
      <c r="J297" s="1">
        <f t="shared" si="21"/>
        <v>9.5310179804324935E-2</v>
      </c>
      <c r="K297" s="1">
        <f t="shared" si="22"/>
        <v>-3.1292636661785136</v>
      </c>
    </row>
    <row r="298" spans="1:11">
      <c r="A298" s="483">
        <f t="shared" si="23"/>
        <v>292</v>
      </c>
      <c r="B298" s="485">
        <v>33032</v>
      </c>
      <c r="C298" s="473">
        <v>0.78402777777777777</v>
      </c>
      <c r="D298" s="484" t="s">
        <v>114</v>
      </c>
      <c r="E298" s="472" t="s">
        <v>122</v>
      </c>
      <c r="F298" s="486">
        <v>60</v>
      </c>
      <c r="G298" s="611">
        <v>0.9</v>
      </c>
      <c r="H298" s="829">
        <f t="shared" si="24"/>
        <v>3.0681818181818182E-2</v>
      </c>
      <c r="I298" s="1">
        <f t="shared" si="20"/>
        <v>4.0943445622221004</v>
      </c>
      <c r="J298" s="1">
        <f t="shared" si="21"/>
        <v>-0.10536051565782628</v>
      </c>
      <c r="K298" s="1">
        <f t="shared" si="22"/>
        <v>-3.4840850414679232</v>
      </c>
    </row>
    <row r="299" spans="1:11">
      <c r="A299" s="483">
        <f t="shared" si="23"/>
        <v>293</v>
      </c>
      <c r="B299" s="485">
        <v>33032</v>
      </c>
      <c r="C299" s="473">
        <v>0.80763888888888891</v>
      </c>
      <c r="D299" s="484" t="s">
        <v>114</v>
      </c>
      <c r="E299" s="472" t="s">
        <v>122</v>
      </c>
      <c r="F299" s="486">
        <v>60</v>
      </c>
      <c r="G299" s="611">
        <v>1</v>
      </c>
      <c r="H299" s="829">
        <f t="shared" si="24"/>
        <v>3.4090909090909088E-2</v>
      </c>
      <c r="I299" s="1">
        <f t="shared" si="20"/>
        <v>4.0943445622221004</v>
      </c>
      <c r="J299" s="1">
        <f t="shared" si="21"/>
        <v>0</v>
      </c>
      <c r="K299" s="1">
        <f t="shared" si="22"/>
        <v>-3.3787245258100969</v>
      </c>
    </row>
    <row r="300" spans="1:11">
      <c r="A300" s="483">
        <f t="shared" si="23"/>
        <v>294</v>
      </c>
      <c r="B300" s="485">
        <v>33032</v>
      </c>
      <c r="C300" s="473">
        <v>0.82361111111111107</v>
      </c>
      <c r="D300" s="484" t="s">
        <v>114</v>
      </c>
      <c r="E300" s="472" t="s">
        <v>122</v>
      </c>
      <c r="F300" s="486">
        <v>80</v>
      </c>
      <c r="G300" s="611">
        <v>1.2</v>
      </c>
      <c r="H300" s="829">
        <f t="shared" si="24"/>
        <v>5.4545454545454543E-2</v>
      </c>
      <c r="I300" s="1">
        <f t="shared" si="20"/>
        <v>4.3820266346738812</v>
      </c>
      <c r="J300" s="1">
        <f t="shared" si="21"/>
        <v>0.18232155679395459</v>
      </c>
      <c r="K300" s="1">
        <f t="shared" si="22"/>
        <v>-2.9087208965643612</v>
      </c>
    </row>
    <row r="301" spans="1:11">
      <c r="A301" s="483">
        <f t="shared" si="23"/>
        <v>295</v>
      </c>
      <c r="B301" s="485">
        <v>33032</v>
      </c>
      <c r="C301" s="473">
        <v>0.83680555555555547</v>
      </c>
      <c r="D301" s="484" t="s">
        <v>114</v>
      </c>
      <c r="E301" s="472" t="s">
        <v>122</v>
      </c>
      <c r="F301" s="486">
        <v>60</v>
      </c>
      <c r="G301" s="611">
        <v>1.2</v>
      </c>
      <c r="H301" s="829">
        <f t="shared" si="24"/>
        <v>4.0909090909090902E-2</v>
      </c>
      <c r="I301" s="1">
        <f t="shared" si="20"/>
        <v>4.0943445622221004</v>
      </c>
      <c r="J301" s="1">
        <f t="shared" si="21"/>
        <v>0.18232155679395459</v>
      </c>
      <c r="K301" s="1">
        <f t="shared" si="22"/>
        <v>-3.1964029690161424</v>
      </c>
    </row>
    <row r="302" spans="1:11">
      <c r="A302" s="483">
        <f t="shared" si="23"/>
        <v>296</v>
      </c>
      <c r="B302" s="485">
        <v>33032</v>
      </c>
      <c r="C302" s="473">
        <v>0.84722222222222221</v>
      </c>
      <c r="D302" s="484" t="s">
        <v>115</v>
      </c>
      <c r="E302" s="472" t="s">
        <v>122</v>
      </c>
      <c r="F302" s="486">
        <v>70</v>
      </c>
      <c r="G302" s="611">
        <v>1.8</v>
      </c>
      <c r="H302" s="829">
        <f t="shared" si="24"/>
        <v>7.1590909090909094E-2</v>
      </c>
      <c r="I302" s="1">
        <f t="shared" si="20"/>
        <v>4.2484952420493594</v>
      </c>
      <c r="J302" s="1">
        <f t="shared" si="21"/>
        <v>0.58778666490211906</v>
      </c>
      <c r="K302" s="1">
        <f t="shared" si="22"/>
        <v>-2.6367871810807193</v>
      </c>
    </row>
    <row r="303" spans="1:11">
      <c r="A303" s="483">
        <f t="shared" si="23"/>
        <v>297</v>
      </c>
      <c r="B303" s="485">
        <v>33038</v>
      </c>
      <c r="C303" s="473">
        <v>0.65555555555555556</v>
      </c>
      <c r="D303" s="484" t="s">
        <v>110</v>
      </c>
      <c r="E303" s="472" t="s">
        <v>122</v>
      </c>
      <c r="F303" s="486">
        <v>73</v>
      </c>
      <c r="G303" s="611">
        <v>0.7</v>
      </c>
      <c r="H303" s="829">
        <f t="shared" si="24"/>
        <v>2.9034090909090909E-2</v>
      </c>
      <c r="I303" s="1">
        <f t="shared" si="20"/>
        <v>4.290459441148391</v>
      </c>
      <c r="J303" s="1">
        <f t="shared" si="21"/>
        <v>-0.35667494393873245</v>
      </c>
      <c r="K303" s="1">
        <f t="shared" si="22"/>
        <v>-3.5392845908225388</v>
      </c>
    </row>
    <row r="304" spans="1:11">
      <c r="A304" s="483">
        <f t="shared" si="23"/>
        <v>298</v>
      </c>
      <c r="B304" s="485">
        <v>33069</v>
      </c>
      <c r="C304" s="473">
        <v>0.6333333333333333</v>
      </c>
      <c r="D304" s="484" t="s">
        <v>114</v>
      </c>
      <c r="E304" s="472" t="s">
        <v>122</v>
      </c>
      <c r="F304" s="486">
        <v>60</v>
      </c>
      <c r="G304" s="611">
        <v>1.2</v>
      </c>
      <c r="H304" s="829">
        <f t="shared" si="24"/>
        <v>4.0909090909090902E-2</v>
      </c>
      <c r="I304" s="1">
        <f t="shared" si="20"/>
        <v>4.0943445622221004</v>
      </c>
      <c r="J304" s="1">
        <f t="shared" si="21"/>
        <v>0.18232155679395459</v>
      </c>
      <c r="K304" s="1">
        <f t="shared" si="22"/>
        <v>-3.1964029690161424</v>
      </c>
    </row>
    <row r="305" spans="1:11">
      <c r="A305" s="483">
        <f t="shared" si="23"/>
        <v>299</v>
      </c>
      <c r="B305" s="485">
        <v>33069</v>
      </c>
      <c r="C305" s="473">
        <v>0.64583333333333337</v>
      </c>
      <c r="D305" s="484" t="s">
        <v>114</v>
      </c>
      <c r="E305" s="472" t="s">
        <v>122</v>
      </c>
      <c r="F305" s="486">
        <v>73</v>
      </c>
      <c r="G305" s="611">
        <v>1.5</v>
      </c>
      <c r="H305" s="829">
        <f t="shared" si="24"/>
        <v>6.2215909090909099E-2</v>
      </c>
      <c r="I305" s="1">
        <f t="shared" si="20"/>
        <v>4.290459441148391</v>
      </c>
      <c r="J305" s="1">
        <f t="shared" si="21"/>
        <v>0.40546510810816438</v>
      </c>
      <c r="K305" s="1">
        <f t="shared" si="22"/>
        <v>-2.7771445387756417</v>
      </c>
    </row>
    <row r="306" spans="1:11">
      <c r="A306" s="483">
        <f t="shared" si="23"/>
        <v>300</v>
      </c>
      <c r="B306" s="485">
        <v>33069</v>
      </c>
      <c r="C306" s="473">
        <v>0.69027777777777777</v>
      </c>
      <c r="D306" s="484" t="s">
        <v>114</v>
      </c>
      <c r="E306" s="472" t="s">
        <v>122</v>
      </c>
      <c r="F306" s="486">
        <v>100</v>
      </c>
      <c r="G306" s="611">
        <v>1.9</v>
      </c>
      <c r="H306" s="829">
        <f t="shared" si="24"/>
        <v>0.10795454545454544</v>
      </c>
      <c r="I306" s="1">
        <f t="shared" si="20"/>
        <v>4.6051701859880918</v>
      </c>
      <c r="J306" s="1">
        <f t="shared" si="21"/>
        <v>0.64185388617239469</v>
      </c>
      <c r="K306" s="1">
        <f t="shared" si="22"/>
        <v>-2.2260450158717116</v>
      </c>
    </row>
    <row r="307" spans="1:11">
      <c r="A307" s="483">
        <f t="shared" si="23"/>
        <v>301</v>
      </c>
      <c r="B307" s="485">
        <v>33069</v>
      </c>
      <c r="C307" s="473">
        <v>0.69791666666666663</v>
      </c>
      <c r="D307" s="484" t="s">
        <v>101</v>
      </c>
      <c r="E307" s="472" t="s">
        <v>122</v>
      </c>
      <c r="F307" s="486">
        <v>20</v>
      </c>
      <c r="G307" s="611">
        <v>0.1</v>
      </c>
      <c r="H307" s="829">
        <f t="shared" si="24"/>
        <v>1.1363636363636365E-3</v>
      </c>
      <c r="I307" s="1">
        <f t="shared" si="20"/>
        <v>2.9957322735539909</v>
      </c>
      <c r="J307" s="1">
        <f t="shared" si="21"/>
        <v>-2.3025850929940455</v>
      </c>
      <c r="K307" s="1">
        <f t="shared" si="22"/>
        <v>-6.7799219074722519</v>
      </c>
    </row>
    <row r="308" spans="1:11">
      <c r="A308" s="483">
        <f t="shared" si="23"/>
        <v>302</v>
      </c>
      <c r="B308" s="485">
        <v>33368</v>
      </c>
      <c r="C308" s="473">
        <v>0.80902777777777779</v>
      </c>
      <c r="D308" s="484" t="s">
        <v>102</v>
      </c>
      <c r="E308" s="472" t="s">
        <v>122</v>
      </c>
      <c r="F308" s="486">
        <v>40</v>
      </c>
      <c r="G308" s="611">
        <v>0.2</v>
      </c>
      <c r="H308" s="829">
        <f t="shared" si="24"/>
        <v>4.5454545454545461E-3</v>
      </c>
      <c r="I308" s="1">
        <f t="shared" si="20"/>
        <v>3.6888794541139363</v>
      </c>
      <c r="J308" s="1">
        <f t="shared" si="21"/>
        <v>-1.6094379124341003</v>
      </c>
      <c r="K308" s="1">
        <f t="shared" si="22"/>
        <v>-5.3936275463523611</v>
      </c>
    </row>
    <row r="309" spans="1:11">
      <c r="A309" s="483">
        <f t="shared" si="23"/>
        <v>303</v>
      </c>
      <c r="B309" s="485">
        <v>33369</v>
      </c>
      <c r="C309" s="473">
        <v>0.79305555555555562</v>
      </c>
      <c r="D309" s="484" t="s">
        <v>99</v>
      </c>
      <c r="E309" s="472" t="s">
        <v>122</v>
      </c>
      <c r="F309" s="486">
        <v>70</v>
      </c>
      <c r="G309" s="611">
        <v>0.5</v>
      </c>
      <c r="H309" s="829">
        <f t="shared" si="24"/>
        <v>1.9886363636363636E-2</v>
      </c>
      <c r="I309" s="1">
        <f t="shared" si="20"/>
        <v>4.2484952420493594</v>
      </c>
      <c r="J309" s="1">
        <f t="shared" si="21"/>
        <v>-0.69314718055994529</v>
      </c>
      <c r="K309" s="1">
        <f t="shared" si="22"/>
        <v>-3.9177210265427838</v>
      </c>
    </row>
    <row r="310" spans="1:11">
      <c r="A310" s="483">
        <f t="shared" si="23"/>
        <v>304</v>
      </c>
      <c r="B310" s="485">
        <v>33369</v>
      </c>
      <c r="C310" s="473">
        <v>0.8125</v>
      </c>
      <c r="D310" s="484" t="s">
        <v>118</v>
      </c>
      <c r="E310" s="472" t="s">
        <v>122</v>
      </c>
      <c r="F310" s="486">
        <v>30</v>
      </c>
      <c r="G310" s="611">
        <v>0.1</v>
      </c>
      <c r="H310" s="829">
        <f t="shared" si="24"/>
        <v>1.7045454545454545E-3</v>
      </c>
      <c r="I310" s="1">
        <f t="shared" si="20"/>
        <v>3.4011973816621555</v>
      </c>
      <c r="J310" s="1">
        <f t="shared" si="21"/>
        <v>-2.3025850929940455</v>
      </c>
      <c r="K310" s="1">
        <f t="shared" si="22"/>
        <v>-6.3744567993640882</v>
      </c>
    </row>
    <row r="311" spans="1:11">
      <c r="A311" s="483">
        <f t="shared" si="23"/>
        <v>305</v>
      </c>
      <c r="B311" s="485">
        <v>33369</v>
      </c>
      <c r="C311" s="473">
        <v>0.82291666666666663</v>
      </c>
      <c r="D311" s="484" t="s">
        <v>118</v>
      </c>
      <c r="E311" s="472" t="s">
        <v>122</v>
      </c>
      <c r="F311" s="486">
        <v>30</v>
      </c>
      <c r="G311" s="611">
        <v>0.2</v>
      </c>
      <c r="H311" s="829">
        <f t="shared" si="24"/>
        <v>3.4090909090909089E-3</v>
      </c>
      <c r="I311" s="1">
        <f t="shared" si="20"/>
        <v>3.4011973816621555</v>
      </c>
      <c r="J311" s="1">
        <f t="shared" si="21"/>
        <v>-1.6094379124341003</v>
      </c>
      <c r="K311" s="1">
        <f t="shared" si="22"/>
        <v>-5.6813096188041428</v>
      </c>
    </row>
    <row r="312" spans="1:11">
      <c r="A312" s="483">
        <f t="shared" si="23"/>
        <v>306</v>
      </c>
      <c r="B312" s="485">
        <v>33371</v>
      </c>
      <c r="C312" s="473">
        <v>0.7</v>
      </c>
      <c r="D312" s="484" t="s">
        <v>109</v>
      </c>
      <c r="E312" s="472" t="s">
        <v>122</v>
      </c>
      <c r="F312" s="486">
        <v>30</v>
      </c>
      <c r="G312" s="611">
        <v>0.2</v>
      </c>
      <c r="H312" s="829">
        <f t="shared" si="24"/>
        <v>3.4090909090909089E-3</v>
      </c>
      <c r="I312" s="1">
        <f t="shared" si="20"/>
        <v>3.4011973816621555</v>
      </c>
      <c r="J312" s="1">
        <f t="shared" si="21"/>
        <v>-1.6094379124341003</v>
      </c>
      <c r="K312" s="1">
        <f t="shared" si="22"/>
        <v>-5.6813096188041428</v>
      </c>
    </row>
    <row r="313" spans="1:11">
      <c r="A313" s="483">
        <f t="shared" si="23"/>
        <v>307</v>
      </c>
      <c r="B313" s="485">
        <v>33371</v>
      </c>
      <c r="C313" s="473">
        <v>0.74305555555555547</v>
      </c>
      <c r="D313" s="484" t="s">
        <v>109</v>
      </c>
      <c r="E313" s="472" t="s">
        <v>122</v>
      </c>
      <c r="F313" s="486">
        <v>20</v>
      </c>
      <c r="G313" s="611">
        <v>0.1</v>
      </c>
      <c r="H313" s="829">
        <f t="shared" si="24"/>
        <v>1.1363636363636365E-3</v>
      </c>
      <c r="I313" s="1">
        <f t="shared" si="20"/>
        <v>2.9957322735539909</v>
      </c>
      <c r="J313" s="1">
        <f t="shared" si="21"/>
        <v>-2.3025850929940455</v>
      </c>
      <c r="K313" s="1">
        <f t="shared" si="22"/>
        <v>-6.7799219074722519</v>
      </c>
    </row>
    <row r="314" spans="1:11">
      <c r="A314" s="483">
        <f t="shared" si="23"/>
        <v>308</v>
      </c>
      <c r="B314" s="485">
        <v>33381</v>
      </c>
      <c r="C314" s="473">
        <v>0.72222222222222221</v>
      </c>
      <c r="D314" s="484" t="s">
        <v>100</v>
      </c>
      <c r="E314" s="472" t="s">
        <v>122</v>
      </c>
      <c r="F314" s="486">
        <v>70</v>
      </c>
      <c r="G314" s="611">
        <v>0.1</v>
      </c>
      <c r="H314" s="829">
        <f t="shared" si="24"/>
        <v>3.9772727272727277E-3</v>
      </c>
      <c r="I314" s="1">
        <f t="shared" si="20"/>
        <v>4.2484952420493594</v>
      </c>
      <c r="J314" s="1">
        <f t="shared" si="21"/>
        <v>-2.3025850929940455</v>
      </c>
      <c r="K314" s="1">
        <f t="shared" si="22"/>
        <v>-5.5271589389768838</v>
      </c>
    </row>
    <row r="315" spans="1:11">
      <c r="A315" s="483">
        <f t="shared" si="23"/>
        <v>309</v>
      </c>
      <c r="B315" s="485">
        <v>33381</v>
      </c>
      <c r="C315" s="473">
        <v>0.79513888888888884</v>
      </c>
      <c r="D315" s="484" t="s">
        <v>115</v>
      </c>
      <c r="E315" s="472" t="s">
        <v>122</v>
      </c>
      <c r="F315" s="486">
        <v>20</v>
      </c>
      <c r="G315" s="611">
        <v>0.1</v>
      </c>
      <c r="H315" s="829">
        <f t="shared" si="24"/>
        <v>1.1363636363636365E-3</v>
      </c>
      <c r="I315" s="1">
        <f t="shared" si="20"/>
        <v>2.9957322735539909</v>
      </c>
      <c r="J315" s="1">
        <f t="shared" si="21"/>
        <v>-2.3025850929940455</v>
      </c>
      <c r="K315" s="1">
        <f t="shared" si="22"/>
        <v>-6.7799219074722519</v>
      </c>
    </row>
    <row r="316" spans="1:11">
      <c r="A316" s="483">
        <f t="shared" si="23"/>
        <v>310</v>
      </c>
      <c r="B316" s="485">
        <v>33386</v>
      </c>
      <c r="C316" s="473">
        <v>0.87569444444444444</v>
      </c>
      <c r="D316" s="484" t="s">
        <v>107</v>
      </c>
      <c r="E316" s="472" t="s">
        <v>122</v>
      </c>
      <c r="F316" s="486">
        <v>40</v>
      </c>
      <c r="G316" s="611">
        <v>0.5</v>
      </c>
      <c r="H316" s="829">
        <f t="shared" si="24"/>
        <v>1.1363636363636364E-2</v>
      </c>
      <c r="I316" s="1">
        <f t="shared" si="20"/>
        <v>3.6888794541139363</v>
      </c>
      <c r="J316" s="1">
        <f t="shared" si="21"/>
        <v>-0.69314718055994529</v>
      </c>
      <c r="K316" s="1">
        <f t="shared" si="22"/>
        <v>-4.4773368144782069</v>
      </c>
    </row>
    <row r="317" spans="1:11">
      <c r="A317" s="483">
        <f t="shared" si="23"/>
        <v>311</v>
      </c>
      <c r="B317" s="485">
        <v>33386</v>
      </c>
      <c r="C317" s="473">
        <v>0.88194444444444453</v>
      </c>
      <c r="D317" s="484" t="s">
        <v>107</v>
      </c>
      <c r="E317" s="472" t="s">
        <v>122</v>
      </c>
      <c r="F317" s="486">
        <v>30</v>
      </c>
      <c r="G317" s="611">
        <v>0.1</v>
      </c>
      <c r="H317" s="829">
        <f t="shared" si="24"/>
        <v>1.7045454545454545E-3</v>
      </c>
      <c r="I317" s="1">
        <f t="shared" si="20"/>
        <v>3.4011973816621555</v>
      </c>
      <c r="J317" s="1">
        <f t="shared" si="21"/>
        <v>-2.3025850929940455</v>
      </c>
      <c r="K317" s="1">
        <f t="shared" si="22"/>
        <v>-6.3744567993640882</v>
      </c>
    </row>
    <row r="318" spans="1:11">
      <c r="A318" s="483">
        <f t="shared" si="23"/>
        <v>312</v>
      </c>
      <c r="B318" s="485">
        <v>33387</v>
      </c>
      <c r="C318" s="473">
        <v>0.71666666666666667</v>
      </c>
      <c r="D318" s="484" t="s">
        <v>105</v>
      </c>
      <c r="E318" s="472" t="s">
        <v>122</v>
      </c>
      <c r="F318" s="486">
        <v>60</v>
      </c>
      <c r="G318" s="611">
        <v>0.5</v>
      </c>
      <c r="H318" s="829">
        <f t="shared" si="24"/>
        <v>1.7045454545454544E-2</v>
      </c>
      <c r="I318" s="1">
        <f t="shared" si="20"/>
        <v>4.0943445622221004</v>
      </c>
      <c r="J318" s="1">
        <f t="shared" si="21"/>
        <v>-0.69314718055994529</v>
      </c>
      <c r="K318" s="1">
        <f t="shared" si="22"/>
        <v>-4.0718717063700423</v>
      </c>
    </row>
    <row r="319" spans="1:11">
      <c r="A319" s="483">
        <f t="shared" si="23"/>
        <v>313</v>
      </c>
      <c r="B319" s="485">
        <v>33387</v>
      </c>
      <c r="C319" s="473">
        <v>0.74097222222222225</v>
      </c>
      <c r="D319" s="484" t="s">
        <v>118</v>
      </c>
      <c r="E319" s="472" t="s">
        <v>122</v>
      </c>
      <c r="F319" s="486">
        <v>50</v>
      </c>
      <c r="G319" s="611">
        <v>0.5</v>
      </c>
      <c r="H319" s="829">
        <f t="shared" si="24"/>
        <v>1.4204545454545454E-2</v>
      </c>
      <c r="I319" s="1">
        <f t="shared" si="20"/>
        <v>3.912023005428146</v>
      </c>
      <c r="J319" s="1">
        <f t="shared" si="21"/>
        <v>-0.69314718055994529</v>
      </c>
      <c r="K319" s="1">
        <f t="shared" si="22"/>
        <v>-4.2541932631639972</v>
      </c>
    </row>
    <row r="320" spans="1:11">
      <c r="A320" s="483">
        <f t="shared" si="23"/>
        <v>314</v>
      </c>
      <c r="B320" s="485">
        <v>33387</v>
      </c>
      <c r="C320" s="473">
        <v>0.74375000000000002</v>
      </c>
      <c r="D320" s="484" t="s">
        <v>113</v>
      </c>
      <c r="E320" s="472" t="s">
        <v>122</v>
      </c>
      <c r="F320" s="486">
        <v>60</v>
      </c>
      <c r="G320" s="611">
        <v>2.8</v>
      </c>
      <c r="H320" s="829">
        <f t="shared" si="24"/>
        <v>9.5454545454545445E-2</v>
      </c>
      <c r="I320" s="1">
        <f t="shared" si="20"/>
        <v>4.0943445622221004</v>
      </c>
      <c r="J320" s="1">
        <f t="shared" si="21"/>
        <v>1.0296194171811581</v>
      </c>
      <c r="K320" s="1">
        <f t="shared" si="22"/>
        <v>-2.3491051086289385</v>
      </c>
    </row>
    <row r="321" spans="1:11">
      <c r="A321" s="483">
        <f t="shared" si="23"/>
        <v>315</v>
      </c>
      <c r="B321" s="485">
        <v>33387</v>
      </c>
      <c r="C321" s="473">
        <v>0.75555555555555554</v>
      </c>
      <c r="D321" s="484" t="s">
        <v>109</v>
      </c>
      <c r="E321" s="472" t="s">
        <v>122</v>
      </c>
      <c r="F321" s="486">
        <v>20</v>
      </c>
      <c r="G321" s="611">
        <v>0.1</v>
      </c>
      <c r="H321" s="829">
        <f t="shared" si="24"/>
        <v>1.1363636363636365E-3</v>
      </c>
      <c r="I321" s="1">
        <f t="shared" si="20"/>
        <v>2.9957322735539909</v>
      </c>
      <c r="J321" s="1">
        <f t="shared" si="21"/>
        <v>-2.3025850929940455</v>
      </c>
      <c r="K321" s="1">
        <f t="shared" si="22"/>
        <v>-6.7799219074722519</v>
      </c>
    </row>
    <row r="322" spans="1:11">
      <c r="A322" s="483">
        <f t="shared" si="23"/>
        <v>316</v>
      </c>
      <c r="B322" s="485">
        <v>33387</v>
      </c>
      <c r="C322" s="473">
        <v>0.75694444444444453</v>
      </c>
      <c r="D322" s="484" t="s">
        <v>108</v>
      </c>
      <c r="E322" s="472" t="s">
        <v>122</v>
      </c>
      <c r="F322" s="486">
        <v>40</v>
      </c>
      <c r="G322" s="611">
        <v>2</v>
      </c>
      <c r="H322" s="829">
        <f t="shared" si="24"/>
        <v>4.5454545454545456E-2</v>
      </c>
      <c r="I322" s="1">
        <f t="shared" si="20"/>
        <v>3.6888794541139363</v>
      </c>
      <c r="J322" s="1">
        <f t="shared" si="21"/>
        <v>0.69314718055994529</v>
      </c>
      <c r="K322" s="1">
        <f t="shared" si="22"/>
        <v>-3.0910424533583156</v>
      </c>
    </row>
    <row r="323" spans="1:11">
      <c r="A323" s="483">
        <f t="shared" si="23"/>
        <v>317</v>
      </c>
      <c r="B323" s="485">
        <v>33387</v>
      </c>
      <c r="C323" s="473">
        <v>0.78333333333333333</v>
      </c>
      <c r="D323" s="484" t="s">
        <v>118</v>
      </c>
      <c r="E323" s="472" t="s">
        <v>122</v>
      </c>
      <c r="F323" s="486">
        <v>30</v>
      </c>
      <c r="G323" s="611">
        <v>0.2</v>
      </c>
      <c r="H323" s="829">
        <f t="shared" si="24"/>
        <v>3.4090909090909089E-3</v>
      </c>
      <c r="I323" s="1">
        <f t="shared" si="20"/>
        <v>3.4011973816621555</v>
      </c>
      <c r="J323" s="1">
        <f t="shared" si="21"/>
        <v>-1.6094379124341003</v>
      </c>
      <c r="K323" s="1">
        <f t="shared" si="22"/>
        <v>-5.6813096188041428</v>
      </c>
    </row>
    <row r="324" spans="1:11">
      <c r="A324" s="483">
        <f t="shared" si="23"/>
        <v>318</v>
      </c>
      <c r="B324" s="485">
        <v>33387</v>
      </c>
      <c r="C324" s="473">
        <v>0.8125</v>
      </c>
      <c r="D324" s="484" t="s">
        <v>114</v>
      </c>
      <c r="E324" s="472" t="s">
        <v>122</v>
      </c>
      <c r="F324" s="486">
        <v>20</v>
      </c>
      <c r="G324" s="611">
        <v>0.1</v>
      </c>
      <c r="H324" s="829">
        <f t="shared" si="24"/>
        <v>1.1363636363636365E-3</v>
      </c>
      <c r="I324" s="1">
        <f t="shared" si="20"/>
        <v>2.9957322735539909</v>
      </c>
      <c r="J324" s="1">
        <f t="shared" si="21"/>
        <v>-2.3025850929940455</v>
      </c>
      <c r="K324" s="1">
        <f t="shared" si="22"/>
        <v>-6.7799219074722519</v>
      </c>
    </row>
    <row r="325" spans="1:11">
      <c r="A325" s="483">
        <f t="shared" si="23"/>
        <v>319</v>
      </c>
      <c r="B325" s="485">
        <v>33387</v>
      </c>
      <c r="C325" s="473">
        <v>0.83680555555555547</v>
      </c>
      <c r="D325" s="484" t="s">
        <v>114</v>
      </c>
      <c r="E325" s="472" t="s">
        <v>122</v>
      </c>
      <c r="F325" s="486">
        <v>30</v>
      </c>
      <c r="G325" s="611">
        <v>0.2</v>
      </c>
      <c r="H325" s="829">
        <f t="shared" si="24"/>
        <v>3.4090909090909089E-3</v>
      </c>
      <c r="I325" s="1">
        <f t="shared" si="20"/>
        <v>3.4011973816621555</v>
      </c>
      <c r="J325" s="1">
        <f t="shared" si="21"/>
        <v>-1.6094379124341003</v>
      </c>
      <c r="K325" s="1">
        <f t="shared" si="22"/>
        <v>-5.6813096188041428</v>
      </c>
    </row>
    <row r="326" spans="1:11">
      <c r="A326" s="483">
        <f t="shared" si="23"/>
        <v>320</v>
      </c>
      <c r="B326" s="485">
        <v>33407</v>
      </c>
      <c r="C326" s="473">
        <v>0.73611111111111116</v>
      </c>
      <c r="D326" s="484" t="s">
        <v>101</v>
      </c>
      <c r="E326" s="472" t="s">
        <v>122</v>
      </c>
      <c r="F326" s="486">
        <v>30</v>
      </c>
      <c r="G326" s="611">
        <v>0.5</v>
      </c>
      <c r="H326" s="829">
        <f t="shared" si="24"/>
        <v>8.5227272727272721E-3</v>
      </c>
      <c r="I326" s="1">
        <f t="shared" si="20"/>
        <v>3.4011973816621555</v>
      </c>
      <c r="J326" s="1">
        <f t="shared" si="21"/>
        <v>-0.69314718055994529</v>
      </c>
      <c r="K326" s="1">
        <f t="shared" si="22"/>
        <v>-4.7650188869299877</v>
      </c>
    </row>
    <row r="327" spans="1:11">
      <c r="A327" s="483">
        <f t="shared" si="23"/>
        <v>321</v>
      </c>
      <c r="B327" s="485">
        <v>33710</v>
      </c>
      <c r="C327" s="473">
        <v>0.70138888888888884</v>
      </c>
      <c r="D327" s="484" t="s">
        <v>109</v>
      </c>
      <c r="E327" s="472" t="s">
        <v>122</v>
      </c>
      <c r="F327" s="486">
        <v>13</v>
      </c>
      <c r="G327" s="611">
        <v>0.5</v>
      </c>
      <c r="H327" s="829">
        <f t="shared" si="24"/>
        <v>3.6931818181818181E-3</v>
      </c>
      <c r="I327" s="1">
        <f t="shared" si="20"/>
        <v>2.5649493574615367</v>
      </c>
      <c r="J327" s="1">
        <f t="shared" si="21"/>
        <v>-0.69314718055994529</v>
      </c>
      <c r="K327" s="1">
        <f t="shared" si="22"/>
        <v>-5.6012669111306064</v>
      </c>
    </row>
    <row r="328" spans="1:11">
      <c r="A328" s="483">
        <f t="shared" si="23"/>
        <v>322</v>
      </c>
      <c r="B328" s="485">
        <v>33710</v>
      </c>
      <c r="C328" s="473">
        <v>0.70763888888888893</v>
      </c>
      <c r="D328" s="484" t="s">
        <v>109</v>
      </c>
      <c r="E328" s="472" t="s">
        <v>122</v>
      </c>
      <c r="F328" s="486">
        <v>13</v>
      </c>
      <c r="G328" s="611">
        <v>0.5</v>
      </c>
      <c r="H328" s="829">
        <f t="shared" si="24"/>
        <v>3.6931818181818181E-3</v>
      </c>
      <c r="I328" s="1">
        <f t="shared" ref="I328:I391" si="25">LN(F328)</f>
        <v>2.5649493574615367</v>
      </c>
      <c r="J328" s="1">
        <f t="shared" ref="J328:J391" si="26">LN(G328)</f>
        <v>-0.69314718055994529</v>
      </c>
      <c r="K328" s="1">
        <f t="shared" ref="K328:K391" si="27">LN(H328)</f>
        <v>-5.6012669111306064</v>
      </c>
    </row>
    <row r="329" spans="1:11">
      <c r="A329" s="483">
        <f t="shared" ref="A329:A392" si="28">+A328+1</f>
        <v>323</v>
      </c>
      <c r="B329" s="485">
        <v>33710</v>
      </c>
      <c r="C329" s="473">
        <v>0.71527777777777779</v>
      </c>
      <c r="D329" s="484" t="s">
        <v>114</v>
      </c>
      <c r="E329" s="472" t="s">
        <v>122</v>
      </c>
      <c r="F329" s="486">
        <v>10</v>
      </c>
      <c r="G329" s="611">
        <v>0.5</v>
      </c>
      <c r="H329" s="829">
        <f t="shared" ref="H329:H392" si="29">+(F329/1760)*G329</f>
        <v>2.840909090909091E-3</v>
      </c>
      <c r="I329" s="1">
        <f t="shared" si="25"/>
        <v>2.3025850929940459</v>
      </c>
      <c r="J329" s="1">
        <f t="shared" si="26"/>
        <v>-0.69314718055994529</v>
      </c>
      <c r="K329" s="1">
        <f t="shared" si="27"/>
        <v>-5.8636311755980968</v>
      </c>
    </row>
    <row r="330" spans="1:11">
      <c r="A330" s="483">
        <f t="shared" si="28"/>
        <v>324</v>
      </c>
      <c r="B330" s="485">
        <v>33751</v>
      </c>
      <c r="C330" s="473">
        <v>0.67708333333333337</v>
      </c>
      <c r="D330" s="484" t="s">
        <v>112</v>
      </c>
      <c r="E330" s="472" t="s">
        <v>122</v>
      </c>
      <c r="F330" s="486">
        <v>50</v>
      </c>
      <c r="G330" s="611">
        <v>0.1</v>
      </c>
      <c r="H330" s="829">
        <f t="shared" si="29"/>
        <v>2.840909090909091E-3</v>
      </c>
      <c r="I330" s="1">
        <f t="shared" si="25"/>
        <v>3.912023005428146</v>
      </c>
      <c r="J330" s="1">
        <f t="shared" si="26"/>
        <v>-2.3025850929940455</v>
      </c>
      <c r="K330" s="1">
        <f t="shared" si="27"/>
        <v>-5.8636311755980968</v>
      </c>
    </row>
    <row r="331" spans="1:11">
      <c r="A331" s="483">
        <f t="shared" si="28"/>
        <v>325</v>
      </c>
      <c r="B331" s="485">
        <v>33759</v>
      </c>
      <c r="C331" s="473">
        <v>0.86458333333333337</v>
      </c>
      <c r="D331" s="484" t="s">
        <v>108</v>
      </c>
      <c r="E331" s="472" t="s">
        <v>122</v>
      </c>
      <c r="F331" s="486">
        <v>13</v>
      </c>
      <c r="G331" s="611">
        <v>0.5</v>
      </c>
      <c r="H331" s="829">
        <f t="shared" si="29"/>
        <v>3.6931818181818181E-3</v>
      </c>
      <c r="I331" s="1">
        <f t="shared" si="25"/>
        <v>2.5649493574615367</v>
      </c>
      <c r="J331" s="1">
        <f t="shared" si="26"/>
        <v>-0.69314718055994529</v>
      </c>
      <c r="K331" s="1">
        <f t="shared" si="27"/>
        <v>-5.6012669111306064</v>
      </c>
    </row>
    <row r="332" spans="1:11">
      <c r="A332" s="483">
        <f t="shared" si="28"/>
        <v>326</v>
      </c>
      <c r="B332" s="485">
        <v>33759</v>
      </c>
      <c r="C332" s="473">
        <v>0.90486111111111101</v>
      </c>
      <c r="D332" s="484" t="s">
        <v>108</v>
      </c>
      <c r="E332" s="472" t="s">
        <v>122</v>
      </c>
      <c r="F332" s="486">
        <v>13</v>
      </c>
      <c r="G332" s="611">
        <v>0.5</v>
      </c>
      <c r="H332" s="829">
        <f t="shared" si="29"/>
        <v>3.6931818181818181E-3</v>
      </c>
      <c r="I332" s="1">
        <f t="shared" si="25"/>
        <v>2.5649493574615367</v>
      </c>
      <c r="J332" s="1">
        <f t="shared" si="26"/>
        <v>-0.69314718055994529</v>
      </c>
      <c r="K332" s="1">
        <f t="shared" si="27"/>
        <v>-5.6012669111306064</v>
      </c>
    </row>
    <row r="333" spans="1:11">
      <c r="A333" s="483">
        <f t="shared" si="28"/>
        <v>327</v>
      </c>
      <c r="B333" s="485">
        <v>33759</v>
      </c>
      <c r="C333" s="473">
        <v>0.92152777777777783</v>
      </c>
      <c r="D333" s="484" t="s">
        <v>108</v>
      </c>
      <c r="E333" s="472" t="s">
        <v>122</v>
      </c>
      <c r="F333" s="486">
        <v>13</v>
      </c>
      <c r="G333" s="611">
        <v>0.5</v>
      </c>
      <c r="H333" s="829">
        <f t="shared" si="29"/>
        <v>3.6931818181818181E-3</v>
      </c>
      <c r="I333" s="1">
        <f t="shared" si="25"/>
        <v>2.5649493574615367</v>
      </c>
      <c r="J333" s="1">
        <f t="shared" si="26"/>
        <v>-0.69314718055994529</v>
      </c>
      <c r="K333" s="1">
        <f t="shared" si="27"/>
        <v>-5.6012669111306064</v>
      </c>
    </row>
    <row r="334" spans="1:11">
      <c r="A334" s="483">
        <f t="shared" si="28"/>
        <v>328</v>
      </c>
      <c r="B334" s="485">
        <v>33766</v>
      </c>
      <c r="C334" s="473">
        <v>0.66041666666666665</v>
      </c>
      <c r="D334" s="484" t="s">
        <v>118</v>
      </c>
      <c r="E334" s="472" t="s">
        <v>122</v>
      </c>
      <c r="F334" s="486">
        <v>13</v>
      </c>
      <c r="G334" s="611">
        <v>0.5</v>
      </c>
      <c r="H334" s="829">
        <f t="shared" si="29"/>
        <v>3.6931818181818181E-3</v>
      </c>
      <c r="I334" s="1">
        <f t="shared" si="25"/>
        <v>2.5649493574615367</v>
      </c>
      <c r="J334" s="1">
        <f t="shared" si="26"/>
        <v>-0.69314718055994529</v>
      </c>
      <c r="K334" s="1">
        <f t="shared" si="27"/>
        <v>-5.6012669111306064</v>
      </c>
    </row>
    <row r="335" spans="1:11">
      <c r="A335" s="483">
        <f t="shared" si="28"/>
        <v>329</v>
      </c>
      <c r="B335" s="485">
        <v>33766</v>
      </c>
      <c r="C335" s="473">
        <v>0.66111111111111109</v>
      </c>
      <c r="D335" s="484" t="s">
        <v>118</v>
      </c>
      <c r="E335" s="472" t="s">
        <v>122</v>
      </c>
      <c r="F335" s="486">
        <v>13</v>
      </c>
      <c r="G335" s="611">
        <v>0.5</v>
      </c>
      <c r="H335" s="829">
        <f t="shared" si="29"/>
        <v>3.6931818181818181E-3</v>
      </c>
      <c r="I335" s="1">
        <f t="shared" si="25"/>
        <v>2.5649493574615367</v>
      </c>
      <c r="J335" s="1">
        <f t="shared" si="26"/>
        <v>-0.69314718055994529</v>
      </c>
      <c r="K335" s="1">
        <f t="shared" si="27"/>
        <v>-5.6012669111306064</v>
      </c>
    </row>
    <row r="336" spans="1:11">
      <c r="A336" s="483">
        <f t="shared" si="28"/>
        <v>330</v>
      </c>
      <c r="B336" s="485">
        <v>33773</v>
      </c>
      <c r="C336" s="473">
        <v>0.70138888888888884</v>
      </c>
      <c r="D336" s="484" t="s">
        <v>105</v>
      </c>
      <c r="E336" s="472" t="s">
        <v>122</v>
      </c>
      <c r="F336" s="486">
        <v>7</v>
      </c>
      <c r="G336" s="611">
        <v>0.3</v>
      </c>
      <c r="H336" s="829">
        <f t="shared" si="29"/>
        <v>1.1931818181818181E-3</v>
      </c>
      <c r="I336" s="1">
        <f t="shared" si="25"/>
        <v>1.9459101490553132</v>
      </c>
      <c r="J336" s="1">
        <f t="shared" si="26"/>
        <v>-1.2039728043259361</v>
      </c>
      <c r="K336" s="1">
        <f t="shared" si="27"/>
        <v>-6.7311317433028206</v>
      </c>
    </row>
    <row r="337" spans="1:11">
      <c r="A337" s="483">
        <f t="shared" si="28"/>
        <v>331</v>
      </c>
      <c r="B337" s="485">
        <v>33774</v>
      </c>
      <c r="C337" s="473">
        <v>0.80625000000000002</v>
      </c>
      <c r="D337" s="484" t="s">
        <v>121</v>
      </c>
      <c r="E337" s="472" t="s">
        <v>122</v>
      </c>
      <c r="F337" s="486">
        <v>5</v>
      </c>
      <c r="G337" s="611">
        <v>0.1</v>
      </c>
      <c r="H337" s="829">
        <f t="shared" si="29"/>
        <v>2.8409090909090913E-4</v>
      </c>
      <c r="I337" s="1">
        <f t="shared" si="25"/>
        <v>1.6094379124341003</v>
      </c>
      <c r="J337" s="1">
        <f t="shared" si="26"/>
        <v>-2.3025850929940455</v>
      </c>
      <c r="K337" s="1">
        <f t="shared" si="27"/>
        <v>-8.1662162685921427</v>
      </c>
    </row>
    <row r="338" spans="1:11">
      <c r="A338" s="483">
        <f t="shared" si="28"/>
        <v>332</v>
      </c>
      <c r="B338" s="485">
        <v>33781</v>
      </c>
      <c r="C338" s="473">
        <v>0.82291666666666663</v>
      </c>
      <c r="D338" s="484" t="s">
        <v>100</v>
      </c>
      <c r="E338" s="472" t="s">
        <v>122</v>
      </c>
      <c r="F338" s="486">
        <v>10</v>
      </c>
      <c r="G338" s="611">
        <v>0.2</v>
      </c>
      <c r="H338" s="829">
        <f t="shared" si="29"/>
        <v>1.1363636363636365E-3</v>
      </c>
      <c r="I338" s="1">
        <f t="shared" si="25"/>
        <v>2.3025850929940459</v>
      </c>
      <c r="J338" s="1">
        <f t="shared" si="26"/>
        <v>-1.6094379124341003</v>
      </c>
      <c r="K338" s="1">
        <f t="shared" si="27"/>
        <v>-6.7799219074722519</v>
      </c>
    </row>
    <row r="339" spans="1:11">
      <c r="A339" s="483">
        <f t="shared" si="28"/>
        <v>333</v>
      </c>
      <c r="B339" s="485">
        <v>33782</v>
      </c>
      <c r="C339" s="473">
        <v>0.72083333333333333</v>
      </c>
      <c r="D339" s="484" t="s">
        <v>108</v>
      </c>
      <c r="E339" s="472" t="s">
        <v>122</v>
      </c>
      <c r="F339" s="486">
        <v>10</v>
      </c>
      <c r="G339" s="611">
        <v>0.1</v>
      </c>
      <c r="H339" s="829">
        <f t="shared" si="29"/>
        <v>5.6818181818181826E-4</v>
      </c>
      <c r="I339" s="1">
        <f t="shared" si="25"/>
        <v>2.3025850929940459</v>
      </c>
      <c r="J339" s="1">
        <f t="shared" si="26"/>
        <v>-2.3025850929940455</v>
      </c>
      <c r="K339" s="1">
        <f t="shared" si="27"/>
        <v>-7.4730690880321973</v>
      </c>
    </row>
    <row r="340" spans="1:11">
      <c r="A340" s="483">
        <f t="shared" si="28"/>
        <v>334</v>
      </c>
      <c r="B340" s="485">
        <v>34087</v>
      </c>
      <c r="C340" s="473">
        <v>0.7368055555555556</v>
      </c>
      <c r="D340" s="484" t="s">
        <v>112</v>
      </c>
      <c r="E340" s="472" t="s">
        <v>122</v>
      </c>
      <c r="F340" s="486">
        <v>50</v>
      </c>
      <c r="G340" s="611">
        <v>0.2</v>
      </c>
      <c r="H340" s="829">
        <f t="shared" si="29"/>
        <v>5.681818181818182E-3</v>
      </c>
      <c r="I340" s="1">
        <f t="shared" si="25"/>
        <v>3.912023005428146</v>
      </c>
      <c r="J340" s="1">
        <f t="shared" si="26"/>
        <v>-1.6094379124341003</v>
      </c>
      <c r="K340" s="1">
        <f t="shared" si="27"/>
        <v>-5.1704839950381514</v>
      </c>
    </row>
    <row r="341" spans="1:11">
      <c r="A341" s="483">
        <f t="shared" si="28"/>
        <v>335</v>
      </c>
      <c r="B341" s="485">
        <v>34087</v>
      </c>
      <c r="C341" s="473">
        <v>0.74375000000000002</v>
      </c>
      <c r="D341" s="484" t="s">
        <v>113</v>
      </c>
      <c r="E341" s="472" t="s">
        <v>122</v>
      </c>
      <c r="F341" s="486">
        <v>75</v>
      </c>
      <c r="G341" s="611">
        <v>1.5</v>
      </c>
      <c r="H341" s="829">
        <f t="shared" si="29"/>
        <v>6.3920454545454544E-2</v>
      </c>
      <c r="I341" s="1">
        <f t="shared" si="25"/>
        <v>4.3174881135363101</v>
      </c>
      <c r="J341" s="1">
        <f t="shared" si="26"/>
        <v>0.40546510810816438</v>
      </c>
      <c r="K341" s="1">
        <f t="shared" si="27"/>
        <v>-2.7501158663877225</v>
      </c>
    </row>
    <row r="342" spans="1:11">
      <c r="A342" s="483">
        <f t="shared" si="28"/>
        <v>336</v>
      </c>
      <c r="B342" s="485">
        <v>34094</v>
      </c>
      <c r="C342" s="473">
        <v>0.71875</v>
      </c>
      <c r="D342" s="484" t="s">
        <v>104</v>
      </c>
      <c r="E342" s="472" t="s">
        <v>122</v>
      </c>
      <c r="F342" s="486">
        <v>100</v>
      </c>
      <c r="G342" s="611">
        <v>0.5</v>
      </c>
      <c r="H342" s="829">
        <f t="shared" si="29"/>
        <v>2.8409090909090908E-2</v>
      </c>
      <c r="I342" s="1">
        <f t="shared" si="25"/>
        <v>4.6051701859880918</v>
      </c>
      <c r="J342" s="1">
        <f t="shared" si="26"/>
        <v>-0.69314718055994529</v>
      </c>
      <c r="K342" s="1">
        <f t="shared" si="27"/>
        <v>-3.5610460826040513</v>
      </c>
    </row>
    <row r="343" spans="1:11">
      <c r="A343" s="483">
        <f t="shared" si="28"/>
        <v>337</v>
      </c>
      <c r="B343" s="485">
        <v>34094</v>
      </c>
      <c r="C343" s="473">
        <v>0.74652777777777779</v>
      </c>
      <c r="D343" s="484" t="s">
        <v>100</v>
      </c>
      <c r="E343" s="472" t="s">
        <v>122</v>
      </c>
      <c r="F343" s="486">
        <v>150</v>
      </c>
      <c r="G343" s="611">
        <v>1</v>
      </c>
      <c r="H343" s="829">
        <f t="shared" si="29"/>
        <v>8.5227272727272721E-2</v>
      </c>
      <c r="I343" s="1">
        <f t="shared" si="25"/>
        <v>5.0106352940962555</v>
      </c>
      <c r="J343" s="1">
        <f t="shared" si="26"/>
        <v>0</v>
      </c>
      <c r="K343" s="1">
        <f t="shared" si="27"/>
        <v>-2.4624337939359418</v>
      </c>
    </row>
    <row r="344" spans="1:11">
      <c r="A344" s="483">
        <f t="shared" si="28"/>
        <v>338</v>
      </c>
      <c r="B344" s="485">
        <v>34094</v>
      </c>
      <c r="C344" s="473">
        <v>0.78263888888888899</v>
      </c>
      <c r="D344" s="484" t="s">
        <v>100</v>
      </c>
      <c r="E344" s="472" t="s">
        <v>122</v>
      </c>
      <c r="F344" s="486">
        <v>100</v>
      </c>
      <c r="G344" s="611">
        <v>0.5</v>
      </c>
      <c r="H344" s="829">
        <f t="shared" si="29"/>
        <v>2.8409090909090908E-2</v>
      </c>
      <c r="I344" s="1">
        <f t="shared" si="25"/>
        <v>4.6051701859880918</v>
      </c>
      <c r="J344" s="1">
        <f t="shared" si="26"/>
        <v>-0.69314718055994529</v>
      </c>
      <c r="K344" s="1">
        <f t="shared" si="27"/>
        <v>-3.5610460826040513</v>
      </c>
    </row>
    <row r="345" spans="1:11">
      <c r="A345" s="483">
        <f t="shared" si="28"/>
        <v>339</v>
      </c>
      <c r="B345" s="485">
        <v>34094</v>
      </c>
      <c r="C345" s="473">
        <v>0.78472222222222221</v>
      </c>
      <c r="D345" s="484" t="s">
        <v>100</v>
      </c>
      <c r="E345" s="472" t="s">
        <v>122</v>
      </c>
      <c r="F345" s="486">
        <v>150</v>
      </c>
      <c r="G345" s="611">
        <v>2</v>
      </c>
      <c r="H345" s="829">
        <f t="shared" si="29"/>
        <v>0.17045454545454544</v>
      </c>
      <c r="I345" s="1">
        <f t="shared" si="25"/>
        <v>5.0106352940962555</v>
      </c>
      <c r="J345" s="1">
        <f t="shared" si="26"/>
        <v>0.69314718055994529</v>
      </c>
      <c r="K345" s="1">
        <f t="shared" si="27"/>
        <v>-1.7692866133759966</v>
      </c>
    </row>
    <row r="346" spans="1:11">
      <c r="A346" s="483">
        <f t="shared" si="28"/>
        <v>340</v>
      </c>
      <c r="B346" s="485">
        <v>34096</v>
      </c>
      <c r="C346" s="473">
        <v>0.70486111111111116</v>
      </c>
      <c r="D346" s="484" t="s">
        <v>111</v>
      </c>
      <c r="E346" s="472" t="s">
        <v>122</v>
      </c>
      <c r="F346" s="486">
        <v>75</v>
      </c>
      <c r="G346" s="611">
        <v>0.5</v>
      </c>
      <c r="H346" s="829">
        <f t="shared" si="29"/>
        <v>2.130681818181818E-2</v>
      </c>
      <c r="I346" s="1">
        <f t="shared" si="25"/>
        <v>4.3174881135363101</v>
      </c>
      <c r="J346" s="1">
        <f t="shared" si="26"/>
        <v>-0.69314718055994529</v>
      </c>
      <c r="K346" s="1">
        <f t="shared" si="27"/>
        <v>-3.8487281550558325</v>
      </c>
    </row>
    <row r="347" spans="1:11">
      <c r="A347" s="483">
        <f t="shared" si="28"/>
        <v>341</v>
      </c>
      <c r="B347" s="485">
        <v>34096</v>
      </c>
      <c r="C347" s="473">
        <v>0.72986111111111107</v>
      </c>
      <c r="D347" s="484" t="s">
        <v>121</v>
      </c>
      <c r="E347" s="472" t="s">
        <v>122</v>
      </c>
      <c r="F347" s="486">
        <v>100</v>
      </c>
      <c r="G347" s="611">
        <v>1</v>
      </c>
      <c r="H347" s="829">
        <f t="shared" si="29"/>
        <v>5.6818181818181816E-2</v>
      </c>
      <c r="I347" s="1">
        <f t="shared" si="25"/>
        <v>4.6051701859880918</v>
      </c>
      <c r="J347" s="1">
        <f t="shared" si="26"/>
        <v>0</v>
      </c>
      <c r="K347" s="1">
        <f t="shared" si="27"/>
        <v>-2.8678989020441059</v>
      </c>
    </row>
    <row r="348" spans="1:11">
      <c r="A348" s="483">
        <f t="shared" si="28"/>
        <v>342</v>
      </c>
      <c r="B348" s="485">
        <v>34096</v>
      </c>
      <c r="C348" s="473">
        <v>0.73958333333333337</v>
      </c>
      <c r="D348" s="484" t="s">
        <v>121</v>
      </c>
      <c r="E348" s="472" t="s">
        <v>122</v>
      </c>
      <c r="F348" s="486">
        <v>100</v>
      </c>
      <c r="G348" s="611">
        <v>1</v>
      </c>
      <c r="H348" s="829">
        <f t="shared" si="29"/>
        <v>5.6818181818181816E-2</v>
      </c>
      <c r="I348" s="1">
        <f t="shared" si="25"/>
        <v>4.6051701859880918</v>
      </c>
      <c r="J348" s="1">
        <f t="shared" si="26"/>
        <v>0</v>
      </c>
      <c r="K348" s="1">
        <f t="shared" si="27"/>
        <v>-2.8678989020441059</v>
      </c>
    </row>
    <row r="349" spans="1:11">
      <c r="A349" s="483">
        <f t="shared" si="28"/>
        <v>343</v>
      </c>
      <c r="B349" s="485">
        <v>34122</v>
      </c>
      <c r="C349" s="473">
        <v>0.89583333333333337</v>
      </c>
      <c r="D349" s="484" t="s">
        <v>101</v>
      </c>
      <c r="E349" s="472" t="s">
        <v>122</v>
      </c>
      <c r="F349" s="486">
        <v>50</v>
      </c>
      <c r="G349" s="611">
        <v>0.5</v>
      </c>
      <c r="H349" s="829">
        <f t="shared" si="29"/>
        <v>1.4204545454545454E-2</v>
      </c>
      <c r="I349" s="1">
        <f t="shared" si="25"/>
        <v>3.912023005428146</v>
      </c>
      <c r="J349" s="1">
        <f t="shared" si="26"/>
        <v>-0.69314718055994529</v>
      </c>
      <c r="K349" s="1">
        <f t="shared" si="27"/>
        <v>-4.2541932631639972</v>
      </c>
    </row>
    <row r="350" spans="1:11">
      <c r="A350" s="483">
        <f t="shared" si="28"/>
        <v>344</v>
      </c>
      <c r="B350" s="485">
        <v>34157</v>
      </c>
      <c r="C350" s="473">
        <v>0.79166666666666663</v>
      </c>
      <c r="D350" s="484" t="s">
        <v>114</v>
      </c>
      <c r="E350" s="472" t="s">
        <v>122</v>
      </c>
      <c r="F350" s="486">
        <v>50</v>
      </c>
      <c r="G350" s="611">
        <v>0.5</v>
      </c>
      <c r="H350" s="829">
        <f t="shared" si="29"/>
        <v>1.4204545454545454E-2</v>
      </c>
      <c r="I350" s="1">
        <f t="shared" si="25"/>
        <v>3.912023005428146</v>
      </c>
      <c r="J350" s="1">
        <f t="shared" si="26"/>
        <v>-0.69314718055994529</v>
      </c>
      <c r="K350" s="1">
        <f t="shared" si="27"/>
        <v>-4.2541932631639972</v>
      </c>
    </row>
    <row r="351" spans="1:11">
      <c r="A351" s="483">
        <f t="shared" si="28"/>
        <v>345</v>
      </c>
      <c r="B351" s="485">
        <v>34230</v>
      </c>
      <c r="C351" s="473">
        <v>0.7597222222222223</v>
      </c>
      <c r="D351" s="484" t="s">
        <v>101</v>
      </c>
      <c r="E351" s="472" t="s">
        <v>122</v>
      </c>
      <c r="F351" s="486">
        <v>100</v>
      </c>
      <c r="G351" s="611">
        <v>0.5</v>
      </c>
      <c r="H351" s="829">
        <f t="shared" si="29"/>
        <v>2.8409090909090908E-2</v>
      </c>
      <c r="I351" s="1">
        <f t="shared" si="25"/>
        <v>4.6051701859880918</v>
      </c>
      <c r="J351" s="1">
        <f t="shared" si="26"/>
        <v>-0.69314718055994529</v>
      </c>
      <c r="K351" s="1">
        <f t="shared" si="27"/>
        <v>-3.5610460826040513</v>
      </c>
    </row>
    <row r="352" spans="1:11">
      <c r="A352" s="483">
        <f t="shared" si="28"/>
        <v>346</v>
      </c>
      <c r="B352" s="485">
        <v>34463</v>
      </c>
      <c r="C352" s="473">
        <v>0.71527777777777779</v>
      </c>
      <c r="D352" s="484" t="s">
        <v>102</v>
      </c>
      <c r="E352" s="472" t="s">
        <v>122</v>
      </c>
      <c r="F352" s="486">
        <v>25</v>
      </c>
      <c r="G352" s="611">
        <v>1</v>
      </c>
      <c r="H352" s="829">
        <f t="shared" si="29"/>
        <v>1.4204545454545454E-2</v>
      </c>
      <c r="I352" s="1">
        <f t="shared" si="25"/>
        <v>3.2188758248682006</v>
      </c>
      <c r="J352" s="1">
        <f t="shared" si="26"/>
        <v>0</v>
      </c>
      <c r="K352" s="1">
        <f t="shared" si="27"/>
        <v>-4.2541932631639972</v>
      </c>
    </row>
    <row r="353" spans="1:11">
      <c r="A353" s="483">
        <f t="shared" si="28"/>
        <v>347</v>
      </c>
      <c r="B353" s="485">
        <v>34495</v>
      </c>
      <c r="C353" s="473">
        <v>0.8125</v>
      </c>
      <c r="D353" s="484" t="s">
        <v>112</v>
      </c>
      <c r="E353" s="472" t="s">
        <v>122</v>
      </c>
      <c r="F353" s="486">
        <v>50</v>
      </c>
      <c r="G353" s="611">
        <v>1</v>
      </c>
      <c r="H353" s="829">
        <f t="shared" si="29"/>
        <v>2.8409090909090908E-2</v>
      </c>
      <c r="I353" s="1">
        <f t="shared" si="25"/>
        <v>3.912023005428146</v>
      </c>
      <c r="J353" s="1">
        <f t="shared" si="26"/>
        <v>0</v>
      </c>
      <c r="K353" s="1">
        <f t="shared" si="27"/>
        <v>-3.5610460826040513</v>
      </c>
    </row>
    <row r="354" spans="1:11">
      <c r="A354" s="483">
        <f t="shared" si="28"/>
        <v>348</v>
      </c>
      <c r="B354" s="485">
        <v>34514</v>
      </c>
      <c r="C354" s="473">
        <v>0.79861111111111116</v>
      </c>
      <c r="D354" s="484" t="s">
        <v>106</v>
      </c>
      <c r="E354" s="472" t="s">
        <v>122</v>
      </c>
      <c r="F354" s="486">
        <v>25</v>
      </c>
      <c r="G354" s="611">
        <v>0.5</v>
      </c>
      <c r="H354" s="829">
        <f t="shared" si="29"/>
        <v>7.102272727272727E-3</v>
      </c>
      <c r="I354" s="1">
        <f t="shared" si="25"/>
        <v>3.2188758248682006</v>
      </c>
      <c r="J354" s="1">
        <f t="shared" si="26"/>
        <v>-0.69314718055994529</v>
      </c>
      <c r="K354" s="1">
        <f t="shared" si="27"/>
        <v>-4.9473404437239417</v>
      </c>
    </row>
    <row r="355" spans="1:11">
      <c r="A355" s="483">
        <f t="shared" si="28"/>
        <v>349</v>
      </c>
      <c r="B355" s="485">
        <v>34783</v>
      </c>
      <c r="C355" s="473">
        <v>0.76041666666666663</v>
      </c>
      <c r="D355" s="484" t="s">
        <v>101</v>
      </c>
      <c r="E355" s="472" t="s">
        <v>122</v>
      </c>
      <c r="F355" s="486">
        <v>50</v>
      </c>
      <c r="G355" s="611">
        <v>0.5</v>
      </c>
      <c r="H355" s="829">
        <f t="shared" si="29"/>
        <v>1.4204545454545454E-2</v>
      </c>
      <c r="I355" s="1">
        <f t="shared" si="25"/>
        <v>3.912023005428146</v>
      </c>
      <c r="J355" s="1">
        <f t="shared" si="26"/>
        <v>-0.69314718055994529</v>
      </c>
      <c r="K355" s="1">
        <f t="shared" si="27"/>
        <v>-4.2541932631639972</v>
      </c>
    </row>
    <row r="356" spans="1:11">
      <c r="A356" s="483">
        <f t="shared" si="28"/>
        <v>350</v>
      </c>
      <c r="B356" s="485">
        <v>34808</v>
      </c>
      <c r="C356" s="473">
        <v>0.80208333333333337</v>
      </c>
      <c r="D356" s="484" t="s">
        <v>108</v>
      </c>
      <c r="E356" s="472" t="s">
        <v>122</v>
      </c>
      <c r="F356" s="486">
        <v>20</v>
      </c>
      <c r="G356" s="611">
        <v>0.2</v>
      </c>
      <c r="H356" s="829">
        <f t="shared" si="29"/>
        <v>2.2727272727272731E-3</v>
      </c>
      <c r="I356" s="1">
        <f t="shared" si="25"/>
        <v>2.9957322735539909</v>
      </c>
      <c r="J356" s="1">
        <f t="shared" si="26"/>
        <v>-1.6094379124341003</v>
      </c>
      <c r="K356" s="1">
        <f t="shared" si="27"/>
        <v>-6.0867747269123065</v>
      </c>
    </row>
    <row r="357" spans="1:11">
      <c r="A357" s="483">
        <f t="shared" si="28"/>
        <v>351</v>
      </c>
      <c r="B357" s="485">
        <v>34826</v>
      </c>
      <c r="C357" s="473">
        <v>0.2951388888888889</v>
      </c>
      <c r="D357" s="484" t="s">
        <v>104</v>
      </c>
      <c r="E357" s="472" t="s">
        <v>122</v>
      </c>
      <c r="F357" s="486">
        <v>25</v>
      </c>
      <c r="G357" s="611">
        <v>0.2</v>
      </c>
      <c r="H357" s="829">
        <f t="shared" si="29"/>
        <v>2.840909090909091E-3</v>
      </c>
      <c r="I357" s="1">
        <f t="shared" si="25"/>
        <v>3.2188758248682006</v>
      </c>
      <c r="J357" s="1">
        <f t="shared" si="26"/>
        <v>-1.6094379124341003</v>
      </c>
      <c r="K357" s="1">
        <f t="shared" si="27"/>
        <v>-5.8636311755980968</v>
      </c>
    </row>
    <row r="358" spans="1:11">
      <c r="A358" s="483">
        <f t="shared" si="28"/>
        <v>352</v>
      </c>
      <c r="B358" s="485">
        <v>34836</v>
      </c>
      <c r="C358" s="473">
        <v>0.54513888888888895</v>
      </c>
      <c r="D358" s="484" t="s">
        <v>105</v>
      </c>
      <c r="E358" s="472" t="s">
        <v>122</v>
      </c>
      <c r="F358" s="486">
        <v>75</v>
      </c>
      <c r="G358" s="611">
        <v>3</v>
      </c>
      <c r="H358" s="829">
        <f t="shared" si="29"/>
        <v>0.12784090909090909</v>
      </c>
      <c r="I358" s="1">
        <f t="shared" si="25"/>
        <v>4.3174881135363101</v>
      </c>
      <c r="J358" s="1">
        <f t="shared" si="26"/>
        <v>1.0986122886681098</v>
      </c>
      <c r="K358" s="1">
        <f t="shared" si="27"/>
        <v>-2.0569686858277771</v>
      </c>
    </row>
    <row r="359" spans="1:11">
      <c r="A359" s="483">
        <f t="shared" si="28"/>
        <v>353</v>
      </c>
      <c r="B359" s="485">
        <v>34836</v>
      </c>
      <c r="C359" s="473">
        <v>0.59444444444444444</v>
      </c>
      <c r="D359" s="484" t="s">
        <v>101</v>
      </c>
      <c r="E359" s="472" t="s">
        <v>122</v>
      </c>
      <c r="F359" s="486">
        <v>100</v>
      </c>
      <c r="G359" s="611">
        <v>2</v>
      </c>
      <c r="H359" s="829">
        <f t="shared" si="29"/>
        <v>0.11363636363636363</v>
      </c>
      <c r="I359" s="1">
        <f t="shared" si="25"/>
        <v>4.6051701859880918</v>
      </c>
      <c r="J359" s="1">
        <f t="shared" si="26"/>
        <v>0.69314718055994529</v>
      </c>
      <c r="K359" s="1">
        <f t="shared" si="27"/>
        <v>-2.174751721484161</v>
      </c>
    </row>
    <row r="360" spans="1:11">
      <c r="A360" s="483">
        <f t="shared" si="28"/>
        <v>354</v>
      </c>
      <c r="B360" s="485">
        <v>34841</v>
      </c>
      <c r="C360" s="473">
        <v>0.63541666666666663</v>
      </c>
      <c r="D360" s="484" t="s">
        <v>114</v>
      </c>
      <c r="E360" s="472" t="s">
        <v>122</v>
      </c>
      <c r="F360" s="486">
        <v>25</v>
      </c>
      <c r="G360" s="611">
        <v>0.5</v>
      </c>
      <c r="H360" s="829">
        <f t="shared" si="29"/>
        <v>7.102272727272727E-3</v>
      </c>
      <c r="I360" s="1">
        <f t="shared" si="25"/>
        <v>3.2188758248682006</v>
      </c>
      <c r="J360" s="1">
        <f t="shared" si="26"/>
        <v>-0.69314718055994529</v>
      </c>
      <c r="K360" s="1">
        <f t="shared" si="27"/>
        <v>-4.9473404437239417</v>
      </c>
    </row>
    <row r="361" spans="1:11">
      <c r="A361" s="483">
        <f t="shared" si="28"/>
        <v>355</v>
      </c>
      <c r="B361" s="485">
        <v>34841</v>
      </c>
      <c r="C361" s="473">
        <v>0.76249999999999996</v>
      </c>
      <c r="D361" s="484" t="s">
        <v>116</v>
      </c>
      <c r="E361" s="472" t="s">
        <v>122</v>
      </c>
      <c r="F361" s="486">
        <v>50</v>
      </c>
      <c r="G361" s="611">
        <v>1</v>
      </c>
      <c r="H361" s="829">
        <f t="shared" si="29"/>
        <v>2.8409090909090908E-2</v>
      </c>
      <c r="I361" s="1">
        <f t="shared" si="25"/>
        <v>3.912023005428146</v>
      </c>
      <c r="J361" s="1">
        <f t="shared" si="26"/>
        <v>0</v>
      </c>
      <c r="K361" s="1">
        <f t="shared" si="27"/>
        <v>-3.5610460826040513</v>
      </c>
    </row>
    <row r="362" spans="1:11">
      <c r="A362" s="483">
        <f t="shared" si="28"/>
        <v>356</v>
      </c>
      <c r="B362" s="485">
        <v>34841</v>
      </c>
      <c r="C362" s="473">
        <v>0.81597222222222221</v>
      </c>
      <c r="D362" s="484" t="s">
        <v>116</v>
      </c>
      <c r="E362" s="472" t="s">
        <v>122</v>
      </c>
      <c r="F362" s="486">
        <v>25</v>
      </c>
      <c r="G362" s="611">
        <v>0.3</v>
      </c>
      <c r="H362" s="829">
        <f t="shared" si="29"/>
        <v>4.261363636363636E-3</v>
      </c>
      <c r="I362" s="1">
        <f t="shared" si="25"/>
        <v>3.2188758248682006</v>
      </c>
      <c r="J362" s="1">
        <f t="shared" si="26"/>
        <v>-1.2039728043259361</v>
      </c>
      <c r="K362" s="1">
        <f t="shared" si="27"/>
        <v>-5.458166067489933</v>
      </c>
    </row>
    <row r="363" spans="1:11">
      <c r="A363" s="483">
        <f t="shared" si="28"/>
        <v>357</v>
      </c>
      <c r="B363" s="485">
        <v>34841</v>
      </c>
      <c r="C363" s="473">
        <v>0.8340277777777777</v>
      </c>
      <c r="D363" s="484" t="s">
        <v>116</v>
      </c>
      <c r="E363" s="472" t="s">
        <v>122</v>
      </c>
      <c r="F363" s="486">
        <v>75</v>
      </c>
      <c r="G363" s="611">
        <v>1</v>
      </c>
      <c r="H363" s="829">
        <f t="shared" si="29"/>
        <v>4.261363636363636E-2</v>
      </c>
      <c r="I363" s="1">
        <f t="shared" si="25"/>
        <v>4.3174881135363101</v>
      </c>
      <c r="J363" s="1">
        <f t="shared" si="26"/>
        <v>0</v>
      </c>
      <c r="K363" s="1">
        <f t="shared" si="27"/>
        <v>-3.1555809744958871</v>
      </c>
    </row>
    <row r="364" spans="1:11">
      <c r="A364" s="483">
        <f t="shared" si="28"/>
        <v>358</v>
      </c>
      <c r="B364" s="485">
        <v>34845</v>
      </c>
      <c r="C364" s="473">
        <v>0.66319444444444442</v>
      </c>
      <c r="D364" s="484" t="s">
        <v>119</v>
      </c>
      <c r="E364" s="472" t="s">
        <v>122</v>
      </c>
      <c r="F364" s="486">
        <v>100</v>
      </c>
      <c r="G364" s="611">
        <v>1</v>
      </c>
      <c r="H364" s="829">
        <f t="shared" si="29"/>
        <v>5.6818181818181816E-2</v>
      </c>
      <c r="I364" s="1">
        <f t="shared" si="25"/>
        <v>4.6051701859880918</v>
      </c>
      <c r="J364" s="1">
        <f t="shared" si="26"/>
        <v>0</v>
      </c>
      <c r="K364" s="1">
        <f t="shared" si="27"/>
        <v>-2.8678989020441059</v>
      </c>
    </row>
    <row r="365" spans="1:11">
      <c r="A365" s="483">
        <f t="shared" si="28"/>
        <v>359</v>
      </c>
      <c r="B365" s="485">
        <v>34849</v>
      </c>
      <c r="C365" s="473">
        <v>0.76111111111111107</v>
      </c>
      <c r="D365" s="484" t="s">
        <v>100</v>
      </c>
      <c r="E365" s="472" t="s">
        <v>122</v>
      </c>
      <c r="F365" s="486">
        <v>50</v>
      </c>
      <c r="G365" s="611">
        <v>0.5</v>
      </c>
      <c r="H365" s="829">
        <f t="shared" si="29"/>
        <v>1.4204545454545454E-2</v>
      </c>
      <c r="I365" s="1">
        <f t="shared" si="25"/>
        <v>3.912023005428146</v>
      </c>
      <c r="J365" s="1">
        <f t="shared" si="26"/>
        <v>-0.69314718055994529</v>
      </c>
      <c r="K365" s="1">
        <f t="shared" si="27"/>
        <v>-4.2541932631639972</v>
      </c>
    </row>
    <row r="366" spans="1:11">
      <c r="A366" s="483">
        <f t="shared" si="28"/>
        <v>360</v>
      </c>
      <c r="B366" s="485">
        <v>34849</v>
      </c>
      <c r="C366" s="473">
        <v>0.80208333333333337</v>
      </c>
      <c r="D366" s="484" t="s">
        <v>115</v>
      </c>
      <c r="E366" s="472" t="s">
        <v>122</v>
      </c>
      <c r="F366" s="486">
        <v>200</v>
      </c>
      <c r="G366" s="611">
        <v>2</v>
      </c>
      <c r="H366" s="829">
        <f t="shared" si="29"/>
        <v>0.22727272727272727</v>
      </c>
      <c r="I366" s="1">
        <f t="shared" si="25"/>
        <v>5.2983173665480363</v>
      </c>
      <c r="J366" s="1">
        <f t="shared" si="26"/>
        <v>0.69314718055994529</v>
      </c>
      <c r="K366" s="1">
        <f t="shared" si="27"/>
        <v>-1.4816045409242156</v>
      </c>
    </row>
    <row r="367" spans="1:11">
      <c r="A367" s="483">
        <f t="shared" si="28"/>
        <v>361</v>
      </c>
      <c r="B367" s="485">
        <v>34850</v>
      </c>
      <c r="C367" s="473">
        <v>0.52083333333333337</v>
      </c>
      <c r="D367" s="484" t="s">
        <v>115</v>
      </c>
      <c r="E367" s="472" t="s">
        <v>122</v>
      </c>
      <c r="F367" s="486">
        <v>25</v>
      </c>
      <c r="G367" s="611">
        <v>0.1</v>
      </c>
      <c r="H367" s="829">
        <f t="shared" si="29"/>
        <v>1.4204545454545455E-3</v>
      </c>
      <c r="I367" s="1">
        <f t="shared" si="25"/>
        <v>3.2188758248682006</v>
      </c>
      <c r="J367" s="1">
        <f t="shared" si="26"/>
        <v>-2.3025850929940455</v>
      </c>
      <c r="K367" s="1">
        <f t="shared" si="27"/>
        <v>-6.5567783561580422</v>
      </c>
    </row>
    <row r="368" spans="1:11">
      <c r="A368" s="483">
        <f t="shared" si="28"/>
        <v>362</v>
      </c>
      <c r="B368" s="485">
        <v>34858</v>
      </c>
      <c r="C368" s="473">
        <v>0.64375000000000004</v>
      </c>
      <c r="D368" s="484" t="s">
        <v>115</v>
      </c>
      <c r="E368" s="472" t="s">
        <v>122</v>
      </c>
      <c r="F368" s="486">
        <v>50</v>
      </c>
      <c r="G368" s="611">
        <v>0.1</v>
      </c>
      <c r="H368" s="829">
        <f t="shared" si="29"/>
        <v>2.840909090909091E-3</v>
      </c>
      <c r="I368" s="1">
        <f t="shared" si="25"/>
        <v>3.912023005428146</v>
      </c>
      <c r="J368" s="1">
        <f t="shared" si="26"/>
        <v>-2.3025850929940455</v>
      </c>
      <c r="K368" s="1">
        <f t="shared" si="27"/>
        <v>-5.8636311755980968</v>
      </c>
    </row>
    <row r="369" spans="1:11">
      <c r="A369" s="483">
        <f t="shared" si="28"/>
        <v>363</v>
      </c>
      <c r="B369" s="485">
        <v>34858</v>
      </c>
      <c r="C369" s="473">
        <v>0.65972222222222221</v>
      </c>
      <c r="D369" s="484" t="s">
        <v>115</v>
      </c>
      <c r="E369" s="472" t="s">
        <v>122</v>
      </c>
      <c r="F369" s="486">
        <v>100</v>
      </c>
      <c r="G369" s="611">
        <v>0.3</v>
      </c>
      <c r="H369" s="829">
        <f t="shared" si="29"/>
        <v>1.7045454545454544E-2</v>
      </c>
      <c r="I369" s="1">
        <f t="shared" si="25"/>
        <v>4.6051701859880918</v>
      </c>
      <c r="J369" s="1">
        <f t="shared" si="26"/>
        <v>-1.2039728043259361</v>
      </c>
      <c r="K369" s="1">
        <f t="shared" si="27"/>
        <v>-4.0718717063700423</v>
      </c>
    </row>
    <row r="370" spans="1:11">
      <c r="A370" s="483">
        <f t="shared" si="28"/>
        <v>364</v>
      </c>
      <c r="B370" s="485">
        <v>34858</v>
      </c>
      <c r="C370" s="473">
        <v>0.67708333333333337</v>
      </c>
      <c r="D370" s="484" t="s">
        <v>105</v>
      </c>
      <c r="E370" s="472" t="s">
        <v>122</v>
      </c>
      <c r="F370" s="486">
        <v>75</v>
      </c>
      <c r="G370" s="611">
        <v>1</v>
      </c>
      <c r="H370" s="829">
        <f t="shared" si="29"/>
        <v>4.261363636363636E-2</v>
      </c>
      <c r="I370" s="1">
        <f t="shared" si="25"/>
        <v>4.3174881135363101</v>
      </c>
      <c r="J370" s="1">
        <f t="shared" si="26"/>
        <v>0</v>
      </c>
      <c r="K370" s="1">
        <f t="shared" si="27"/>
        <v>-3.1555809744958871</v>
      </c>
    </row>
    <row r="371" spans="1:11">
      <c r="A371" s="483">
        <f t="shared" si="28"/>
        <v>365</v>
      </c>
      <c r="B371" s="485">
        <v>34858</v>
      </c>
      <c r="C371" s="473">
        <v>0.67986111111111114</v>
      </c>
      <c r="D371" s="484" t="s">
        <v>120</v>
      </c>
      <c r="E371" s="472" t="s">
        <v>122</v>
      </c>
      <c r="F371" s="486">
        <v>100</v>
      </c>
      <c r="G371" s="611">
        <v>2</v>
      </c>
      <c r="H371" s="829">
        <f t="shared" si="29"/>
        <v>0.11363636363636363</v>
      </c>
      <c r="I371" s="1">
        <f t="shared" si="25"/>
        <v>4.6051701859880918</v>
      </c>
      <c r="J371" s="1">
        <f t="shared" si="26"/>
        <v>0.69314718055994529</v>
      </c>
      <c r="K371" s="1">
        <f t="shared" si="27"/>
        <v>-2.174751721484161</v>
      </c>
    </row>
    <row r="372" spans="1:11">
      <c r="A372" s="483">
        <f t="shared" si="28"/>
        <v>366</v>
      </c>
      <c r="B372" s="485">
        <v>34858</v>
      </c>
      <c r="C372" s="473">
        <v>0.71527777777777779</v>
      </c>
      <c r="D372" s="484" t="s">
        <v>115</v>
      </c>
      <c r="E372" s="472" t="s">
        <v>122</v>
      </c>
      <c r="F372" s="486">
        <v>100</v>
      </c>
      <c r="G372" s="611">
        <v>2</v>
      </c>
      <c r="H372" s="829">
        <f t="shared" si="29"/>
        <v>0.11363636363636363</v>
      </c>
      <c r="I372" s="1">
        <f t="shared" si="25"/>
        <v>4.6051701859880918</v>
      </c>
      <c r="J372" s="1">
        <f t="shared" si="26"/>
        <v>0.69314718055994529</v>
      </c>
      <c r="K372" s="1">
        <f t="shared" si="27"/>
        <v>-2.174751721484161</v>
      </c>
    </row>
    <row r="373" spans="1:11">
      <c r="A373" s="483">
        <f t="shared" si="28"/>
        <v>367</v>
      </c>
      <c r="B373" s="485">
        <v>34858</v>
      </c>
      <c r="C373" s="473">
        <v>0.72291666666666676</v>
      </c>
      <c r="D373" s="484" t="s">
        <v>115</v>
      </c>
      <c r="E373" s="472" t="s">
        <v>122</v>
      </c>
      <c r="F373" s="486">
        <v>50</v>
      </c>
      <c r="G373" s="611">
        <v>1</v>
      </c>
      <c r="H373" s="829">
        <f t="shared" si="29"/>
        <v>2.8409090909090908E-2</v>
      </c>
      <c r="I373" s="1">
        <f t="shared" si="25"/>
        <v>3.912023005428146</v>
      </c>
      <c r="J373" s="1">
        <f t="shared" si="26"/>
        <v>0</v>
      </c>
      <c r="K373" s="1">
        <f t="shared" si="27"/>
        <v>-3.5610460826040513</v>
      </c>
    </row>
    <row r="374" spans="1:11">
      <c r="A374" s="483">
        <f t="shared" si="28"/>
        <v>368</v>
      </c>
      <c r="B374" s="485">
        <v>34858</v>
      </c>
      <c r="C374" s="473">
        <v>0.73819444444444438</v>
      </c>
      <c r="D374" s="484" t="s">
        <v>111</v>
      </c>
      <c r="E374" s="472" t="s">
        <v>122</v>
      </c>
      <c r="F374" s="486">
        <v>150</v>
      </c>
      <c r="G374" s="611">
        <v>4</v>
      </c>
      <c r="H374" s="829">
        <f t="shared" si="29"/>
        <v>0.34090909090909088</v>
      </c>
      <c r="I374" s="1">
        <f t="shared" si="25"/>
        <v>5.0106352940962555</v>
      </c>
      <c r="J374" s="1">
        <f t="shared" si="26"/>
        <v>1.3862943611198906</v>
      </c>
      <c r="K374" s="1">
        <f t="shared" si="27"/>
        <v>-1.0761394328160512</v>
      </c>
    </row>
    <row r="375" spans="1:11">
      <c r="A375" s="483">
        <f t="shared" si="28"/>
        <v>369</v>
      </c>
      <c r="B375" s="485">
        <v>34858</v>
      </c>
      <c r="C375" s="473">
        <v>0.74513888888888891</v>
      </c>
      <c r="D375" s="484" t="s">
        <v>110</v>
      </c>
      <c r="E375" s="472" t="s">
        <v>122</v>
      </c>
      <c r="F375" s="486">
        <v>50</v>
      </c>
      <c r="G375" s="611">
        <v>0.5</v>
      </c>
      <c r="H375" s="829">
        <f t="shared" si="29"/>
        <v>1.4204545454545454E-2</v>
      </c>
      <c r="I375" s="1">
        <f t="shared" si="25"/>
        <v>3.912023005428146</v>
      </c>
      <c r="J375" s="1">
        <f t="shared" si="26"/>
        <v>-0.69314718055994529</v>
      </c>
      <c r="K375" s="1">
        <f t="shared" si="27"/>
        <v>-4.2541932631639972</v>
      </c>
    </row>
    <row r="376" spans="1:11">
      <c r="A376" s="483">
        <f t="shared" si="28"/>
        <v>370</v>
      </c>
      <c r="B376" s="485">
        <v>34882</v>
      </c>
      <c r="C376" s="473">
        <v>0.8222222222222223</v>
      </c>
      <c r="D376" s="484" t="s">
        <v>114</v>
      </c>
      <c r="E376" s="472" t="s">
        <v>122</v>
      </c>
      <c r="F376" s="486">
        <v>50</v>
      </c>
      <c r="G376" s="611">
        <v>0.3</v>
      </c>
      <c r="H376" s="829">
        <f t="shared" si="29"/>
        <v>8.5227272727272721E-3</v>
      </c>
      <c r="I376" s="1">
        <f t="shared" si="25"/>
        <v>3.912023005428146</v>
      </c>
      <c r="J376" s="1">
        <f t="shared" si="26"/>
        <v>-1.2039728043259361</v>
      </c>
      <c r="K376" s="1">
        <f t="shared" si="27"/>
        <v>-4.7650188869299877</v>
      </c>
    </row>
    <row r="377" spans="1:11">
      <c r="A377" s="483">
        <f t="shared" si="28"/>
        <v>371</v>
      </c>
      <c r="B377" s="485">
        <v>34882</v>
      </c>
      <c r="C377" s="473">
        <v>0.84375</v>
      </c>
      <c r="D377" s="484" t="s">
        <v>114</v>
      </c>
      <c r="E377" s="472" t="s">
        <v>122</v>
      </c>
      <c r="F377" s="486">
        <v>75</v>
      </c>
      <c r="G377" s="611">
        <v>0.5</v>
      </c>
      <c r="H377" s="829">
        <f t="shared" si="29"/>
        <v>2.130681818181818E-2</v>
      </c>
      <c r="I377" s="1">
        <f t="shared" si="25"/>
        <v>4.3174881135363101</v>
      </c>
      <c r="J377" s="1">
        <f t="shared" si="26"/>
        <v>-0.69314718055994529</v>
      </c>
      <c r="K377" s="1">
        <f t="shared" si="27"/>
        <v>-3.8487281550558325</v>
      </c>
    </row>
    <row r="378" spans="1:11">
      <c r="A378" s="483">
        <f t="shared" si="28"/>
        <v>372</v>
      </c>
      <c r="B378" s="485">
        <v>34902</v>
      </c>
      <c r="C378" s="473">
        <v>0.80625000000000002</v>
      </c>
      <c r="D378" s="484" t="s">
        <v>111</v>
      </c>
      <c r="E378" s="472" t="s">
        <v>122</v>
      </c>
      <c r="F378" s="486">
        <v>25</v>
      </c>
      <c r="G378" s="611">
        <v>0.1</v>
      </c>
      <c r="H378" s="829">
        <f t="shared" si="29"/>
        <v>1.4204545454545455E-3</v>
      </c>
      <c r="I378" s="1">
        <f t="shared" si="25"/>
        <v>3.2188758248682006</v>
      </c>
      <c r="J378" s="1">
        <f t="shared" si="26"/>
        <v>-2.3025850929940455</v>
      </c>
      <c r="K378" s="1">
        <f t="shared" si="27"/>
        <v>-6.5567783561580422</v>
      </c>
    </row>
    <row r="379" spans="1:11">
      <c r="A379" s="483">
        <f t="shared" si="28"/>
        <v>373</v>
      </c>
      <c r="B379" s="485">
        <v>34903</v>
      </c>
      <c r="C379" s="473">
        <v>0.82638888888888884</v>
      </c>
      <c r="D379" s="484" t="s">
        <v>119</v>
      </c>
      <c r="E379" s="472" t="s">
        <v>122</v>
      </c>
      <c r="F379" s="486">
        <v>100</v>
      </c>
      <c r="G379" s="611">
        <v>2</v>
      </c>
      <c r="H379" s="829">
        <f t="shared" si="29"/>
        <v>0.11363636363636363</v>
      </c>
      <c r="I379" s="1">
        <f t="shared" si="25"/>
        <v>4.6051701859880918</v>
      </c>
      <c r="J379" s="1">
        <f t="shared" si="26"/>
        <v>0.69314718055994529</v>
      </c>
      <c r="K379" s="1">
        <f t="shared" si="27"/>
        <v>-2.174751721484161</v>
      </c>
    </row>
    <row r="380" spans="1:11">
      <c r="A380" s="483">
        <f t="shared" si="28"/>
        <v>374</v>
      </c>
      <c r="B380" s="485">
        <v>35194</v>
      </c>
      <c r="C380" s="473">
        <v>0.72222222222222221</v>
      </c>
      <c r="D380" s="484" t="s">
        <v>115</v>
      </c>
      <c r="E380" s="472" t="s">
        <v>122</v>
      </c>
      <c r="F380" s="486">
        <v>25</v>
      </c>
      <c r="G380" s="611">
        <v>0.1</v>
      </c>
      <c r="H380" s="829">
        <f t="shared" si="29"/>
        <v>1.4204545454545455E-3</v>
      </c>
      <c r="I380" s="1">
        <f t="shared" si="25"/>
        <v>3.2188758248682006</v>
      </c>
      <c r="J380" s="1">
        <f t="shared" si="26"/>
        <v>-2.3025850929940455</v>
      </c>
      <c r="K380" s="1">
        <f t="shared" si="27"/>
        <v>-6.5567783561580422</v>
      </c>
    </row>
    <row r="381" spans="1:11">
      <c r="A381" s="483">
        <f t="shared" si="28"/>
        <v>375</v>
      </c>
      <c r="B381" s="485">
        <v>35194</v>
      </c>
      <c r="C381" s="473">
        <v>0.74930555555555556</v>
      </c>
      <c r="D381" s="484" t="s">
        <v>116</v>
      </c>
      <c r="E381" s="472" t="s">
        <v>122</v>
      </c>
      <c r="F381" s="486">
        <v>100</v>
      </c>
      <c r="G381" s="611">
        <v>5</v>
      </c>
      <c r="H381" s="829">
        <f t="shared" si="29"/>
        <v>0.28409090909090906</v>
      </c>
      <c r="I381" s="1">
        <f t="shared" si="25"/>
        <v>4.6051701859880918</v>
      </c>
      <c r="J381" s="1">
        <f t="shared" si="26"/>
        <v>1.6094379124341003</v>
      </c>
      <c r="K381" s="1">
        <f t="shared" si="27"/>
        <v>-1.2584609896100059</v>
      </c>
    </row>
    <row r="382" spans="1:11">
      <c r="A382" s="483">
        <f t="shared" si="28"/>
        <v>376</v>
      </c>
      <c r="B382" s="485">
        <v>35194</v>
      </c>
      <c r="C382" s="473">
        <v>0.76527777777777783</v>
      </c>
      <c r="D382" s="484" t="s">
        <v>116</v>
      </c>
      <c r="E382" s="472" t="s">
        <v>122</v>
      </c>
      <c r="F382" s="486">
        <v>20</v>
      </c>
      <c r="G382" s="611">
        <v>0.1</v>
      </c>
      <c r="H382" s="829">
        <f t="shared" si="29"/>
        <v>1.1363636363636365E-3</v>
      </c>
      <c r="I382" s="1">
        <f t="shared" si="25"/>
        <v>2.9957322735539909</v>
      </c>
      <c r="J382" s="1">
        <f t="shared" si="26"/>
        <v>-2.3025850929940455</v>
      </c>
      <c r="K382" s="1">
        <f t="shared" si="27"/>
        <v>-6.7799219074722519</v>
      </c>
    </row>
    <row r="383" spans="1:11">
      <c r="A383" s="483">
        <f t="shared" si="28"/>
        <v>377</v>
      </c>
      <c r="B383" s="485">
        <v>35194</v>
      </c>
      <c r="C383" s="473">
        <v>0.7715277777777777</v>
      </c>
      <c r="D383" s="484" t="s">
        <v>116</v>
      </c>
      <c r="E383" s="472" t="s">
        <v>122</v>
      </c>
      <c r="F383" s="486">
        <v>75</v>
      </c>
      <c r="G383" s="611">
        <v>0.6</v>
      </c>
      <c r="H383" s="829">
        <f t="shared" si="29"/>
        <v>2.5568181818181816E-2</v>
      </c>
      <c r="I383" s="1">
        <f t="shared" si="25"/>
        <v>4.3174881135363101</v>
      </c>
      <c r="J383" s="1">
        <f t="shared" si="26"/>
        <v>-0.51082562376599072</v>
      </c>
      <c r="K383" s="1">
        <f t="shared" si="27"/>
        <v>-3.6664065982618776</v>
      </c>
    </row>
    <row r="384" spans="1:11">
      <c r="A384" s="483">
        <f t="shared" si="28"/>
        <v>378</v>
      </c>
      <c r="B384" s="485">
        <v>35209</v>
      </c>
      <c r="C384" s="473">
        <v>0.61736111111111114</v>
      </c>
      <c r="D384" s="484" t="s">
        <v>104</v>
      </c>
      <c r="E384" s="472" t="s">
        <v>122</v>
      </c>
      <c r="F384" s="486">
        <v>50</v>
      </c>
      <c r="G384" s="611">
        <v>1</v>
      </c>
      <c r="H384" s="829">
        <f t="shared" si="29"/>
        <v>2.8409090909090908E-2</v>
      </c>
      <c r="I384" s="1">
        <f t="shared" si="25"/>
        <v>3.912023005428146</v>
      </c>
      <c r="J384" s="1">
        <f t="shared" si="26"/>
        <v>0</v>
      </c>
      <c r="K384" s="1">
        <f t="shared" si="27"/>
        <v>-3.5610460826040513</v>
      </c>
    </row>
    <row r="385" spans="1:11">
      <c r="A385" s="483">
        <f t="shared" si="28"/>
        <v>379</v>
      </c>
      <c r="B385" s="485">
        <v>35209</v>
      </c>
      <c r="C385" s="473">
        <v>0.62222222222222223</v>
      </c>
      <c r="D385" s="484" t="s">
        <v>109</v>
      </c>
      <c r="E385" s="472" t="s">
        <v>122</v>
      </c>
      <c r="F385" s="486">
        <v>30</v>
      </c>
      <c r="G385" s="611">
        <v>0.5</v>
      </c>
      <c r="H385" s="829">
        <f t="shared" si="29"/>
        <v>8.5227272727272721E-3</v>
      </c>
      <c r="I385" s="1">
        <f t="shared" si="25"/>
        <v>3.4011973816621555</v>
      </c>
      <c r="J385" s="1">
        <f t="shared" si="26"/>
        <v>-0.69314718055994529</v>
      </c>
      <c r="K385" s="1">
        <f t="shared" si="27"/>
        <v>-4.7650188869299877</v>
      </c>
    </row>
    <row r="386" spans="1:11">
      <c r="A386" s="483">
        <f t="shared" si="28"/>
        <v>380</v>
      </c>
      <c r="B386" s="485">
        <v>35209</v>
      </c>
      <c r="C386" s="473">
        <v>0.62291666666666667</v>
      </c>
      <c r="D386" s="484" t="s">
        <v>105</v>
      </c>
      <c r="E386" s="472" t="s">
        <v>122</v>
      </c>
      <c r="F386" s="486">
        <v>40</v>
      </c>
      <c r="G386" s="611">
        <v>0.6</v>
      </c>
      <c r="H386" s="829">
        <f t="shared" si="29"/>
        <v>1.3636363636363636E-2</v>
      </c>
      <c r="I386" s="1">
        <f t="shared" si="25"/>
        <v>3.6888794541139363</v>
      </c>
      <c r="J386" s="1">
        <f t="shared" si="26"/>
        <v>-0.51082562376599072</v>
      </c>
      <c r="K386" s="1">
        <f t="shared" si="27"/>
        <v>-4.295015257684252</v>
      </c>
    </row>
    <row r="387" spans="1:11">
      <c r="A387" s="483">
        <f t="shared" si="28"/>
        <v>381</v>
      </c>
      <c r="B387" s="485">
        <v>35209</v>
      </c>
      <c r="C387" s="473">
        <v>0.64444444444444449</v>
      </c>
      <c r="D387" s="484" t="s">
        <v>104</v>
      </c>
      <c r="E387" s="472" t="s">
        <v>122</v>
      </c>
      <c r="F387" s="486">
        <v>75</v>
      </c>
      <c r="G387" s="611">
        <v>0.6</v>
      </c>
      <c r="H387" s="829">
        <f t="shared" si="29"/>
        <v>2.5568181818181816E-2</v>
      </c>
      <c r="I387" s="1">
        <f t="shared" si="25"/>
        <v>4.3174881135363101</v>
      </c>
      <c r="J387" s="1">
        <f t="shared" si="26"/>
        <v>-0.51082562376599072</v>
      </c>
      <c r="K387" s="1">
        <f t="shared" si="27"/>
        <v>-3.6664065982618776</v>
      </c>
    </row>
    <row r="388" spans="1:11">
      <c r="A388" s="483">
        <f t="shared" si="28"/>
        <v>382</v>
      </c>
      <c r="B388" s="485">
        <v>35209</v>
      </c>
      <c r="C388" s="473">
        <v>0.65416666666666667</v>
      </c>
      <c r="D388" s="484" t="s">
        <v>105</v>
      </c>
      <c r="E388" s="472" t="s">
        <v>122</v>
      </c>
      <c r="F388" s="486">
        <v>50</v>
      </c>
      <c r="G388" s="611">
        <v>0.5</v>
      </c>
      <c r="H388" s="829">
        <f t="shared" si="29"/>
        <v>1.4204545454545454E-2</v>
      </c>
      <c r="I388" s="1">
        <f t="shared" si="25"/>
        <v>3.912023005428146</v>
      </c>
      <c r="J388" s="1">
        <f t="shared" si="26"/>
        <v>-0.69314718055994529</v>
      </c>
      <c r="K388" s="1">
        <f t="shared" si="27"/>
        <v>-4.2541932631639972</v>
      </c>
    </row>
    <row r="389" spans="1:11">
      <c r="A389" s="483">
        <f t="shared" si="28"/>
        <v>383</v>
      </c>
      <c r="B389" s="485">
        <v>35209</v>
      </c>
      <c r="C389" s="473">
        <v>0.68958333333333333</v>
      </c>
      <c r="D389" s="484" t="s">
        <v>114</v>
      </c>
      <c r="E389" s="472" t="s">
        <v>122</v>
      </c>
      <c r="F389" s="486">
        <v>50</v>
      </c>
      <c r="G389" s="611">
        <v>0.6</v>
      </c>
      <c r="H389" s="829">
        <f t="shared" si="29"/>
        <v>1.7045454545454544E-2</v>
      </c>
      <c r="I389" s="1">
        <f t="shared" si="25"/>
        <v>3.912023005428146</v>
      </c>
      <c r="J389" s="1">
        <f t="shared" si="26"/>
        <v>-0.51082562376599072</v>
      </c>
      <c r="K389" s="1">
        <f t="shared" si="27"/>
        <v>-4.0718717063700423</v>
      </c>
    </row>
    <row r="390" spans="1:11">
      <c r="A390" s="483">
        <f t="shared" si="28"/>
        <v>384</v>
      </c>
      <c r="B390" s="485">
        <v>35209</v>
      </c>
      <c r="C390" s="473">
        <v>0.74652777777777779</v>
      </c>
      <c r="D390" s="484" t="s">
        <v>115</v>
      </c>
      <c r="E390" s="472" t="s">
        <v>122</v>
      </c>
      <c r="F390" s="486">
        <v>40</v>
      </c>
      <c r="G390" s="611">
        <v>0.5</v>
      </c>
      <c r="H390" s="829">
        <f t="shared" si="29"/>
        <v>1.1363636363636364E-2</v>
      </c>
      <c r="I390" s="1">
        <f t="shared" si="25"/>
        <v>3.6888794541139363</v>
      </c>
      <c r="J390" s="1">
        <f t="shared" si="26"/>
        <v>-0.69314718055994529</v>
      </c>
      <c r="K390" s="1">
        <f t="shared" si="27"/>
        <v>-4.4773368144782069</v>
      </c>
    </row>
    <row r="391" spans="1:11">
      <c r="A391" s="483">
        <f t="shared" si="28"/>
        <v>385</v>
      </c>
      <c r="B391" s="485">
        <v>35209</v>
      </c>
      <c r="C391" s="473">
        <v>0.8125</v>
      </c>
      <c r="D391" s="484" t="s">
        <v>105</v>
      </c>
      <c r="E391" s="472" t="s">
        <v>122</v>
      </c>
      <c r="F391" s="486">
        <v>50</v>
      </c>
      <c r="G391" s="611">
        <v>0.5</v>
      </c>
      <c r="H391" s="829">
        <f t="shared" si="29"/>
        <v>1.4204545454545454E-2</v>
      </c>
      <c r="I391" s="1">
        <f t="shared" si="25"/>
        <v>3.912023005428146</v>
      </c>
      <c r="J391" s="1">
        <f t="shared" si="26"/>
        <v>-0.69314718055994529</v>
      </c>
      <c r="K391" s="1">
        <f t="shared" si="27"/>
        <v>-4.2541932631639972</v>
      </c>
    </row>
    <row r="392" spans="1:11">
      <c r="A392" s="483">
        <f t="shared" si="28"/>
        <v>386</v>
      </c>
      <c r="B392" s="485">
        <v>35210</v>
      </c>
      <c r="C392" s="473">
        <v>0.6875</v>
      </c>
      <c r="D392" s="484" t="s">
        <v>102</v>
      </c>
      <c r="E392" s="472" t="s">
        <v>122</v>
      </c>
      <c r="F392" s="486">
        <v>100</v>
      </c>
      <c r="G392" s="611">
        <v>5</v>
      </c>
      <c r="H392" s="829">
        <f t="shared" si="29"/>
        <v>0.28409090909090906</v>
      </c>
      <c r="I392" s="1">
        <f t="shared" ref="I392:I455" si="30">LN(F392)</f>
        <v>4.6051701859880918</v>
      </c>
      <c r="J392" s="1">
        <f t="shared" ref="J392:J455" si="31">LN(G392)</f>
        <v>1.6094379124341003</v>
      </c>
      <c r="K392" s="1">
        <f t="shared" ref="K392:K455" si="32">LN(H392)</f>
        <v>-1.2584609896100059</v>
      </c>
    </row>
    <row r="393" spans="1:11">
      <c r="A393" s="483">
        <f t="shared" ref="A393:A456" si="33">+A392+1</f>
        <v>387</v>
      </c>
      <c r="B393" s="485">
        <v>35211</v>
      </c>
      <c r="C393" s="473">
        <v>0.57847222222222217</v>
      </c>
      <c r="D393" s="484" t="s">
        <v>100</v>
      </c>
      <c r="E393" s="472" t="s">
        <v>122</v>
      </c>
      <c r="F393" s="486">
        <v>50</v>
      </c>
      <c r="G393" s="611">
        <v>0.5</v>
      </c>
      <c r="H393" s="829">
        <f t="shared" ref="H393:H456" si="34">+(F393/1760)*G393</f>
        <v>1.4204545454545454E-2</v>
      </c>
      <c r="I393" s="1">
        <f t="shared" si="30"/>
        <v>3.912023005428146</v>
      </c>
      <c r="J393" s="1">
        <f t="shared" si="31"/>
        <v>-0.69314718055994529</v>
      </c>
      <c r="K393" s="1">
        <f t="shared" si="32"/>
        <v>-4.2541932631639972</v>
      </c>
    </row>
    <row r="394" spans="1:11">
      <c r="A394" s="483">
        <f t="shared" si="33"/>
        <v>388</v>
      </c>
      <c r="B394" s="485">
        <v>35211</v>
      </c>
      <c r="C394" s="473">
        <v>0.59444444444444444</v>
      </c>
      <c r="D394" s="484" t="s">
        <v>100</v>
      </c>
      <c r="E394" s="472" t="s">
        <v>122</v>
      </c>
      <c r="F394" s="486">
        <v>100</v>
      </c>
      <c r="G394" s="611">
        <v>1</v>
      </c>
      <c r="H394" s="829">
        <f t="shared" si="34"/>
        <v>5.6818181818181816E-2</v>
      </c>
      <c r="I394" s="1">
        <f t="shared" si="30"/>
        <v>4.6051701859880918</v>
      </c>
      <c r="J394" s="1">
        <f t="shared" si="31"/>
        <v>0</v>
      </c>
      <c r="K394" s="1">
        <f t="shared" si="32"/>
        <v>-2.8678989020441059</v>
      </c>
    </row>
    <row r="395" spans="1:11">
      <c r="A395" s="483">
        <f t="shared" si="33"/>
        <v>389</v>
      </c>
      <c r="B395" s="485">
        <v>35211</v>
      </c>
      <c r="C395" s="473">
        <v>0.59444444444444444</v>
      </c>
      <c r="D395" s="484" t="s">
        <v>100</v>
      </c>
      <c r="E395" s="472" t="s">
        <v>122</v>
      </c>
      <c r="F395" s="486">
        <v>75</v>
      </c>
      <c r="G395" s="611">
        <v>1</v>
      </c>
      <c r="H395" s="829">
        <f t="shared" si="34"/>
        <v>4.261363636363636E-2</v>
      </c>
      <c r="I395" s="1">
        <f t="shared" si="30"/>
        <v>4.3174881135363101</v>
      </c>
      <c r="J395" s="1">
        <f t="shared" si="31"/>
        <v>0</v>
      </c>
      <c r="K395" s="1">
        <f t="shared" si="32"/>
        <v>-3.1555809744958871</v>
      </c>
    </row>
    <row r="396" spans="1:11">
      <c r="A396" s="483">
        <f t="shared" si="33"/>
        <v>390</v>
      </c>
      <c r="B396" s="485">
        <v>35216</v>
      </c>
      <c r="C396" s="473">
        <v>0.76180555555555562</v>
      </c>
      <c r="D396" s="484" t="s">
        <v>119</v>
      </c>
      <c r="E396" s="472" t="s">
        <v>122</v>
      </c>
      <c r="F396" s="486">
        <v>50</v>
      </c>
      <c r="G396" s="611">
        <v>0.5</v>
      </c>
      <c r="H396" s="829">
        <f t="shared" si="34"/>
        <v>1.4204545454545454E-2</v>
      </c>
      <c r="I396" s="1">
        <f t="shared" si="30"/>
        <v>3.912023005428146</v>
      </c>
      <c r="J396" s="1">
        <f t="shared" si="31"/>
        <v>-0.69314718055994529</v>
      </c>
      <c r="K396" s="1">
        <f t="shared" si="32"/>
        <v>-4.2541932631639972</v>
      </c>
    </row>
    <row r="397" spans="1:11">
      <c r="A397" s="483">
        <f t="shared" si="33"/>
        <v>391</v>
      </c>
      <c r="B397" s="485">
        <v>35216</v>
      </c>
      <c r="C397" s="473">
        <v>0.84236111111111101</v>
      </c>
      <c r="D397" s="484" t="s">
        <v>120</v>
      </c>
      <c r="E397" s="472" t="s">
        <v>122</v>
      </c>
      <c r="F397" s="486">
        <v>50</v>
      </c>
      <c r="G397" s="611">
        <v>0.5</v>
      </c>
      <c r="H397" s="829">
        <f t="shared" si="34"/>
        <v>1.4204545454545454E-2</v>
      </c>
      <c r="I397" s="1">
        <f t="shared" si="30"/>
        <v>3.912023005428146</v>
      </c>
      <c r="J397" s="1">
        <f t="shared" si="31"/>
        <v>-0.69314718055994529</v>
      </c>
      <c r="K397" s="1">
        <f t="shared" si="32"/>
        <v>-4.2541932631639972</v>
      </c>
    </row>
    <row r="398" spans="1:11">
      <c r="A398" s="483">
        <f t="shared" si="33"/>
        <v>392</v>
      </c>
      <c r="B398" s="485">
        <v>35218</v>
      </c>
      <c r="C398" s="473">
        <v>0.60277777777777775</v>
      </c>
      <c r="D398" s="484" t="s">
        <v>104</v>
      </c>
      <c r="E398" s="472" t="s">
        <v>122</v>
      </c>
      <c r="F398" s="486">
        <v>50</v>
      </c>
      <c r="G398" s="611">
        <v>3</v>
      </c>
      <c r="H398" s="829">
        <f t="shared" si="34"/>
        <v>8.5227272727272721E-2</v>
      </c>
      <c r="I398" s="1">
        <f t="shared" si="30"/>
        <v>3.912023005428146</v>
      </c>
      <c r="J398" s="1">
        <f t="shared" si="31"/>
        <v>1.0986122886681098</v>
      </c>
      <c r="K398" s="1">
        <f t="shared" si="32"/>
        <v>-2.4624337939359418</v>
      </c>
    </row>
    <row r="399" spans="1:11">
      <c r="A399" s="483">
        <f t="shared" si="33"/>
        <v>393</v>
      </c>
      <c r="B399" s="485">
        <v>35218</v>
      </c>
      <c r="C399" s="473">
        <v>0.67152777777777783</v>
      </c>
      <c r="D399" s="484" t="s">
        <v>114</v>
      </c>
      <c r="E399" s="472" t="s">
        <v>122</v>
      </c>
      <c r="F399" s="486">
        <v>50</v>
      </c>
      <c r="G399" s="611">
        <v>0.5</v>
      </c>
      <c r="H399" s="829">
        <f t="shared" si="34"/>
        <v>1.4204545454545454E-2</v>
      </c>
      <c r="I399" s="1">
        <f t="shared" si="30"/>
        <v>3.912023005428146</v>
      </c>
      <c r="J399" s="1">
        <f t="shared" si="31"/>
        <v>-0.69314718055994529</v>
      </c>
      <c r="K399" s="1">
        <f t="shared" si="32"/>
        <v>-4.2541932631639972</v>
      </c>
    </row>
    <row r="400" spans="1:11">
      <c r="A400" s="483">
        <f t="shared" si="33"/>
        <v>394</v>
      </c>
      <c r="B400" s="485">
        <v>35218</v>
      </c>
      <c r="C400" s="473">
        <v>0.68888888888888899</v>
      </c>
      <c r="D400" s="484" t="s">
        <v>114</v>
      </c>
      <c r="E400" s="472" t="s">
        <v>122</v>
      </c>
      <c r="F400" s="486">
        <v>50</v>
      </c>
      <c r="G400" s="611">
        <v>0.5</v>
      </c>
      <c r="H400" s="829">
        <f t="shared" si="34"/>
        <v>1.4204545454545454E-2</v>
      </c>
      <c r="I400" s="1">
        <f t="shared" si="30"/>
        <v>3.912023005428146</v>
      </c>
      <c r="J400" s="1">
        <f t="shared" si="31"/>
        <v>-0.69314718055994529</v>
      </c>
      <c r="K400" s="1">
        <f t="shared" si="32"/>
        <v>-4.2541932631639972</v>
      </c>
    </row>
    <row r="401" spans="1:11">
      <c r="A401" s="483">
        <f t="shared" si="33"/>
        <v>395</v>
      </c>
      <c r="B401" s="485">
        <v>35219</v>
      </c>
      <c r="C401" s="473">
        <v>0.59722222222222221</v>
      </c>
      <c r="D401" s="484" t="s">
        <v>99</v>
      </c>
      <c r="E401" s="472" t="s">
        <v>122</v>
      </c>
      <c r="F401" s="486">
        <v>50</v>
      </c>
      <c r="G401" s="611">
        <v>0.5</v>
      </c>
      <c r="H401" s="829">
        <f t="shared" si="34"/>
        <v>1.4204545454545454E-2</v>
      </c>
      <c r="I401" s="1">
        <f t="shared" si="30"/>
        <v>3.912023005428146</v>
      </c>
      <c r="J401" s="1">
        <f t="shared" si="31"/>
        <v>-0.69314718055994529</v>
      </c>
      <c r="K401" s="1">
        <f t="shared" si="32"/>
        <v>-4.2541932631639972</v>
      </c>
    </row>
    <row r="402" spans="1:11">
      <c r="A402" s="483">
        <f t="shared" si="33"/>
        <v>396</v>
      </c>
      <c r="B402" s="485">
        <v>35221</v>
      </c>
      <c r="C402" s="473">
        <v>0.69930555555555562</v>
      </c>
      <c r="D402" s="484" t="s">
        <v>100</v>
      </c>
      <c r="E402" s="472" t="s">
        <v>122</v>
      </c>
      <c r="F402" s="486">
        <v>25</v>
      </c>
      <c r="G402" s="611">
        <v>2</v>
      </c>
      <c r="H402" s="829">
        <f t="shared" si="34"/>
        <v>2.8409090909090908E-2</v>
      </c>
      <c r="I402" s="1">
        <f t="shared" si="30"/>
        <v>3.2188758248682006</v>
      </c>
      <c r="J402" s="1">
        <f t="shared" si="31"/>
        <v>0.69314718055994529</v>
      </c>
      <c r="K402" s="1">
        <f t="shared" si="32"/>
        <v>-3.5610460826040513</v>
      </c>
    </row>
    <row r="403" spans="1:11">
      <c r="A403" s="483">
        <f t="shared" si="33"/>
        <v>397</v>
      </c>
      <c r="B403" s="485">
        <v>35234</v>
      </c>
      <c r="C403" s="473">
        <v>0.69027777777777777</v>
      </c>
      <c r="D403" s="484" t="s">
        <v>119</v>
      </c>
      <c r="E403" s="472" t="s">
        <v>122</v>
      </c>
      <c r="F403" s="486">
        <v>50</v>
      </c>
      <c r="G403" s="611">
        <v>0.5</v>
      </c>
      <c r="H403" s="829">
        <f t="shared" si="34"/>
        <v>1.4204545454545454E-2</v>
      </c>
      <c r="I403" s="1">
        <f t="shared" si="30"/>
        <v>3.912023005428146</v>
      </c>
      <c r="J403" s="1">
        <f t="shared" si="31"/>
        <v>-0.69314718055994529</v>
      </c>
      <c r="K403" s="1">
        <f t="shared" si="32"/>
        <v>-4.2541932631639972</v>
      </c>
    </row>
    <row r="404" spans="1:11">
      <c r="A404" s="483">
        <f t="shared" si="33"/>
        <v>398</v>
      </c>
      <c r="B404" s="485">
        <v>35287</v>
      </c>
      <c r="C404" s="473">
        <v>0.72430555555555554</v>
      </c>
      <c r="D404" s="484" t="s">
        <v>116</v>
      </c>
      <c r="E404" s="472" t="s">
        <v>122</v>
      </c>
      <c r="F404" s="486">
        <v>50</v>
      </c>
      <c r="G404" s="611">
        <v>0.5</v>
      </c>
      <c r="H404" s="829">
        <f t="shared" si="34"/>
        <v>1.4204545454545454E-2</v>
      </c>
      <c r="I404" s="1">
        <f t="shared" si="30"/>
        <v>3.912023005428146</v>
      </c>
      <c r="J404" s="1">
        <f t="shared" si="31"/>
        <v>-0.69314718055994529</v>
      </c>
      <c r="K404" s="1">
        <f t="shared" si="32"/>
        <v>-4.2541932631639972</v>
      </c>
    </row>
    <row r="405" spans="1:11">
      <c r="A405" s="483">
        <f t="shared" si="33"/>
        <v>399</v>
      </c>
      <c r="B405" s="485">
        <v>35305</v>
      </c>
      <c r="C405" s="473">
        <v>0.50347222222222221</v>
      </c>
      <c r="D405" s="484" t="s">
        <v>118</v>
      </c>
      <c r="E405" s="472" t="s">
        <v>122</v>
      </c>
      <c r="F405" s="486">
        <v>10</v>
      </c>
      <c r="G405" s="611">
        <v>0.2</v>
      </c>
      <c r="H405" s="829">
        <f t="shared" si="34"/>
        <v>1.1363636363636365E-3</v>
      </c>
      <c r="I405" s="1">
        <f t="shared" si="30"/>
        <v>2.3025850929940459</v>
      </c>
      <c r="J405" s="1">
        <f t="shared" si="31"/>
        <v>-1.6094379124341003</v>
      </c>
      <c r="K405" s="1">
        <f t="shared" si="32"/>
        <v>-6.7799219074722519</v>
      </c>
    </row>
    <row r="406" spans="1:11">
      <c r="A406" s="483">
        <f t="shared" si="33"/>
        <v>400</v>
      </c>
      <c r="B406" s="485">
        <v>35305</v>
      </c>
      <c r="C406" s="473">
        <v>0.52083333333333337</v>
      </c>
      <c r="D406" s="484" t="s">
        <v>118</v>
      </c>
      <c r="E406" s="472" t="s">
        <v>122</v>
      </c>
      <c r="F406" s="486">
        <v>10</v>
      </c>
      <c r="G406" s="611">
        <v>0.2</v>
      </c>
      <c r="H406" s="829">
        <f t="shared" si="34"/>
        <v>1.1363636363636365E-3</v>
      </c>
      <c r="I406" s="1">
        <f t="shared" si="30"/>
        <v>2.3025850929940459</v>
      </c>
      <c r="J406" s="1">
        <f t="shared" si="31"/>
        <v>-1.6094379124341003</v>
      </c>
      <c r="K406" s="1">
        <f t="shared" si="32"/>
        <v>-6.7799219074722519</v>
      </c>
    </row>
    <row r="407" spans="1:11">
      <c r="A407" s="483">
        <f t="shared" si="33"/>
        <v>401</v>
      </c>
      <c r="B407" s="485">
        <v>35325</v>
      </c>
      <c r="C407" s="473">
        <v>0.88194444444444453</v>
      </c>
      <c r="D407" s="484" t="s">
        <v>108</v>
      </c>
      <c r="E407" s="472" t="s">
        <v>122</v>
      </c>
      <c r="F407" s="486">
        <v>100</v>
      </c>
      <c r="G407" s="611">
        <v>0.5</v>
      </c>
      <c r="H407" s="829">
        <f t="shared" si="34"/>
        <v>2.8409090909090908E-2</v>
      </c>
      <c r="I407" s="1">
        <f t="shared" si="30"/>
        <v>4.6051701859880918</v>
      </c>
      <c r="J407" s="1">
        <f t="shared" si="31"/>
        <v>-0.69314718055994529</v>
      </c>
      <c r="K407" s="1">
        <f t="shared" si="32"/>
        <v>-3.5610460826040513</v>
      </c>
    </row>
    <row r="408" spans="1:11">
      <c r="A408" s="483">
        <f t="shared" si="33"/>
        <v>402</v>
      </c>
      <c r="B408" s="485">
        <v>35325</v>
      </c>
      <c r="C408" s="473">
        <v>0.9458333333333333</v>
      </c>
      <c r="D408" s="484" t="s">
        <v>109</v>
      </c>
      <c r="E408" s="472" t="s">
        <v>122</v>
      </c>
      <c r="F408" s="486">
        <v>50</v>
      </c>
      <c r="G408" s="611">
        <v>0.5</v>
      </c>
      <c r="H408" s="829">
        <f t="shared" si="34"/>
        <v>1.4204545454545454E-2</v>
      </c>
      <c r="I408" s="1">
        <f t="shared" si="30"/>
        <v>3.912023005428146</v>
      </c>
      <c r="J408" s="1">
        <f t="shared" si="31"/>
        <v>-0.69314718055994529</v>
      </c>
      <c r="K408" s="1">
        <f t="shared" si="32"/>
        <v>-4.2541932631639972</v>
      </c>
    </row>
    <row r="409" spans="1:11">
      <c r="A409" s="483">
        <f t="shared" si="33"/>
        <v>403</v>
      </c>
      <c r="B409" s="485">
        <v>35325</v>
      </c>
      <c r="C409" s="473">
        <v>0.99236111111111114</v>
      </c>
      <c r="D409" s="484" t="s">
        <v>104</v>
      </c>
      <c r="E409" s="472" t="s">
        <v>122</v>
      </c>
      <c r="F409" s="486">
        <v>50</v>
      </c>
      <c r="G409" s="611">
        <v>0.5</v>
      </c>
      <c r="H409" s="829">
        <f t="shared" si="34"/>
        <v>1.4204545454545454E-2</v>
      </c>
      <c r="I409" s="1">
        <f t="shared" si="30"/>
        <v>3.912023005428146</v>
      </c>
      <c r="J409" s="1">
        <f t="shared" si="31"/>
        <v>-0.69314718055994529</v>
      </c>
      <c r="K409" s="1">
        <f t="shared" si="32"/>
        <v>-4.2541932631639972</v>
      </c>
    </row>
    <row r="410" spans="1:11">
      <c r="A410" s="483">
        <f t="shared" si="33"/>
        <v>404</v>
      </c>
      <c r="B410" s="485">
        <v>35326</v>
      </c>
      <c r="C410" s="473">
        <v>0.79236111111111107</v>
      </c>
      <c r="D410" s="484" t="s">
        <v>100</v>
      </c>
      <c r="E410" s="472" t="s">
        <v>122</v>
      </c>
      <c r="F410" s="486">
        <v>50</v>
      </c>
      <c r="G410" s="611">
        <v>0.5</v>
      </c>
      <c r="H410" s="829">
        <f t="shared" si="34"/>
        <v>1.4204545454545454E-2</v>
      </c>
      <c r="I410" s="1">
        <f t="shared" si="30"/>
        <v>3.912023005428146</v>
      </c>
      <c r="J410" s="1">
        <f t="shared" si="31"/>
        <v>-0.69314718055994529</v>
      </c>
      <c r="K410" s="1">
        <f t="shared" si="32"/>
        <v>-4.2541932631639972</v>
      </c>
    </row>
    <row r="411" spans="1:11">
      <c r="A411" s="483">
        <f t="shared" si="33"/>
        <v>405</v>
      </c>
      <c r="B411" s="485">
        <v>35326</v>
      </c>
      <c r="C411" s="473">
        <v>0.79652777777777783</v>
      </c>
      <c r="D411" s="484" t="s">
        <v>100</v>
      </c>
      <c r="E411" s="472" t="s">
        <v>122</v>
      </c>
      <c r="F411" s="486">
        <v>50</v>
      </c>
      <c r="G411" s="611">
        <v>0.5</v>
      </c>
      <c r="H411" s="829">
        <f t="shared" si="34"/>
        <v>1.4204545454545454E-2</v>
      </c>
      <c r="I411" s="1">
        <f t="shared" si="30"/>
        <v>3.912023005428146</v>
      </c>
      <c r="J411" s="1">
        <f t="shared" si="31"/>
        <v>-0.69314718055994529</v>
      </c>
      <c r="K411" s="1">
        <f t="shared" si="32"/>
        <v>-4.2541932631639972</v>
      </c>
    </row>
    <row r="412" spans="1:11">
      <c r="A412" s="483">
        <f t="shared" si="33"/>
        <v>406</v>
      </c>
      <c r="B412" s="485">
        <v>35556</v>
      </c>
      <c r="C412" s="473">
        <v>0.81597222222222221</v>
      </c>
      <c r="D412" s="484" t="s">
        <v>103</v>
      </c>
      <c r="E412" s="472" t="s">
        <v>122</v>
      </c>
      <c r="F412" s="486">
        <v>25</v>
      </c>
      <c r="G412" s="611">
        <v>0.7</v>
      </c>
      <c r="H412" s="829">
        <f t="shared" si="34"/>
        <v>9.943181818181818E-3</v>
      </c>
      <c r="I412" s="1">
        <f t="shared" si="30"/>
        <v>3.2188758248682006</v>
      </c>
      <c r="J412" s="1">
        <f t="shared" si="31"/>
        <v>-0.35667494393873245</v>
      </c>
      <c r="K412" s="1">
        <f t="shared" si="32"/>
        <v>-4.6108682071027287</v>
      </c>
    </row>
    <row r="413" spans="1:11">
      <c r="A413" s="483">
        <f t="shared" si="33"/>
        <v>407</v>
      </c>
      <c r="B413" s="485">
        <v>35557</v>
      </c>
      <c r="C413" s="473">
        <v>0.77708333333333324</v>
      </c>
      <c r="D413" s="484" t="s">
        <v>115</v>
      </c>
      <c r="E413" s="472" t="s">
        <v>122</v>
      </c>
      <c r="F413" s="486">
        <v>25</v>
      </c>
      <c r="G413" s="611">
        <v>0.2</v>
      </c>
      <c r="H413" s="829">
        <f t="shared" si="34"/>
        <v>2.840909090909091E-3</v>
      </c>
      <c r="I413" s="1">
        <f t="shared" si="30"/>
        <v>3.2188758248682006</v>
      </c>
      <c r="J413" s="1">
        <f t="shared" si="31"/>
        <v>-1.6094379124341003</v>
      </c>
      <c r="K413" s="1">
        <f t="shared" si="32"/>
        <v>-5.8636311755980968</v>
      </c>
    </row>
    <row r="414" spans="1:11">
      <c r="A414" s="483">
        <f t="shared" si="33"/>
        <v>408</v>
      </c>
      <c r="B414" s="485">
        <v>35557</v>
      </c>
      <c r="C414" s="473">
        <v>0.78611111111111109</v>
      </c>
      <c r="D414" s="484" t="s">
        <v>114</v>
      </c>
      <c r="E414" s="472" t="s">
        <v>122</v>
      </c>
      <c r="F414" s="486">
        <v>25</v>
      </c>
      <c r="G414" s="611">
        <v>0.5</v>
      </c>
      <c r="H414" s="829">
        <f t="shared" si="34"/>
        <v>7.102272727272727E-3</v>
      </c>
      <c r="I414" s="1">
        <f t="shared" si="30"/>
        <v>3.2188758248682006</v>
      </c>
      <c r="J414" s="1">
        <f t="shared" si="31"/>
        <v>-0.69314718055994529</v>
      </c>
      <c r="K414" s="1">
        <f t="shared" si="32"/>
        <v>-4.9473404437239417</v>
      </c>
    </row>
    <row r="415" spans="1:11">
      <c r="A415" s="483">
        <f t="shared" si="33"/>
        <v>409</v>
      </c>
      <c r="B415" s="485">
        <v>35557</v>
      </c>
      <c r="C415" s="473">
        <v>0.79861111111111116</v>
      </c>
      <c r="D415" s="484" t="s">
        <v>115</v>
      </c>
      <c r="E415" s="472" t="s">
        <v>122</v>
      </c>
      <c r="F415" s="486">
        <v>50</v>
      </c>
      <c r="G415" s="611">
        <v>1</v>
      </c>
      <c r="H415" s="829">
        <f t="shared" si="34"/>
        <v>2.8409090909090908E-2</v>
      </c>
      <c r="I415" s="1">
        <f t="shared" si="30"/>
        <v>3.912023005428146</v>
      </c>
      <c r="J415" s="1">
        <f t="shared" si="31"/>
        <v>0</v>
      </c>
      <c r="K415" s="1">
        <f t="shared" si="32"/>
        <v>-3.5610460826040513</v>
      </c>
    </row>
    <row r="416" spans="1:11">
      <c r="A416" s="483">
        <f t="shared" si="33"/>
        <v>410</v>
      </c>
      <c r="B416" s="485">
        <v>35557</v>
      </c>
      <c r="C416" s="473">
        <v>0.83680555555555547</v>
      </c>
      <c r="D416" s="484" t="s">
        <v>116</v>
      </c>
      <c r="E416" s="472" t="s">
        <v>122</v>
      </c>
      <c r="F416" s="486">
        <v>25</v>
      </c>
      <c r="G416" s="611">
        <v>0.1</v>
      </c>
      <c r="H416" s="829">
        <f t="shared" si="34"/>
        <v>1.4204545454545455E-3</v>
      </c>
      <c r="I416" s="1">
        <f t="shared" si="30"/>
        <v>3.2188758248682006</v>
      </c>
      <c r="J416" s="1">
        <f t="shared" si="31"/>
        <v>-2.3025850929940455</v>
      </c>
      <c r="K416" s="1">
        <f t="shared" si="32"/>
        <v>-6.5567783561580422</v>
      </c>
    </row>
    <row r="417" spans="1:11">
      <c r="A417" s="483">
        <f t="shared" si="33"/>
        <v>411</v>
      </c>
      <c r="B417" s="485">
        <v>35578</v>
      </c>
      <c r="C417" s="473">
        <v>0.67152777777777783</v>
      </c>
      <c r="D417" s="484" t="s">
        <v>117</v>
      </c>
      <c r="E417" s="472" t="s">
        <v>122</v>
      </c>
      <c r="F417" s="486">
        <v>25</v>
      </c>
      <c r="G417" s="611">
        <v>0.1</v>
      </c>
      <c r="H417" s="829">
        <f t="shared" si="34"/>
        <v>1.4204545454545455E-3</v>
      </c>
      <c r="I417" s="1">
        <f t="shared" si="30"/>
        <v>3.2188758248682006</v>
      </c>
      <c r="J417" s="1">
        <f t="shared" si="31"/>
        <v>-2.3025850929940455</v>
      </c>
      <c r="K417" s="1">
        <f t="shared" si="32"/>
        <v>-6.5567783561580422</v>
      </c>
    </row>
    <row r="418" spans="1:11">
      <c r="A418" s="483">
        <f t="shared" si="33"/>
        <v>412</v>
      </c>
      <c r="B418" s="485">
        <v>35579</v>
      </c>
      <c r="C418" s="473">
        <v>0.87152777777777779</v>
      </c>
      <c r="D418" s="484" t="s">
        <v>118</v>
      </c>
      <c r="E418" s="472" t="s">
        <v>122</v>
      </c>
      <c r="F418" s="486">
        <v>25</v>
      </c>
      <c r="G418" s="611">
        <v>0.1</v>
      </c>
      <c r="H418" s="829">
        <f t="shared" si="34"/>
        <v>1.4204545454545455E-3</v>
      </c>
      <c r="I418" s="1">
        <f t="shared" si="30"/>
        <v>3.2188758248682006</v>
      </c>
      <c r="J418" s="1">
        <f t="shared" si="31"/>
        <v>-2.3025850929940455</v>
      </c>
      <c r="K418" s="1">
        <f t="shared" si="32"/>
        <v>-6.5567783561580422</v>
      </c>
    </row>
    <row r="419" spans="1:11">
      <c r="A419" s="483">
        <f t="shared" si="33"/>
        <v>413</v>
      </c>
      <c r="B419" s="485">
        <v>35579</v>
      </c>
      <c r="C419" s="473">
        <v>0.87777777777777777</v>
      </c>
      <c r="D419" s="484" t="s">
        <v>114</v>
      </c>
      <c r="E419" s="472" t="s">
        <v>122</v>
      </c>
      <c r="F419" s="486">
        <v>50</v>
      </c>
      <c r="G419" s="611">
        <v>0.3</v>
      </c>
      <c r="H419" s="829">
        <f t="shared" si="34"/>
        <v>8.5227272727272721E-3</v>
      </c>
      <c r="I419" s="1">
        <f t="shared" si="30"/>
        <v>3.912023005428146</v>
      </c>
      <c r="J419" s="1">
        <f t="shared" si="31"/>
        <v>-1.2039728043259361</v>
      </c>
      <c r="K419" s="1">
        <f t="shared" si="32"/>
        <v>-4.7650188869299877</v>
      </c>
    </row>
    <row r="420" spans="1:11">
      <c r="A420" s="483">
        <f t="shared" si="33"/>
        <v>414</v>
      </c>
      <c r="B420" s="485">
        <v>35579</v>
      </c>
      <c r="C420" s="473">
        <v>0.8833333333333333</v>
      </c>
      <c r="D420" s="484" t="s">
        <v>118</v>
      </c>
      <c r="E420" s="472" t="s">
        <v>122</v>
      </c>
      <c r="F420" s="486">
        <v>25</v>
      </c>
      <c r="G420" s="611">
        <v>0.1</v>
      </c>
      <c r="H420" s="829">
        <f t="shared" si="34"/>
        <v>1.4204545454545455E-3</v>
      </c>
      <c r="I420" s="1">
        <f t="shared" si="30"/>
        <v>3.2188758248682006</v>
      </c>
      <c r="J420" s="1">
        <f t="shared" si="31"/>
        <v>-2.3025850929940455</v>
      </c>
      <c r="K420" s="1">
        <f t="shared" si="32"/>
        <v>-6.5567783561580422</v>
      </c>
    </row>
    <row r="421" spans="1:11">
      <c r="A421" s="483">
        <f t="shared" si="33"/>
        <v>415</v>
      </c>
      <c r="B421" s="485">
        <v>35590</v>
      </c>
      <c r="C421" s="473">
        <v>0.60069444444444442</v>
      </c>
      <c r="D421" s="484" t="s">
        <v>114</v>
      </c>
      <c r="E421" s="472" t="s">
        <v>122</v>
      </c>
      <c r="F421" s="486">
        <v>25</v>
      </c>
      <c r="G421" s="611">
        <v>0.1</v>
      </c>
      <c r="H421" s="829">
        <f t="shared" si="34"/>
        <v>1.4204545454545455E-3</v>
      </c>
      <c r="I421" s="1">
        <f t="shared" si="30"/>
        <v>3.2188758248682006</v>
      </c>
      <c r="J421" s="1">
        <f t="shared" si="31"/>
        <v>-2.3025850929940455</v>
      </c>
      <c r="K421" s="1">
        <f t="shared" si="32"/>
        <v>-6.5567783561580422</v>
      </c>
    </row>
    <row r="422" spans="1:11">
      <c r="A422" s="483">
        <f t="shared" si="33"/>
        <v>416</v>
      </c>
      <c r="B422" s="485">
        <v>35592</v>
      </c>
      <c r="C422" s="473">
        <v>0.73541666666666661</v>
      </c>
      <c r="D422" s="484" t="s">
        <v>116</v>
      </c>
      <c r="E422" s="472" t="s">
        <v>122</v>
      </c>
      <c r="F422" s="486">
        <v>25</v>
      </c>
      <c r="G422" s="611">
        <v>0.1</v>
      </c>
      <c r="H422" s="829">
        <f t="shared" si="34"/>
        <v>1.4204545454545455E-3</v>
      </c>
      <c r="I422" s="1">
        <f t="shared" si="30"/>
        <v>3.2188758248682006</v>
      </c>
      <c r="J422" s="1">
        <f t="shared" si="31"/>
        <v>-2.3025850929940455</v>
      </c>
      <c r="K422" s="1">
        <f t="shared" si="32"/>
        <v>-6.5567783561580422</v>
      </c>
    </row>
    <row r="423" spans="1:11">
      <c r="A423" s="483">
        <f t="shared" si="33"/>
        <v>417</v>
      </c>
      <c r="B423" s="485">
        <v>35592</v>
      </c>
      <c r="C423" s="473">
        <v>0.79791666666666661</v>
      </c>
      <c r="D423" s="484" t="s">
        <v>121</v>
      </c>
      <c r="E423" s="472" t="s">
        <v>122</v>
      </c>
      <c r="F423" s="486">
        <v>50</v>
      </c>
      <c r="G423" s="611">
        <v>0.5</v>
      </c>
      <c r="H423" s="829">
        <f t="shared" si="34"/>
        <v>1.4204545454545454E-2</v>
      </c>
      <c r="I423" s="1">
        <f t="shared" si="30"/>
        <v>3.912023005428146</v>
      </c>
      <c r="J423" s="1">
        <f t="shared" si="31"/>
        <v>-0.69314718055994529</v>
      </c>
      <c r="K423" s="1">
        <f t="shared" si="32"/>
        <v>-4.2541932631639972</v>
      </c>
    </row>
    <row r="424" spans="1:11">
      <c r="A424" s="483">
        <f t="shared" si="33"/>
        <v>418</v>
      </c>
      <c r="B424" s="485">
        <v>35592</v>
      </c>
      <c r="C424" s="473">
        <v>0.80694444444444446</v>
      </c>
      <c r="D424" s="484" t="s">
        <v>121</v>
      </c>
      <c r="E424" s="472" t="s">
        <v>122</v>
      </c>
      <c r="F424" s="486">
        <v>25</v>
      </c>
      <c r="G424" s="611">
        <v>0.1</v>
      </c>
      <c r="H424" s="829">
        <f t="shared" si="34"/>
        <v>1.4204545454545455E-3</v>
      </c>
      <c r="I424" s="1">
        <f t="shared" si="30"/>
        <v>3.2188758248682006</v>
      </c>
      <c r="J424" s="1">
        <f t="shared" si="31"/>
        <v>-2.3025850929940455</v>
      </c>
      <c r="K424" s="1">
        <f t="shared" si="32"/>
        <v>-6.5567783561580422</v>
      </c>
    </row>
    <row r="425" spans="1:11">
      <c r="A425" s="483">
        <f t="shared" si="33"/>
        <v>419</v>
      </c>
      <c r="B425" s="485">
        <v>35593</v>
      </c>
      <c r="C425" s="473">
        <v>0.80069444444444438</v>
      </c>
      <c r="D425" s="484" t="s">
        <v>116</v>
      </c>
      <c r="E425" s="472" t="s">
        <v>122</v>
      </c>
      <c r="F425" s="486">
        <v>25</v>
      </c>
      <c r="G425" s="611">
        <v>0.1</v>
      </c>
      <c r="H425" s="829">
        <f t="shared" si="34"/>
        <v>1.4204545454545455E-3</v>
      </c>
      <c r="I425" s="1">
        <f t="shared" si="30"/>
        <v>3.2188758248682006</v>
      </c>
      <c r="J425" s="1">
        <f t="shared" si="31"/>
        <v>-2.3025850929940455</v>
      </c>
      <c r="K425" s="1">
        <f t="shared" si="32"/>
        <v>-6.5567783561580422</v>
      </c>
    </row>
    <row r="426" spans="1:11">
      <c r="A426" s="483">
        <f t="shared" si="33"/>
        <v>420</v>
      </c>
      <c r="B426" s="485">
        <v>35593</v>
      </c>
      <c r="C426" s="473">
        <v>0.84027777777777779</v>
      </c>
      <c r="D426" s="484" t="s">
        <v>110</v>
      </c>
      <c r="E426" s="472" t="s">
        <v>122</v>
      </c>
      <c r="F426" s="486">
        <v>25</v>
      </c>
      <c r="G426" s="611">
        <v>0.1</v>
      </c>
      <c r="H426" s="829">
        <f t="shared" si="34"/>
        <v>1.4204545454545455E-3</v>
      </c>
      <c r="I426" s="1">
        <f t="shared" si="30"/>
        <v>3.2188758248682006</v>
      </c>
      <c r="J426" s="1">
        <f t="shared" si="31"/>
        <v>-2.3025850929940455</v>
      </c>
      <c r="K426" s="1">
        <f t="shared" si="32"/>
        <v>-6.5567783561580422</v>
      </c>
    </row>
    <row r="427" spans="1:11">
      <c r="A427" s="483">
        <f t="shared" si="33"/>
        <v>421</v>
      </c>
      <c r="B427" s="485">
        <v>35595</v>
      </c>
      <c r="C427" s="473">
        <v>0.62430555555555556</v>
      </c>
      <c r="D427" s="484" t="s">
        <v>108</v>
      </c>
      <c r="E427" s="472" t="s">
        <v>122</v>
      </c>
      <c r="F427" s="486">
        <v>50</v>
      </c>
      <c r="G427" s="611">
        <v>0.2</v>
      </c>
      <c r="H427" s="829">
        <f t="shared" si="34"/>
        <v>5.681818181818182E-3</v>
      </c>
      <c r="I427" s="1">
        <f t="shared" si="30"/>
        <v>3.912023005428146</v>
      </c>
      <c r="J427" s="1">
        <f t="shared" si="31"/>
        <v>-1.6094379124341003</v>
      </c>
      <c r="K427" s="1">
        <f t="shared" si="32"/>
        <v>-5.1704839950381514</v>
      </c>
    </row>
    <row r="428" spans="1:11">
      <c r="A428" s="483">
        <f t="shared" si="33"/>
        <v>422</v>
      </c>
      <c r="B428" s="485">
        <v>35595</v>
      </c>
      <c r="C428" s="473">
        <v>0.64097222222222217</v>
      </c>
      <c r="D428" s="484" t="s">
        <v>108</v>
      </c>
      <c r="E428" s="472" t="s">
        <v>122</v>
      </c>
      <c r="F428" s="486">
        <v>25</v>
      </c>
      <c r="G428" s="611">
        <v>0.1</v>
      </c>
      <c r="H428" s="829">
        <f t="shared" si="34"/>
        <v>1.4204545454545455E-3</v>
      </c>
      <c r="I428" s="1">
        <f t="shared" si="30"/>
        <v>3.2188758248682006</v>
      </c>
      <c r="J428" s="1">
        <f t="shared" si="31"/>
        <v>-2.3025850929940455</v>
      </c>
      <c r="K428" s="1">
        <f t="shared" si="32"/>
        <v>-6.5567783561580422</v>
      </c>
    </row>
    <row r="429" spans="1:11">
      <c r="A429" s="483">
        <f t="shared" si="33"/>
        <v>423</v>
      </c>
      <c r="B429" s="485">
        <v>35595</v>
      </c>
      <c r="C429" s="473">
        <v>0.68402777777777779</v>
      </c>
      <c r="D429" s="484" t="s">
        <v>118</v>
      </c>
      <c r="E429" s="472" t="s">
        <v>122</v>
      </c>
      <c r="F429" s="486">
        <v>25</v>
      </c>
      <c r="G429" s="611">
        <v>0.1</v>
      </c>
      <c r="H429" s="829">
        <f t="shared" si="34"/>
        <v>1.4204545454545455E-3</v>
      </c>
      <c r="I429" s="1">
        <f t="shared" si="30"/>
        <v>3.2188758248682006</v>
      </c>
      <c r="J429" s="1">
        <f t="shared" si="31"/>
        <v>-2.3025850929940455</v>
      </c>
      <c r="K429" s="1">
        <f t="shared" si="32"/>
        <v>-6.5567783561580422</v>
      </c>
    </row>
    <row r="430" spans="1:11">
      <c r="A430" s="483">
        <f t="shared" si="33"/>
        <v>424</v>
      </c>
      <c r="B430" s="485">
        <v>35595</v>
      </c>
      <c r="C430" s="473">
        <v>0.7416666666666667</v>
      </c>
      <c r="D430" s="484" t="s">
        <v>109</v>
      </c>
      <c r="E430" s="472" t="s">
        <v>122</v>
      </c>
      <c r="F430" s="486">
        <v>50</v>
      </c>
      <c r="G430" s="611">
        <v>0.2</v>
      </c>
      <c r="H430" s="829">
        <f t="shared" si="34"/>
        <v>5.681818181818182E-3</v>
      </c>
      <c r="I430" s="1">
        <f t="shared" si="30"/>
        <v>3.912023005428146</v>
      </c>
      <c r="J430" s="1">
        <f t="shared" si="31"/>
        <v>-1.6094379124341003</v>
      </c>
      <c r="K430" s="1">
        <f t="shared" si="32"/>
        <v>-5.1704839950381514</v>
      </c>
    </row>
    <row r="431" spans="1:11">
      <c r="A431" s="483">
        <f t="shared" si="33"/>
        <v>425</v>
      </c>
      <c r="B431" s="485">
        <v>35595</v>
      </c>
      <c r="C431" s="473">
        <v>0.75694444444444453</v>
      </c>
      <c r="D431" s="484" t="s">
        <v>114</v>
      </c>
      <c r="E431" s="472" t="s">
        <v>122</v>
      </c>
      <c r="F431" s="486">
        <v>50</v>
      </c>
      <c r="G431" s="611">
        <v>0.1</v>
      </c>
      <c r="H431" s="829">
        <f t="shared" si="34"/>
        <v>2.840909090909091E-3</v>
      </c>
      <c r="I431" s="1">
        <f t="shared" si="30"/>
        <v>3.912023005428146</v>
      </c>
      <c r="J431" s="1">
        <f t="shared" si="31"/>
        <v>-2.3025850929940455</v>
      </c>
      <c r="K431" s="1">
        <f t="shared" si="32"/>
        <v>-5.8636311755980968</v>
      </c>
    </row>
    <row r="432" spans="1:11">
      <c r="A432" s="483">
        <f t="shared" si="33"/>
        <v>426</v>
      </c>
      <c r="B432" s="485">
        <v>35597</v>
      </c>
      <c r="C432" s="473">
        <v>0.51388888888888895</v>
      </c>
      <c r="D432" s="484" t="s">
        <v>102</v>
      </c>
      <c r="E432" s="472" t="s">
        <v>122</v>
      </c>
      <c r="F432" s="486">
        <v>25</v>
      </c>
      <c r="G432" s="611">
        <v>0.2</v>
      </c>
      <c r="H432" s="829">
        <f t="shared" si="34"/>
        <v>2.840909090909091E-3</v>
      </c>
      <c r="I432" s="1">
        <f t="shared" si="30"/>
        <v>3.2188758248682006</v>
      </c>
      <c r="J432" s="1">
        <f t="shared" si="31"/>
        <v>-1.6094379124341003</v>
      </c>
      <c r="K432" s="1">
        <f t="shared" si="32"/>
        <v>-5.8636311755980968</v>
      </c>
    </row>
    <row r="433" spans="1:11">
      <c r="A433" s="483">
        <f t="shared" si="33"/>
        <v>427</v>
      </c>
      <c r="B433" s="485">
        <v>35597</v>
      </c>
      <c r="C433" s="473">
        <v>0.52083333333333337</v>
      </c>
      <c r="D433" s="484" t="s">
        <v>107</v>
      </c>
      <c r="E433" s="472" t="s">
        <v>122</v>
      </c>
      <c r="F433" s="486">
        <v>50</v>
      </c>
      <c r="G433" s="611">
        <v>0.1</v>
      </c>
      <c r="H433" s="829">
        <f t="shared" si="34"/>
        <v>2.840909090909091E-3</v>
      </c>
      <c r="I433" s="1">
        <f t="shared" si="30"/>
        <v>3.912023005428146</v>
      </c>
      <c r="J433" s="1">
        <f t="shared" si="31"/>
        <v>-2.3025850929940455</v>
      </c>
      <c r="K433" s="1">
        <f t="shared" si="32"/>
        <v>-5.8636311755980968</v>
      </c>
    </row>
    <row r="434" spans="1:11">
      <c r="A434" s="483">
        <f t="shared" si="33"/>
        <v>428</v>
      </c>
      <c r="B434" s="485">
        <v>36014</v>
      </c>
      <c r="C434" s="473">
        <v>0.67361111111111116</v>
      </c>
      <c r="D434" s="484" t="s">
        <v>118</v>
      </c>
      <c r="E434" s="472" t="s">
        <v>122</v>
      </c>
      <c r="F434" s="486">
        <v>25</v>
      </c>
      <c r="G434" s="611">
        <v>0.5</v>
      </c>
      <c r="H434" s="829">
        <f t="shared" si="34"/>
        <v>7.102272727272727E-3</v>
      </c>
      <c r="I434" s="1">
        <f t="shared" si="30"/>
        <v>3.2188758248682006</v>
      </c>
      <c r="J434" s="1">
        <f t="shared" si="31"/>
        <v>-0.69314718055994529</v>
      </c>
      <c r="K434" s="1">
        <f t="shared" si="32"/>
        <v>-4.9473404437239417</v>
      </c>
    </row>
    <row r="435" spans="1:11">
      <c r="A435" s="483">
        <f t="shared" si="33"/>
        <v>429</v>
      </c>
      <c r="B435" s="485">
        <v>36281</v>
      </c>
      <c r="C435" s="473">
        <v>0.79652777777777783</v>
      </c>
      <c r="D435" s="484" t="s">
        <v>107</v>
      </c>
      <c r="E435" s="472" t="s">
        <v>122</v>
      </c>
      <c r="F435" s="486">
        <v>50</v>
      </c>
      <c r="G435" s="611">
        <v>0.1</v>
      </c>
      <c r="H435" s="829">
        <f t="shared" si="34"/>
        <v>2.840909090909091E-3</v>
      </c>
      <c r="I435" s="1">
        <f t="shared" si="30"/>
        <v>3.912023005428146</v>
      </c>
      <c r="J435" s="1">
        <f t="shared" si="31"/>
        <v>-2.3025850929940455</v>
      </c>
      <c r="K435" s="1">
        <f t="shared" si="32"/>
        <v>-5.8636311755980968</v>
      </c>
    </row>
    <row r="436" spans="1:11">
      <c r="A436" s="483">
        <f t="shared" si="33"/>
        <v>430</v>
      </c>
      <c r="B436" s="485">
        <v>36300</v>
      </c>
      <c r="C436" s="473">
        <v>0.71111111111111114</v>
      </c>
      <c r="D436" s="484" t="s">
        <v>115</v>
      </c>
      <c r="E436" s="472" t="s">
        <v>122</v>
      </c>
      <c r="F436" s="486">
        <v>25</v>
      </c>
      <c r="G436" s="611">
        <v>0.1</v>
      </c>
      <c r="H436" s="829">
        <f t="shared" si="34"/>
        <v>1.4204545454545455E-3</v>
      </c>
      <c r="I436" s="1">
        <f t="shared" si="30"/>
        <v>3.2188758248682006</v>
      </c>
      <c r="J436" s="1">
        <f t="shared" si="31"/>
        <v>-2.3025850929940455</v>
      </c>
      <c r="K436" s="1">
        <f t="shared" si="32"/>
        <v>-6.5567783561580422</v>
      </c>
    </row>
    <row r="437" spans="1:11">
      <c r="A437" s="483">
        <f t="shared" si="33"/>
        <v>431</v>
      </c>
      <c r="B437" s="485">
        <v>36300</v>
      </c>
      <c r="C437" s="473">
        <v>0.72152777777777777</v>
      </c>
      <c r="D437" s="484" t="s">
        <v>115</v>
      </c>
      <c r="E437" s="472" t="s">
        <v>122</v>
      </c>
      <c r="F437" s="486">
        <v>25</v>
      </c>
      <c r="G437" s="611">
        <v>0.1</v>
      </c>
      <c r="H437" s="829">
        <f t="shared" si="34"/>
        <v>1.4204545454545455E-3</v>
      </c>
      <c r="I437" s="1">
        <f t="shared" si="30"/>
        <v>3.2188758248682006</v>
      </c>
      <c r="J437" s="1">
        <f t="shared" si="31"/>
        <v>-2.3025850929940455</v>
      </c>
      <c r="K437" s="1">
        <f t="shared" si="32"/>
        <v>-6.5567783561580422</v>
      </c>
    </row>
    <row r="438" spans="1:11">
      <c r="A438" s="483">
        <f t="shared" si="33"/>
        <v>432</v>
      </c>
      <c r="B438" s="485">
        <v>36300</v>
      </c>
      <c r="C438" s="473">
        <v>0.73888888888888893</v>
      </c>
      <c r="D438" s="484" t="s">
        <v>120</v>
      </c>
      <c r="E438" s="472" t="s">
        <v>122</v>
      </c>
      <c r="F438" s="486">
        <v>50</v>
      </c>
      <c r="G438" s="611">
        <v>0.5</v>
      </c>
      <c r="H438" s="829">
        <f t="shared" si="34"/>
        <v>1.4204545454545454E-2</v>
      </c>
      <c r="I438" s="1">
        <f t="shared" si="30"/>
        <v>3.912023005428146</v>
      </c>
      <c r="J438" s="1">
        <f t="shared" si="31"/>
        <v>-0.69314718055994529</v>
      </c>
      <c r="K438" s="1">
        <f t="shared" si="32"/>
        <v>-4.2541932631639972</v>
      </c>
    </row>
    <row r="439" spans="1:11">
      <c r="A439" s="483">
        <f t="shared" si="33"/>
        <v>433</v>
      </c>
      <c r="B439" s="485">
        <v>36300</v>
      </c>
      <c r="C439" s="473">
        <v>0.79305555555555562</v>
      </c>
      <c r="D439" s="484" t="s">
        <v>120</v>
      </c>
      <c r="E439" s="472" t="s">
        <v>122</v>
      </c>
      <c r="F439" s="486">
        <v>25</v>
      </c>
      <c r="G439" s="611">
        <v>0.1</v>
      </c>
      <c r="H439" s="829">
        <f t="shared" si="34"/>
        <v>1.4204545454545455E-3</v>
      </c>
      <c r="I439" s="1">
        <f t="shared" si="30"/>
        <v>3.2188758248682006</v>
      </c>
      <c r="J439" s="1">
        <f t="shared" si="31"/>
        <v>-2.3025850929940455</v>
      </c>
      <c r="K439" s="1">
        <f t="shared" si="32"/>
        <v>-6.5567783561580422</v>
      </c>
    </row>
    <row r="440" spans="1:11">
      <c r="A440" s="483">
        <f t="shared" si="33"/>
        <v>434</v>
      </c>
      <c r="B440" s="485">
        <v>36305</v>
      </c>
      <c r="C440" s="473">
        <v>0.70694444444444438</v>
      </c>
      <c r="D440" s="484" t="s">
        <v>118</v>
      </c>
      <c r="E440" s="472" t="s">
        <v>122</v>
      </c>
      <c r="F440" s="486">
        <v>25</v>
      </c>
      <c r="G440" s="611">
        <v>0.3</v>
      </c>
      <c r="H440" s="829">
        <f t="shared" si="34"/>
        <v>4.261363636363636E-3</v>
      </c>
      <c r="I440" s="1">
        <f t="shared" si="30"/>
        <v>3.2188758248682006</v>
      </c>
      <c r="J440" s="1">
        <f t="shared" si="31"/>
        <v>-1.2039728043259361</v>
      </c>
      <c r="K440" s="1">
        <f t="shared" si="32"/>
        <v>-5.458166067489933</v>
      </c>
    </row>
    <row r="441" spans="1:11">
      <c r="A441" s="483">
        <f t="shared" si="33"/>
        <v>435</v>
      </c>
      <c r="B441" s="485">
        <v>36305</v>
      </c>
      <c r="C441" s="473">
        <v>0.71180555555555547</v>
      </c>
      <c r="D441" s="484" t="s">
        <v>118</v>
      </c>
      <c r="E441" s="472" t="s">
        <v>122</v>
      </c>
      <c r="F441" s="486">
        <v>25</v>
      </c>
      <c r="G441" s="611">
        <v>1</v>
      </c>
      <c r="H441" s="829">
        <f t="shared" si="34"/>
        <v>1.4204545454545454E-2</v>
      </c>
      <c r="I441" s="1">
        <f t="shared" si="30"/>
        <v>3.2188758248682006</v>
      </c>
      <c r="J441" s="1">
        <f t="shared" si="31"/>
        <v>0</v>
      </c>
      <c r="K441" s="1">
        <f t="shared" si="32"/>
        <v>-4.2541932631639972</v>
      </c>
    </row>
    <row r="442" spans="1:11">
      <c r="A442" s="483">
        <f t="shared" si="33"/>
        <v>436</v>
      </c>
      <c r="B442" s="485">
        <v>36305</v>
      </c>
      <c r="C442" s="473">
        <v>0.82986111111111116</v>
      </c>
      <c r="D442" s="484" t="s">
        <v>118</v>
      </c>
      <c r="E442" s="472" t="s">
        <v>122</v>
      </c>
      <c r="F442" s="486">
        <v>25</v>
      </c>
      <c r="G442" s="611">
        <v>0.1</v>
      </c>
      <c r="H442" s="829">
        <f t="shared" si="34"/>
        <v>1.4204545454545455E-3</v>
      </c>
      <c r="I442" s="1">
        <f t="shared" si="30"/>
        <v>3.2188758248682006</v>
      </c>
      <c r="J442" s="1">
        <f t="shared" si="31"/>
        <v>-2.3025850929940455</v>
      </c>
      <c r="K442" s="1">
        <f t="shared" si="32"/>
        <v>-6.5567783561580422</v>
      </c>
    </row>
    <row r="443" spans="1:11">
      <c r="A443" s="483">
        <f t="shared" si="33"/>
        <v>437</v>
      </c>
      <c r="B443" s="485">
        <v>36313</v>
      </c>
      <c r="C443" s="473">
        <v>0.81111111111111101</v>
      </c>
      <c r="D443" s="484" t="s">
        <v>110</v>
      </c>
      <c r="E443" s="472" t="s">
        <v>122</v>
      </c>
      <c r="F443" s="486">
        <v>25</v>
      </c>
      <c r="G443" s="611">
        <v>0.1</v>
      </c>
      <c r="H443" s="829">
        <f t="shared" si="34"/>
        <v>1.4204545454545455E-3</v>
      </c>
      <c r="I443" s="1">
        <f t="shared" si="30"/>
        <v>3.2188758248682006</v>
      </c>
      <c r="J443" s="1">
        <f t="shared" si="31"/>
        <v>-2.3025850929940455</v>
      </c>
      <c r="K443" s="1">
        <f t="shared" si="32"/>
        <v>-6.5567783561580422</v>
      </c>
    </row>
    <row r="444" spans="1:11">
      <c r="A444" s="483">
        <f t="shared" si="33"/>
        <v>438</v>
      </c>
      <c r="B444" s="485">
        <v>36315</v>
      </c>
      <c r="C444" s="473">
        <v>0.85902777777777783</v>
      </c>
      <c r="D444" s="484" t="s">
        <v>100</v>
      </c>
      <c r="E444" s="472" t="s">
        <v>122</v>
      </c>
      <c r="F444" s="486">
        <v>15</v>
      </c>
      <c r="G444" s="611">
        <v>0.1</v>
      </c>
      <c r="H444" s="829">
        <f t="shared" si="34"/>
        <v>8.5227272727272723E-4</v>
      </c>
      <c r="I444" s="1">
        <f t="shared" si="30"/>
        <v>2.7080502011022101</v>
      </c>
      <c r="J444" s="1">
        <f t="shared" si="31"/>
        <v>-2.3025850929940455</v>
      </c>
      <c r="K444" s="1">
        <f t="shared" si="32"/>
        <v>-7.0676039799240336</v>
      </c>
    </row>
    <row r="445" spans="1:11">
      <c r="A445" s="483">
        <f t="shared" si="33"/>
        <v>439</v>
      </c>
      <c r="B445" s="485">
        <v>36335</v>
      </c>
      <c r="C445" s="473">
        <v>0.66388888888888886</v>
      </c>
      <c r="D445" s="484" t="s">
        <v>109</v>
      </c>
      <c r="E445" s="472" t="s">
        <v>122</v>
      </c>
      <c r="F445" s="486">
        <v>25</v>
      </c>
      <c r="G445" s="611">
        <v>0.1</v>
      </c>
      <c r="H445" s="829">
        <f t="shared" si="34"/>
        <v>1.4204545454545455E-3</v>
      </c>
      <c r="I445" s="1">
        <f t="shared" si="30"/>
        <v>3.2188758248682006</v>
      </c>
      <c r="J445" s="1">
        <f t="shared" si="31"/>
        <v>-2.3025850929940455</v>
      </c>
      <c r="K445" s="1">
        <f t="shared" si="32"/>
        <v>-6.5567783561580422</v>
      </c>
    </row>
    <row r="446" spans="1:11">
      <c r="A446" s="483">
        <f t="shared" si="33"/>
        <v>440</v>
      </c>
      <c r="B446" s="485">
        <v>36335</v>
      </c>
      <c r="C446" s="473">
        <v>0.75</v>
      </c>
      <c r="D446" s="484" t="s">
        <v>113</v>
      </c>
      <c r="E446" s="472" t="s">
        <v>122</v>
      </c>
      <c r="F446" s="486">
        <v>50</v>
      </c>
      <c r="G446" s="611">
        <v>0.2</v>
      </c>
      <c r="H446" s="829">
        <f t="shared" si="34"/>
        <v>5.681818181818182E-3</v>
      </c>
      <c r="I446" s="1">
        <f t="shared" si="30"/>
        <v>3.912023005428146</v>
      </c>
      <c r="J446" s="1">
        <f t="shared" si="31"/>
        <v>-1.6094379124341003</v>
      </c>
      <c r="K446" s="1">
        <f t="shared" si="32"/>
        <v>-5.1704839950381514</v>
      </c>
    </row>
    <row r="447" spans="1:11">
      <c r="A447" s="483">
        <f t="shared" si="33"/>
        <v>441</v>
      </c>
      <c r="B447" s="485">
        <v>36340</v>
      </c>
      <c r="C447" s="473">
        <v>0.65555555555555556</v>
      </c>
      <c r="D447" s="484" t="s">
        <v>100</v>
      </c>
      <c r="E447" s="472" t="s">
        <v>122</v>
      </c>
      <c r="F447" s="486">
        <v>25</v>
      </c>
      <c r="G447" s="611">
        <v>0.1</v>
      </c>
      <c r="H447" s="829">
        <f t="shared" si="34"/>
        <v>1.4204545454545455E-3</v>
      </c>
      <c r="I447" s="1">
        <f t="shared" si="30"/>
        <v>3.2188758248682006</v>
      </c>
      <c r="J447" s="1">
        <f t="shared" si="31"/>
        <v>-2.3025850929940455</v>
      </c>
      <c r="K447" s="1">
        <f t="shared" si="32"/>
        <v>-6.5567783561580422</v>
      </c>
    </row>
    <row r="448" spans="1:11">
      <c r="A448" s="483">
        <f t="shared" si="33"/>
        <v>442</v>
      </c>
      <c r="B448" s="485">
        <v>36340</v>
      </c>
      <c r="C448" s="473">
        <v>0.69097222222222221</v>
      </c>
      <c r="D448" s="484" t="s">
        <v>100</v>
      </c>
      <c r="E448" s="472" t="s">
        <v>122</v>
      </c>
      <c r="F448" s="486">
        <v>25</v>
      </c>
      <c r="G448" s="611">
        <v>0.1</v>
      </c>
      <c r="H448" s="829">
        <f t="shared" si="34"/>
        <v>1.4204545454545455E-3</v>
      </c>
      <c r="I448" s="1">
        <f t="shared" si="30"/>
        <v>3.2188758248682006</v>
      </c>
      <c r="J448" s="1">
        <f t="shared" si="31"/>
        <v>-2.3025850929940455</v>
      </c>
      <c r="K448" s="1">
        <f t="shared" si="32"/>
        <v>-6.5567783561580422</v>
      </c>
    </row>
    <row r="449" spans="1:11">
      <c r="A449" s="483">
        <f t="shared" si="33"/>
        <v>443</v>
      </c>
      <c r="B449" s="485">
        <v>36340</v>
      </c>
      <c r="C449" s="473">
        <v>0.75347222222222221</v>
      </c>
      <c r="D449" s="484" t="s">
        <v>104</v>
      </c>
      <c r="E449" s="472" t="s">
        <v>122</v>
      </c>
      <c r="F449" s="486">
        <v>25</v>
      </c>
      <c r="G449" s="611">
        <v>0.1</v>
      </c>
      <c r="H449" s="829">
        <f t="shared" si="34"/>
        <v>1.4204545454545455E-3</v>
      </c>
      <c r="I449" s="1">
        <f t="shared" si="30"/>
        <v>3.2188758248682006</v>
      </c>
      <c r="J449" s="1">
        <f t="shared" si="31"/>
        <v>-2.3025850929940455</v>
      </c>
      <c r="K449" s="1">
        <f t="shared" si="32"/>
        <v>-6.5567783561580422</v>
      </c>
    </row>
    <row r="450" spans="1:11">
      <c r="A450" s="483">
        <f t="shared" si="33"/>
        <v>444</v>
      </c>
      <c r="B450" s="485">
        <v>36340</v>
      </c>
      <c r="C450" s="473">
        <v>0.7583333333333333</v>
      </c>
      <c r="D450" s="484" t="s">
        <v>104</v>
      </c>
      <c r="E450" s="472" t="s">
        <v>122</v>
      </c>
      <c r="F450" s="486">
        <v>50</v>
      </c>
      <c r="G450" s="611">
        <v>1</v>
      </c>
      <c r="H450" s="829">
        <f t="shared" si="34"/>
        <v>2.8409090909090908E-2</v>
      </c>
      <c r="I450" s="1">
        <f t="shared" si="30"/>
        <v>3.912023005428146</v>
      </c>
      <c r="J450" s="1">
        <f t="shared" si="31"/>
        <v>0</v>
      </c>
      <c r="K450" s="1">
        <f t="shared" si="32"/>
        <v>-3.5610460826040513</v>
      </c>
    </row>
    <row r="451" spans="1:11">
      <c r="A451" s="483">
        <f t="shared" si="33"/>
        <v>445</v>
      </c>
      <c r="B451" s="485">
        <v>36340</v>
      </c>
      <c r="C451" s="473">
        <v>0.76458333333333339</v>
      </c>
      <c r="D451" s="484" t="s">
        <v>104</v>
      </c>
      <c r="E451" s="472" t="s">
        <v>122</v>
      </c>
      <c r="F451" s="486">
        <v>25</v>
      </c>
      <c r="G451" s="611">
        <v>0.1</v>
      </c>
      <c r="H451" s="829">
        <f t="shared" si="34"/>
        <v>1.4204545454545455E-3</v>
      </c>
      <c r="I451" s="1">
        <f t="shared" si="30"/>
        <v>3.2188758248682006</v>
      </c>
      <c r="J451" s="1">
        <f t="shared" si="31"/>
        <v>-2.3025850929940455</v>
      </c>
      <c r="K451" s="1">
        <f t="shared" si="32"/>
        <v>-6.5567783561580422</v>
      </c>
    </row>
    <row r="452" spans="1:11">
      <c r="A452" s="483">
        <f t="shared" si="33"/>
        <v>446</v>
      </c>
      <c r="B452" s="485">
        <v>36340</v>
      </c>
      <c r="C452" s="473">
        <v>0.77708333333333324</v>
      </c>
      <c r="D452" s="484" t="s">
        <v>104</v>
      </c>
      <c r="E452" s="472" t="s">
        <v>122</v>
      </c>
      <c r="F452" s="486">
        <v>25</v>
      </c>
      <c r="G452" s="611">
        <v>0.1</v>
      </c>
      <c r="H452" s="829">
        <f t="shared" si="34"/>
        <v>1.4204545454545455E-3</v>
      </c>
      <c r="I452" s="1">
        <f t="shared" si="30"/>
        <v>3.2188758248682006</v>
      </c>
      <c r="J452" s="1">
        <f t="shared" si="31"/>
        <v>-2.3025850929940455</v>
      </c>
      <c r="K452" s="1">
        <f t="shared" si="32"/>
        <v>-6.5567783561580422</v>
      </c>
    </row>
    <row r="453" spans="1:11">
      <c r="A453" s="483">
        <f t="shared" si="33"/>
        <v>447</v>
      </c>
      <c r="B453" s="485">
        <v>36340</v>
      </c>
      <c r="C453" s="473">
        <v>0.77916666666666667</v>
      </c>
      <c r="D453" s="484" t="s">
        <v>114</v>
      </c>
      <c r="E453" s="472" t="s">
        <v>122</v>
      </c>
      <c r="F453" s="486">
        <v>25</v>
      </c>
      <c r="G453" s="611">
        <v>0.1</v>
      </c>
      <c r="H453" s="829">
        <f t="shared" si="34"/>
        <v>1.4204545454545455E-3</v>
      </c>
      <c r="I453" s="1">
        <f t="shared" si="30"/>
        <v>3.2188758248682006</v>
      </c>
      <c r="J453" s="1">
        <f t="shared" si="31"/>
        <v>-2.3025850929940455</v>
      </c>
      <c r="K453" s="1">
        <f t="shared" si="32"/>
        <v>-6.5567783561580422</v>
      </c>
    </row>
    <row r="454" spans="1:11">
      <c r="A454" s="483">
        <f t="shared" si="33"/>
        <v>448</v>
      </c>
      <c r="B454" s="485">
        <v>36340</v>
      </c>
      <c r="C454" s="473">
        <v>0.78472222222222221</v>
      </c>
      <c r="D454" s="484" t="s">
        <v>104</v>
      </c>
      <c r="E454" s="472" t="s">
        <v>122</v>
      </c>
      <c r="F454" s="486">
        <v>25</v>
      </c>
      <c r="G454" s="611">
        <v>0.1</v>
      </c>
      <c r="H454" s="829">
        <f t="shared" si="34"/>
        <v>1.4204545454545455E-3</v>
      </c>
      <c r="I454" s="1">
        <f t="shared" si="30"/>
        <v>3.2188758248682006</v>
      </c>
      <c r="J454" s="1">
        <f t="shared" si="31"/>
        <v>-2.3025850929940455</v>
      </c>
      <c r="K454" s="1">
        <f t="shared" si="32"/>
        <v>-6.5567783561580422</v>
      </c>
    </row>
    <row r="455" spans="1:11">
      <c r="A455" s="483">
        <f t="shared" si="33"/>
        <v>449</v>
      </c>
      <c r="B455" s="485">
        <v>36340</v>
      </c>
      <c r="C455" s="473">
        <v>0.78888888888888886</v>
      </c>
      <c r="D455" s="484" t="s">
        <v>104</v>
      </c>
      <c r="E455" s="472" t="s">
        <v>122</v>
      </c>
      <c r="F455" s="486">
        <v>25</v>
      </c>
      <c r="G455" s="611">
        <v>0.1</v>
      </c>
      <c r="H455" s="829">
        <f t="shared" si="34"/>
        <v>1.4204545454545455E-3</v>
      </c>
      <c r="I455" s="1">
        <f t="shared" si="30"/>
        <v>3.2188758248682006</v>
      </c>
      <c r="J455" s="1">
        <f t="shared" si="31"/>
        <v>-2.3025850929940455</v>
      </c>
      <c r="K455" s="1">
        <f t="shared" si="32"/>
        <v>-6.5567783561580422</v>
      </c>
    </row>
    <row r="456" spans="1:11">
      <c r="A456" s="483">
        <f t="shared" si="33"/>
        <v>450</v>
      </c>
      <c r="B456" s="485">
        <v>36340</v>
      </c>
      <c r="C456" s="473">
        <v>0.79027777777777775</v>
      </c>
      <c r="D456" s="484" t="s">
        <v>114</v>
      </c>
      <c r="E456" s="472" t="s">
        <v>122</v>
      </c>
      <c r="F456" s="486">
        <v>50</v>
      </c>
      <c r="G456" s="611">
        <v>0.8</v>
      </c>
      <c r="H456" s="829">
        <f t="shared" si="34"/>
        <v>2.2727272727272728E-2</v>
      </c>
      <c r="I456" s="1">
        <f t="shared" ref="I456:I519" si="35">LN(F456)</f>
        <v>3.912023005428146</v>
      </c>
      <c r="J456" s="1">
        <f t="shared" ref="J456:J519" si="36">LN(G456)</f>
        <v>-0.22314355131420971</v>
      </c>
      <c r="K456" s="1">
        <f t="shared" ref="K456:K519" si="37">LN(H456)</f>
        <v>-3.784189633918261</v>
      </c>
    </row>
    <row r="457" spans="1:11">
      <c r="A457" s="483">
        <f t="shared" ref="A457:A520" si="38">+A456+1</f>
        <v>451</v>
      </c>
      <c r="B457" s="485">
        <v>36340</v>
      </c>
      <c r="C457" s="473">
        <v>0.80069444444444438</v>
      </c>
      <c r="D457" s="484" t="s">
        <v>114</v>
      </c>
      <c r="E457" s="472" t="s">
        <v>122</v>
      </c>
      <c r="F457" s="486">
        <v>25</v>
      </c>
      <c r="G457" s="611">
        <v>0.3</v>
      </c>
      <c r="H457" s="829">
        <f t="shared" ref="H457:H520" si="39">+(F457/1760)*G457</f>
        <v>4.261363636363636E-3</v>
      </c>
      <c r="I457" s="1">
        <f t="shared" si="35"/>
        <v>3.2188758248682006</v>
      </c>
      <c r="J457" s="1">
        <f t="shared" si="36"/>
        <v>-1.2039728043259361</v>
      </c>
      <c r="K457" s="1">
        <f t="shared" si="37"/>
        <v>-5.458166067489933</v>
      </c>
    </row>
    <row r="458" spans="1:11">
      <c r="A458" s="483">
        <f t="shared" si="38"/>
        <v>452</v>
      </c>
      <c r="B458" s="485">
        <v>36340</v>
      </c>
      <c r="C458" s="473">
        <v>0.80208333333333337</v>
      </c>
      <c r="D458" s="484" t="s">
        <v>114</v>
      </c>
      <c r="E458" s="472" t="s">
        <v>122</v>
      </c>
      <c r="F458" s="486">
        <v>25</v>
      </c>
      <c r="G458" s="611">
        <v>0.1</v>
      </c>
      <c r="H458" s="829">
        <f t="shared" si="39"/>
        <v>1.4204545454545455E-3</v>
      </c>
      <c r="I458" s="1">
        <f t="shared" si="35"/>
        <v>3.2188758248682006</v>
      </c>
      <c r="J458" s="1">
        <f t="shared" si="36"/>
        <v>-2.3025850929940455</v>
      </c>
      <c r="K458" s="1">
        <f t="shared" si="37"/>
        <v>-6.5567783561580422</v>
      </c>
    </row>
    <row r="459" spans="1:11">
      <c r="A459" s="483">
        <f t="shared" si="38"/>
        <v>453</v>
      </c>
      <c r="B459" s="485">
        <v>36340</v>
      </c>
      <c r="C459" s="473">
        <v>0.99305555555555547</v>
      </c>
      <c r="D459" s="484" t="s">
        <v>104</v>
      </c>
      <c r="E459" s="472" t="s">
        <v>122</v>
      </c>
      <c r="F459" s="486">
        <v>25</v>
      </c>
      <c r="G459" s="611">
        <v>0.2</v>
      </c>
      <c r="H459" s="829">
        <f t="shared" si="39"/>
        <v>2.840909090909091E-3</v>
      </c>
      <c r="I459" s="1">
        <f t="shared" si="35"/>
        <v>3.2188758248682006</v>
      </c>
      <c r="J459" s="1">
        <f t="shared" si="36"/>
        <v>-1.6094379124341003</v>
      </c>
      <c r="K459" s="1">
        <f t="shared" si="37"/>
        <v>-5.8636311755980968</v>
      </c>
    </row>
    <row r="460" spans="1:11">
      <c r="A460" s="483">
        <f t="shared" si="38"/>
        <v>454</v>
      </c>
      <c r="B460" s="499">
        <v>36580</v>
      </c>
      <c r="C460" s="473">
        <v>0.77916666666666667</v>
      </c>
      <c r="D460" s="484" t="s">
        <v>110</v>
      </c>
      <c r="E460" s="472" t="s">
        <v>122</v>
      </c>
      <c r="F460" s="486">
        <v>25</v>
      </c>
      <c r="G460" s="611">
        <v>2</v>
      </c>
      <c r="H460" s="829">
        <f t="shared" si="39"/>
        <v>2.8409090909090908E-2</v>
      </c>
      <c r="I460" s="1">
        <f t="shared" si="35"/>
        <v>3.2188758248682006</v>
      </c>
      <c r="J460" s="1">
        <f t="shared" si="36"/>
        <v>0.69314718055994529</v>
      </c>
      <c r="K460" s="1">
        <f t="shared" si="37"/>
        <v>-3.5610460826040513</v>
      </c>
    </row>
    <row r="461" spans="1:11">
      <c r="A461" s="483">
        <f t="shared" si="38"/>
        <v>455</v>
      </c>
      <c r="B461" s="499">
        <v>36671</v>
      </c>
      <c r="C461" s="473">
        <v>0.82708333333333339</v>
      </c>
      <c r="D461" s="484" t="s">
        <v>117</v>
      </c>
      <c r="E461" s="472" t="s">
        <v>122</v>
      </c>
      <c r="F461" s="486">
        <v>25</v>
      </c>
      <c r="G461" s="611">
        <v>0.5</v>
      </c>
      <c r="H461" s="829">
        <f t="shared" si="39"/>
        <v>7.102272727272727E-3</v>
      </c>
      <c r="I461" s="1">
        <f t="shared" si="35"/>
        <v>3.2188758248682006</v>
      </c>
      <c r="J461" s="1">
        <f t="shared" si="36"/>
        <v>-0.69314718055994529</v>
      </c>
      <c r="K461" s="1">
        <f t="shared" si="37"/>
        <v>-4.9473404437239417</v>
      </c>
    </row>
    <row r="462" spans="1:11">
      <c r="A462" s="483">
        <f t="shared" si="38"/>
        <v>456</v>
      </c>
      <c r="B462" s="499">
        <v>36690</v>
      </c>
      <c r="C462" s="473">
        <v>0.66249999999999998</v>
      </c>
      <c r="D462" s="484" t="s">
        <v>105</v>
      </c>
      <c r="E462" s="472" t="s">
        <v>122</v>
      </c>
      <c r="F462" s="486">
        <v>25</v>
      </c>
      <c r="G462" s="611">
        <v>0.1</v>
      </c>
      <c r="H462" s="829">
        <f t="shared" si="39"/>
        <v>1.4204545454545455E-3</v>
      </c>
      <c r="I462" s="1">
        <f t="shared" si="35"/>
        <v>3.2188758248682006</v>
      </c>
      <c r="J462" s="1">
        <f t="shared" si="36"/>
        <v>-2.3025850929940455</v>
      </c>
      <c r="K462" s="1">
        <f t="shared" si="37"/>
        <v>-6.5567783561580422</v>
      </c>
    </row>
    <row r="463" spans="1:11">
      <c r="A463" s="483">
        <f t="shared" si="38"/>
        <v>457</v>
      </c>
      <c r="B463" s="499">
        <v>36690</v>
      </c>
      <c r="C463" s="473">
        <v>0.82361111111111107</v>
      </c>
      <c r="D463" s="484" t="s">
        <v>111</v>
      </c>
      <c r="E463" s="472" t="s">
        <v>122</v>
      </c>
      <c r="F463" s="486">
        <v>25</v>
      </c>
      <c r="G463" s="611">
        <v>0.1</v>
      </c>
      <c r="H463" s="829">
        <f t="shared" si="39"/>
        <v>1.4204545454545455E-3</v>
      </c>
      <c r="I463" s="1">
        <f t="shared" si="35"/>
        <v>3.2188758248682006</v>
      </c>
      <c r="J463" s="1">
        <f t="shared" si="36"/>
        <v>-2.3025850929940455</v>
      </c>
      <c r="K463" s="1">
        <f t="shared" si="37"/>
        <v>-6.5567783561580422</v>
      </c>
    </row>
    <row r="464" spans="1:11">
      <c r="A464" s="483">
        <f t="shared" si="38"/>
        <v>458</v>
      </c>
      <c r="B464" s="499">
        <v>36702</v>
      </c>
      <c r="C464" s="473">
        <v>0.66180555555555554</v>
      </c>
      <c r="D464" s="484" t="s">
        <v>114</v>
      </c>
      <c r="E464" s="472" t="s">
        <v>122</v>
      </c>
      <c r="F464" s="486">
        <v>25</v>
      </c>
      <c r="G464" s="611">
        <v>1.5</v>
      </c>
      <c r="H464" s="829">
        <f t="shared" si="39"/>
        <v>2.130681818181818E-2</v>
      </c>
      <c r="I464" s="1">
        <f t="shared" si="35"/>
        <v>3.2188758248682006</v>
      </c>
      <c r="J464" s="1">
        <f t="shared" si="36"/>
        <v>0.40546510810816438</v>
      </c>
      <c r="K464" s="1">
        <f t="shared" si="37"/>
        <v>-3.8487281550558325</v>
      </c>
    </row>
    <row r="465" spans="1:11">
      <c r="A465" s="483">
        <f t="shared" si="38"/>
        <v>459</v>
      </c>
      <c r="B465" s="499">
        <v>36702</v>
      </c>
      <c r="C465" s="473">
        <v>0.68263888888888891</v>
      </c>
      <c r="D465" s="484" t="s">
        <v>114</v>
      </c>
      <c r="E465" s="472" t="s">
        <v>122</v>
      </c>
      <c r="F465" s="486">
        <v>25</v>
      </c>
      <c r="G465" s="611">
        <v>0.1</v>
      </c>
      <c r="H465" s="829">
        <f t="shared" si="39"/>
        <v>1.4204545454545455E-3</v>
      </c>
      <c r="I465" s="1">
        <f t="shared" si="35"/>
        <v>3.2188758248682006</v>
      </c>
      <c r="J465" s="1">
        <f t="shared" si="36"/>
        <v>-2.3025850929940455</v>
      </c>
      <c r="K465" s="1">
        <f t="shared" si="37"/>
        <v>-6.5567783561580422</v>
      </c>
    </row>
    <row r="466" spans="1:11">
      <c r="A466" s="483">
        <f t="shared" si="38"/>
        <v>460</v>
      </c>
      <c r="B466" s="499">
        <v>36822</v>
      </c>
      <c r="C466" s="473">
        <v>0.54861111111111105</v>
      </c>
      <c r="D466" s="484" t="s">
        <v>118</v>
      </c>
      <c r="E466" s="472" t="s">
        <v>122</v>
      </c>
      <c r="F466" s="486">
        <v>50</v>
      </c>
      <c r="G466" s="611">
        <v>0.4</v>
      </c>
      <c r="H466" s="829">
        <f t="shared" si="39"/>
        <v>1.1363636363636364E-2</v>
      </c>
      <c r="I466" s="1">
        <f t="shared" si="35"/>
        <v>3.912023005428146</v>
      </c>
      <c r="J466" s="1">
        <f t="shared" si="36"/>
        <v>-0.916290731874155</v>
      </c>
      <c r="K466" s="1">
        <f t="shared" si="37"/>
        <v>-4.4773368144782069</v>
      </c>
    </row>
    <row r="467" spans="1:11">
      <c r="A467" s="483">
        <f t="shared" si="38"/>
        <v>461</v>
      </c>
      <c r="B467" s="499">
        <v>36822</v>
      </c>
      <c r="C467" s="473">
        <v>0.55208333333333337</v>
      </c>
      <c r="D467" s="484" t="s">
        <v>113</v>
      </c>
      <c r="E467" s="472" t="s">
        <v>122</v>
      </c>
      <c r="F467" s="486">
        <v>50</v>
      </c>
      <c r="G467" s="611">
        <v>0.1</v>
      </c>
      <c r="H467" s="829">
        <f t="shared" si="39"/>
        <v>2.840909090909091E-3</v>
      </c>
      <c r="I467" s="1">
        <f t="shared" si="35"/>
        <v>3.912023005428146</v>
      </c>
      <c r="J467" s="1">
        <f t="shared" si="36"/>
        <v>-2.3025850929940455</v>
      </c>
      <c r="K467" s="1">
        <f t="shared" si="37"/>
        <v>-5.8636311755980968</v>
      </c>
    </row>
    <row r="468" spans="1:11">
      <c r="A468" s="483">
        <f t="shared" si="38"/>
        <v>462</v>
      </c>
      <c r="B468" s="499">
        <v>36973</v>
      </c>
      <c r="C468" s="473">
        <v>0.625</v>
      </c>
      <c r="D468" s="484" t="s">
        <v>102</v>
      </c>
      <c r="E468" s="472" t="s">
        <v>122</v>
      </c>
      <c r="F468" s="486">
        <v>25</v>
      </c>
      <c r="G468" s="611">
        <v>0.1</v>
      </c>
      <c r="H468" s="829">
        <f t="shared" si="39"/>
        <v>1.4204545454545455E-3</v>
      </c>
      <c r="I468" s="1">
        <f t="shared" si="35"/>
        <v>3.2188758248682006</v>
      </c>
      <c r="J468" s="1">
        <f t="shared" si="36"/>
        <v>-2.3025850929940455</v>
      </c>
      <c r="K468" s="1">
        <f t="shared" si="37"/>
        <v>-6.5567783561580422</v>
      </c>
    </row>
    <row r="469" spans="1:11">
      <c r="A469" s="483">
        <f t="shared" si="38"/>
        <v>463</v>
      </c>
      <c r="B469" s="485">
        <v>36991</v>
      </c>
      <c r="C469" s="473">
        <v>0.96527777777777779</v>
      </c>
      <c r="D469" s="484" t="s">
        <v>101</v>
      </c>
      <c r="E469" s="472" t="s">
        <v>122</v>
      </c>
      <c r="F469" s="486">
        <v>50</v>
      </c>
      <c r="G469" s="611">
        <v>2</v>
      </c>
      <c r="H469" s="829">
        <f t="shared" si="39"/>
        <v>5.6818181818181816E-2</v>
      </c>
      <c r="I469" s="1">
        <f t="shared" si="35"/>
        <v>3.912023005428146</v>
      </c>
      <c r="J469" s="1">
        <f t="shared" si="36"/>
        <v>0.69314718055994529</v>
      </c>
      <c r="K469" s="1">
        <f t="shared" si="37"/>
        <v>-2.8678989020441059</v>
      </c>
    </row>
    <row r="470" spans="1:11">
      <c r="A470" s="483">
        <f t="shared" si="38"/>
        <v>464</v>
      </c>
      <c r="B470" s="485">
        <v>37011</v>
      </c>
      <c r="C470" s="473">
        <v>0.8208333333333333</v>
      </c>
      <c r="D470" s="484" t="s">
        <v>114</v>
      </c>
      <c r="E470" s="472" t="s">
        <v>122</v>
      </c>
      <c r="F470" s="486">
        <v>10</v>
      </c>
      <c r="G470" s="611">
        <v>0.1</v>
      </c>
      <c r="H470" s="829">
        <f t="shared" si="39"/>
        <v>5.6818181818181826E-4</v>
      </c>
      <c r="I470" s="1">
        <f t="shared" si="35"/>
        <v>2.3025850929940459</v>
      </c>
      <c r="J470" s="1">
        <f t="shared" si="36"/>
        <v>-2.3025850929940455</v>
      </c>
      <c r="K470" s="1">
        <f t="shared" si="37"/>
        <v>-7.4730690880321973</v>
      </c>
    </row>
    <row r="471" spans="1:11">
      <c r="A471" s="483">
        <f t="shared" si="38"/>
        <v>465</v>
      </c>
      <c r="B471" s="485">
        <v>37030</v>
      </c>
      <c r="C471" s="473">
        <v>0.40625</v>
      </c>
      <c r="D471" s="484" t="s">
        <v>110</v>
      </c>
      <c r="E471" s="472" t="s">
        <v>122</v>
      </c>
      <c r="F471" s="486">
        <v>25</v>
      </c>
      <c r="G471" s="611">
        <v>0.2</v>
      </c>
      <c r="H471" s="829">
        <f t="shared" si="39"/>
        <v>2.840909090909091E-3</v>
      </c>
      <c r="I471" s="1">
        <f t="shared" si="35"/>
        <v>3.2188758248682006</v>
      </c>
      <c r="J471" s="1">
        <f t="shared" si="36"/>
        <v>-1.6094379124341003</v>
      </c>
      <c r="K471" s="1">
        <f t="shared" si="37"/>
        <v>-5.8636311755980968</v>
      </c>
    </row>
    <row r="472" spans="1:11">
      <c r="A472" s="483">
        <f t="shared" si="38"/>
        <v>466</v>
      </c>
      <c r="B472" s="485">
        <v>37040</v>
      </c>
      <c r="C472" s="473">
        <v>0.69791666666666663</v>
      </c>
      <c r="D472" s="484" t="s">
        <v>118</v>
      </c>
      <c r="E472" s="472" t="s">
        <v>122</v>
      </c>
      <c r="F472" s="486">
        <v>25</v>
      </c>
      <c r="G472" s="611">
        <v>0.1</v>
      </c>
      <c r="H472" s="829">
        <f t="shared" si="39"/>
        <v>1.4204545454545455E-3</v>
      </c>
      <c r="I472" s="1">
        <f t="shared" si="35"/>
        <v>3.2188758248682006</v>
      </c>
      <c r="J472" s="1">
        <f t="shared" si="36"/>
        <v>-2.3025850929940455</v>
      </c>
      <c r="K472" s="1">
        <f t="shared" si="37"/>
        <v>-6.5567783561580422</v>
      </c>
    </row>
    <row r="473" spans="1:11">
      <c r="A473" s="483">
        <f t="shared" si="38"/>
        <v>467</v>
      </c>
      <c r="B473" s="485">
        <v>37040</v>
      </c>
      <c r="C473" s="473">
        <v>0.74652777777777779</v>
      </c>
      <c r="D473" s="484" t="s">
        <v>114</v>
      </c>
      <c r="E473" s="472" t="s">
        <v>122</v>
      </c>
      <c r="F473" s="486">
        <v>25</v>
      </c>
      <c r="G473" s="611">
        <v>0.2</v>
      </c>
      <c r="H473" s="829">
        <f t="shared" si="39"/>
        <v>2.840909090909091E-3</v>
      </c>
      <c r="I473" s="1">
        <f t="shared" si="35"/>
        <v>3.2188758248682006</v>
      </c>
      <c r="J473" s="1">
        <f t="shared" si="36"/>
        <v>-1.6094379124341003</v>
      </c>
      <c r="K473" s="1">
        <f t="shared" si="37"/>
        <v>-5.8636311755980968</v>
      </c>
    </row>
    <row r="474" spans="1:11">
      <c r="A474" s="483">
        <f t="shared" si="38"/>
        <v>468</v>
      </c>
      <c r="B474" s="485">
        <v>37040</v>
      </c>
      <c r="C474" s="473">
        <v>0.75138888888888899</v>
      </c>
      <c r="D474" s="484" t="s">
        <v>114</v>
      </c>
      <c r="E474" s="472" t="s">
        <v>122</v>
      </c>
      <c r="F474" s="486">
        <v>25</v>
      </c>
      <c r="G474" s="611">
        <v>0.1</v>
      </c>
      <c r="H474" s="829">
        <f t="shared" si="39"/>
        <v>1.4204545454545455E-3</v>
      </c>
      <c r="I474" s="1">
        <f t="shared" si="35"/>
        <v>3.2188758248682006</v>
      </c>
      <c r="J474" s="1">
        <f t="shared" si="36"/>
        <v>-2.3025850929940455</v>
      </c>
      <c r="K474" s="1">
        <f t="shared" si="37"/>
        <v>-6.5567783561580422</v>
      </c>
    </row>
    <row r="475" spans="1:11">
      <c r="A475" s="483">
        <f t="shared" si="38"/>
        <v>469</v>
      </c>
      <c r="B475" s="485">
        <v>37040</v>
      </c>
      <c r="C475" s="473">
        <v>0.75347222222222221</v>
      </c>
      <c r="D475" s="484" t="s">
        <v>114</v>
      </c>
      <c r="E475" s="472" t="s">
        <v>122</v>
      </c>
      <c r="F475" s="486">
        <v>25</v>
      </c>
      <c r="G475" s="611">
        <v>0.1</v>
      </c>
      <c r="H475" s="829">
        <f t="shared" si="39"/>
        <v>1.4204545454545455E-3</v>
      </c>
      <c r="I475" s="1">
        <f t="shared" si="35"/>
        <v>3.2188758248682006</v>
      </c>
      <c r="J475" s="1">
        <f t="shared" si="36"/>
        <v>-2.3025850929940455</v>
      </c>
      <c r="K475" s="1">
        <f t="shared" si="37"/>
        <v>-6.5567783561580422</v>
      </c>
    </row>
    <row r="476" spans="1:11">
      <c r="A476" s="483">
        <f t="shared" si="38"/>
        <v>470</v>
      </c>
      <c r="B476" s="485">
        <v>37040</v>
      </c>
      <c r="C476" s="473">
        <v>0.75486111111111109</v>
      </c>
      <c r="D476" s="484" t="s">
        <v>114</v>
      </c>
      <c r="E476" s="472" t="s">
        <v>122</v>
      </c>
      <c r="F476" s="486">
        <v>20</v>
      </c>
      <c r="G476" s="611">
        <v>0.1</v>
      </c>
      <c r="H476" s="829">
        <f t="shared" si="39"/>
        <v>1.1363636363636365E-3</v>
      </c>
      <c r="I476" s="1">
        <f t="shared" si="35"/>
        <v>2.9957322735539909</v>
      </c>
      <c r="J476" s="1">
        <f t="shared" si="36"/>
        <v>-2.3025850929940455</v>
      </c>
      <c r="K476" s="1">
        <f t="shared" si="37"/>
        <v>-6.7799219074722519</v>
      </c>
    </row>
    <row r="477" spans="1:11">
      <c r="A477" s="483">
        <f t="shared" si="38"/>
        <v>471</v>
      </c>
      <c r="B477" s="485">
        <v>37040</v>
      </c>
      <c r="C477" s="473">
        <v>0.76666666666666661</v>
      </c>
      <c r="D477" s="484" t="s">
        <v>114</v>
      </c>
      <c r="E477" s="472" t="s">
        <v>122</v>
      </c>
      <c r="F477" s="486">
        <v>20</v>
      </c>
      <c r="G477" s="611">
        <v>0.1</v>
      </c>
      <c r="H477" s="829">
        <f t="shared" si="39"/>
        <v>1.1363636363636365E-3</v>
      </c>
      <c r="I477" s="1">
        <f t="shared" si="35"/>
        <v>2.9957322735539909</v>
      </c>
      <c r="J477" s="1">
        <f t="shared" si="36"/>
        <v>-2.3025850929940455</v>
      </c>
      <c r="K477" s="1">
        <f t="shared" si="37"/>
        <v>-6.7799219074722519</v>
      </c>
    </row>
    <row r="478" spans="1:11">
      <c r="A478" s="483">
        <f t="shared" si="38"/>
        <v>472</v>
      </c>
      <c r="B478" s="485">
        <v>37151</v>
      </c>
      <c r="C478" s="473">
        <v>0.66180555555555554</v>
      </c>
      <c r="D478" s="484" t="s">
        <v>99</v>
      </c>
      <c r="E478" s="472" t="s">
        <v>122</v>
      </c>
      <c r="F478" s="486">
        <v>25</v>
      </c>
      <c r="G478" s="611">
        <v>0.1</v>
      </c>
      <c r="H478" s="829">
        <f t="shared" si="39"/>
        <v>1.4204545454545455E-3</v>
      </c>
      <c r="I478" s="1">
        <f t="shared" si="35"/>
        <v>3.2188758248682006</v>
      </c>
      <c r="J478" s="1">
        <f t="shared" si="36"/>
        <v>-2.3025850929940455</v>
      </c>
      <c r="K478" s="1">
        <f t="shared" si="37"/>
        <v>-6.5567783561580422</v>
      </c>
    </row>
    <row r="479" spans="1:11">
      <c r="A479" s="483">
        <f t="shared" si="38"/>
        <v>473</v>
      </c>
      <c r="B479" s="485">
        <v>37153</v>
      </c>
      <c r="C479" s="473">
        <v>0.74652777777777779</v>
      </c>
      <c r="D479" s="484" t="s">
        <v>113</v>
      </c>
      <c r="E479" s="472" t="s">
        <v>122</v>
      </c>
      <c r="F479" s="486">
        <v>25</v>
      </c>
      <c r="G479" s="611">
        <v>0.1</v>
      </c>
      <c r="H479" s="829">
        <f t="shared" si="39"/>
        <v>1.4204545454545455E-3</v>
      </c>
      <c r="I479" s="1">
        <f t="shared" si="35"/>
        <v>3.2188758248682006</v>
      </c>
      <c r="J479" s="1">
        <f t="shared" si="36"/>
        <v>-2.3025850929940455</v>
      </c>
      <c r="K479" s="1">
        <f t="shared" si="37"/>
        <v>-6.5567783561580422</v>
      </c>
    </row>
    <row r="480" spans="1:11">
      <c r="A480" s="483">
        <f t="shared" si="38"/>
        <v>474</v>
      </c>
      <c r="B480" s="485">
        <v>37153</v>
      </c>
      <c r="C480" s="473">
        <v>0.74722222222222223</v>
      </c>
      <c r="D480" s="484" t="s">
        <v>114</v>
      </c>
      <c r="E480" s="472" t="s">
        <v>122</v>
      </c>
      <c r="F480" s="486">
        <v>25</v>
      </c>
      <c r="G480" s="611">
        <v>0.1</v>
      </c>
      <c r="H480" s="829">
        <f t="shared" si="39"/>
        <v>1.4204545454545455E-3</v>
      </c>
      <c r="I480" s="1">
        <f t="shared" si="35"/>
        <v>3.2188758248682006</v>
      </c>
      <c r="J480" s="1">
        <f t="shared" si="36"/>
        <v>-2.3025850929940455</v>
      </c>
      <c r="K480" s="1">
        <f t="shared" si="37"/>
        <v>-6.5567783561580422</v>
      </c>
    </row>
    <row r="481" spans="1:11">
      <c r="A481" s="483">
        <f t="shared" si="38"/>
        <v>475</v>
      </c>
      <c r="B481" s="485">
        <v>37153</v>
      </c>
      <c r="C481" s="473">
        <v>0.77083333333333337</v>
      </c>
      <c r="D481" s="484" t="s">
        <v>101</v>
      </c>
      <c r="E481" s="472" t="s">
        <v>122</v>
      </c>
      <c r="F481" s="486">
        <v>25</v>
      </c>
      <c r="G481" s="611">
        <v>0.1</v>
      </c>
      <c r="H481" s="829">
        <f t="shared" si="39"/>
        <v>1.4204545454545455E-3</v>
      </c>
      <c r="I481" s="1">
        <f t="shared" si="35"/>
        <v>3.2188758248682006</v>
      </c>
      <c r="J481" s="1">
        <f t="shared" si="36"/>
        <v>-2.3025850929940455</v>
      </c>
      <c r="K481" s="1">
        <f t="shared" si="37"/>
        <v>-6.5567783561580422</v>
      </c>
    </row>
    <row r="482" spans="1:11">
      <c r="A482" s="483">
        <f t="shared" si="38"/>
        <v>476</v>
      </c>
      <c r="B482" s="485">
        <v>37381</v>
      </c>
      <c r="C482" s="473">
        <v>0.68194444444444446</v>
      </c>
      <c r="D482" s="484" t="s">
        <v>117</v>
      </c>
      <c r="E482" s="472" t="s">
        <v>122</v>
      </c>
      <c r="F482" s="486">
        <v>25</v>
      </c>
      <c r="G482" s="611">
        <v>0.1</v>
      </c>
      <c r="H482" s="829">
        <f t="shared" si="39"/>
        <v>1.4204545454545455E-3</v>
      </c>
      <c r="I482" s="1">
        <f t="shared" si="35"/>
        <v>3.2188758248682006</v>
      </c>
      <c r="J482" s="1">
        <f t="shared" si="36"/>
        <v>-2.3025850929940455</v>
      </c>
      <c r="K482" s="1">
        <f t="shared" si="37"/>
        <v>-6.5567783561580422</v>
      </c>
    </row>
    <row r="483" spans="1:11">
      <c r="A483" s="483">
        <f t="shared" si="38"/>
        <v>477</v>
      </c>
      <c r="B483" s="485">
        <v>37381</v>
      </c>
      <c r="C483" s="473">
        <v>0.68819444444444444</v>
      </c>
      <c r="D483" s="484" t="s">
        <v>117</v>
      </c>
      <c r="E483" s="472" t="s">
        <v>122</v>
      </c>
      <c r="F483" s="486">
        <v>50</v>
      </c>
      <c r="G483" s="611">
        <v>0.5</v>
      </c>
      <c r="H483" s="829">
        <f t="shared" si="39"/>
        <v>1.4204545454545454E-2</v>
      </c>
      <c r="I483" s="1">
        <f t="shared" si="35"/>
        <v>3.912023005428146</v>
      </c>
      <c r="J483" s="1">
        <f t="shared" si="36"/>
        <v>-0.69314718055994529</v>
      </c>
      <c r="K483" s="1">
        <f t="shared" si="37"/>
        <v>-4.2541932631639972</v>
      </c>
    </row>
    <row r="484" spans="1:11">
      <c r="A484" s="483">
        <f t="shared" si="38"/>
        <v>478</v>
      </c>
      <c r="B484" s="485">
        <v>37381</v>
      </c>
      <c r="C484" s="473">
        <v>0.69097222222222221</v>
      </c>
      <c r="D484" s="484" t="s">
        <v>109</v>
      </c>
      <c r="E484" s="472" t="s">
        <v>122</v>
      </c>
      <c r="F484" s="486">
        <v>25</v>
      </c>
      <c r="G484" s="611">
        <v>0.1</v>
      </c>
      <c r="H484" s="829">
        <f t="shared" si="39"/>
        <v>1.4204545454545455E-3</v>
      </c>
      <c r="I484" s="1">
        <f t="shared" si="35"/>
        <v>3.2188758248682006</v>
      </c>
      <c r="J484" s="1">
        <f t="shared" si="36"/>
        <v>-2.3025850929940455</v>
      </c>
      <c r="K484" s="1">
        <f t="shared" si="37"/>
        <v>-6.5567783561580422</v>
      </c>
    </row>
    <row r="485" spans="1:11">
      <c r="A485" s="483">
        <f t="shared" si="38"/>
        <v>479</v>
      </c>
      <c r="B485" s="485">
        <v>37381</v>
      </c>
      <c r="C485" s="473">
        <v>0.74791666666666667</v>
      </c>
      <c r="D485" s="484" t="s">
        <v>118</v>
      </c>
      <c r="E485" s="472" t="s">
        <v>122</v>
      </c>
      <c r="F485" s="486">
        <v>25</v>
      </c>
      <c r="G485" s="611">
        <v>0.1</v>
      </c>
      <c r="H485" s="829">
        <f t="shared" si="39"/>
        <v>1.4204545454545455E-3</v>
      </c>
      <c r="I485" s="1">
        <f t="shared" si="35"/>
        <v>3.2188758248682006</v>
      </c>
      <c r="J485" s="1">
        <f t="shared" si="36"/>
        <v>-2.3025850929940455</v>
      </c>
      <c r="K485" s="1">
        <f t="shared" si="37"/>
        <v>-6.5567783561580422</v>
      </c>
    </row>
    <row r="486" spans="1:11">
      <c r="A486" s="483">
        <f t="shared" si="38"/>
        <v>480</v>
      </c>
      <c r="B486" s="485">
        <v>37381</v>
      </c>
      <c r="C486" s="473">
        <v>0.75763888888888886</v>
      </c>
      <c r="D486" s="484" t="s">
        <v>119</v>
      </c>
      <c r="E486" s="472" t="s">
        <v>122</v>
      </c>
      <c r="F486" s="486">
        <v>50</v>
      </c>
      <c r="G486" s="611">
        <v>0.4</v>
      </c>
      <c r="H486" s="829">
        <f t="shared" si="39"/>
        <v>1.1363636363636364E-2</v>
      </c>
      <c r="I486" s="1">
        <f t="shared" si="35"/>
        <v>3.912023005428146</v>
      </c>
      <c r="J486" s="1">
        <f t="shared" si="36"/>
        <v>-0.916290731874155</v>
      </c>
      <c r="K486" s="1">
        <f t="shared" si="37"/>
        <v>-4.4773368144782069</v>
      </c>
    </row>
    <row r="487" spans="1:11">
      <c r="A487" s="483">
        <f t="shared" si="38"/>
        <v>481</v>
      </c>
      <c r="B487" s="485">
        <v>37381</v>
      </c>
      <c r="C487" s="473">
        <v>0.77083333333333337</v>
      </c>
      <c r="D487" s="484" t="s">
        <v>119</v>
      </c>
      <c r="E487" s="472" t="s">
        <v>122</v>
      </c>
      <c r="F487" s="486">
        <v>25</v>
      </c>
      <c r="G487" s="611">
        <v>0.3</v>
      </c>
      <c r="H487" s="829">
        <f t="shared" si="39"/>
        <v>4.261363636363636E-3</v>
      </c>
      <c r="I487" s="1">
        <f t="shared" si="35"/>
        <v>3.2188758248682006</v>
      </c>
      <c r="J487" s="1">
        <f t="shared" si="36"/>
        <v>-1.2039728043259361</v>
      </c>
      <c r="K487" s="1">
        <f t="shared" si="37"/>
        <v>-5.458166067489933</v>
      </c>
    </row>
    <row r="488" spans="1:11">
      <c r="A488" s="483">
        <f t="shared" si="38"/>
        <v>482</v>
      </c>
      <c r="B488" s="485">
        <v>37381</v>
      </c>
      <c r="C488" s="473">
        <v>0.77430555555555547</v>
      </c>
      <c r="D488" s="484" t="s">
        <v>119</v>
      </c>
      <c r="E488" s="472" t="s">
        <v>122</v>
      </c>
      <c r="F488" s="486">
        <v>25</v>
      </c>
      <c r="G488" s="611">
        <v>0.1</v>
      </c>
      <c r="H488" s="829">
        <f t="shared" si="39"/>
        <v>1.4204545454545455E-3</v>
      </c>
      <c r="I488" s="1">
        <f t="shared" si="35"/>
        <v>3.2188758248682006</v>
      </c>
      <c r="J488" s="1">
        <f t="shared" si="36"/>
        <v>-2.3025850929940455</v>
      </c>
      <c r="K488" s="1">
        <f t="shared" si="37"/>
        <v>-6.5567783561580422</v>
      </c>
    </row>
    <row r="489" spans="1:11">
      <c r="A489" s="483">
        <f t="shared" si="38"/>
        <v>483</v>
      </c>
      <c r="B489" s="485">
        <v>37381</v>
      </c>
      <c r="C489" s="473">
        <v>0.78749999999999998</v>
      </c>
      <c r="D489" s="484" t="s">
        <v>111</v>
      </c>
      <c r="E489" s="472" t="s">
        <v>122</v>
      </c>
      <c r="F489" s="486">
        <v>25</v>
      </c>
      <c r="G489" s="611">
        <v>2.5</v>
      </c>
      <c r="H489" s="829">
        <f t="shared" si="39"/>
        <v>3.5511363636363633E-2</v>
      </c>
      <c r="I489" s="1">
        <f t="shared" si="35"/>
        <v>3.2188758248682006</v>
      </c>
      <c r="J489" s="1">
        <f t="shared" si="36"/>
        <v>0.91629073187415511</v>
      </c>
      <c r="K489" s="1">
        <f t="shared" si="37"/>
        <v>-3.3379025312898416</v>
      </c>
    </row>
    <row r="490" spans="1:11">
      <c r="A490" s="483">
        <f t="shared" si="38"/>
        <v>484</v>
      </c>
      <c r="B490" s="485">
        <v>37381</v>
      </c>
      <c r="C490" s="473">
        <v>0.79027777777777775</v>
      </c>
      <c r="D490" s="484" t="s">
        <v>111</v>
      </c>
      <c r="E490" s="472" t="s">
        <v>122</v>
      </c>
      <c r="F490" s="486">
        <v>25</v>
      </c>
      <c r="G490" s="611">
        <v>0.5</v>
      </c>
      <c r="H490" s="829">
        <f t="shared" si="39"/>
        <v>7.102272727272727E-3</v>
      </c>
      <c r="I490" s="1">
        <f t="shared" si="35"/>
        <v>3.2188758248682006</v>
      </c>
      <c r="J490" s="1">
        <f t="shared" si="36"/>
        <v>-0.69314718055994529</v>
      </c>
      <c r="K490" s="1">
        <f t="shared" si="37"/>
        <v>-4.9473404437239417</v>
      </c>
    </row>
    <row r="491" spans="1:11">
      <c r="A491" s="483">
        <f t="shared" si="38"/>
        <v>485</v>
      </c>
      <c r="B491" s="485">
        <v>37381</v>
      </c>
      <c r="C491" s="473">
        <v>0.79861111111111116</v>
      </c>
      <c r="D491" s="484" t="s">
        <v>119</v>
      </c>
      <c r="E491" s="472" t="s">
        <v>122</v>
      </c>
      <c r="F491" s="486">
        <v>25</v>
      </c>
      <c r="G491" s="611">
        <v>0.2</v>
      </c>
      <c r="H491" s="829">
        <f t="shared" si="39"/>
        <v>2.840909090909091E-3</v>
      </c>
      <c r="I491" s="1">
        <f t="shared" si="35"/>
        <v>3.2188758248682006</v>
      </c>
      <c r="J491" s="1">
        <f t="shared" si="36"/>
        <v>-1.6094379124341003</v>
      </c>
      <c r="K491" s="1">
        <f t="shared" si="37"/>
        <v>-5.8636311755980968</v>
      </c>
    </row>
    <row r="492" spans="1:11">
      <c r="A492" s="483">
        <f t="shared" si="38"/>
        <v>486</v>
      </c>
      <c r="B492" s="485">
        <v>37381</v>
      </c>
      <c r="C492" s="473">
        <v>0.84375</v>
      </c>
      <c r="D492" s="484" t="s">
        <v>121</v>
      </c>
      <c r="E492" s="472" t="s">
        <v>122</v>
      </c>
      <c r="F492" s="486">
        <v>25</v>
      </c>
      <c r="G492" s="611">
        <v>0.1</v>
      </c>
      <c r="H492" s="829">
        <f t="shared" si="39"/>
        <v>1.4204545454545455E-3</v>
      </c>
      <c r="I492" s="1">
        <f t="shared" si="35"/>
        <v>3.2188758248682006</v>
      </c>
      <c r="J492" s="1">
        <f t="shared" si="36"/>
        <v>-2.3025850929940455</v>
      </c>
      <c r="K492" s="1">
        <f t="shared" si="37"/>
        <v>-6.5567783561580422</v>
      </c>
    </row>
    <row r="493" spans="1:11">
      <c r="A493" s="483">
        <f t="shared" si="38"/>
        <v>487</v>
      </c>
      <c r="B493" s="485">
        <v>37381</v>
      </c>
      <c r="C493" s="473">
        <v>0.84375</v>
      </c>
      <c r="D493" s="484" t="s">
        <v>120</v>
      </c>
      <c r="E493" s="472" t="s">
        <v>122</v>
      </c>
      <c r="F493" s="486">
        <v>25</v>
      </c>
      <c r="G493" s="611">
        <v>0.1</v>
      </c>
      <c r="H493" s="829">
        <f t="shared" si="39"/>
        <v>1.4204545454545455E-3</v>
      </c>
      <c r="I493" s="1">
        <f t="shared" si="35"/>
        <v>3.2188758248682006</v>
      </c>
      <c r="J493" s="1">
        <f t="shared" si="36"/>
        <v>-2.3025850929940455</v>
      </c>
      <c r="K493" s="1">
        <f t="shared" si="37"/>
        <v>-6.5567783561580422</v>
      </c>
    </row>
    <row r="494" spans="1:11">
      <c r="A494" s="483">
        <f t="shared" si="38"/>
        <v>488</v>
      </c>
      <c r="B494" s="485">
        <v>37387</v>
      </c>
      <c r="C494" s="473">
        <v>3.5416666666666666E-2</v>
      </c>
      <c r="D494" s="484" t="s">
        <v>108</v>
      </c>
      <c r="E494" s="472" t="s">
        <v>122</v>
      </c>
      <c r="F494" s="486">
        <v>25</v>
      </c>
      <c r="G494" s="611">
        <v>0.1</v>
      </c>
      <c r="H494" s="829">
        <f t="shared" si="39"/>
        <v>1.4204545454545455E-3</v>
      </c>
      <c r="I494" s="1">
        <f t="shared" si="35"/>
        <v>3.2188758248682006</v>
      </c>
      <c r="J494" s="1">
        <f t="shared" si="36"/>
        <v>-2.3025850929940455</v>
      </c>
      <c r="K494" s="1">
        <f t="shared" si="37"/>
        <v>-6.5567783561580422</v>
      </c>
    </row>
    <row r="495" spans="1:11">
      <c r="A495" s="483">
        <f t="shared" si="38"/>
        <v>489</v>
      </c>
      <c r="B495" s="485">
        <v>37392</v>
      </c>
      <c r="C495" s="473">
        <v>0.75</v>
      </c>
      <c r="D495" s="484" t="s">
        <v>100</v>
      </c>
      <c r="E495" s="472" t="s">
        <v>122</v>
      </c>
      <c r="F495" s="486">
        <v>25</v>
      </c>
      <c r="G495" s="611">
        <v>0.1</v>
      </c>
      <c r="H495" s="829">
        <f t="shared" si="39"/>
        <v>1.4204545454545455E-3</v>
      </c>
      <c r="I495" s="1">
        <f t="shared" si="35"/>
        <v>3.2188758248682006</v>
      </c>
      <c r="J495" s="1">
        <f t="shared" si="36"/>
        <v>-2.3025850929940455</v>
      </c>
      <c r="K495" s="1">
        <f t="shared" si="37"/>
        <v>-6.5567783561580422</v>
      </c>
    </row>
    <row r="496" spans="1:11">
      <c r="A496" s="483">
        <f t="shared" si="38"/>
        <v>490</v>
      </c>
      <c r="B496" s="485">
        <v>37392</v>
      </c>
      <c r="C496" s="473">
        <v>0.77777777777777779</v>
      </c>
      <c r="D496" s="484" t="s">
        <v>100</v>
      </c>
      <c r="E496" s="472" t="s">
        <v>122</v>
      </c>
      <c r="F496" s="486">
        <v>25</v>
      </c>
      <c r="G496" s="611">
        <v>0.1</v>
      </c>
      <c r="H496" s="829">
        <f t="shared" si="39"/>
        <v>1.4204545454545455E-3</v>
      </c>
      <c r="I496" s="1">
        <f t="shared" si="35"/>
        <v>3.2188758248682006</v>
      </c>
      <c r="J496" s="1">
        <f t="shared" si="36"/>
        <v>-2.3025850929940455</v>
      </c>
      <c r="K496" s="1">
        <f t="shared" si="37"/>
        <v>-6.5567783561580422</v>
      </c>
    </row>
    <row r="497" spans="1:11">
      <c r="A497" s="483">
        <f t="shared" si="38"/>
        <v>491</v>
      </c>
      <c r="B497" s="485">
        <v>37399</v>
      </c>
      <c r="C497" s="473">
        <v>0.72916666666666663</v>
      </c>
      <c r="D497" s="484" t="s">
        <v>106</v>
      </c>
      <c r="E497" s="472" t="s">
        <v>122</v>
      </c>
      <c r="F497" s="486">
        <v>25</v>
      </c>
      <c r="G497" s="611">
        <v>0.1</v>
      </c>
      <c r="H497" s="829">
        <f t="shared" si="39"/>
        <v>1.4204545454545455E-3</v>
      </c>
      <c r="I497" s="1">
        <f t="shared" si="35"/>
        <v>3.2188758248682006</v>
      </c>
      <c r="J497" s="1">
        <f t="shared" si="36"/>
        <v>-2.3025850929940455</v>
      </c>
      <c r="K497" s="1">
        <f t="shared" si="37"/>
        <v>-6.5567783561580422</v>
      </c>
    </row>
    <row r="498" spans="1:11">
      <c r="A498" s="483">
        <f t="shared" si="38"/>
        <v>492</v>
      </c>
      <c r="B498" s="485">
        <v>37399</v>
      </c>
      <c r="C498" s="473">
        <v>0.82152777777777775</v>
      </c>
      <c r="D498" s="484" t="s">
        <v>109</v>
      </c>
      <c r="E498" s="472" t="s">
        <v>122</v>
      </c>
      <c r="F498" s="486">
        <v>25</v>
      </c>
      <c r="G498" s="611">
        <v>0.1</v>
      </c>
      <c r="H498" s="829">
        <f t="shared" si="39"/>
        <v>1.4204545454545455E-3</v>
      </c>
      <c r="I498" s="1">
        <f t="shared" si="35"/>
        <v>3.2188758248682006</v>
      </c>
      <c r="J498" s="1">
        <f t="shared" si="36"/>
        <v>-2.3025850929940455</v>
      </c>
      <c r="K498" s="1">
        <f t="shared" si="37"/>
        <v>-6.5567783561580422</v>
      </c>
    </row>
    <row r="499" spans="1:11">
      <c r="A499" s="483">
        <f t="shared" si="38"/>
        <v>493</v>
      </c>
      <c r="B499" s="485">
        <v>37399</v>
      </c>
      <c r="C499" s="473">
        <v>0.83680555555555547</v>
      </c>
      <c r="D499" s="484" t="s">
        <v>109</v>
      </c>
      <c r="E499" s="472" t="s">
        <v>122</v>
      </c>
      <c r="F499" s="486">
        <v>25</v>
      </c>
      <c r="G499" s="611">
        <v>0.1</v>
      </c>
      <c r="H499" s="829">
        <f t="shared" si="39"/>
        <v>1.4204545454545455E-3</v>
      </c>
      <c r="I499" s="1">
        <f t="shared" si="35"/>
        <v>3.2188758248682006</v>
      </c>
      <c r="J499" s="1">
        <f t="shared" si="36"/>
        <v>-2.3025850929940455</v>
      </c>
      <c r="K499" s="1">
        <f t="shared" si="37"/>
        <v>-6.5567783561580422</v>
      </c>
    </row>
    <row r="500" spans="1:11">
      <c r="A500" s="483">
        <f t="shared" si="38"/>
        <v>494</v>
      </c>
      <c r="B500" s="485">
        <v>37422</v>
      </c>
      <c r="C500" s="473">
        <v>0.7104166666666667</v>
      </c>
      <c r="D500" s="484" t="s">
        <v>101</v>
      </c>
      <c r="E500" s="472" t="s">
        <v>122</v>
      </c>
      <c r="F500" s="486">
        <v>25</v>
      </c>
      <c r="G500" s="611">
        <v>0.2</v>
      </c>
      <c r="H500" s="829">
        <f t="shared" si="39"/>
        <v>2.840909090909091E-3</v>
      </c>
      <c r="I500" s="1">
        <f t="shared" si="35"/>
        <v>3.2188758248682006</v>
      </c>
      <c r="J500" s="1">
        <f t="shared" si="36"/>
        <v>-1.6094379124341003</v>
      </c>
      <c r="K500" s="1">
        <f t="shared" si="37"/>
        <v>-5.8636311755980968</v>
      </c>
    </row>
    <row r="501" spans="1:11">
      <c r="A501" s="483">
        <f t="shared" si="38"/>
        <v>495</v>
      </c>
      <c r="B501" s="485">
        <v>37498</v>
      </c>
      <c r="C501" s="473">
        <v>0.75486111111111109</v>
      </c>
      <c r="D501" s="484" t="s">
        <v>117</v>
      </c>
      <c r="E501" s="472" t="s">
        <v>122</v>
      </c>
      <c r="F501" s="486">
        <v>25</v>
      </c>
      <c r="G501" s="611">
        <v>0.5</v>
      </c>
      <c r="H501" s="829">
        <f t="shared" si="39"/>
        <v>7.102272727272727E-3</v>
      </c>
      <c r="I501" s="1">
        <f t="shared" si="35"/>
        <v>3.2188758248682006</v>
      </c>
      <c r="J501" s="1">
        <f t="shared" si="36"/>
        <v>-0.69314718055994529</v>
      </c>
      <c r="K501" s="1">
        <f t="shared" si="37"/>
        <v>-4.9473404437239417</v>
      </c>
    </row>
    <row r="502" spans="1:11">
      <c r="A502" s="483">
        <f t="shared" si="38"/>
        <v>496</v>
      </c>
      <c r="B502" s="485">
        <v>37726</v>
      </c>
      <c r="C502" s="473">
        <v>0.67013888888888884</v>
      </c>
      <c r="D502" s="484" t="s">
        <v>116</v>
      </c>
      <c r="E502" s="472" t="s">
        <v>122</v>
      </c>
      <c r="F502" s="486">
        <v>200</v>
      </c>
      <c r="G502" s="611">
        <v>5</v>
      </c>
      <c r="H502" s="829">
        <f t="shared" si="39"/>
        <v>0.56818181818181812</v>
      </c>
      <c r="I502" s="1">
        <f t="shared" si="35"/>
        <v>5.2983173665480363</v>
      </c>
      <c r="J502" s="1">
        <f t="shared" si="36"/>
        <v>1.6094379124341003</v>
      </c>
      <c r="K502" s="1">
        <f t="shared" si="37"/>
        <v>-0.56531380905006057</v>
      </c>
    </row>
    <row r="503" spans="1:11">
      <c r="A503" s="483">
        <f t="shared" si="38"/>
        <v>497</v>
      </c>
      <c r="B503" s="485">
        <v>37756</v>
      </c>
      <c r="C503" s="473">
        <v>0.6333333333333333</v>
      </c>
      <c r="D503" s="484" t="s">
        <v>99</v>
      </c>
      <c r="E503" s="472" t="s">
        <v>122</v>
      </c>
      <c r="F503" s="486">
        <v>100</v>
      </c>
      <c r="G503" s="611">
        <v>0.1</v>
      </c>
      <c r="H503" s="829">
        <f t="shared" si="39"/>
        <v>5.681818181818182E-3</v>
      </c>
      <c r="I503" s="1">
        <f t="shared" si="35"/>
        <v>4.6051701859880918</v>
      </c>
      <c r="J503" s="1">
        <f t="shared" si="36"/>
        <v>-2.3025850929940455</v>
      </c>
      <c r="K503" s="1">
        <f t="shared" si="37"/>
        <v>-5.1704839950381514</v>
      </c>
    </row>
    <row r="504" spans="1:11">
      <c r="A504" s="483">
        <f t="shared" si="38"/>
        <v>498</v>
      </c>
      <c r="B504" s="485">
        <v>37756</v>
      </c>
      <c r="C504" s="473">
        <v>0.65625</v>
      </c>
      <c r="D504" s="484" t="s">
        <v>99</v>
      </c>
      <c r="E504" s="472" t="s">
        <v>122</v>
      </c>
      <c r="F504" s="486">
        <v>50</v>
      </c>
      <c r="G504" s="611">
        <v>0.1</v>
      </c>
      <c r="H504" s="829">
        <f t="shared" si="39"/>
        <v>2.840909090909091E-3</v>
      </c>
      <c r="I504" s="1">
        <f t="shared" si="35"/>
        <v>3.912023005428146</v>
      </c>
      <c r="J504" s="1">
        <f t="shared" si="36"/>
        <v>-2.3025850929940455</v>
      </c>
      <c r="K504" s="1">
        <f t="shared" si="37"/>
        <v>-5.8636311755980968</v>
      </c>
    </row>
    <row r="505" spans="1:11">
      <c r="A505" s="483">
        <f t="shared" si="38"/>
        <v>499</v>
      </c>
      <c r="B505" s="485">
        <v>37756</v>
      </c>
      <c r="C505" s="473">
        <v>0.69513888888888886</v>
      </c>
      <c r="D505" s="484" t="s">
        <v>102</v>
      </c>
      <c r="E505" s="472" t="s">
        <v>122</v>
      </c>
      <c r="F505" s="486">
        <v>500</v>
      </c>
      <c r="G505" s="611">
        <v>1</v>
      </c>
      <c r="H505" s="829">
        <f t="shared" si="39"/>
        <v>0.28409090909090912</v>
      </c>
      <c r="I505" s="1">
        <f t="shared" si="35"/>
        <v>6.2146080984221914</v>
      </c>
      <c r="J505" s="1">
        <f t="shared" si="36"/>
        <v>0</v>
      </c>
      <c r="K505" s="1">
        <f t="shared" si="37"/>
        <v>-1.2584609896100056</v>
      </c>
    </row>
    <row r="506" spans="1:11">
      <c r="A506" s="483">
        <f t="shared" si="38"/>
        <v>500</v>
      </c>
      <c r="B506" s="485">
        <v>37756</v>
      </c>
      <c r="C506" s="473">
        <v>0.7402777777777777</v>
      </c>
      <c r="D506" s="484" t="s">
        <v>100</v>
      </c>
      <c r="E506" s="472" t="s">
        <v>122</v>
      </c>
      <c r="F506" s="486">
        <v>50</v>
      </c>
      <c r="G506" s="611">
        <v>0.1</v>
      </c>
      <c r="H506" s="829">
        <f t="shared" si="39"/>
        <v>2.840909090909091E-3</v>
      </c>
      <c r="I506" s="1">
        <f t="shared" si="35"/>
        <v>3.912023005428146</v>
      </c>
      <c r="J506" s="1">
        <f t="shared" si="36"/>
        <v>-2.3025850929940455</v>
      </c>
      <c r="K506" s="1">
        <f t="shared" si="37"/>
        <v>-5.8636311755980968</v>
      </c>
    </row>
    <row r="507" spans="1:11">
      <c r="A507" s="483">
        <f t="shared" si="38"/>
        <v>501</v>
      </c>
      <c r="B507" s="485">
        <v>37756</v>
      </c>
      <c r="C507" s="473">
        <v>0.76388888888888884</v>
      </c>
      <c r="D507" s="484" t="s">
        <v>100</v>
      </c>
      <c r="E507" s="472" t="s">
        <v>122</v>
      </c>
      <c r="F507" s="486">
        <v>30</v>
      </c>
      <c r="G507" s="611">
        <v>0.5</v>
      </c>
      <c r="H507" s="829">
        <f t="shared" si="39"/>
        <v>8.5227272727272721E-3</v>
      </c>
      <c r="I507" s="1">
        <f t="shared" si="35"/>
        <v>3.4011973816621555</v>
      </c>
      <c r="J507" s="1">
        <f t="shared" si="36"/>
        <v>-0.69314718055994529</v>
      </c>
      <c r="K507" s="1">
        <f t="shared" si="37"/>
        <v>-4.7650188869299877</v>
      </c>
    </row>
    <row r="508" spans="1:11">
      <c r="A508" s="483">
        <f t="shared" si="38"/>
        <v>502</v>
      </c>
      <c r="B508" s="485">
        <v>37756</v>
      </c>
      <c r="C508" s="473">
        <v>0.77430555555555547</v>
      </c>
      <c r="D508" s="484" t="s">
        <v>100</v>
      </c>
      <c r="E508" s="472" t="s">
        <v>122</v>
      </c>
      <c r="F508" s="486">
        <v>20</v>
      </c>
      <c r="G508" s="611">
        <v>0.5</v>
      </c>
      <c r="H508" s="829">
        <f t="shared" si="39"/>
        <v>5.681818181818182E-3</v>
      </c>
      <c r="I508" s="1">
        <f t="shared" si="35"/>
        <v>2.9957322735539909</v>
      </c>
      <c r="J508" s="1">
        <f t="shared" si="36"/>
        <v>-0.69314718055994529</v>
      </c>
      <c r="K508" s="1">
        <f t="shared" si="37"/>
        <v>-5.1704839950381514</v>
      </c>
    </row>
    <row r="509" spans="1:11">
      <c r="A509" s="483">
        <f t="shared" si="38"/>
        <v>503</v>
      </c>
      <c r="B509" s="485">
        <v>37756</v>
      </c>
      <c r="C509" s="473">
        <v>0.77638888888888891</v>
      </c>
      <c r="D509" s="484" t="s">
        <v>103</v>
      </c>
      <c r="E509" s="472" t="s">
        <v>122</v>
      </c>
      <c r="F509" s="486">
        <v>50</v>
      </c>
      <c r="G509" s="611">
        <v>1</v>
      </c>
      <c r="H509" s="829">
        <f t="shared" si="39"/>
        <v>2.8409090909090908E-2</v>
      </c>
      <c r="I509" s="1">
        <f t="shared" si="35"/>
        <v>3.912023005428146</v>
      </c>
      <c r="J509" s="1">
        <f t="shared" si="36"/>
        <v>0</v>
      </c>
      <c r="K509" s="1">
        <f t="shared" si="37"/>
        <v>-3.5610460826040513</v>
      </c>
    </row>
    <row r="510" spans="1:11">
      <c r="A510" s="483">
        <f t="shared" si="38"/>
        <v>504</v>
      </c>
      <c r="B510" s="485">
        <v>37756</v>
      </c>
      <c r="C510" s="473">
        <v>0.78125</v>
      </c>
      <c r="D510" s="484" t="s">
        <v>100</v>
      </c>
      <c r="E510" s="472" t="s">
        <v>122</v>
      </c>
      <c r="F510" s="486">
        <v>100</v>
      </c>
      <c r="G510" s="611">
        <v>0.3</v>
      </c>
      <c r="H510" s="829">
        <f t="shared" si="39"/>
        <v>1.7045454545454544E-2</v>
      </c>
      <c r="I510" s="1">
        <f t="shared" si="35"/>
        <v>4.6051701859880918</v>
      </c>
      <c r="J510" s="1">
        <f t="shared" si="36"/>
        <v>-1.2039728043259361</v>
      </c>
      <c r="K510" s="1">
        <f t="shared" si="37"/>
        <v>-4.0718717063700423</v>
      </c>
    </row>
    <row r="511" spans="1:11">
      <c r="A511" s="483">
        <f t="shared" si="38"/>
        <v>505</v>
      </c>
      <c r="B511" s="485">
        <v>37756</v>
      </c>
      <c r="C511" s="473">
        <v>0.79027777777777775</v>
      </c>
      <c r="D511" s="484" t="s">
        <v>108</v>
      </c>
      <c r="E511" s="472" t="s">
        <v>122</v>
      </c>
      <c r="F511" s="486">
        <v>200</v>
      </c>
      <c r="G511" s="611">
        <v>6</v>
      </c>
      <c r="H511" s="829">
        <f t="shared" si="39"/>
        <v>0.68181818181818177</v>
      </c>
      <c r="I511" s="1">
        <f t="shared" si="35"/>
        <v>5.2983173665480363</v>
      </c>
      <c r="J511" s="1">
        <f t="shared" si="36"/>
        <v>1.791759469228055</v>
      </c>
      <c r="K511" s="1">
        <f t="shared" si="37"/>
        <v>-0.38299225225610584</v>
      </c>
    </row>
    <row r="512" spans="1:11">
      <c r="A512" s="483">
        <f t="shared" si="38"/>
        <v>506</v>
      </c>
      <c r="B512" s="485">
        <v>37756</v>
      </c>
      <c r="C512" s="473">
        <v>0.80208333333333337</v>
      </c>
      <c r="D512" s="484" t="s">
        <v>103</v>
      </c>
      <c r="E512" s="472" t="s">
        <v>122</v>
      </c>
      <c r="F512" s="486">
        <v>20</v>
      </c>
      <c r="G512" s="611">
        <v>0.1</v>
      </c>
      <c r="H512" s="829">
        <f t="shared" si="39"/>
        <v>1.1363636363636365E-3</v>
      </c>
      <c r="I512" s="1">
        <f t="shared" si="35"/>
        <v>2.9957322735539909</v>
      </c>
      <c r="J512" s="1">
        <f t="shared" si="36"/>
        <v>-2.3025850929940455</v>
      </c>
      <c r="K512" s="1">
        <f t="shared" si="37"/>
        <v>-6.7799219074722519</v>
      </c>
    </row>
    <row r="513" spans="1:11">
      <c r="A513" s="483">
        <f t="shared" si="38"/>
        <v>507</v>
      </c>
      <c r="B513" s="485">
        <v>37756</v>
      </c>
      <c r="C513" s="473">
        <v>0.80208333333333337</v>
      </c>
      <c r="D513" s="484" t="s">
        <v>103</v>
      </c>
      <c r="E513" s="472" t="s">
        <v>122</v>
      </c>
      <c r="F513" s="486">
        <v>50</v>
      </c>
      <c r="G513" s="611">
        <v>0.1</v>
      </c>
      <c r="H513" s="829">
        <f t="shared" si="39"/>
        <v>2.840909090909091E-3</v>
      </c>
      <c r="I513" s="1">
        <f t="shared" si="35"/>
        <v>3.912023005428146</v>
      </c>
      <c r="J513" s="1">
        <f t="shared" si="36"/>
        <v>-2.3025850929940455</v>
      </c>
      <c r="K513" s="1">
        <f t="shared" si="37"/>
        <v>-5.8636311755980968</v>
      </c>
    </row>
    <row r="514" spans="1:11">
      <c r="A514" s="483">
        <f t="shared" si="38"/>
        <v>508</v>
      </c>
      <c r="B514" s="485">
        <v>37756</v>
      </c>
      <c r="C514" s="473">
        <v>0.8125</v>
      </c>
      <c r="D514" s="484" t="s">
        <v>115</v>
      </c>
      <c r="E514" s="472" t="s">
        <v>122</v>
      </c>
      <c r="F514" s="486">
        <v>40</v>
      </c>
      <c r="G514" s="611">
        <v>0.1</v>
      </c>
      <c r="H514" s="829">
        <f t="shared" si="39"/>
        <v>2.2727272727272731E-3</v>
      </c>
      <c r="I514" s="1">
        <f t="shared" si="35"/>
        <v>3.6888794541139363</v>
      </c>
      <c r="J514" s="1">
        <f t="shared" si="36"/>
        <v>-2.3025850929940455</v>
      </c>
      <c r="K514" s="1">
        <f t="shared" si="37"/>
        <v>-6.0867747269123065</v>
      </c>
    </row>
    <row r="515" spans="1:11">
      <c r="A515" s="483">
        <f t="shared" si="38"/>
        <v>509</v>
      </c>
      <c r="B515" s="485">
        <v>37756</v>
      </c>
      <c r="C515" s="473">
        <v>0.81319444444444444</v>
      </c>
      <c r="D515" s="484" t="s">
        <v>103</v>
      </c>
      <c r="E515" s="472" t="s">
        <v>122</v>
      </c>
      <c r="F515" s="486">
        <v>50</v>
      </c>
      <c r="G515" s="611">
        <v>0.3</v>
      </c>
      <c r="H515" s="829">
        <f t="shared" si="39"/>
        <v>8.5227272727272721E-3</v>
      </c>
      <c r="I515" s="1">
        <f t="shared" si="35"/>
        <v>3.912023005428146</v>
      </c>
      <c r="J515" s="1">
        <f t="shared" si="36"/>
        <v>-1.2039728043259361</v>
      </c>
      <c r="K515" s="1">
        <f t="shared" si="37"/>
        <v>-4.7650188869299877</v>
      </c>
    </row>
    <row r="516" spans="1:11">
      <c r="A516" s="483">
        <f t="shared" si="38"/>
        <v>510</v>
      </c>
      <c r="B516" s="485">
        <v>37756</v>
      </c>
      <c r="C516" s="473">
        <v>0.81736111111111109</v>
      </c>
      <c r="D516" s="484" t="s">
        <v>120</v>
      </c>
      <c r="E516" s="472" t="s">
        <v>122</v>
      </c>
      <c r="F516" s="486">
        <v>50</v>
      </c>
      <c r="G516" s="611">
        <v>0.5</v>
      </c>
      <c r="H516" s="829">
        <f t="shared" si="39"/>
        <v>1.4204545454545454E-2</v>
      </c>
      <c r="I516" s="1">
        <f t="shared" si="35"/>
        <v>3.912023005428146</v>
      </c>
      <c r="J516" s="1">
        <f t="shared" si="36"/>
        <v>-0.69314718055994529</v>
      </c>
      <c r="K516" s="1">
        <f t="shared" si="37"/>
        <v>-4.2541932631639972</v>
      </c>
    </row>
    <row r="517" spans="1:11">
      <c r="A517" s="483">
        <f t="shared" si="38"/>
        <v>511</v>
      </c>
      <c r="B517" s="485">
        <v>37756</v>
      </c>
      <c r="C517" s="473">
        <v>0.82291666666666663</v>
      </c>
      <c r="D517" s="484" t="s">
        <v>100</v>
      </c>
      <c r="E517" s="472" t="s">
        <v>122</v>
      </c>
      <c r="F517" s="486">
        <v>40</v>
      </c>
      <c r="G517" s="611">
        <v>1</v>
      </c>
      <c r="H517" s="829">
        <f t="shared" si="39"/>
        <v>2.2727272727272728E-2</v>
      </c>
      <c r="I517" s="1">
        <f t="shared" si="35"/>
        <v>3.6888794541139363</v>
      </c>
      <c r="J517" s="1">
        <f t="shared" si="36"/>
        <v>0</v>
      </c>
      <c r="K517" s="1">
        <f t="shared" si="37"/>
        <v>-3.784189633918261</v>
      </c>
    </row>
    <row r="518" spans="1:11">
      <c r="A518" s="483">
        <f t="shared" si="38"/>
        <v>512</v>
      </c>
      <c r="B518" s="485">
        <v>37756</v>
      </c>
      <c r="C518" s="473">
        <v>0.83263888888888893</v>
      </c>
      <c r="D518" s="484" t="s">
        <v>120</v>
      </c>
      <c r="E518" s="472" t="s">
        <v>122</v>
      </c>
      <c r="F518" s="486">
        <v>20</v>
      </c>
      <c r="G518" s="611">
        <v>0.1</v>
      </c>
      <c r="H518" s="829">
        <f t="shared" si="39"/>
        <v>1.1363636363636365E-3</v>
      </c>
      <c r="I518" s="1">
        <f t="shared" si="35"/>
        <v>2.9957322735539909</v>
      </c>
      <c r="J518" s="1">
        <f t="shared" si="36"/>
        <v>-2.3025850929940455</v>
      </c>
      <c r="K518" s="1">
        <f t="shared" si="37"/>
        <v>-6.7799219074722519</v>
      </c>
    </row>
    <row r="519" spans="1:11">
      <c r="A519" s="483">
        <f t="shared" si="38"/>
        <v>513</v>
      </c>
      <c r="B519" s="485">
        <v>37756</v>
      </c>
      <c r="C519" s="473">
        <v>0.83333333333333337</v>
      </c>
      <c r="D519" s="484" t="s">
        <v>101</v>
      </c>
      <c r="E519" s="472" t="s">
        <v>122</v>
      </c>
      <c r="F519" s="486">
        <v>20</v>
      </c>
      <c r="G519" s="611">
        <v>0.8</v>
      </c>
      <c r="H519" s="829">
        <f t="shared" si="39"/>
        <v>9.0909090909090922E-3</v>
      </c>
      <c r="I519" s="1">
        <f t="shared" si="35"/>
        <v>2.9957322735539909</v>
      </c>
      <c r="J519" s="1">
        <f t="shared" si="36"/>
        <v>-0.22314355131420971</v>
      </c>
      <c r="K519" s="1">
        <f t="shared" si="37"/>
        <v>-4.7004803657924157</v>
      </c>
    </row>
    <row r="520" spans="1:11">
      <c r="A520" s="483">
        <f t="shared" si="38"/>
        <v>514</v>
      </c>
      <c r="B520" s="485">
        <v>37756</v>
      </c>
      <c r="C520" s="473">
        <v>0.84930555555555554</v>
      </c>
      <c r="D520" s="484" t="s">
        <v>109</v>
      </c>
      <c r="E520" s="472" t="s">
        <v>122</v>
      </c>
      <c r="F520" s="486">
        <v>30</v>
      </c>
      <c r="G520" s="611">
        <v>2</v>
      </c>
      <c r="H520" s="829">
        <f t="shared" si="39"/>
        <v>3.4090909090909088E-2</v>
      </c>
      <c r="I520" s="1">
        <f t="shared" ref="I520:I583" si="40">LN(F520)</f>
        <v>3.4011973816621555</v>
      </c>
      <c r="J520" s="1">
        <f t="shared" ref="J520:J583" si="41">LN(G520)</f>
        <v>0.69314718055994529</v>
      </c>
      <c r="K520" s="1">
        <f t="shared" ref="K520:K583" si="42">LN(H520)</f>
        <v>-3.3787245258100969</v>
      </c>
    </row>
    <row r="521" spans="1:11">
      <c r="A521" s="483">
        <f t="shared" ref="A521:A584" si="43">+A520+1</f>
        <v>515</v>
      </c>
      <c r="B521" s="485">
        <v>37756</v>
      </c>
      <c r="C521" s="473">
        <v>0.86388888888888893</v>
      </c>
      <c r="D521" s="484" t="s">
        <v>114</v>
      </c>
      <c r="E521" s="472" t="s">
        <v>122</v>
      </c>
      <c r="F521" s="486">
        <v>20</v>
      </c>
      <c r="G521" s="611">
        <v>0.1</v>
      </c>
      <c r="H521" s="829">
        <f t="shared" ref="H521:H584" si="44">+(F521/1760)*G521</f>
        <v>1.1363636363636365E-3</v>
      </c>
      <c r="I521" s="1">
        <f t="shared" si="40"/>
        <v>2.9957322735539909</v>
      </c>
      <c r="J521" s="1">
        <f t="shared" si="41"/>
        <v>-2.3025850929940455</v>
      </c>
      <c r="K521" s="1">
        <f t="shared" si="42"/>
        <v>-6.7799219074722519</v>
      </c>
    </row>
    <row r="522" spans="1:11">
      <c r="A522" s="483">
        <f t="shared" si="43"/>
        <v>516</v>
      </c>
      <c r="B522" s="485">
        <v>37756</v>
      </c>
      <c r="C522" s="473">
        <v>0.89583333333333337</v>
      </c>
      <c r="D522" s="484" t="s">
        <v>116</v>
      </c>
      <c r="E522" s="472" t="s">
        <v>122</v>
      </c>
      <c r="F522" s="486">
        <v>50</v>
      </c>
      <c r="G522" s="611">
        <v>0.5</v>
      </c>
      <c r="H522" s="829">
        <f t="shared" si="44"/>
        <v>1.4204545454545454E-2</v>
      </c>
      <c r="I522" s="1">
        <f t="shared" si="40"/>
        <v>3.912023005428146</v>
      </c>
      <c r="J522" s="1">
        <f t="shared" si="41"/>
        <v>-0.69314718055994529</v>
      </c>
      <c r="K522" s="1">
        <f t="shared" si="42"/>
        <v>-4.2541932631639972</v>
      </c>
    </row>
    <row r="523" spans="1:11">
      <c r="A523" s="483">
        <f t="shared" si="43"/>
        <v>517</v>
      </c>
      <c r="B523" s="485">
        <v>37756</v>
      </c>
      <c r="C523" s="473">
        <v>0.93125000000000002</v>
      </c>
      <c r="D523" s="484" t="s">
        <v>116</v>
      </c>
      <c r="E523" s="472" t="s">
        <v>122</v>
      </c>
      <c r="F523" s="486">
        <v>50</v>
      </c>
      <c r="G523" s="611">
        <v>0.1</v>
      </c>
      <c r="H523" s="829">
        <f t="shared" si="44"/>
        <v>2.840909090909091E-3</v>
      </c>
      <c r="I523" s="1">
        <f t="shared" si="40"/>
        <v>3.912023005428146</v>
      </c>
      <c r="J523" s="1">
        <f t="shared" si="41"/>
        <v>-2.3025850929940455</v>
      </c>
      <c r="K523" s="1">
        <f t="shared" si="42"/>
        <v>-5.8636311755980968</v>
      </c>
    </row>
    <row r="524" spans="1:11">
      <c r="A524" s="483">
        <f t="shared" si="43"/>
        <v>518</v>
      </c>
      <c r="B524" s="485">
        <v>37765</v>
      </c>
      <c r="C524" s="473">
        <v>0.74236111111111114</v>
      </c>
      <c r="D524" s="484" t="s">
        <v>110</v>
      </c>
      <c r="E524" s="472" t="s">
        <v>122</v>
      </c>
      <c r="F524" s="486">
        <v>25</v>
      </c>
      <c r="G524" s="611">
        <v>0.2</v>
      </c>
      <c r="H524" s="829">
        <f t="shared" si="44"/>
        <v>2.840909090909091E-3</v>
      </c>
      <c r="I524" s="1">
        <f t="shared" si="40"/>
        <v>3.2188758248682006</v>
      </c>
      <c r="J524" s="1">
        <f t="shared" si="41"/>
        <v>-1.6094379124341003</v>
      </c>
      <c r="K524" s="1">
        <f t="shared" si="42"/>
        <v>-5.8636311755980968</v>
      </c>
    </row>
    <row r="525" spans="1:11">
      <c r="A525" s="483">
        <f t="shared" si="43"/>
        <v>519</v>
      </c>
      <c r="B525" s="485">
        <v>37765</v>
      </c>
      <c r="C525" s="473">
        <v>0.76249999999999996</v>
      </c>
      <c r="D525" s="484" t="s">
        <v>115</v>
      </c>
      <c r="E525" s="472" t="s">
        <v>122</v>
      </c>
      <c r="F525" s="486">
        <v>50</v>
      </c>
      <c r="G525" s="611">
        <v>0.2</v>
      </c>
      <c r="H525" s="829">
        <f t="shared" si="44"/>
        <v>5.681818181818182E-3</v>
      </c>
      <c r="I525" s="1">
        <f t="shared" si="40"/>
        <v>3.912023005428146</v>
      </c>
      <c r="J525" s="1">
        <f t="shared" si="41"/>
        <v>-1.6094379124341003</v>
      </c>
      <c r="K525" s="1">
        <f t="shared" si="42"/>
        <v>-5.1704839950381514</v>
      </c>
    </row>
    <row r="526" spans="1:11">
      <c r="A526" s="483">
        <f t="shared" si="43"/>
        <v>520</v>
      </c>
      <c r="B526" s="485">
        <v>37775</v>
      </c>
      <c r="C526" s="473">
        <v>0.77569444444444446</v>
      </c>
      <c r="D526" s="484" t="s">
        <v>117</v>
      </c>
      <c r="E526" s="472" t="s">
        <v>122</v>
      </c>
      <c r="F526" s="486">
        <v>50</v>
      </c>
      <c r="G526" s="611">
        <v>0.2</v>
      </c>
      <c r="H526" s="829">
        <f t="shared" si="44"/>
        <v>5.681818181818182E-3</v>
      </c>
      <c r="I526" s="1">
        <f t="shared" si="40"/>
        <v>3.912023005428146</v>
      </c>
      <c r="J526" s="1">
        <f t="shared" si="41"/>
        <v>-1.6094379124341003</v>
      </c>
      <c r="K526" s="1">
        <f t="shared" si="42"/>
        <v>-5.1704839950381514</v>
      </c>
    </row>
    <row r="527" spans="1:11">
      <c r="A527" s="483">
        <f t="shared" si="43"/>
        <v>521</v>
      </c>
      <c r="B527" s="485">
        <v>37775</v>
      </c>
      <c r="C527" s="473">
        <v>0.79722222222222217</v>
      </c>
      <c r="D527" s="484" t="s">
        <v>117</v>
      </c>
      <c r="E527" s="472" t="s">
        <v>122</v>
      </c>
      <c r="F527" s="486">
        <v>25</v>
      </c>
      <c r="G527" s="611">
        <v>0.1</v>
      </c>
      <c r="H527" s="829">
        <f t="shared" si="44"/>
        <v>1.4204545454545455E-3</v>
      </c>
      <c r="I527" s="1">
        <f t="shared" si="40"/>
        <v>3.2188758248682006</v>
      </c>
      <c r="J527" s="1">
        <f t="shared" si="41"/>
        <v>-2.3025850929940455</v>
      </c>
      <c r="K527" s="1">
        <f t="shared" si="42"/>
        <v>-6.5567783561580422</v>
      </c>
    </row>
    <row r="528" spans="1:11">
      <c r="A528" s="483">
        <f t="shared" si="43"/>
        <v>522</v>
      </c>
      <c r="B528" s="485">
        <v>37777</v>
      </c>
      <c r="C528" s="473">
        <v>0.6875</v>
      </c>
      <c r="D528" s="484" t="s">
        <v>104</v>
      </c>
      <c r="E528" s="472" t="s">
        <v>122</v>
      </c>
      <c r="F528" s="486">
        <v>440</v>
      </c>
      <c r="G528" s="611">
        <v>4</v>
      </c>
      <c r="H528" s="829">
        <f t="shared" si="44"/>
        <v>1</v>
      </c>
      <c r="I528" s="1">
        <f t="shared" si="40"/>
        <v>6.0867747269123065</v>
      </c>
      <c r="J528" s="1">
        <f t="shared" si="41"/>
        <v>1.3862943611198906</v>
      </c>
      <c r="K528" s="1">
        <f t="shared" si="42"/>
        <v>0</v>
      </c>
    </row>
    <row r="529" spans="1:11">
      <c r="A529" s="483">
        <f t="shared" si="43"/>
        <v>523</v>
      </c>
      <c r="B529" s="485">
        <v>38096</v>
      </c>
      <c r="C529" s="473">
        <v>0.80694444444444446</v>
      </c>
      <c r="D529" s="484" t="s">
        <v>105</v>
      </c>
      <c r="E529" s="472" t="s">
        <v>122</v>
      </c>
      <c r="F529" s="486">
        <v>440</v>
      </c>
      <c r="G529" s="611">
        <v>1</v>
      </c>
      <c r="H529" s="829">
        <f t="shared" si="44"/>
        <v>0.25</v>
      </c>
      <c r="I529" s="1">
        <f t="shared" si="40"/>
        <v>6.0867747269123065</v>
      </c>
      <c r="J529" s="1">
        <f t="shared" si="41"/>
        <v>0</v>
      </c>
      <c r="K529" s="1">
        <f t="shared" si="42"/>
        <v>-1.3862943611198906</v>
      </c>
    </row>
    <row r="530" spans="1:11">
      <c r="A530" s="483">
        <f t="shared" si="43"/>
        <v>524</v>
      </c>
      <c r="B530" s="485">
        <v>38118</v>
      </c>
      <c r="C530" s="473">
        <v>0.68819444444444444</v>
      </c>
      <c r="D530" s="484" t="s">
        <v>107</v>
      </c>
      <c r="E530" s="472" t="s">
        <v>122</v>
      </c>
      <c r="F530" s="486">
        <v>25</v>
      </c>
      <c r="G530" s="611">
        <v>1</v>
      </c>
      <c r="H530" s="829">
        <f t="shared" si="44"/>
        <v>1.4204545454545454E-2</v>
      </c>
      <c r="I530" s="1">
        <f t="shared" si="40"/>
        <v>3.2188758248682006</v>
      </c>
      <c r="J530" s="1">
        <f t="shared" si="41"/>
        <v>0</v>
      </c>
      <c r="K530" s="1">
        <f t="shared" si="42"/>
        <v>-4.2541932631639972</v>
      </c>
    </row>
    <row r="531" spans="1:11">
      <c r="A531" s="483">
        <f t="shared" si="43"/>
        <v>525</v>
      </c>
      <c r="B531" s="485">
        <v>38118</v>
      </c>
      <c r="C531" s="473">
        <v>0.72152777777777777</v>
      </c>
      <c r="D531" s="484" t="s">
        <v>107</v>
      </c>
      <c r="E531" s="472" t="s">
        <v>122</v>
      </c>
      <c r="F531" s="486">
        <v>25</v>
      </c>
      <c r="G531" s="611">
        <v>0.1</v>
      </c>
      <c r="H531" s="829">
        <f t="shared" si="44"/>
        <v>1.4204545454545455E-3</v>
      </c>
      <c r="I531" s="1">
        <f t="shared" si="40"/>
        <v>3.2188758248682006</v>
      </c>
      <c r="J531" s="1">
        <f t="shared" si="41"/>
        <v>-2.3025850929940455</v>
      </c>
      <c r="K531" s="1">
        <f t="shared" si="42"/>
        <v>-6.5567783561580422</v>
      </c>
    </row>
    <row r="532" spans="1:11">
      <c r="A532" s="483">
        <f t="shared" si="43"/>
        <v>526</v>
      </c>
      <c r="B532" s="485">
        <v>38153</v>
      </c>
      <c r="C532" s="473">
        <v>0.72013888888888899</v>
      </c>
      <c r="D532" s="484" t="s">
        <v>99</v>
      </c>
      <c r="E532" s="472" t="s">
        <v>122</v>
      </c>
      <c r="F532" s="486">
        <v>50</v>
      </c>
      <c r="G532" s="611">
        <v>0.3</v>
      </c>
      <c r="H532" s="829">
        <f t="shared" si="44"/>
        <v>8.5227272727272721E-3</v>
      </c>
      <c r="I532" s="1">
        <f t="shared" si="40"/>
        <v>3.912023005428146</v>
      </c>
      <c r="J532" s="1">
        <f t="shared" si="41"/>
        <v>-1.2039728043259361</v>
      </c>
      <c r="K532" s="1">
        <f t="shared" si="42"/>
        <v>-4.7650188869299877</v>
      </c>
    </row>
    <row r="533" spans="1:11">
      <c r="A533" s="483">
        <f t="shared" si="43"/>
        <v>527</v>
      </c>
      <c r="B533" s="485">
        <v>38155</v>
      </c>
      <c r="C533" s="473">
        <v>0.70625000000000004</v>
      </c>
      <c r="D533" s="484" t="s">
        <v>109</v>
      </c>
      <c r="E533" s="472" t="s">
        <v>122</v>
      </c>
      <c r="F533" s="486">
        <v>25</v>
      </c>
      <c r="G533" s="611">
        <v>0.1</v>
      </c>
      <c r="H533" s="829">
        <f t="shared" si="44"/>
        <v>1.4204545454545455E-3</v>
      </c>
      <c r="I533" s="1">
        <f t="shared" si="40"/>
        <v>3.2188758248682006</v>
      </c>
      <c r="J533" s="1">
        <f t="shared" si="41"/>
        <v>-2.3025850929940455</v>
      </c>
      <c r="K533" s="1">
        <f t="shared" si="42"/>
        <v>-6.5567783561580422</v>
      </c>
    </row>
    <row r="534" spans="1:11">
      <c r="A534" s="483">
        <f t="shared" si="43"/>
        <v>528</v>
      </c>
      <c r="B534" s="485">
        <v>38155</v>
      </c>
      <c r="C534" s="473">
        <v>0.73958333333333337</v>
      </c>
      <c r="D534" s="484" t="s">
        <v>109</v>
      </c>
      <c r="E534" s="472" t="s">
        <v>122</v>
      </c>
      <c r="F534" s="486">
        <v>25</v>
      </c>
      <c r="G534" s="611">
        <v>0.1</v>
      </c>
      <c r="H534" s="829">
        <f t="shared" si="44"/>
        <v>1.4204545454545455E-3</v>
      </c>
      <c r="I534" s="1">
        <f t="shared" si="40"/>
        <v>3.2188758248682006</v>
      </c>
      <c r="J534" s="1">
        <f t="shared" si="41"/>
        <v>-2.3025850929940455</v>
      </c>
      <c r="K534" s="1">
        <f t="shared" si="42"/>
        <v>-6.5567783561580422</v>
      </c>
    </row>
    <row r="535" spans="1:11">
      <c r="A535" s="483">
        <f t="shared" si="43"/>
        <v>529</v>
      </c>
      <c r="B535" s="485">
        <v>38159</v>
      </c>
      <c r="C535" s="473">
        <v>0.75763888888888886</v>
      </c>
      <c r="D535" s="484" t="s">
        <v>113</v>
      </c>
      <c r="E535" s="472" t="s">
        <v>122</v>
      </c>
      <c r="F535" s="486">
        <v>25</v>
      </c>
      <c r="G535" s="611">
        <v>0.1</v>
      </c>
      <c r="H535" s="829">
        <f t="shared" si="44"/>
        <v>1.4204545454545455E-3</v>
      </c>
      <c r="I535" s="1">
        <f t="shared" si="40"/>
        <v>3.2188758248682006</v>
      </c>
      <c r="J535" s="1">
        <f t="shared" si="41"/>
        <v>-2.3025850929940455</v>
      </c>
      <c r="K535" s="1">
        <f t="shared" si="42"/>
        <v>-6.5567783561580422</v>
      </c>
    </row>
    <row r="536" spans="1:11">
      <c r="A536" s="483">
        <f t="shared" si="43"/>
        <v>530</v>
      </c>
      <c r="B536" s="485">
        <v>38159</v>
      </c>
      <c r="C536" s="473">
        <v>0.76111111111111107</v>
      </c>
      <c r="D536" s="484" t="s">
        <v>113</v>
      </c>
      <c r="E536" s="472" t="s">
        <v>122</v>
      </c>
      <c r="F536" s="486">
        <v>25</v>
      </c>
      <c r="G536" s="611">
        <v>0.1</v>
      </c>
      <c r="H536" s="829">
        <f t="shared" si="44"/>
        <v>1.4204545454545455E-3</v>
      </c>
      <c r="I536" s="1">
        <f t="shared" si="40"/>
        <v>3.2188758248682006</v>
      </c>
      <c r="J536" s="1">
        <f t="shared" si="41"/>
        <v>-2.3025850929940455</v>
      </c>
      <c r="K536" s="1">
        <f t="shared" si="42"/>
        <v>-6.5567783561580422</v>
      </c>
    </row>
    <row r="537" spans="1:11">
      <c r="A537" s="483">
        <f t="shared" si="43"/>
        <v>531</v>
      </c>
      <c r="B537" s="485">
        <v>38159</v>
      </c>
      <c r="C537" s="473">
        <v>0.77361111111111114</v>
      </c>
      <c r="D537" s="484" t="s">
        <v>118</v>
      </c>
      <c r="E537" s="472" t="s">
        <v>122</v>
      </c>
      <c r="F537" s="486">
        <v>25</v>
      </c>
      <c r="G537" s="611">
        <v>0.1</v>
      </c>
      <c r="H537" s="829">
        <f t="shared" si="44"/>
        <v>1.4204545454545455E-3</v>
      </c>
      <c r="I537" s="1">
        <f t="shared" si="40"/>
        <v>3.2188758248682006</v>
      </c>
      <c r="J537" s="1">
        <f t="shared" si="41"/>
        <v>-2.3025850929940455</v>
      </c>
      <c r="K537" s="1">
        <f t="shared" si="42"/>
        <v>-6.5567783561580422</v>
      </c>
    </row>
    <row r="538" spans="1:11">
      <c r="A538" s="483">
        <f t="shared" si="43"/>
        <v>532</v>
      </c>
      <c r="B538" s="485">
        <v>38159</v>
      </c>
      <c r="C538" s="473">
        <v>0.78333333333333333</v>
      </c>
      <c r="D538" s="484" t="s">
        <v>118</v>
      </c>
      <c r="E538" s="472" t="s">
        <v>122</v>
      </c>
      <c r="F538" s="486">
        <v>25</v>
      </c>
      <c r="G538" s="611">
        <v>0.1</v>
      </c>
      <c r="H538" s="829">
        <f t="shared" si="44"/>
        <v>1.4204545454545455E-3</v>
      </c>
      <c r="I538" s="1">
        <f t="shared" si="40"/>
        <v>3.2188758248682006</v>
      </c>
      <c r="J538" s="1">
        <f t="shared" si="41"/>
        <v>-2.3025850929940455</v>
      </c>
      <c r="K538" s="1">
        <f t="shared" si="42"/>
        <v>-6.5567783561580422</v>
      </c>
    </row>
    <row r="539" spans="1:11">
      <c r="A539" s="483">
        <f t="shared" si="43"/>
        <v>533</v>
      </c>
      <c r="B539" s="485">
        <v>38159</v>
      </c>
      <c r="C539" s="473">
        <v>0.78541666666666676</v>
      </c>
      <c r="D539" s="484" t="s">
        <v>118</v>
      </c>
      <c r="E539" s="472" t="s">
        <v>122</v>
      </c>
      <c r="F539" s="486">
        <v>25</v>
      </c>
      <c r="G539" s="611">
        <v>0.1</v>
      </c>
      <c r="H539" s="829">
        <f t="shared" si="44"/>
        <v>1.4204545454545455E-3</v>
      </c>
      <c r="I539" s="1">
        <f t="shared" si="40"/>
        <v>3.2188758248682006</v>
      </c>
      <c r="J539" s="1">
        <f t="shared" si="41"/>
        <v>-2.3025850929940455</v>
      </c>
      <c r="K539" s="1">
        <f t="shared" si="42"/>
        <v>-6.5567783561580422</v>
      </c>
    </row>
    <row r="540" spans="1:11">
      <c r="A540" s="483">
        <f t="shared" si="43"/>
        <v>534</v>
      </c>
      <c r="B540" s="485">
        <v>38159</v>
      </c>
      <c r="C540" s="473">
        <v>0.79374999999999996</v>
      </c>
      <c r="D540" s="484" t="s">
        <v>118</v>
      </c>
      <c r="E540" s="472" t="s">
        <v>122</v>
      </c>
      <c r="F540" s="486">
        <v>25</v>
      </c>
      <c r="G540" s="611">
        <v>0.1</v>
      </c>
      <c r="H540" s="829">
        <f t="shared" si="44"/>
        <v>1.4204545454545455E-3</v>
      </c>
      <c r="I540" s="1">
        <f t="shared" si="40"/>
        <v>3.2188758248682006</v>
      </c>
      <c r="J540" s="1">
        <f t="shared" si="41"/>
        <v>-2.3025850929940455</v>
      </c>
      <c r="K540" s="1">
        <f t="shared" si="42"/>
        <v>-6.5567783561580422</v>
      </c>
    </row>
    <row r="541" spans="1:11">
      <c r="A541" s="483">
        <f t="shared" si="43"/>
        <v>535</v>
      </c>
      <c r="B541" s="485">
        <v>38159</v>
      </c>
      <c r="C541" s="473">
        <v>0.80347222222222225</v>
      </c>
      <c r="D541" s="484" t="s">
        <v>118</v>
      </c>
      <c r="E541" s="472" t="s">
        <v>122</v>
      </c>
      <c r="F541" s="486">
        <v>25</v>
      </c>
      <c r="G541" s="611">
        <v>0.1</v>
      </c>
      <c r="H541" s="829">
        <f t="shared" si="44"/>
        <v>1.4204545454545455E-3</v>
      </c>
      <c r="I541" s="1">
        <f t="shared" si="40"/>
        <v>3.2188758248682006</v>
      </c>
      <c r="J541" s="1">
        <f t="shared" si="41"/>
        <v>-2.3025850929940455</v>
      </c>
      <c r="K541" s="1">
        <f t="shared" si="42"/>
        <v>-6.5567783561580422</v>
      </c>
    </row>
    <row r="542" spans="1:11">
      <c r="A542" s="483">
        <f t="shared" si="43"/>
        <v>536</v>
      </c>
      <c r="B542" s="485">
        <v>38460</v>
      </c>
      <c r="C542" s="473">
        <v>0.76736111111111116</v>
      </c>
      <c r="D542" s="484" t="s">
        <v>120</v>
      </c>
      <c r="E542" s="472" t="s">
        <v>122</v>
      </c>
      <c r="F542" s="486">
        <v>25</v>
      </c>
      <c r="G542" s="611">
        <v>0.1</v>
      </c>
      <c r="H542" s="829">
        <f t="shared" si="44"/>
        <v>1.4204545454545455E-3</v>
      </c>
      <c r="I542" s="1">
        <f t="shared" si="40"/>
        <v>3.2188758248682006</v>
      </c>
      <c r="J542" s="1">
        <f t="shared" si="41"/>
        <v>-2.3025850929940455</v>
      </c>
      <c r="K542" s="1">
        <f t="shared" si="42"/>
        <v>-6.5567783561580422</v>
      </c>
    </row>
    <row r="543" spans="1:11">
      <c r="A543" s="483">
        <f t="shared" si="43"/>
        <v>537</v>
      </c>
      <c r="B543" s="485">
        <v>38484</v>
      </c>
      <c r="C543" s="473">
        <v>0.72777777777777775</v>
      </c>
      <c r="D543" s="484" t="s">
        <v>118</v>
      </c>
      <c r="E543" s="472" t="s">
        <v>122</v>
      </c>
      <c r="F543" s="486">
        <v>25</v>
      </c>
      <c r="G543" s="611">
        <v>0.1</v>
      </c>
      <c r="H543" s="829">
        <f t="shared" si="44"/>
        <v>1.4204545454545455E-3</v>
      </c>
      <c r="I543" s="1">
        <f t="shared" si="40"/>
        <v>3.2188758248682006</v>
      </c>
      <c r="J543" s="1">
        <f t="shared" si="41"/>
        <v>-2.3025850929940455</v>
      </c>
      <c r="K543" s="1">
        <f t="shared" si="42"/>
        <v>-6.5567783561580422</v>
      </c>
    </row>
    <row r="544" spans="1:11">
      <c r="A544" s="483">
        <f t="shared" si="43"/>
        <v>538</v>
      </c>
      <c r="B544" s="485">
        <v>38485</v>
      </c>
      <c r="C544" s="473">
        <v>0.78819444444444453</v>
      </c>
      <c r="D544" s="484" t="s">
        <v>111</v>
      </c>
      <c r="E544" s="472" t="s">
        <v>122</v>
      </c>
      <c r="F544" s="486">
        <v>25</v>
      </c>
      <c r="G544" s="611">
        <v>0.3</v>
      </c>
      <c r="H544" s="829">
        <f t="shared" si="44"/>
        <v>4.261363636363636E-3</v>
      </c>
      <c r="I544" s="1">
        <f t="shared" si="40"/>
        <v>3.2188758248682006</v>
      </c>
      <c r="J544" s="1">
        <f t="shared" si="41"/>
        <v>-1.2039728043259361</v>
      </c>
      <c r="K544" s="1">
        <f t="shared" si="42"/>
        <v>-5.458166067489933</v>
      </c>
    </row>
    <row r="545" spans="1:11">
      <c r="A545" s="483">
        <f t="shared" si="43"/>
        <v>539</v>
      </c>
      <c r="B545" s="485">
        <v>38503</v>
      </c>
      <c r="C545" s="473">
        <v>0.58680555555555558</v>
      </c>
      <c r="D545" s="484" t="s">
        <v>118</v>
      </c>
      <c r="E545" s="472" t="s">
        <v>122</v>
      </c>
      <c r="F545" s="486">
        <v>25</v>
      </c>
      <c r="G545" s="611">
        <v>0.1</v>
      </c>
      <c r="H545" s="829">
        <f t="shared" si="44"/>
        <v>1.4204545454545455E-3</v>
      </c>
      <c r="I545" s="1">
        <f t="shared" si="40"/>
        <v>3.2188758248682006</v>
      </c>
      <c r="J545" s="1">
        <f t="shared" si="41"/>
        <v>-2.3025850929940455</v>
      </c>
      <c r="K545" s="1">
        <f t="shared" si="42"/>
        <v>-6.5567783561580422</v>
      </c>
    </row>
    <row r="546" spans="1:11">
      <c r="A546" s="483">
        <f t="shared" si="43"/>
        <v>540</v>
      </c>
      <c r="B546" s="485">
        <v>38512</v>
      </c>
      <c r="C546" s="473">
        <v>0.75138888888888899</v>
      </c>
      <c r="D546" s="484" t="s">
        <v>114</v>
      </c>
      <c r="E546" s="472" t="s">
        <v>122</v>
      </c>
      <c r="F546" s="486">
        <v>25</v>
      </c>
      <c r="G546" s="611">
        <v>0.1</v>
      </c>
      <c r="H546" s="829">
        <f t="shared" si="44"/>
        <v>1.4204545454545455E-3</v>
      </c>
      <c r="I546" s="1">
        <f t="shared" si="40"/>
        <v>3.2188758248682006</v>
      </c>
      <c r="J546" s="1">
        <f t="shared" si="41"/>
        <v>-2.3025850929940455</v>
      </c>
      <c r="K546" s="1">
        <f t="shared" si="42"/>
        <v>-6.5567783561580422</v>
      </c>
    </row>
    <row r="547" spans="1:11">
      <c r="A547" s="483">
        <f t="shared" si="43"/>
        <v>541</v>
      </c>
      <c r="B547" s="485">
        <v>38512</v>
      </c>
      <c r="C547" s="473">
        <v>0.79583333333333339</v>
      </c>
      <c r="D547" s="484" t="s">
        <v>101</v>
      </c>
      <c r="E547" s="472" t="s">
        <v>122</v>
      </c>
      <c r="F547" s="486">
        <v>25</v>
      </c>
      <c r="G547" s="611">
        <v>0.1</v>
      </c>
      <c r="H547" s="829">
        <f t="shared" si="44"/>
        <v>1.4204545454545455E-3</v>
      </c>
      <c r="I547" s="1">
        <f t="shared" si="40"/>
        <v>3.2188758248682006</v>
      </c>
      <c r="J547" s="1">
        <f t="shared" si="41"/>
        <v>-2.3025850929940455</v>
      </c>
      <c r="K547" s="1">
        <f t="shared" si="42"/>
        <v>-6.5567783561580422</v>
      </c>
    </row>
    <row r="548" spans="1:11">
      <c r="A548" s="483">
        <f t="shared" si="43"/>
        <v>542</v>
      </c>
      <c r="B548" s="485">
        <v>38512</v>
      </c>
      <c r="C548" s="473">
        <v>0.8125</v>
      </c>
      <c r="D548" s="484" t="s">
        <v>120</v>
      </c>
      <c r="E548" s="472" t="s">
        <v>122</v>
      </c>
      <c r="F548" s="486">
        <v>30</v>
      </c>
      <c r="G548" s="611">
        <v>0.2</v>
      </c>
      <c r="H548" s="829">
        <f t="shared" si="44"/>
        <v>3.4090909090909089E-3</v>
      </c>
      <c r="I548" s="1">
        <f t="shared" si="40"/>
        <v>3.4011973816621555</v>
      </c>
      <c r="J548" s="1">
        <f t="shared" si="41"/>
        <v>-1.6094379124341003</v>
      </c>
      <c r="K548" s="1">
        <f t="shared" si="42"/>
        <v>-5.6813096188041428</v>
      </c>
    </row>
    <row r="549" spans="1:11">
      <c r="A549" s="483">
        <f t="shared" si="43"/>
        <v>543</v>
      </c>
      <c r="B549" s="485">
        <v>38512</v>
      </c>
      <c r="C549" s="473">
        <v>0.82430555555555562</v>
      </c>
      <c r="D549" s="484" t="s">
        <v>120</v>
      </c>
      <c r="E549" s="472" t="s">
        <v>122</v>
      </c>
      <c r="F549" s="486">
        <v>25</v>
      </c>
      <c r="G549" s="611">
        <v>0.1</v>
      </c>
      <c r="H549" s="829">
        <f t="shared" si="44"/>
        <v>1.4204545454545455E-3</v>
      </c>
      <c r="I549" s="1">
        <f t="shared" si="40"/>
        <v>3.2188758248682006</v>
      </c>
      <c r="J549" s="1">
        <f t="shared" si="41"/>
        <v>-2.3025850929940455</v>
      </c>
      <c r="K549" s="1">
        <f t="shared" si="42"/>
        <v>-6.5567783561580422</v>
      </c>
    </row>
    <row r="550" spans="1:11">
      <c r="A550" s="483">
        <f t="shared" si="43"/>
        <v>544</v>
      </c>
      <c r="B550" s="485">
        <v>38514</v>
      </c>
      <c r="C550" s="473">
        <v>0.73611111111111116</v>
      </c>
      <c r="D550" s="484" t="s">
        <v>117</v>
      </c>
      <c r="E550" s="472" t="s">
        <v>122</v>
      </c>
      <c r="F550" s="486">
        <v>50</v>
      </c>
      <c r="G550" s="611">
        <v>0.5</v>
      </c>
      <c r="H550" s="829">
        <f t="shared" si="44"/>
        <v>1.4204545454545454E-2</v>
      </c>
      <c r="I550" s="1">
        <f t="shared" si="40"/>
        <v>3.912023005428146</v>
      </c>
      <c r="J550" s="1">
        <f t="shared" si="41"/>
        <v>-0.69314718055994529</v>
      </c>
      <c r="K550" s="1">
        <f t="shared" si="42"/>
        <v>-4.2541932631639972</v>
      </c>
    </row>
    <row r="551" spans="1:11">
      <c r="A551" s="483">
        <f t="shared" si="43"/>
        <v>545</v>
      </c>
      <c r="B551" s="485">
        <v>38514</v>
      </c>
      <c r="C551" s="473">
        <v>0.76944444444444438</v>
      </c>
      <c r="D551" s="484" t="s">
        <v>117</v>
      </c>
      <c r="E551" s="472" t="s">
        <v>122</v>
      </c>
      <c r="F551" s="486">
        <v>25</v>
      </c>
      <c r="G551" s="611">
        <v>0.1</v>
      </c>
      <c r="H551" s="829">
        <f t="shared" si="44"/>
        <v>1.4204545454545455E-3</v>
      </c>
      <c r="I551" s="1">
        <f t="shared" si="40"/>
        <v>3.2188758248682006</v>
      </c>
      <c r="J551" s="1">
        <f t="shared" si="41"/>
        <v>-2.3025850929940455</v>
      </c>
      <c r="K551" s="1">
        <f t="shared" si="42"/>
        <v>-6.5567783561580422</v>
      </c>
    </row>
    <row r="552" spans="1:11">
      <c r="A552" s="483">
        <f t="shared" si="43"/>
        <v>546</v>
      </c>
      <c r="B552" s="485">
        <v>38514</v>
      </c>
      <c r="C552" s="473">
        <v>0.77083333333333337</v>
      </c>
      <c r="D552" s="484" t="s">
        <v>119</v>
      </c>
      <c r="E552" s="472" t="s">
        <v>122</v>
      </c>
      <c r="F552" s="486">
        <v>25</v>
      </c>
      <c r="G552" s="611">
        <v>0.2</v>
      </c>
      <c r="H552" s="829">
        <f t="shared" si="44"/>
        <v>2.840909090909091E-3</v>
      </c>
      <c r="I552" s="1">
        <f t="shared" si="40"/>
        <v>3.2188758248682006</v>
      </c>
      <c r="J552" s="1">
        <f t="shared" si="41"/>
        <v>-1.6094379124341003</v>
      </c>
      <c r="K552" s="1">
        <f t="shared" si="42"/>
        <v>-5.8636311755980968</v>
      </c>
    </row>
    <row r="553" spans="1:11">
      <c r="A553" s="483">
        <f t="shared" si="43"/>
        <v>547</v>
      </c>
      <c r="B553" s="485">
        <v>38514</v>
      </c>
      <c r="C553" s="473">
        <v>0.77500000000000002</v>
      </c>
      <c r="D553" s="484" t="s">
        <v>119</v>
      </c>
      <c r="E553" s="472" t="s">
        <v>122</v>
      </c>
      <c r="F553" s="486">
        <v>25</v>
      </c>
      <c r="G553" s="611">
        <v>0.1</v>
      </c>
      <c r="H553" s="829">
        <f t="shared" si="44"/>
        <v>1.4204545454545455E-3</v>
      </c>
      <c r="I553" s="1">
        <f t="shared" si="40"/>
        <v>3.2188758248682006</v>
      </c>
      <c r="J553" s="1">
        <f t="shared" si="41"/>
        <v>-2.3025850929940455</v>
      </c>
      <c r="K553" s="1">
        <f t="shared" si="42"/>
        <v>-6.5567783561580422</v>
      </c>
    </row>
    <row r="554" spans="1:11">
      <c r="A554" s="483">
        <f t="shared" si="43"/>
        <v>548</v>
      </c>
      <c r="B554" s="485">
        <v>38514</v>
      </c>
      <c r="C554" s="473">
        <v>0.7895833333333333</v>
      </c>
      <c r="D554" s="484" t="s">
        <v>119</v>
      </c>
      <c r="E554" s="472" t="s">
        <v>122</v>
      </c>
      <c r="F554" s="486">
        <v>25</v>
      </c>
      <c r="G554" s="611">
        <v>0.1</v>
      </c>
      <c r="H554" s="829">
        <f t="shared" si="44"/>
        <v>1.4204545454545455E-3</v>
      </c>
      <c r="I554" s="1">
        <f t="shared" si="40"/>
        <v>3.2188758248682006</v>
      </c>
      <c r="J554" s="1">
        <f t="shared" si="41"/>
        <v>-2.3025850929940455</v>
      </c>
      <c r="K554" s="1">
        <f t="shared" si="42"/>
        <v>-6.5567783561580422</v>
      </c>
    </row>
    <row r="555" spans="1:11">
      <c r="A555" s="483">
        <f t="shared" si="43"/>
        <v>549</v>
      </c>
      <c r="B555" s="485">
        <v>38514</v>
      </c>
      <c r="C555" s="473">
        <v>0.79305555555555562</v>
      </c>
      <c r="D555" s="484" t="s">
        <v>119</v>
      </c>
      <c r="E555" s="472" t="s">
        <v>122</v>
      </c>
      <c r="F555" s="486">
        <v>25</v>
      </c>
      <c r="G555" s="611">
        <v>0.2</v>
      </c>
      <c r="H555" s="829">
        <f t="shared" si="44"/>
        <v>2.840909090909091E-3</v>
      </c>
      <c r="I555" s="1">
        <f t="shared" si="40"/>
        <v>3.2188758248682006</v>
      </c>
      <c r="J555" s="1">
        <f t="shared" si="41"/>
        <v>-1.6094379124341003</v>
      </c>
      <c r="K555" s="1">
        <f t="shared" si="42"/>
        <v>-5.8636311755980968</v>
      </c>
    </row>
    <row r="556" spans="1:11">
      <c r="A556" s="483">
        <f t="shared" si="43"/>
        <v>550</v>
      </c>
      <c r="B556" s="485">
        <v>38539</v>
      </c>
      <c r="C556" s="473">
        <v>0.82777777777777783</v>
      </c>
      <c r="D556" s="484" t="s">
        <v>107</v>
      </c>
      <c r="E556" s="472" t="s">
        <v>122</v>
      </c>
      <c r="F556" s="486">
        <v>25</v>
      </c>
      <c r="G556" s="611">
        <v>0.1</v>
      </c>
      <c r="H556" s="829">
        <f t="shared" si="44"/>
        <v>1.4204545454545455E-3</v>
      </c>
      <c r="I556" s="1">
        <f t="shared" si="40"/>
        <v>3.2188758248682006</v>
      </c>
      <c r="J556" s="1">
        <f t="shared" si="41"/>
        <v>-2.3025850929940455</v>
      </c>
      <c r="K556" s="1">
        <f t="shared" si="42"/>
        <v>-6.5567783561580422</v>
      </c>
    </row>
    <row r="557" spans="1:11">
      <c r="A557" s="483">
        <f t="shared" si="43"/>
        <v>551</v>
      </c>
      <c r="B557" s="485">
        <v>38886</v>
      </c>
      <c r="C557" s="473">
        <v>0.8125</v>
      </c>
      <c r="D557" s="484" t="s">
        <v>101</v>
      </c>
      <c r="E557" s="472" t="s">
        <v>122</v>
      </c>
      <c r="F557" s="486">
        <v>100</v>
      </c>
      <c r="G557" s="611">
        <v>1</v>
      </c>
      <c r="H557" s="829">
        <f t="shared" si="44"/>
        <v>5.6818181818181816E-2</v>
      </c>
      <c r="I557" s="1">
        <f t="shared" si="40"/>
        <v>4.6051701859880918</v>
      </c>
      <c r="J557" s="1">
        <f t="shared" si="41"/>
        <v>0</v>
      </c>
      <c r="K557" s="1">
        <f t="shared" si="42"/>
        <v>-2.8678989020441059</v>
      </c>
    </row>
    <row r="558" spans="1:11">
      <c r="A558" s="483">
        <f t="shared" si="43"/>
        <v>552</v>
      </c>
      <c r="B558" s="485">
        <v>38889</v>
      </c>
      <c r="C558" s="473">
        <v>0.61458333333333337</v>
      </c>
      <c r="D558" s="484" t="s">
        <v>117</v>
      </c>
      <c r="E558" s="472" t="s">
        <v>122</v>
      </c>
      <c r="F558" s="486">
        <v>25</v>
      </c>
      <c r="G558" s="611">
        <v>0.1</v>
      </c>
      <c r="H558" s="829">
        <f t="shared" si="44"/>
        <v>1.4204545454545455E-3</v>
      </c>
      <c r="I558" s="1">
        <f t="shared" si="40"/>
        <v>3.2188758248682006</v>
      </c>
      <c r="J558" s="1">
        <f t="shared" si="41"/>
        <v>-2.3025850929940455</v>
      </c>
      <c r="K558" s="1">
        <f t="shared" si="42"/>
        <v>-6.5567783561580422</v>
      </c>
    </row>
    <row r="559" spans="1:11">
      <c r="A559" s="483">
        <f t="shared" si="43"/>
        <v>553</v>
      </c>
      <c r="B559" s="485">
        <v>38889</v>
      </c>
      <c r="C559" s="473">
        <v>0.6875</v>
      </c>
      <c r="D559" s="484" t="s">
        <v>104</v>
      </c>
      <c r="E559" s="472" t="s">
        <v>122</v>
      </c>
      <c r="F559" s="486">
        <v>50</v>
      </c>
      <c r="G559" s="611">
        <v>0.2</v>
      </c>
      <c r="H559" s="829">
        <f t="shared" si="44"/>
        <v>5.681818181818182E-3</v>
      </c>
      <c r="I559" s="1">
        <f t="shared" si="40"/>
        <v>3.912023005428146</v>
      </c>
      <c r="J559" s="1">
        <f t="shared" si="41"/>
        <v>-1.6094379124341003</v>
      </c>
      <c r="K559" s="1">
        <f t="shared" si="42"/>
        <v>-5.1704839950381514</v>
      </c>
    </row>
    <row r="560" spans="1:11">
      <c r="A560" s="483">
        <f t="shared" si="43"/>
        <v>554</v>
      </c>
      <c r="B560" s="485">
        <v>38889</v>
      </c>
      <c r="C560" s="473">
        <v>0.69305555555555554</v>
      </c>
      <c r="D560" s="484" t="s">
        <v>104</v>
      </c>
      <c r="E560" s="472" t="s">
        <v>122</v>
      </c>
      <c r="F560" s="486">
        <v>50</v>
      </c>
      <c r="G560" s="611">
        <v>0.2</v>
      </c>
      <c r="H560" s="829">
        <f t="shared" si="44"/>
        <v>5.681818181818182E-3</v>
      </c>
      <c r="I560" s="1">
        <f t="shared" si="40"/>
        <v>3.912023005428146</v>
      </c>
      <c r="J560" s="1">
        <f t="shared" si="41"/>
        <v>-1.6094379124341003</v>
      </c>
      <c r="K560" s="1">
        <f t="shared" si="42"/>
        <v>-5.1704839950381514</v>
      </c>
    </row>
    <row r="561" spans="1:11">
      <c r="A561" s="483">
        <f t="shared" si="43"/>
        <v>555</v>
      </c>
      <c r="B561" s="485">
        <v>38889</v>
      </c>
      <c r="C561" s="473">
        <v>0.72499999999999998</v>
      </c>
      <c r="D561" s="484" t="s">
        <v>100</v>
      </c>
      <c r="E561" s="472" t="s">
        <v>122</v>
      </c>
      <c r="F561" s="486">
        <v>50</v>
      </c>
      <c r="G561" s="611">
        <v>0.2</v>
      </c>
      <c r="H561" s="829">
        <f t="shared" si="44"/>
        <v>5.681818181818182E-3</v>
      </c>
      <c r="I561" s="1">
        <f t="shared" si="40"/>
        <v>3.912023005428146</v>
      </c>
      <c r="J561" s="1">
        <f t="shared" si="41"/>
        <v>-1.6094379124341003</v>
      </c>
      <c r="K561" s="1">
        <f t="shared" si="42"/>
        <v>-5.1704839950381514</v>
      </c>
    </row>
    <row r="562" spans="1:11">
      <c r="A562" s="483">
        <f t="shared" si="43"/>
        <v>556</v>
      </c>
      <c r="B562" s="485">
        <v>38889</v>
      </c>
      <c r="C562" s="473">
        <v>0.7270833333333333</v>
      </c>
      <c r="D562" s="484" t="s">
        <v>101</v>
      </c>
      <c r="E562" s="472" t="s">
        <v>122</v>
      </c>
      <c r="F562" s="486">
        <v>50</v>
      </c>
      <c r="G562" s="611">
        <v>0.1</v>
      </c>
      <c r="H562" s="829">
        <f t="shared" si="44"/>
        <v>2.840909090909091E-3</v>
      </c>
      <c r="I562" s="1">
        <f t="shared" si="40"/>
        <v>3.912023005428146</v>
      </c>
      <c r="J562" s="1">
        <f t="shared" si="41"/>
        <v>-2.3025850929940455</v>
      </c>
      <c r="K562" s="1">
        <f t="shared" si="42"/>
        <v>-5.8636311755980968</v>
      </c>
    </row>
    <row r="563" spans="1:11">
      <c r="A563" s="483">
        <f t="shared" si="43"/>
        <v>557</v>
      </c>
      <c r="B563" s="485">
        <v>38889</v>
      </c>
      <c r="C563" s="473">
        <v>0.7270833333333333</v>
      </c>
      <c r="D563" s="484" t="s">
        <v>101</v>
      </c>
      <c r="E563" s="472" t="s">
        <v>122</v>
      </c>
      <c r="F563" s="486">
        <v>50</v>
      </c>
      <c r="G563" s="611">
        <v>0.1</v>
      </c>
      <c r="H563" s="829">
        <f t="shared" si="44"/>
        <v>2.840909090909091E-3</v>
      </c>
      <c r="I563" s="1">
        <f t="shared" si="40"/>
        <v>3.912023005428146</v>
      </c>
      <c r="J563" s="1">
        <f t="shared" si="41"/>
        <v>-2.3025850929940455</v>
      </c>
      <c r="K563" s="1">
        <f t="shared" si="42"/>
        <v>-5.8636311755980968</v>
      </c>
    </row>
    <row r="564" spans="1:11">
      <c r="A564" s="483">
        <f t="shared" si="43"/>
        <v>558</v>
      </c>
      <c r="B564" s="485">
        <v>38889</v>
      </c>
      <c r="C564" s="473">
        <v>0.75555555555555554</v>
      </c>
      <c r="D564" s="484" t="s">
        <v>103</v>
      </c>
      <c r="E564" s="472" t="s">
        <v>122</v>
      </c>
      <c r="F564" s="486">
        <v>25</v>
      </c>
      <c r="G564" s="611">
        <v>0.1</v>
      </c>
      <c r="H564" s="829">
        <f t="shared" si="44"/>
        <v>1.4204545454545455E-3</v>
      </c>
      <c r="I564" s="1">
        <f t="shared" si="40"/>
        <v>3.2188758248682006</v>
      </c>
      <c r="J564" s="1">
        <f t="shared" si="41"/>
        <v>-2.3025850929940455</v>
      </c>
      <c r="K564" s="1">
        <f t="shared" si="42"/>
        <v>-6.5567783561580422</v>
      </c>
    </row>
    <row r="565" spans="1:11">
      <c r="A565" s="483">
        <f t="shared" si="43"/>
        <v>559</v>
      </c>
      <c r="B565" s="485">
        <v>38889</v>
      </c>
      <c r="C565" s="473">
        <v>0.75694444444444453</v>
      </c>
      <c r="D565" s="484" t="s">
        <v>104</v>
      </c>
      <c r="E565" s="472" t="s">
        <v>122</v>
      </c>
      <c r="F565" s="486">
        <v>50</v>
      </c>
      <c r="G565" s="611">
        <v>0.2</v>
      </c>
      <c r="H565" s="829">
        <f t="shared" si="44"/>
        <v>5.681818181818182E-3</v>
      </c>
      <c r="I565" s="1">
        <f t="shared" si="40"/>
        <v>3.912023005428146</v>
      </c>
      <c r="J565" s="1">
        <f t="shared" si="41"/>
        <v>-1.6094379124341003</v>
      </c>
      <c r="K565" s="1">
        <f t="shared" si="42"/>
        <v>-5.1704839950381514</v>
      </c>
    </row>
    <row r="566" spans="1:11">
      <c r="A566" s="483">
        <f t="shared" si="43"/>
        <v>560</v>
      </c>
      <c r="B566" s="485">
        <v>38893</v>
      </c>
      <c r="C566" s="473">
        <v>0.7</v>
      </c>
      <c r="D566" s="484" t="s">
        <v>102</v>
      </c>
      <c r="E566" s="472" t="s">
        <v>122</v>
      </c>
      <c r="F566" s="486">
        <v>25</v>
      </c>
      <c r="G566" s="611">
        <v>0.1</v>
      </c>
      <c r="H566" s="829">
        <f t="shared" si="44"/>
        <v>1.4204545454545455E-3</v>
      </c>
      <c r="I566" s="1">
        <f t="shared" si="40"/>
        <v>3.2188758248682006</v>
      </c>
      <c r="J566" s="1">
        <f t="shared" si="41"/>
        <v>-2.3025850929940455</v>
      </c>
      <c r="K566" s="1">
        <f t="shared" si="42"/>
        <v>-6.5567783561580422</v>
      </c>
    </row>
    <row r="567" spans="1:11">
      <c r="A567" s="483">
        <f t="shared" si="43"/>
        <v>561</v>
      </c>
      <c r="B567" s="485">
        <v>38926</v>
      </c>
      <c r="C567" s="473">
        <v>0.77569444444444446</v>
      </c>
      <c r="D567" s="484" t="s">
        <v>117</v>
      </c>
      <c r="E567" s="472" t="s">
        <v>122</v>
      </c>
      <c r="F567" s="486">
        <v>25</v>
      </c>
      <c r="G567" s="611">
        <v>3</v>
      </c>
      <c r="H567" s="829">
        <f t="shared" si="44"/>
        <v>4.261363636363636E-2</v>
      </c>
      <c r="I567" s="1">
        <f t="shared" si="40"/>
        <v>3.2188758248682006</v>
      </c>
      <c r="J567" s="1">
        <f t="shared" si="41"/>
        <v>1.0986122886681098</v>
      </c>
      <c r="K567" s="1">
        <f t="shared" si="42"/>
        <v>-3.1555809744958871</v>
      </c>
    </row>
    <row r="568" spans="1:11">
      <c r="A568" s="483">
        <f t="shared" si="43"/>
        <v>562</v>
      </c>
      <c r="B568" s="485">
        <v>38956</v>
      </c>
      <c r="C568" s="473">
        <v>0.8208333333333333</v>
      </c>
      <c r="D568" s="484" t="s">
        <v>109</v>
      </c>
      <c r="E568" s="472" t="s">
        <v>122</v>
      </c>
      <c r="F568" s="486">
        <v>25</v>
      </c>
      <c r="G568" s="611">
        <v>1.5</v>
      </c>
      <c r="H568" s="829">
        <f t="shared" si="44"/>
        <v>2.130681818181818E-2</v>
      </c>
      <c r="I568" s="1">
        <f t="shared" si="40"/>
        <v>3.2188758248682006</v>
      </c>
      <c r="J568" s="1">
        <f t="shared" si="41"/>
        <v>0.40546510810816438</v>
      </c>
      <c r="K568" s="1">
        <f t="shared" si="42"/>
        <v>-3.8487281550558325</v>
      </c>
    </row>
    <row r="569" spans="1:11">
      <c r="A569" s="483">
        <f t="shared" si="43"/>
        <v>563</v>
      </c>
      <c r="B569" s="485">
        <v>39136</v>
      </c>
      <c r="C569" s="473">
        <v>0.75694444444444453</v>
      </c>
      <c r="D569" s="484" t="s">
        <v>115</v>
      </c>
      <c r="E569" s="472" t="s">
        <v>161</v>
      </c>
      <c r="F569" s="486">
        <v>25</v>
      </c>
      <c r="G569" s="611">
        <v>0.1</v>
      </c>
      <c r="H569" s="829">
        <f t="shared" si="44"/>
        <v>1.4204545454545455E-3</v>
      </c>
      <c r="I569" s="1">
        <f t="shared" si="40"/>
        <v>3.2188758248682006</v>
      </c>
      <c r="J569" s="1">
        <f t="shared" si="41"/>
        <v>-2.3025850929940455</v>
      </c>
      <c r="K569" s="1">
        <f t="shared" si="42"/>
        <v>-6.5567783561580422</v>
      </c>
    </row>
    <row r="570" spans="1:11">
      <c r="A570" s="483">
        <f t="shared" si="43"/>
        <v>564</v>
      </c>
      <c r="B570" s="485">
        <v>39164</v>
      </c>
      <c r="C570" s="473">
        <v>0.6743055555555556</v>
      </c>
      <c r="D570" s="484" t="s">
        <v>100</v>
      </c>
      <c r="E570" s="472" t="s">
        <v>161</v>
      </c>
      <c r="F570" s="486">
        <v>440</v>
      </c>
      <c r="G570" s="611">
        <v>1.38</v>
      </c>
      <c r="H570" s="829">
        <f t="shared" si="44"/>
        <v>0.34499999999999997</v>
      </c>
      <c r="I570" s="1">
        <f t="shared" si="40"/>
        <v>6.0867747269123065</v>
      </c>
      <c r="J570" s="1">
        <f t="shared" si="41"/>
        <v>0.32208349916911322</v>
      </c>
      <c r="K570" s="1">
        <f t="shared" si="42"/>
        <v>-1.0642108619507773</v>
      </c>
    </row>
    <row r="571" spans="1:11">
      <c r="A571" s="483">
        <f t="shared" si="43"/>
        <v>565</v>
      </c>
      <c r="B571" s="485">
        <v>39169</v>
      </c>
      <c r="C571" s="473">
        <v>0.73611111111111116</v>
      </c>
      <c r="D571" s="484" t="s">
        <v>120</v>
      </c>
      <c r="E571" s="472" t="s">
        <v>161</v>
      </c>
      <c r="F571" s="486">
        <v>100</v>
      </c>
      <c r="G571" s="611">
        <v>1</v>
      </c>
      <c r="H571" s="829">
        <f t="shared" si="44"/>
        <v>5.6818181818181816E-2</v>
      </c>
      <c r="I571" s="1">
        <f t="shared" si="40"/>
        <v>4.6051701859880918</v>
      </c>
      <c r="J571" s="1">
        <f t="shared" si="41"/>
        <v>0</v>
      </c>
      <c r="K571" s="1">
        <f t="shared" si="42"/>
        <v>-2.8678989020441059</v>
      </c>
    </row>
    <row r="572" spans="1:11">
      <c r="A572" s="483">
        <f t="shared" si="43"/>
        <v>566</v>
      </c>
      <c r="B572" s="485">
        <v>39169</v>
      </c>
      <c r="C572" s="473">
        <v>0.75347222222222221</v>
      </c>
      <c r="D572" s="484" t="s">
        <v>120</v>
      </c>
      <c r="E572" s="472" t="s">
        <v>161</v>
      </c>
      <c r="F572" s="486">
        <v>200</v>
      </c>
      <c r="G572" s="611">
        <v>1</v>
      </c>
      <c r="H572" s="829">
        <f t="shared" si="44"/>
        <v>0.11363636363636363</v>
      </c>
      <c r="I572" s="1">
        <f t="shared" si="40"/>
        <v>5.2983173665480363</v>
      </c>
      <c r="J572" s="1">
        <f t="shared" si="41"/>
        <v>0</v>
      </c>
      <c r="K572" s="1">
        <f t="shared" si="42"/>
        <v>-2.174751721484161</v>
      </c>
    </row>
    <row r="573" spans="1:11">
      <c r="A573" s="483">
        <f t="shared" si="43"/>
        <v>567</v>
      </c>
      <c r="B573" s="485">
        <v>39169</v>
      </c>
      <c r="C573" s="473">
        <v>0.79305555555555562</v>
      </c>
      <c r="D573" s="484" t="s">
        <v>120</v>
      </c>
      <c r="E573" s="472" t="s">
        <v>161</v>
      </c>
      <c r="F573" s="486">
        <v>50</v>
      </c>
      <c r="G573" s="611">
        <v>0.25</v>
      </c>
      <c r="H573" s="829">
        <f t="shared" si="44"/>
        <v>7.102272727272727E-3</v>
      </c>
      <c r="I573" s="1">
        <f t="shared" si="40"/>
        <v>3.912023005428146</v>
      </c>
      <c r="J573" s="1">
        <f t="shared" si="41"/>
        <v>-1.3862943611198906</v>
      </c>
      <c r="K573" s="1">
        <f t="shared" si="42"/>
        <v>-4.9473404437239417</v>
      </c>
    </row>
    <row r="574" spans="1:11">
      <c r="A574" s="483">
        <f t="shared" si="43"/>
        <v>568</v>
      </c>
      <c r="B574" s="485">
        <v>39169</v>
      </c>
      <c r="C574" s="473">
        <v>0.80208333333333337</v>
      </c>
      <c r="D574" s="484" t="s">
        <v>120</v>
      </c>
      <c r="E574" s="472" t="s">
        <v>161</v>
      </c>
      <c r="F574" s="486">
        <v>50</v>
      </c>
      <c r="G574" s="611">
        <v>1</v>
      </c>
      <c r="H574" s="829">
        <f t="shared" si="44"/>
        <v>2.8409090909090908E-2</v>
      </c>
      <c r="I574" s="1">
        <f t="shared" si="40"/>
        <v>3.912023005428146</v>
      </c>
      <c r="J574" s="1">
        <f t="shared" si="41"/>
        <v>0</v>
      </c>
      <c r="K574" s="1">
        <f t="shared" si="42"/>
        <v>-3.5610460826040513</v>
      </c>
    </row>
    <row r="575" spans="1:11">
      <c r="A575" s="483">
        <f t="shared" si="43"/>
        <v>569</v>
      </c>
      <c r="B575" s="485">
        <v>39169</v>
      </c>
      <c r="C575" s="473">
        <v>0.8125</v>
      </c>
      <c r="D575" s="484" t="s">
        <v>115</v>
      </c>
      <c r="E575" s="472" t="s">
        <v>161</v>
      </c>
      <c r="F575" s="486">
        <v>50</v>
      </c>
      <c r="G575" s="611">
        <v>0.25</v>
      </c>
      <c r="H575" s="829">
        <f t="shared" si="44"/>
        <v>7.102272727272727E-3</v>
      </c>
      <c r="I575" s="1">
        <f t="shared" si="40"/>
        <v>3.912023005428146</v>
      </c>
      <c r="J575" s="1">
        <f t="shared" si="41"/>
        <v>-1.3862943611198906</v>
      </c>
      <c r="K575" s="1">
        <f t="shared" si="42"/>
        <v>-4.9473404437239417</v>
      </c>
    </row>
    <row r="576" spans="1:11">
      <c r="A576" s="483">
        <f t="shared" si="43"/>
        <v>570</v>
      </c>
      <c r="B576" s="485">
        <v>39193</v>
      </c>
      <c r="C576" s="473">
        <v>0.79583333333333339</v>
      </c>
      <c r="D576" s="484" t="s">
        <v>108</v>
      </c>
      <c r="E576" s="472" t="s">
        <v>161</v>
      </c>
      <c r="F576" s="486">
        <v>50</v>
      </c>
      <c r="G576" s="611">
        <v>1</v>
      </c>
      <c r="H576" s="829">
        <f t="shared" si="44"/>
        <v>2.8409090909090908E-2</v>
      </c>
      <c r="I576" s="1">
        <f t="shared" si="40"/>
        <v>3.912023005428146</v>
      </c>
      <c r="J576" s="1">
        <f t="shared" si="41"/>
        <v>0</v>
      </c>
      <c r="K576" s="1">
        <f t="shared" si="42"/>
        <v>-3.5610460826040513</v>
      </c>
    </row>
    <row r="577" spans="1:11">
      <c r="A577" s="483">
        <f t="shared" si="43"/>
        <v>571</v>
      </c>
      <c r="B577" s="485">
        <v>39193</v>
      </c>
      <c r="C577" s="473">
        <v>0.80486111111111114</v>
      </c>
      <c r="D577" s="484" t="s">
        <v>108</v>
      </c>
      <c r="E577" s="472" t="s">
        <v>161</v>
      </c>
      <c r="F577" s="486">
        <v>100</v>
      </c>
      <c r="G577" s="611">
        <v>1.53</v>
      </c>
      <c r="H577" s="829">
        <f t="shared" si="44"/>
        <v>8.693181818181818E-2</v>
      </c>
      <c r="I577" s="1">
        <f t="shared" si="40"/>
        <v>4.6051701859880918</v>
      </c>
      <c r="J577" s="1">
        <f t="shared" si="41"/>
        <v>0.42526773540434409</v>
      </c>
      <c r="K577" s="1">
        <f t="shared" si="42"/>
        <v>-2.442631166639762</v>
      </c>
    </row>
    <row r="578" spans="1:11">
      <c r="A578" s="483">
        <f t="shared" si="43"/>
        <v>572</v>
      </c>
      <c r="B578" s="485">
        <v>39193</v>
      </c>
      <c r="C578" s="473">
        <v>0.83194444444444438</v>
      </c>
      <c r="D578" s="484" t="s">
        <v>103</v>
      </c>
      <c r="E578" s="472" t="s">
        <v>161</v>
      </c>
      <c r="F578" s="486">
        <v>700</v>
      </c>
      <c r="G578" s="611">
        <v>7.97</v>
      </c>
      <c r="H578" s="829">
        <f t="shared" si="44"/>
        <v>3.1698863636363632</v>
      </c>
      <c r="I578" s="1">
        <f t="shared" si="40"/>
        <v>6.5510803350434044</v>
      </c>
      <c r="J578" s="1">
        <f t="shared" si="41"/>
        <v>2.0756844928021239</v>
      </c>
      <c r="K578" s="1">
        <f t="shared" si="42"/>
        <v>1.1536957398133307</v>
      </c>
    </row>
    <row r="579" spans="1:11">
      <c r="A579" s="483">
        <f t="shared" si="43"/>
        <v>573</v>
      </c>
      <c r="B579" s="485">
        <v>39193</v>
      </c>
      <c r="C579" s="473">
        <v>0.86111111111111116</v>
      </c>
      <c r="D579" s="484" t="s">
        <v>119</v>
      </c>
      <c r="E579" s="472" t="s">
        <v>161</v>
      </c>
      <c r="F579" s="486">
        <v>50</v>
      </c>
      <c r="G579" s="611">
        <v>4.21</v>
      </c>
      <c r="H579" s="829">
        <f t="shared" si="44"/>
        <v>0.11960227272727272</v>
      </c>
      <c r="I579" s="1">
        <f t="shared" si="40"/>
        <v>3.912023005428146</v>
      </c>
      <c r="J579" s="1">
        <f t="shared" si="41"/>
        <v>1.43746264769429</v>
      </c>
      <c r="K579" s="1">
        <f t="shared" si="42"/>
        <v>-2.1235834349097615</v>
      </c>
    </row>
    <row r="580" spans="1:11">
      <c r="A580" s="483">
        <f t="shared" si="43"/>
        <v>574</v>
      </c>
      <c r="B580" s="501">
        <v>39207</v>
      </c>
      <c r="C580" s="473">
        <v>0.76388888888888884</v>
      </c>
      <c r="D580" s="484" t="s">
        <v>121</v>
      </c>
      <c r="E580" s="472" t="s">
        <v>161</v>
      </c>
      <c r="F580" s="486">
        <v>100</v>
      </c>
      <c r="G580" s="611">
        <v>2.78</v>
      </c>
      <c r="H580" s="829">
        <f t="shared" si="44"/>
        <v>0.15795454545454543</v>
      </c>
      <c r="I580" s="1">
        <f t="shared" si="40"/>
        <v>4.6051701859880918</v>
      </c>
      <c r="J580" s="1">
        <f t="shared" si="41"/>
        <v>1.0224509277025455</v>
      </c>
      <c r="K580" s="1">
        <f t="shared" si="42"/>
        <v>-1.8454479743415606</v>
      </c>
    </row>
    <row r="581" spans="1:11">
      <c r="A581" s="483">
        <f t="shared" si="43"/>
        <v>575</v>
      </c>
      <c r="B581" s="501">
        <v>39207</v>
      </c>
      <c r="C581" s="473">
        <v>0.94444444444444453</v>
      </c>
      <c r="D581" s="484" t="s">
        <v>115</v>
      </c>
      <c r="E581" s="472" t="s">
        <v>161</v>
      </c>
      <c r="F581" s="486">
        <v>300</v>
      </c>
      <c r="G581" s="611">
        <v>2</v>
      </c>
      <c r="H581" s="829">
        <f t="shared" si="44"/>
        <v>0.34090909090909088</v>
      </c>
      <c r="I581" s="1">
        <f t="shared" si="40"/>
        <v>5.7037824746562009</v>
      </c>
      <c r="J581" s="1">
        <f t="shared" si="41"/>
        <v>0.69314718055994529</v>
      </c>
      <c r="K581" s="1">
        <f t="shared" si="42"/>
        <v>-1.0761394328160512</v>
      </c>
    </row>
    <row r="582" spans="1:11">
      <c r="A582" s="483">
        <f t="shared" si="43"/>
        <v>576</v>
      </c>
      <c r="B582" s="485">
        <v>39225</v>
      </c>
      <c r="C582" s="473">
        <v>0.64444444444444449</v>
      </c>
      <c r="D582" s="484" t="s">
        <v>110</v>
      </c>
      <c r="E582" s="472" t="s">
        <v>161</v>
      </c>
      <c r="F582" s="486">
        <v>25</v>
      </c>
      <c r="G582" s="611">
        <v>0.2</v>
      </c>
      <c r="H582" s="829">
        <f t="shared" si="44"/>
        <v>2.840909090909091E-3</v>
      </c>
      <c r="I582" s="1">
        <f t="shared" si="40"/>
        <v>3.2188758248682006</v>
      </c>
      <c r="J582" s="1">
        <f t="shared" si="41"/>
        <v>-1.6094379124341003</v>
      </c>
      <c r="K582" s="1">
        <f t="shared" si="42"/>
        <v>-5.8636311755980968</v>
      </c>
    </row>
    <row r="583" spans="1:11">
      <c r="A583" s="483">
        <f t="shared" si="43"/>
        <v>577</v>
      </c>
      <c r="B583" s="485">
        <v>39225</v>
      </c>
      <c r="C583" s="473">
        <v>0.68402777777777779</v>
      </c>
      <c r="D583" s="484" t="s">
        <v>105</v>
      </c>
      <c r="E583" s="472" t="s">
        <v>161</v>
      </c>
      <c r="F583" s="486">
        <v>50</v>
      </c>
      <c r="G583" s="611">
        <v>1</v>
      </c>
      <c r="H583" s="829">
        <f t="shared" si="44"/>
        <v>2.8409090909090908E-2</v>
      </c>
      <c r="I583" s="1">
        <f t="shared" si="40"/>
        <v>3.912023005428146</v>
      </c>
      <c r="J583" s="1">
        <f t="shared" si="41"/>
        <v>0</v>
      </c>
      <c r="K583" s="1">
        <f t="shared" si="42"/>
        <v>-3.5610460826040513</v>
      </c>
    </row>
    <row r="584" spans="1:11">
      <c r="A584" s="483">
        <f t="shared" si="43"/>
        <v>578</v>
      </c>
      <c r="B584" s="485">
        <v>39225</v>
      </c>
      <c r="C584" s="473">
        <v>0.69374999999999998</v>
      </c>
      <c r="D584" s="484" t="s">
        <v>105</v>
      </c>
      <c r="E584" s="472" t="s">
        <v>161</v>
      </c>
      <c r="F584" s="486">
        <v>50</v>
      </c>
      <c r="G584" s="611">
        <v>1</v>
      </c>
      <c r="H584" s="829">
        <f t="shared" si="44"/>
        <v>2.8409090909090908E-2</v>
      </c>
      <c r="I584" s="1">
        <f t="shared" ref="I584:I647" si="45">LN(F584)</f>
        <v>3.912023005428146</v>
      </c>
      <c r="J584" s="1">
        <f t="shared" ref="J584:J647" si="46">LN(G584)</f>
        <v>0</v>
      </c>
      <c r="K584" s="1">
        <f t="shared" ref="K584:K647" si="47">LN(H584)</f>
        <v>-3.5610460826040513</v>
      </c>
    </row>
    <row r="585" spans="1:11">
      <c r="A585" s="483">
        <f t="shared" ref="A585:A648" si="48">+A584+1</f>
        <v>579</v>
      </c>
      <c r="B585" s="485">
        <v>39225</v>
      </c>
      <c r="C585" s="473">
        <v>0.7055555555555556</v>
      </c>
      <c r="D585" s="484" t="s">
        <v>106</v>
      </c>
      <c r="E585" s="472" t="s">
        <v>161</v>
      </c>
      <c r="F585" s="486">
        <v>50</v>
      </c>
      <c r="G585" s="611">
        <v>1</v>
      </c>
      <c r="H585" s="829">
        <f t="shared" ref="H585:H648" si="49">+(F585/1760)*G585</f>
        <v>2.8409090909090908E-2</v>
      </c>
      <c r="I585" s="1">
        <f t="shared" si="45"/>
        <v>3.912023005428146</v>
      </c>
      <c r="J585" s="1">
        <f t="shared" si="46"/>
        <v>0</v>
      </c>
      <c r="K585" s="1">
        <f t="shared" si="47"/>
        <v>-3.5610460826040513</v>
      </c>
    </row>
    <row r="586" spans="1:11">
      <c r="A586" s="483">
        <f t="shared" si="48"/>
        <v>580</v>
      </c>
      <c r="B586" s="485">
        <v>39225</v>
      </c>
      <c r="C586" s="473">
        <v>0.71805555555555556</v>
      </c>
      <c r="D586" s="484" t="s">
        <v>105</v>
      </c>
      <c r="E586" s="472" t="s">
        <v>161</v>
      </c>
      <c r="F586" s="486">
        <v>50</v>
      </c>
      <c r="G586" s="611">
        <v>2</v>
      </c>
      <c r="H586" s="829">
        <f t="shared" si="49"/>
        <v>5.6818181818181816E-2</v>
      </c>
      <c r="I586" s="1">
        <f t="shared" si="45"/>
        <v>3.912023005428146</v>
      </c>
      <c r="J586" s="1">
        <f t="shared" si="46"/>
        <v>0.69314718055994529</v>
      </c>
      <c r="K586" s="1">
        <f t="shared" si="47"/>
        <v>-2.8678989020441059</v>
      </c>
    </row>
    <row r="587" spans="1:11">
      <c r="A587" s="483">
        <f t="shared" si="48"/>
        <v>581</v>
      </c>
      <c r="B587" s="485">
        <v>39225</v>
      </c>
      <c r="C587" s="473">
        <v>0.73611111111111116</v>
      </c>
      <c r="D587" s="484" t="s">
        <v>105</v>
      </c>
      <c r="E587" s="472" t="s">
        <v>161</v>
      </c>
      <c r="F587" s="486">
        <v>50</v>
      </c>
      <c r="G587" s="611">
        <v>2</v>
      </c>
      <c r="H587" s="829">
        <f t="shared" si="49"/>
        <v>5.6818181818181816E-2</v>
      </c>
      <c r="I587" s="1">
        <f t="shared" si="45"/>
        <v>3.912023005428146</v>
      </c>
      <c r="J587" s="1">
        <f t="shared" si="46"/>
        <v>0.69314718055994529</v>
      </c>
      <c r="K587" s="1">
        <f t="shared" si="47"/>
        <v>-2.8678989020441059</v>
      </c>
    </row>
    <row r="588" spans="1:11">
      <c r="A588" s="483">
        <f t="shared" si="48"/>
        <v>582</v>
      </c>
      <c r="B588" s="485">
        <v>39225</v>
      </c>
      <c r="C588" s="473">
        <v>0.77708333333333324</v>
      </c>
      <c r="D588" s="484" t="s">
        <v>106</v>
      </c>
      <c r="E588" s="472" t="s">
        <v>161</v>
      </c>
      <c r="F588" s="486">
        <v>50</v>
      </c>
      <c r="G588" s="611">
        <v>2</v>
      </c>
      <c r="H588" s="829">
        <f t="shared" si="49"/>
        <v>5.6818181818181816E-2</v>
      </c>
      <c r="I588" s="1">
        <f t="shared" si="45"/>
        <v>3.912023005428146</v>
      </c>
      <c r="J588" s="1">
        <f t="shared" si="46"/>
        <v>0.69314718055994529</v>
      </c>
      <c r="K588" s="1">
        <f t="shared" si="47"/>
        <v>-2.8678989020441059</v>
      </c>
    </row>
    <row r="589" spans="1:11">
      <c r="A589" s="483">
        <f t="shared" si="48"/>
        <v>583</v>
      </c>
      <c r="B589" s="485">
        <v>39225</v>
      </c>
      <c r="C589" s="473">
        <v>0.80208333333333337</v>
      </c>
      <c r="D589" s="484" t="s">
        <v>109</v>
      </c>
      <c r="E589" s="472" t="s">
        <v>161</v>
      </c>
      <c r="F589" s="486">
        <v>25</v>
      </c>
      <c r="G589" s="611">
        <v>0.1</v>
      </c>
      <c r="H589" s="829">
        <f t="shared" si="49"/>
        <v>1.4204545454545455E-3</v>
      </c>
      <c r="I589" s="1">
        <f t="shared" si="45"/>
        <v>3.2188758248682006</v>
      </c>
      <c r="J589" s="1">
        <f t="shared" si="46"/>
        <v>-2.3025850929940455</v>
      </c>
      <c r="K589" s="1">
        <f t="shared" si="47"/>
        <v>-6.5567783561580422</v>
      </c>
    </row>
    <row r="590" spans="1:11">
      <c r="A590" s="483">
        <f t="shared" si="48"/>
        <v>584</v>
      </c>
      <c r="B590" s="485">
        <v>39225</v>
      </c>
      <c r="C590" s="473">
        <v>0.80347222222222225</v>
      </c>
      <c r="D590" s="484" t="s">
        <v>109</v>
      </c>
      <c r="E590" s="472" t="s">
        <v>161</v>
      </c>
      <c r="F590" s="486">
        <v>50</v>
      </c>
      <c r="G590" s="611">
        <v>0.1</v>
      </c>
      <c r="H590" s="829">
        <f t="shared" si="49"/>
        <v>2.840909090909091E-3</v>
      </c>
      <c r="I590" s="1">
        <f t="shared" si="45"/>
        <v>3.912023005428146</v>
      </c>
      <c r="J590" s="1">
        <f t="shared" si="46"/>
        <v>-2.3025850929940455</v>
      </c>
      <c r="K590" s="1">
        <f t="shared" si="47"/>
        <v>-5.8636311755980968</v>
      </c>
    </row>
    <row r="591" spans="1:11">
      <c r="A591" s="483">
        <f t="shared" si="48"/>
        <v>585</v>
      </c>
      <c r="B591" s="485">
        <v>39225</v>
      </c>
      <c r="C591" s="473">
        <v>0.85277777777777775</v>
      </c>
      <c r="D591" s="484" t="s">
        <v>110</v>
      </c>
      <c r="E591" s="472" t="s">
        <v>161</v>
      </c>
      <c r="F591" s="486">
        <v>100</v>
      </c>
      <c r="G591" s="611">
        <v>2</v>
      </c>
      <c r="H591" s="829">
        <f t="shared" si="49"/>
        <v>0.11363636363636363</v>
      </c>
      <c r="I591" s="1">
        <f t="shared" si="45"/>
        <v>4.6051701859880918</v>
      </c>
      <c r="J591" s="1">
        <f t="shared" si="46"/>
        <v>0.69314718055994529</v>
      </c>
      <c r="K591" s="1">
        <f t="shared" si="47"/>
        <v>-2.174751721484161</v>
      </c>
    </row>
    <row r="592" spans="1:11">
      <c r="A592" s="483">
        <f t="shared" si="48"/>
        <v>586</v>
      </c>
      <c r="B592" s="485">
        <v>39233</v>
      </c>
      <c r="C592" s="473">
        <v>0.74652777777777779</v>
      </c>
      <c r="D592" s="484" t="s">
        <v>99</v>
      </c>
      <c r="E592" s="472" t="s">
        <v>161</v>
      </c>
      <c r="F592" s="486">
        <v>100</v>
      </c>
      <c r="G592" s="611">
        <v>0.1</v>
      </c>
      <c r="H592" s="829">
        <f t="shared" si="49"/>
        <v>5.681818181818182E-3</v>
      </c>
      <c r="I592" s="1">
        <f t="shared" si="45"/>
        <v>4.6051701859880918</v>
      </c>
      <c r="J592" s="1">
        <f t="shared" si="46"/>
        <v>-2.3025850929940455</v>
      </c>
      <c r="K592" s="1">
        <f t="shared" si="47"/>
        <v>-5.1704839950381514</v>
      </c>
    </row>
    <row r="593" spans="1:11">
      <c r="A593" s="483">
        <f t="shared" si="48"/>
        <v>587</v>
      </c>
      <c r="B593" s="485">
        <v>39233</v>
      </c>
      <c r="C593" s="473">
        <v>0.75763888888888886</v>
      </c>
      <c r="D593" s="484" t="s">
        <v>99</v>
      </c>
      <c r="E593" s="472" t="s">
        <v>161</v>
      </c>
      <c r="F593" s="486">
        <v>100</v>
      </c>
      <c r="G593" s="611">
        <v>0.3</v>
      </c>
      <c r="H593" s="829">
        <f t="shared" si="49"/>
        <v>1.7045454545454544E-2</v>
      </c>
      <c r="I593" s="1">
        <f t="shared" si="45"/>
        <v>4.6051701859880918</v>
      </c>
      <c r="J593" s="1">
        <f t="shared" si="46"/>
        <v>-1.2039728043259361</v>
      </c>
      <c r="K593" s="1">
        <f t="shared" si="47"/>
        <v>-4.0718717063700423</v>
      </c>
    </row>
    <row r="594" spans="1:11">
      <c r="A594" s="483">
        <f t="shared" si="48"/>
        <v>588</v>
      </c>
      <c r="B594" s="485">
        <v>39233</v>
      </c>
      <c r="C594" s="473">
        <v>0.77916666666666667</v>
      </c>
      <c r="D594" s="484" t="s">
        <v>100</v>
      </c>
      <c r="E594" s="472" t="s">
        <v>161</v>
      </c>
      <c r="F594" s="486">
        <v>50</v>
      </c>
      <c r="G594" s="611">
        <v>0.1</v>
      </c>
      <c r="H594" s="829">
        <f t="shared" si="49"/>
        <v>2.840909090909091E-3</v>
      </c>
      <c r="I594" s="1">
        <f t="shared" si="45"/>
        <v>3.912023005428146</v>
      </c>
      <c r="J594" s="1">
        <f t="shared" si="46"/>
        <v>-2.3025850929940455</v>
      </c>
      <c r="K594" s="1">
        <f t="shared" si="47"/>
        <v>-5.8636311755980968</v>
      </c>
    </row>
    <row r="595" spans="1:11">
      <c r="A595" s="483">
        <f t="shared" si="48"/>
        <v>589</v>
      </c>
      <c r="B595" s="485">
        <v>39233</v>
      </c>
      <c r="C595" s="473">
        <v>0.78402777777777777</v>
      </c>
      <c r="D595" s="484" t="s">
        <v>100</v>
      </c>
      <c r="E595" s="472" t="s">
        <v>161</v>
      </c>
      <c r="F595" s="486">
        <v>75</v>
      </c>
      <c r="G595" s="611">
        <v>0.1</v>
      </c>
      <c r="H595" s="829">
        <f t="shared" si="49"/>
        <v>4.261363636363636E-3</v>
      </c>
      <c r="I595" s="1">
        <f t="shared" si="45"/>
        <v>4.3174881135363101</v>
      </c>
      <c r="J595" s="1">
        <f t="shared" si="46"/>
        <v>-2.3025850929940455</v>
      </c>
      <c r="K595" s="1">
        <f t="shared" si="47"/>
        <v>-5.458166067489933</v>
      </c>
    </row>
    <row r="596" spans="1:11">
      <c r="A596" s="483">
        <f t="shared" si="48"/>
        <v>590</v>
      </c>
      <c r="B596" s="485">
        <v>39233</v>
      </c>
      <c r="C596" s="473">
        <v>0.79027777777777775</v>
      </c>
      <c r="D596" s="484" t="s">
        <v>100</v>
      </c>
      <c r="E596" s="472" t="s">
        <v>161</v>
      </c>
      <c r="F596" s="486">
        <v>150</v>
      </c>
      <c r="G596" s="611">
        <v>0.5</v>
      </c>
      <c r="H596" s="829">
        <f t="shared" si="49"/>
        <v>4.261363636363636E-2</v>
      </c>
      <c r="I596" s="1">
        <f t="shared" si="45"/>
        <v>5.0106352940962555</v>
      </c>
      <c r="J596" s="1">
        <f t="shared" si="46"/>
        <v>-0.69314718055994529</v>
      </c>
      <c r="K596" s="1">
        <f t="shared" si="47"/>
        <v>-3.1555809744958871</v>
      </c>
    </row>
    <row r="597" spans="1:11">
      <c r="A597" s="483">
        <f t="shared" si="48"/>
        <v>591</v>
      </c>
      <c r="B597" s="485">
        <v>39233</v>
      </c>
      <c r="C597" s="473">
        <v>0.80833333333333324</v>
      </c>
      <c r="D597" s="484" t="s">
        <v>100</v>
      </c>
      <c r="E597" s="472" t="s">
        <v>161</v>
      </c>
      <c r="F597" s="486">
        <v>75</v>
      </c>
      <c r="G597" s="611">
        <v>0.1</v>
      </c>
      <c r="H597" s="829">
        <f t="shared" si="49"/>
        <v>4.261363636363636E-3</v>
      </c>
      <c r="I597" s="1">
        <f t="shared" si="45"/>
        <v>4.3174881135363101</v>
      </c>
      <c r="J597" s="1">
        <f t="shared" si="46"/>
        <v>-2.3025850929940455</v>
      </c>
      <c r="K597" s="1">
        <f t="shared" si="47"/>
        <v>-5.458166067489933</v>
      </c>
    </row>
    <row r="598" spans="1:11">
      <c r="A598" s="483">
        <f t="shared" si="48"/>
        <v>592</v>
      </c>
      <c r="B598" s="485">
        <v>39252</v>
      </c>
      <c r="C598" s="473">
        <v>0.85972222222222217</v>
      </c>
      <c r="D598" s="484" t="s">
        <v>100</v>
      </c>
      <c r="E598" s="472" t="s">
        <v>161</v>
      </c>
      <c r="F598" s="486">
        <v>50</v>
      </c>
      <c r="G598" s="611">
        <v>2.2400000000000002</v>
      </c>
      <c r="H598" s="829">
        <f t="shared" si="49"/>
        <v>6.3636363636363644E-2</v>
      </c>
      <c r="I598" s="1">
        <f t="shared" si="45"/>
        <v>3.912023005428146</v>
      </c>
      <c r="J598" s="1">
        <f t="shared" si="46"/>
        <v>0.80647586586694853</v>
      </c>
      <c r="K598" s="1">
        <f t="shared" si="47"/>
        <v>-2.7545702167371027</v>
      </c>
    </row>
    <row r="599" spans="1:11">
      <c r="A599" s="483">
        <f t="shared" si="48"/>
        <v>593</v>
      </c>
      <c r="B599" s="485">
        <v>39564</v>
      </c>
      <c r="C599" s="473">
        <v>0.5625</v>
      </c>
      <c r="D599" s="484" t="s">
        <v>105</v>
      </c>
      <c r="E599" s="472" t="s">
        <v>161</v>
      </c>
      <c r="F599" s="486">
        <v>20</v>
      </c>
      <c r="G599" s="611">
        <v>0.1</v>
      </c>
      <c r="H599" s="829">
        <f t="shared" si="49"/>
        <v>1.1363636363636365E-3</v>
      </c>
      <c r="I599" s="1">
        <f t="shared" si="45"/>
        <v>2.9957322735539909</v>
      </c>
      <c r="J599" s="1">
        <f t="shared" si="46"/>
        <v>-2.3025850929940455</v>
      </c>
      <c r="K599" s="1">
        <f t="shared" si="47"/>
        <v>-6.7799219074722519</v>
      </c>
    </row>
    <row r="600" spans="1:11">
      <c r="A600" s="483">
        <f t="shared" si="48"/>
        <v>594</v>
      </c>
      <c r="B600" s="485">
        <v>39593</v>
      </c>
      <c r="C600" s="473">
        <v>0.60347222222222219</v>
      </c>
      <c r="D600" s="484" t="s">
        <v>107</v>
      </c>
      <c r="E600" s="472" t="s">
        <v>161</v>
      </c>
      <c r="F600" s="486">
        <v>50</v>
      </c>
      <c r="G600" s="611">
        <v>1.73</v>
      </c>
      <c r="H600" s="829">
        <f t="shared" si="49"/>
        <v>4.9147727272727273E-2</v>
      </c>
      <c r="I600" s="1">
        <f t="shared" si="45"/>
        <v>3.912023005428146</v>
      </c>
      <c r="J600" s="1">
        <f t="shared" si="46"/>
        <v>0.5481214085096876</v>
      </c>
      <c r="K600" s="1">
        <f t="shared" si="47"/>
        <v>-3.0129246740943638</v>
      </c>
    </row>
    <row r="601" spans="1:11">
      <c r="A601" s="483">
        <f t="shared" si="48"/>
        <v>595</v>
      </c>
      <c r="B601" s="485">
        <v>39593</v>
      </c>
      <c r="C601" s="473">
        <v>0.60902777777777783</v>
      </c>
      <c r="D601" s="484" t="s">
        <v>107</v>
      </c>
      <c r="E601" s="472" t="s">
        <v>161</v>
      </c>
      <c r="F601" s="486">
        <v>75</v>
      </c>
      <c r="G601" s="611">
        <v>5.31</v>
      </c>
      <c r="H601" s="829">
        <f t="shared" si="49"/>
        <v>0.22627840909090904</v>
      </c>
      <c r="I601" s="1">
        <f t="shared" si="45"/>
        <v>4.3174881135363101</v>
      </c>
      <c r="J601" s="1">
        <f t="shared" si="46"/>
        <v>1.6695918352538475</v>
      </c>
      <c r="K601" s="1">
        <f t="shared" si="47"/>
        <v>-1.4859891392420397</v>
      </c>
    </row>
    <row r="602" spans="1:11">
      <c r="A602" s="483">
        <f t="shared" si="48"/>
        <v>596</v>
      </c>
      <c r="B602" s="485">
        <v>39593</v>
      </c>
      <c r="C602" s="473">
        <v>0.61388888888888882</v>
      </c>
      <c r="D602" s="484" t="s">
        <v>108</v>
      </c>
      <c r="E602" s="472" t="s">
        <v>161</v>
      </c>
      <c r="F602" s="486">
        <v>75</v>
      </c>
      <c r="G602" s="611">
        <v>2.34</v>
      </c>
      <c r="H602" s="829">
        <f t="shared" si="49"/>
        <v>9.9715909090909077E-2</v>
      </c>
      <c r="I602" s="1">
        <f t="shared" si="45"/>
        <v>4.3174881135363101</v>
      </c>
      <c r="J602" s="1">
        <f t="shared" si="46"/>
        <v>0.85015092936961001</v>
      </c>
      <c r="K602" s="1">
        <f t="shared" si="47"/>
        <v>-2.3054300451262772</v>
      </c>
    </row>
    <row r="603" spans="1:11">
      <c r="A603" s="483">
        <f t="shared" si="48"/>
        <v>597</v>
      </c>
      <c r="B603" s="485">
        <v>39593</v>
      </c>
      <c r="C603" s="473">
        <v>0.66180555555555554</v>
      </c>
      <c r="D603" s="484" t="s">
        <v>109</v>
      </c>
      <c r="E603" s="472" t="s">
        <v>161</v>
      </c>
      <c r="F603" s="486">
        <v>50</v>
      </c>
      <c r="G603" s="611">
        <v>0.5</v>
      </c>
      <c r="H603" s="829">
        <f t="shared" si="49"/>
        <v>1.4204545454545454E-2</v>
      </c>
      <c r="I603" s="1">
        <f t="shared" si="45"/>
        <v>3.912023005428146</v>
      </c>
      <c r="J603" s="1">
        <f t="shared" si="46"/>
        <v>-0.69314718055994529</v>
      </c>
      <c r="K603" s="1">
        <f t="shared" si="47"/>
        <v>-4.2541932631639972</v>
      </c>
    </row>
    <row r="604" spans="1:11">
      <c r="A604" s="483">
        <f t="shared" si="48"/>
        <v>598</v>
      </c>
      <c r="B604" s="485">
        <v>39594</v>
      </c>
      <c r="C604" s="473">
        <v>0.72638888888888886</v>
      </c>
      <c r="D604" s="484" t="s">
        <v>121</v>
      </c>
      <c r="E604" s="472" t="s">
        <v>161</v>
      </c>
      <c r="F604" s="486">
        <v>25</v>
      </c>
      <c r="G604" s="611">
        <v>0.05</v>
      </c>
      <c r="H604" s="829">
        <f t="shared" si="49"/>
        <v>7.1022727272727275E-4</v>
      </c>
      <c r="I604" s="1">
        <f t="shared" si="45"/>
        <v>3.2188758248682006</v>
      </c>
      <c r="J604" s="1">
        <f t="shared" si="46"/>
        <v>-2.9957322735539909</v>
      </c>
      <c r="K604" s="1">
        <f t="shared" si="47"/>
        <v>-7.2499255367179876</v>
      </c>
    </row>
    <row r="605" spans="1:11">
      <c r="A605" s="483">
        <f t="shared" si="48"/>
        <v>599</v>
      </c>
      <c r="B605" s="485">
        <v>39594</v>
      </c>
      <c r="C605" s="473">
        <v>0.73819444444444438</v>
      </c>
      <c r="D605" s="484" t="s">
        <v>121</v>
      </c>
      <c r="E605" s="472" t="s">
        <v>161</v>
      </c>
      <c r="F605" s="486">
        <v>25</v>
      </c>
      <c r="G605" s="611">
        <v>0.04</v>
      </c>
      <c r="H605" s="829">
        <f t="shared" si="49"/>
        <v>5.6818181818181815E-4</v>
      </c>
      <c r="I605" s="1">
        <f t="shared" si="45"/>
        <v>3.2188758248682006</v>
      </c>
      <c r="J605" s="1">
        <f t="shared" si="46"/>
        <v>-3.2188758248682006</v>
      </c>
      <c r="K605" s="1">
        <f t="shared" si="47"/>
        <v>-7.4730690880321973</v>
      </c>
    </row>
    <row r="606" spans="1:11">
      <c r="A606" s="483">
        <f t="shared" si="48"/>
        <v>600</v>
      </c>
      <c r="B606" s="502">
        <v>39613</v>
      </c>
      <c r="C606" s="504">
        <v>0.69791666666666663</v>
      </c>
      <c r="D606" s="484" t="s">
        <v>119</v>
      </c>
      <c r="E606" s="503" t="s">
        <v>161</v>
      </c>
      <c r="F606" s="486">
        <v>20</v>
      </c>
      <c r="G606" s="611">
        <v>0.16</v>
      </c>
      <c r="H606" s="829">
        <f t="shared" si="49"/>
        <v>1.8181818181818182E-3</v>
      </c>
      <c r="I606" s="1">
        <f t="shared" si="45"/>
        <v>2.9957322735539909</v>
      </c>
      <c r="J606" s="1">
        <f t="shared" si="46"/>
        <v>-1.8325814637483102</v>
      </c>
      <c r="K606" s="1">
        <f t="shared" si="47"/>
        <v>-6.3099182782265162</v>
      </c>
    </row>
    <row r="607" spans="1:11">
      <c r="A607" s="483">
        <f t="shared" si="48"/>
        <v>601</v>
      </c>
      <c r="B607" s="485">
        <v>39614</v>
      </c>
      <c r="C607" s="473">
        <v>0.73402777777777783</v>
      </c>
      <c r="D607" s="484" t="s">
        <v>101</v>
      </c>
      <c r="E607" s="472" t="s">
        <v>161</v>
      </c>
      <c r="F607" s="486">
        <v>50</v>
      </c>
      <c r="G607" s="611">
        <v>3.2</v>
      </c>
      <c r="H607" s="829">
        <f t="shared" si="49"/>
        <v>9.0909090909090912E-2</v>
      </c>
      <c r="I607" s="1">
        <f t="shared" si="45"/>
        <v>3.912023005428146</v>
      </c>
      <c r="J607" s="1">
        <f t="shared" si="46"/>
        <v>1.1631508098056809</v>
      </c>
      <c r="K607" s="1">
        <f t="shared" si="47"/>
        <v>-2.3978952727983707</v>
      </c>
    </row>
    <row r="608" spans="1:11">
      <c r="A608" s="483">
        <f t="shared" si="48"/>
        <v>602</v>
      </c>
      <c r="B608" s="485">
        <v>39614</v>
      </c>
      <c r="C608" s="473">
        <v>0.75694444444444453</v>
      </c>
      <c r="D608" s="484" t="s">
        <v>105</v>
      </c>
      <c r="E608" s="472" t="s">
        <v>161</v>
      </c>
      <c r="F608" s="486">
        <v>50</v>
      </c>
      <c r="G608" s="611">
        <v>1.28</v>
      </c>
      <c r="H608" s="829">
        <f t="shared" si="49"/>
        <v>3.6363636363636362E-2</v>
      </c>
      <c r="I608" s="1">
        <f t="shared" si="45"/>
        <v>3.912023005428146</v>
      </c>
      <c r="J608" s="1">
        <f t="shared" si="46"/>
        <v>0.24686007793152581</v>
      </c>
      <c r="K608" s="1">
        <f t="shared" si="47"/>
        <v>-3.3141860046725258</v>
      </c>
    </row>
    <row r="609" spans="1:11">
      <c r="A609" s="483">
        <f t="shared" si="48"/>
        <v>603</v>
      </c>
      <c r="B609" s="485">
        <v>39618</v>
      </c>
      <c r="C609" s="473">
        <v>0.72916666666666663</v>
      </c>
      <c r="D609" s="484" t="s">
        <v>99</v>
      </c>
      <c r="E609" s="472" t="s">
        <v>161</v>
      </c>
      <c r="F609" s="486">
        <v>25</v>
      </c>
      <c r="G609" s="611">
        <v>0.27</v>
      </c>
      <c r="H609" s="829">
        <f t="shared" si="49"/>
        <v>3.8352272727272727E-3</v>
      </c>
      <c r="I609" s="1">
        <f t="shared" si="45"/>
        <v>3.2188758248682006</v>
      </c>
      <c r="J609" s="1">
        <f t="shared" si="46"/>
        <v>-1.3093333199837622</v>
      </c>
      <c r="K609" s="1">
        <f t="shared" si="47"/>
        <v>-5.5635265831477589</v>
      </c>
    </row>
    <row r="610" spans="1:11">
      <c r="A610" s="483">
        <f t="shared" si="48"/>
        <v>604</v>
      </c>
      <c r="B610" s="485">
        <v>39932</v>
      </c>
      <c r="C610" s="504">
        <v>0.73333333333333339</v>
      </c>
      <c r="D610" s="563" t="s">
        <v>114</v>
      </c>
      <c r="E610" s="503" t="s">
        <v>161</v>
      </c>
      <c r="F610" s="563">
        <v>25</v>
      </c>
      <c r="G610" s="613">
        <v>0.1</v>
      </c>
      <c r="H610" s="829">
        <f t="shared" si="49"/>
        <v>1.4204545454545455E-3</v>
      </c>
      <c r="I610" s="1">
        <f t="shared" si="45"/>
        <v>3.2188758248682006</v>
      </c>
      <c r="J610" s="1">
        <f t="shared" si="46"/>
        <v>-2.3025850929940455</v>
      </c>
      <c r="K610" s="1">
        <f t="shared" si="47"/>
        <v>-6.5567783561580422</v>
      </c>
    </row>
    <row r="611" spans="1:11">
      <c r="A611" s="483">
        <f t="shared" si="48"/>
        <v>605</v>
      </c>
      <c r="B611" s="485">
        <v>39948</v>
      </c>
      <c r="C611" s="473">
        <v>0.65625</v>
      </c>
      <c r="D611" s="484" t="s">
        <v>110</v>
      </c>
      <c r="E611" s="472" t="s">
        <v>161</v>
      </c>
      <c r="F611" s="486">
        <v>100</v>
      </c>
      <c r="G611" s="611">
        <v>0.25</v>
      </c>
      <c r="H611" s="829">
        <f t="shared" si="49"/>
        <v>1.4204545454545454E-2</v>
      </c>
      <c r="I611" s="1">
        <f t="shared" si="45"/>
        <v>4.6051701859880918</v>
      </c>
      <c r="J611" s="1">
        <f t="shared" si="46"/>
        <v>-1.3862943611198906</v>
      </c>
      <c r="K611" s="1">
        <f t="shared" si="47"/>
        <v>-4.2541932631639972</v>
      </c>
    </row>
    <row r="612" spans="1:11">
      <c r="A612" s="483">
        <f t="shared" si="48"/>
        <v>606</v>
      </c>
      <c r="B612" s="485">
        <v>39948</v>
      </c>
      <c r="C612" s="473">
        <v>0.65763888888888888</v>
      </c>
      <c r="D612" s="484" t="s">
        <v>110</v>
      </c>
      <c r="E612" s="472" t="s">
        <v>161</v>
      </c>
      <c r="F612" s="486">
        <v>100</v>
      </c>
      <c r="G612" s="611">
        <v>0.5</v>
      </c>
      <c r="H612" s="829">
        <f t="shared" si="49"/>
        <v>2.8409090909090908E-2</v>
      </c>
      <c r="I612" s="1">
        <f t="shared" si="45"/>
        <v>4.6051701859880918</v>
      </c>
      <c r="J612" s="1">
        <f t="shared" si="46"/>
        <v>-0.69314718055994529</v>
      </c>
      <c r="K612" s="1">
        <f t="shared" si="47"/>
        <v>-3.5610460826040513</v>
      </c>
    </row>
    <row r="613" spans="1:11">
      <c r="A613" s="483">
        <f t="shared" si="48"/>
        <v>607</v>
      </c>
      <c r="B613" s="485">
        <v>39948</v>
      </c>
      <c r="C613" s="473">
        <v>0.66805555555555562</v>
      </c>
      <c r="D613" s="484" t="s">
        <v>115</v>
      </c>
      <c r="E613" s="472" t="s">
        <v>161</v>
      </c>
      <c r="F613" s="486">
        <v>440</v>
      </c>
      <c r="G613" s="611">
        <v>1</v>
      </c>
      <c r="H613" s="829">
        <f t="shared" si="49"/>
        <v>0.25</v>
      </c>
      <c r="I613" s="1">
        <f t="shared" si="45"/>
        <v>6.0867747269123065</v>
      </c>
      <c r="J613" s="1">
        <f t="shared" si="46"/>
        <v>0</v>
      </c>
      <c r="K613" s="1">
        <f t="shared" si="47"/>
        <v>-1.3862943611198906</v>
      </c>
    </row>
    <row r="614" spans="1:11">
      <c r="A614" s="483">
        <f t="shared" si="48"/>
        <v>608</v>
      </c>
      <c r="B614" s="485">
        <v>39968</v>
      </c>
      <c r="C614" s="473">
        <v>0.63680555555555551</v>
      </c>
      <c r="D614" s="484" t="s">
        <v>107</v>
      </c>
      <c r="E614" s="472" t="s">
        <v>161</v>
      </c>
      <c r="F614" s="486">
        <v>100</v>
      </c>
      <c r="G614" s="611">
        <v>0.52</v>
      </c>
      <c r="H614" s="829">
        <f t="shared" si="49"/>
        <v>2.9545454545454545E-2</v>
      </c>
      <c r="I614" s="1">
        <f t="shared" si="45"/>
        <v>4.6051701859880918</v>
      </c>
      <c r="J614" s="1">
        <f t="shared" si="46"/>
        <v>-0.65392646740666394</v>
      </c>
      <c r="K614" s="1">
        <f t="shared" si="47"/>
        <v>-3.5218253694507702</v>
      </c>
    </row>
    <row r="615" spans="1:11">
      <c r="A615" s="483">
        <f t="shared" si="48"/>
        <v>609</v>
      </c>
      <c r="B615" s="485">
        <v>39968</v>
      </c>
      <c r="C615" s="473">
        <v>0.71388888888888891</v>
      </c>
      <c r="D615" s="484" t="s">
        <v>112</v>
      </c>
      <c r="E615" s="472" t="s">
        <v>161</v>
      </c>
      <c r="F615" s="486">
        <v>100</v>
      </c>
      <c r="G615" s="611">
        <v>1</v>
      </c>
      <c r="H615" s="829">
        <f t="shared" si="49"/>
        <v>5.6818181818181816E-2</v>
      </c>
      <c r="I615" s="1">
        <f t="shared" si="45"/>
        <v>4.6051701859880918</v>
      </c>
      <c r="J615" s="1">
        <f t="shared" si="46"/>
        <v>0</v>
      </c>
      <c r="K615" s="1">
        <f t="shared" si="47"/>
        <v>-2.8678989020441059</v>
      </c>
    </row>
    <row r="616" spans="1:11">
      <c r="A616" s="483">
        <f t="shared" si="48"/>
        <v>610</v>
      </c>
      <c r="B616" s="485">
        <v>39968</v>
      </c>
      <c r="C616" s="473">
        <v>0.73125000000000007</v>
      </c>
      <c r="D616" s="484" t="s">
        <v>118</v>
      </c>
      <c r="E616" s="472" t="s">
        <v>161</v>
      </c>
      <c r="F616" s="486">
        <v>100</v>
      </c>
      <c r="G616" s="611">
        <v>0.13</v>
      </c>
      <c r="H616" s="829">
        <f t="shared" si="49"/>
        <v>7.3863636363636362E-3</v>
      </c>
      <c r="I616" s="1">
        <f t="shared" si="45"/>
        <v>4.6051701859880918</v>
      </c>
      <c r="J616" s="1">
        <f t="shared" si="46"/>
        <v>-2.0402208285265546</v>
      </c>
      <c r="K616" s="1">
        <f t="shared" si="47"/>
        <v>-4.908119730570661</v>
      </c>
    </row>
    <row r="617" spans="1:11">
      <c r="A617" s="483">
        <f t="shared" si="48"/>
        <v>611</v>
      </c>
      <c r="B617" s="485">
        <v>39968</v>
      </c>
      <c r="C617" s="473">
        <v>0.73611111111111116</v>
      </c>
      <c r="D617" s="484" t="s">
        <v>118</v>
      </c>
      <c r="E617" s="472" t="s">
        <v>161</v>
      </c>
      <c r="F617" s="486">
        <v>100</v>
      </c>
      <c r="G617" s="611">
        <v>0.75</v>
      </c>
      <c r="H617" s="829">
        <f t="shared" si="49"/>
        <v>4.261363636363636E-2</v>
      </c>
      <c r="I617" s="1">
        <f t="shared" si="45"/>
        <v>4.6051701859880918</v>
      </c>
      <c r="J617" s="1">
        <f t="shared" si="46"/>
        <v>-0.2876820724517809</v>
      </c>
      <c r="K617" s="1">
        <f t="shared" si="47"/>
        <v>-3.1555809744958871</v>
      </c>
    </row>
    <row r="618" spans="1:11">
      <c r="A618" s="483">
        <f t="shared" si="48"/>
        <v>612</v>
      </c>
      <c r="B618" s="485">
        <v>39969</v>
      </c>
      <c r="C618" s="473">
        <v>0.86041666666666661</v>
      </c>
      <c r="D618" s="484" t="s">
        <v>114</v>
      </c>
      <c r="E618" s="472" t="s">
        <v>161</v>
      </c>
      <c r="F618" s="486">
        <v>25</v>
      </c>
      <c r="G618" s="611">
        <v>1.29</v>
      </c>
      <c r="H618" s="829">
        <f t="shared" si="49"/>
        <v>1.8323863636363635E-2</v>
      </c>
      <c r="I618" s="1">
        <f t="shared" si="45"/>
        <v>3.2188758248682006</v>
      </c>
      <c r="J618" s="1">
        <f t="shared" si="46"/>
        <v>0.25464221837358075</v>
      </c>
      <c r="K618" s="1">
        <f t="shared" si="47"/>
        <v>-3.9995510447904161</v>
      </c>
    </row>
    <row r="619" spans="1:11">
      <c r="A619" s="483">
        <f t="shared" si="48"/>
        <v>613</v>
      </c>
      <c r="B619" s="485">
        <v>39979</v>
      </c>
      <c r="C619" s="473">
        <v>0.72430555555555554</v>
      </c>
      <c r="D619" s="484" t="s">
        <v>105</v>
      </c>
      <c r="E619" s="472" t="s">
        <v>161</v>
      </c>
      <c r="F619" s="486">
        <v>50</v>
      </c>
      <c r="G619" s="611">
        <v>0.25</v>
      </c>
      <c r="H619" s="829">
        <f t="shared" si="49"/>
        <v>7.102272727272727E-3</v>
      </c>
      <c r="I619" s="1">
        <f t="shared" si="45"/>
        <v>3.912023005428146</v>
      </c>
      <c r="J619" s="1">
        <f t="shared" si="46"/>
        <v>-1.3862943611198906</v>
      </c>
      <c r="K619" s="1">
        <f t="shared" si="47"/>
        <v>-4.9473404437239417</v>
      </c>
    </row>
    <row r="620" spans="1:11">
      <c r="A620" s="483">
        <f t="shared" si="48"/>
        <v>614</v>
      </c>
      <c r="B620" s="485">
        <v>40288</v>
      </c>
      <c r="C620" s="473">
        <v>0.75277777777777777</v>
      </c>
      <c r="D620" s="495" t="s">
        <v>113</v>
      </c>
      <c r="E620" s="472" t="s">
        <v>161</v>
      </c>
      <c r="F620" s="486">
        <v>50</v>
      </c>
      <c r="G620" s="486">
        <v>1.05</v>
      </c>
      <c r="H620" s="829">
        <f t="shared" si="49"/>
        <v>2.9829545454545456E-2</v>
      </c>
      <c r="I620" s="1">
        <f t="shared" si="45"/>
        <v>3.912023005428146</v>
      </c>
      <c r="J620" s="1">
        <f t="shared" si="46"/>
        <v>4.8790164169432049E-2</v>
      </c>
      <c r="K620" s="1">
        <f t="shared" si="47"/>
        <v>-3.5122559184346192</v>
      </c>
    </row>
    <row r="621" spans="1:11">
      <c r="A621" s="483">
        <f t="shared" si="48"/>
        <v>615</v>
      </c>
      <c r="B621" s="485">
        <v>40288</v>
      </c>
      <c r="C621" s="473">
        <v>0.78263888888888899</v>
      </c>
      <c r="D621" s="495" t="s">
        <v>118</v>
      </c>
      <c r="E621" s="472" t="s">
        <v>161</v>
      </c>
      <c r="F621" s="486">
        <v>50</v>
      </c>
      <c r="G621" s="486">
        <v>0.9</v>
      </c>
      <c r="H621" s="829">
        <f t="shared" si="49"/>
        <v>2.5568181818181816E-2</v>
      </c>
      <c r="I621" s="1">
        <f t="shared" si="45"/>
        <v>3.912023005428146</v>
      </c>
      <c r="J621" s="1">
        <f t="shared" si="46"/>
        <v>-0.10536051565782628</v>
      </c>
      <c r="K621" s="1">
        <f t="shared" si="47"/>
        <v>-3.6664065982618776</v>
      </c>
    </row>
    <row r="622" spans="1:11">
      <c r="A622" s="483">
        <f t="shared" si="48"/>
        <v>616</v>
      </c>
      <c r="B622" s="485">
        <v>40290</v>
      </c>
      <c r="C622" s="473">
        <v>0.66597222222222219</v>
      </c>
      <c r="D622" s="484" t="s">
        <v>119</v>
      </c>
      <c r="E622" s="472" t="s">
        <v>161</v>
      </c>
      <c r="F622" s="486">
        <v>50</v>
      </c>
      <c r="G622" s="486">
        <v>1.83</v>
      </c>
      <c r="H622" s="829">
        <f t="shared" si="49"/>
        <v>5.1988636363636362E-2</v>
      </c>
      <c r="I622" s="1">
        <f t="shared" si="45"/>
        <v>3.912023005428146</v>
      </c>
      <c r="J622" s="1">
        <f t="shared" si="46"/>
        <v>0.60431596685332956</v>
      </c>
      <c r="K622" s="1">
        <f t="shared" si="47"/>
        <v>-2.9567301157507218</v>
      </c>
    </row>
    <row r="623" spans="1:11">
      <c r="A623" s="483">
        <f t="shared" si="48"/>
        <v>617</v>
      </c>
      <c r="B623" s="485">
        <v>40290</v>
      </c>
      <c r="C623" s="504">
        <v>0.67361111111111116</v>
      </c>
      <c r="D623" s="563" t="s">
        <v>120</v>
      </c>
      <c r="E623" s="472" t="s">
        <v>161</v>
      </c>
      <c r="F623" s="563">
        <v>100</v>
      </c>
      <c r="G623" s="563">
        <v>5.24</v>
      </c>
      <c r="H623" s="829">
        <f t="shared" si="49"/>
        <v>0.29772727272727273</v>
      </c>
      <c r="I623" s="1">
        <f t="shared" si="45"/>
        <v>4.6051701859880918</v>
      </c>
      <c r="J623" s="1">
        <f t="shared" si="46"/>
        <v>1.6563214983329508</v>
      </c>
      <c r="K623" s="1">
        <f t="shared" si="47"/>
        <v>-1.2115774037111553</v>
      </c>
    </row>
    <row r="624" spans="1:11">
      <c r="A624" s="483">
        <f t="shared" si="48"/>
        <v>618</v>
      </c>
      <c r="B624" s="485">
        <v>40290</v>
      </c>
      <c r="C624" s="504">
        <v>0.70208333333333339</v>
      </c>
      <c r="D624" s="563" t="s">
        <v>101</v>
      </c>
      <c r="E624" s="472" t="s">
        <v>161</v>
      </c>
      <c r="F624" s="563">
        <v>25</v>
      </c>
      <c r="G624" s="563">
        <v>0.23</v>
      </c>
      <c r="H624" s="829">
        <f t="shared" si="49"/>
        <v>3.2670454545454548E-3</v>
      </c>
      <c r="I624" s="1">
        <f t="shared" si="45"/>
        <v>3.2188758248682006</v>
      </c>
      <c r="J624" s="1">
        <f t="shared" si="46"/>
        <v>-1.4696759700589417</v>
      </c>
      <c r="K624" s="1">
        <f t="shared" si="47"/>
        <v>-5.7238692332229384</v>
      </c>
    </row>
    <row r="625" spans="1:11">
      <c r="A625" s="483">
        <f t="shared" si="48"/>
        <v>619</v>
      </c>
      <c r="B625" s="485">
        <v>40290</v>
      </c>
      <c r="C625" s="29">
        <v>0.69305555555555554</v>
      </c>
      <c r="D625" s="565" t="s">
        <v>115</v>
      </c>
      <c r="E625" s="472" t="s">
        <v>161</v>
      </c>
      <c r="F625" s="565">
        <v>25</v>
      </c>
      <c r="G625" s="565">
        <v>0.49</v>
      </c>
      <c r="H625" s="829">
        <f t="shared" si="49"/>
        <v>6.9602272727272724E-3</v>
      </c>
      <c r="I625" s="1">
        <f t="shared" si="45"/>
        <v>3.2188758248682006</v>
      </c>
      <c r="J625" s="1">
        <f t="shared" si="46"/>
        <v>-0.71334988787746478</v>
      </c>
      <c r="K625" s="1">
        <f t="shared" si="47"/>
        <v>-4.9675431510414612</v>
      </c>
    </row>
    <row r="626" spans="1:11">
      <c r="A626" s="483">
        <f t="shared" si="48"/>
        <v>620</v>
      </c>
      <c r="B626" s="485">
        <v>40290</v>
      </c>
      <c r="C626" s="29">
        <v>0.71319444444444446</v>
      </c>
      <c r="D626" s="565" t="s">
        <v>120</v>
      </c>
      <c r="E626" s="472" t="s">
        <v>161</v>
      </c>
      <c r="F626" s="565">
        <v>25</v>
      </c>
      <c r="G626" s="565">
        <v>0.59</v>
      </c>
      <c r="H626" s="829">
        <f t="shared" si="49"/>
        <v>8.3806818181818166E-3</v>
      </c>
      <c r="I626" s="1">
        <f t="shared" si="45"/>
        <v>3.2188758248682006</v>
      </c>
      <c r="J626" s="1">
        <f t="shared" si="46"/>
        <v>-0.52763274208237199</v>
      </c>
      <c r="K626" s="1">
        <f t="shared" si="47"/>
        <v>-4.7818260052463692</v>
      </c>
    </row>
    <row r="627" spans="1:11">
      <c r="A627" s="483">
        <f t="shared" si="48"/>
        <v>621</v>
      </c>
      <c r="B627" s="485">
        <v>40290</v>
      </c>
      <c r="C627" s="504">
        <v>0.72916666666666663</v>
      </c>
      <c r="D627" s="563" t="s">
        <v>115</v>
      </c>
      <c r="E627" s="472" t="s">
        <v>161</v>
      </c>
      <c r="F627" s="563">
        <v>440</v>
      </c>
      <c r="G627" s="563">
        <v>4.01</v>
      </c>
      <c r="H627" s="829">
        <f t="shared" si="49"/>
        <v>1.0024999999999999</v>
      </c>
      <c r="I627" s="1">
        <f t="shared" si="45"/>
        <v>6.0867747269123065</v>
      </c>
      <c r="J627" s="1">
        <f t="shared" si="46"/>
        <v>1.3887912413184778</v>
      </c>
      <c r="K627" s="1">
        <f t="shared" si="47"/>
        <v>2.4968801985871458E-3</v>
      </c>
    </row>
    <row r="628" spans="1:11">
      <c r="A628" s="483">
        <f t="shared" si="48"/>
        <v>622</v>
      </c>
      <c r="B628" s="485">
        <v>40290</v>
      </c>
      <c r="C628" s="473">
        <v>0.23611111111111113</v>
      </c>
      <c r="D628" s="484" t="s">
        <v>115</v>
      </c>
      <c r="E628" s="472" t="s">
        <v>161</v>
      </c>
      <c r="F628" s="486">
        <v>100</v>
      </c>
      <c r="G628" s="486">
        <v>4.47</v>
      </c>
      <c r="H628" s="829">
        <f t="shared" si="49"/>
        <v>0.25397727272727272</v>
      </c>
      <c r="I628" s="1">
        <f t="shared" si="45"/>
        <v>4.6051701859880918</v>
      </c>
      <c r="J628" s="1">
        <f t="shared" si="46"/>
        <v>1.4973884086254774</v>
      </c>
      <c r="K628" s="1">
        <f t="shared" si="47"/>
        <v>-1.3705104934186287</v>
      </c>
    </row>
    <row r="629" spans="1:11">
      <c r="A629" s="483">
        <f t="shared" si="48"/>
        <v>623</v>
      </c>
      <c r="B629" s="485">
        <v>40316</v>
      </c>
      <c r="C629" s="473">
        <v>0.68888888888888899</v>
      </c>
      <c r="D629" s="484" t="s">
        <v>107</v>
      </c>
      <c r="E629" s="472" t="s">
        <v>161</v>
      </c>
      <c r="F629" s="486">
        <v>50</v>
      </c>
      <c r="G629" s="486">
        <v>1.0900000000000001</v>
      </c>
      <c r="H629" s="829">
        <f t="shared" si="49"/>
        <v>3.0965909090909093E-2</v>
      </c>
      <c r="I629" s="1">
        <f t="shared" si="45"/>
        <v>3.912023005428146</v>
      </c>
      <c r="J629" s="1">
        <f t="shared" si="46"/>
        <v>8.6177696241052412E-2</v>
      </c>
      <c r="K629" s="1">
        <f t="shared" si="47"/>
        <v>-3.4748683863629992</v>
      </c>
    </row>
    <row r="630" spans="1:11">
      <c r="A630" s="483">
        <f t="shared" si="48"/>
        <v>624</v>
      </c>
      <c r="B630" s="485">
        <v>40316</v>
      </c>
      <c r="C630" s="473">
        <v>0.69513888888888886</v>
      </c>
      <c r="D630" s="484" t="s">
        <v>107</v>
      </c>
      <c r="E630" s="472" t="s">
        <v>161</v>
      </c>
      <c r="F630" s="486">
        <v>100</v>
      </c>
      <c r="G630" s="486">
        <v>1.01</v>
      </c>
      <c r="H630" s="829">
        <f t="shared" si="49"/>
        <v>5.7386363636363638E-2</v>
      </c>
      <c r="I630" s="1">
        <f t="shared" si="45"/>
        <v>4.6051701859880918</v>
      </c>
      <c r="J630" s="1">
        <f t="shared" si="46"/>
        <v>9.950330853168092E-3</v>
      </c>
      <c r="K630" s="1">
        <f t="shared" si="47"/>
        <v>-2.857948571190938</v>
      </c>
    </row>
    <row r="631" spans="1:11">
      <c r="A631" s="483">
        <f t="shared" si="48"/>
        <v>625</v>
      </c>
      <c r="B631" s="485">
        <v>40316</v>
      </c>
      <c r="C631" s="473">
        <v>0.70486111111111116</v>
      </c>
      <c r="D631" s="484" t="s">
        <v>108</v>
      </c>
      <c r="E631" s="472" t="s">
        <v>161</v>
      </c>
      <c r="F631" s="486">
        <v>25</v>
      </c>
      <c r="G631" s="486">
        <v>0.53</v>
      </c>
      <c r="H631" s="829">
        <f t="shared" si="49"/>
        <v>7.5284090909090908E-3</v>
      </c>
      <c r="I631" s="1">
        <f t="shared" si="45"/>
        <v>3.2188758248682006</v>
      </c>
      <c r="J631" s="1">
        <f t="shared" si="46"/>
        <v>-0.6348782724359695</v>
      </c>
      <c r="K631" s="1">
        <f t="shared" si="47"/>
        <v>-4.8890715355999665</v>
      </c>
    </row>
    <row r="632" spans="1:11">
      <c r="A632" s="483">
        <f t="shared" si="48"/>
        <v>626</v>
      </c>
      <c r="B632" s="485">
        <v>40316</v>
      </c>
      <c r="C632" s="473">
        <v>0.72777777777777775</v>
      </c>
      <c r="D632" s="484" t="s">
        <v>108</v>
      </c>
      <c r="E632" s="472" t="s">
        <v>161</v>
      </c>
      <c r="F632" s="486">
        <v>25</v>
      </c>
      <c r="G632" s="486">
        <v>2.2200000000000002</v>
      </c>
      <c r="H632" s="829">
        <f t="shared" si="49"/>
        <v>3.1534090909090907E-2</v>
      </c>
      <c r="I632" s="1">
        <f t="shared" si="45"/>
        <v>3.2188758248682006</v>
      </c>
      <c r="J632" s="1">
        <f t="shared" si="46"/>
        <v>0.79750719588418817</v>
      </c>
      <c r="K632" s="1">
        <f t="shared" si="47"/>
        <v>-3.4566860672798088</v>
      </c>
    </row>
    <row r="633" spans="1:11">
      <c r="A633" s="483">
        <f t="shared" si="48"/>
        <v>627</v>
      </c>
      <c r="B633" s="485">
        <v>40316</v>
      </c>
      <c r="C633" s="473">
        <v>0.73749999999999993</v>
      </c>
      <c r="D633" s="484" t="s">
        <v>108</v>
      </c>
      <c r="E633" s="472" t="s">
        <v>161</v>
      </c>
      <c r="F633" s="486">
        <v>200</v>
      </c>
      <c r="G633" s="486">
        <v>1.23</v>
      </c>
      <c r="H633" s="829">
        <f t="shared" si="49"/>
        <v>0.13977272727272727</v>
      </c>
      <c r="I633" s="1">
        <f t="shared" si="45"/>
        <v>5.2983173665480363</v>
      </c>
      <c r="J633" s="1">
        <f t="shared" si="46"/>
        <v>0.20701416938432612</v>
      </c>
      <c r="K633" s="1">
        <f t="shared" si="47"/>
        <v>-1.9677375520998346</v>
      </c>
    </row>
    <row r="634" spans="1:11">
      <c r="A634" s="483">
        <f t="shared" si="48"/>
        <v>628</v>
      </c>
      <c r="B634" s="485">
        <v>40316</v>
      </c>
      <c r="C634" s="473">
        <v>0.78055555555555556</v>
      </c>
      <c r="D634" s="484" t="s">
        <v>100</v>
      </c>
      <c r="E634" s="472" t="s">
        <v>161</v>
      </c>
      <c r="F634" s="486">
        <v>25</v>
      </c>
      <c r="G634" s="486">
        <v>0.55000000000000004</v>
      </c>
      <c r="H634" s="829">
        <f t="shared" si="49"/>
        <v>7.8125E-3</v>
      </c>
      <c r="I634" s="1">
        <f t="shared" si="45"/>
        <v>3.2188758248682006</v>
      </c>
      <c r="J634" s="1">
        <f t="shared" si="46"/>
        <v>-0.59783700075562041</v>
      </c>
      <c r="K634" s="1">
        <f t="shared" si="47"/>
        <v>-4.8520302639196169</v>
      </c>
    </row>
    <row r="635" spans="1:11">
      <c r="A635" s="483">
        <f t="shared" si="48"/>
        <v>629</v>
      </c>
      <c r="B635" s="485">
        <v>40316</v>
      </c>
      <c r="C635" s="473">
        <v>0.82777777777777783</v>
      </c>
      <c r="D635" s="484" t="s">
        <v>102</v>
      </c>
      <c r="E635" s="472" t="s">
        <v>161</v>
      </c>
      <c r="F635" s="486">
        <v>25</v>
      </c>
      <c r="G635" s="486">
        <v>0.52</v>
      </c>
      <c r="H635" s="829">
        <f t="shared" si="49"/>
        <v>7.3863636363636362E-3</v>
      </c>
      <c r="I635" s="1">
        <f t="shared" si="45"/>
        <v>3.2188758248682006</v>
      </c>
      <c r="J635" s="1">
        <f t="shared" si="46"/>
        <v>-0.65392646740666394</v>
      </c>
      <c r="K635" s="1">
        <f t="shared" si="47"/>
        <v>-4.908119730570661</v>
      </c>
    </row>
    <row r="636" spans="1:11">
      <c r="A636" s="483">
        <f t="shared" si="48"/>
        <v>630</v>
      </c>
      <c r="B636" s="485">
        <v>40316</v>
      </c>
      <c r="C636" s="473">
        <v>0.85416666666666663</v>
      </c>
      <c r="D636" s="484" t="s">
        <v>102</v>
      </c>
      <c r="E636" s="472" t="s">
        <v>161</v>
      </c>
      <c r="F636" s="486">
        <v>25</v>
      </c>
      <c r="G636" s="486">
        <v>4.08</v>
      </c>
      <c r="H636" s="829">
        <f t="shared" si="49"/>
        <v>5.7954545454545453E-2</v>
      </c>
      <c r="I636" s="1">
        <f t="shared" si="45"/>
        <v>3.2188758248682006</v>
      </c>
      <c r="J636" s="1">
        <f t="shared" si="46"/>
        <v>1.4060969884160703</v>
      </c>
      <c r="K636" s="1">
        <f t="shared" si="47"/>
        <v>-2.8480962747479266</v>
      </c>
    </row>
    <row r="637" spans="1:11">
      <c r="A637" s="483">
        <f t="shared" si="48"/>
        <v>631</v>
      </c>
      <c r="B637" s="485">
        <v>40316</v>
      </c>
      <c r="C637" s="473">
        <v>0.90277777777777779</v>
      </c>
      <c r="D637" s="484" t="s">
        <v>103</v>
      </c>
      <c r="E637" s="472" t="s">
        <v>161</v>
      </c>
      <c r="F637" s="486">
        <v>50</v>
      </c>
      <c r="G637" s="486">
        <v>1.06</v>
      </c>
      <c r="H637" s="829">
        <f t="shared" si="49"/>
        <v>3.0113636363636363E-2</v>
      </c>
      <c r="I637" s="1">
        <f t="shared" si="45"/>
        <v>3.912023005428146</v>
      </c>
      <c r="J637" s="1">
        <f t="shared" si="46"/>
        <v>5.8268908123975824E-2</v>
      </c>
      <c r="K637" s="1">
        <f t="shared" si="47"/>
        <v>-3.5027771744800758</v>
      </c>
    </row>
    <row r="638" spans="1:11">
      <c r="A638" s="483">
        <f t="shared" si="48"/>
        <v>632</v>
      </c>
      <c r="B638" s="485">
        <v>40316</v>
      </c>
      <c r="C638" s="473">
        <v>0.93541666666666667</v>
      </c>
      <c r="D638" s="484" t="s">
        <v>103</v>
      </c>
      <c r="E638" s="472" t="s">
        <v>161</v>
      </c>
      <c r="F638" s="486">
        <v>880</v>
      </c>
      <c r="G638" s="486">
        <v>1.4</v>
      </c>
      <c r="H638" s="829">
        <f t="shared" si="49"/>
        <v>0.7</v>
      </c>
      <c r="I638" s="1">
        <f t="shared" si="45"/>
        <v>6.7799219074722519</v>
      </c>
      <c r="J638" s="1">
        <f t="shared" si="46"/>
        <v>0.33647223662121289</v>
      </c>
      <c r="K638" s="1">
        <f t="shared" si="47"/>
        <v>-0.35667494393873245</v>
      </c>
    </row>
    <row r="639" spans="1:11">
      <c r="A639" s="483">
        <f t="shared" si="48"/>
        <v>633</v>
      </c>
      <c r="B639" s="485">
        <v>40316</v>
      </c>
      <c r="C639" s="473">
        <v>0.96666666666666667</v>
      </c>
      <c r="D639" s="484" t="s">
        <v>104</v>
      </c>
      <c r="E639" s="472" t="s">
        <v>161</v>
      </c>
      <c r="F639" s="486">
        <v>25</v>
      </c>
      <c r="G639" s="486">
        <v>0.55000000000000004</v>
      </c>
      <c r="H639" s="829">
        <f t="shared" si="49"/>
        <v>7.8125E-3</v>
      </c>
      <c r="I639" s="1">
        <f t="shared" si="45"/>
        <v>3.2188758248682006</v>
      </c>
      <c r="J639" s="1">
        <f t="shared" si="46"/>
        <v>-0.59783700075562041</v>
      </c>
      <c r="K639" s="1">
        <f t="shared" si="47"/>
        <v>-4.8520302639196169</v>
      </c>
    </row>
    <row r="640" spans="1:11">
      <c r="A640" s="483">
        <f t="shared" si="48"/>
        <v>634</v>
      </c>
      <c r="B640" s="485">
        <v>40317</v>
      </c>
      <c r="C640" s="473">
        <v>0.10555555555555556</v>
      </c>
      <c r="D640" s="484" t="s">
        <v>105</v>
      </c>
      <c r="E640" s="472" t="s">
        <v>161</v>
      </c>
      <c r="F640" s="486">
        <v>50</v>
      </c>
      <c r="G640" s="486">
        <v>1.1200000000000001</v>
      </c>
      <c r="H640" s="829">
        <f t="shared" si="49"/>
        <v>3.1818181818181822E-2</v>
      </c>
      <c r="I640" s="1">
        <f t="shared" si="45"/>
        <v>3.912023005428146</v>
      </c>
      <c r="J640" s="1">
        <f t="shared" si="46"/>
        <v>0.11332868530700327</v>
      </c>
      <c r="K640" s="1">
        <f t="shared" si="47"/>
        <v>-3.4477173972970481</v>
      </c>
    </row>
    <row r="641" spans="1:11">
      <c r="A641" s="483">
        <f t="shared" si="48"/>
        <v>635</v>
      </c>
      <c r="B641" s="485">
        <v>40321</v>
      </c>
      <c r="C641" s="473">
        <v>0.8125</v>
      </c>
      <c r="D641" s="484" t="s">
        <v>99</v>
      </c>
      <c r="E641" s="472" t="s">
        <v>161</v>
      </c>
      <c r="F641" s="486">
        <v>25</v>
      </c>
      <c r="G641" s="486">
        <v>2.0499999999999998</v>
      </c>
      <c r="H641" s="829">
        <f t="shared" si="49"/>
        <v>2.9119318181818177E-2</v>
      </c>
      <c r="I641" s="1">
        <f t="shared" si="45"/>
        <v>3.2188758248682006</v>
      </c>
      <c r="J641" s="1">
        <f t="shared" si="46"/>
        <v>0.71783979315031676</v>
      </c>
      <c r="K641" s="1">
        <f t="shared" si="47"/>
        <v>-3.5363534700136801</v>
      </c>
    </row>
    <row r="642" spans="1:11">
      <c r="A642" s="483">
        <f t="shared" si="48"/>
        <v>636</v>
      </c>
      <c r="B642" s="485">
        <v>40322</v>
      </c>
      <c r="C642" s="473">
        <v>0.81180555555555556</v>
      </c>
      <c r="D642" s="484" t="s">
        <v>104</v>
      </c>
      <c r="E642" s="472" t="s">
        <v>161</v>
      </c>
      <c r="F642" s="486">
        <v>100</v>
      </c>
      <c r="G642" s="486">
        <v>3.06</v>
      </c>
      <c r="H642" s="829">
        <f t="shared" si="49"/>
        <v>0.17386363636363636</v>
      </c>
      <c r="I642" s="1">
        <f t="shared" si="45"/>
        <v>4.6051701859880918</v>
      </c>
      <c r="J642" s="1">
        <f t="shared" si="46"/>
        <v>1.1184149159642893</v>
      </c>
      <c r="K642" s="1">
        <f t="shared" si="47"/>
        <v>-1.7494839860798168</v>
      </c>
    </row>
    <row r="643" spans="1:11">
      <c r="A643" s="483">
        <f t="shared" si="48"/>
        <v>637</v>
      </c>
      <c r="B643" s="485">
        <v>40322</v>
      </c>
      <c r="C643" s="473">
        <v>0.81736111111111109</v>
      </c>
      <c r="D643" s="484" t="s">
        <v>104</v>
      </c>
      <c r="E643" s="472" t="s">
        <v>161</v>
      </c>
      <c r="F643" s="486">
        <v>25</v>
      </c>
      <c r="G643" s="486">
        <v>0.21</v>
      </c>
      <c r="H643" s="829">
        <f t="shared" si="49"/>
        <v>2.9829545454545451E-3</v>
      </c>
      <c r="I643" s="1">
        <f t="shared" si="45"/>
        <v>3.2188758248682006</v>
      </c>
      <c r="J643" s="1">
        <f t="shared" si="46"/>
        <v>-1.5606477482646683</v>
      </c>
      <c r="K643" s="1">
        <f t="shared" si="47"/>
        <v>-5.8148410114286655</v>
      </c>
    </row>
    <row r="644" spans="1:11">
      <c r="A644" s="483">
        <f t="shared" si="48"/>
        <v>638</v>
      </c>
      <c r="B644" s="485">
        <v>40322</v>
      </c>
      <c r="C644" s="473">
        <v>0.82430555555555562</v>
      </c>
      <c r="D644" s="484" t="s">
        <v>104</v>
      </c>
      <c r="E644" s="472" t="s">
        <v>161</v>
      </c>
      <c r="F644" s="486">
        <v>25</v>
      </c>
      <c r="G644" s="486">
        <v>0.38</v>
      </c>
      <c r="H644" s="829">
        <f t="shared" si="49"/>
        <v>5.3977272727272728E-3</v>
      </c>
      <c r="I644" s="1">
        <f t="shared" si="45"/>
        <v>3.2188758248682006</v>
      </c>
      <c r="J644" s="1">
        <f t="shared" si="46"/>
        <v>-0.96758402626170559</v>
      </c>
      <c r="K644" s="1">
        <f t="shared" si="47"/>
        <v>-5.2217772894257024</v>
      </c>
    </row>
    <row r="645" spans="1:11">
      <c r="A645" s="483">
        <f t="shared" si="48"/>
        <v>639</v>
      </c>
      <c r="B645" s="485">
        <v>40322</v>
      </c>
      <c r="C645" s="473">
        <v>0.8305555555555556</v>
      </c>
      <c r="D645" s="484" t="s">
        <v>104</v>
      </c>
      <c r="E645" s="472" t="s">
        <v>161</v>
      </c>
      <c r="F645" s="486">
        <v>25</v>
      </c>
      <c r="G645" s="486">
        <v>0.14000000000000001</v>
      </c>
      <c r="H645" s="829">
        <f t="shared" si="49"/>
        <v>1.9886363636363639E-3</v>
      </c>
      <c r="I645" s="1">
        <f t="shared" si="45"/>
        <v>3.2188758248682006</v>
      </c>
      <c r="J645" s="1">
        <f t="shared" si="46"/>
        <v>-1.9661128563728327</v>
      </c>
      <c r="K645" s="1">
        <f t="shared" si="47"/>
        <v>-6.2203061195368292</v>
      </c>
    </row>
    <row r="646" spans="1:11">
      <c r="A646" s="483">
        <f t="shared" si="48"/>
        <v>640</v>
      </c>
      <c r="B646" s="485">
        <v>40329</v>
      </c>
      <c r="C646" s="473">
        <v>0.79027777777777775</v>
      </c>
      <c r="D646" s="484" t="s">
        <v>99</v>
      </c>
      <c r="E646" s="472" t="s">
        <v>161</v>
      </c>
      <c r="F646" s="486">
        <v>25</v>
      </c>
      <c r="G646" s="486">
        <v>1.75</v>
      </c>
      <c r="H646" s="829">
        <f t="shared" si="49"/>
        <v>2.4857954545454544E-2</v>
      </c>
      <c r="I646" s="1">
        <f t="shared" si="45"/>
        <v>3.2188758248682006</v>
      </c>
      <c r="J646" s="1">
        <f t="shared" si="46"/>
        <v>0.55961578793542266</v>
      </c>
      <c r="K646" s="1">
        <f t="shared" si="47"/>
        <v>-3.694577475228574</v>
      </c>
    </row>
    <row r="647" spans="1:11">
      <c r="A647" s="483">
        <f t="shared" si="48"/>
        <v>641</v>
      </c>
      <c r="B647" s="485">
        <v>40329</v>
      </c>
      <c r="C647" s="473">
        <v>0.82708333333333339</v>
      </c>
      <c r="D647" s="484" t="s">
        <v>100</v>
      </c>
      <c r="E647" s="472" t="s">
        <v>161</v>
      </c>
      <c r="F647" s="486">
        <v>25</v>
      </c>
      <c r="G647" s="486">
        <v>1.7</v>
      </c>
      <c r="H647" s="829">
        <f t="shared" si="49"/>
        <v>2.4147727272727272E-2</v>
      </c>
      <c r="I647" s="1">
        <f t="shared" si="45"/>
        <v>3.2188758248682006</v>
      </c>
      <c r="J647" s="1">
        <f t="shared" si="46"/>
        <v>0.53062825106217038</v>
      </c>
      <c r="K647" s="1">
        <f t="shared" si="47"/>
        <v>-3.7235650121018264</v>
      </c>
    </row>
    <row r="648" spans="1:11">
      <c r="A648" s="483">
        <f t="shared" si="48"/>
        <v>642</v>
      </c>
      <c r="B648" s="485">
        <v>40341</v>
      </c>
      <c r="C648" s="473">
        <v>0.59305555555555556</v>
      </c>
      <c r="D648" s="484" t="s">
        <v>108</v>
      </c>
      <c r="E648" s="472" t="s">
        <v>161</v>
      </c>
      <c r="F648" s="486">
        <v>25</v>
      </c>
      <c r="G648" s="486">
        <v>0.56000000000000005</v>
      </c>
      <c r="H648" s="829">
        <f t="shared" si="49"/>
        <v>7.9545454545454555E-3</v>
      </c>
      <c r="I648" s="1">
        <f t="shared" ref="I648:I711" si="50">LN(F648)</f>
        <v>3.2188758248682006</v>
      </c>
      <c r="J648" s="1">
        <f t="shared" ref="J648:J711" si="51">LN(G648)</f>
        <v>-0.57981849525294205</v>
      </c>
      <c r="K648" s="1">
        <f t="shared" ref="K648:K711" si="52">LN(H648)</f>
        <v>-4.8340117584169384</v>
      </c>
    </row>
    <row r="649" spans="1:11">
      <c r="A649" s="483">
        <f t="shared" ref="A649:A712" si="53">+A648+1</f>
        <v>643</v>
      </c>
      <c r="B649" s="485">
        <v>40342</v>
      </c>
      <c r="C649" s="473">
        <v>0.61944444444444446</v>
      </c>
      <c r="D649" s="484" t="s">
        <v>101</v>
      </c>
      <c r="E649" s="472" t="s">
        <v>161</v>
      </c>
      <c r="F649" s="486">
        <v>25</v>
      </c>
      <c r="G649" s="486">
        <v>5.1100000000000003</v>
      </c>
      <c r="H649" s="829">
        <f t="shared" ref="H649:H703" si="54">+(F649/1760)*G649</f>
        <v>7.2585227272727273E-2</v>
      </c>
      <c r="I649" s="1">
        <f t="shared" si="50"/>
        <v>3.2188758248682006</v>
      </c>
      <c r="J649" s="1">
        <f t="shared" si="51"/>
        <v>1.631199404215613</v>
      </c>
      <c r="K649" s="1">
        <f t="shared" si="52"/>
        <v>-2.6229938589483837</v>
      </c>
    </row>
    <row r="650" spans="1:11">
      <c r="A650" s="483">
        <f t="shared" si="53"/>
        <v>644</v>
      </c>
      <c r="B650" s="485">
        <v>40342</v>
      </c>
      <c r="C650" s="473">
        <v>0.63680555555555551</v>
      </c>
      <c r="D650" s="484" t="s">
        <v>101</v>
      </c>
      <c r="E650" s="472" t="s">
        <v>161</v>
      </c>
      <c r="F650" s="486">
        <v>25</v>
      </c>
      <c r="G650" s="486">
        <v>3.07</v>
      </c>
      <c r="H650" s="829">
        <f t="shared" si="54"/>
        <v>4.360795454545454E-2</v>
      </c>
      <c r="I650" s="1">
        <f t="shared" si="50"/>
        <v>3.2188758248682006</v>
      </c>
      <c r="J650" s="1">
        <f t="shared" si="51"/>
        <v>1.1216775615991057</v>
      </c>
      <c r="K650" s="1">
        <f t="shared" si="52"/>
        <v>-3.1325157015648912</v>
      </c>
    </row>
    <row r="651" spans="1:11">
      <c r="A651" s="483">
        <f t="shared" si="53"/>
        <v>645</v>
      </c>
      <c r="B651" s="485">
        <v>40342</v>
      </c>
      <c r="C651" s="473">
        <v>0.64027777777777783</v>
      </c>
      <c r="D651" s="484" t="s">
        <v>101</v>
      </c>
      <c r="E651" s="472" t="s">
        <v>161</v>
      </c>
      <c r="F651" s="486">
        <v>25</v>
      </c>
      <c r="G651" s="486">
        <v>2.5099999999999998</v>
      </c>
      <c r="H651" s="829">
        <f t="shared" si="54"/>
        <v>3.565340909090909E-2</v>
      </c>
      <c r="I651" s="1">
        <f t="shared" si="50"/>
        <v>3.2188758248682006</v>
      </c>
      <c r="J651" s="1">
        <f t="shared" si="51"/>
        <v>0.92028275314369246</v>
      </c>
      <c r="K651" s="1">
        <f t="shared" si="52"/>
        <v>-3.3339105100203041</v>
      </c>
    </row>
    <row r="652" spans="1:11">
      <c r="A652" s="483">
        <f t="shared" si="53"/>
        <v>646</v>
      </c>
      <c r="B652" s="485">
        <v>40342</v>
      </c>
      <c r="C652" s="473">
        <v>0.65347222222222223</v>
      </c>
      <c r="D652" s="484" t="s">
        <v>101</v>
      </c>
      <c r="E652" s="472" t="s">
        <v>161</v>
      </c>
      <c r="F652" s="486">
        <v>25</v>
      </c>
      <c r="G652" s="486">
        <v>2.79</v>
      </c>
      <c r="H652" s="829">
        <f t="shared" si="54"/>
        <v>3.9630681818181815E-2</v>
      </c>
      <c r="I652" s="1">
        <f t="shared" si="50"/>
        <v>3.2188758248682006</v>
      </c>
      <c r="J652" s="1">
        <f t="shared" si="51"/>
        <v>1.0260415958332743</v>
      </c>
      <c r="K652" s="1">
        <f t="shared" si="52"/>
        <v>-3.2281516673307227</v>
      </c>
    </row>
    <row r="653" spans="1:11">
      <c r="A653" s="483">
        <f t="shared" si="53"/>
        <v>647</v>
      </c>
      <c r="B653" s="485">
        <v>40342</v>
      </c>
      <c r="C653" s="473">
        <v>0.68333333333333324</v>
      </c>
      <c r="D653" s="484" t="s">
        <v>106</v>
      </c>
      <c r="E653" s="472" t="s">
        <v>161</v>
      </c>
      <c r="F653" s="484">
        <v>25</v>
      </c>
      <c r="G653" s="484">
        <v>0.32</v>
      </c>
      <c r="H653" s="829">
        <f t="shared" si="54"/>
        <v>4.5454545454545452E-3</v>
      </c>
      <c r="I653" s="1">
        <f t="shared" si="50"/>
        <v>3.2188758248682006</v>
      </c>
      <c r="J653" s="1">
        <f t="shared" si="51"/>
        <v>-1.1394342831883648</v>
      </c>
      <c r="K653" s="1">
        <f t="shared" si="52"/>
        <v>-5.393627546352362</v>
      </c>
    </row>
    <row r="654" spans="1:11">
      <c r="A654" s="483">
        <f t="shared" si="53"/>
        <v>648</v>
      </c>
      <c r="B654" s="485">
        <v>40705</v>
      </c>
      <c r="C654" s="473">
        <v>0.74236111111111114</v>
      </c>
      <c r="D654" s="484" t="s">
        <v>106</v>
      </c>
      <c r="E654" s="472" t="s">
        <v>161</v>
      </c>
      <c r="F654" s="484">
        <v>50</v>
      </c>
      <c r="G654" s="484">
        <v>0.51</v>
      </c>
      <c r="H654" s="829">
        <f t="shared" si="54"/>
        <v>1.4488636363636363E-2</v>
      </c>
      <c r="I654" s="1">
        <f t="shared" si="50"/>
        <v>3.912023005428146</v>
      </c>
      <c r="J654" s="1">
        <f t="shared" si="51"/>
        <v>-0.67334455326376563</v>
      </c>
      <c r="K654" s="1">
        <f t="shared" si="52"/>
        <v>-4.2343906358678174</v>
      </c>
    </row>
    <row r="655" spans="1:11">
      <c r="A655" s="483">
        <f t="shared" si="53"/>
        <v>649</v>
      </c>
      <c r="B655" s="485">
        <v>40705</v>
      </c>
      <c r="C655" s="473">
        <v>0.75763888888888886</v>
      </c>
      <c r="D655" s="484" t="s">
        <v>100</v>
      </c>
      <c r="E655" s="472" t="s">
        <v>161</v>
      </c>
      <c r="F655" s="484">
        <v>50</v>
      </c>
      <c r="G655" s="484">
        <v>2.1</v>
      </c>
      <c r="H655" s="829">
        <f t="shared" si="54"/>
        <v>5.9659090909090912E-2</v>
      </c>
      <c r="I655" s="1">
        <f t="shared" si="50"/>
        <v>3.912023005428146</v>
      </c>
      <c r="J655" s="1">
        <f t="shared" si="51"/>
        <v>0.74193734472937733</v>
      </c>
      <c r="K655" s="1">
        <f t="shared" si="52"/>
        <v>-2.8191087378746742</v>
      </c>
    </row>
    <row r="656" spans="1:11">
      <c r="A656" s="483">
        <f t="shared" si="53"/>
        <v>650</v>
      </c>
      <c r="B656" s="485">
        <v>40705</v>
      </c>
      <c r="C656" s="473">
        <v>0.78472222222222221</v>
      </c>
      <c r="D656" s="484" t="s">
        <v>101</v>
      </c>
      <c r="E656" s="472" t="s">
        <v>161</v>
      </c>
      <c r="F656" s="484">
        <v>25</v>
      </c>
      <c r="G656" s="484">
        <v>0.1</v>
      </c>
      <c r="H656" s="829">
        <f t="shared" si="54"/>
        <v>1.4204545454545455E-3</v>
      </c>
      <c r="I656" s="1">
        <f t="shared" si="50"/>
        <v>3.2188758248682006</v>
      </c>
      <c r="J656" s="1">
        <f t="shared" si="51"/>
        <v>-2.3025850929940455</v>
      </c>
      <c r="K656" s="1">
        <f t="shared" si="52"/>
        <v>-6.5567783561580422</v>
      </c>
    </row>
    <row r="657" spans="1:11">
      <c r="A657" s="483">
        <f t="shared" si="53"/>
        <v>651</v>
      </c>
      <c r="B657" s="485">
        <v>40705</v>
      </c>
      <c r="C657" s="473">
        <v>0.78472222222222221</v>
      </c>
      <c r="D657" s="484" t="s">
        <v>106</v>
      </c>
      <c r="E657" s="472" t="s">
        <v>161</v>
      </c>
      <c r="F657" s="484">
        <v>50</v>
      </c>
      <c r="G657" s="484">
        <v>0.17</v>
      </c>
      <c r="H657" s="829">
        <f t="shared" si="54"/>
        <v>4.8295454545454544E-3</v>
      </c>
      <c r="I657" s="1">
        <f t="shared" si="50"/>
        <v>3.912023005428146</v>
      </c>
      <c r="J657" s="1">
        <f t="shared" si="51"/>
        <v>-1.7719568419318752</v>
      </c>
      <c r="K657" s="1">
        <f t="shared" si="52"/>
        <v>-5.3330029245359265</v>
      </c>
    </row>
    <row r="658" spans="1:11">
      <c r="A658" s="654">
        <f t="shared" si="53"/>
        <v>652</v>
      </c>
      <c r="B658" s="656">
        <v>40942</v>
      </c>
      <c r="C658" s="659">
        <v>3.8194444444444441E-2</v>
      </c>
      <c r="D658" s="655" t="s">
        <v>110</v>
      </c>
      <c r="E658" s="658" t="s">
        <v>161</v>
      </c>
      <c r="F658" s="655">
        <v>100</v>
      </c>
      <c r="G658" s="655">
        <v>2.5499999999999998</v>
      </c>
      <c r="H658" s="829">
        <f t="shared" si="54"/>
        <v>0.14488636363636362</v>
      </c>
      <c r="I658" s="1">
        <f t="shared" si="50"/>
        <v>4.6051701859880918</v>
      </c>
      <c r="J658" s="1">
        <f t="shared" si="51"/>
        <v>0.93609335917033476</v>
      </c>
      <c r="K658" s="1">
        <f t="shared" si="52"/>
        <v>-1.9318055428737715</v>
      </c>
    </row>
    <row r="659" spans="1:11">
      <c r="A659" s="654">
        <f t="shared" si="53"/>
        <v>653</v>
      </c>
      <c r="B659" s="656">
        <v>40942</v>
      </c>
      <c r="C659" s="659">
        <v>4.1666666666666664E-2</v>
      </c>
      <c r="D659" s="655" t="s">
        <v>111</v>
      </c>
      <c r="E659" s="658" t="s">
        <v>161</v>
      </c>
      <c r="F659" s="655">
        <v>100</v>
      </c>
      <c r="G659" s="655">
        <v>1.82</v>
      </c>
      <c r="H659" s="829">
        <f t="shared" si="54"/>
        <v>0.10340909090909091</v>
      </c>
      <c r="I659" s="1">
        <f t="shared" si="50"/>
        <v>4.6051701859880918</v>
      </c>
      <c r="J659" s="1">
        <f t="shared" si="51"/>
        <v>0.59883650108870401</v>
      </c>
      <c r="K659" s="1">
        <f t="shared" si="52"/>
        <v>-2.2690624009554021</v>
      </c>
    </row>
    <row r="660" spans="1:11">
      <c r="A660" s="654">
        <f t="shared" si="53"/>
        <v>654</v>
      </c>
      <c r="B660" s="662">
        <v>41029</v>
      </c>
      <c r="C660" s="659">
        <v>0.8125</v>
      </c>
      <c r="D660" s="661" t="s">
        <v>121</v>
      </c>
      <c r="E660" s="658" t="s">
        <v>161</v>
      </c>
      <c r="F660" s="661">
        <v>150</v>
      </c>
      <c r="G660" s="661">
        <v>1.26</v>
      </c>
      <c r="H660" s="829">
        <f t="shared" si="54"/>
        <v>0.10738636363636363</v>
      </c>
      <c r="I660" s="1">
        <f t="shared" si="50"/>
        <v>5.0106352940962555</v>
      </c>
      <c r="J660" s="1">
        <f t="shared" si="51"/>
        <v>0.23111172096338664</v>
      </c>
      <c r="K660" s="1">
        <f t="shared" si="52"/>
        <v>-2.2313220729725551</v>
      </c>
    </row>
    <row r="661" spans="1:11">
      <c r="A661" s="654">
        <f t="shared" si="53"/>
        <v>655</v>
      </c>
      <c r="B661" s="662">
        <v>41050</v>
      </c>
      <c r="C661" s="659">
        <v>0.81736111111111109</v>
      </c>
      <c r="D661" s="661" t="s">
        <v>112</v>
      </c>
      <c r="E661" s="658" t="s">
        <v>161</v>
      </c>
      <c r="F661" s="661">
        <v>100</v>
      </c>
      <c r="G661" s="661">
        <v>0.56999999999999995</v>
      </c>
      <c r="H661" s="829">
        <f t="shared" si="54"/>
        <v>3.238636363636363E-2</v>
      </c>
      <c r="I661" s="1">
        <f t="shared" si="50"/>
        <v>4.6051701859880918</v>
      </c>
      <c r="J661" s="1">
        <f t="shared" si="51"/>
        <v>-0.56211891815354131</v>
      </c>
      <c r="K661" s="1">
        <f t="shared" si="52"/>
        <v>-3.4300178201976474</v>
      </c>
    </row>
    <row r="662" spans="1:11">
      <c r="A662" s="654">
        <f t="shared" si="53"/>
        <v>656</v>
      </c>
      <c r="B662" s="662">
        <v>41257</v>
      </c>
      <c r="C662" s="659">
        <v>0.67847222222222225</v>
      </c>
      <c r="D662" s="661" t="s">
        <v>114</v>
      </c>
      <c r="E662" s="658" t="s">
        <v>161</v>
      </c>
      <c r="F662" s="661">
        <v>200</v>
      </c>
      <c r="G662" s="661">
        <v>3</v>
      </c>
      <c r="H662" s="829">
        <f t="shared" si="54"/>
        <v>0.34090909090909088</v>
      </c>
      <c r="I662" s="1">
        <f t="shared" si="50"/>
        <v>5.2983173665480363</v>
      </c>
      <c r="J662" s="1">
        <f t="shared" si="51"/>
        <v>1.0986122886681098</v>
      </c>
      <c r="K662" s="1">
        <f t="shared" si="52"/>
        <v>-1.0761394328160512</v>
      </c>
    </row>
    <row r="663" spans="1:11">
      <c r="A663" s="654">
        <f t="shared" si="53"/>
        <v>657</v>
      </c>
      <c r="B663" s="662">
        <v>41257</v>
      </c>
      <c r="C663" s="659">
        <v>0.70347222222222217</v>
      </c>
      <c r="D663" s="661" t="s">
        <v>120</v>
      </c>
      <c r="E663" s="658" t="s">
        <v>161</v>
      </c>
      <c r="F663" s="661">
        <v>50</v>
      </c>
      <c r="G663" s="661">
        <v>0.75</v>
      </c>
      <c r="H663" s="829">
        <f t="shared" si="54"/>
        <v>2.130681818181818E-2</v>
      </c>
      <c r="I663" s="1">
        <f t="shared" si="50"/>
        <v>3.912023005428146</v>
      </c>
      <c r="J663" s="1">
        <f t="shared" si="51"/>
        <v>-0.2876820724517809</v>
      </c>
      <c r="K663" s="1">
        <f t="shared" si="52"/>
        <v>-3.8487281550558325</v>
      </c>
    </row>
    <row r="664" spans="1:11">
      <c r="A664" s="654">
        <f t="shared" si="53"/>
        <v>658</v>
      </c>
      <c r="B664" s="662">
        <v>41257</v>
      </c>
      <c r="C664" s="659">
        <v>0.70694444444444438</v>
      </c>
      <c r="D664" s="661" t="s">
        <v>120</v>
      </c>
      <c r="E664" s="658" t="s">
        <v>161</v>
      </c>
      <c r="F664" s="661">
        <v>50</v>
      </c>
      <c r="G664" s="661">
        <v>0.3</v>
      </c>
      <c r="H664" s="829">
        <f t="shared" si="54"/>
        <v>8.5227272727272721E-3</v>
      </c>
      <c r="I664" s="1">
        <f t="shared" si="50"/>
        <v>3.912023005428146</v>
      </c>
      <c r="J664" s="1">
        <f t="shared" si="51"/>
        <v>-1.2039728043259361</v>
      </c>
      <c r="K664" s="1">
        <f t="shared" si="52"/>
        <v>-4.7650188869299877</v>
      </c>
    </row>
    <row r="665" spans="1:11">
      <c r="A665" s="483">
        <f t="shared" si="53"/>
        <v>659</v>
      </c>
      <c r="B665" s="694">
        <v>41422</v>
      </c>
      <c r="C665" s="473">
        <v>0.58888888888888891</v>
      </c>
      <c r="D665" s="563" t="s">
        <v>101</v>
      </c>
      <c r="E665" s="472" t="s">
        <v>161</v>
      </c>
      <c r="F665" s="563">
        <v>25</v>
      </c>
      <c r="G665" s="563">
        <v>0.82</v>
      </c>
      <c r="H665" s="829">
        <f t="shared" si="54"/>
        <v>1.1647727272727271E-2</v>
      </c>
      <c r="I665" s="1">
        <f t="shared" si="50"/>
        <v>3.2188758248682006</v>
      </c>
      <c r="J665" s="1">
        <f t="shared" si="51"/>
        <v>-0.19845093872383832</v>
      </c>
      <c r="K665" s="1">
        <f t="shared" si="52"/>
        <v>-4.4526442018878347</v>
      </c>
    </row>
    <row r="666" spans="1:11">
      <c r="A666" s="483">
        <f t="shared" si="53"/>
        <v>660</v>
      </c>
      <c r="B666" s="694">
        <v>41422</v>
      </c>
      <c r="C666" s="473">
        <v>0.60347222222222219</v>
      </c>
      <c r="D666" s="563" t="s">
        <v>101</v>
      </c>
      <c r="E666" s="472" t="s">
        <v>161</v>
      </c>
      <c r="F666" s="563">
        <v>25</v>
      </c>
      <c r="G666" s="563">
        <v>1.77</v>
      </c>
      <c r="H666" s="829">
        <f t="shared" si="54"/>
        <v>2.5142045454545455E-2</v>
      </c>
      <c r="I666" s="1">
        <f t="shared" si="50"/>
        <v>3.2188758248682006</v>
      </c>
      <c r="J666" s="1">
        <f t="shared" si="51"/>
        <v>0.5709795465857378</v>
      </c>
      <c r="K666" s="1">
        <f t="shared" si="52"/>
        <v>-3.6832137165782588</v>
      </c>
    </row>
    <row r="667" spans="1:11">
      <c r="A667" s="483">
        <f t="shared" si="53"/>
        <v>661</v>
      </c>
      <c r="B667" s="694">
        <v>41422</v>
      </c>
      <c r="C667" s="473">
        <v>0.73958333333333337</v>
      </c>
      <c r="D667" s="563" t="s">
        <v>117</v>
      </c>
      <c r="E667" s="472" t="s">
        <v>161</v>
      </c>
      <c r="F667" s="563">
        <v>75</v>
      </c>
      <c r="G667" s="563">
        <v>2.14</v>
      </c>
      <c r="H667" s="829">
        <f t="shared" si="54"/>
        <v>9.1193181818181812E-2</v>
      </c>
      <c r="I667" s="1">
        <f t="shared" si="50"/>
        <v>4.3174881135363101</v>
      </c>
      <c r="J667" s="1">
        <f t="shared" si="51"/>
        <v>0.76080582903376015</v>
      </c>
      <c r="K667" s="1">
        <f t="shared" si="52"/>
        <v>-2.3947751454621269</v>
      </c>
    </row>
    <row r="668" spans="1:11">
      <c r="A668" s="483">
        <f t="shared" si="53"/>
        <v>662</v>
      </c>
      <c r="B668" s="694">
        <v>41422</v>
      </c>
      <c r="C668" s="473">
        <v>0.83750000000000002</v>
      </c>
      <c r="D668" s="563" t="s">
        <v>117</v>
      </c>
      <c r="E668" s="472" t="s">
        <v>161</v>
      </c>
      <c r="F668" s="563">
        <v>150</v>
      </c>
      <c r="G668" s="563">
        <v>2.06</v>
      </c>
      <c r="H668" s="829">
        <f t="shared" si="54"/>
        <v>0.17556818181818182</v>
      </c>
      <c r="I668" s="1">
        <f t="shared" si="50"/>
        <v>5.0106352940962555</v>
      </c>
      <c r="J668" s="1">
        <f t="shared" si="51"/>
        <v>0.72270598280148979</v>
      </c>
      <c r="K668" s="1">
        <f t="shared" si="52"/>
        <v>-1.7397278111344521</v>
      </c>
    </row>
    <row r="669" spans="1:11">
      <c r="A669" s="483">
        <f t="shared" si="53"/>
        <v>663</v>
      </c>
      <c r="B669" s="694">
        <v>41493</v>
      </c>
      <c r="C669" s="473">
        <v>0.77500000000000002</v>
      </c>
      <c r="D669" s="563" t="s">
        <v>101</v>
      </c>
      <c r="E669" s="472" t="s">
        <v>161</v>
      </c>
      <c r="F669" s="563">
        <v>25</v>
      </c>
      <c r="G669" s="563">
        <v>0.11</v>
      </c>
      <c r="H669" s="829">
        <f t="shared" si="54"/>
        <v>1.5624999999999999E-3</v>
      </c>
      <c r="I669" s="1">
        <f t="shared" si="50"/>
        <v>3.2188758248682006</v>
      </c>
      <c r="J669" s="1">
        <f t="shared" si="51"/>
        <v>-2.2072749131897207</v>
      </c>
      <c r="K669" s="1">
        <f t="shared" si="52"/>
        <v>-6.4614681763537174</v>
      </c>
    </row>
    <row r="670" spans="1:11">
      <c r="A670" s="483">
        <f t="shared" si="53"/>
        <v>664</v>
      </c>
      <c r="B670" s="694">
        <v>41500</v>
      </c>
      <c r="C670" s="473">
        <v>0.69791666666666663</v>
      </c>
      <c r="D670" s="563" t="s">
        <v>103</v>
      </c>
      <c r="E670" s="472" t="s">
        <v>161</v>
      </c>
      <c r="F670" s="563">
        <v>50</v>
      </c>
      <c r="G670" s="563">
        <v>1</v>
      </c>
      <c r="H670" s="829">
        <f t="shared" si="54"/>
        <v>2.8409090909090908E-2</v>
      </c>
      <c r="I670" s="1">
        <f t="shared" si="50"/>
        <v>3.912023005428146</v>
      </c>
      <c r="J670" s="1">
        <f t="shared" si="51"/>
        <v>0</v>
      </c>
      <c r="K670" s="1">
        <f t="shared" si="52"/>
        <v>-3.5610460826040513</v>
      </c>
    </row>
    <row r="671" spans="1:11">
      <c r="A671" s="483">
        <f t="shared" si="53"/>
        <v>665</v>
      </c>
      <c r="B671" s="694">
        <v>41500</v>
      </c>
      <c r="C671" s="473">
        <v>0.73611111111111116</v>
      </c>
      <c r="D671" s="563" t="s">
        <v>109</v>
      </c>
      <c r="E671" s="472" t="s">
        <v>161</v>
      </c>
      <c r="F671" s="563">
        <v>40</v>
      </c>
      <c r="G671" s="563">
        <v>0.11</v>
      </c>
      <c r="H671" s="829">
        <f t="shared" si="54"/>
        <v>2.5000000000000001E-3</v>
      </c>
      <c r="I671" s="1">
        <f t="shared" si="50"/>
        <v>3.6888794541139363</v>
      </c>
      <c r="J671" s="1">
        <f t="shared" si="51"/>
        <v>-2.2072749131897207</v>
      </c>
      <c r="K671" s="1">
        <f t="shared" si="52"/>
        <v>-5.9914645471079817</v>
      </c>
    </row>
    <row r="672" spans="1:11">
      <c r="A672" s="483">
        <f t="shared" si="53"/>
        <v>666</v>
      </c>
      <c r="B672" s="485">
        <v>41796</v>
      </c>
      <c r="C672" s="473">
        <v>0.76041666666666663</v>
      </c>
      <c r="D672" s="495" t="s">
        <v>107</v>
      </c>
      <c r="E672" s="472" t="s">
        <v>161</v>
      </c>
      <c r="F672" s="486">
        <v>25</v>
      </c>
      <c r="G672" s="611">
        <v>2.46</v>
      </c>
      <c r="H672" s="829">
        <f t="shared" si="54"/>
        <v>3.4943181818181818E-2</v>
      </c>
      <c r="I672" s="1">
        <f t="shared" si="50"/>
        <v>3.2188758248682006</v>
      </c>
      <c r="J672" s="1">
        <f t="shared" si="51"/>
        <v>0.90016134994427144</v>
      </c>
      <c r="K672" s="1">
        <f t="shared" si="52"/>
        <v>-3.3540319132197252</v>
      </c>
    </row>
    <row r="673" spans="1:11">
      <c r="A673" s="483">
        <f t="shared" si="53"/>
        <v>667</v>
      </c>
      <c r="B673" s="485">
        <v>41796</v>
      </c>
      <c r="C673" s="473">
        <v>0.78611111111111109</v>
      </c>
      <c r="D673" s="495" t="s">
        <v>105</v>
      </c>
      <c r="E673" s="472" t="s">
        <v>161</v>
      </c>
      <c r="F673" s="486">
        <v>70</v>
      </c>
      <c r="G673" s="611">
        <v>1.65</v>
      </c>
      <c r="H673" s="829">
        <f t="shared" si="54"/>
        <v>6.5624999999999989E-2</v>
      </c>
      <c r="I673" s="1">
        <f t="shared" si="50"/>
        <v>4.2484952420493594</v>
      </c>
      <c r="J673" s="1">
        <f t="shared" si="51"/>
        <v>0.50077528791248915</v>
      </c>
      <c r="K673" s="1">
        <f t="shared" si="52"/>
        <v>-2.7237985580703494</v>
      </c>
    </row>
    <row r="674" spans="1:11">
      <c r="A674" s="483">
        <f t="shared" si="53"/>
        <v>668</v>
      </c>
      <c r="B674" s="485">
        <v>41812</v>
      </c>
      <c r="C674" s="473">
        <v>0.6958333333333333</v>
      </c>
      <c r="D674" s="495" t="s">
        <v>101</v>
      </c>
      <c r="E674" s="472" t="s">
        <v>161</v>
      </c>
      <c r="F674" s="486">
        <v>100</v>
      </c>
      <c r="G674" s="611">
        <v>2.0099999999999998</v>
      </c>
      <c r="H674" s="829">
        <f t="shared" si="54"/>
        <v>0.11420454545454543</v>
      </c>
      <c r="I674" s="1">
        <f t="shared" si="50"/>
        <v>4.6051701859880918</v>
      </c>
      <c r="J674" s="1">
        <f t="shared" si="51"/>
        <v>0.69813472207098426</v>
      </c>
      <c r="K674" s="1">
        <f t="shared" si="52"/>
        <v>-2.169764179973122</v>
      </c>
    </row>
    <row r="675" spans="1:11">
      <c r="A675" s="483">
        <f t="shared" si="53"/>
        <v>669</v>
      </c>
      <c r="B675" s="485">
        <v>41812</v>
      </c>
      <c r="C675" s="473">
        <v>0.72986111111111107</v>
      </c>
      <c r="D675" s="495" t="s">
        <v>101</v>
      </c>
      <c r="E675" s="472" t="s">
        <v>161</v>
      </c>
      <c r="F675" s="486">
        <v>50</v>
      </c>
      <c r="G675" s="611">
        <v>0.44</v>
      </c>
      <c r="H675" s="829">
        <f t="shared" si="54"/>
        <v>1.2499999999999999E-2</v>
      </c>
      <c r="I675" s="1">
        <f t="shared" si="50"/>
        <v>3.912023005428146</v>
      </c>
      <c r="J675" s="1">
        <f t="shared" si="51"/>
        <v>-0.82098055206983023</v>
      </c>
      <c r="K675" s="1">
        <f t="shared" si="52"/>
        <v>-4.3820266346738821</v>
      </c>
    </row>
    <row r="676" spans="1:11">
      <c r="A676" s="483">
        <f t="shared" si="53"/>
        <v>670</v>
      </c>
      <c r="B676" s="485">
        <v>41812</v>
      </c>
      <c r="C676" s="473">
        <v>0.74791666666666667</v>
      </c>
      <c r="D676" s="495" t="s">
        <v>106</v>
      </c>
      <c r="E676" s="472" t="s">
        <v>161</v>
      </c>
      <c r="F676" s="486">
        <v>50</v>
      </c>
      <c r="G676" s="611">
        <v>2</v>
      </c>
      <c r="H676" s="829">
        <f t="shared" si="54"/>
        <v>5.6818181818181816E-2</v>
      </c>
      <c r="I676" s="1">
        <f t="shared" si="50"/>
        <v>3.912023005428146</v>
      </c>
      <c r="J676" s="1">
        <f t="shared" si="51"/>
        <v>0.69314718055994529</v>
      </c>
      <c r="K676" s="1">
        <f t="shared" si="52"/>
        <v>-2.8678989020441059</v>
      </c>
    </row>
    <row r="677" spans="1:11">
      <c r="A677" s="483">
        <f t="shared" si="53"/>
        <v>671</v>
      </c>
      <c r="B677" s="485">
        <v>41812</v>
      </c>
      <c r="C677" s="473">
        <v>0.76527777777777783</v>
      </c>
      <c r="D677" s="495" t="s">
        <v>106</v>
      </c>
      <c r="E677" s="472" t="s">
        <v>161</v>
      </c>
      <c r="F677" s="486">
        <v>75</v>
      </c>
      <c r="G677" s="611">
        <v>1</v>
      </c>
      <c r="H677" s="829">
        <f t="shared" si="54"/>
        <v>4.261363636363636E-2</v>
      </c>
      <c r="I677" s="1">
        <f t="shared" si="50"/>
        <v>4.3174881135363101</v>
      </c>
      <c r="J677" s="1">
        <f t="shared" si="51"/>
        <v>0</v>
      </c>
      <c r="K677" s="1">
        <f t="shared" si="52"/>
        <v>-3.1555809744958871</v>
      </c>
    </row>
    <row r="678" spans="1:11">
      <c r="A678" s="483">
        <f t="shared" si="53"/>
        <v>672</v>
      </c>
      <c r="B678" s="485">
        <v>41836</v>
      </c>
      <c r="C678" s="473">
        <v>0.75555555555555554</v>
      </c>
      <c r="D678" s="495" t="s">
        <v>103</v>
      </c>
      <c r="E678" s="472" t="s">
        <v>161</v>
      </c>
      <c r="F678" s="486">
        <v>50</v>
      </c>
      <c r="G678" s="611">
        <v>0.01</v>
      </c>
      <c r="H678" s="829">
        <f t="shared" si="54"/>
        <v>2.8409090909090908E-4</v>
      </c>
      <c r="I678" s="1">
        <f t="shared" si="50"/>
        <v>3.912023005428146</v>
      </c>
      <c r="J678" s="1">
        <f t="shared" si="51"/>
        <v>-4.6051701859880909</v>
      </c>
      <c r="K678" s="1">
        <f t="shared" si="52"/>
        <v>-8.1662162685921427</v>
      </c>
    </row>
    <row r="679" spans="1:11">
      <c r="A679" s="483">
        <f t="shared" si="53"/>
        <v>673</v>
      </c>
      <c r="B679" s="485">
        <v>41836</v>
      </c>
      <c r="C679" s="473">
        <v>0.7680555555555556</v>
      </c>
      <c r="D679" s="495" t="s">
        <v>103</v>
      </c>
      <c r="E679" s="472" t="s">
        <v>161</v>
      </c>
      <c r="F679" s="486">
        <v>100</v>
      </c>
      <c r="G679" s="611">
        <v>1.34</v>
      </c>
      <c r="H679" s="829">
        <f t="shared" si="54"/>
        <v>7.6136363636363641E-2</v>
      </c>
      <c r="I679" s="1">
        <f t="shared" si="50"/>
        <v>4.6051701859880918</v>
      </c>
      <c r="J679" s="1">
        <f t="shared" si="51"/>
        <v>0.29266961396282004</v>
      </c>
      <c r="K679" s="1">
        <f t="shared" si="52"/>
        <v>-2.5752292880812861</v>
      </c>
    </row>
    <row r="680" spans="1:11">
      <c r="A680" s="483">
        <f t="shared" si="53"/>
        <v>674</v>
      </c>
      <c r="B680" s="485">
        <v>41836</v>
      </c>
      <c r="C680" s="473">
        <v>0.80763888888888891</v>
      </c>
      <c r="D680" s="495" t="s">
        <v>108</v>
      </c>
      <c r="E680" s="472" t="s">
        <v>161</v>
      </c>
      <c r="F680" s="486">
        <v>100</v>
      </c>
      <c r="G680" s="611">
        <v>3.07</v>
      </c>
      <c r="H680" s="829">
        <f t="shared" si="54"/>
        <v>0.17443181818181816</v>
      </c>
      <c r="I680" s="1">
        <f t="shared" si="50"/>
        <v>4.6051701859880918</v>
      </c>
      <c r="J680" s="1">
        <f t="shared" si="51"/>
        <v>1.1216775615991057</v>
      </c>
      <c r="K680" s="1">
        <f t="shared" si="52"/>
        <v>-1.7462213404450004</v>
      </c>
    </row>
    <row r="681" spans="1:11">
      <c r="A681" s="483">
        <f t="shared" si="53"/>
        <v>675</v>
      </c>
      <c r="B681" s="694">
        <v>42105</v>
      </c>
      <c r="C681" s="504">
        <v>0.73333333333333339</v>
      </c>
      <c r="D681" s="707" t="s">
        <v>113</v>
      </c>
      <c r="E681" s="736" t="s">
        <v>161</v>
      </c>
      <c r="F681" s="563">
        <v>30</v>
      </c>
      <c r="G681" s="563">
        <v>2.84</v>
      </c>
      <c r="H681" s="829">
        <f t="shared" si="54"/>
        <v>4.8409090909090902E-2</v>
      </c>
      <c r="I681" s="1">
        <f t="shared" si="50"/>
        <v>3.4011973816621555</v>
      </c>
      <c r="J681" s="1">
        <f t="shared" si="51"/>
        <v>1.0438040521731147</v>
      </c>
      <c r="K681" s="1">
        <f t="shared" si="52"/>
        <v>-3.0280676541969274</v>
      </c>
    </row>
    <row r="682" spans="1:11">
      <c r="A682" s="483">
        <f t="shared" si="53"/>
        <v>676</v>
      </c>
      <c r="B682" s="694">
        <v>42110</v>
      </c>
      <c r="C682" s="504">
        <v>0.62361111111111112</v>
      </c>
      <c r="D682" s="563" t="s">
        <v>114</v>
      </c>
      <c r="E682" s="503" t="s">
        <v>161</v>
      </c>
      <c r="F682" s="563">
        <v>50</v>
      </c>
      <c r="G682" s="563">
        <v>2.25</v>
      </c>
      <c r="H682" s="829">
        <f t="shared" si="54"/>
        <v>6.3920454545454544E-2</v>
      </c>
      <c r="I682" s="1">
        <f t="shared" si="50"/>
        <v>3.912023005428146</v>
      </c>
      <c r="J682" s="1">
        <f t="shared" si="51"/>
        <v>0.81093021621632877</v>
      </c>
      <c r="K682" s="1">
        <f t="shared" si="52"/>
        <v>-2.7501158663877225</v>
      </c>
    </row>
    <row r="683" spans="1:11">
      <c r="A683" s="483">
        <f t="shared" si="53"/>
        <v>677</v>
      </c>
      <c r="B683" s="694">
        <v>42110</v>
      </c>
      <c r="C683" s="504">
        <v>0.66527777777777775</v>
      </c>
      <c r="D683" s="563" t="s">
        <v>115</v>
      </c>
      <c r="E683" s="503" t="s">
        <v>161</v>
      </c>
      <c r="F683" s="563">
        <v>30</v>
      </c>
      <c r="G683" s="563">
        <v>2.34</v>
      </c>
      <c r="H683" s="829">
        <f t="shared" si="54"/>
        <v>3.988636363636363E-2</v>
      </c>
      <c r="I683" s="1">
        <f t="shared" si="50"/>
        <v>3.4011973816621555</v>
      </c>
      <c r="J683" s="1">
        <f t="shared" si="51"/>
        <v>0.85015092936961001</v>
      </c>
      <c r="K683" s="1">
        <f t="shared" si="52"/>
        <v>-3.2217207770004324</v>
      </c>
    </row>
    <row r="684" spans="1:11">
      <c r="A684" s="483">
        <f t="shared" si="53"/>
        <v>678</v>
      </c>
      <c r="B684" s="694">
        <v>42110</v>
      </c>
      <c r="C684" s="504">
        <v>0.68055555555555547</v>
      </c>
      <c r="D684" s="563" t="s">
        <v>111</v>
      </c>
      <c r="E684" s="503" t="s">
        <v>161</v>
      </c>
      <c r="F684" s="563">
        <v>75</v>
      </c>
      <c r="G684" s="563">
        <v>7.17</v>
      </c>
      <c r="H684" s="829">
        <f t="shared" si="54"/>
        <v>0.30553977272727273</v>
      </c>
      <c r="I684" s="1">
        <f t="shared" si="50"/>
        <v>4.3174881135363101</v>
      </c>
      <c r="J684" s="1">
        <f t="shared" si="51"/>
        <v>1.969905654611529</v>
      </c>
      <c r="K684" s="1">
        <f t="shared" si="52"/>
        <v>-1.1856753198843579</v>
      </c>
    </row>
    <row r="685" spans="1:11">
      <c r="A685" s="483">
        <f t="shared" si="53"/>
        <v>679</v>
      </c>
      <c r="B685" s="694">
        <v>42110</v>
      </c>
      <c r="C685" s="504">
        <v>0.69097222222222221</v>
      </c>
      <c r="D685" s="563" t="s">
        <v>110</v>
      </c>
      <c r="E685" s="503" t="s">
        <v>161</v>
      </c>
      <c r="F685" s="563">
        <v>50</v>
      </c>
      <c r="G685" s="563">
        <v>4.38</v>
      </c>
      <c r="H685" s="829">
        <f t="shared" si="54"/>
        <v>0.12443181818181817</v>
      </c>
      <c r="I685" s="1">
        <f t="shared" si="50"/>
        <v>3.912023005428146</v>
      </c>
      <c r="J685" s="1">
        <f t="shared" si="51"/>
        <v>1.4770487243883548</v>
      </c>
      <c r="K685" s="1">
        <f t="shared" si="52"/>
        <v>-2.0839973582156968</v>
      </c>
    </row>
    <row r="686" spans="1:11">
      <c r="A686" s="483">
        <f t="shared" si="53"/>
        <v>680</v>
      </c>
      <c r="B686" s="694">
        <v>42110</v>
      </c>
      <c r="C686" s="504">
        <v>0.72222222222222221</v>
      </c>
      <c r="D686" s="563" t="s">
        <v>116</v>
      </c>
      <c r="E686" s="503" t="s">
        <v>161</v>
      </c>
      <c r="F686" s="563">
        <v>50</v>
      </c>
      <c r="G686" s="563">
        <v>14.05</v>
      </c>
      <c r="H686" s="829">
        <f t="shared" si="54"/>
        <v>0.39914772727272729</v>
      </c>
      <c r="I686" s="1">
        <f t="shared" si="50"/>
        <v>3.912023005428146</v>
      </c>
      <c r="J686" s="1">
        <f t="shared" si="51"/>
        <v>2.642622395779755</v>
      </c>
      <c r="K686" s="1">
        <f t="shared" si="52"/>
        <v>-0.91842368682429654</v>
      </c>
    </row>
    <row r="687" spans="1:11">
      <c r="A687" s="483">
        <f t="shared" si="53"/>
        <v>681</v>
      </c>
      <c r="B687" s="694">
        <v>42110</v>
      </c>
      <c r="C687" s="504">
        <v>0.72361111111111109</v>
      </c>
      <c r="D687" s="563" t="s">
        <v>116</v>
      </c>
      <c r="E687" s="503" t="s">
        <v>161</v>
      </c>
      <c r="F687" s="563">
        <v>70</v>
      </c>
      <c r="G687" s="563">
        <v>4.92</v>
      </c>
      <c r="H687" s="829">
        <f t="shared" si="54"/>
        <v>0.19568181818181818</v>
      </c>
      <c r="I687" s="1">
        <f t="shared" si="50"/>
        <v>4.2484952420493594</v>
      </c>
      <c r="J687" s="1">
        <f t="shared" si="51"/>
        <v>1.5933085305042167</v>
      </c>
      <c r="K687" s="1">
        <f t="shared" si="52"/>
        <v>-1.6312653154786216</v>
      </c>
    </row>
    <row r="688" spans="1:11">
      <c r="A688" s="483">
        <f t="shared" si="53"/>
        <v>682</v>
      </c>
      <c r="B688" s="694">
        <v>42140</v>
      </c>
      <c r="C688" s="473">
        <v>0.59305555555555556</v>
      </c>
      <c r="D688" s="484" t="s">
        <v>116</v>
      </c>
      <c r="E688" s="658" t="s">
        <v>161</v>
      </c>
      <c r="F688" s="563">
        <v>30</v>
      </c>
      <c r="G688" s="563">
        <v>5.49</v>
      </c>
      <c r="H688" s="829">
        <f t="shared" si="54"/>
        <v>9.3579545454545457E-2</v>
      </c>
      <c r="I688" s="1">
        <f t="shared" si="50"/>
        <v>3.4011973816621555</v>
      </c>
      <c r="J688" s="1">
        <f t="shared" si="51"/>
        <v>1.7029282555214393</v>
      </c>
      <c r="K688" s="1">
        <f t="shared" si="52"/>
        <v>-2.3689434508486027</v>
      </c>
    </row>
    <row r="689" spans="1:11">
      <c r="A689" s="483">
        <f t="shared" si="53"/>
        <v>683</v>
      </c>
      <c r="B689" s="694">
        <v>42151</v>
      </c>
      <c r="C689" s="764">
        <v>0.71180555555555547</v>
      </c>
      <c r="D689" s="707" t="s">
        <v>111</v>
      </c>
      <c r="E689" s="658" t="s">
        <v>161</v>
      </c>
      <c r="F689" s="763">
        <v>600</v>
      </c>
      <c r="G689" s="763">
        <v>1.1200000000000001</v>
      </c>
      <c r="H689" s="829">
        <f t="shared" si="54"/>
        <v>0.38181818181818183</v>
      </c>
      <c r="I689" s="1">
        <f t="shared" si="50"/>
        <v>6.3969296552161463</v>
      </c>
      <c r="J689" s="1">
        <f t="shared" si="51"/>
        <v>0.11332868530700327</v>
      </c>
      <c r="K689" s="1">
        <f t="shared" si="52"/>
        <v>-0.96281074750904783</v>
      </c>
    </row>
    <row r="690" spans="1:11">
      <c r="A690" s="483">
        <f t="shared" si="53"/>
        <v>684</v>
      </c>
      <c r="B690" s="694">
        <v>42151</v>
      </c>
      <c r="C690" s="764">
        <v>0.71180555555555547</v>
      </c>
      <c r="D690" s="707" t="s">
        <v>111</v>
      </c>
      <c r="E690" s="658" t="s">
        <v>161</v>
      </c>
      <c r="F690" s="763">
        <v>400</v>
      </c>
      <c r="G690" s="763">
        <v>0.53</v>
      </c>
      <c r="H690" s="829">
        <f t="shared" si="54"/>
        <v>0.12045454545454545</v>
      </c>
      <c r="I690" s="1">
        <f t="shared" si="50"/>
        <v>5.9914645471079817</v>
      </c>
      <c r="J690" s="1">
        <f t="shared" si="51"/>
        <v>-0.6348782724359695</v>
      </c>
      <c r="K690" s="1">
        <f t="shared" si="52"/>
        <v>-2.116482813360185</v>
      </c>
    </row>
    <row r="691" spans="1:11">
      <c r="A691" s="483">
        <f t="shared" si="53"/>
        <v>685</v>
      </c>
      <c r="B691" s="694">
        <v>42167</v>
      </c>
      <c r="C691" s="764">
        <v>0.59583333333333333</v>
      </c>
      <c r="D691" s="763" t="s">
        <v>117</v>
      </c>
      <c r="E691" s="658" t="s">
        <v>161</v>
      </c>
      <c r="F691" s="763">
        <v>50</v>
      </c>
      <c r="G691" s="763">
        <v>0.2</v>
      </c>
      <c r="H691" s="829">
        <f t="shared" si="54"/>
        <v>5.681818181818182E-3</v>
      </c>
      <c r="I691" s="1">
        <f t="shared" si="50"/>
        <v>3.912023005428146</v>
      </c>
      <c r="J691" s="1">
        <f t="shared" si="51"/>
        <v>-1.6094379124341003</v>
      </c>
      <c r="K691" s="1">
        <f t="shared" si="52"/>
        <v>-5.1704839950381514</v>
      </c>
    </row>
    <row r="692" spans="1:11">
      <c r="A692" s="483">
        <f t="shared" si="53"/>
        <v>686</v>
      </c>
      <c r="B692" s="694">
        <v>42324</v>
      </c>
      <c r="C692" s="764">
        <v>0.73888888888888893</v>
      </c>
      <c r="D692" s="763" t="s">
        <v>119</v>
      </c>
      <c r="E692" s="658" t="s">
        <v>161</v>
      </c>
      <c r="F692" s="763">
        <v>50</v>
      </c>
      <c r="G692" s="763">
        <v>0.4</v>
      </c>
      <c r="H692" s="829">
        <f t="shared" si="54"/>
        <v>1.1363636363636364E-2</v>
      </c>
      <c r="I692" s="1">
        <f t="shared" si="50"/>
        <v>3.912023005428146</v>
      </c>
      <c r="J692" s="1">
        <f t="shared" si="51"/>
        <v>-0.916290731874155</v>
      </c>
      <c r="K692" s="1">
        <f t="shared" si="52"/>
        <v>-4.4773368144782069</v>
      </c>
    </row>
    <row r="693" spans="1:11">
      <c r="A693" s="483">
        <f t="shared" si="53"/>
        <v>687</v>
      </c>
      <c r="B693" s="694">
        <v>42324</v>
      </c>
      <c r="C693" s="764">
        <v>0.73888888888888893</v>
      </c>
      <c r="D693" s="763" t="s">
        <v>110</v>
      </c>
      <c r="E693" s="658" t="s">
        <v>161</v>
      </c>
      <c r="F693" s="763">
        <v>50</v>
      </c>
      <c r="G693" s="763">
        <v>0.11</v>
      </c>
      <c r="H693" s="829">
        <f t="shared" si="54"/>
        <v>3.1249999999999997E-3</v>
      </c>
      <c r="I693" s="1">
        <f t="shared" si="50"/>
        <v>3.912023005428146</v>
      </c>
      <c r="J693" s="1">
        <f t="shared" si="51"/>
        <v>-2.2072749131897207</v>
      </c>
      <c r="K693" s="1">
        <f t="shared" si="52"/>
        <v>-5.768320995793772</v>
      </c>
    </row>
    <row r="694" spans="1:11">
      <c r="A694" s="483">
        <f t="shared" si="53"/>
        <v>688</v>
      </c>
      <c r="B694" s="694">
        <v>42324</v>
      </c>
      <c r="C694" s="764">
        <v>0.75347222222222221</v>
      </c>
      <c r="D694" s="763" t="s">
        <v>110</v>
      </c>
      <c r="E694" s="658" t="s">
        <v>161</v>
      </c>
      <c r="F694" s="763">
        <v>50</v>
      </c>
      <c r="G694" s="763">
        <v>0.26</v>
      </c>
      <c r="H694" s="829">
        <f t="shared" si="54"/>
        <v>7.3863636363636362E-3</v>
      </c>
      <c r="I694" s="1">
        <f t="shared" si="50"/>
        <v>3.912023005428146</v>
      </c>
      <c r="J694" s="1">
        <f t="shared" si="51"/>
        <v>-1.3470736479666092</v>
      </c>
      <c r="K694" s="1">
        <f t="shared" si="52"/>
        <v>-4.908119730570661</v>
      </c>
    </row>
    <row r="695" spans="1:11">
      <c r="A695" s="483">
        <f t="shared" si="53"/>
        <v>689</v>
      </c>
      <c r="B695" s="694">
        <v>42324</v>
      </c>
      <c r="C695" s="764">
        <v>0.75624999999999998</v>
      </c>
      <c r="D695" s="763" t="s">
        <v>114</v>
      </c>
      <c r="E695" s="658" t="s">
        <v>161</v>
      </c>
      <c r="F695" s="763">
        <v>50</v>
      </c>
      <c r="G695" s="763">
        <v>0.22</v>
      </c>
      <c r="H695" s="829">
        <f t="shared" si="54"/>
        <v>6.2499999999999995E-3</v>
      </c>
      <c r="I695" s="1">
        <f t="shared" si="50"/>
        <v>3.912023005428146</v>
      </c>
      <c r="J695" s="1">
        <f t="shared" si="51"/>
        <v>-1.5141277326297755</v>
      </c>
      <c r="K695" s="1">
        <f t="shared" si="52"/>
        <v>-5.0751738152338266</v>
      </c>
    </row>
    <row r="696" spans="1:11">
      <c r="A696" s="483">
        <f t="shared" si="53"/>
        <v>690</v>
      </c>
      <c r="B696" s="694">
        <v>42324</v>
      </c>
      <c r="C696" s="473">
        <v>0.78055555555555556</v>
      </c>
      <c r="D696" s="484" t="s">
        <v>105</v>
      </c>
      <c r="E696" s="658" t="s">
        <v>161</v>
      </c>
      <c r="F696" s="763">
        <v>100</v>
      </c>
      <c r="G696" s="763">
        <v>3.66</v>
      </c>
      <c r="H696" s="829">
        <f t="shared" si="54"/>
        <v>0.20795454545454545</v>
      </c>
      <c r="I696" s="1">
        <f t="shared" si="50"/>
        <v>4.6051701859880918</v>
      </c>
      <c r="J696" s="1">
        <f t="shared" si="51"/>
        <v>1.297463147413275</v>
      </c>
      <c r="K696" s="1">
        <f t="shared" si="52"/>
        <v>-1.5704357546308312</v>
      </c>
    </row>
    <row r="697" spans="1:11">
      <c r="A697" s="483">
        <f t="shared" si="53"/>
        <v>691</v>
      </c>
      <c r="B697" s="694">
        <v>42324</v>
      </c>
      <c r="C697" s="473">
        <v>0.79861111111111116</v>
      </c>
      <c r="D697" s="484" t="s">
        <v>101</v>
      </c>
      <c r="E697" s="658" t="s">
        <v>161</v>
      </c>
      <c r="F697" s="763">
        <v>100</v>
      </c>
      <c r="G697" s="763">
        <v>4.22</v>
      </c>
      <c r="H697" s="829">
        <f t="shared" si="54"/>
        <v>0.23977272727272725</v>
      </c>
      <c r="I697" s="1">
        <f t="shared" si="50"/>
        <v>4.6051701859880918</v>
      </c>
      <c r="J697" s="1">
        <f t="shared" si="51"/>
        <v>1.4398351280479205</v>
      </c>
      <c r="K697" s="1">
        <f t="shared" si="52"/>
        <v>-1.4280637739961857</v>
      </c>
    </row>
    <row r="698" spans="1:11">
      <c r="A698" s="483">
        <f t="shared" si="53"/>
        <v>692</v>
      </c>
      <c r="B698" s="694">
        <v>42324</v>
      </c>
      <c r="C698" s="764">
        <v>0.82152777777777775</v>
      </c>
      <c r="D698" s="763" t="s">
        <v>109</v>
      </c>
      <c r="E698" s="658" t="s">
        <v>161</v>
      </c>
      <c r="F698" s="763">
        <v>50</v>
      </c>
      <c r="G698" s="763">
        <v>0.56000000000000005</v>
      </c>
      <c r="H698" s="829">
        <f t="shared" si="54"/>
        <v>1.5909090909090911E-2</v>
      </c>
      <c r="I698" s="1">
        <f t="shared" si="50"/>
        <v>3.912023005428146</v>
      </c>
      <c r="J698" s="1">
        <f t="shared" si="51"/>
        <v>-0.57981849525294205</v>
      </c>
      <c r="K698" s="1">
        <f t="shared" si="52"/>
        <v>-4.140864577856993</v>
      </c>
    </row>
    <row r="699" spans="1:11">
      <c r="A699" s="483">
        <f t="shared" si="53"/>
        <v>693</v>
      </c>
      <c r="B699" s="694">
        <v>42324</v>
      </c>
      <c r="C699" s="764">
        <v>0.82291666666666663</v>
      </c>
      <c r="D699" s="763" t="s">
        <v>110</v>
      </c>
      <c r="E699" s="658" t="s">
        <v>161</v>
      </c>
      <c r="F699" s="763">
        <v>50</v>
      </c>
      <c r="G699" s="763">
        <v>5.72</v>
      </c>
      <c r="H699" s="829">
        <f t="shared" si="54"/>
        <v>0.16249999999999998</v>
      </c>
      <c r="I699" s="1">
        <f t="shared" si="50"/>
        <v>3.912023005428146</v>
      </c>
      <c r="J699" s="1">
        <f t="shared" si="51"/>
        <v>1.7439688053917064</v>
      </c>
      <c r="K699" s="1">
        <f t="shared" si="52"/>
        <v>-1.8170772772123449</v>
      </c>
    </row>
    <row r="700" spans="1:11">
      <c r="A700" s="483">
        <f t="shared" si="53"/>
        <v>694</v>
      </c>
      <c r="B700" s="694">
        <v>42324</v>
      </c>
      <c r="C700" s="764">
        <v>0.82777777777777783</v>
      </c>
      <c r="D700" s="763" t="s">
        <v>111</v>
      </c>
      <c r="E700" s="658" t="s">
        <v>161</v>
      </c>
      <c r="F700" s="763">
        <v>50</v>
      </c>
      <c r="G700" s="763">
        <v>1.49</v>
      </c>
      <c r="H700" s="829">
        <f t="shared" si="54"/>
        <v>4.2329545454545453E-2</v>
      </c>
      <c r="I700" s="1">
        <f t="shared" si="50"/>
        <v>3.912023005428146</v>
      </c>
      <c r="J700" s="1">
        <f t="shared" si="51"/>
        <v>0.39877611995736778</v>
      </c>
      <c r="K700" s="1">
        <f t="shared" si="52"/>
        <v>-3.1622699626466835</v>
      </c>
    </row>
    <row r="701" spans="1:11">
      <c r="A701" s="483">
        <f t="shared" si="53"/>
        <v>695</v>
      </c>
      <c r="B701" s="694">
        <v>42324</v>
      </c>
      <c r="C701" s="764">
        <v>0.83194444444444438</v>
      </c>
      <c r="D701" s="763" t="s">
        <v>113</v>
      </c>
      <c r="E701" s="658" t="s">
        <v>161</v>
      </c>
      <c r="F701" s="763">
        <v>50</v>
      </c>
      <c r="G701" s="763">
        <v>0.38</v>
      </c>
      <c r="H701" s="829">
        <f t="shared" si="54"/>
        <v>1.0795454545454546E-2</v>
      </c>
      <c r="I701" s="1">
        <f t="shared" si="50"/>
        <v>3.912023005428146</v>
      </c>
      <c r="J701" s="1">
        <f t="shared" si="51"/>
        <v>-0.96758402626170559</v>
      </c>
      <c r="K701" s="1">
        <f t="shared" si="52"/>
        <v>-4.528630108865757</v>
      </c>
    </row>
    <row r="702" spans="1:11">
      <c r="A702" s="483">
        <f t="shared" si="53"/>
        <v>696</v>
      </c>
      <c r="B702" s="694">
        <v>42324</v>
      </c>
      <c r="C702" s="473">
        <v>0.87430555555555556</v>
      </c>
      <c r="D702" s="484" t="s">
        <v>106</v>
      </c>
      <c r="E702" s="658" t="s">
        <v>161</v>
      </c>
      <c r="F702" s="763">
        <v>100</v>
      </c>
      <c r="G702" s="763">
        <v>4.6900000000000004</v>
      </c>
      <c r="H702" s="829">
        <f t="shared" si="54"/>
        <v>0.26647727272727273</v>
      </c>
      <c r="I702" s="1">
        <f t="shared" si="50"/>
        <v>4.6051701859880918</v>
      </c>
      <c r="J702" s="1">
        <f t="shared" si="51"/>
        <v>1.545432582458188</v>
      </c>
      <c r="K702" s="1">
        <f t="shared" si="52"/>
        <v>-1.3224663195859181</v>
      </c>
    </row>
    <row r="703" spans="1:11">
      <c r="A703" s="483">
        <f t="shared" si="53"/>
        <v>697</v>
      </c>
      <c r="B703" s="485">
        <v>42350</v>
      </c>
      <c r="C703" s="473">
        <v>0.74513888888888891</v>
      </c>
      <c r="D703" s="484" t="s">
        <v>115</v>
      </c>
      <c r="E703" s="658" t="s">
        <v>161</v>
      </c>
      <c r="F703" s="763">
        <v>50</v>
      </c>
      <c r="G703" s="763">
        <v>0.04</v>
      </c>
      <c r="H703" s="829">
        <f t="shared" si="54"/>
        <v>1.1363636363636363E-3</v>
      </c>
      <c r="I703" s="1">
        <f t="shared" ref="I703:I704" si="55">LN(F703)</f>
        <v>3.912023005428146</v>
      </c>
      <c r="J703" s="1">
        <f t="shared" ref="J703:J704" si="56">LN(G703)</f>
        <v>-3.2188758248682006</v>
      </c>
      <c r="K703" s="1">
        <f t="shared" ref="K703:K704" si="57">LN(H703)</f>
        <v>-6.7799219074722519</v>
      </c>
    </row>
    <row r="704" spans="1:11">
      <c r="A704" s="483">
        <f t="shared" si="53"/>
        <v>698</v>
      </c>
      <c r="B704" s="694">
        <v>42475</v>
      </c>
      <c r="C704" s="764">
        <v>0.78472222222222221</v>
      </c>
      <c r="D704" s="763" t="s">
        <v>100</v>
      </c>
      <c r="E704" s="658" t="s">
        <v>161</v>
      </c>
      <c r="F704" s="763">
        <v>50</v>
      </c>
      <c r="G704" s="763">
        <v>1.07</v>
      </c>
      <c r="H704" s="840">
        <v>3.0397727272727274E-2</v>
      </c>
      <c r="I704" s="1">
        <f t="shared" si="55"/>
        <v>3.912023005428146</v>
      </c>
      <c r="J704" s="1">
        <f t="shared" si="56"/>
        <v>6.7658648473814864E-2</v>
      </c>
      <c r="K704" s="1">
        <f t="shared" si="57"/>
        <v>-3.4933874341302364</v>
      </c>
    </row>
    <row r="705" spans="1:11">
      <c r="A705" s="483">
        <f t="shared" si="53"/>
        <v>699</v>
      </c>
      <c r="B705" s="694">
        <v>42475</v>
      </c>
      <c r="C705" s="764">
        <v>0.79305555555555562</v>
      </c>
      <c r="D705" s="763" t="s">
        <v>100</v>
      </c>
      <c r="E705" s="658" t="s">
        <v>161</v>
      </c>
      <c r="F705" s="763">
        <v>50</v>
      </c>
      <c r="G705" s="763">
        <v>0.91</v>
      </c>
      <c r="H705" s="794">
        <v>2.5852272727272727E-2</v>
      </c>
      <c r="I705" s="1">
        <f t="shared" si="50"/>
        <v>3.912023005428146</v>
      </c>
      <c r="J705" s="1">
        <f t="shared" si="51"/>
        <v>-9.431067947124129E-2</v>
      </c>
      <c r="K705" s="1">
        <f t="shared" si="52"/>
        <v>-3.6553567620752929</v>
      </c>
    </row>
    <row r="706" spans="1:11">
      <c r="A706" s="483">
        <f t="shared" si="53"/>
        <v>700</v>
      </c>
      <c r="B706" s="694">
        <v>42475</v>
      </c>
      <c r="C706" s="764">
        <v>0.8027777777777777</v>
      </c>
      <c r="D706" s="763" t="s">
        <v>100</v>
      </c>
      <c r="E706" s="658" t="s">
        <v>161</v>
      </c>
      <c r="F706" s="763">
        <v>50</v>
      </c>
      <c r="G706" s="763">
        <v>1</v>
      </c>
      <c r="H706" s="794">
        <v>2.8409090909090908E-2</v>
      </c>
      <c r="I706" s="1">
        <f t="shared" si="50"/>
        <v>3.912023005428146</v>
      </c>
      <c r="J706" s="1">
        <f t="shared" si="51"/>
        <v>0</v>
      </c>
      <c r="K706" s="1">
        <f t="shared" si="52"/>
        <v>-3.5610460826040513</v>
      </c>
    </row>
    <row r="707" spans="1:11">
      <c r="A707" s="483">
        <f t="shared" si="53"/>
        <v>701</v>
      </c>
      <c r="B707" s="694">
        <v>42475</v>
      </c>
      <c r="C707" s="764">
        <v>0.80486111111111114</v>
      </c>
      <c r="D707" s="763" t="s">
        <v>100</v>
      </c>
      <c r="E707" s="658" t="s">
        <v>161</v>
      </c>
      <c r="F707" s="763">
        <v>25</v>
      </c>
      <c r="G707" s="763">
        <v>0.78</v>
      </c>
      <c r="H707" s="794">
        <v>1.1079545454545455E-2</v>
      </c>
      <c r="I707" s="1">
        <f t="shared" si="50"/>
        <v>3.2188758248682006</v>
      </c>
      <c r="J707" s="1">
        <f t="shared" si="51"/>
        <v>-0.24846135929849961</v>
      </c>
      <c r="K707" s="1">
        <f t="shared" si="52"/>
        <v>-4.5026546224624964</v>
      </c>
    </row>
    <row r="708" spans="1:11">
      <c r="A708" s="483">
        <f t="shared" si="53"/>
        <v>702</v>
      </c>
      <c r="B708" s="694">
        <v>42475</v>
      </c>
      <c r="C708" s="764">
        <v>0.86805555555555547</v>
      </c>
      <c r="D708" s="763" t="s">
        <v>112</v>
      </c>
      <c r="E708" s="658" t="s">
        <v>161</v>
      </c>
      <c r="F708" s="763">
        <v>50</v>
      </c>
      <c r="G708" s="763">
        <v>0.8</v>
      </c>
      <c r="H708" s="794">
        <v>2.2727272727272728E-2</v>
      </c>
      <c r="I708" s="1">
        <f t="shared" si="50"/>
        <v>3.912023005428146</v>
      </c>
      <c r="J708" s="1">
        <f t="shared" si="51"/>
        <v>-0.22314355131420971</v>
      </c>
      <c r="K708" s="1">
        <f t="shared" si="52"/>
        <v>-3.784189633918261</v>
      </c>
    </row>
    <row r="709" spans="1:11">
      <c r="A709" s="483">
        <f t="shared" si="53"/>
        <v>703</v>
      </c>
      <c r="B709" s="694">
        <v>42506</v>
      </c>
      <c r="C709" s="764">
        <v>0.65208333333333335</v>
      </c>
      <c r="D709" s="763" t="s">
        <v>99</v>
      </c>
      <c r="E709" s="658" t="s">
        <v>161</v>
      </c>
      <c r="F709" s="763">
        <v>25</v>
      </c>
      <c r="G709" s="763">
        <v>0.52</v>
      </c>
      <c r="H709" s="794">
        <v>7.3863636363636362E-3</v>
      </c>
      <c r="I709" s="1">
        <f t="shared" si="50"/>
        <v>3.2188758248682006</v>
      </c>
      <c r="J709" s="1">
        <f t="shared" si="51"/>
        <v>-0.65392646740666394</v>
      </c>
      <c r="K709" s="1">
        <f t="shared" si="52"/>
        <v>-4.908119730570661</v>
      </c>
    </row>
    <row r="710" spans="1:11">
      <c r="A710" s="483">
        <f t="shared" si="53"/>
        <v>704</v>
      </c>
      <c r="B710" s="694">
        <v>42506</v>
      </c>
      <c r="C710" s="764">
        <v>0.6645833333333333</v>
      </c>
      <c r="D710" s="763" t="s">
        <v>99</v>
      </c>
      <c r="E710" s="658" t="s">
        <v>161</v>
      </c>
      <c r="F710" s="763">
        <v>25</v>
      </c>
      <c r="G710" s="763">
        <v>0.31</v>
      </c>
      <c r="H710" s="794">
        <v>4.4034090909090906E-3</v>
      </c>
      <c r="I710" s="1">
        <f t="shared" si="50"/>
        <v>3.2188758248682006</v>
      </c>
      <c r="J710" s="1">
        <f t="shared" si="51"/>
        <v>-1.1711829815029451</v>
      </c>
      <c r="K710" s="1">
        <f t="shared" si="52"/>
        <v>-5.4253762446669418</v>
      </c>
    </row>
    <row r="711" spans="1:11">
      <c r="A711" s="483">
        <f t="shared" si="53"/>
        <v>705</v>
      </c>
      <c r="B711" s="694">
        <v>42506</v>
      </c>
      <c r="C711" s="764">
        <v>0.71250000000000002</v>
      </c>
      <c r="D711" s="763" t="s">
        <v>102</v>
      </c>
      <c r="E711" s="658" t="s">
        <v>161</v>
      </c>
      <c r="F711" s="763">
        <v>50</v>
      </c>
      <c r="G711" s="763">
        <v>0.2</v>
      </c>
      <c r="H711" s="794">
        <v>5.681818181818182E-3</v>
      </c>
      <c r="I711" s="1">
        <f t="shared" si="50"/>
        <v>3.912023005428146</v>
      </c>
      <c r="J711" s="1">
        <f t="shared" si="51"/>
        <v>-1.6094379124341003</v>
      </c>
      <c r="K711" s="1">
        <f t="shared" si="52"/>
        <v>-5.1704839950381514</v>
      </c>
    </row>
    <row r="712" spans="1:11">
      <c r="A712" s="483">
        <f t="shared" si="53"/>
        <v>706</v>
      </c>
      <c r="B712" s="694">
        <v>42506</v>
      </c>
      <c r="C712" s="764">
        <v>0.82777777777777783</v>
      </c>
      <c r="D712" s="763" t="s">
        <v>111</v>
      </c>
      <c r="E712" s="658" t="s">
        <v>161</v>
      </c>
      <c r="F712" s="763">
        <v>25</v>
      </c>
      <c r="G712" s="763">
        <v>0.1</v>
      </c>
      <c r="H712" s="794">
        <v>1.4204545454545455E-3</v>
      </c>
      <c r="I712" s="1">
        <f t="shared" ref="I712:I718" si="58">LN(F712)</f>
        <v>3.2188758248682006</v>
      </c>
      <c r="J712" s="1">
        <f t="shared" ref="J712:J718" si="59">LN(G712)</f>
        <v>-2.3025850929940455</v>
      </c>
      <c r="K712" s="1">
        <f t="shared" ref="K712:K718" si="60">LN(H712)</f>
        <v>-6.5567783561580422</v>
      </c>
    </row>
    <row r="713" spans="1:11">
      <c r="A713" s="483">
        <f t="shared" ref="A713:A777" si="61">+A712+1</f>
        <v>707</v>
      </c>
      <c r="B713" s="694">
        <v>42506</v>
      </c>
      <c r="C713" s="764">
        <v>0.83750000000000002</v>
      </c>
      <c r="D713" s="763" t="s">
        <v>111</v>
      </c>
      <c r="E713" s="658" t="s">
        <v>161</v>
      </c>
      <c r="F713" s="763">
        <v>25</v>
      </c>
      <c r="G713" s="763">
        <v>9.42</v>
      </c>
      <c r="H713" s="794">
        <v>0.13380681818181817</v>
      </c>
      <c r="I713" s="1">
        <f t="shared" si="58"/>
        <v>3.2188758248682006</v>
      </c>
      <c r="J713" s="1">
        <f t="shared" si="59"/>
        <v>2.2428350885882717</v>
      </c>
      <c r="K713" s="1">
        <f t="shared" si="60"/>
        <v>-2.011358174575725</v>
      </c>
    </row>
    <row r="714" spans="1:11">
      <c r="A714" s="483">
        <f t="shared" si="61"/>
        <v>708</v>
      </c>
      <c r="B714" s="694">
        <v>42506</v>
      </c>
      <c r="C714" s="764">
        <v>0.85763888888888884</v>
      </c>
      <c r="D714" s="763" t="s">
        <v>111</v>
      </c>
      <c r="E714" s="658" t="s">
        <v>161</v>
      </c>
      <c r="F714" s="763">
        <v>50</v>
      </c>
      <c r="G714" s="763">
        <v>0.15</v>
      </c>
      <c r="H714" s="794">
        <v>4.261363636363636E-3</v>
      </c>
      <c r="I714" s="1">
        <f t="shared" si="58"/>
        <v>3.912023005428146</v>
      </c>
      <c r="J714" s="1">
        <f t="shared" si="59"/>
        <v>-1.8971199848858813</v>
      </c>
      <c r="K714" s="1">
        <f t="shared" si="60"/>
        <v>-5.458166067489933</v>
      </c>
    </row>
    <row r="715" spans="1:11">
      <c r="A715" s="483">
        <f t="shared" si="61"/>
        <v>709</v>
      </c>
      <c r="B715" s="694">
        <v>42512</v>
      </c>
      <c r="C715" s="764">
        <v>0.6875</v>
      </c>
      <c r="D715" s="763" t="s">
        <v>120</v>
      </c>
      <c r="E715" s="658" t="s">
        <v>161</v>
      </c>
      <c r="F715" s="763">
        <v>25</v>
      </c>
      <c r="G715" s="763">
        <v>0.36</v>
      </c>
      <c r="H715" s="794">
        <v>5.1136363636363636E-3</v>
      </c>
      <c r="I715" s="1">
        <f t="shared" si="58"/>
        <v>3.2188758248682006</v>
      </c>
      <c r="J715" s="1">
        <f t="shared" si="59"/>
        <v>-1.0216512475319814</v>
      </c>
      <c r="K715" s="1">
        <f t="shared" si="60"/>
        <v>-5.2758445106959782</v>
      </c>
    </row>
    <row r="716" spans="1:11">
      <c r="A716" s="483">
        <f t="shared" si="61"/>
        <v>710</v>
      </c>
      <c r="B716" s="694">
        <v>42512</v>
      </c>
      <c r="C716" s="764">
        <v>0.73888888888888893</v>
      </c>
      <c r="D716" s="763" t="s">
        <v>105</v>
      </c>
      <c r="E716" s="658" t="s">
        <v>161</v>
      </c>
      <c r="F716" s="763">
        <v>75</v>
      </c>
      <c r="G716" s="763">
        <v>2.5</v>
      </c>
      <c r="H716" s="794">
        <v>0.1065340909090909</v>
      </c>
      <c r="I716" s="1">
        <f t="shared" si="58"/>
        <v>4.3174881135363101</v>
      </c>
      <c r="J716" s="1">
        <f t="shared" si="59"/>
        <v>0.91629073187415511</v>
      </c>
      <c r="K716" s="1">
        <f t="shared" si="60"/>
        <v>-2.239290242621732</v>
      </c>
    </row>
    <row r="717" spans="1:11">
      <c r="A717" s="483">
        <f t="shared" si="61"/>
        <v>711</v>
      </c>
      <c r="B717" s="694">
        <v>42512</v>
      </c>
      <c r="C717" s="764">
        <v>0.78402777777777777</v>
      </c>
      <c r="D717" s="763" t="s">
        <v>105</v>
      </c>
      <c r="E717" s="658" t="s">
        <v>161</v>
      </c>
      <c r="F717" s="763">
        <v>50</v>
      </c>
      <c r="G717" s="763">
        <v>0.25</v>
      </c>
      <c r="H717" s="794">
        <v>7.102272727272727E-3</v>
      </c>
      <c r="I717" s="1">
        <f t="shared" si="58"/>
        <v>3.912023005428146</v>
      </c>
      <c r="J717" s="1">
        <f t="shared" si="59"/>
        <v>-1.3862943611198906</v>
      </c>
      <c r="K717" s="1">
        <f t="shared" si="60"/>
        <v>-4.9473404437239417</v>
      </c>
    </row>
    <row r="718" spans="1:11">
      <c r="A718" s="483">
        <f t="shared" si="61"/>
        <v>712</v>
      </c>
      <c r="B718" s="694">
        <v>42512</v>
      </c>
      <c r="C718" s="764">
        <v>0.82291666666666663</v>
      </c>
      <c r="D718" s="763" t="s">
        <v>105</v>
      </c>
      <c r="E718" s="658" t="s">
        <v>161</v>
      </c>
      <c r="F718" s="763">
        <v>50</v>
      </c>
      <c r="G718" s="763">
        <v>0.1</v>
      </c>
      <c r="H718" s="794">
        <v>2.840909090909091E-3</v>
      </c>
      <c r="I718" s="1">
        <f t="shared" si="58"/>
        <v>3.912023005428146</v>
      </c>
      <c r="J718" s="1">
        <f t="shared" si="59"/>
        <v>-2.3025850929940455</v>
      </c>
      <c r="K718" s="1">
        <f t="shared" si="60"/>
        <v>-5.8636311755980968</v>
      </c>
    </row>
    <row r="719" spans="1:11">
      <c r="A719" s="483">
        <f t="shared" si="61"/>
        <v>713</v>
      </c>
      <c r="B719" s="694">
        <v>42514</v>
      </c>
      <c r="C719" s="764">
        <v>0.73888888888888893</v>
      </c>
      <c r="D719" s="763" t="s">
        <v>109</v>
      </c>
      <c r="E719" s="658" t="s">
        <v>161</v>
      </c>
      <c r="F719" s="763">
        <v>25</v>
      </c>
      <c r="G719" s="763">
        <v>0.36</v>
      </c>
      <c r="H719" s="794">
        <v>5.1136363636363636E-3</v>
      </c>
      <c r="I719" s="1">
        <f t="shared" ref="I719:I783" si="62">LN(F719)</f>
        <v>3.2188758248682006</v>
      </c>
      <c r="J719" s="1">
        <f t="shared" ref="J719:J783" si="63">LN(G719)</f>
        <v>-1.0216512475319814</v>
      </c>
      <c r="K719" s="1">
        <f t="shared" ref="K719:K783" si="64">LN(H719)</f>
        <v>-5.2758445106959782</v>
      </c>
    </row>
    <row r="720" spans="1:11">
      <c r="A720" s="483">
        <f t="shared" si="61"/>
        <v>714</v>
      </c>
      <c r="B720" s="694">
        <v>42516</v>
      </c>
      <c r="C720" s="764">
        <v>0.79861111111111116</v>
      </c>
      <c r="D720" s="763" t="s">
        <v>111</v>
      </c>
      <c r="E720" s="658" t="s">
        <v>161</v>
      </c>
      <c r="F720" s="763">
        <v>25</v>
      </c>
      <c r="G720" s="763">
        <v>0.11</v>
      </c>
      <c r="H720" s="794">
        <v>1.5624999999999999E-3</v>
      </c>
      <c r="I720" s="1">
        <f t="shared" si="62"/>
        <v>3.2188758248682006</v>
      </c>
      <c r="J720" s="1">
        <f t="shared" si="63"/>
        <v>-2.2072749131897207</v>
      </c>
      <c r="K720" s="1">
        <f t="shared" si="64"/>
        <v>-6.4614681763537174</v>
      </c>
    </row>
    <row r="721" spans="1:12">
      <c r="A721" s="483">
        <f t="shared" si="61"/>
        <v>715</v>
      </c>
      <c r="B721" s="694">
        <v>42534</v>
      </c>
      <c r="C721" s="764">
        <v>0.79583333333333339</v>
      </c>
      <c r="D721" s="763" t="s">
        <v>108</v>
      </c>
      <c r="E721" s="658" t="s">
        <v>161</v>
      </c>
      <c r="F721" s="763">
        <v>50</v>
      </c>
      <c r="G721" s="763">
        <v>0.3</v>
      </c>
      <c r="H721" s="794">
        <v>8.5227272727272721E-3</v>
      </c>
      <c r="I721" s="1">
        <f t="shared" si="62"/>
        <v>3.912023005428146</v>
      </c>
      <c r="J721" s="1">
        <f t="shared" si="63"/>
        <v>-1.2039728043259361</v>
      </c>
      <c r="K721" s="1">
        <f t="shared" si="64"/>
        <v>-4.7650188869299877</v>
      </c>
      <c r="L721" s="1"/>
    </row>
    <row r="722" spans="1:12">
      <c r="A722" s="483">
        <f t="shared" si="61"/>
        <v>716</v>
      </c>
      <c r="B722" s="694">
        <v>42622</v>
      </c>
      <c r="C722" s="764">
        <v>0.72222222222222221</v>
      </c>
      <c r="D722" s="763" t="s">
        <v>104</v>
      </c>
      <c r="E722" s="658" t="s">
        <v>161</v>
      </c>
      <c r="F722" s="763">
        <v>15</v>
      </c>
      <c r="G722" s="763">
        <v>0.28000000000000003</v>
      </c>
      <c r="H722" s="794">
        <v>2.3863636363636366E-3</v>
      </c>
      <c r="I722" s="1">
        <f t="shared" si="62"/>
        <v>2.7080502011022101</v>
      </c>
      <c r="J722" s="1">
        <f t="shared" si="63"/>
        <v>-1.2729656758128873</v>
      </c>
      <c r="K722" s="1">
        <f t="shared" si="64"/>
        <v>-6.0379845627428752</v>
      </c>
      <c r="L722" s="1"/>
    </row>
    <row r="723" spans="1:12">
      <c r="A723" s="483">
        <f t="shared" si="61"/>
        <v>717</v>
      </c>
      <c r="B723" s="694">
        <v>42630</v>
      </c>
      <c r="C723" s="764">
        <v>0.8618055555555556</v>
      </c>
      <c r="D723" s="763" t="s">
        <v>108</v>
      </c>
      <c r="E723" s="658" t="s">
        <v>161</v>
      </c>
      <c r="F723" s="763">
        <v>15</v>
      </c>
      <c r="G723" s="763">
        <v>0.01</v>
      </c>
      <c r="H723" s="794">
        <v>8.522727272727272E-5</v>
      </c>
      <c r="I723" s="1">
        <f t="shared" si="62"/>
        <v>2.7080502011022101</v>
      </c>
      <c r="J723" s="1">
        <f t="shared" si="63"/>
        <v>-4.6051701859880909</v>
      </c>
      <c r="K723" s="1">
        <f t="shared" si="64"/>
        <v>-9.3701890729180786</v>
      </c>
    </row>
    <row r="724" spans="1:12">
      <c r="A724" s="483">
        <f t="shared" si="61"/>
        <v>718</v>
      </c>
      <c r="B724" s="694">
        <v>42630</v>
      </c>
      <c r="C724" s="764">
        <v>0.86597222222222225</v>
      </c>
      <c r="D724" s="763" t="s">
        <v>108</v>
      </c>
      <c r="E724" s="658" t="s">
        <v>161</v>
      </c>
      <c r="F724" s="763">
        <v>150</v>
      </c>
      <c r="G724" s="763">
        <v>1.17</v>
      </c>
      <c r="H724" s="794">
        <v>9.9715909090909077E-2</v>
      </c>
      <c r="I724" s="1">
        <f t="shared" si="62"/>
        <v>5.0106352940962555</v>
      </c>
      <c r="J724" s="1">
        <f t="shared" si="63"/>
        <v>0.15700374880966469</v>
      </c>
      <c r="K724" s="1">
        <f t="shared" si="64"/>
        <v>-2.3054300451262772</v>
      </c>
    </row>
    <row r="725" spans="1:12">
      <c r="A725" s="483">
        <f t="shared" si="61"/>
        <v>719</v>
      </c>
      <c r="B725" s="694">
        <v>42822</v>
      </c>
      <c r="C725" s="764">
        <v>0.70624999999999993</v>
      </c>
      <c r="D725" s="793" t="s">
        <v>121</v>
      </c>
      <c r="E725" s="658" t="s">
        <v>161</v>
      </c>
      <c r="F725" s="763">
        <v>50</v>
      </c>
      <c r="G725" s="763">
        <v>3.1</v>
      </c>
      <c r="H725" s="794">
        <f t="shared" ref="H725:H733" si="65">+(F725/1760)*G725</f>
        <v>8.8068181818181823E-2</v>
      </c>
      <c r="I725" s="1">
        <f t="shared" si="62"/>
        <v>3.912023005428146</v>
      </c>
      <c r="J725" s="1">
        <f t="shared" si="63"/>
        <v>1.1314021114911006</v>
      </c>
      <c r="K725" s="1">
        <f t="shared" si="64"/>
        <v>-2.4296439711129509</v>
      </c>
      <c r="L725" s="305"/>
    </row>
    <row r="726" spans="1:12">
      <c r="A726" s="483">
        <f t="shared" si="61"/>
        <v>720</v>
      </c>
      <c r="B726" s="694">
        <v>42871</v>
      </c>
      <c r="C726" s="764">
        <v>0.57291666666666663</v>
      </c>
      <c r="D726" s="495" t="s">
        <v>101</v>
      </c>
      <c r="E726" s="658" t="s">
        <v>161</v>
      </c>
      <c r="F726" s="763">
        <v>25</v>
      </c>
      <c r="G726" s="763">
        <v>0.09</v>
      </c>
      <c r="H726" s="794">
        <f t="shared" si="65"/>
        <v>1.2784090909090909E-3</v>
      </c>
      <c r="I726" s="1">
        <f t="shared" si="62"/>
        <v>3.2188758248682006</v>
      </c>
      <c r="J726" s="1">
        <f t="shared" si="63"/>
        <v>-2.4079456086518722</v>
      </c>
      <c r="K726" s="1">
        <f t="shared" si="64"/>
        <v>-6.6621388718158689</v>
      </c>
      <c r="L726" s="1"/>
    </row>
    <row r="727" spans="1:12">
      <c r="A727" s="483">
        <f t="shared" si="61"/>
        <v>721</v>
      </c>
      <c r="B727" s="694">
        <v>42871</v>
      </c>
      <c r="C727" s="764">
        <v>0.58611111111111114</v>
      </c>
      <c r="D727" s="495" t="s">
        <v>104</v>
      </c>
      <c r="E727" s="658" t="s">
        <v>161</v>
      </c>
      <c r="F727" s="763">
        <v>25</v>
      </c>
      <c r="G727" s="763">
        <v>0.09</v>
      </c>
      <c r="H727" s="794">
        <f t="shared" si="65"/>
        <v>1.2784090909090909E-3</v>
      </c>
      <c r="I727" s="1">
        <f t="shared" si="62"/>
        <v>3.2188758248682006</v>
      </c>
      <c r="J727" s="1">
        <f t="shared" si="63"/>
        <v>-2.4079456086518722</v>
      </c>
      <c r="K727" s="1">
        <f t="shared" si="64"/>
        <v>-6.6621388718158689</v>
      </c>
      <c r="L727" s="305"/>
    </row>
    <row r="728" spans="1:12">
      <c r="A728" s="483">
        <f t="shared" si="61"/>
        <v>722</v>
      </c>
      <c r="B728" s="694">
        <v>42871</v>
      </c>
      <c r="C728" s="764">
        <v>0.65208333333333335</v>
      </c>
      <c r="D728" s="495" t="s">
        <v>120</v>
      </c>
      <c r="E728" s="658" t="s">
        <v>161</v>
      </c>
      <c r="F728" s="763">
        <v>50</v>
      </c>
      <c r="G728" s="763">
        <v>1.39</v>
      </c>
      <c r="H728" s="794">
        <f t="shared" si="65"/>
        <v>3.9488636363636358E-2</v>
      </c>
      <c r="I728" s="1">
        <f t="shared" si="62"/>
        <v>3.912023005428146</v>
      </c>
      <c r="J728" s="1">
        <f t="shared" si="63"/>
        <v>0.3293037471426003</v>
      </c>
      <c r="K728" s="1">
        <f t="shared" si="64"/>
        <v>-3.2317423354614512</v>
      </c>
    </row>
    <row r="729" spans="1:12">
      <c r="A729" s="483">
        <f t="shared" si="61"/>
        <v>723</v>
      </c>
      <c r="B729" s="694">
        <v>42871</v>
      </c>
      <c r="C729" s="764">
        <v>0.66180555555555554</v>
      </c>
      <c r="D729" s="495" t="s">
        <v>116</v>
      </c>
      <c r="E729" s="658" t="s">
        <v>161</v>
      </c>
      <c r="F729" s="763">
        <v>25</v>
      </c>
      <c r="G729" s="763">
        <v>0.06</v>
      </c>
      <c r="H729" s="794">
        <f t="shared" si="65"/>
        <v>8.5227272727272723E-4</v>
      </c>
      <c r="I729" s="1">
        <f t="shared" si="62"/>
        <v>3.2188758248682006</v>
      </c>
      <c r="J729" s="1">
        <f t="shared" si="63"/>
        <v>-2.8134107167600364</v>
      </c>
      <c r="K729" s="1">
        <f t="shared" si="64"/>
        <v>-7.0676039799240336</v>
      </c>
    </row>
    <row r="730" spans="1:12">
      <c r="A730" s="483">
        <f t="shared" si="61"/>
        <v>724</v>
      </c>
      <c r="B730" s="694">
        <v>42871</v>
      </c>
      <c r="C730" s="764">
        <v>0.70416666666666661</v>
      </c>
      <c r="D730" s="495" t="s">
        <v>121</v>
      </c>
      <c r="E730" s="658" t="s">
        <v>161</v>
      </c>
      <c r="F730" s="763">
        <v>25</v>
      </c>
      <c r="G730" s="763">
        <v>0.28999999999999998</v>
      </c>
      <c r="H730" s="794">
        <f t="shared" si="65"/>
        <v>4.1193181818181815E-3</v>
      </c>
      <c r="I730" s="1">
        <f t="shared" si="62"/>
        <v>3.2188758248682006</v>
      </c>
      <c r="J730" s="1">
        <f t="shared" si="63"/>
        <v>-1.2378743560016174</v>
      </c>
      <c r="K730" s="1">
        <f t="shared" si="64"/>
        <v>-5.4920676191656144</v>
      </c>
    </row>
    <row r="731" spans="1:12">
      <c r="A731" s="483">
        <f t="shared" si="61"/>
        <v>725</v>
      </c>
      <c r="B731" s="694">
        <v>42871</v>
      </c>
      <c r="C731" s="764">
        <v>0.70138888888888884</v>
      </c>
      <c r="D731" s="495" t="s">
        <v>121</v>
      </c>
      <c r="E731" s="658" t="s">
        <v>161</v>
      </c>
      <c r="F731" s="763">
        <v>25</v>
      </c>
      <c r="G731" s="763">
        <v>2.2599999999999998</v>
      </c>
      <c r="H731" s="794">
        <f t="shared" si="65"/>
        <v>3.2102272727272722E-2</v>
      </c>
      <c r="I731" s="1">
        <f t="shared" si="62"/>
        <v>3.2188758248682006</v>
      </c>
      <c r="J731" s="1">
        <f t="shared" si="63"/>
        <v>0.81536481328419441</v>
      </c>
      <c r="K731" s="1">
        <f t="shared" si="64"/>
        <v>-3.4388284498798023</v>
      </c>
    </row>
    <row r="732" spans="1:12">
      <c r="A732" s="483">
        <f t="shared" si="61"/>
        <v>726</v>
      </c>
      <c r="B732" s="694">
        <v>42911</v>
      </c>
      <c r="C732" s="764">
        <v>0.73125000000000007</v>
      </c>
      <c r="D732" s="495" t="s">
        <v>99</v>
      </c>
      <c r="E732" s="658" t="s">
        <v>161</v>
      </c>
      <c r="F732" s="763">
        <v>10</v>
      </c>
      <c r="G732" s="763">
        <v>0.1</v>
      </c>
      <c r="H732" s="794">
        <f t="shared" si="65"/>
        <v>5.6818181818181826E-4</v>
      </c>
      <c r="I732" s="1">
        <f t="shared" si="62"/>
        <v>2.3025850929940459</v>
      </c>
      <c r="J732" s="1">
        <f t="shared" si="63"/>
        <v>-2.3025850929940455</v>
      </c>
      <c r="K732" s="1">
        <f t="shared" si="64"/>
        <v>-7.4730690880321973</v>
      </c>
    </row>
    <row r="733" spans="1:12">
      <c r="A733" s="483">
        <f t="shared" si="61"/>
        <v>727</v>
      </c>
      <c r="B733" s="694">
        <v>42960</v>
      </c>
      <c r="C733" s="764">
        <v>0.79166666666666663</v>
      </c>
      <c r="D733" s="495" t="s">
        <v>113</v>
      </c>
      <c r="E733" s="658" t="s">
        <v>161</v>
      </c>
      <c r="F733" s="763">
        <v>20</v>
      </c>
      <c r="G733" s="763">
        <v>0.09</v>
      </c>
      <c r="H733" s="795">
        <f t="shared" si="65"/>
        <v>1.0227272727272728E-3</v>
      </c>
      <c r="I733" s="1">
        <f t="shared" si="62"/>
        <v>2.9957322735539909</v>
      </c>
      <c r="J733" s="1">
        <f t="shared" si="63"/>
        <v>-2.4079456086518722</v>
      </c>
      <c r="K733" s="1">
        <f t="shared" si="64"/>
        <v>-6.8852824231300787</v>
      </c>
    </row>
    <row r="734" spans="1:12">
      <c r="A734" s="483">
        <f t="shared" si="61"/>
        <v>728</v>
      </c>
      <c r="B734" s="694">
        <v>43177</v>
      </c>
      <c r="C734" s="764">
        <v>0.77013888888888893</v>
      </c>
      <c r="D734" s="484" t="s">
        <v>104</v>
      </c>
      <c r="E734" s="472" t="s">
        <v>161</v>
      </c>
      <c r="F734" s="486">
        <v>25</v>
      </c>
      <c r="G734" s="611">
        <v>0.06</v>
      </c>
      <c r="H734" s="829">
        <f t="shared" ref="H734:H783" si="66">+(F734/1760)*G734</f>
        <v>8.5227272727272723E-4</v>
      </c>
      <c r="I734" s="1">
        <f t="shared" si="62"/>
        <v>3.2188758248682006</v>
      </c>
      <c r="J734" s="1">
        <f t="shared" si="63"/>
        <v>-2.8134107167600364</v>
      </c>
      <c r="K734" s="1">
        <f t="shared" si="64"/>
        <v>-7.0676039799240336</v>
      </c>
    </row>
    <row r="735" spans="1:12">
      <c r="A735" s="483">
        <f t="shared" si="61"/>
        <v>729</v>
      </c>
      <c r="B735" s="694">
        <v>43248</v>
      </c>
      <c r="C735" s="764">
        <v>0.77847222222222223</v>
      </c>
      <c r="D735" s="484" t="s">
        <v>100</v>
      </c>
      <c r="E735" s="472" t="s">
        <v>161</v>
      </c>
      <c r="F735" s="486">
        <v>50</v>
      </c>
      <c r="G735" s="611">
        <v>0.26</v>
      </c>
      <c r="H735" s="829">
        <f t="shared" si="66"/>
        <v>7.3863636363636362E-3</v>
      </c>
      <c r="I735" s="1">
        <f t="shared" si="62"/>
        <v>3.912023005428146</v>
      </c>
      <c r="J735" s="1">
        <f t="shared" si="63"/>
        <v>-1.3470736479666092</v>
      </c>
      <c r="K735" s="1">
        <f t="shared" si="64"/>
        <v>-4.908119730570661</v>
      </c>
    </row>
    <row r="736" spans="1:12">
      <c r="A736" s="483">
        <f t="shared" si="61"/>
        <v>730</v>
      </c>
      <c r="B736" s="694">
        <v>43249</v>
      </c>
      <c r="C736" s="764">
        <v>0.69166666666666676</v>
      </c>
      <c r="D736" s="495" t="s">
        <v>115</v>
      </c>
      <c r="E736" s="472" t="s">
        <v>161</v>
      </c>
      <c r="F736" s="486">
        <v>50</v>
      </c>
      <c r="G736" s="611">
        <v>0.1</v>
      </c>
      <c r="H736" s="829">
        <f t="shared" si="66"/>
        <v>2.840909090909091E-3</v>
      </c>
      <c r="I736" s="1">
        <f t="shared" si="62"/>
        <v>3.912023005428146</v>
      </c>
      <c r="J736" s="1">
        <f t="shared" si="63"/>
        <v>-2.3025850929940455</v>
      </c>
      <c r="K736" s="1">
        <f t="shared" si="64"/>
        <v>-5.8636311755980968</v>
      </c>
    </row>
    <row r="737" spans="1:11">
      <c r="A737" s="483">
        <f t="shared" si="61"/>
        <v>731</v>
      </c>
      <c r="B737" s="694">
        <v>43249</v>
      </c>
      <c r="C737" s="764">
        <v>0.71458333333333324</v>
      </c>
      <c r="D737" s="495" t="s">
        <v>116</v>
      </c>
      <c r="E737" s="472" t="s">
        <v>161</v>
      </c>
      <c r="F737" s="486">
        <v>50</v>
      </c>
      <c r="G737" s="611">
        <v>0.1</v>
      </c>
      <c r="H737" s="829">
        <f t="shared" si="66"/>
        <v>2.840909090909091E-3</v>
      </c>
      <c r="I737" s="1">
        <f t="shared" si="62"/>
        <v>3.912023005428146</v>
      </c>
      <c r="J737" s="1">
        <f t="shared" si="63"/>
        <v>-2.3025850929940455</v>
      </c>
      <c r="K737" s="1">
        <f t="shared" si="64"/>
        <v>-5.8636311755980968</v>
      </c>
    </row>
    <row r="738" spans="1:11">
      <c r="A738" s="483">
        <f t="shared" si="61"/>
        <v>732</v>
      </c>
      <c r="B738" s="485">
        <v>43263</v>
      </c>
      <c r="C738" s="473">
        <v>0.7402777777777777</v>
      </c>
      <c r="D738" s="495" t="s">
        <v>114</v>
      </c>
      <c r="E738" s="472" t="s">
        <v>161</v>
      </c>
      <c r="F738" s="486">
        <v>10</v>
      </c>
      <c r="G738" s="611">
        <v>0.1</v>
      </c>
      <c r="H738" s="829">
        <f t="shared" si="66"/>
        <v>5.6818181818181826E-4</v>
      </c>
      <c r="I738" s="1">
        <f t="shared" si="62"/>
        <v>2.3025850929940459</v>
      </c>
      <c r="J738" s="1">
        <f t="shared" si="63"/>
        <v>-2.3025850929940455</v>
      </c>
      <c r="K738" s="1">
        <f t="shared" si="64"/>
        <v>-7.4730690880321973</v>
      </c>
    </row>
    <row r="739" spans="1:11">
      <c r="A739" s="483">
        <f t="shared" si="61"/>
        <v>733</v>
      </c>
      <c r="B739" s="485">
        <v>43273</v>
      </c>
      <c r="C739" s="473">
        <v>0.76180555555555562</v>
      </c>
      <c r="D739" s="495" t="s">
        <v>101</v>
      </c>
      <c r="E739" s="472" t="s">
        <v>161</v>
      </c>
      <c r="F739" s="486">
        <v>10</v>
      </c>
      <c r="G739" s="611">
        <v>0.06</v>
      </c>
      <c r="H739" s="829">
        <f t="shared" si="66"/>
        <v>3.4090909090909088E-4</v>
      </c>
      <c r="I739" s="1">
        <f t="shared" si="62"/>
        <v>2.3025850929940459</v>
      </c>
      <c r="J739" s="1">
        <f t="shared" si="63"/>
        <v>-2.8134107167600364</v>
      </c>
      <c r="K739" s="1">
        <f t="shared" si="64"/>
        <v>-7.9838947117981887</v>
      </c>
    </row>
    <row r="740" spans="1:11">
      <c r="A740" s="483">
        <f t="shared" si="61"/>
        <v>734</v>
      </c>
      <c r="B740" s="485">
        <v>43273</v>
      </c>
      <c r="C740" s="473">
        <v>0.88958333333333339</v>
      </c>
      <c r="D740" s="495" t="s">
        <v>116</v>
      </c>
      <c r="E740" s="472" t="s">
        <v>161</v>
      </c>
      <c r="F740" s="486">
        <v>50</v>
      </c>
      <c r="G740" s="611">
        <v>0.53</v>
      </c>
      <c r="H740" s="829">
        <f t="shared" si="66"/>
        <v>1.5056818181818182E-2</v>
      </c>
      <c r="I740" s="1">
        <f t="shared" si="62"/>
        <v>3.912023005428146</v>
      </c>
      <c r="J740" s="1">
        <f t="shared" si="63"/>
        <v>-0.6348782724359695</v>
      </c>
      <c r="K740" s="1">
        <f t="shared" si="64"/>
        <v>-4.1959243550400211</v>
      </c>
    </row>
    <row r="741" spans="1:11">
      <c r="A741" s="483">
        <f t="shared" si="61"/>
        <v>735</v>
      </c>
      <c r="B741" s="485">
        <v>43460</v>
      </c>
      <c r="C741" s="473">
        <v>0.68333333333333324</v>
      </c>
      <c r="D741" s="495" t="s">
        <v>120</v>
      </c>
      <c r="E741" s="472" t="s">
        <v>161</v>
      </c>
      <c r="F741" s="486">
        <v>100</v>
      </c>
      <c r="G741" s="611">
        <v>0.6</v>
      </c>
      <c r="H741" s="829">
        <f t="shared" si="66"/>
        <v>3.4090909090909088E-2</v>
      </c>
      <c r="I741" s="1">
        <f t="shared" si="62"/>
        <v>4.6051701859880918</v>
      </c>
      <c r="J741" s="1">
        <f t="shared" si="63"/>
        <v>-0.51082562376599072</v>
      </c>
      <c r="K741" s="1">
        <f t="shared" si="64"/>
        <v>-3.3787245258100969</v>
      </c>
    </row>
    <row r="742" spans="1:11">
      <c r="A742" s="483">
        <f t="shared" si="61"/>
        <v>736</v>
      </c>
      <c r="B742" s="694">
        <v>43546</v>
      </c>
      <c r="C742" s="764">
        <v>0.67499999999999993</v>
      </c>
      <c r="D742" s="763" t="s">
        <v>108</v>
      </c>
      <c r="E742" s="658" t="s">
        <v>161</v>
      </c>
      <c r="F742" s="763">
        <v>200</v>
      </c>
      <c r="G742" s="763">
        <v>1.48</v>
      </c>
      <c r="H742" s="829">
        <f t="shared" si="66"/>
        <v>0.16818181818181818</v>
      </c>
      <c r="I742" s="1">
        <f t="shared" si="62"/>
        <v>5.2983173665480363</v>
      </c>
      <c r="J742" s="1">
        <f t="shared" si="63"/>
        <v>0.39204208777602367</v>
      </c>
      <c r="K742" s="1">
        <f t="shared" si="64"/>
        <v>-1.7827096337081372</v>
      </c>
    </row>
    <row r="743" spans="1:11">
      <c r="A743" s="483">
        <f t="shared" si="61"/>
        <v>737</v>
      </c>
      <c r="B743" s="694">
        <v>43546</v>
      </c>
      <c r="C743" s="764">
        <v>0.69652777777777775</v>
      </c>
      <c r="D743" s="763" t="s">
        <v>112</v>
      </c>
      <c r="E743" s="658" t="s">
        <v>161</v>
      </c>
      <c r="F743" s="763">
        <v>40</v>
      </c>
      <c r="G743" s="763">
        <v>0.64</v>
      </c>
      <c r="H743" s="829">
        <f t="shared" si="66"/>
        <v>1.4545454545454545E-2</v>
      </c>
      <c r="I743" s="1">
        <f t="shared" si="62"/>
        <v>3.6888794541139363</v>
      </c>
      <c r="J743" s="1">
        <f t="shared" si="63"/>
        <v>-0.44628710262841947</v>
      </c>
      <c r="K743" s="1">
        <f t="shared" si="64"/>
        <v>-4.2304767365466809</v>
      </c>
    </row>
    <row r="744" spans="1:11">
      <c r="A744" s="483">
        <f t="shared" si="61"/>
        <v>738</v>
      </c>
      <c r="B744" s="694">
        <v>43546</v>
      </c>
      <c r="C744" s="764">
        <v>0.7895833333333333</v>
      </c>
      <c r="D744" s="763" t="s">
        <v>118</v>
      </c>
      <c r="E744" s="658" t="s">
        <v>161</v>
      </c>
      <c r="F744" s="763">
        <v>50</v>
      </c>
      <c r="G744" s="763">
        <v>2.08</v>
      </c>
      <c r="H744" s="829">
        <f t="shared" si="66"/>
        <v>5.909090909090909E-2</v>
      </c>
      <c r="I744" s="1">
        <f t="shared" si="62"/>
        <v>3.912023005428146</v>
      </c>
      <c r="J744" s="1">
        <f t="shared" si="63"/>
        <v>0.73236789371322664</v>
      </c>
      <c r="K744" s="1">
        <f t="shared" si="64"/>
        <v>-2.8286781888908248</v>
      </c>
    </row>
    <row r="745" spans="1:11">
      <c r="A745" s="483">
        <f t="shared" si="61"/>
        <v>739</v>
      </c>
      <c r="B745" s="694">
        <v>43572</v>
      </c>
      <c r="C745" s="764">
        <v>0.61041666666666672</v>
      </c>
      <c r="D745" s="763" t="s">
        <v>111</v>
      </c>
      <c r="E745" s="658" t="s">
        <v>161</v>
      </c>
      <c r="F745" s="763">
        <v>30</v>
      </c>
      <c r="G745" s="763">
        <v>2.4300000000000002</v>
      </c>
      <c r="H745" s="829">
        <f t="shared" si="66"/>
        <v>4.1420454545454545E-2</v>
      </c>
      <c r="I745" s="1">
        <f t="shared" si="62"/>
        <v>3.4011973816621555</v>
      </c>
      <c r="J745" s="1">
        <f t="shared" si="63"/>
        <v>0.88789125735245711</v>
      </c>
      <c r="K745" s="1">
        <f t="shared" si="64"/>
        <v>-3.1839804490175849</v>
      </c>
    </row>
    <row r="746" spans="1:11">
      <c r="A746" s="483">
        <f t="shared" si="61"/>
        <v>740</v>
      </c>
      <c r="B746" s="694">
        <v>43572</v>
      </c>
      <c r="C746" s="764">
        <v>0.62083333333333335</v>
      </c>
      <c r="D746" s="763" t="s">
        <v>111</v>
      </c>
      <c r="E746" s="658" t="s">
        <v>161</v>
      </c>
      <c r="F746" s="763">
        <v>40</v>
      </c>
      <c r="G746" s="763">
        <v>4.13</v>
      </c>
      <c r="H746" s="829">
        <f t="shared" si="66"/>
        <v>9.3863636363636357E-2</v>
      </c>
      <c r="I746" s="1">
        <f t="shared" si="62"/>
        <v>3.6888794541139363</v>
      </c>
      <c r="J746" s="1">
        <f t="shared" si="63"/>
        <v>1.4182774069729414</v>
      </c>
      <c r="K746" s="1">
        <f t="shared" si="64"/>
        <v>-2.3659122269453197</v>
      </c>
    </row>
    <row r="747" spans="1:11">
      <c r="A747" s="483">
        <f t="shared" si="61"/>
        <v>741</v>
      </c>
      <c r="B747" s="694">
        <v>43572</v>
      </c>
      <c r="C747" s="764">
        <v>0.64513888888888882</v>
      </c>
      <c r="D747" s="763" t="s">
        <v>106</v>
      </c>
      <c r="E747" s="658" t="s">
        <v>161</v>
      </c>
      <c r="F747" s="763">
        <v>30</v>
      </c>
      <c r="G747" s="763">
        <v>1.06</v>
      </c>
      <c r="H747" s="829">
        <f t="shared" si="66"/>
        <v>1.8068181818181817E-2</v>
      </c>
      <c r="I747" s="1">
        <f t="shared" si="62"/>
        <v>3.4011973816621555</v>
      </c>
      <c r="J747" s="1">
        <f t="shared" si="63"/>
        <v>5.8268908123975824E-2</v>
      </c>
      <c r="K747" s="1">
        <f t="shared" si="64"/>
        <v>-4.0136027982460662</v>
      </c>
    </row>
    <row r="748" spans="1:11">
      <c r="A748" s="483">
        <f t="shared" si="61"/>
        <v>742</v>
      </c>
      <c r="B748" s="694">
        <v>43572</v>
      </c>
      <c r="C748" s="764">
        <v>0.67013888888888884</v>
      </c>
      <c r="D748" s="763" t="s">
        <v>114</v>
      </c>
      <c r="E748" s="658" t="s">
        <v>161</v>
      </c>
      <c r="F748" s="763">
        <v>20</v>
      </c>
      <c r="G748" s="763">
        <v>1.97</v>
      </c>
      <c r="H748" s="829">
        <f t="shared" si="66"/>
        <v>2.2386363636363638E-2</v>
      </c>
      <c r="I748" s="1">
        <f t="shared" si="62"/>
        <v>2.9957322735539909</v>
      </c>
      <c r="J748" s="1">
        <f t="shared" si="63"/>
        <v>0.67803354274989713</v>
      </c>
      <c r="K748" s="1">
        <f t="shared" si="64"/>
        <v>-3.7993032717283093</v>
      </c>
    </row>
    <row r="749" spans="1:11">
      <c r="A749" s="483">
        <f t="shared" si="61"/>
        <v>743</v>
      </c>
      <c r="B749" s="694">
        <v>43589</v>
      </c>
      <c r="C749" s="764">
        <v>0.76944444444444438</v>
      </c>
      <c r="D749" s="763" t="s">
        <v>112</v>
      </c>
      <c r="E749" s="658" t="s">
        <v>161</v>
      </c>
      <c r="F749" s="763">
        <v>10</v>
      </c>
      <c r="G749" s="763">
        <v>0.09</v>
      </c>
      <c r="H749" s="829">
        <f t="shared" si="66"/>
        <v>5.113636363636364E-4</v>
      </c>
      <c r="I749" s="1">
        <f t="shared" si="62"/>
        <v>2.3025850929940459</v>
      </c>
      <c r="J749" s="1">
        <f t="shared" si="63"/>
        <v>-2.4079456086518722</v>
      </c>
      <c r="K749" s="1">
        <f t="shared" si="64"/>
        <v>-7.5784296036900241</v>
      </c>
    </row>
    <row r="750" spans="1:11">
      <c r="A750" s="483">
        <f t="shared" si="61"/>
        <v>744</v>
      </c>
      <c r="B750" s="694">
        <v>43590</v>
      </c>
      <c r="C750" s="764">
        <v>0.8256944444444444</v>
      </c>
      <c r="D750" s="763" t="s">
        <v>110</v>
      </c>
      <c r="E750" s="658" t="s">
        <v>161</v>
      </c>
      <c r="F750" s="763">
        <v>500</v>
      </c>
      <c r="G750" s="763">
        <v>6.4</v>
      </c>
      <c r="H750" s="829">
        <f t="shared" si="66"/>
        <v>1.8181818181818183</v>
      </c>
      <c r="I750" s="1">
        <f t="shared" si="62"/>
        <v>6.2146080984221914</v>
      </c>
      <c r="J750" s="1">
        <f t="shared" si="63"/>
        <v>1.8562979903656263</v>
      </c>
      <c r="K750" s="1">
        <f t="shared" si="64"/>
        <v>0.59783700075562052</v>
      </c>
    </row>
    <row r="751" spans="1:11">
      <c r="A751" s="483">
        <f t="shared" si="61"/>
        <v>745</v>
      </c>
      <c r="B751" s="694">
        <v>43592</v>
      </c>
      <c r="C751" s="764">
        <v>0.60833333333333328</v>
      </c>
      <c r="D751" s="763" t="s">
        <v>109</v>
      </c>
      <c r="E751" s="658" t="s">
        <v>161</v>
      </c>
      <c r="F751" s="763">
        <v>100</v>
      </c>
      <c r="G751" s="763">
        <v>1.1399999999999999</v>
      </c>
      <c r="H751" s="829">
        <f t="shared" si="66"/>
        <v>6.477272727272726E-2</v>
      </c>
      <c r="I751" s="1">
        <f t="shared" si="62"/>
        <v>4.6051701859880918</v>
      </c>
      <c r="J751" s="1">
        <f t="shared" si="63"/>
        <v>0.131028262406404</v>
      </c>
      <c r="K751" s="1">
        <f t="shared" si="64"/>
        <v>-2.7368706396377021</v>
      </c>
    </row>
    <row r="752" spans="1:11">
      <c r="A752" s="483">
        <f t="shared" si="61"/>
        <v>746</v>
      </c>
      <c r="B752" s="694">
        <v>43592</v>
      </c>
      <c r="C752" s="764">
        <v>0.61249999999999993</v>
      </c>
      <c r="D752" s="763" t="s">
        <v>104</v>
      </c>
      <c r="E752" s="658" t="s">
        <v>161</v>
      </c>
      <c r="F752" s="763">
        <v>100</v>
      </c>
      <c r="G752" s="763">
        <v>1.77</v>
      </c>
      <c r="H752" s="829">
        <f t="shared" si="66"/>
        <v>0.10056818181818182</v>
      </c>
      <c r="I752" s="1">
        <f t="shared" si="62"/>
        <v>4.6051701859880918</v>
      </c>
      <c r="J752" s="1">
        <f t="shared" si="63"/>
        <v>0.5709795465857378</v>
      </c>
      <c r="K752" s="1">
        <f t="shared" si="64"/>
        <v>-2.2969193554583685</v>
      </c>
    </row>
    <row r="753" spans="1:11">
      <c r="A753" s="483">
        <f t="shared" si="61"/>
        <v>747</v>
      </c>
      <c r="B753" s="694">
        <v>43592</v>
      </c>
      <c r="C753" s="764">
        <v>0.65902777777777777</v>
      </c>
      <c r="D753" s="763" t="s">
        <v>109</v>
      </c>
      <c r="E753" s="658" t="s">
        <v>161</v>
      </c>
      <c r="F753" s="763">
        <v>30</v>
      </c>
      <c r="G753" s="763">
        <v>7.0000000000000007E-2</v>
      </c>
      <c r="H753" s="829">
        <f t="shared" si="66"/>
        <v>1.1931818181818183E-3</v>
      </c>
      <c r="I753" s="1">
        <f t="shared" si="62"/>
        <v>3.4011973816621555</v>
      </c>
      <c r="J753" s="1">
        <f t="shared" si="63"/>
        <v>-2.6592600369327779</v>
      </c>
      <c r="K753" s="1">
        <f t="shared" si="64"/>
        <v>-6.7311317433028197</v>
      </c>
    </row>
    <row r="754" spans="1:11">
      <c r="A754" s="483">
        <f t="shared" si="61"/>
        <v>748</v>
      </c>
      <c r="B754" s="694">
        <v>43592</v>
      </c>
      <c r="C754" s="764">
        <v>0.65972222222222221</v>
      </c>
      <c r="D754" s="763" t="s">
        <v>105</v>
      </c>
      <c r="E754" s="658" t="s">
        <v>161</v>
      </c>
      <c r="F754" s="763">
        <v>20</v>
      </c>
      <c r="G754" s="763">
        <v>0.03</v>
      </c>
      <c r="H754" s="829">
        <f t="shared" si="66"/>
        <v>3.4090909090909088E-4</v>
      </c>
      <c r="I754" s="1">
        <f t="shared" si="62"/>
        <v>2.9957322735539909</v>
      </c>
      <c r="J754" s="1">
        <f t="shared" si="63"/>
        <v>-3.5065578973199818</v>
      </c>
      <c r="K754" s="1">
        <f t="shared" si="64"/>
        <v>-7.9838947117981887</v>
      </c>
    </row>
    <row r="755" spans="1:11">
      <c r="A755" s="483">
        <f t="shared" si="61"/>
        <v>749</v>
      </c>
      <c r="B755" s="694">
        <v>43592</v>
      </c>
      <c r="C755" s="764">
        <v>0.6777777777777777</v>
      </c>
      <c r="D755" s="761" t="s">
        <v>109</v>
      </c>
      <c r="E755" s="658" t="s">
        <v>161</v>
      </c>
      <c r="F755" s="763">
        <v>50</v>
      </c>
      <c r="G755" s="763">
        <v>5.39</v>
      </c>
      <c r="H755" s="829">
        <f t="shared" si="66"/>
        <v>0.15312499999999998</v>
      </c>
      <c r="I755" s="1">
        <f t="shared" si="62"/>
        <v>3.912023005428146</v>
      </c>
      <c r="J755" s="1">
        <f t="shared" si="63"/>
        <v>1.6845453849209058</v>
      </c>
      <c r="K755" s="1">
        <f t="shared" si="64"/>
        <v>-1.8765006976831458</v>
      </c>
    </row>
    <row r="756" spans="1:11">
      <c r="A756" s="483">
        <f t="shared" si="61"/>
        <v>750</v>
      </c>
      <c r="B756" s="694">
        <v>43592</v>
      </c>
      <c r="C756" s="764">
        <v>0.7270833333333333</v>
      </c>
      <c r="D756" s="761" t="s">
        <v>119</v>
      </c>
      <c r="E756" s="658" t="s">
        <v>161</v>
      </c>
      <c r="F756" s="763">
        <v>100</v>
      </c>
      <c r="G756" s="763">
        <v>11.49</v>
      </c>
      <c r="H756" s="829">
        <f t="shared" si="66"/>
        <v>0.65284090909090908</v>
      </c>
      <c r="I756" s="1">
        <f t="shared" si="62"/>
        <v>4.6051701859880918</v>
      </c>
      <c r="J756" s="1">
        <f t="shared" si="63"/>
        <v>2.4414770918606643</v>
      </c>
      <c r="K756" s="1">
        <f t="shared" si="64"/>
        <v>-0.42642181018344177</v>
      </c>
    </row>
    <row r="757" spans="1:11">
      <c r="A757" s="483">
        <f t="shared" si="61"/>
        <v>751</v>
      </c>
      <c r="B757" s="694">
        <v>43592</v>
      </c>
      <c r="C757" s="764">
        <v>0.74722222222222223</v>
      </c>
      <c r="D757" s="761" t="s">
        <v>106</v>
      </c>
      <c r="E757" s="658" t="s">
        <v>161</v>
      </c>
      <c r="F757" s="763">
        <v>20</v>
      </c>
      <c r="G757" s="763">
        <v>0.06</v>
      </c>
      <c r="H757" s="829">
        <f t="shared" si="66"/>
        <v>6.8181818181818176E-4</v>
      </c>
      <c r="I757" s="1">
        <f t="shared" si="62"/>
        <v>2.9957322735539909</v>
      </c>
      <c r="J757" s="1">
        <f t="shared" si="63"/>
        <v>-2.8134107167600364</v>
      </c>
      <c r="K757" s="1">
        <f t="shared" si="64"/>
        <v>-7.2907475312382433</v>
      </c>
    </row>
    <row r="758" spans="1:11">
      <c r="A758" s="483">
        <f t="shared" si="61"/>
        <v>752</v>
      </c>
      <c r="B758" s="694">
        <v>43592</v>
      </c>
      <c r="C758" s="764">
        <v>0.76736111111111116</v>
      </c>
      <c r="D758" s="761" t="s">
        <v>120</v>
      </c>
      <c r="E758" s="658" t="s">
        <v>161</v>
      </c>
      <c r="F758" s="763">
        <v>73</v>
      </c>
      <c r="G758" s="763">
        <v>1.1000000000000001</v>
      </c>
      <c r="H758" s="829">
        <f t="shared" si="66"/>
        <v>4.5625000000000006E-2</v>
      </c>
      <c r="I758" s="1">
        <f t="shared" si="62"/>
        <v>4.290459441148391</v>
      </c>
      <c r="J758" s="1">
        <f t="shared" si="63"/>
        <v>9.5310179804324935E-2</v>
      </c>
      <c r="K758" s="1">
        <f t="shared" si="64"/>
        <v>-3.0872994670794816</v>
      </c>
    </row>
    <row r="759" spans="1:11">
      <c r="A759" s="483">
        <f t="shared" si="61"/>
        <v>753</v>
      </c>
      <c r="B759" s="694">
        <v>43592</v>
      </c>
      <c r="C759" s="764">
        <v>0.78333333333333333</v>
      </c>
      <c r="D759" s="761" t="s">
        <v>120</v>
      </c>
      <c r="E759" s="658" t="s">
        <v>161</v>
      </c>
      <c r="F759" s="763">
        <v>500</v>
      </c>
      <c r="G759" s="763">
        <v>4.24</v>
      </c>
      <c r="H759" s="829">
        <f t="shared" si="66"/>
        <v>1.2045454545454548</v>
      </c>
      <c r="I759" s="1">
        <f t="shared" si="62"/>
        <v>6.2146080984221914</v>
      </c>
      <c r="J759" s="1">
        <f t="shared" si="63"/>
        <v>1.4445632692438664</v>
      </c>
      <c r="K759" s="1">
        <f t="shared" si="64"/>
        <v>0.18610227963386089</v>
      </c>
    </row>
    <row r="760" spans="1:11">
      <c r="A760" s="483">
        <f t="shared" si="61"/>
        <v>754</v>
      </c>
      <c r="B760" s="694">
        <v>43602</v>
      </c>
      <c r="C760" s="764">
        <v>0.77222222222222225</v>
      </c>
      <c r="D760" s="761" t="s">
        <v>101</v>
      </c>
      <c r="E760" s="658" t="s">
        <v>161</v>
      </c>
      <c r="F760" s="763">
        <v>50</v>
      </c>
      <c r="G760" s="763">
        <v>2.88</v>
      </c>
      <c r="H760" s="829">
        <f t="shared" si="66"/>
        <v>8.1818181818181818E-2</v>
      </c>
      <c r="I760" s="1">
        <f t="shared" si="62"/>
        <v>3.912023005428146</v>
      </c>
      <c r="J760" s="1">
        <f t="shared" si="63"/>
        <v>1.0577902941478545</v>
      </c>
      <c r="K760" s="1">
        <f t="shared" si="64"/>
        <v>-2.503255788456197</v>
      </c>
    </row>
    <row r="761" spans="1:11">
      <c r="A761" s="483">
        <f t="shared" si="61"/>
        <v>755</v>
      </c>
      <c r="B761" s="694">
        <v>43605</v>
      </c>
      <c r="C761" s="764">
        <v>0.60347222222222219</v>
      </c>
      <c r="D761" s="761" t="s">
        <v>121</v>
      </c>
      <c r="E761" s="658" t="s">
        <v>161</v>
      </c>
      <c r="F761" s="763">
        <v>50</v>
      </c>
      <c r="G761" s="763">
        <v>0.35</v>
      </c>
      <c r="H761" s="829">
        <f t="shared" si="66"/>
        <v>9.943181818181818E-3</v>
      </c>
      <c r="I761" s="1">
        <f t="shared" si="62"/>
        <v>3.912023005428146</v>
      </c>
      <c r="J761" s="1">
        <f t="shared" si="63"/>
        <v>-1.0498221244986778</v>
      </c>
      <c r="K761" s="1">
        <f t="shared" si="64"/>
        <v>-4.6108682071027287</v>
      </c>
    </row>
    <row r="762" spans="1:11">
      <c r="A762" s="483">
        <f t="shared" si="61"/>
        <v>756</v>
      </c>
      <c r="B762" s="694">
        <v>43608</v>
      </c>
      <c r="C762" s="764">
        <v>0.66736111111111107</v>
      </c>
      <c r="D762" s="761" t="s">
        <v>118</v>
      </c>
      <c r="E762" s="658" t="s">
        <v>161</v>
      </c>
      <c r="F762" s="763">
        <v>50</v>
      </c>
      <c r="G762" s="763">
        <v>0.59</v>
      </c>
      <c r="H762" s="829">
        <f t="shared" si="66"/>
        <v>1.6761363636363633E-2</v>
      </c>
      <c r="I762" s="1">
        <f t="shared" si="62"/>
        <v>3.912023005428146</v>
      </c>
      <c r="J762" s="1">
        <f t="shared" si="63"/>
        <v>-0.52763274208237199</v>
      </c>
      <c r="K762" s="1">
        <f t="shared" si="64"/>
        <v>-4.0886788246864239</v>
      </c>
    </row>
    <row r="763" spans="1:11">
      <c r="A763" s="483">
        <f t="shared" si="61"/>
        <v>757</v>
      </c>
      <c r="B763" s="694">
        <v>43608</v>
      </c>
      <c r="C763" s="764">
        <v>0.67569444444444438</v>
      </c>
      <c r="D763" s="761" t="s">
        <v>119</v>
      </c>
      <c r="E763" s="658" t="s">
        <v>161</v>
      </c>
      <c r="F763" s="763">
        <v>50</v>
      </c>
      <c r="G763" s="763">
        <v>0.71</v>
      </c>
      <c r="H763" s="829">
        <f t="shared" si="66"/>
        <v>2.0170454545454543E-2</v>
      </c>
      <c r="I763" s="1">
        <f t="shared" si="62"/>
        <v>3.912023005428146</v>
      </c>
      <c r="J763" s="1">
        <f t="shared" si="63"/>
        <v>-0.34249030894677601</v>
      </c>
      <c r="K763" s="1">
        <f t="shared" si="64"/>
        <v>-3.9035363915508277</v>
      </c>
    </row>
    <row r="764" spans="1:11">
      <c r="A764" s="483">
        <f t="shared" si="61"/>
        <v>758</v>
      </c>
      <c r="B764" s="694">
        <v>43608</v>
      </c>
      <c r="C764" s="764">
        <v>0.67708333333333337</v>
      </c>
      <c r="D764" s="761" t="s">
        <v>118</v>
      </c>
      <c r="E764" s="658" t="s">
        <v>161</v>
      </c>
      <c r="F764" s="763">
        <v>50</v>
      </c>
      <c r="G764" s="763">
        <v>0.28999999999999998</v>
      </c>
      <c r="H764" s="829">
        <f t="shared" si="66"/>
        <v>8.2386363636363629E-3</v>
      </c>
      <c r="I764" s="1">
        <f t="shared" si="62"/>
        <v>3.912023005428146</v>
      </c>
      <c r="J764" s="1">
        <f t="shared" si="63"/>
        <v>-1.2378743560016174</v>
      </c>
      <c r="K764" s="1">
        <f t="shared" si="64"/>
        <v>-4.798920438605669</v>
      </c>
    </row>
    <row r="765" spans="1:11">
      <c r="A765" s="483">
        <f t="shared" si="61"/>
        <v>759</v>
      </c>
      <c r="B765" s="694">
        <v>43608</v>
      </c>
      <c r="C765" s="764">
        <v>0.75486111111111109</v>
      </c>
      <c r="D765" s="761" t="s">
        <v>110</v>
      </c>
      <c r="E765" s="658" t="s">
        <v>161</v>
      </c>
      <c r="F765" s="763">
        <v>20</v>
      </c>
      <c r="G765" s="763">
        <v>0.04</v>
      </c>
      <c r="H765" s="829">
        <f t="shared" si="66"/>
        <v>4.5454545454545455E-4</v>
      </c>
      <c r="I765" s="1">
        <f t="shared" si="62"/>
        <v>2.9957322735539909</v>
      </c>
      <c r="J765" s="1">
        <f t="shared" si="63"/>
        <v>-3.2188758248682006</v>
      </c>
      <c r="K765" s="1">
        <f t="shared" si="64"/>
        <v>-7.696212639346407</v>
      </c>
    </row>
    <row r="766" spans="1:11">
      <c r="A766" s="483">
        <f t="shared" si="61"/>
        <v>760</v>
      </c>
      <c r="B766" s="694">
        <v>43608</v>
      </c>
      <c r="C766" s="920">
        <v>0.82152777777777775</v>
      </c>
      <c r="D766" s="921" t="s">
        <v>106</v>
      </c>
      <c r="E766" s="922" t="s">
        <v>161</v>
      </c>
      <c r="F766" s="912">
        <v>75</v>
      </c>
      <c r="G766" s="912">
        <v>4.47</v>
      </c>
      <c r="H766" s="829">
        <f t="shared" si="66"/>
        <v>0.19048295454545452</v>
      </c>
      <c r="I766" s="1">
        <f t="shared" si="62"/>
        <v>4.3174881135363101</v>
      </c>
      <c r="J766" s="1">
        <f t="shared" si="63"/>
        <v>1.4973884086254774</v>
      </c>
      <c r="K766" s="1">
        <f t="shared" si="64"/>
        <v>-1.6581925658704098</v>
      </c>
    </row>
    <row r="767" spans="1:11">
      <c r="A767" s="483">
        <f t="shared" si="61"/>
        <v>761</v>
      </c>
      <c r="B767" s="694">
        <v>43611</v>
      </c>
      <c r="C767" s="764">
        <v>0.76736111111111116</v>
      </c>
      <c r="D767" s="694" t="s">
        <v>112</v>
      </c>
      <c r="E767" s="658" t="s">
        <v>161</v>
      </c>
      <c r="F767" s="763">
        <v>50</v>
      </c>
      <c r="G767" s="763">
        <v>0.34</v>
      </c>
      <c r="H767" s="829">
        <f t="shared" si="66"/>
        <v>9.6590909090909088E-3</v>
      </c>
      <c r="I767" s="1">
        <f t="shared" si="62"/>
        <v>3.912023005428146</v>
      </c>
      <c r="J767" s="1">
        <f t="shared" si="63"/>
        <v>-1.0788096613719298</v>
      </c>
      <c r="K767" s="1">
        <f t="shared" si="64"/>
        <v>-4.6398557439759811</v>
      </c>
    </row>
    <row r="768" spans="1:11">
      <c r="A768" s="483">
        <f t="shared" si="61"/>
        <v>762</v>
      </c>
      <c r="B768" s="694">
        <v>43611</v>
      </c>
      <c r="C768" s="764">
        <v>0.79305555555555562</v>
      </c>
      <c r="D768" s="694" t="s">
        <v>107</v>
      </c>
      <c r="E768" s="658" t="s">
        <v>161</v>
      </c>
      <c r="F768" s="763">
        <v>50</v>
      </c>
      <c r="G768" s="763">
        <v>2</v>
      </c>
      <c r="H768" s="829">
        <f t="shared" si="66"/>
        <v>5.6818181818181816E-2</v>
      </c>
      <c r="I768" s="1">
        <f t="shared" si="62"/>
        <v>3.912023005428146</v>
      </c>
      <c r="J768" s="1">
        <f t="shared" si="63"/>
        <v>0.69314718055994529</v>
      </c>
      <c r="K768" s="1">
        <f t="shared" si="64"/>
        <v>-2.8678989020441059</v>
      </c>
    </row>
    <row r="769" spans="1:11">
      <c r="A769" s="483">
        <f t="shared" si="61"/>
        <v>763</v>
      </c>
      <c r="B769" s="694">
        <v>43611</v>
      </c>
      <c r="C769" s="764">
        <v>0.80138888888888893</v>
      </c>
      <c r="D769" s="694" t="s">
        <v>107</v>
      </c>
      <c r="E769" s="658" t="s">
        <v>161</v>
      </c>
      <c r="F769" s="763">
        <v>75</v>
      </c>
      <c r="G769" s="763">
        <v>5.2</v>
      </c>
      <c r="H769" s="829">
        <f t="shared" si="66"/>
        <v>0.22159090909090909</v>
      </c>
      <c r="I769" s="1">
        <f t="shared" si="62"/>
        <v>4.3174881135363101</v>
      </c>
      <c r="J769" s="1">
        <f t="shared" si="63"/>
        <v>1.6486586255873816</v>
      </c>
      <c r="K769" s="1">
        <f t="shared" si="64"/>
        <v>-1.5069223489085053</v>
      </c>
    </row>
    <row r="770" spans="1:11">
      <c r="A770" s="483">
        <f t="shared" si="61"/>
        <v>764</v>
      </c>
      <c r="B770" s="694">
        <v>43611</v>
      </c>
      <c r="C770" s="764">
        <v>0.97569444444444453</v>
      </c>
      <c r="D770" s="694" t="s">
        <v>112</v>
      </c>
      <c r="E770" s="658" t="s">
        <v>161</v>
      </c>
      <c r="F770" s="763">
        <v>50</v>
      </c>
      <c r="G770" s="763">
        <v>1.51</v>
      </c>
      <c r="H770" s="829">
        <f t="shared" si="66"/>
        <v>4.2897727272727275E-2</v>
      </c>
      <c r="I770" s="1">
        <f t="shared" si="62"/>
        <v>3.912023005428146</v>
      </c>
      <c r="J770" s="1">
        <f t="shared" si="63"/>
        <v>0.41210965082683298</v>
      </c>
      <c r="K770" s="1">
        <f t="shared" si="64"/>
        <v>-3.1489364317772184</v>
      </c>
    </row>
    <row r="771" spans="1:11">
      <c r="A771" s="483">
        <f t="shared" si="61"/>
        <v>765</v>
      </c>
      <c r="B771" s="694">
        <v>43612</v>
      </c>
      <c r="C771" s="764">
        <v>6.9444444444444441E-3</v>
      </c>
      <c r="D771" s="694" t="s">
        <v>113</v>
      </c>
      <c r="E771" s="658" t="s">
        <v>161</v>
      </c>
      <c r="F771" s="763">
        <v>50</v>
      </c>
      <c r="G771" s="763">
        <v>1.58</v>
      </c>
      <c r="H771" s="829">
        <f t="shared" si="66"/>
        <v>4.4886363636363634E-2</v>
      </c>
      <c r="I771" s="1">
        <f t="shared" si="62"/>
        <v>3.912023005428146</v>
      </c>
      <c r="J771" s="1">
        <f t="shared" si="63"/>
        <v>0.45742484703887548</v>
      </c>
      <c r="K771" s="1">
        <f t="shared" si="64"/>
        <v>-3.1036212355651762</v>
      </c>
    </row>
    <row r="772" spans="1:11">
      <c r="A772" s="483">
        <f t="shared" si="61"/>
        <v>766</v>
      </c>
      <c r="B772" s="694">
        <v>43618</v>
      </c>
      <c r="C772" s="764">
        <v>0.8041666666666667</v>
      </c>
      <c r="D772" s="694" t="s">
        <v>99</v>
      </c>
      <c r="E772" s="658" t="s">
        <v>161</v>
      </c>
      <c r="F772" s="763">
        <v>20</v>
      </c>
      <c r="G772" s="763">
        <v>0.01</v>
      </c>
      <c r="H772" s="829">
        <f t="shared" si="66"/>
        <v>1.1363636363636364E-4</v>
      </c>
      <c r="I772" s="1">
        <f t="shared" si="62"/>
        <v>2.9957322735539909</v>
      </c>
      <c r="J772" s="1">
        <f t="shared" si="63"/>
        <v>-4.6051701859880909</v>
      </c>
      <c r="K772" s="1">
        <f t="shared" si="64"/>
        <v>-9.0825070004662987</v>
      </c>
    </row>
    <row r="773" spans="1:11">
      <c r="A773" s="483">
        <f t="shared" si="61"/>
        <v>767</v>
      </c>
      <c r="B773" s="694">
        <v>43634</v>
      </c>
      <c r="C773" s="764">
        <v>0.79861111111111116</v>
      </c>
      <c r="D773" s="694" t="s">
        <v>115</v>
      </c>
      <c r="E773" s="658" t="s">
        <v>161</v>
      </c>
      <c r="F773" s="763">
        <v>20</v>
      </c>
      <c r="G773" s="763">
        <v>0.96</v>
      </c>
      <c r="H773" s="829">
        <f t="shared" si="66"/>
        <v>1.0909090909090908E-2</v>
      </c>
      <c r="I773" s="1">
        <f t="shared" si="62"/>
        <v>2.9957322735539909</v>
      </c>
      <c r="J773" s="1">
        <f t="shared" si="63"/>
        <v>-4.0821994520255166E-2</v>
      </c>
      <c r="K773" s="1">
        <f t="shared" si="64"/>
        <v>-4.5181588089984617</v>
      </c>
    </row>
    <row r="774" spans="1:11">
      <c r="A774" s="483">
        <f t="shared" si="61"/>
        <v>768</v>
      </c>
      <c r="B774" s="694">
        <v>43638</v>
      </c>
      <c r="C774" s="764">
        <v>0.90486111111111101</v>
      </c>
      <c r="D774" s="694" t="s">
        <v>119</v>
      </c>
      <c r="E774" s="658" t="s">
        <v>161</v>
      </c>
      <c r="F774" s="763">
        <v>50</v>
      </c>
      <c r="G774" s="763">
        <v>2.4500000000000002</v>
      </c>
      <c r="H774" s="829">
        <f t="shared" si="66"/>
        <v>6.9602272727272735E-2</v>
      </c>
      <c r="I774" s="1">
        <f t="shared" si="62"/>
        <v>3.912023005428146</v>
      </c>
      <c r="J774" s="1">
        <f t="shared" si="63"/>
        <v>0.89608802455663572</v>
      </c>
      <c r="K774" s="1">
        <f t="shared" si="64"/>
        <v>-2.6649580580474157</v>
      </c>
    </row>
    <row r="775" spans="1:11">
      <c r="A775" s="483">
        <f t="shared" si="61"/>
        <v>769</v>
      </c>
      <c r="B775" s="694">
        <v>43638</v>
      </c>
      <c r="C775" s="764">
        <v>0.91319444444444453</v>
      </c>
      <c r="D775" s="694" t="s">
        <v>119</v>
      </c>
      <c r="E775" s="658" t="s">
        <v>161</v>
      </c>
      <c r="F775" s="763">
        <v>200</v>
      </c>
      <c r="G775" s="763">
        <v>2.08</v>
      </c>
      <c r="H775" s="829">
        <f t="shared" si="66"/>
        <v>0.23636363636363636</v>
      </c>
      <c r="I775" s="1">
        <f t="shared" si="62"/>
        <v>5.2983173665480363</v>
      </c>
      <c r="J775" s="1">
        <f t="shared" si="63"/>
        <v>0.73236789371322664</v>
      </c>
      <c r="K775" s="1">
        <f t="shared" si="64"/>
        <v>-1.4423838277709342</v>
      </c>
    </row>
    <row r="776" spans="1:11">
      <c r="A776" s="483">
        <f t="shared" si="61"/>
        <v>770</v>
      </c>
      <c r="B776" s="694">
        <v>43700</v>
      </c>
      <c r="C776" s="764">
        <v>0.79861111111111116</v>
      </c>
      <c r="D776" s="694" t="s">
        <v>101</v>
      </c>
      <c r="E776" s="658" t="s">
        <v>161</v>
      </c>
      <c r="F776" s="763">
        <v>50</v>
      </c>
      <c r="G776" s="763">
        <v>1.93</v>
      </c>
      <c r="H776" s="829">
        <f t="shared" si="66"/>
        <v>5.482954545454545E-2</v>
      </c>
      <c r="I776" s="1">
        <f t="shared" si="62"/>
        <v>3.912023005428146</v>
      </c>
      <c r="J776" s="1">
        <f t="shared" si="63"/>
        <v>0.65752000291679413</v>
      </c>
      <c r="K776" s="1">
        <f t="shared" si="64"/>
        <v>-2.9035260796872575</v>
      </c>
    </row>
    <row r="777" spans="1:11">
      <c r="A777" s="483">
        <f t="shared" si="61"/>
        <v>771</v>
      </c>
      <c r="B777" s="662">
        <v>43920</v>
      </c>
      <c r="C777" s="926">
        <v>0.68194444444444446</v>
      </c>
      <c r="D777" s="662" t="s">
        <v>114</v>
      </c>
      <c r="E777" s="658" t="s">
        <v>161</v>
      </c>
      <c r="F777" s="924">
        <v>50</v>
      </c>
      <c r="G777" s="924">
        <v>3.55</v>
      </c>
      <c r="H777" s="829">
        <f t="shared" si="66"/>
        <v>0.10085227272727272</v>
      </c>
      <c r="I777" s="1">
        <f t="shared" si="62"/>
        <v>3.912023005428146</v>
      </c>
      <c r="J777" s="1">
        <f t="shared" si="63"/>
        <v>1.2669476034873244</v>
      </c>
      <c r="K777" s="1">
        <f t="shared" si="64"/>
        <v>-2.2940984791167272</v>
      </c>
    </row>
    <row r="778" spans="1:11">
      <c r="A778" s="483">
        <f t="shared" ref="A778:A841" si="67">+A777+1</f>
        <v>772</v>
      </c>
      <c r="B778" s="662">
        <v>43920</v>
      </c>
      <c r="C778" s="926">
        <v>0.70138888888888884</v>
      </c>
      <c r="D778" s="662" t="s">
        <v>103</v>
      </c>
      <c r="E778" s="658" t="s">
        <v>161</v>
      </c>
      <c r="F778" s="924">
        <v>20</v>
      </c>
      <c r="G778" s="924">
        <v>0.21</v>
      </c>
      <c r="H778" s="829">
        <f t="shared" si="66"/>
        <v>2.3863636363636366E-3</v>
      </c>
      <c r="I778" s="1">
        <f t="shared" si="62"/>
        <v>2.9957322735539909</v>
      </c>
      <c r="J778" s="1">
        <f t="shared" si="63"/>
        <v>-1.5606477482646683</v>
      </c>
      <c r="K778" s="1">
        <f t="shared" si="64"/>
        <v>-6.0379845627428752</v>
      </c>
    </row>
    <row r="779" spans="1:11">
      <c r="A779" s="483">
        <f t="shared" si="67"/>
        <v>773</v>
      </c>
      <c r="B779" s="662">
        <v>44001</v>
      </c>
      <c r="C779" s="926">
        <v>0.69444444444444453</v>
      </c>
      <c r="D779" s="662" t="s">
        <v>114</v>
      </c>
      <c r="E779" s="658" t="s">
        <v>161</v>
      </c>
      <c r="F779" s="924">
        <v>50</v>
      </c>
      <c r="G779" s="924">
        <v>0.71</v>
      </c>
      <c r="H779" s="829">
        <f t="shared" si="66"/>
        <v>2.0170454545454543E-2</v>
      </c>
      <c r="I779" s="1">
        <f t="shared" si="62"/>
        <v>3.912023005428146</v>
      </c>
      <c r="J779" s="1">
        <f t="shared" si="63"/>
        <v>-0.34249030894677601</v>
      </c>
      <c r="K779" s="1">
        <f t="shared" si="64"/>
        <v>-3.9035363915508277</v>
      </c>
    </row>
    <row r="780" spans="1:11">
      <c r="A780" s="483">
        <f t="shared" si="67"/>
        <v>774</v>
      </c>
      <c r="B780" s="662">
        <v>44001</v>
      </c>
      <c r="C780" s="926">
        <v>0.6958333333333333</v>
      </c>
      <c r="D780" s="662" t="s">
        <v>114</v>
      </c>
      <c r="E780" s="658" t="s">
        <v>161</v>
      </c>
      <c r="F780" s="924">
        <v>50</v>
      </c>
      <c r="G780" s="924">
        <v>0.43</v>
      </c>
      <c r="H780" s="829">
        <f t="shared" si="66"/>
        <v>1.221590909090909E-2</v>
      </c>
      <c r="I780" s="1">
        <f t="shared" si="62"/>
        <v>3.912023005428146</v>
      </c>
      <c r="J780" s="1">
        <f t="shared" si="63"/>
        <v>-0.84397007029452897</v>
      </c>
      <c r="K780" s="1">
        <f t="shared" si="64"/>
        <v>-4.4050161528985807</v>
      </c>
    </row>
    <row r="781" spans="1:11">
      <c r="A781" s="483">
        <f t="shared" si="67"/>
        <v>775</v>
      </c>
      <c r="B781" s="694">
        <v>44004</v>
      </c>
      <c r="C781" s="926">
        <v>0.8125</v>
      </c>
      <c r="D781" s="662" t="s">
        <v>117</v>
      </c>
      <c r="E781" s="658" t="s">
        <v>161</v>
      </c>
      <c r="F781" s="924">
        <v>25</v>
      </c>
      <c r="G781" s="924">
        <v>1.29</v>
      </c>
      <c r="H781" s="829">
        <f t="shared" si="66"/>
        <v>1.8323863636363635E-2</v>
      </c>
      <c r="I781" s="1">
        <f t="shared" si="62"/>
        <v>3.2188758248682006</v>
      </c>
      <c r="J781" s="1">
        <f t="shared" si="63"/>
        <v>0.25464221837358075</v>
      </c>
      <c r="K781" s="1">
        <f t="shared" si="64"/>
        <v>-3.9995510447904161</v>
      </c>
    </row>
    <row r="782" spans="1:11">
      <c r="A782" s="483">
        <f t="shared" si="67"/>
        <v>776</v>
      </c>
      <c r="B782" s="694">
        <v>44023</v>
      </c>
      <c r="C782" s="926">
        <v>0.7909722222222223</v>
      </c>
      <c r="D782" s="662" t="s">
        <v>118</v>
      </c>
      <c r="E782" s="658" t="s">
        <v>161</v>
      </c>
      <c r="F782" s="924">
        <v>45</v>
      </c>
      <c r="G782" s="924">
        <v>0.14000000000000001</v>
      </c>
      <c r="H782" s="829">
        <f t="shared" si="66"/>
        <v>3.579545454545455E-3</v>
      </c>
      <c r="I782" s="1">
        <f t="shared" si="62"/>
        <v>3.8066624897703196</v>
      </c>
      <c r="J782" s="1">
        <f t="shared" si="63"/>
        <v>-1.9661128563728327</v>
      </c>
      <c r="K782" s="1">
        <f t="shared" si="64"/>
        <v>-5.6325194546347106</v>
      </c>
    </row>
    <row r="783" spans="1:11">
      <c r="A783" s="483">
        <f t="shared" si="67"/>
        <v>777</v>
      </c>
      <c r="B783" s="694">
        <v>44026</v>
      </c>
      <c r="C783" s="926">
        <v>0.79305555555555562</v>
      </c>
      <c r="D783" s="662" t="s">
        <v>104</v>
      </c>
      <c r="E783" s="658" t="s">
        <v>161</v>
      </c>
      <c r="F783" s="924">
        <v>50</v>
      </c>
      <c r="G783" s="924">
        <v>1.34</v>
      </c>
      <c r="H783" s="829">
        <f t="shared" si="66"/>
        <v>3.806818181818182E-2</v>
      </c>
      <c r="I783" s="1">
        <f t="shared" si="62"/>
        <v>3.912023005428146</v>
      </c>
      <c r="J783" s="1">
        <f t="shared" si="63"/>
        <v>0.29266961396282004</v>
      </c>
      <c r="K783" s="1">
        <f t="shared" si="64"/>
        <v>-3.2683764686412315</v>
      </c>
    </row>
    <row r="784" spans="1:11">
      <c r="A784" s="483">
        <f t="shared" si="67"/>
        <v>778</v>
      </c>
      <c r="B784" s="485">
        <v>44268</v>
      </c>
      <c r="C784" s="764">
        <v>0.67083333333333339</v>
      </c>
      <c r="D784" s="694" t="s">
        <v>118</v>
      </c>
      <c r="E784" s="658" t="s">
        <v>161</v>
      </c>
      <c r="F784" s="763">
        <v>1000</v>
      </c>
      <c r="G784" s="763">
        <v>1.66</v>
      </c>
      <c r="H784" s="829">
        <f t="shared" ref="H784:H801" si="68">+(F784/1760)*G784</f>
        <v>0.94318181818181823</v>
      </c>
      <c r="I784" s="1">
        <f t="shared" ref="I784:I801" si="69">LN(F784)</f>
        <v>6.9077552789821368</v>
      </c>
      <c r="J784" s="1">
        <f t="shared" ref="J784:J801" si="70">LN(G784)</f>
        <v>0.50681760236845186</v>
      </c>
      <c r="K784" s="1">
        <f t="shared" ref="K784:K801" si="71">LN(H784)</f>
        <v>-5.8496206681608494E-2</v>
      </c>
    </row>
    <row r="785" spans="1:11">
      <c r="A785" s="483">
        <f t="shared" si="67"/>
        <v>779</v>
      </c>
      <c r="B785" s="485">
        <v>44268</v>
      </c>
      <c r="C785" s="764">
        <v>0.67222222222222217</v>
      </c>
      <c r="D785" s="694" t="s">
        <v>118</v>
      </c>
      <c r="E785" s="658" t="s">
        <v>161</v>
      </c>
      <c r="F785" s="763">
        <v>50</v>
      </c>
      <c r="G785" s="763">
        <v>1.66</v>
      </c>
      <c r="H785" s="829">
        <f t="shared" si="68"/>
        <v>4.7159090909090907E-2</v>
      </c>
      <c r="I785" s="1">
        <f t="shared" si="69"/>
        <v>3.912023005428146</v>
      </c>
      <c r="J785" s="1">
        <f t="shared" si="70"/>
        <v>0.50681760236845186</v>
      </c>
      <c r="K785" s="1">
        <f t="shared" si="71"/>
        <v>-3.0542284802355995</v>
      </c>
    </row>
    <row r="786" spans="1:11">
      <c r="A786" s="483">
        <f t="shared" si="67"/>
        <v>780</v>
      </c>
      <c r="B786" s="485">
        <v>44268</v>
      </c>
      <c r="C786" s="764">
        <v>0.67499999999999993</v>
      </c>
      <c r="D786" s="761" t="s">
        <v>119</v>
      </c>
      <c r="E786" s="658" t="s">
        <v>161</v>
      </c>
      <c r="F786" s="763">
        <v>1000</v>
      </c>
      <c r="G786" s="763">
        <v>11.3</v>
      </c>
      <c r="H786" s="829">
        <f t="shared" si="68"/>
        <v>6.4204545454545467</v>
      </c>
      <c r="I786" s="1">
        <f t="shared" si="69"/>
        <v>6.9077552789821368</v>
      </c>
      <c r="J786" s="1">
        <f t="shared" si="70"/>
        <v>2.4248027257182949</v>
      </c>
      <c r="K786" s="1">
        <f t="shared" si="71"/>
        <v>1.8594889166682347</v>
      </c>
    </row>
    <row r="787" spans="1:11">
      <c r="A787" s="483">
        <f t="shared" si="67"/>
        <v>781</v>
      </c>
      <c r="B787" s="485">
        <v>44268</v>
      </c>
      <c r="C787" s="764">
        <v>0.70972222222222225</v>
      </c>
      <c r="D787" s="761" t="s">
        <v>119</v>
      </c>
      <c r="E787" s="658" t="s">
        <v>161</v>
      </c>
      <c r="F787" s="763">
        <v>800</v>
      </c>
      <c r="G787" s="763">
        <v>3.11</v>
      </c>
      <c r="H787" s="829">
        <f t="shared" si="68"/>
        <v>1.4136363636363636</v>
      </c>
      <c r="I787" s="1">
        <f t="shared" si="69"/>
        <v>6.6846117276679271</v>
      </c>
      <c r="J787" s="1">
        <f t="shared" si="70"/>
        <v>1.1346227261911428</v>
      </c>
      <c r="K787" s="1">
        <f t="shared" si="71"/>
        <v>0.34616536582687257</v>
      </c>
    </row>
    <row r="788" spans="1:11">
      <c r="A788" s="483">
        <f t="shared" si="67"/>
        <v>782</v>
      </c>
      <c r="B788" s="694">
        <v>44268</v>
      </c>
      <c r="C788" s="764">
        <v>0.74375000000000002</v>
      </c>
      <c r="D788" s="761" t="s">
        <v>120</v>
      </c>
      <c r="E788" s="658" t="s">
        <v>161</v>
      </c>
      <c r="F788" s="763">
        <v>40</v>
      </c>
      <c r="G788" s="763">
        <v>0.95</v>
      </c>
      <c r="H788" s="829">
        <f t="shared" si="68"/>
        <v>2.1590909090909091E-2</v>
      </c>
      <c r="I788" s="1">
        <f t="shared" si="69"/>
        <v>3.6888794541139363</v>
      </c>
      <c r="J788" s="1">
        <f t="shared" si="70"/>
        <v>-5.1293294387550578E-2</v>
      </c>
      <c r="K788" s="1">
        <f t="shared" si="71"/>
        <v>-3.8354829283058116</v>
      </c>
    </row>
    <row r="789" spans="1:11">
      <c r="A789" s="483">
        <f t="shared" si="67"/>
        <v>783</v>
      </c>
      <c r="B789" s="694">
        <v>44323</v>
      </c>
      <c r="C789" s="764">
        <v>0.73611111111111116</v>
      </c>
      <c r="D789" s="761" t="s">
        <v>115</v>
      </c>
      <c r="E789" s="658" t="s">
        <v>161</v>
      </c>
      <c r="F789" s="763">
        <v>25</v>
      </c>
      <c r="G789" s="763">
        <v>3.28</v>
      </c>
      <c r="H789" s="829">
        <f t="shared" si="68"/>
        <v>4.6590909090909086E-2</v>
      </c>
      <c r="I789" s="1">
        <f t="shared" si="69"/>
        <v>3.2188758248682006</v>
      </c>
      <c r="J789" s="1">
        <f t="shared" si="70"/>
        <v>1.1878434223960523</v>
      </c>
      <c r="K789" s="1">
        <f t="shared" si="71"/>
        <v>-3.0663498407679444</v>
      </c>
    </row>
    <row r="790" spans="1:11">
      <c r="A790" s="483">
        <f t="shared" si="67"/>
        <v>784</v>
      </c>
      <c r="B790" s="694">
        <v>44333</v>
      </c>
      <c r="C790" s="764">
        <v>0.73263888888888884</v>
      </c>
      <c r="D790" s="761" t="s">
        <v>112</v>
      </c>
      <c r="E790" s="658" t="s">
        <v>161</v>
      </c>
      <c r="F790" s="763">
        <v>20</v>
      </c>
      <c r="G790" s="763">
        <v>0.86</v>
      </c>
      <c r="H790" s="829">
        <f t="shared" si="68"/>
        <v>9.7727272727272732E-3</v>
      </c>
      <c r="I790" s="1">
        <f t="shared" si="69"/>
        <v>2.9957322735539909</v>
      </c>
      <c r="J790" s="1">
        <f t="shared" si="70"/>
        <v>-0.15082288973458366</v>
      </c>
      <c r="K790" s="1">
        <f t="shared" si="71"/>
        <v>-4.6281597042127904</v>
      </c>
    </row>
    <row r="791" spans="1:11">
      <c r="A791" s="483">
        <f t="shared" si="67"/>
        <v>785</v>
      </c>
      <c r="B791" s="694">
        <v>44342</v>
      </c>
      <c r="C791" s="764">
        <v>0.7055555555555556</v>
      </c>
      <c r="D791" s="761" t="s">
        <v>104</v>
      </c>
      <c r="E791" s="658" t="s">
        <v>161</v>
      </c>
      <c r="F791" s="763">
        <v>20</v>
      </c>
      <c r="G791" s="763">
        <v>1.93</v>
      </c>
      <c r="H791" s="829">
        <f t="shared" si="68"/>
        <v>2.1931818181818181E-2</v>
      </c>
      <c r="I791" s="1">
        <f t="shared" si="69"/>
        <v>2.9957322735539909</v>
      </c>
      <c r="J791" s="1">
        <f t="shared" si="70"/>
        <v>0.65752000291679413</v>
      </c>
      <c r="K791" s="1">
        <f t="shared" si="71"/>
        <v>-3.8198168115614122</v>
      </c>
    </row>
    <row r="792" spans="1:11">
      <c r="A792" s="483">
        <f t="shared" si="67"/>
        <v>786</v>
      </c>
      <c r="B792" s="694">
        <v>44342</v>
      </c>
      <c r="C792" s="764">
        <v>0.71805555555555556</v>
      </c>
      <c r="D792" s="761" t="s">
        <v>104</v>
      </c>
      <c r="E792" s="658" t="s">
        <v>161</v>
      </c>
      <c r="F792" s="763">
        <v>20</v>
      </c>
      <c r="G792" s="763">
        <v>0.83</v>
      </c>
      <c r="H792" s="829">
        <f t="shared" si="68"/>
        <v>9.4318181818181818E-3</v>
      </c>
      <c r="I792" s="1">
        <f t="shared" si="69"/>
        <v>2.9957322735539909</v>
      </c>
      <c r="J792" s="1">
        <f t="shared" si="70"/>
        <v>-0.18632957819149348</v>
      </c>
      <c r="K792" s="1">
        <f t="shared" si="71"/>
        <v>-4.6636663926696995</v>
      </c>
    </row>
    <row r="793" spans="1:11">
      <c r="A793" s="483">
        <f t="shared" si="67"/>
        <v>787</v>
      </c>
      <c r="B793" s="694">
        <v>44342</v>
      </c>
      <c r="C793" s="764">
        <v>0.77361111111111114</v>
      </c>
      <c r="D793" s="761" t="s">
        <v>105</v>
      </c>
      <c r="E793" s="658" t="s">
        <v>161</v>
      </c>
      <c r="F793" s="763">
        <v>20</v>
      </c>
      <c r="G793" s="763">
        <v>1.34</v>
      </c>
      <c r="H793" s="829">
        <f t="shared" si="68"/>
        <v>1.5227272727272728E-2</v>
      </c>
      <c r="I793" s="1">
        <f t="shared" si="69"/>
        <v>2.9957322735539909</v>
      </c>
      <c r="J793" s="1">
        <f t="shared" si="70"/>
        <v>0.29266961396282004</v>
      </c>
      <c r="K793" s="1">
        <f t="shared" si="71"/>
        <v>-4.1846672005153867</v>
      </c>
    </row>
    <row r="794" spans="1:11">
      <c r="A794" s="483">
        <f t="shared" si="67"/>
        <v>788</v>
      </c>
      <c r="B794" s="694">
        <v>44342</v>
      </c>
      <c r="C794" s="764">
        <v>0.80138888888888893</v>
      </c>
      <c r="D794" s="761" t="s">
        <v>105</v>
      </c>
      <c r="E794" s="658" t="s">
        <v>161</v>
      </c>
      <c r="F794" s="763">
        <v>20</v>
      </c>
      <c r="G794" s="763">
        <v>0.95</v>
      </c>
      <c r="H794" s="829">
        <f t="shared" si="68"/>
        <v>1.0795454545454546E-2</v>
      </c>
      <c r="I794" s="1">
        <f t="shared" si="69"/>
        <v>2.9957322735539909</v>
      </c>
      <c r="J794" s="1">
        <f t="shared" si="70"/>
        <v>-5.1293294387550578E-2</v>
      </c>
      <c r="K794" s="1">
        <f t="shared" si="71"/>
        <v>-4.528630108865757</v>
      </c>
    </row>
    <row r="795" spans="1:11">
      <c r="A795" s="483">
        <f t="shared" si="67"/>
        <v>789</v>
      </c>
      <c r="B795" s="694">
        <v>44346</v>
      </c>
      <c r="C795" s="764">
        <v>0.69027777777777777</v>
      </c>
      <c r="D795" s="761" t="s">
        <v>99</v>
      </c>
      <c r="E795" s="658" t="s">
        <v>161</v>
      </c>
      <c r="F795" s="763">
        <v>20</v>
      </c>
      <c r="G795" s="763">
        <v>0.12</v>
      </c>
      <c r="H795" s="829">
        <f t="shared" si="68"/>
        <v>1.3636363636363635E-3</v>
      </c>
      <c r="I795" s="1">
        <f t="shared" si="69"/>
        <v>2.9957322735539909</v>
      </c>
      <c r="J795" s="1">
        <f t="shared" si="70"/>
        <v>-2.120263536200091</v>
      </c>
      <c r="K795" s="1">
        <f t="shared" si="71"/>
        <v>-6.5976003506782979</v>
      </c>
    </row>
    <row r="796" spans="1:11">
      <c r="A796" s="483">
        <f t="shared" si="67"/>
        <v>790</v>
      </c>
      <c r="B796" s="694">
        <v>44346</v>
      </c>
      <c r="C796" s="764">
        <v>0.69374999999999998</v>
      </c>
      <c r="D796" s="761" t="s">
        <v>99</v>
      </c>
      <c r="E796" s="658" t="s">
        <v>161</v>
      </c>
      <c r="F796" s="763">
        <v>10</v>
      </c>
      <c r="G796" s="763">
        <v>0.11</v>
      </c>
      <c r="H796" s="829">
        <f t="shared" si="68"/>
        <v>6.2500000000000001E-4</v>
      </c>
      <c r="I796" s="1">
        <f t="shared" si="69"/>
        <v>2.3025850929940459</v>
      </c>
      <c r="J796" s="1">
        <f t="shared" si="70"/>
        <v>-2.2072749131897207</v>
      </c>
      <c r="K796" s="1">
        <f t="shared" si="71"/>
        <v>-7.3777589082278725</v>
      </c>
    </row>
    <row r="797" spans="1:11">
      <c r="A797" s="483">
        <f t="shared" si="67"/>
        <v>791</v>
      </c>
      <c r="B797" s="694">
        <v>44346</v>
      </c>
      <c r="C797" s="764">
        <v>0.69652777777777775</v>
      </c>
      <c r="D797" s="761" t="s">
        <v>99</v>
      </c>
      <c r="E797" s="658" t="s">
        <v>161</v>
      </c>
      <c r="F797" s="763">
        <v>10</v>
      </c>
      <c r="G797" s="763">
        <v>0.12</v>
      </c>
      <c r="H797" s="829">
        <f t="shared" si="68"/>
        <v>6.8181818181818176E-4</v>
      </c>
      <c r="I797" s="1">
        <f t="shared" si="69"/>
        <v>2.3025850929940459</v>
      </c>
      <c r="J797" s="1">
        <f t="shared" si="70"/>
        <v>-2.120263536200091</v>
      </c>
      <c r="K797" s="1">
        <f t="shared" si="71"/>
        <v>-7.2907475312382433</v>
      </c>
    </row>
    <row r="798" spans="1:11">
      <c r="A798" s="483">
        <f t="shared" si="67"/>
        <v>792</v>
      </c>
      <c r="B798" s="694">
        <v>44346</v>
      </c>
      <c r="C798" s="764">
        <v>0.7055555555555556</v>
      </c>
      <c r="D798" s="761" t="s">
        <v>99</v>
      </c>
      <c r="E798" s="658" t="s">
        <v>161</v>
      </c>
      <c r="F798" s="763">
        <v>10</v>
      </c>
      <c r="G798" s="763">
        <v>0.44</v>
      </c>
      <c r="H798" s="829">
        <f t="shared" si="68"/>
        <v>2.5000000000000001E-3</v>
      </c>
      <c r="I798" s="1">
        <f t="shared" si="69"/>
        <v>2.3025850929940459</v>
      </c>
      <c r="J798" s="1">
        <f t="shared" si="70"/>
        <v>-0.82098055206983023</v>
      </c>
      <c r="K798" s="1">
        <f t="shared" si="71"/>
        <v>-5.9914645471079817</v>
      </c>
    </row>
    <row r="799" spans="1:11">
      <c r="A799" s="483">
        <f t="shared" si="67"/>
        <v>793</v>
      </c>
      <c r="B799" s="694">
        <v>44346</v>
      </c>
      <c r="C799" s="764">
        <v>0.70972222222222225</v>
      </c>
      <c r="D799" s="761" t="s">
        <v>99</v>
      </c>
      <c r="E799" s="658" t="s">
        <v>161</v>
      </c>
      <c r="F799" s="763">
        <v>10</v>
      </c>
      <c r="G799" s="763">
        <v>0.31</v>
      </c>
      <c r="H799" s="829">
        <f t="shared" si="68"/>
        <v>1.7613636363636364E-3</v>
      </c>
      <c r="I799" s="1">
        <f t="shared" si="69"/>
        <v>2.3025850929940459</v>
      </c>
      <c r="J799" s="1">
        <f t="shared" si="70"/>
        <v>-1.1711829815029451</v>
      </c>
      <c r="K799" s="1">
        <f t="shared" si="71"/>
        <v>-6.3416669765410969</v>
      </c>
    </row>
    <row r="800" spans="1:11">
      <c r="A800" s="483">
        <f t="shared" si="67"/>
        <v>794</v>
      </c>
      <c r="B800" s="694">
        <v>44346</v>
      </c>
      <c r="C800" s="764">
        <v>0.70972222222222225</v>
      </c>
      <c r="D800" s="761" t="s">
        <v>99</v>
      </c>
      <c r="E800" s="658" t="s">
        <v>161</v>
      </c>
      <c r="F800" s="763">
        <v>50</v>
      </c>
      <c r="G800" s="763">
        <v>2.87</v>
      </c>
      <c r="H800" s="829">
        <f t="shared" si="68"/>
        <v>8.1534090909090903E-2</v>
      </c>
      <c r="I800" s="1">
        <f t="shared" si="69"/>
        <v>3.912023005428146</v>
      </c>
      <c r="J800" s="1">
        <f t="shared" si="70"/>
        <v>1.0543120297715298</v>
      </c>
      <c r="K800" s="1">
        <f t="shared" si="71"/>
        <v>-2.5067340528325217</v>
      </c>
    </row>
    <row r="801" spans="1:11">
      <c r="A801" s="483">
        <f t="shared" si="67"/>
        <v>795</v>
      </c>
      <c r="B801" s="694">
        <v>44346</v>
      </c>
      <c r="C801" s="764">
        <v>0.71736111111111101</v>
      </c>
      <c r="D801" s="761" t="s">
        <v>102</v>
      </c>
      <c r="E801" s="658" t="s">
        <v>161</v>
      </c>
      <c r="F801" s="763">
        <v>100</v>
      </c>
      <c r="G801" s="763">
        <v>0.82</v>
      </c>
      <c r="H801" s="829">
        <f t="shared" si="68"/>
        <v>4.6590909090909086E-2</v>
      </c>
      <c r="I801" s="1">
        <f t="shared" si="69"/>
        <v>4.6051701859880918</v>
      </c>
      <c r="J801" s="1">
        <f t="shared" si="70"/>
        <v>-0.19845093872383832</v>
      </c>
      <c r="K801" s="1">
        <f t="shared" si="71"/>
        <v>-3.0663498407679444</v>
      </c>
    </row>
    <row r="802" spans="1:11">
      <c r="A802" s="483">
        <f t="shared" si="67"/>
        <v>796</v>
      </c>
      <c r="B802" s="694">
        <v>44346</v>
      </c>
      <c r="C802" s="764">
        <v>0.72152777777777777</v>
      </c>
      <c r="D802" s="761" t="s">
        <v>102</v>
      </c>
      <c r="E802" s="658" t="s">
        <v>161</v>
      </c>
      <c r="F802" s="763">
        <v>50</v>
      </c>
      <c r="G802" s="763">
        <v>0.3</v>
      </c>
      <c r="H802" s="829">
        <f t="shared" ref="H802:H865" si="72">+(F802/1760)*G802</f>
        <v>8.5227272727272721E-3</v>
      </c>
      <c r="I802" s="1">
        <f t="shared" ref="I802:I865" si="73">LN(F802)</f>
        <v>3.912023005428146</v>
      </c>
      <c r="J802" s="1">
        <f t="shared" ref="J802:J865" si="74">LN(G802)</f>
        <v>-1.2039728043259361</v>
      </c>
      <c r="K802" s="1">
        <f t="shared" ref="K802:K865" si="75">LN(H802)</f>
        <v>-4.7650188869299877</v>
      </c>
    </row>
    <row r="803" spans="1:11">
      <c r="A803" s="483">
        <f t="shared" si="67"/>
        <v>797</v>
      </c>
      <c r="B803" s="694">
        <v>44346</v>
      </c>
      <c r="C803" s="764">
        <v>0.72291666666666676</v>
      </c>
      <c r="D803" s="761" t="s">
        <v>102</v>
      </c>
      <c r="E803" s="658" t="s">
        <v>161</v>
      </c>
      <c r="F803" s="763">
        <v>25</v>
      </c>
      <c r="G803" s="763">
        <v>0.32</v>
      </c>
      <c r="H803" s="829">
        <f t="shared" si="72"/>
        <v>4.5454545454545452E-3</v>
      </c>
      <c r="I803" s="1">
        <f t="shared" si="73"/>
        <v>3.2188758248682006</v>
      </c>
      <c r="J803" s="1">
        <f t="shared" si="74"/>
        <v>-1.1394342831883648</v>
      </c>
      <c r="K803" s="1">
        <f t="shared" si="75"/>
        <v>-5.393627546352362</v>
      </c>
    </row>
    <row r="804" spans="1:11">
      <c r="A804" s="483">
        <f t="shared" si="67"/>
        <v>798</v>
      </c>
      <c r="B804" s="694">
        <v>44346</v>
      </c>
      <c r="C804" s="764">
        <v>0.73888888888888893</v>
      </c>
      <c r="D804" s="761" t="s">
        <v>99</v>
      </c>
      <c r="E804" s="658" t="s">
        <v>161</v>
      </c>
      <c r="F804" s="763">
        <v>30</v>
      </c>
      <c r="G804" s="763">
        <v>0.47</v>
      </c>
      <c r="H804" s="829">
        <f t="shared" si="72"/>
        <v>8.0113636363636359E-3</v>
      </c>
      <c r="I804" s="1">
        <f t="shared" si="73"/>
        <v>3.4011973816621555</v>
      </c>
      <c r="J804" s="1">
        <f t="shared" si="74"/>
        <v>-0.75502258427803282</v>
      </c>
      <c r="K804" s="1">
        <f t="shared" si="75"/>
        <v>-4.8268942906480747</v>
      </c>
    </row>
    <row r="805" spans="1:11">
      <c r="A805" s="483">
        <f t="shared" si="67"/>
        <v>799</v>
      </c>
      <c r="B805" s="694">
        <v>44346</v>
      </c>
      <c r="C805" s="764">
        <v>0.7402777777777777</v>
      </c>
      <c r="D805" s="761" t="s">
        <v>102</v>
      </c>
      <c r="E805" s="658" t="s">
        <v>161</v>
      </c>
      <c r="F805" s="763">
        <v>100</v>
      </c>
      <c r="G805" s="763">
        <v>0.51</v>
      </c>
      <c r="H805" s="829">
        <f t="shared" si="72"/>
        <v>2.8977272727272727E-2</v>
      </c>
      <c r="I805" s="1">
        <f t="shared" si="73"/>
        <v>4.6051701859880918</v>
      </c>
      <c r="J805" s="1">
        <f t="shared" si="74"/>
        <v>-0.67334455326376563</v>
      </c>
      <c r="K805" s="1">
        <f t="shared" si="75"/>
        <v>-3.5412434553078715</v>
      </c>
    </row>
    <row r="806" spans="1:11">
      <c r="A806" s="483">
        <f t="shared" si="67"/>
        <v>800</v>
      </c>
      <c r="B806" s="694">
        <v>44346</v>
      </c>
      <c r="C806" s="764">
        <v>0.77083333333333337</v>
      </c>
      <c r="D806" s="761" t="s">
        <v>103</v>
      </c>
      <c r="E806" s="658" t="s">
        <v>161</v>
      </c>
      <c r="F806" s="763">
        <v>100</v>
      </c>
      <c r="G806" s="763">
        <v>1.22</v>
      </c>
      <c r="H806" s="829">
        <f t="shared" si="72"/>
        <v>6.931818181818182E-2</v>
      </c>
      <c r="I806" s="1">
        <f t="shared" si="73"/>
        <v>4.6051701859880918</v>
      </c>
      <c r="J806" s="1">
        <f t="shared" si="74"/>
        <v>0.19885085874516517</v>
      </c>
      <c r="K806" s="1">
        <f t="shared" si="75"/>
        <v>-2.669048043298941</v>
      </c>
    </row>
    <row r="807" spans="1:11">
      <c r="A807" s="483">
        <f t="shared" si="67"/>
        <v>801</v>
      </c>
      <c r="B807" s="694">
        <v>44346</v>
      </c>
      <c r="C807" s="764">
        <v>0.77986111111111101</v>
      </c>
      <c r="D807" s="761" t="s">
        <v>103</v>
      </c>
      <c r="E807" s="658" t="s">
        <v>161</v>
      </c>
      <c r="F807" s="763">
        <v>150</v>
      </c>
      <c r="G807" s="763">
        <v>4.6100000000000003</v>
      </c>
      <c r="H807" s="829">
        <f t="shared" si="72"/>
        <v>0.39289772727272726</v>
      </c>
      <c r="I807" s="1">
        <f t="shared" si="73"/>
        <v>5.0106352940962555</v>
      </c>
      <c r="J807" s="1">
        <f t="shared" si="74"/>
        <v>1.5282278570085572</v>
      </c>
      <c r="K807" s="1">
        <f t="shared" si="75"/>
        <v>-0.93420593692738463</v>
      </c>
    </row>
    <row r="808" spans="1:11">
      <c r="A808" s="483">
        <f t="shared" si="67"/>
        <v>802</v>
      </c>
      <c r="B808" s="485">
        <v>44682</v>
      </c>
      <c r="C808" s="473">
        <v>0.78819444444444453</v>
      </c>
      <c r="D808" s="495" t="s">
        <v>109</v>
      </c>
      <c r="E808" s="472" t="s">
        <v>161</v>
      </c>
      <c r="F808" s="486">
        <v>25</v>
      </c>
      <c r="G808" s="611">
        <v>0.02</v>
      </c>
      <c r="H808" s="829">
        <f t="shared" si="72"/>
        <v>2.8409090909090908E-4</v>
      </c>
      <c r="I808" s="1">
        <f t="shared" si="73"/>
        <v>3.2188758248682006</v>
      </c>
      <c r="J808" s="1">
        <f t="shared" si="74"/>
        <v>-3.912023005428146</v>
      </c>
      <c r="K808" s="1">
        <f t="shared" si="75"/>
        <v>-8.1662162685921427</v>
      </c>
    </row>
    <row r="809" spans="1:11">
      <c r="A809" s="483">
        <f t="shared" si="67"/>
        <v>803</v>
      </c>
      <c r="B809" s="485">
        <v>44712</v>
      </c>
      <c r="C809" s="473">
        <v>0.6958333333333333</v>
      </c>
      <c r="D809" s="484" t="s">
        <v>121</v>
      </c>
      <c r="E809" s="472" t="s">
        <v>161</v>
      </c>
      <c r="F809" s="486">
        <v>125</v>
      </c>
      <c r="G809" s="611">
        <v>1.75</v>
      </c>
      <c r="H809" s="829">
        <f t="shared" ref="H809:H811" si="76">+(F809/1760)*G809</f>
        <v>0.12428977272727273</v>
      </c>
      <c r="I809" s="1">
        <f t="shared" ref="I809:I811" si="77">LN(F809)</f>
        <v>4.8283137373023015</v>
      </c>
      <c r="J809" s="1">
        <f t="shared" ref="J809:J811" si="78">LN(G809)</f>
        <v>0.55961578793542266</v>
      </c>
      <c r="K809" s="1">
        <f t="shared" ref="K809:K811" si="79">LN(H809)</f>
        <v>-2.0851395627944735</v>
      </c>
    </row>
    <row r="810" spans="1:11">
      <c r="A810" s="483">
        <f t="shared" si="67"/>
        <v>804</v>
      </c>
      <c r="B810" s="485">
        <v>44712</v>
      </c>
      <c r="C810" s="473">
        <v>0.70416666666666661</v>
      </c>
      <c r="D810" s="484" t="s">
        <v>121</v>
      </c>
      <c r="E810" s="472" t="s">
        <v>161</v>
      </c>
      <c r="F810" s="486">
        <v>180</v>
      </c>
      <c r="G810" s="611">
        <v>1.92</v>
      </c>
      <c r="H810" s="829">
        <f t="shared" si="76"/>
        <v>0.19636363636363638</v>
      </c>
      <c r="I810" s="1">
        <f t="shared" si="77"/>
        <v>5.1929568508902104</v>
      </c>
      <c r="J810" s="1">
        <f t="shared" si="78"/>
        <v>0.65232518603969014</v>
      </c>
      <c r="K810" s="1">
        <f t="shared" si="79"/>
        <v>-1.6277870511022969</v>
      </c>
    </row>
    <row r="811" spans="1:11">
      <c r="A811" s="483">
        <f t="shared" si="67"/>
        <v>805</v>
      </c>
      <c r="B811" s="485">
        <v>44781</v>
      </c>
      <c r="C811" s="473">
        <v>0.74236111111111114</v>
      </c>
      <c r="D811" s="484" t="s">
        <v>108</v>
      </c>
      <c r="E811" s="472" t="s">
        <v>161</v>
      </c>
      <c r="F811" s="486">
        <v>40</v>
      </c>
      <c r="G811" s="611">
        <v>1.38</v>
      </c>
      <c r="H811" s="829">
        <f t="shared" si="76"/>
        <v>3.1363636363636364E-2</v>
      </c>
      <c r="I811" s="1">
        <f t="shared" si="77"/>
        <v>3.6888794541139363</v>
      </c>
      <c r="J811" s="1">
        <f t="shared" si="78"/>
        <v>0.32208349916911322</v>
      </c>
      <c r="K811" s="1">
        <f t="shared" si="79"/>
        <v>-3.4621061347491477</v>
      </c>
    </row>
    <row r="812" spans="1:11" s="1211" customFormat="1">
      <c r="A812" s="1212">
        <f t="shared" si="67"/>
        <v>806</v>
      </c>
      <c r="B812" s="1219">
        <v>44907</v>
      </c>
      <c r="C812" s="1220">
        <v>0.88958333333333339</v>
      </c>
      <c r="D812" s="1221" t="s">
        <v>101</v>
      </c>
      <c r="E812" s="1214" t="s">
        <v>161</v>
      </c>
      <c r="F812" s="1222">
        <v>50</v>
      </c>
      <c r="G812" s="1223">
        <v>1.2</v>
      </c>
      <c r="H812" s="1224">
        <f t="shared" si="72"/>
        <v>3.4090909090909088E-2</v>
      </c>
      <c r="I812" s="1225">
        <f t="shared" si="73"/>
        <v>3.912023005428146</v>
      </c>
      <c r="J812" s="1225">
        <f t="shared" si="74"/>
        <v>0.18232155679395459</v>
      </c>
      <c r="K812" s="1225">
        <f t="shared" si="75"/>
        <v>-3.3787245258100969</v>
      </c>
    </row>
    <row r="813" spans="1:11" s="1211" customFormat="1">
      <c r="A813" s="1212">
        <f t="shared" si="67"/>
        <v>807</v>
      </c>
      <c r="B813" s="1219">
        <v>44907</v>
      </c>
      <c r="C813" s="1220">
        <v>0.90138888888888891</v>
      </c>
      <c r="D813" s="1221" t="s">
        <v>101</v>
      </c>
      <c r="E813" s="1214" t="s">
        <v>161</v>
      </c>
      <c r="F813" s="1222">
        <v>50</v>
      </c>
      <c r="G813" s="1223">
        <v>0.7</v>
      </c>
      <c r="H813" s="1224">
        <f t="shared" si="72"/>
        <v>1.9886363636363636E-2</v>
      </c>
      <c r="I813" s="1225">
        <f t="shared" si="73"/>
        <v>3.912023005428146</v>
      </c>
      <c r="J813" s="1225">
        <f t="shared" si="74"/>
        <v>-0.35667494393873245</v>
      </c>
      <c r="K813" s="1225">
        <f t="shared" si="75"/>
        <v>-3.9177210265427838</v>
      </c>
    </row>
    <row r="814" spans="1:11">
      <c r="A814" s="483">
        <f t="shared" si="67"/>
        <v>808</v>
      </c>
      <c r="B814" s="72"/>
      <c r="C814" s="73"/>
      <c r="D814" s="74"/>
      <c r="E814" s="658" t="s">
        <v>161</v>
      </c>
      <c r="F814" s="75"/>
      <c r="G814" s="201"/>
      <c r="H814" s="828">
        <f t="shared" si="72"/>
        <v>0</v>
      </c>
      <c r="I814" s="1" t="e">
        <f t="shared" si="73"/>
        <v>#NUM!</v>
      </c>
      <c r="J814" s="1" t="e">
        <f t="shared" si="74"/>
        <v>#NUM!</v>
      </c>
      <c r="K814" s="1" t="e">
        <f t="shared" si="75"/>
        <v>#NUM!</v>
      </c>
    </row>
    <row r="815" spans="1:11">
      <c r="A815" s="483">
        <f t="shared" si="67"/>
        <v>809</v>
      </c>
      <c r="B815" s="72"/>
      <c r="C815" s="73"/>
      <c r="D815" s="74"/>
      <c r="E815" s="658" t="s">
        <v>161</v>
      </c>
      <c r="F815" s="75"/>
      <c r="G815" s="201"/>
      <c r="H815" s="828">
        <f t="shared" si="72"/>
        <v>0</v>
      </c>
      <c r="I815" s="1" t="e">
        <f t="shared" si="73"/>
        <v>#NUM!</v>
      </c>
      <c r="J815" s="1" t="e">
        <f t="shared" si="74"/>
        <v>#NUM!</v>
      </c>
      <c r="K815" s="1" t="e">
        <f t="shared" si="75"/>
        <v>#NUM!</v>
      </c>
    </row>
    <row r="816" spans="1:11">
      <c r="A816" s="483">
        <f t="shared" si="67"/>
        <v>810</v>
      </c>
      <c r="B816" s="72"/>
      <c r="C816" s="73"/>
      <c r="D816" s="74"/>
      <c r="E816" s="658" t="s">
        <v>161</v>
      </c>
      <c r="F816" s="75"/>
      <c r="G816" s="201"/>
      <c r="H816" s="828">
        <f t="shared" si="72"/>
        <v>0</v>
      </c>
      <c r="I816" s="1" t="e">
        <f t="shared" si="73"/>
        <v>#NUM!</v>
      </c>
      <c r="J816" s="1" t="e">
        <f t="shared" si="74"/>
        <v>#NUM!</v>
      </c>
      <c r="K816" s="1" t="e">
        <f t="shared" si="75"/>
        <v>#NUM!</v>
      </c>
    </row>
    <row r="817" spans="1:11">
      <c r="A817" s="483">
        <f t="shared" si="67"/>
        <v>811</v>
      </c>
      <c r="B817" s="72"/>
      <c r="C817" s="73"/>
      <c r="D817" s="74"/>
      <c r="E817" s="658" t="s">
        <v>161</v>
      </c>
      <c r="F817" s="75"/>
      <c r="G817" s="201"/>
      <c r="H817" s="828">
        <f t="shared" si="72"/>
        <v>0</v>
      </c>
      <c r="I817" s="1" t="e">
        <f t="shared" si="73"/>
        <v>#NUM!</v>
      </c>
      <c r="J817" s="1" t="e">
        <f t="shared" si="74"/>
        <v>#NUM!</v>
      </c>
      <c r="K817" s="1" t="e">
        <f t="shared" si="75"/>
        <v>#NUM!</v>
      </c>
    </row>
    <row r="818" spans="1:11">
      <c r="A818" s="483">
        <f t="shared" si="67"/>
        <v>812</v>
      </c>
      <c r="B818" s="72"/>
      <c r="C818" s="73"/>
      <c r="D818" s="74"/>
      <c r="E818" s="658" t="s">
        <v>161</v>
      </c>
      <c r="F818" s="75"/>
      <c r="G818" s="201"/>
      <c r="H818" s="828">
        <f t="shared" si="72"/>
        <v>0</v>
      </c>
      <c r="I818" s="1" t="e">
        <f t="shared" si="73"/>
        <v>#NUM!</v>
      </c>
      <c r="J818" s="1" t="e">
        <f t="shared" si="74"/>
        <v>#NUM!</v>
      </c>
      <c r="K818" s="1" t="e">
        <f t="shared" si="75"/>
        <v>#NUM!</v>
      </c>
    </row>
    <row r="819" spans="1:11">
      <c r="A819" s="483">
        <f t="shared" si="67"/>
        <v>813</v>
      </c>
      <c r="B819" s="72"/>
      <c r="C819" s="73"/>
      <c r="D819" s="74"/>
      <c r="E819" s="658" t="s">
        <v>161</v>
      </c>
      <c r="F819" s="75"/>
      <c r="G819" s="201"/>
      <c r="H819" s="828">
        <f t="shared" si="72"/>
        <v>0</v>
      </c>
      <c r="I819" s="1" t="e">
        <f t="shared" si="73"/>
        <v>#NUM!</v>
      </c>
      <c r="J819" s="1" t="e">
        <f t="shared" si="74"/>
        <v>#NUM!</v>
      </c>
      <c r="K819" s="1" t="e">
        <f t="shared" si="75"/>
        <v>#NUM!</v>
      </c>
    </row>
    <row r="820" spans="1:11">
      <c r="A820" s="483">
        <f t="shared" si="67"/>
        <v>814</v>
      </c>
      <c r="B820" s="72"/>
      <c r="C820" s="73"/>
      <c r="D820" s="74"/>
      <c r="E820" s="658" t="s">
        <v>161</v>
      </c>
      <c r="F820" s="75"/>
      <c r="G820" s="201"/>
      <c r="H820" s="828">
        <f t="shared" si="72"/>
        <v>0</v>
      </c>
      <c r="I820" s="1" t="e">
        <f t="shared" si="73"/>
        <v>#NUM!</v>
      </c>
      <c r="J820" s="1" t="e">
        <f t="shared" si="74"/>
        <v>#NUM!</v>
      </c>
      <c r="K820" s="1" t="e">
        <f t="shared" si="75"/>
        <v>#NUM!</v>
      </c>
    </row>
    <row r="821" spans="1:11">
      <c r="A821" s="483">
        <f t="shared" si="67"/>
        <v>815</v>
      </c>
      <c r="B821" s="72"/>
      <c r="C821" s="73"/>
      <c r="D821" s="74"/>
      <c r="E821" s="658" t="s">
        <v>161</v>
      </c>
      <c r="F821" s="75"/>
      <c r="G821" s="201"/>
      <c r="H821" s="828">
        <f t="shared" si="72"/>
        <v>0</v>
      </c>
      <c r="I821" s="1" t="e">
        <f t="shared" si="73"/>
        <v>#NUM!</v>
      </c>
      <c r="J821" s="1" t="e">
        <f t="shared" si="74"/>
        <v>#NUM!</v>
      </c>
      <c r="K821" s="1" t="e">
        <f t="shared" si="75"/>
        <v>#NUM!</v>
      </c>
    </row>
    <row r="822" spans="1:11">
      <c r="A822" s="483">
        <f t="shared" si="67"/>
        <v>816</v>
      </c>
      <c r="B822" s="72"/>
      <c r="C822" s="73"/>
      <c r="D822" s="74"/>
      <c r="E822" s="658" t="s">
        <v>161</v>
      </c>
      <c r="F822" s="75"/>
      <c r="G822" s="201"/>
      <c r="H822" s="828">
        <f t="shared" si="72"/>
        <v>0</v>
      </c>
      <c r="I822" s="1" t="e">
        <f t="shared" si="73"/>
        <v>#NUM!</v>
      </c>
      <c r="J822" s="1" t="e">
        <f t="shared" si="74"/>
        <v>#NUM!</v>
      </c>
      <c r="K822" s="1" t="e">
        <f t="shared" si="75"/>
        <v>#NUM!</v>
      </c>
    </row>
    <row r="823" spans="1:11">
      <c r="A823" s="483">
        <f t="shared" si="67"/>
        <v>817</v>
      </c>
      <c r="B823" s="72"/>
      <c r="C823" s="73"/>
      <c r="D823" s="74"/>
      <c r="E823" s="658" t="s">
        <v>161</v>
      </c>
      <c r="F823" s="75"/>
      <c r="G823" s="201"/>
      <c r="H823" s="828">
        <f t="shared" si="72"/>
        <v>0</v>
      </c>
      <c r="I823" s="1" t="e">
        <f t="shared" si="73"/>
        <v>#NUM!</v>
      </c>
      <c r="J823" s="1" t="e">
        <f t="shared" si="74"/>
        <v>#NUM!</v>
      </c>
      <c r="K823" s="1" t="e">
        <f t="shared" si="75"/>
        <v>#NUM!</v>
      </c>
    </row>
    <row r="824" spans="1:11">
      <c r="A824" s="483">
        <f t="shared" si="67"/>
        <v>818</v>
      </c>
      <c r="B824" s="72"/>
      <c r="C824" s="73"/>
      <c r="D824" s="74"/>
      <c r="E824" s="658" t="s">
        <v>161</v>
      </c>
      <c r="F824" s="75"/>
      <c r="G824" s="201"/>
      <c r="H824" s="828">
        <f t="shared" si="72"/>
        <v>0</v>
      </c>
      <c r="I824" s="1" t="e">
        <f t="shared" si="73"/>
        <v>#NUM!</v>
      </c>
      <c r="J824" s="1" t="e">
        <f t="shared" si="74"/>
        <v>#NUM!</v>
      </c>
      <c r="K824" s="1" t="e">
        <f t="shared" si="75"/>
        <v>#NUM!</v>
      </c>
    </row>
    <row r="825" spans="1:11">
      <c r="A825" s="483">
        <f t="shared" si="67"/>
        <v>819</v>
      </c>
      <c r="B825" s="72"/>
      <c r="C825" s="73"/>
      <c r="D825" s="74"/>
      <c r="E825" s="658" t="s">
        <v>161</v>
      </c>
      <c r="F825" s="75"/>
      <c r="G825" s="201"/>
      <c r="H825" s="828">
        <f t="shared" si="72"/>
        <v>0</v>
      </c>
      <c r="I825" s="1" t="e">
        <f t="shared" si="73"/>
        <v>#NUM!</v>
      </c>
      <c r="J825" s="1" t="e">
        <f t="shared" si="74"/>
        <v>#NUM!</v>
      </c>
      <c r="K825" s="1" t="e">
        <f t="shared" si="75"/>
        <v>#NUM!</v>
      </c>
    </row>
    <row r="826" spans="1:11">
      <c r="A826" s="483">
        <f t="shared" si="67"/>
        <v>820</v>
      </c>
      <c r="B826" s="72"/>
      <c r="C826" s="73"/>
      <c r="D826" s="74"/>
      <c r="E826" s="658" t="s">
        <v>161</v>
      </c>
      <c r="F826" s="75"/>
      <c r="G826" s="201"/>
      <c r="H826" s="828">
        <f t="shared" si="72"/>
        <v>0</v>
      </c>
      <c r="I826" s="1" t="e">
        <f t="shared" si="73"/>
        <v>#NUM!</v>
      </c>
      <c r="J826" s="1" t="e">
        <f t="shared" si="74"/>
        <v>#NUM!</v>
      </c>
      <c r="K826" s="1" t="e">
        <f t="shared" si="75"/>
        <v>#NUM!</v>
      </c>
    </row>
    <row r="827" spans="1:11">
      <c r="A827" s="483">
        <f t="shared" si="67"/>
        <v>821</v>
      </c>
      <c r="B827" s="72"/>
      <c r="C827" s="73"/>
      <c r="D827" s="74"/>
      <c r="E827" s="658" t="s">
        <v>161</v>
      </c>
      <c r="F827" s="75"/>
      <c r="G827" s="201"/>
      <c r="H827" s="828">
        <f t="shared" si="72"/>
        <v>0</v>
      </c>
      <c r="I827" s="1" t="e">
        <f t="shared" si="73"/>
        <v>#NUM!</v>
      </c>
      <c r="J827" s="1" t="e">
        <f t="shared" si="74"/>
        <v>#NUM!</v>
      </c>
      <c r="K827" s="1" t="e">
        <f t="shared" si="75"/>
        <v>#NUM!</v>
      </c>
    </row>
    <row r="828" spans="1:11">
      <c r="A828" s="483">
        <f t="shared" si="67"/>
        <v>822</v>
      </c>
      <c r="B828" s="72"/>
      <c r="C828" s="73"/>
      <c r="D828" s="74"/>
      <c r="E828" s="658" t="s">
        <v>161</v>
      </c>
      <c r="F828" s="75"/>
      <c r="G828" s="201"/>
      <c r="H828" s="828">
        <f t="shared" si="72"/>
        <v>0</v>
      </c>
      <c r="I828" s="1" t="e">
        <f t="shared" si="73"/>
        <v>#NUM!</v>
      </c>
      <c r="J828" s="1" t="e">
        <f t="shared" si="74"/>
        <v>#NUM!</v>
      </c>
      <c r="K828" s="1" t="e">
        <f t="shared" si="75"/>
        <v>#NUM!</v>
      </c>
    </row>
    <row r="829" spans="1:11">
      <c r="A829" s="483">
        <f t="shared" si="67"/>
        <v>823</v>
      </c>
      <c r="B829" s="72"/>
      <c r="C829" s="73"/>
      <c r="D829" s="74"/>
      <c r="E829" s="658" t="s">
        <v>161</v>
      </c>
      <c r="F829" s="75"/>
      <c r="G829" s="201"/>
      <c r="H829" s="828">
        <f t="shared" si="72"/>
        <v>0</v>
      </c>
      <c r="I829" s="1" t="e">
        <f t="shared" si="73"/>
        <v>#NUM!</v>
      </c>
      <c r="J829" s="1" t="e">
        <f t="shared" si="74"/>
        <v>#NUM!</v>
      </c>
      <c r="K829" s="1" t="e">
        <f t="shared" si="75"/>
        <v>#NUM!</v>
      </c>
    </row>
    <row r="830" spans="1:11">
      <c r="A830" s="483">
        <f t="shared" si="67"/>
        <v>824</v>
      </c>
      <c r="B830" s="72"/>
      <c r="C830" s="73"/>
      <c r="D830" s="74"/>
      <c r="E830" s="658" t="s">
        <v>161</v>
      </c>
      <c r="F830" s="75"/>
      <c r="G830" s="201"/>
      <c r="H830" s="828">
        <f t="shared" si="72"/>
        <v>0</v>
      </c>
      <c r="I830" s="1" t="e">
        <f t="shared" si="73"/>
        <v>#NUM!</v>
      </c>
      <c r="J830" s="1" t="e">
        <f t="shared" si="74"/>
        <v>#NUM!</v>
      </c>
      <c r="K830" s="1" t="e">
        <f t="shared" si="75"/>
        <v>#NUM!</v>
      </c>
    </row>
    <row r="831" spans="1:11">
      <c r="A831" s="483">
        <f t="shared" si="67"/>
        <v>825</v>
      </c>
      <c r="B831" s="72"/>
      <c r="C831" s="73"/>
      <c r="D831" s="74"/>
      <c r="E831" s="658" t="s">
        <v>161</v>
      </c>
      <c r="F831" s="75"/>
      <c r="G831" s="201"/>
      <c r="H831" s="828">
        <f t="shared" si="72"/>
        <v>0</v>
      </c>
      <c r="I831" s="1" t="e">
        <f t="shared" si="73"/>
        <v>#NUM!</v>
      </c>
      <c r="J831" s="1" t="e">
        <f t="shared" si="74"/>
        <v>#NUM!</v>
      </c>
      <c r="K831" s="1" t="e">
        <f t="shared" si="75"/>
        <v>#NUM!</v>
      </c>
    </row>
    <row r="832" spans="1:11">
      <c r="A832" s="483">
        <f t="shared" si="67"/>
        <v>826</v>
      </c>
      <c r="B832" s="72"/>
      <c r="C832" s="73"/>
      <c r="D832" s="74"/>
      <c r="E832" s="658" t="s">
        <v>161</v>
      </c>
      <c r="F832" s="75"/>
      <c r="G832" s="201"/>
      <c r="H832" s="828">
        <f t="shared" si="72"/>
        <v>0</v>
      </c>
      <c r="I832" s="1" t="e">
        <f t="shared" si="73"/>
        <v>#NUM!</v>
      </c>
      <c r="J832" s="1" t="e">
        <f t="shared" si="74"/>
        <v>#NUM!</v>
      </c>
      <c r="K832" s="1" t="e">
        <f t="shared" si="75"/>
        <v>#NUM!</v>
      </c>
    </row>
    <row r="833" spans="1:11">
      <c r="A833" s="483">
        <f t="shared" si="67"/>
        <v>827</v>
      </c>
      <c r="B833" s="72"/>
      <c r="C833" s="73"/>
      <c r="D833" s="74"/>
      <c r="E833" s="658" t="s">
        <v>161</v>
      </c>
      <c r="F833" s="75"/>
      <c r="G833" s="201"/>
      <c r="H833" s="828">
        <f t="shared" si="72"/>
        <v>0</v>
      </c>
      <c r="I833" s="1" t="e">
        <f t="shared" si="73"/>
        <v>#NUM!</v>
      </c>
      <c r="J833" s="1" t="e">
        <f t="shared" si="74"/>
        <v>#NUM!</v>
      </c>
      <c r="K833" s="1" t="e">
        <f t="shared" si="75"/>
        <v>#NUM!</v>
      </c>
    </row>
    <row r="834" spans="1:11">
      <c r="A834" s="483">
        <f t="shared" si="67"/>
        <v>828</v>
      </c>
      <c r="B834" s="72"/>
      <c r="C834" s="73"/>
      <c r="D834" s="74"/>
      <c r="E834" s="658" t="s">
        <v>161</v>
      </c>
      <c r="F834" s="75"/>
      <c r="G834" s="201"/>
      <c r="H834" s="828">
        <f t="shared" si="72"/>
        <v>0</v>
      </c>
      <c r="I834" s="1" t="e">
        <f t="shared" si="73"/>
        <v>#NUM!</v>
      </c>
      <c r="J834" s="1" t="e">
        <f t="shared" si="74"/>
        <v>#NUM!</v>
      </c>
      <c r="K834" s="1" t="e">
        <f t="shared" si="75"/>
        <v>#NUM!</v>
      </c>
    </row>
    <row r="835" spans="1:11">
      <c r="A835" s="483">
        <f t="shared" si="67"/>
        <v>829</v>
      </c>
      <c r="B835" s="72"/>
      <c r="C835" s="73"/>
      <c r="D835" s="74"/>
      <c r="E835" s="658" t="s">
        <v>161</v>
      </c>
      <c r="F835" s="75"/>
      <c r="G835" s="201"/>
      <c r="H835" s="828">
        <f t="shared" si="72"/>
        <v>0</v>
      </c>
      <c r="I835" s="1" t="e">
        <f t="shared" si="73"/>
        <v>#NUM!</v>
      </c>
      <c r="J835" s="1" t="e">
        <f t="shared" si="74"/>
        <v>#NUM!</v>
      </c>
      <c r="K835" s="1" t="e">
        <f t="shared" si="75"/>
        <v>#NUM!</v>
      </c>
    </row>
    <row r="836" spans="1:11">
      <c r="A836" s="483">
        <f t="shared" si="67"/>
        <v>830</v>
      </c>
      <c r="B836" s="72"/>
      <c r="C836" s="73"/>
      <c r="D836" s="74"/>
      <c r="E836" s="658" t="s">
        <v>161</v>
      </c>
      <c r="F836" s="75"/>
      <c r="G836" s="201"/>
      <c r="H836" s="828">
        <f t="shared" si="72"/>
        <v>0</v>
      </c>
      <c r="I836" s="1" t="e">
        <f t="shared" si="73"/>
        <v>#NUM!</v>
      </c>
      <c r="J836" s="1" t="e">
        <f t="shared" si="74"/>
        <v>#NUM!</v>
      </c>
      <c r="K836" s="1" t="e">
        <f t="shared" si="75"/>
        <v>#NUM!</v>
      </c>
    </row>
    <row r="837" spans="1:11">
      <c r="A837" s="483">
        <f t="shared" si="67"/>
        <v>831</v>
      </c>
      <c r="B837" s="72"/>
      <c r="C837" s="73"/>
      <c r="D837" s="74"/>
      <c r="E837" s="658" t="s">
        <v>161</v>
      </c>
      <c r="F837" s="75"/>
      <c r="G837" s="201"/>
      <c r="H837" s="828">
        <f t="shared" si="72"/>
        <v>0</v>
      </c>
      <c r="I837" s="1" t="e">
        <f t="shared" si="73"/>
        <v>#NUM!</v>
      </c>
      <c r="J837" s="1" t="e">
        <f t="shared" si="74"/>
        <v>#NUM!</v>
      </c>
      <c r="K837" s="1" t="e">
        <f t="shared" si="75"/>
        <v>#NUM!</v>
      </c>
    </row>
    <row r="838" spans="1:11">
      <c r="A838" s="483">
        <f t="shared" si="67"/>
        <v>832</v>
      </c>
      <c r="B838" s="72"/>
      <c r="C838" s="73"/>
      <c r="D838" s="74"/>
      <c r="E838" s="658" t="s">
        <v>161</v>
      </c>
      <c r="F838" s="75"/>
      <c r="G838" s="201"/>
      <c r="H838" s="828">
        <f t="shared" si="72"/>
        <v>0</v>
      </c>
      <c r="I838" s="1" t="e">
        <f t="shared" si="73"/>
        <v>#NUM!</v>
      </c>
      <c r="J838" s="1" t="e">
        <f t="shared" si="74"/>
        <v>#NUM!</v>
      </c>
      <c r="K838" s="1" t="e">
        <f t="shared" si="75"/>
        <v>#NUM!</v>
      </c>
    </row>
    <row r="839" spans="1:11">
      <c r="A839" s="483">
        <f t="shared" si="67"/>
        <v>833</v>
      </c>
      <c r="B839" s="72"/>
      <c r="C839" s="73"/>
      <c r="D839" s="74"/>
      <c r="E839" s="658" t="s">
        <v>161</v>
      </c>
      <c r="F839" s="75"/>
      <c r="G839" s="201"/>
      <c r="H839" s="828">
        <f t="shared" si="72"/>
        <v>0</v>
      </c>
      <c r="I839" s="1" t="e">
        <f t="shared" si="73"/>
        <v>#NUM!</v>
      </c>
      <c r="J839" s="1" t="e">
        <f t="shared" si="74"/>
        <v>#NUM!</v>
      </c>
      <c r="K839" s="1" t="e">
        <f t="shared" si="75"/>
        <v>#NUM!</v>
      </c>
    </row>
    <row r="840" spans="1:11">
      <c r="A840" s="483">
        <f t="shared" si="67"/>
        <v>834</v>
      </c>
      <c r="B840" s="72"/>
      <c r="C840" s="73"/>
      <c r="D840" s="74"/>
      <c r="E840" s="658" t="s">
        <v>161</v>
      </c>
      <c r="F840" s="75"/>
      <c r="G840" s="201"/>
      <c r="H840" s="828">
        <f t="shared" si="72"/>
        <v>0</v>
      </c>
      <c r="I840" s="1" t="e">
        <f t="shared" si="73"/>
        <v>#NUM!</v>
      </c>
      <c r="J840" s="1" t="e">
        <f t="shared" si="74"/>
        <v>#NUM!</v>
      </c>
      <c r="K840" s="1" t="e">
        <f t="shared" si="75"/>
        <v>#NUM!</v>
      </c>
    </row>
    <row r="841" spans="1:11">
      <c r="A841" s="483">
        <f t="shared" si="67"/>
        <v>835</v>
      </c>
      <c r="B841" s="72"/>
      <c r="C841" s="73"/>
      <c r="D841" s="74"/>
      <c r="E841" s="658" t="s">
        <v>161</v>
      </c>
      <c r="F841" s="75"/>
      <c r="G841" s="201"/>
      <c r="H841" s="828">
        <f t="shared" si="72"/>
        <v>0</v>
      </c>
      <c r="I841" s="1" t="e">
        <f t="shared" si="73"/>
        <v>#NUM!</v>
      </c>
      <c r="J841" s="1" t="e">
        <f t="shared" si="74"/>
        <v>#NUM!</v>
      </c>
      <c r="K841" s="1" t="e">
        <f t="shared" si="75"/>
        <v>#NUM!</v>
      </c>
    </row>
    <row r="842" spans="1:11">
      <c r="A842" s="483">
        <f t="shared" ref="A842:A905" si="80">+A841+1</f>
        <v>836</v>
      </c>
      <c r="B842" s="72"/>
      <c r="C842" s="73"/>
      <c r="D842" s="74"/>
      <c r="E842" s="658" t="s">
        <v>161</v>
      </c>
      <c r="F842" s="75"/>
      <c r="G842" s="201"/>
      <c r="H842" s="828">
        <f t="shared" si="72"/>
        <v>0</v>
      </c>
      <c r="I842" s="1" t="e">
        <f t="shared" si="73"/>
        <v>#NUM!</v>
      </c>
      <c r="J842" s="1" t="e">
        <f t="shared" si="74"/>
        <v>#NUM!</v>
      </c>
      <c r="K842" s="1" t="e">
        <f t="shared" si="75"/>
        <v>#NUM!</v>
      </c>
    </row>
    <row r="843" spans="1:11">
      <c r="A843" s="483">
        <f t="shared" si="80"/>
        <v>837</v>
      </c>
      <c r="B843" s="72"/>
      <c r="C843" s="73"/>
      <c r="D843" s="74"/>
      <c r="E843" s="658" t="s">
        <v>161</v>
      </c>
      <c r="F843" s="75"/>
      <c r="G843" s="201"/>
      <c r="H843" s="828">
        <f t="shared" si="72"/>
        <v>0</v>
      </c>
      <c r="I843" s="1" t="e">
        <f t="shared" si="73"/>
        <v>#NUM!</v>
      </c>
      <c r="J843" s="1" t="e">
        <f t="shared" si="74"/>
        <v>#NUM!</v>
      </c>
      <c r="K843" s="1" t="e">
        <f t="shared" si="75"/>
        <v>#NUM!</v>
      </c>
    </row>
    <row r="844" spans="1:11">
      <c r="A844" s="483">
        <f t="shared" si="80"/>
        <v>838</v>
      </c>
      <c r="B844" s="72"/>
      <c r="C844" s="73"/>
      <c r="D844" s="74"/>
      <c r="E844" s="658" t="s">
        <v>161</v>
      </c>
      <c r="F844" s="75"/>
      <c r="G844" s="201"/>
      <c r="H844" s="828">
        <f t="shared" si="72"/>
        <v>0</v>
      </c>
      <c r="I844" s="1" t="e">
        <f t="shared" si="73"/>
        <v>#NUM!</v>
      </c>
      <c r="J844" s="1" t="e">
        <f t="shared" si="74"/>
        <v>#NUM!</v>
      </c>
      <c r="K844" s="1" t="e">
        <f t="shared" si="75"/>
        <v>#NUM!</v>
      </c>
    </row>
    <row r="845" spans="1:11">
      <c r="A845" s="483">
        <f t="shared" si="80"/>
        <v>839</v>
      </c>
      <c r="B845" s="72"/>
      <c r="C845" s="73"/>
      <c r="D845" s="74"/>
      <c r="E845" s="658" t="s">
        <v>161</v>
      </c>
      <c r="F845" s="75"/>
      <c r="G845" s="201"/>
      <c r="H845" s="828">
        <f t="shared" si="72"/>
        <v>0</v>
      </c>
      <c r="I845" s="1" t="e">
        <f t="shared" si="73"/>
        <v>#NUM!</v>
      </c>
      <c r="J845" s="1" t="e">
        <f t="shared" si="74"/>
        <v>#NUM!</v>
      </c>
      <c r="K845" s="1" t="e">
        <f t="shared" si="75"/>
        <v>#NUM!</v>
      </c>
    </row>
    <row r="846" spans="1:11">
      <c r="A846" s="483">
        <f t="shared" si="80"/>
        <v>840</v>
      </c>
      <c r="B846" s="72"/>
      <c r="C846" s="73"/>
      <c r="D846" s="74"/>
      <c r="E846" s="658" t="s">
        <v>161</v>
      </c>
      <c r="F846" s="75"/>
      <c r="G846" s="201"/>
      <c r="H846" s="828">
        <f t="shared" si="72"/>
        <v>0</v>
      </c>
      <c r="I846" s="1" t="e">
        <f t="shared" si="73"/>
        <v>#NUM!</v>
      </c>
      <c r="J846" s="1" t="e">
        <f t="shared" si="74"/>
        <v>#NUM!</v>
      </c>
      <c r="K846" s="1" t="e">
        <f t="shared" si="75"/>
        <v>#NUM!</v>
      </c>
    </row>
    <row r="847" spans="1:11">
      <c r="A847" s="483">
        <f t="shared" si="80"/>
        <v>841</v>
      </c>
      <c r="B847" s="72"/>
      <c r="C847" s="73"/>
      <c r="D847" s="74"/>
      <c r="E847" s="658" t="s">
        <v>161</v>
      </c>
      <c r="F847" s="75"/>
      <c r="G847" s="201"/>
      <c r="H847" s="828">
        <f t="shared" si="72"/>
        <v>0</v>
      </c>
      <c r="I847" s="1" t="e">
        <f t="shared" si="73"/>
        <v>#NUM!</v>
      </c>
      <c r="J847" s="1" t="e">
        <f t="shared" si="74"/>
        <v>#NUM!</v>
      </c>
      <c r="K847" s="1" t="e">
        <f t="shared" si="75"/>
        <v>#NUM!</v>
      </c>
    </row>
    <row r="848" spans="1:11">
      <c r="A848" s="483">
        <f t="shared" si="80"/>
        <v>842</v>
      </c>
      <c r="B848" s="72"/>
      <c r="C848" s="73"/>
      <c r="D848" s="74"/>
      <c r="E848" s="658" t="s">
        <v>161</v>
      </c>
      <c r="F848" s="75"/>
      <c r="G848" s="201"/>
      <c r="H848" s="828">
        <f t="shared" si="72"/>
        <v>0</v>
      </c>
      <c r="I848" s="1" t="e">
        <f t="shared" si="73"/>
        <v>#NUM!</v>
      </c>
      <c r="J848" s="1" t="e">
        <f t="shared" si="74"/>
        <v>#NUM!</v>
      </c>
      <c r="K848" s="1" t="e">
        <f t="shared" si="75"/>
        <v>#NUM!</v>
      </c>
    </row>
    <row r="849" spans="1:11">
      <c r="A849" s="483">
        <f t="shared" si="80"/>
        <v>843</v>
      </c>
      <c r="B849" s="72"/>
      <c r="C849" s="73"/>
      <c r="D849" s="74"/>
      <c r="E849" s="658" t="s">
        <v>161</v>
      </c>
      <c r="F849" s="75"/>
      <c r="G849" s="201"/>
      <c r="H849" s="828">
        <f t="shared" si="72"/>
        <v>0</v>
      </c>
      <c r="I849" s="1" t="e">
        <f t="shared" si="73"/>
        <v>#NUM!</v>
      </c>
      <c r="J849" s="1" t="e">
        <f t="shared" si="74"/>
        <v>#NUM!</v>
      </c>
      <c r="K849" s="1" t="e">
        <f t="shared" si="75"/>
        <v>#NUM!</v>
      </c>
    </row>
    <row r="850" spans="1:11">
      <c r="A850" s="483">
        <f t="shared" si="80"/>
        <v>844</v>
      </c>
      <c r="B850" s="72"/>
      <c r="C850" s="73"/>
      <c r="D850" s="74"/>
      <c r="E850" s="658" t="s">
        <v>161</v>
      </c>
      <c r="F850" s="75"/>
      <c r="G850" s="201"/>
      <c r="H850" s="828">
        <f t="shared" si="72"/>
        <v>0</v>
      </c>
      <c r="I850" s="1" t="e">
        <f t="shared" si="73"/>
        <v>#NUM!</v>
      </c>
      <c r="J850" s="1" t="e">
        <f t="shared" si="74"/>
        <v>#NUM!</v>
      </c>
      <c r="K850" s="1" t="e">
        <f t="shared" si="75"/>
        <v>#NUM!</v>
      </c>
    </row>
    <row r="851" spans="1:11">
      <c r="A851" s="483">
        <f t="shared" si="80"/>
        <v>845</v>
      </c>
      <c r="B851" s="72"/>
      <c r="C851" s="73"/>
      <c r="D851" s="74"/>
      <c r="E851" s="658" t="s">
        <v>161</v>
      </c>
      <c r="F851" s="75"/>
      <c r="G851" s="201"/>
      <c r="H851" s="828">
        <f t="shared" si="72"/>
        <v>0</v>
      </c>
      <c r="I851" s="1" t="e">
        <f t="shared" si="73"/>
        <v>#NUM!</v>
      </c>
      <c r="J851" s="1" t="e">
        <f t="shared" si="74"/>
        <v>#NUM!</v>
      </c>
      <c r="K851" s="1" t="e">
        <f t="shared" si="75"/>
        <v>#NUM!</v>
      </c>
    </row>
    <row r="852" spans="1:11">
      <c r="A852" s="483">
        <f t="shared" si="80"/>
        <v>846</v>
      </c>
      <c r="B852" s="72"/>
      <c r="C852" s="73"/>
      <c r="D852" s="74"/>
      <c r="E852" s="658" t="s">
        <v>161</v>
      </c>
      <c r="F852" s="75"/>
      <c r="G852" s="201"/>
      <c r="H852" s="828">
        <f t="shared" si="72"/>
        <v>0</v>
      </c>
      <c r="I852" s="1" t="e">
        <f t="shared" si="73"/>
        <v>#NUM!</v>
      </c>
      <c r="J852" s="1" t="e">
        <f t="shared" si="74"/>
        <v>#NUM!</v>
      </c>
      <c r="K852" s="1" t="e">
        <f t="shared" si="75"/>
        <v>#NUM!</v>
      </c>
    </row>
    <row r="853" spans="1:11">
      <c r="A853" s="483">
        <f t="shared" si="80"/>
        <v>847</v>
      </c>
      <c r="B853" s="72"/>
      <c r="C853" s="73"/>
      <c r="D853" s="74"/>
      <c r="E853" s="658" t="s">
        <v>161</v>
      </c>
      <c r="F853" s="75"/>
      <c r="G853" s="201"/>
      <c r="H853" s="828">
        <f t="shared" si="72"/>
        <v>0</v>
      </c>
      <c r="I853" s="1" t="e">
        <f t="shared" si="73"/>
        <v>#NUM!</v>
      </c>
      <c r="J853" s="1" t="e">
        <f t="shared" si="74"/>
        <v>#NUM!</v>
      </c>
      <c r="K853" s="1" t="e">
        <f t="shared" si="75"/>
        <v>#NUM!</v>
      </c>
    </row>
    <row r="854" spans="1:11">
      <c r="A854" s="483">
        <f t="shared" si="80"/>
        <v>848</v>
      </c>
      <c r="B854" s="72"/>
      <c r="C854" s="73"/>
      <c r="D854" s="74"/>
      <c r="E854" s="658" t="s">
        <v>161</v>
      </c>
      <c r="F854" s="75"/>
      <c r="G854" s="201"/>
      <c r="H854" s="828">
        <f t="shared" si="72"/>
        <v>0</v>
      </c>
      <c r="I854" s="1" t="e">
        <f t="shared" si="73"/>
        <v>#NUM!</v>
      </c>
      <c r="J854" s="1" t="e">
        <f t="shared" si="74"/>
        <v>#NUM!</v>
      </c>
      <c r="K854" s="1" t="e">
        <f t="shared" si="75"/>
        <v>#NUM!</v>
      </c>
    </row>
    <row r="855" spans="1:11">
      <c r="A855" s="483">
        <f t="shared" si="80"/>
        <v>849</v>
      </c>
      <c r="B855" s="72"/>
      <c r="C855" s="73"/>
      <c r="D855" s="74"/>
      <c r="E855" s="658" t="s">
        <v>161</v>
      </c>
      <c r="F855" s="75"/>
      <c r="G855" s="201"/>
      <c r="H855" s="828">
        <f t="shared" si="72"/>
        <v>0</v>
      </c>
      <c r="I855" s="1" t="e">
        <f t="shared" si="73"/>
        <v>#NUM!</v>
      </c>
      <c r="J855" s="1" t="e">
        <f t="shared" si="74"/>
        <v>#NUM!</v>
      </c>
      <c r="K855" s="1" t="e">
        <f t="shared" si="75"/>
        <v>#NUM!</v>
      </c>
    </row>
    <row r="856" spans="1:11">
      <c r="A856" s="483">
        <f t="shared" si="80"/>
        <v>850</v>
      </c>
      <c r="B856" s="72"/>
      <c r="C856" s="73"/>
      <c r="D856" s="74"/>
      <c r="E856" s="658" t="s">
        <v>161</v>
      </c>
      <c r="F856" s="75"/>
      <c r="G856" s="201"/>
      <c r="H856" s="828">
        <f t="shared" si="72"/>
        <v>0</v>
      </c>
      <c r="I856" s="1" t="e">
        <f t="shared" si="73"/>
        <v>#NUM!</v>
      </c>
      <c r="J856" s="1" t="e">
        <f t="shared" si="74"/>
        <v>#NUM!</v>
      </c>
      <c r="K856" s="1" t="e">
        <f t="shared" si="75"/>
        <v>#NUM!</v>
      </c>
    </row>
    <row r="857" spans="1:11">
      <c r="A857" s="483">
        <f t="shared" si="80"/>
        <v>851</v>
      </c>
      <c r="B857" s="72"/>
      <c r="C857" s="73"/>
      <c r="D857" s="74"/>
      <c r="E857" s="658" t="s">
        <v>161</v>
      </c>
      <c r="F857" s="75"/>
      <c r="G857" s="201"/>
      <c r="H857" s="828">
        <f t="shared" si="72"/>
        <v>0</v>
      </c>
      <c r="I857" s="1" t="e">
        <f t="shared" si="73"/>
        <v>#NUM!</v>
      </c>
      <c r="J857" s="1" t="e">
        <f t="shared" si="74"/>
        <v>#NUM!</v>
      </c>
      <c r="K857" s="1" t="e">
        <f t="shared" si="75"/>
        <v>#NUM!</v>
      </c>
    </row>
    <row r="858" spans="1:11">
      <c r="A858" s="483">
        <f t="shared" si="80"/>
        <v>852</v>
      </c>
      <c r="B858" s="72"/>
      <c r="C858" s="73"/>
      <c r="D858" s="74"/>
      <c r="E858" s="658" t="s">
        <v>161</v>
      </c>
      <c r="F858" s="75"/>
      <c r="G858" s="201"/>
      <c r="H858" s="828">
        <f t="shared" si="72"/>
        <v>0</v>
      </c>
      <c r="I858" s="1" t="e">
        <f t="shared" si="73"/>
        <v>#NUM!</v>
      </c>
      <c r="J858" s="1" t="e">
        <f t="shared" si="74"/>
        <v>#NUM!</v>
      </c>
      <c r="K858" s="1" t="e">
        <f t="shared" si="75"/>
        <v>#NUM!</v>
      </c>
    </row>
    <row r="859" spans="1:11">
      <c r="A859" s="483">
        <f t="shared" si="80"/>
        <v>853</v>
      </c>
      <c r="B859" s="72"/>
      <c r="C859" s="73"/>
      <c r="D859" s="74"/>
      <c r="E859" s="658" t="s">
        <v>161</v>
      </c>
      <c r="F859" s="75"/>
      <c r="G859" s="201"/>
      <c r="H859" s="828">
        <f t="shared" si="72"/>
        <v>0</v>
      </c>
      <c r="I859" s="1" t="e">
        <f t="shared" si="73"/>
        <v>#NUM!</v>
      </c>
      <c r="J859" s="1" t="e">
        <f t="shared" si="74"/>
        <v>#NUM!</v>
      </c>
      <c r="K859" s="1" t="e">
        <f t="shared" si="75"/>
        <v>#NUM!</v>
      </c>
    </row>
    <row r="860" spans="1:11">
      <c r="A860" s="483">
        <f t="shared" si="80"/>
        <v>854</v>
      </c>
      <c r="B860" s="72"/>
      <c r="C860" s="73"/>
      <c r="D860" s="74"/>
      <c r="E860" s="658" t="s">
        <v>161</v>
      </c>
      <c r="F860" s="75"/>
      <c r="G860" s="201"/>
      <c r="H860" s="828">
        <f t="shared" si="72"/>
        <v>0</v>
      </c>
      <c r="I860" s="1" t="e">
        <f t="shared" si="73"/>
        <v>#NUM!</v>
      </c>
      <c r="J860" s="1" t="e">
        <f t="shared" si="74"/>
        <v>#NUM!</v>
      </c>
      <c r="K860" s="1" t="e">
        <f t="shared" si="75"/>
        <v>#NUM!</v>
      </c>
    </row>
    <row r="861" spans="1:11">
      <c r="A861" s="483">
        <f t="shared" si="80"/>
        <v>855</v>
      </c>
      <c r="B861" s="72"/>
      <c r="C861" s="73"/>
      <c r="D861" s="74"/>
      <c r="E861" s="658" t="s">
        <v>161</v>
      </c>
      <c r="F861" s="75"/>
      <c r="G861" s="201"/>
      <c r="H861" s="828">
        <f t="shared" si="72"/>
        <v>0</v>
      </c>
      <c r="I861" s="1" t="e">
        <f t="shared" si="73"/>
        <v>#NUM!</v>
      </c>
      <c r="J861" s="1" t="e">
        <f t="shared" si="74"/>
        <v>#NUM!</v>
      </c>
      <c r="K861" s="1" t="e">
        <f t="shared" si="75"/>
        <v>#NUM!</v>
      </c>
    </row>
    <row r="862" spans="1:11">
      <c r="A862" s="483">
        <f t="shared" si="80"/>
        <v>856</v>
      </c>
      <c r="B862" s="72"/>
      <c r="C862" s="73"/>
      <c r="D862" s="74"/>
      <c r="E862" s="658" t="s">
        <v>161</v>
      </c>
      <c r="F862" s="75"/>
      <c r="G862" s="201"/>
      <c r="H862" s="828">
        <f t="shared" si="72"/>
        <v>0</v>
      </c>
      <c r="I862" s="1" t="e">
        <f t="shared" si="73"/>
        <v>#NUM!</v>
      </c>
      <c r="J862" s="1" t="e">
        <f t="shared" si="74"/>
        <v>#NUM!</v>
      </c>
      <c r="K862" s="1" t="e">
        <f t="shared" si="75"/>
        <v>#NUM!</v>
      </c>
    </row>
    <row r="863" spans="1:11">
      <c r="A863" s="483">
        <f t="shared" si="80"/>
        <v>857</v>
      </c>
      <c r="B863" s="72"/>
      <c r="C863" s="73"/>
      <c r="D863" s="74"/>
      <c r="E863" s="658" t="s">
        <v>161</v>
      </c>
      <c r="F863" s="75"/>
      <c r="G863" s="201"/>
      <c r="H863" s="828">
        <f t="shared" si="72"/>
        <v>0</v>
      </c>
      <c r="I863" s="1" t="e">
        <f t="shared" si="73"/>
        <v>#NUM!</v>
      </c>
      <c r="J863" s="1" t="e">
        <f t="shared" si="74"/>
        <v>#NUM!</v>
      </c>
      <c r="K863" s="1" t="e">
        <f t="shared" si="75"/>
        <v>#NUM!</v>
      </c>
    </row>
    <row r="864" spans="1:11">
      <c r="A864" s="483">
        <f t="shared" si="80"/>
        <v>858</v>
      </c>
      <c r="B864" s="72"/>
      <c r="C864" s="73"/>
      <c r="D864" s="74"/>
      <c r="E864" s="658" t="s">
        <v>161</v>
      </c>
      <c r="F864" s="75"/>
      <c r="G864" s="201"/>
      <c r="H864" s="828">
        <f t="shared" si="72"/>
        <v>0</v>
      </c>
      <c r="I864" s="1" t="e">
        <f t="shared" si="73"/>
        <v>#NUM!</v>
      </c>
      <c r="J864" s="1" t="e">
        <f t="shared" si="74"/>
        <v>#NUM!</v>
      </c>
      <c r="K864" s="1" t="e">
        <f t="shared" si="75"/>
        <v>#NUM!</v>
      </c>
    </row>
    <row r="865" spans="1:11">
      <c r="A865" s="483">
        <f t="shared" si="80"/>
        <v>859</v>
      </c>
      <c r="B865" s="72"/>
      <c r="C865" s="73"/>
      <c r="D865" s="74"/>
      <c r="E865" s="658" t="s">
        <v>161</v>
      </c>
      <c r="F865" s="75"/>
      <c r="G865" s="201"/>
      <c r="H865" s="828">
        <f t="shared" si="72"/>
        <v>0</v>
      </c>
      <c r="I865" s="1" t="e">
        <f t="shared" si="73"/>
        <v>#NUM!</v>
      </c>
      <c r="J865" s="1" t="e">
        <f t="shared" si="74"/>
        <v>#NUM!</v>
      </c>
      <c r="K865" s="1" t="e">
        <f t="shared" si="75"/>
        <v>#NUM!</v>
      </c>
    </row>
    <row r="866" spans="1:11">
      <c r="A866" s="483">
        <f t="shared" si="80"/>
        <v>860</v>
      </c>
      <c r="B866" s="72"/>
      <c r="C866" s="73"/>
      <c r="D866" s="74"/>
      <c r="E866" s="658" t="s">
        <v>161</v>
      </c>
      <c r="F866" s="75"/>
      <c r="G866" s="201"/>
      <c r="H866" s="828">
        <f t="shared" ref="H866:H929" si="81">+(F866/1760)*G866</f>
        <v>0</v>
      </c>
      <c r="I866" s="1" t="e">
        <f t="shared" ref="I866:I929" si="82">LN(F866)</f>
        <v>#NUM!</v>
      </c>
      <c r="J866" s="1" t="e">
        <f t="shared" ref="J866:J929" si="83">LN(G866)</f>
        <v>#NUM!</v>
      </c>
      <c r="K866" s="1" t="e">
        <f t="shared" ref="K866:K929" si="84">LN(H866)</f>
        <v>#NUM!</v>
      </c>
    </row>
    <row r="867" spans="1:11">
      <c r="A867" s="483">
        <f t="shared" si="80"/>
        <v>861</v>
      </c>
      <c r="B867" s="72"/>
      <c r="C867" s="73"/>
      <c r="D867" s="74"/>
      <c r="E867" s="658" t="s">
        <v>161</v>
      </c>
      <c r="F867" s="75"/>
      <c r="G867" s="201"/>
      <c r="H867" s="828">
        <f t="shared" si="81"/>
        <v>0</v>
      </c>
      <c r="I867" s="1" t="e">
        <f t="shared" si="82"/>
        <v>#NUM!</v>
      </c>
      <c r="J867" s="1" t="e">
        <f t="shared" si="83"/>
        <v>#NUM!</v>
      </c>
      <c r="K867" s="1" t="e">
        <f t="shared" si="84"/>
        <v>#NUM!</v>
      </c>
    </row>
    <row r="868" spans="1:11">
      <c r="A868" s="483">
        <f t="shared" si="80"/>
        <v>862</v>
      </c>
      <c r="B868" s="72"/>
      <c r="C868" s="73"/>
      <c r="D868" s="74"/>
      <c r="E868" s="658" t="s">
        <v>161</v>
      </c>
      <c r="F868" s="75"/>
      <c r="G868" s="201"/>
      <c r="H868" s="828">
        <f t="shared" si="81"/>
        <v>0</v>
      </c>
      <c r="I868" s="1" t="e">
        <f t="shared" si="82"/>
        <v>#NUM!</v>
      </c>
      <c r="J868" s="1" t="e">
        <f t="shared" si="83"/>
        <v>#NUM!</v>
      </c>
      <c r="K868" s="1" t="e">
        <f t="shared" si="84"/>
        <v>#NUM!</v>
      </c>
    </row>
    <row r="869" spans="1:11">
      <c r="A869" s="483">
        <f t="shared" si="80"/>
        <v>863</v>
      </c>
      <c r="B869" s="72"/>
      <c r="C869" s="73"/>
      <c r="D869" s="74"/>
      <c r="E869" s="658" t="s">
        <v>161</v>
      </c>
      <c r="F869" s="75"/>
      <c r="G869" s="201"/>
      <c r="H869" s="828">
        <f t="shared" si="81"/>
        <v>0</v>
      </c>
      <c r="I869" s="1" t="e">
        <f t="shared" si="82"/>
        <v>#NUM!</v>
      </c>
      <c r="J869" s="1" t="e">
        <f t="shared" si="83"/>
        <v>#NUM!</v>
      </c>
      <c r="K869" s="1" t="e">
        <f t="shared" si="84"/>
        <v>#NUM!</v>
      </c>
    </row>
    <row r="870" spans="1:11">
      <c r="A870" s="483">
        <f t="shared" si="80"/>
        <v>864</v>
      </c>
      <c r="B870" s="72"/>
      <c r="C870" s="73"/>
      <c r="D870" s="74"/>
      <c r="E870" s="658" t="s">
        <v>161</v>
      </c>
      <c r="F870" s="75"/>
      <c r="G870" s="201"/>
      <c r="H870" s="828">
        <f t="shared" si="81"/>
        <v>0</v>
      </c>
      <c r="I870" s="1" t="e">
        <f t="shared" si="82"/>
        <v>#NUM!</v>
      </c>
      <c r="J870" s="1" t="e">
        <f t="shared" si="83"/>
        <v>#NUM!</v>
      </c>
      <c r="K870" s="1" t="e">
        <f t="shared" si="84"/>
        <v>#NUM!</v>
      </c>
    </row>
    <row r="871" spans="1:11">
      <c r="A871" s="483">
        <f t="shared" si="80"/>
        <v>865</v>
      </c>
      <c r="B871" s="72"/>
      <c r="C871" s="73"/>
      <c r="D871" s="74"/>
      <c r="E871" s="658" t="s">
        <v>161</v>
      </c>
      <c r="F871" s="75"/>
      <c r="G871" s="201"/>
      <c r="H871" s="828">
        <f t="shared" si="81"/>
        <v>0</v>
      </c>
      <c r="I871" s="1" t="e">
        <f t="shared" si="82"/>
        <v>#NUM!</v>
      </c>
      <c r="J871" s="1" t="e">
        <f t="shared" si="83"/>
        <v>#NUM!</v>
      </c>
      <c r="K871" s="1" t="e">
        <f t="shared" si="84"/>
        <v>#NUM!</v>
      </c>
    </row>
    <row r="872" spans="1:11">
      <c r="A872" s="483">
        <f t="shared" si="80"/>
        <v>866</v>
      </c>
      <c r="B872" s="72"/>
      <c r="C872" s="73"/>
      <c r="D872" s="74"/>
      <c r="E872" s="658" t="s">
        <v>161</v>
      </c>
      <c r="F872" s="75"/>
      <c r="G872" s="201"/>
      <c r="H872" s="828">
        <f t="shared" si="81"/>
        <v>0</v>
      </c>
      <c r="I872" s="1" t="e">
        <f t="shared" si="82"/>
        <v>#NUM!</v>
      </c>
      <c r="J872" s="1" t="e">
        <f t="shared" si="83"/>
        <v>#NUM!</v>
      </c>
      <c r="K872" s="1" t="e">
        <f t="shared" si="84"/>
        <v>#NUM!</v>
      </c>
    </row>
    <row r="873" spans="1:11">
      <c r="A873" s="483">
        <f t="shared" si="80"/>
        <v>867</v>
      </c>
      <c r="B873" s="72"/>
      <c r="C873" s="73"/>
      <c r="D873" s="74"/>
      <c r="E873" s="658" t="s">
        <v>161</v>
      </c>
      <c r="F873" s="75"/>
      <c r="G873" s="201"/>
      <c r="H873" s="828">
        <f t="shared" si="81"/>
        <v>0</v>
      </c>
      <c r="I873" s="1" t="e">
        <f t="shared" si="82"/>
        <v>#NUM!</v>
      </c>
      <c r="J873" s="1" t="e">
        <f t="shared" si="83"/>
        <v>#NUM!</v>
      </c>
      <c r="K873" s="1" t="e">
        <f t="shared" si="84"/>
        <v>#NUM!</v>
      </c>
    </row>
    <row r="874" spans="1:11">
      <c r="A874" s="483">
        <f t="shared" si="80"/>
        <v>868</v>
      </c>
      <c r="B874" s="72"/>
      <c r="C874" s="73"/>
      <c r="D874" s="74"/>
      <c r="E874" s="658" t="s">
        <v>161</v>
      </c>
      <c r="F874" s="75"/>
      <c r="G874" s="201"/>
      <c r="H874" s="828">
        <f t="shared" si="81"/>
        <v>0</v>
      </c>
      <c r="I874" s="1" t="e">
        <f t="shared" si="82"/>
        <v>#NUM!</v>
      </c>
      <c r="J874" s="1" t="e">
        <f t="shared" si="83"/>
        <v>#NUM!</v>
      </c>
      <c r="K874" s="1" t="e">
        <f t="shared" si="84"/>
        <v>#NUM!</v>
      </c>
    </row>
    <row r="875" spans="1:11">
      <c r="A875" s="483">
        <f t="shared" si="80"/>
        <v>869</v>
      </c>
      <c r="B875" s="72"/>
      <c r="C875" s="73"/>
      <c r="D875" s="74"/>
      <c r="E875" s="658" t="s">
        <v>161</v>
      </c>
      <c r="F875" s="75"/>
      <c r="G875" s="201"/>
      <c r="H875" s="828">
        <f t="shared" si="81"/>
        <v>0</v>
      </c>
      <c r="I875" s="1" t="e">
        <f t="shared" si="82"/>
        <v>#NUM!</v>
      </c>
      <c r="J875" s="1" t="e">
        <f t="shared" si="83"/>
        <v>#NUM!</v>
      </c>
      <c r="K875" s="1" t="e">
        <f t="shared" si="84"/>
        <v>#NUM!</v>
      </c>
    </row>
    <row r="876" spans="1:11">
      <c r="A876" s="483">
        <f t="shared" si="80"/>
        <v>870</v>
      </c>
      <c r="B876" s="72"/>
      <c r="C876" s="73"/>
      <c r="D876" s="74"/>
      <c r="E876" s="658" t="s">
        <v>161</v>
      </c>
      <c r="F876" s="75"/>
      <c r="G876" s="201"/>
      <c r="H876" s="828">
        <f t="shared" si="81"/>
        <v>0</v>
      </c>
      <c r="I876" s="1" t="e">
        <f t="shared" si="82"/>
        <v>#NUM!</v>
      </c>
      <c r="J876" s="1" t="e">
        <f t="shared" si="83"/>
        <v>#NUM!</v>
      </c>
      <c r="K876" s="1" t="e">
        <f t="shared" si="84"/>
        <v>#NUM!</v>
      </c>
    </row>
    <row r="877" spans="1:11">
      <c r="A877" s="483">
        <f t="shared" si="80"/>
        <v>871</v>
      </c>
      <c r="B877" s="72"/>
      <c r="C877" s="73"/>
      <c r="D877" s="74"/>
      <c r="E877" s="658" t="s">
        <v>161</v>
      </c>
      <c r="F877" s="75"/>
      <c r="G877" s="201"/>
      <c r="H877" s="828">
        <f t="shared" si="81"/>
        <v>0</v>
      </c>
      <c r="I877" s="1" t="e">
        <f t="shared" si="82"/>
        <v>#NUM!</v>
      </c>
      <c r="J877" s="1" t="e">
        <f t="shared" si="83"/>
        <v>#NUM!</v>
      </c>
      <c r="K877" s="1" t="e">
        <f t="shared" si="84"/>
        <v>#NUM!</v>
      </c>
    </row>
    <row r="878" spans="1:11">
      <c r="A878" s="483">
        <f t="shared" si="80"/>
        <v>872</v>
      </c>
      <c r="B878" s="72"/>
      <c r="C878" s="73"/>
      <c r="D878" s="74"/>
      <c r="E878" s="658" t="s">
        <v>161</v>
      </c>
      <c r="F878" s="75"/>
      <c r="G878" s="201"/>
      <c r="H878" s="828">
        <f t="shared" si="81"/>
        <v>0</v>
      </c>
      <c r="I878" s="1" t="e">
        <f t="shared" si="82"/>
        <v>#NUM!</v>
      </c>
      <c r="J878" s="1" t="e">
        <f t="shared" si="83"/>
        <v>#NUM!</v>
      </c>
      <c r="K878" s="1" t="e">
        <f t="shared" si="84"/>
        <v>#NUM!</v>
      </c>
    </row>
    <row r="879" spans="1:11">
      <c r="A879" s="483">
        <f t="shared" si="80"/>
        <v>873</v>
      </c>
      <c r="B879" s="72"/>
      <c r="C879" s="73"/>
      <c r="D879" s="74"/>
      <c r="E879" s="658" t="s">
        <v>161</v>
      </c>
      <c r="F879" s="75"/>
      <c r="G879" s="201"/>
      <c r="H879" s="828">
        <f t="shared" si="81"/>
        <v>0</v>
      </c>
      <c r="I879" s="1" t="e">
        <f t="shared" si="82"/>
        <v>#NUM!</v>
      </c>
      <c r="J879" s="1" t="e">
        <f t="shared" si="83"/>
        <v>#NUM!</v>
      </c>
      <c r="K879" s="1" t="e">
        <f t="shared" si="84"/>
        <v>#NUM!</v>
      </c>
    </row>
    <row r="880" spans="1:11">
      <c r="A880" s="483">
        <f t="shared" si="80"/>
        <v>874</v>
      </c>
      <c r="B880" s="72"/>
      <c r="C880" s="73"/>
      <c r="D880" s="74"/>
      <c r="E880" s="658" t="s">
        <v>161</v>
      </c>
      <c r="F880" s="75"/>
      <c r="G880" s="201"/>
      <c r="H880" s="828">
        <f t="shared" si="81"/>
        <v>0</v>
      </c>
      <c r="I880" s="1" t="e">
        <f t="shared" si="82"/>
        <v>#NUM!</v>
      </c>
      <c r="J880" s="1" t="e">
        <f t="shared" si="83"/>
        <v>#NUM!</v>
      </c>
      <c r="K880" s="1" t="e">
        <f t="shared" si="84"/>
        <v>#NUM!</v>
      </c>
    </row>
    <row r="881" spans="1:11">
      <c r="A881" s="483">
        <f t="shared" si="80"/>
        <v>875</v>
      </c>
      <c r="B881" s="72"/>
      <c r="C881" s="73"/>
      <c r="D881" s="74"/>
      <c r="E881" s="658" t="s">
        <v>161</v>
      </c>
      <c r="F881" s="75"/>
      <c r="G881" s="201"/>
      <c r="H881" s="828">
        <f t="shared" si="81"/>
        <v>0</v>
      </c>
      <c r="I881" s="1" t="e">
        <f t="shared" si="82"/>
        <v>#NUM!</v>
      </c>
      <c r="J881" s="1" t="e">
        <f t="shared" si="83"/>
        <v>#NUM!</v>
      </c>
      <c r="K881" s="1" t="e">
        <f t="shared" si="84"/>
        <v>#NUM!</v>
      </c>
    </row>
    <row r="882" spans="1:11">
      <c r="A882" s="483">
        <f t="shared" si="80"/>
        <v>876</v>
      </c>
      <c r="B882" s="72"/>
      <c r="C882" s="73"/>
      <c r="D882" s="74"/>
      <c r="E882" s="658" t="s">
        <v>161</v>
      </c>
      <c r="F882" s="75"/>
      <c r="G882" s="201"/>
      <c r="H882" s="828">
        <f t="shared" si="81"/>
        <v>0</v>
      </c>
      <c r="I882" s="1" t="e">
        <f t="shared" si="82"/>
        <v>#NUM!</v>
      </c>
      <c r="J882" s="1" t="e">
        <f t="shared" si="83"/>
        <v>#NUM!</v>
      </c>
      <c r="K882" s="1" t="e">
        <f t="shared" si="84"/>
        <v>#NUM!</v>
      </c>
    </row>
    <row r="883" spans="1:11">
      <c r="A883" s="483">
        <f t="shared" si="80"/>
        <v>877</v>
      </c>
      <c r="B883" s="72"/>
      <c r="C883" s="73"/>
      <c r="D883" s="74"/>
      <c r="E883" s="658" t="s">
        <v>161</v>
      </c>
      <c r="F883" s="75"/>
      <c r="G883" s="201"/>
      <c r="H883" s="828">
        <f t="shared" si="81"/>
        <v>0</v>
      </c>
      <c r="I883" s="1" t="e">
        <f t="shared" si="82"/>
        <v>#NUM!</v>
      </c>
      <c r="J883" s="1" t="e">
        <f t="shared" si="83"/>
        <v>#NUM!</v>
      </c>
      <c r="K883" s="1" t="e">
        <f t="shared" si="84"/>
        <v>#NUM!</v>
      </c>
    </row>
    <row r="884" spans="1:11">
      <c r="A884" s="483">
        <f t="shared" si="80"/>
        <v>878</v>
      </c>
      <c r="B884" s="72"/>
      <c r="C884" s="73"/>
      <c r="D884" s="74"/>
      <c r="E884" s="658" t="s">
        <v>161</v>
      </c>
      <c r="F884" s="75"/>
      <c r="G884" s="201"/>
      <c r="H884" s="828">
        <f t="shared" si="81"/>
        <v>0</v>
      </c>
      <c r="I884" s="1" t="e">
        <f t="shared" si="82"/>
        <v>#NUM!</v>
      </c>
      <c r="J884" s="1" t="e">
        <f t="shared" si="83"/>
        <v>#NUM!</v>
      </c>
      <c r="K884" s="1" t="e">
        <f t="shared" si="84"/>
        <v>#NUM!</v>
      </c>
    </row>
    <row r="885" spans="1:11">
      <c r="A885" s="483">
        <f t="shared" si="80"/>
        <v>879</v>
      </c>
      <c r="B885" s="72"/>
      <c r="C885" s="73"/>
      <c r="D885" s="74"/>
      <c r="E885" s="658" t="s">
        <v>161</v>
      </c>
      <c r="F885" s="75"/>
      <c r="G885" s="201"/>
      <c r="H885" s="828">
        <f t="shared" si="81"/>
        <v>0</v>
      </c>
      <c r="I885" s="1" t="e">
        <f t="shared" si="82"/>
        <v>#NUM!</v>
      </c>
      <c r="J885" s="1" t="e">
        <f t="shared" si="83"/>
        <v>#NUM!</v>
      </c>
      <c r="K885" s="1" t="e">
        <f t="shared" si="84"/>
        <v>#NUM!</v>
      </c>
    </row>
    <row r="886" spans="1:11">
      <c r="A886" s="483">
        <f t="shared" si="80"/>
        <v>880</v>
      </c>
      <c r="B886" s="72"/>
      <c r="C886" s="73"/>
      <c r="D886" s="74"/>
      <c r="E886" s="658" t="s">
        <v>161</v>
      </c>
      <c r="F886" s="75"/>
      <c r="G886" s="201"/>
      <c r="H886" s="828">
        <f t="shared" si="81"/>
        <v>0</v>
      </c>
      <c r="I886" s="1" t="e">
        <f t="shared" si="82"/>
        <v>#NUM!</v>
      </c>
      <c r="J886" s="1" t="e">
        <f t="shared" si="83"/>
        <v>#NUM!</v>
      </c>
      <c r="K886" s="1" t="e">
        <f t="shared" si="84"/>
        <v>#NUM!</v>
      </c>
    </row>
    <row r="887" spans="1:11">
      <c r="A887" s="483">
        <f t="shared" si="80"/>
        <v>881</v>
      </c>
      <c r="B887" s="72"/>
      <c r="C887" s="73"/>
      <c r="D887" s="74"/>
      <c r="E887" s="658" t="s">
        <v>161</v>
      </c>
      <c r="F887" s="75"/>
      <c r="G887" s="201"/>
      <c r="H887" s="828">
        <f t="shared" si="81"/>
        <v>0</v>
      </c>
      <c r="I887" s="1" t="e">
        <f t="shared" si="82"/>
        <v>#NUM!</v>
      </c>
      <c r="J887" s="1" t="e">
        <f t="shared" si="83"/>
        <v>#NUM!</v>
      </c>
      <c r="K887" s="1" t="e">
        <f t="shared" si="84"/>
        <v>#NUM!</v>
      </c>
    </row>
    <row r="888" spans="1:11">
      <c r="A888" s="483">
        <f t="shared" si="80"/>
        <v>882</v>
      </c>
      <c r="B888" s="72"/>
      <c r="C888" s="73"/>
      <c r="D888" s="74"/>
      <c r="E888" s="658" t="s">
        <v>161</v>
      </c>
      <c r="F888" s="75"/>
      <c r="G888" s="201"/>
      <c r="H888" s="828">
        <f t="shared" si="81"/>
        <v>0</v>
      </c>
      <c r="I888" s="1" t="e">
        <f t="shared" si="82"/>
        <v>#NUM!</v>
      </c>
      <c r="J888" s="1" t="e">
        <f t="shared" si="83"/>
        <v>#NUM!</v>
      </c>
      <c r="K888" s="1" t="e">
        <f t="shared" si="84"/>
        <v>#NUM!</v>
      </c>
    </row>
    <row r="889" spans="1:11">
      <c r="A889" s="483">
        <f t="shared" si="80"/>
        <v>883</v>
      </c>
      <c r="B889" s="72"/>
      <c r="C889" s="73"/>
      <c r="D889" s="74"/>
      <c r="E889" s="658" t="s">
        <v>161</v>
      </c>
      <c r="F889" s="75"/>
      <c r="G889" s="201"/>
      <c r="H889" s="828">
        <f t="shared" si="81"/>
        <v>0</v>
      </c>
      <c r="I889" s="1" t="e">
        <f t="shared" si="82"/>
        <v>#NUM!</v>
      </c>
      <c r="J889" s="1" t="e">
        <f t="shared" si="83"/>
        <v>#NUM!</v>
      </c>
      <c r="K889" s="1" t="e">
        <f t="shared" si="84"/>
        <v>#NUM!</v>
      </c>
    </row>
    <row r="890" spans="1:11">
      <c r="A890" s="483">
        <f t="shared" si="80"/>
        <v>884</v>
      </c>
      <c r="B890" s="72"/>
      <c r="C890" s="73"/>
      <c r="D890" s="74"/>
      <c r="E890" s="658" t="s">
        <v>161</v>
      </c>
      <c r="F890" s="75"/>
      <c r="G890" s="201"/>
      <c r="H890" s="828">
        <f t="shared" si="81"/>
        <v>0</v>
      </c>
      <c r="I890" s="1" t="e">
        <f t="shared" si="82"/>
        <v>#NUM!</v>
      </c>
      <c r="J890" s="1" t="e">
        <f t="shared" si="83"/>
        <v>#NUM!</v>
      </c>
      <c r="K890" s="1" t="e">
        <f t="shared" si="84"/>
        <v>#NUM!</v>
      </c>
    </row>
    <row r="891" spans="1:11">
      <c r="A891" s="483">
        <f t="shared" si="80"/>
        <v>885</v>
      </c>
      <c r="B891" s="72"/>
      <c r="C891" s="73"/>
      <c r="D891" s="74"/>
      <c r="E891" s="658" t="s">
        <v>161</v>
      </c>
      <c r="F891" s="75"/>
      <c r="G891" s="201"/>
      <c r="H891" s="828">
        <f t="shared" si="81"/>
        <v>0</v>
      </c>
      <c r="I891" s="1" t="e">
        <f t="shared" si="82"/>
        <v>#NUM!</v>
      </c>
      <c r="J891" s="1" t="e">
        <f t="shared" si="83"/>
        <v>#NUM!</v>
      </c>
      <c r="K891" s="1" t="e">
        <f t="shared" si="84"/>
        <v>#NUM!</v>
      </c>
    </row>
    <row r="892" spans="1:11">
      <c r="A892" s="483">
        <f t="shared" si="80"/>
        <v>886</v>
      </c>
      <c r="B892" s="72"/>
      <c r="C892" s="73"/>
      <c r="D892" s="74"/>
      <c r="E892" s="658" t="s">
        <v>161</v>
      </c>
      <c r="F892" s="75"/>
      <c r="G892" s="201"/>
      <c r="H892" s="828">
        <f t="shared" si="81"/>
        <v>0</v>
      </c>
      <c r="I892" s="1" t="e">
        <f t="shared" si="82"/>
        <v>#NUM!</v>
      </c>
      <c r="J892" s="1" t="e">
        <f t="shared" si="83"/>
        <v>#NUM!</v>
      </c>
      <c r="K892" s="1" t="e">
        <f t="shared" si="84"/>
        <v>#NUM!</v>
      </c>
    </row>
    <row r="893" spans="1:11">
      <c r="A893" s="483">
        <f t="shared" si="80"/>
        <v>887</v>
      </c>
      <c r="B893" s="72"/>
      <c r="C893" s="73"/>
      <c r="D893" s="74"/>
      <c r="E893" s="658" t="s">
        <v>161</v>
      </c>
      <c r="F893" s="75"/>
      <c r="G893" s="201"/>
      <c r="H893" s="828">
        <f t="shared" si="81"/>
        <v>0</v>
      </c>
      <c r="I893" s="1" t="e">
        <f t="shared" si="82"/>
        <v>#NUM!</v>
      </c>
      <c r="J893" s="1" t="e">
        <f t="shared" si="83"/>
        <v>#NUM!</v>
      </c>
      <c r="K893" s="1" t="e">
        <f t="shared" si="84"/>
        <v>#NUM!</v>
      </c>
    </row>
    <row r="894" spans="1:11">
      <c r="A894" s="483">
        <f t="shared" si="80"/>
        <v>888</v>
      </c>
      <c r="B894" s="72"/>
      <c r="C894" s="73"/>
      <c r="D894" s="74"/>
      <c r="E894" s="658" t="s">
        <v>161</v>
      </c>
      <c r="F894" s="75"/>
      <c r="G894" s="201"/>
      <c r="H894" s="828">
        <f t="shared" si="81"/>
        <v>0</v>
      </c>
      <c r="I894" s="1" t="e">
        <f t="shared" si="82"/>
        <v>#NUM!</v>
      </c>
      <c r="J894" s="1" t="e">
        <f t="shared" si="83"/>
        <v>#NUM!</v>
      </c>
      <c r="K894" s="1" t="e">
        <f t="shared" si="84"/>
        <v>#NUM!</v>
      </c>
    </row>
    <row r="895" spans="1:11">
      <c r="A895" s="483">
        <f t="shared" si="80"/>
        <v>889</v>
      </c>
      <c r="B895" s="72"/>
      <c r="C895" s="73"/>
      <c r="D895" s="74"/>
      <c r="E895" s="658" t="s">
        <v>161</v>
      </c>
      <c r="F895" s="75"/>
      <c r="G895" s="201"/>
      <c r="H895" s="828">
        <f t="shared" si="81"/>
        <v>0</v>
      </c>
      <c r="I895" s="1" t="e">
        <f t="shared" si="82"/>
        <v>#NUM!</v>
      </c>
      <c r="J895" s="1" t="e">
        <f t="shared" si="83"/>
        <v>#NUM!</v>
      </c>
      <c r="K895" s="1" t="e">
        <f t="shared" si="84"/>
        <v>#NUM!</v>
      </c>
    </row>
    <row r="896" spans="1:11">
      <c r="A896" s="483">
        <f t="shared" si="80"/>
        <v>890</v>
      </c>
      <c r="B896" s="72"/>
      <c r="C896" s="73"/>
      <c r="D896" s="74"/>
      <c r="E896" s="658" t="s">
        <v>161</v>
      </c>
      <c r="F896" s="75"/>
      <c r="G896" s="201"/>
      <c r="H896" s="828">
        <f t="shared" si="81"/>
        <v>0</v>
      </c>
      <c r="I896" s="1" t="e">
        <f t="shared" si="82"/>
        <v>#NUM!</v>
      </c>
      <c r="J896" s="1" t="e">
        <f t="shared" si="83"/>
        <v>#NUM!</v>
      </c>
      <c r="K896" s="1" t="e">
        <f t="shared" si="84"/>
        <v>#NUM!</v>
      </c>
    </row>
    <row r="897" spans="1:11">
      <c r="A897" s="483">
        <f t="shared" si="80"/>
        <v>891</v>
      </c>
      <c r="B897" s="72"/>
      <c r="C897" s="73"/>
      <c r="D897" s="74"/>
      <c r="E897" s="658" t="s">
        <v>161</v>
      </c>
      <c r="F897" s="75"/>
      <c r="G897" s="201"/>
      <c r="H897" s="828">
        <f t="shared" si="81"/>
        <v>0</v>
      </c>
      <c r="I897" s="1" t="e">
        <f t="shared" si="82"/>
        <v>#NUM!</v>
      </c>
      <c r="J897" s="1" t="e">
        <f t="shared" si="83"/>
        <v>#NUM!</v>
      </c>
      <c r="K897" s="1" t="e">
        <f t="shared" si="84"/>
        <v>#NUM!</v>
      </c>
    </row>
    <row r="898" spans="1:11">
      <c r="A898" s="483">
        <f t="shared" si="80"/>
        <v>892</v>
      </c>
      <c r="B898" s="72"/>
      <c r="C898" s="73"/>
      <c r="D898" s="74"/>
      <c r="E898" s="658" t="s">
        <v>161</v>
      </c>
      <c r="F898" s="75"/>
      <c r="G898" s="201"/>
      <c r="H898" s="828">
        <f t="shared" si="81"/>
        <v>0</v>
      </c>
      <c r="I898" s="1" t="e">
        <f t="shared" si="82"/>
        <v>#NUM!</v>
      </c>
      <c r="J898" s="1" t="e">
        <f t="shared" si="83"/>
        <v>#NUM!</v>
      </c>
      <c r="K898" s="1" t="e">
        <f t="shared" si="84"/>
        <v>#NUM!</v>
      </c>
    </row>
    <row r="899" spans="1:11">
      <c r="A899" s="483">
        <f t="shared" si="80"/>
        <v>893</v>
      </c>
      <c r="B899" s="72"/>
      <c r="C899" s="73"/>
      <c r="D899" s="74"/>
      <c r="E899" s="658" t="s">
        <v>161</v>
      </c>
      <c r="F899" s="75"/>
      <c r="G899" s="201"/>
      <c r="H899" s="828">
        <f t="shared" si="81"/>
        <v>0</v>
      </c>
      <c r="I899" s="1" t="e">
        <f t="shared" si="82"/>
        <v>#NUM!</v>
      </c>
      <c r="J899" s="1" t="e">
        <f t="shared" si="83"/>
        <v>#NUM!</v>
      </c>
      <c r="K899" s="1" t="e">
        <f t="shared" si="84"/>
        <v>#NUM!</v>
      </c>
    </row>
    <row r="900" spans="1:11">
      <c r="A900" s="483">
        <f t="shared" si="80"/>
        <v>894</v>
      </c>
      <c r="B900" s="72"/>
      <c r="C900" s="73"/>
      <c r="D900" s="74"/>
      <c r="E900" s="658" t="s">
        <v>161</v>
      </c>
      <c r="F900" s="75"/>
      <c r="G900" s="201"/>
      <c r="H900" s="828">
        <f t="shared" si="81"/>
        <v>0</v>
      </c>
      <c r="I900" s="1" t="e">
        <f t="shared" si="82"/>
        <v>#NUM!</v>
      </c>
      <c r="J900" s="1" t="e">
        <f t="shared" si="83"/>
        <v>#NUM!</v>
      </c>
      <c r="K900" s="1" t="e">
        <f t="shared" si="84"/>
        <v>#NUM!</v>
      </c>
    </row>
    <row r="901" spans="1:11">
      <c r="A901" s="483">
        <f t="shared" si="80"/>
        <v>895</v>
      </c>
      <c r="B901" s="72"/>
      <c r="C901" s="73"/>
      <c r="D901" s="74"/>
      <c r="E901" s="658" t="s">
        <v>161</v>
      </c>
      <c r="F901" s="75"/>
      <c r="G901" s="201"/>
      <c r="H901" s="828">
        <f t="shared" si="81"/>
        <v>0</v>
      </c>
      <c r="I901" s="1" t="e">
        <f t="shared" si="82"/>
        <v>#NUM!</v>
      </c>
      <c r="J901" s="1" t="e">
        <f t="shared" si="83"/>
        <v>#NUM!</v>
      </c>
      <c r="K901" s="1" t="e">
        <f t="shared" si="84"/>
        <v>#NUM!</v>
      </c>
    </row>
    <row r="902" spans="1:11">
      <c r="A902" s="483">
        <f t="shared" si="80"/>
        <v>896</v>
      </c>
      <c r="B902" s="72"/>
      <c r="C902" s="73"/>
      <c r="D902" s="74"/>
      <c r="E902" s="658" t="s">
        <v>161</v>
      </c>
      <c r="F902" s="75"/>
      <c r="G902" s="201"/>
      <c r="H902" s="828">
        <f t="shared" si="81"/>
        <v>0</v>
      </c>
      <c r="I902" s="1" t="e">
        <f t="shared" si="82"/>
        <v>#NUM!</v>
      </c>
      <c r="J902" s="1" t="e">
        <f t="shared" si="83"/>
        <v>#NUM!</v>
      </c>
      <c r="K902" s="1" t="e">
        <f t="shared" si="84"/>
        <v>#NUM!</v>
      </c>
    </row>
    <row r="903" spans="1:11">
      <c r="A903" s="483">
        <f t="shared" si="80"/>
        <v>897</v>
      </c>
      <c r="B903" s="72"/>
      <c r="C903" s="73"/>
      <c r="D903" s="74"/>
      <c r="E903" s="658" t="s">
        <v>161</v>
      </c>
      <c r="F903" s="75"/>
      <c r="G903" s="201"/>
      <c r="H903" s="828">
        <f t="shared" si="81"/>
        <v>0</v>
      </c>
      <c r="I903" s="1" t="e">
        <f t="shared" si="82"/>
        <v>#NUM!</v>
      </c>
      <c r="J903" s="1" t="e">
        <f t="shared" si="83"/>
        <v>#NUM!</v>
      </c>
      <c r="K903" s="1" t="e">
        <f t="shared" si="84"/>
        <v>#NUM!</v>
      </c>
    </row>
    <row r="904" spans="1:11">
      <c r="A904" s="483">
        <f t="shared" si="80"/>
        <v>898</v>
      </c>
      <c r="B904" s="72"/>
      <c r="C904" s="73"/>
      <c r="D904" s="74"/>
      <c r="E904" s="658" t="s">
        <v>161</v>
      </c>
      <c r="F904" s="75"/>
      <c r="G904" s="201"/>
      <c r="H904" s="828">
        <f t="shared" si="81"/>
        <v>0</v>
      </c>
      <c r="I904" s="1" t="e">
        <f t="shared" si="82"/>
        <v>#NUM!</v>
      </c>
      <c r="J904" s="1" t="e">
        <f t="shared" si="83"/>
        <v>#NUM!</v>
      </c>
      <c r="K904" s="1" t="e">
        <f t="shared" si="84"/>
        <v>#NUM!</v>
      </c>
    </row>
    <row r="905" spans="1:11">
      <c r="A905" s="483">
        <f t="shared" si="80"/>
        <v>899</v>
      </c>
      <c r="B905" s="72"/>
      <c r="C905" s="73"/>
      <c r="D905" s="74"/>
      <c r="E905" s="658" t="s">
        <v>161</v>
      </c>
      <c r="F905" s="75"/>
      <c r="G905" s="201"/>
      <c r="H905" s="828">
        <f t="shared" si="81"/>
        <v>0</v>
      </c>
      <c r="I905" s="1" t="e">
        <f t="shared" si="82"/>
        <v>#NUM!</v>
      </c>
      <c r="J905" s="1" t="e">
        <f t="shared" si="83"/>
        <v>#NUM!</v>
      </c>
      <c r="K905" s="1" t="e">
        <f t="shared" si="84"/>
        <v>#NUM!</v>
      </c>
    </row>
    <row r="906" spans="1:11">
      <c r="A906" s="483">
        <f t="shared" ref="A906:A969" si="85">+A905+1</f>
        <v>900</v>
      </c>
      <c r="B906" s="72"/>
      <c r="C906" s="73"/>
      <c r="D906" s="74"/>
      <c r="E906" s="658" t="s">
        <v>161</v>
      </c>
      <c r="F906" s="75"/>
      <c r="G906" s="201"/>
      <c r="H906" s="828">
        <f t="shared" si="81"/>
        <v>0</v>
      </c>
      <c r="I906" s="1" t="e">
        <f t="shared" si="82"/>
        <v>#NUM!</v>
      </c>
      <c r="J906" s="1" t="e">
        <f t="shared" si="83"/>
        <v>#NUM!</v>
      </c>
      <c r="K906" s="1" t="e">
        <f t="shared" si="84"/>
        <v>#NUM!</v>
      </c>
    </row>
    <row r="907" spans="1:11">
      <c r="A907" s="483">
        <f t="shared" si="85"/>
        <v>901</v>
      </c>
      <c r="B907" s="72"/>
      <c r="C907" s="73"/>
      <c r="D907" s="74"/>
      <c r="E907" s="658" t="s">
        <v>161</v>
      </c>
      <c r="F907" s="75"/>
      <c r="G907" s="201"/>
      <c r="H907" s="828">
        <f t="shared" si="81"/>
        <v>0</v>
      </c>
      <c r="I907" s="1" t="e">
        <f t="shared" si="82"/>
        <v>#NUM!</v>
      </c>
      <c r="J907" s="1" t="e">
        <f t="shared" si="83"/>
        <v>#NUM!</v>
      </c>
      <c r="K907" s="1" t="e">
        <f t="shared" si="84"/>
        <v>#NUM!</v>
      </c>
    </row>
    <row r="908" spans="1:11">
      <c r="A908" s="483">
        <f t="shared" si="85"/>
        <v>902</v>
      </c>
      <c r="B908" s="72"/>
      <c r="C908" s="73"/>
      <c r="D908" s="74"/>
      <c r="E908" s="658" t="s">
        <v>161</v>
      </c>
      <c r="F908" s="75"/>
      <c r="G908" s="201"/>
      <c r="H908" s="828">
        <f t="shared" si="81"/>
        <v>0</v>
      </c>
      <c r="I908" s="1" t="e">
        <f t="shared" si="82"/>
        <v>#NUM!</v>
      </c>
      <c r="J908" s="1" t="e">
        <f t="shared" si="83"/>
        <v>#NUM!</v>
      </c>
      <c r="K908" s="1" t="e">
        <f t="shared" si="84"/>
        <v>#NUM!</v>
      </c>
    </row>
    <row r="909" spans="1:11">
      <c r="A909" s="483">
        <f t="shared" si="85"/>
        <v>903</v>
      </c>
      <c r="B909" s="72"/>
      <c r="C909" s="73"/>
      <c r="D909" s="74"/>
      <c r="E909" s="658" t="s">
        <v>161</v>
      </c>
      <c r="F909" s="75"/>
      <c r="G909" s="201"/>
      <c r="H909" s="828">
        <f t="shared" si="81"/>
        <v>0</v>
      </c>
      <c r="I909" s="1" t="e">
        <f t="shared" si="82"/>
        <v>#NUM!</v>
      </c>
      <c r="J909" s="1" t="e">
        <f t="shared" si="83"/>
        <v>#NUM!</v>
      </c>
      <c r="K909" s="1" t="e">
        <f t="shared" si="84"/>
        <v>#NUM!</v>
      </c>
    </row>
    <row r="910" spans="1:11">
      <c r="A910" s="483">
        <f t="shared" si="85"/>
        <v>904</v>
      </c>
      <c r="B910" s="72"/>
      <c r="C910" s="73"/>
      <c r="D910" s="74"/>
      <c r="E910" s="658" t="s">
        <v>161</v>
      </c>
      <c r="F910" s="75"/>
      <c r="G910" s="201"/>
      <c r="H910" s="828">
        <f t="shared" si="81"/>
        <v>0</v>
      </c>
      <c r="I910" s="1" t="e">
        <f t="shared" si="82"/>
        <v>#NUM!</v>
      </c>
      <c r="J910" s="1" t="e">
        <f t="shared" si="83"/>
        <v>#NUM!</v>
      </c>
      <c r="K910" s="1" t="e">
        <f t="shared" si="84"/>
        <v>#NUM!</v>
      </c>
    </row>
    <row r="911" spans="1:11">
      <c r="A911" s="483">
        <f t="shared" si="85"/>
        <v>905</v>
      </c>
      <c r="B911" s="72"/>
      <c r="C911" s="73"/>
      <c r="D911" s="74"/>
      <c r="E911" s="658" t="s">
        <v>161</v>
      </c>
      <c r="F911" s="75"/>
      <c r="G911" s="201"/>
      <c r="H911" s="828">
        <f t="shared" si="81"/>
        <v>0</v>
      </c>
      <c r="I911" s="1" t="e">
        <f t="shared" si="82"/>
        <v>#NUM!</v>
      </c>
      <c r="J911" s="1" t="e">
        <f t="shared" si="83"/>
        <v>#NUM!</v>
      </c>
      <c r="K911" s="1" t="e">
        <f t="shared" si="84"/>
        <v>#NUM!</v>
      </c>
    </row>
    <row r="912" spans="1:11">
      <c r="A912" s="483">
        <f t="shared" si="85"/>
        <v>906</v>
      </c>
      <c r="B912" s="72"/>
      <c r="C912" s="73"/>
      <c r="D912" s="74"/>
      <c r="E912" s="658" t="s">
        <v>161</v>
      </c>
      <c r="F912" s="75"/>
      <c r="G912" s="201"/>
      <c r="H912" s="828">
        <f t="shared" si="81"/>
        <v>0</v>
      </c>
      <c r="I912" s="1" t="e">
        <f t="shared" si="82"/>
        <v>#NUM!</v>
      </c>
      <c r="J912" s="1" t="e">
        <f t="shared" si="83"/>
        <v>#NUM!</v>
      </c>
      <c r="K912" s="1" t="e">
        <f t="shared" si="84"/>
        <v>#NUM!</v>
      </c>
    </row>
    <row r="913" spans="1:11">
      <c r="A913" s="483">
        <f t="shared" si="85"/>
        <v>907</v>
      </c>
      <c r="B913" s="72"/>
      <c r="C913" s="73"/>
      <c r="D913" s="74"/>
      <c r="E913" s="658" t="s">
        <v>161</v>
      </c>
      <c r="F913" s="75"/>
      <c r="G913" s="201"/>
      <c r="H913" s="828">
        <f t="shared" si="81"/>
        <v>0</v>
      </c>
      <c r="I913" s="1" t="e">
        <f t="shared" si="82"/>
        <v>#NUM!</v>
      </c>
      <c r="J913" s="1" t="e">
        <f t="shared" si="83"/>
        <v>#NUM!</v>
      </c>
      <c r="K913" s="1" t="e">
        <f t="shared" si="84"/>
        <v>#NUM!</v>
      </c>
    </row>
    <row r="914" spans="1:11">
      <c r="A914" s="483">
        <f t="shared" si="85"/>
        <v>908</v>
      </c>
      <c r="B914" s="72"/>
      <c r="C914" s="73"/>
      <c r="D914" s="74"/>
      <c r="E914" s="658" t="s">
        <v>161</v>
      </c>
      <c r="F914" s="75"/>
      <c r="G914" s="201"/>
      <c r="H914" s="828">
        <f t="shared" si="81"/>
        <v>0</v>
      </c>
      <c r="I914" s="1" t="e">
        <f t="shared" si="82"/>
        <v>#NUM!</v>
      </c>
      <c r="J914" s="1" t="e">
        <f t="shared" si="83"/>
        <v>#NUM!</v>
      </c>
      <c r="K914" s="1" t="e">
        <f t="shared" si="84"/>
        <v>#NUM!</v>
      </c>
    </row>
    <row r="915" spans="1:11">
      <c r="A915" s="483">
        <f t="shared" si="85"/>
        <v>909</v>
      </c>
      <c r="B915" s="72"/>
      <c r="C915" s="73"/>
      <c r="D915" s="74"/>
      <c r="E915" s="658" t="s">
        <v>161</v>
      </c>
      <c r="F915" s="75"/>
      <c r="G915" s="201"/>
      <c r="H915" s="828">
        <f t="shared" si="81"/>
        <v>0</v>
      </c>
      <c r="I915" s="1" t="e">
        <f t="shared" si="82"/>
        <v>#NUM!</v>
      </c>
      <c r="J915" s="1" t="e">
        <f t="shared" si="83"/>
        <v>#NUM!</v>
      </c>
      <c r="K915" s="1" t="e">
        <f t="shared" si="84"/>
        <v>#NUM!</v>
      </c>
    </row>
    <row r="916" spans="1:11">
      <c r="A916" s="483">
        <f t="shared" si="85"/>
        <v>910</v>
      </c>
      <c r="B916" s="72"/>
      <c r="C916" s="73"/>
      <c r="D916" s="74"/>
      <c r="E916" s="658" t="s">
        <v>161</v>
      </c>
      <c r="F916" s="75"/>
      <c r="G916" s="201"/>
      <c r="H916" s="828">
        <f t="shared" si="81"/>
        <v>0</v>
      </c>
      <c r="I916" s="1" t="e">
        <f t="shared" si="82"/>
        <v>#NUM!</v>
      </c>
      <c r="J916" s="1" t="e">
        <f t="shared" si="83"/>
        <v>#NUM!</v>
      </c>
      <c r="K916" s="1" t="e">
        <f t="shared" si="84"/>
        <v>#NUM!</v>
      </c>
    </row>
    <row r="917" spans="1:11">
      <c r="A917" s="483">
        <f t="shared" si="85"/>
        <v>911</v>
      </c>
      <c r="B917" s="72"/>
      <c r="C917" s="73"/>
      <c r="D917" s="74"/>
      <c r="E917" s="658" t="s">
        <v>161</v>
      </c>
      <c r="F917" s="75"/>
      <c r="G917" s="201"/>
      <c r="H917" s="828">
        <f t="shared" si="81"/>
        <v>0</v>
      </c>
      <c r="I917" s="1" t="e">
        <f t="shared" si="82"/>
        <v>#NUM!</v>
      </c>
      <c r="J917" s="1" t="e">
        <f t="shared" si="83"/>
        <v>#NUM!</v>
      </c>
      <c r="K917" s="1" t="e">
        <f t="shared" si="84"/>
        <v>#NUM!</v>
      </c>
    </row>
    <row r="918" spans="1:11">
      <c r="A918" s="483">
        <f t="shared" si="85"/>
        <v>912</v>
      </c>
      <c r="B918" s="72"/>
      <c r="C918" s="73"/>
      <c r="D918" s="74"/>
      <c r="E918" s="658" t="s">
        <v>161</v>
      </c>
      <c r="F918" s="75"/>
      <c r="G918" s="201"/>
      <c r="H918" s="828">
        <f t="shared" si="81"/>
        <v>0</v>
      </c>
      <c r="I918" s="1" t="e">
        <f t="shared" si="82"/>
        <v>#NUM!</v>
      </c>
      <c r="J918" s="1" t="e">
        <f t="shared" si="83"/>
        <v>#NUM!</v>
      </c>
      <c r="K918" s="1" t="e">
        <f t="shared" si="84"/>
        <v>#NUM!</v>
      </c>
    </row>
    <row r="919" spans="1:11">
      <c r="A919" s="483">
        <f t="shared" si="85"/>
        <v>913</v>
      </c>
      <c r="B919" s="72"/>
      <c r="C919" s="73"/>
      <c r="D919" s="74"/>
      <c r="E919" s="658" t="s">
        <v>161</v>
      </c>
      <c r="F919" s="75"/>
      <c r="G919" s="201"/>
      <c r="H919" s="828">
        <f t="shared" si="81"/>
        <v>0</v>
      </c>
      <c r="I919" s="1" t="e">
        <f t="shared" si="82"/>
        <v>#NUM!</v>
      </c>
      <c r="J919" s="1" t="e">
        <f t="shared" si="83"/>
        <v>#NUM!</v>
      </c>
      <c r="K919" s="1" t="e">
        <f t="shared" si="84"/>
        <v>#NUM!</v>
      </c>
    </row>
    <row r="920" spans="1:11">
      <c r="A920" s="483">
        <f t="shared" si="85"/>
        <v>914</v>
      </c>
      <c r="B920" s="72"/>
      <c r="C920" s="73"/>
      <c r="D920" s="74"/>
      <c r="E920" s="658" t="s">
        <v>161</v>
      </c>
      <c r="F920" s="75"/>
      <c r="G920" s="201"/>
      <c r="H920" s="828">
        <f t="shared" si="81"/>
        <v>0</v>
      </c>
      <c r="I920" s="1" t="e">
        <f t="shared" si="82"/>
        <v>#NUM!</v>
      </c>
      <c r="J920" s="1" t="e">
        <f t="shared" si="83"/>
        <v>#NUM!</v>
      </c>
      <c r="K920" s="1" t="e">
        <f t="shared" si="84"/>
        <v>#NUM!</v>
      </c>
    </row>
    <row r="921" spans="1:11">
      <c r="A921" s="483">
        <f t="shared" si="85"/>
        <v>915</v>
      </c>
      <c r="B921" s="72"/>
      <c r="C921" s="73"/>
      <c r="D921" s="74"/>
      <c r="E921" s="658" t="s">
        <v>161</v>
      </c>
      <c r="F921" s="75"/>
      <c r="G921" s="201"/>
      <c r="H921" s="828">
        <f t="shared" si="81"/>
        <v>0</v>
      </c>
      <c r="I921" s="1" t="e">
        <f t="shared" si="82"/>
        <v>#NUM!</v>
      </c>
      <c r="J921" s="1" t="e">
        <f t="shared" si="83"/>
        <v>#NUM!</v>
      </c>
      <c r="K921" s="1" t="e">
        <f t="shared" si="84"/>
        <v>#NUM!</v>
      </c>
    </row>
    <row r="922" spans="1:11">
      <c r="A922" s="483">
        <f t="shared" si="85"/>
        <v>916</v>
      </c>
      <c r="B922" s="72"/>
      <c r="C922" s="73"/>
      <c r="D922" s="74"/>
      <c r="E922" s="658" t="s">
        <v>161</v>
      </c>
      <c r="F922" s="75"/>
      <c r="G922" s="201"/>
      <c r="H922" s="828">
        <f t="shared" si="81"/>
        <v>0</v>
      </c>
      <c r="I922" s="1" t="e">
        <f t="shared" si="82"/>
        <v>#NUM!</v>
      </c>
      <c r="J922" s="1" t="e">
        <f t="shared" si="83"/>
        <v>#NUM!</v>
      </c>
      <c r="K922" s="1" t="e">
        <f t="shared" si="84"/>
        <v>#NUM!</v>
      </c>
    </row>
    <row r="923" spans="1:11">
      <c r="A923" s="483">
        <f t="shared" si="85"/>
        <v>917</v>
      </c>
      <c r="B923" s="72"/>
      <c r="C923" s="73"/>
      <c r="D923" s="74"/>
      <c r="E923" s="658" t="s">
        <v>161</v>
      </c>
      <c r="F923" s="75"/>
      <c r="G923" s="201"/>
      <c r="H923" s="828">
        <f t="shared" si="81"/>
        <v>0</v>
      </c>
      <c r="I923" s="1" t="e">
        <f t="shared" si="82"/>
        <v>#NUM!</v>
      </c>
      <c r="J923" s="1" t="e">
        <f t="shared" si="83"/>
        <v>#NUM!</v>
      </c>
      <c r="K923" s="1" t="e">
        <f t="shared" si="84"/>
        <v>#NUM!</v>
      </c>
    </row>
    <row r="924" spans="1:11">
      <c r="A924" s="483">
        <f t="shared" si="85"/>
        <v>918</v>
      </c>
      <c r="B924" s="72"/>
      <c r="C924" s="73"/>
      <c r="D924" s="74"/>
      <c r="E924" s="658" t="s">
        <v>161</v>
      </c>
      <c r="F924" s="75"/>
      <c r="G924" s="201"/>
      <c r="H924" s="828">
        <f t="shared" si="81"/>
        <v>0</v>
      </c>
      <c r="I924" s="1" t="e">
        <f t="shared" si="82"/>
        <v>#NUM!</v>
      </c>
      <c r="J924" s="1" t="e">
        <f t="shared" si="83"/>
        <v>#NUM!</v>
      </c>
      <c r="K924" s="1" t="e">
        <f t="shared" si="84"/>
        <v>#NUM!</v>
      </c>
    </row>
    <row r="925" spans="1:11">
      <c r="A925" s="483">
        <f t="shared" si="85"/>
        <v>919</v>
      </c>
      <c r="B925" s="72"/>
      <c r="C925" s="73"/>
      <c r="D925" s="74"/>
      <c r="E925" s="658" t="s">
        <v>161</v>
      </c>
      <c r="F925" s="75"/>
      <c r="G925" s="201"/>
      <c r="H925" s="828">
        <f t="shared" si="81"/>
        <v>0</v>
      </c>
      <c r="I925" s="1" t="e">
        <f t="shared" si="82"/>
        <v>#NUM!</v>
      </c>
      <c r="J925" s="1" t="e">
        <f t="shared" si="83"/>
        <v>#NUM!</v>
      </c>
      <c r="K925" s="1" t="e">
        <f t="shared" si="84"/>
        <v>#NUM!</v>
      </c>
    </row>
    <row r="926" spans="1:11">
      <c r="A926" s="483">
        <f t="shared" si="85"/>
        <v>920</v>
      </c>
      <c r="B926" s="72"/>
      <c r="C926" s="73"/>
      <c r="D926" s="74"/>
      <c r="E926" s="658" t="s">
        <v>161</v>
      </c>
      <c r="F926" s="75"/>
      <c r="G926" s="201"/>
      <c r="H926" s="828">
        <f t="shared" si="81"/>
        <v>0</v>
      </c>
      <c r="I926" s="1" t="e">
        <f t="shared" si="82"/>
        <v>#NUM!</v>
      </c>
      <c r="J926" s="1" t="e">
        <f t="shared" si="83"/>
        <v>#NUM!</v>
      </c>
      <c r="K926" s="1" t="e">
        <f t="shared" si="84"/>
        <v>#NUM!</v>
      </c>
    </row>
    <row r="927" spans="1:11">
      <c r="A927" s="483">
        <f t="shared" si="85"/>
        <v>921</v>
      </c>
      <c r="B927" s="72"/>
      <c r="C927" s="73"/>
      <c r="D927" s="74"/>
      <c r="E927" s="658" t="s">
        <v>161</v>
      </c>
      <c r="F927" s="75"/>
      <c r="G927" s="201"/>
      <c r="H927" s="828">
        <f t="shared" si="81"/>
        <v>0</v>
      </c>
      <c r="I927" s="1" t="e">
        <f t="shared" si="82"/>
        <v>#NUM!</v>
      </c>
      <c r="J927" s="1" t="e">
        <f t="shared" si="83"/>
        <v>#NUM!</v>
      </c>
      <c r="K927" s="1" t="e">
        <f t="shared" si="84"/>
        <v>#NUM!</v>
      </c>
    </row>
    <row r="928" spans="1:11">
      <c r="A928" s="483">
        <f t="shared" si="85"/>
        <v>922</v>
      </c>
      <c r="B928" s="72"/>
      <c r="C928" s="73"/>
      <c r="D928" s="74"/>
      <c r="E928" s="658" t="s">
        <v>161</v>
      </c>
      <c r="F928" s="75"/>
      <c r="G928" s="201"/>
      <c r="H928" s="828">
        <f t="shared" si="81"/>
        <v>0</v>
      </c>
      <c r="I928" s="1" t="e">
        <f t="shared" si="82"/>
        <v>#NUM!</v>
      </c>
      <c r="J928" s="1" t="e">
        <f t="shared" si="83"/>
        <v>#NUM!</v>
      </c>
      <c r="K928" s="1" t="e">
        <f t="shared" si="84"/>
        <v>#NUM!</v>
      </c>
    </row>
    <row r="929" spans="1:11">
      <c r="A929" s="483">
        <f t="shared" si="85"/>
        <v>923</v>
      </c>
      <c r="B929" s="72"/>
      <c r="C929" s="73"/>
      <c r="D929" s="74"/>
      <c r="E929" s="658" t="s">
        <v>161</v>
      </c>
      <c r="F929" s="75"/>
      <c r="G929" s="201"/>
      <c r="H929" s="828">
        <f t="shared" si="81"/>
        <v>0</v>
      </c>
      <c r="I929" s="1" t="e">
        <f t="shared" si="82"/>
        <v>#NUM!</v>
      </c>
      <c r="J929" s="1" t="e">
        <f t="shared" si="83"/>
        <v>#NUM!</v>
      </c>
      <c r="K929" s="1" t="e">
        <f t="shared" si="84"/>
        <v>#NUM!</v>
      </c>
    </row>
    <row r="930" spans="1:11">
      <c r="A930" s="483">
        <f t="shared" si="85"/>
        <v>924</v>
      </c>
      <c r="B930" s="72"/>
      <c r="C930" s="73"/>
      <c r="D930" s="74"/>
      <c r="E930" s="658" t="s">
        <v>161</v>
      </c>
      <c r="F930" s="75"/>
      <c r="G930" s="201"/>
      <c r="H930" s="828">
        <f t="shared" ref="H930:H993" si="86">+(F930/1760)*G930</f>
        <v>0</v>
      </c>
      <c r="I930" s="1" t="e">
        <f t="shared" ref="I930:I993" si="87">LN(F930)</f>
        <v>#NUM!</v>
      </c>
      <c r="J930" s="1" t="e">
        <f t="shared" ref="J930:J993" si="88">LN(G930)</f>
        <v>#NUM!</v>
      </c>
      <c r="K930" s="1" t="e">
        <f t="shared" ref="K930:K993" si="89">LN(H930)</f>
        <v>#NUM!</v>
      </c>
    </row>
    <row r="931" spans="1:11">
      <c r="A931" s="483">
        <f t="shared" si="85"/>
        <v>925</v>
      </c>
      <c r="B931" s="72"/>
      <c r="C931" s="73"/>
      <c r="D931" s="74"/>
      <c r="E931" s="658" t="s">
        <v>161</v>
      </c>
      <c r="F931" s="75"/>
      <c r="G931" s="201"/>
      <c r="H931" s="828">
        <f t="shared" si="86"/>
        <v>0</v>
      </c>
      <c r="I931" s="1" t="e">
        <f t="shared" si="87"/>
        <v>#NUM!</v>
      </c>
      <c r="J931" s="1" t="e">
        <f t="shared" si="88"/>
        <v>#NUM!</v>
      </c>
      <c r="K931" s="1" t="e">
        <f t="shared" si="89"/>
        <v>#NUM!</v>
      </c>
    </row>
    <row r="932" spans="1:11">
      <c r="A932" s="483">
        <f t="shared" si="85"/>
        <v>926</v>
      </c>
      <c r="B932" s="72"/>
      <c r="C932" s="73"/>
      <c r="D932" s="74"/>
      <c r="E932" s="658" t="s">
        <v>161</v>
      </c>
      <c r="F932" s="75"/>
      <c r="G932" s="201"/>
      <c r="H932" s="828">
        <f t="shared" si="86"/>
        <v>0</v>
      </c>
      <c r="I932" s="1" t="e">
        <f t="shared" si="87"/>
        <v>#NUM!</v>
      </c>
      <c r="J932" s="1" t="e">
        <f t="shared" si="88"/>
        <v>#NUM!</v>
      </c>
      <c r="K932" s="1" t="e">
        <f t="shared" si="89"/>
        <v>#NUM!</v>
      </c>
    </row>
    <row r="933" spans="1:11">
      <c r="A933" s="483">
        <f t="shared" si="85"/>
        <v>927</v>
      </c>
      <c r="B933" s="72"/>
      <c r="C933" s="73"/>
      <c r="D933" s="74"/>
      <c r="E933" s="658" t="s">
        <v>161</v>
      </c>
      <c r="F933" s="75"/>
      <c r="G933" s="201"/>
      <c r="H933" s="828">
        <f t="shared" si="86"/>
        <v>0</v>
      </c>
      <c r="I933" s="1" t="e">
        <f t="shared" si="87"/>
        <v>#NUM!</v>
      </c>
      <c r="J933" s="1" t="e">
        <f t="shared" si="88"/>
        <v>#NUM!</v>
      </c>
      <c r="K933" s="1" t="e">
        <f t="shared" si="89"/>
        <v>#NUM!</v>
      </c>
    </row>
    <row r="934" spans="1:11">
      <c r="A934" s="483">
        <f t="shared" si="85"/>
        <v>928</v>
      </c>
      <c r="B934" s="72"/>
      <c r="C934" s="73"/>
      <c r="D934" s="74"/>
      <c r="E934" s="658" t="s">
        <v>161</v>
      </c>
      <c r="F934" s="75"/>
      <c r="G934" s="201"/>
      <c r="H934" s="828">
        <f t="shared" si="86"/>
        <v>0</v>
      </c>
      <c r="I934" s="1" t="e">
        <f t="shared" si="87"/>
        <v>#NUM!</v>
      </c>
      <c r="J934" s="1" t="e">
        <f t="shared" si="88"/>
        <v>#NUM!</v>
      </c>
      <c r="K934" s="1" t="e">
        <f t="shared" si="89"/>
        <v>#NUM!</v>
      </c>
    </row>
    <row r="935" spans="1:11">
      <c r="A935" s="483">
        <f t="shared" si="85"/>
        <v>929</v>
      </c>
      <c r="B935" s="72"/>
      <c r="C935" s="73"/>
      <c r="D935" s="74"/>
      <c r="E935" s="658" t="s">
        <v>161</v>
      </c>
      <c r="F935" s="75"/>
      <c r="G935" s="201"/>
      <c r="H935" s="828">
        <f t="shared" si="86"/>
        <v>0</v>
      </c>
      <c r="I935" s="1" t="e">
        <f t="shared" si="87"/>
        <v>#NUM!</v>
      </c>
      <c r="J935" s="1" t="e">
        <f t="shared" si="88"/>
        <v>#NUM!</v>
      </c>
      <c r="K935" s="1" t="e">
        <f t="shared" si="89"/>
        <v>#NUM!</v>
      </c>
    </row>
    <row r="936" spans="1:11">
      <c r="A936" s="483">
        <f t="shared" si="85"/>
        <v>930</v>
      </c>
      <c r="B936" s="72"/>
      <c r="C936" s="73"/>
      <c r="D936" s="74"/>
      <c r="E936" s="658" t="s">
        <v>161</v>
      </c>
      <c r="F936" s="75"/>
      <c r="G936" s="201"/>
      <c r="H936" s="828">
        <f t="shared" si="86"/>
        <v>0</v>
      </c>
      <c r="I936" s="1" t="e">
        <f t="shared" si="87"/>
        <v>#NUM!</v>
      </c>
      <c r="J936" s="1" t="e">
        <f t="shared" si="88"/>
        <v>#NUM!</v>
      </c>
      <c r="K936" s="1" t="e">
        <f t="shared" si="89"/>
        <v>#NUM!</v>
      </c>
    </row>
    <row r="937" spans="1:11">
      <c r="A937" s="483">
        <f t="shared" si="85"/>
        <v>931</v>
      </c>
      <c r="B937" s="72"/>
      <c r="C937" s="73"/>
      <c r="D937" s="74"/>
      <c r="E937" s="658" t="s">
        <v>161</v>
      </c>
      <c r="F937" s="75"/>
      <c r="G937" s="201"/>
      <c r="H937" s="828">
        <f t="shared" si="86"/>
        <v>0</v>
      </c>
      <c r="I937" s="1" t="e">
        <f t="shared" si="87"/>
        <v>#NUM!</v>
      </c>
      <c r="J937" s="1" t="e">
        <f t="shared" si="88"/>
        <v>#NUM!</v>
      </c>
      <c r="K937" s="1" t="e">
        <f t="shared" si="89"/>
        <v>#NUM!</v>
      </c>
    </row>
    <row r="938" spans="1:11">
      <c r="A938" s="483">
        <f t="shared" si="85"/>
        <v>932</v>
      </c>
      <c r="B938" s="72"/>
      <c r="C938" s="73"/>
      <c r="D938" s="74"/>
      <c r="E938" s="658" t="s">
        <v>161</v>
      </c>
      <c r="F938" s="75"/>
      <c r="G938" s="201"/>
      <c r="H938" s="828">
        <f t="shared" si="86"/>
        <v>0</v>
      </c>
      <c r="I938" s="1" t="e">
        <f t="shared" si="87"/>
        <v>#NUM!</v>
      </c>
      <c r="J938" s="1" t="e">
        <f t="shared" si="88"/>
        <v>#NUM!</v>
      </c>
      <c r="K938" s="1" t="e">
        <f t="shared" si="89"/>
        <v>#NUM!</v>
      </c>
    </row>
    <row r="939" spans="1:11">
      <c r="A939" s="483">
        <f t="shared" si="85"/>
        <v>933</v>
      </c>
      <c r="B939" s="72"/>
      <c r="C939" s="73"/>
      <c r="D939" s="74"/>
      <c r="E939" s="658" t="s">
        <v>161</v>
      </c>
      <c r="F939" s="75"/>
      <c r="G939" s="201"/>
      <c r="H939" s="828">
        <f t="shared" si="86"/>
        <v>0</v>
      </c>
      <c r="I939" s="1" t="e">
        <f t="shared" si="87"/>
        <v>#NUM!</v>
      </c>
      <c r="J939" s="1" t="e">
        <f t="shared" si="88"/>
        <v>#NUM!</v>
      </c>
      <c r="K939" s="1" t="e">
        <f t="shared" si="89"/>
        <v>#NUM!</v>
      </c>
    </row>
    <row r="940" spans="1:11">
      <c r="A940" s="483">
        <f t="shared" si="85"/>
        <v>934</v>
      </c>
      <c r="B940" s="72"/>
      <c r="C940" s="73"/>
      <c r="D940" s="74"/>
      <c r="E940" s="658" t="s">
        <v>161</v>
      </c>
      <c r="F940" s="75"/>
      <c r="G940" s="201"/>
      <c r="H940" s="828">
        <f t="shared" si="86"/>
        <v>0</v>
      </c>
      <c r="I940" s="1" t="e">
        <f t="shared" si="87"/>
        <v>#NUM!</v>
      </c>
      <c r="J940" s="1" t="e">
        <f t="shared" si="88"/>
        <v>#NUM!</v>
      </c>
      <c r="K940" s="1" t="e">
        <f t="shared" si="89"/>
        <v>#NUM!</v>
      </c>
    </row>
    <row r="941" spans="1:11">
      <c r="A941" s="483">
        <f t="shared" si="85"/>
        <v>935</v>
      </c>
      <c r="B941" s="72"/>
      <c r="C941" s="73"/>
      <c r="D941" s="74"/>
      <c r="E941" s="658" t="s">
        <v>161</v>
      </c>
      <c r="F941" s="75"/>
      <c r="G941" s="201"/>
      <c r="H941" s="828">
        <f t="shared" si="86"/>
        <v>0</v>
      </c>
      <c r="I941" s="1" t="e">
        <f t="shared" si="87"/>
        <v>#NUM!</v>
      </c>
      <c r="J941" s="1" t="e">
        <f t="shared" si="88"/>
        <v>#NUM!</v>
      </c>
      <c r="K941" s="1" t="e">
        <f t="shared" si="89"/>
        <v>#NUM!</v>
      </c>
    </row>
    <row r="942" spans="1:11">
      <c r="A942" s="483">
        <f t="shared" si="85"/>
        <v>936</v>
      </c>
      <c r="B942" s="72"/>
      <c r="C942" s="73"/>
      <c r="D942" s="74"/>
      <c r="E942" s="658" t="s">
        <v>161</v>
      </c>
      <c r="F942" s="75"/>
      <c r="G942" s="201"/>
      <c r="H942" s="828">
        <f t="shared" si="86"/>
        <v>0</v>
      </c>
      <c r="I942" s="1" t="e">
        <f t="shared" si="87"/>
        <v>#NUM!</v>
      </c>
      <c r="J942" s="1" t="e">
        <f t="shared" si="88"/>
        <v>#NUM!</v>
      </c>
      <c r="K942" s="1" t="e">
        <f t="shared" si="89"/>
        <v>#NUM!</v>
      </c>
    </row>
    <row r="943" spans="1:11">
      <c r="A943" s="483">
        <f t="shared" si="85"/>
        <v>937</v>
      </c>
      <c r="B943" s="72"/>
      <c r="C943" s="73"/>
      <c r="D943" s="74"/>
      <c r="E943" s="658" t="s">
        <v>161</v>
      </c>
      <c r="F943" s="75"/>
      <c r="G943" s="201"/>
      <c r="H943" s="828">
        <f t="shared" si="86"/>
        <v>0</v>
      </c>
      <c r="I943" s="1" t="e">
        <f t="shared" si="87"/>
        <v>#NUM!</v>
      </c>
      <c r="J943" s="1" t="e">
        <f t="shared" si="88"/>
        <v>#NUM!</v>
      </c>
      <c r="K943" s="1" t="e">
        <f t="shared" si="89"/>
        <v>#NUM!</v>
      </c>
    </row>
    <row r="944" spans="1:11">
      <c r="A944" s="483">
        <f t="shared" si="85"/>
        <v>938</v>
      </c>
      <c r="B944" s="72"/>
      <c r="C944" s="73"/>
      <c r="D944" s="74"/>
      <c r="E944" s="658" t="s">
        <v>161</v>
      </c>
      <c r="F944" s="75"/>
      <c r="G944" s="201"/>
      <c r="H944" s="828">
        <f t="shared" si="86"/>
        <v>0</v>
      </c>
      <c r="I944" s="1" t="e">
        <f t="shared" si="87"/>
        <v>#NUM!</v>
      </c>
      <c r="J944" s="1" t="e">
        <f t="shared" si="88"/>
        <v>#NUM!</v>
      </c>
      <c r="K944" s="1" t="e">
        <f t="shared" si="89"/>
        <v>#NUM!</v>
      </c>
    </row>
    <row r="945" spans="1:11">
      <c r="A945" s="483">
        <f t="shared" si="85"/>
        <v>939</v>
      </c>
      <c r="B945" s="72"/>
      <c r="C945" s="73"/>
      <c r="D945" s="74"/>
      <c r="E945" s="658" t="s">
        <v>161</v>
      </c>
      <c r="F945" s="75"/>
      <c r="G945" s="201"/>
      <c r="H945" s="828">
        <f t="shared" si="86"/>
        <v>0</v>
      </c>
      <c r="I945" s="1" t="e">
        <f t="shared" si="87"/>
        <v>#NUM!</v>
      </c>
      <c r="J945" s="1" t="e">
        <f t="shared" si="88"/>
        <v>#NUM!</v>
      </c>
      <c r="K945" s="1" t="e">
        <f t="shared" si="89"/>
        <v>#NUM!</v>
      </c>
    </row>
    <row r="946" spans="1:11">
      <c r="A946" s="483">
        <f t="shared" si="85"/>
        <v>940</v>
      </c>
      <c r="B946" s="72"/>
      <c r="C946" s="73"/>
      <c r="D946" s="74"/>
      <c r="E946" s="658" t="s">
        <v>161</v>
      </c>
      <c r="F946" s="75"/>
      <c r="G946" s="201"/>
      <c r="H946" s="828">
        <f t="shared" si="86"/>
        <v>0</v>
      </c>
      <c r="I946" s="1" t="e">
        <f t="shared" si="87"/>
        <v>#NUM!</v>
      </c>
      <c r="J946" s="1" t="e">
        <f t="shared" si="88"/>
        <v>#NUM!</v>
      </c>
      <c r="K946" s="1" t="e">
        <f t="shared" si="89"/>
        <v>#NUM!</v>
      </c>
    </row>
    <row r="947" spans="1:11">
      <c r="A947" s="483">
        <f t="shared" si="85"/>
        <v>941</v>
      </c>
      <c r="B947" s="72"/>
      <c r="C947" s="73"/>
      <c r="D947" s="74"/>
      <c r="E947" s="658" t="s">
        <v>161</v>
      </c>
      <c r="F947" s="75"/>
      <c r="G947" s="201"/>
      <c r="H947" s="828">
        <f t="shared" si="86"/>
        <v>0</v>
      </c>
      <c r="I947" s="1" t="e">
        <f t="shared" si="87"/>
        <v>#NUM!</v>
      </c>
      <c r="J947" s="1" t="e">
        <f t="shared" si="88"/>
        <v>#NUM!</v>
      </c>
      <c r="K947" s="1" t="e">
        <f t="shared" si="89"/>
        <v>#NUM!</v>
      </c>
    </row>
    <row r="948" spans="1:11">
      <c r="A948" s="483">
        <f t="shared" si="85"/>
        <v>942</v>
      </c>
      <c r="B948" s="72"/>
      <c r="C948" s="73"/>
      <c r="D948" s="74"/>
      <c r="E948" s="658" t="s">
        <v>161</v>
      </c>
      <c r="F948" s="75"/>
      <c r="G948" s="201"/>
      <c r="H948" s="828">
        <f t="shared" si="86"/>
        <v>0</v>
      </c>
      <c r="I948" s="1" t="e">
        <f t="shared" si="87"/>
        <v>#NUM!</v>
      </c>
      <c r="J948" s="1" t="e">
        <f t="shared" si="88"/>
        <v>#NUM!</v>
      </c>
      <c r="K948" s="1" t="e">
        <f t="shared" si="89"/>
        <v>#NUM!</v>
      </c>
    </row>
    <row r="949" spans="1:11">
      <c r="A949" s="483">
        <f t="shared" si="85"/>
        <v>943</v>
      </c>
      <c r="B949" s="72"/>
      <c r="C949" s="73"/>
      <c r="D949" s="74"/>
      <c r="E949" s="658" t="s">
        <v>161</v>
      </c>
      <c r="F949" s="75"/>
      <c r="G949" s="201"/>
      <c r="H949" s="828">
        <f t="shared" si="86"/>
        <v>0</v>
      </c>
      <c r="I949" s="1" t="e">
        <f t="shared" si="87"/>
        <v>#NUM!</v>
      </c>
      <c r="J949" s="1" t="e">
        <f t="shared" si="88"/>
        <v>#NUM!</v>
      </c>
      <c r="K949" s="1" t="e">
        <f t="shared" si="89"/>
        <v>#NUM!</v>
      </c>
    </row>
    <row r="950" spans="1:11">
      <c r="A950" s="483">
        <f t="shared" si="85"/>
        <v>944</v>
      </c>
      <c r="B950" s="72"/>
      <c r="C950" s="73"/>
      <c r="D950" s="74"/>
      <c r="E950" s="658" t="s">
        <v>161</v>
      </c>
      <c r="F950" s="75"/>
      <c r="G950" s="201"/>
      <c r="H950" s="828">
        <f t="shared" si="86"/>
        <v>0</v>
      </c>
      <c r="I950" s="1" t="e">
        <f t="shared" si="87"/>
        <v>#NUM!</v>
      </c>
      <c r="J950" s="1" t="e">
        <f t="shared" si="88"/>
        <v>#NUM!</v>
      </c>
      <c r="K950" s="1" t="e">
        <f t="shared" si="89"/>
        <v>#NUM!</v>
      </c>
    </row>
    <row r="951" spans="1:11">
      <c r="A951" s="483">
        <f t="shared" si="85"/>
        <v>945</v>
      </c>
      <c r="B951" s="72"/>
      <c r="C951" s="73"/>
      <c r="D951" s="74"/>
      <c r="E951" s="658" t="s">
        <v>161</v>
      </c>
      <c r="F951" s="75"/>
      <c r="G951" s="201"/>
      <c r="H951" s="828">
        <f t="shared" si="86"/>
        <v>0</v>
      </c>
      <c r="I951" s="1" t="e">
        <f t="shared" si="87"/>
        <v>#NUM!</v>
      </c>
      <c r="J951" s="1" t="e">
        <f t="shared" si="88"/>
        <v>#NUM!</v>
      </c>
      <c r="K951" s="1" t="e">
        <f t="shared" si="89"/>
        <v>#NUM!</v>
      </c>
    </row>
    <row r="952" spans="1:11">
      <c r="A952" s="483">
        <f t="shared" si="85"/>
        <v>946</v>
      </c>
      <c r="B952" s="72"/>
      <c r="C952" s="73"/>
      <c r="D952" s="74"/>
      <c r="E952" s="658" t="s">
        <v>161</v>
      </c>
      <c r="F952" s="75"/>
      <c r="G952" s="201"/>
      <c r="H952" s="828">
        <f t="shared" si="86"/>
        <v>0</v>
      </c>
      <c r="I952" s="1" t="e">
        <f t="shared" si="87"/>
        <v>#NUM!</v>
      </c>
      <c r="J952" s="1" t="e">
        <f t="shared" si="88"/>
        <v>#NUM!</v>
      </c>
      <c r="K952" s="1" t="e">
        <f t="shared" si="89"/>
        <v>#NUM!</v>
      </c>
    </row>
    <row r="953" spans="1:11">
      <c r="A953" s="483">
        <f t="shared" si="85"/>
        <v>947</v>
      </c>
      <c r="B953" s="72"/>
      <c r="C953" s="73"/>
      <c r="D953" s="74"/>
      <c r="E953" s="658" t="s">
        <v>161</v>
      </c>
      <c r="F953" s="75"/>
      <c r="G953" s="201"/>
      <c r="H953" s="828">
        <f t="shared" si="86"/>
        <v>0</v>
      </c>
      <c r="I953" s="1" t="e">
        <f t="shared" si="87"/>
        <v>#NUM!</v>
      </c>
      <c r="J953" s="1" t="e">
        <f t="shared" si="88"/>
        <v>#NUM!</v>
      </c>
      <c r="K953" s="1" t="e">
        <f t="shared" si="89"/>
        <v>#NUM!</v>
      </c>
    </row>
    <row r="954" spans="1:11">
      <c r="A954" s="483">
        <f t="shared" si="85"/>
        <v>948</v>
      </c>
      <c r="B954" s="72"/>
      <c r="C954" s="73"/>
      <c r="D954" s="74"/>
      <c r="E954" s="658" t="s">
        <v>161</v>
      </c>
      <c r="F954" s="75"/>
      <c r="G954" s="201"/>
      <c r="H954" s="828">
        <f t="shared" si="86"/>
        <v>0</v>
      </c>
      <c r="I954" s="1" t="e">
        <f t="shared" si="87"/>
        <v>#NUM!</v>
      </c>
      <c r="J954" s="1" t="e">
        <f t="shared" si="88"/>
        <v>#NUM!</v>
      </c>
      <c r="K954" s="1" t="e">
        <f t="shared" si="89"/>
        <v>#NUM!</v>
      </c>
    </row>
    <row r="955" spans="1:11">
      <c r="A955" s="483">
        <f t="shared" si="85"/>
        <v>949</v>
      </c>
      <c r="B955" s="72"/>
      <c r="C955" s="73"/>
      <c r="D955" s="74"/>
      <c r="E955" s="658" t="s">
        <v>161</v>
      </c>
      <c r="F955" s="75"/>
      <c r="G955" s="201"/>
      <c r="H955" s="828">
        <f t="shared" si="86"/>
        <v>0</v>
      </c>
      <c r="I955" s="1" t="e">
        <f t="shared" si="87"/>
        <v>#NUM!</v>
      </c>
      <c r="J955" s="1" t="e">
        <f t="shared" si="88"/>
        <v>#NUM!</v>
      </c>
      <c r="K955" s="1" t="e">
        <f t="shared" si="89"/>
        <v>#NUM!</v>
      </c>
    </row>
    <row r="956" spans="1:11">
      <c r="A956" s="483">
        <f t="shared" si="85"/>
        <v>950</v>
      </c>
      <c r="B956" s="72"/>
      <c r="C956" s="73"/>
      <c r="D956" s="74"/>
      <c r="E956" s="658" t="s">
        <v>161</v>
      </c>
      <c r="F956" s="75"/>
      <c r="G956" s="201"/>
      <c r="H956" s="828">
        <f t="shared" si="86"/>
        <v>0</v>
      </c>
      <c r="I956" s="1" t="e">
        <f t="shared" si="87"/>
        <v>#NUM!</v>
      </c>
      <c r="J956" s="1" t="e">
        <f t="shared" si="88"/>
        <v>#NUM!</v>
      </c>
      <c r="K956" s="1" t="e">
        <f t="shared" si="89"/>
        <v>#NUM!</v>
      </c>
    </row>
    <row r="957" spans="1:11">
      <c r="A957" s="483">
        <f t="shared" si="85"/>
        <v>951</v>
      </c>
      <c r="B957" s="72"/>
      <c r="C957" s="73"/>
      <c r="D957" s="74"/>
      <c r="E957" s="658" t="s">
        <v>161</v>
      </c>
      <c r="F957" s="75"/>
      <c r="G957" s="201"/>
      <c r="H957" s="828">
        <f t="shared" si="86"/>
        <v>0</v>
      </c>
      <c r="I957" s="1" t="e">
        <f t="shared" si="87"/>
        <v>#NUM!</v>
      </c>
      <c r="J957" s="1" t="e">
        <f t="shared" si="88"/>
        <v>#NUM!</v>
      </c>
      <c r="K957" s="1" t="e">
        <f t="shared" si="89"/>
        <v>#NUM!</v>
      </c>
    </row>
    <row r="958" spans="1:11">
      <c r="A958" s="483">
        <f t="shared" si="85"/>
        <v>952</v>
      </c>
      <c r="B958" s="72"/>
      <c r="C958" s="73"/>
      <c r="D958" s="74"/>
      <c r="E958" s="658" t="s">
        <v>161</v>
      </c>
      <c r="F958" s="75"/>
      <c r="G958" s="201"/>
      <c r="H958" s="828">
        <f t="shared" si="86"/>
        <v>0</v>
      </c>
      <c r="I958" s="1" t="e">
        <f t="shared" si="87"/>
        <v>#NUM!</v>
      </c>
      <c r="J958" s="1" t="e">
        <f t="shared" si="88"/>
        <v>#NUM!</v>
      </c>
      <c r="K958" s="1" t="e">
        <f t="shared" si="89"/>
        <v>#NUM!</v>
      </c>
    </row>
    <row r="959" spans="1:11">
      <c r="A959" s="483">
        <f t="shared" si="85"/>
        <v>953</v>
      </c>
      <c r="B959" s="72"/>
      <c r="C959" s="73"/>
      <c r="D959" s="74"/>
      <c r="E959" s="658" t="s">
        <v>161</v>
      </c>
      <c r="F959" s="75"/>
      <c r="G959" s="201"/>
      <c r="H959" s="828">
        <f t="shared" si="86"/>
        <v>0</v>
      </c>
      <c r="I959" s="1" t="e">
        <f t="shared" si="87"/>
        <v>#NUM!</v>
      </c>
      <c r="J959" s="1" t="e">
        <f t="shared" si="88"/>
        <v>#NUM!</v>
      </c>
      <c r="K959" s="1" t="e">
        <f t="shared" si="89"/>
        <v>#NUM!</v>
      </c>
    </row>
    <row r="960" spans="1:11">
      <c r="A960" s="483">
        <f t="shared" si="85"/>
        <v>954</v>
      </c>
      <c r="B960" s="72"/>
      <c r="C960" s="73"/>
      <c r="D960" s="74"/>
      <c r="E960" s="658" t="s">
        <v>161</v>
      </c>
      <c r="F960" s="75"/>
      <c r="G960" s="201"/>
      <c r="H960" s="828">
        <f t="shared" si="86"/>
        <v>0</v>
      </c>
      <c r="I960" s="1" t="e">
        <f t="shared" si="87"/>
        <v>#NUM!</v>
      </c>
      <c r="J960" s="1" t="e">
        <f t="shared" si="88"/>
        <v>#NUM!</v>
      </c>
      <c r="K960" s="1" t="e">
        <f t="shared" si="89"/>
        <v>#NUM!</v>
      </c>
    </row>
    <row r="961" spans="1:11">
      <c r="A961" s="483">
        <f t="shared" si="85"/>
        <v>955</v>
      </c>
      <c r="B961" s="72"/>
      <c r="C961" s="73"/>
      <c r="D961" s="74"/>
      <c r="E961" s="658" t="s">
        <v>161</v>
      </c>
      <c r="F961" s="75"/>
      <c r="G961" s="201"/>
      <c r="H961" s="828">
        <f t="shared" si="86"/>
        <v>0</v>
      </c>
      <c r="I961" s="1" t="e">
        <f t="shared" si="87"/>
        <v>#NUM!</v>
      </c>
      <c r="J961" s="1" t="e">
        <f t="shared" si="88"/>
        <v>#NUM!</v>
      </c>
      <c r="K961" s="1" t="e">
        <f t="shared" si="89"/>
        <v>#NUM!</v>
      </c>
    </row>
    <row r="962" spans="1:11">
      <c r="A962" s="483">
        <f t="shared" si="85"/>
        <v>956</v>
      </c>
      <c r="B962" s="72"/>
      <c r="C962" s="73"/>
      <c r="D962" s="74"/>
      <c r="E962" s="658" t="s">
        <v>161</v>
      </c>
      <c r="F962" s="75"/>
      <c r="G962" s="201"/>
      <c r="H962" s="828">
        <f t="shared" si="86"/>
        <v>0</v>
      </c>
      <c r="I962" s="1" t="e">
        <f t="shared" si="87"/>
        <v>#NUM!</v>
      </c>
      <c r="J962" s="1" t="e">
        <f t="shared" si="88"/>
        <v>#NUM!</v>
      </c>
      <c r="K962" s="1" t="e">
        <f t="shared" si="89"/>
        <v>#NUM!</v>
      </c>
    </row>
    <row r="963" spans="1:11">
      <c r="A963" s="483">
        <f t="shared" si="85"/>
        <v>957</v>
      </c>
      <c r="B963" s="72"/>
      <c r="C963" s="73"/>
      <c r="D963" s="74"/>
      <c r="E963" s="658" t="s">
        <v>161</v>
      </c>
      <c r="F963" s="75"/>
      <c r="G963" s="201"/>
      <c r="H963" s="828">
        <f t="shared" si="86"/>
        <v>0</v>
      </c>
      <c r="I963" s="1" t="e">
        <f t="shared" si="87"/>
        <v>#NUM!</v>
      </c>
      <c r="J963" s="1" t="e">
        <f t="shared" si="88"/>
        <v>#NUM!</v>
      </c>
      <c r="K963" s="1" t="e">
        <f t="shared" si="89"/>
        <v>#NUM!</v>
      </c>
    </row>
    <row r="964" spans="1:11">
      <c r="A964" s="483">
        <f t="shared" si="85"/>
        <v>958</v>
      </c>
      <c r="B964" s="72"/>
      <c r="C964" s="73"/>
      <c r="D964" s="74"/>
      <c r="E964" s="658" t="s">
        <v>161</v>
      </c>
      <c r="F964" s="75"/>
      <c r="G964" s="201"/>
      <c r="H964" s="828">
        <f t="shared" si="86"/>
        <v>0</v>
      </c>
      <c r="I964" s="1" t="e">
        <f t="shared" si="87"/>
        <v>#NUM!</v>
      </c>
      <c r="J964" s="1" t="e">
        <f t="shared" si="88"/>
        <v>#NUM!</v>
      </c>
      <c r="K964" s="1" t="e">
        <f t="shared" si="89"/>
        <v>#NUM!</v>
      </c>
    </row>
    <row r="965" spans="1:11">
      <c r="A965" s="483">
        <f t="shared" si="85"/>
        <v>959</v>
      </c>
      <c r="B965" s="72"/>
      <c r="C965" s="73"/>
      <c r="D965" s="74"/>
      <c r="E965" s="658" t="s">
        <v>161</v>
      </c>
      <c r="F965" s="75"/>
      <c r="G965" s="201"/>
      <c r="H965" s="828">
        <f t="shared" si="86"/>
        <v>0</v>
      </c>
      <c r="I965" s="1" t="e">
        <f t="shared" si="87"/>
        <v>#NUM!</v>
      </c>
      <c r="J965" s="1" t="e">
        <f t="shared" si="88"/>
        <v>#NUM!</v>
      </c>
      <c r="K965" s="1" t="e">
        <f t="shared" si="89"/>
        <v>#NUM!</v>
      </c>
    </row>
    <row r="966" spans="1:11">
      <c r="A966" s="483">
        <f t="shared" si="85"/>
        <v>960</v>
      </c>
      <c r="B966" s="72"/>
      <c r="C966" s="73"/>
      <c r="D966" s="74"/>
      <c r="E966" s="658" t="s">
        <v>161</v>
      </c>
      <c r="F966" s="75"/>
      <c r="G966" s="201"/>
      <c r="H966" s="828">
        <f t="shared" si="86"/>
        <v>0</v>
      </c>
      <c r="I966" s="1" t="e">
        <f t="shared" si="87"/>
        <v>#NUM!</v>
      </c>
      <c r="J966" s="1" t="e">
        <f t="shared" si="88"/>
        <v>#NUM!</v>
      </c>
      <c r="K966" s="1" t="e">
        <f t="shared" si="89"/>
        <v>#NUM!</v>
      </c>
    </row>
    <row r="967" spans="1:11">
      <c r="A967" s="483">
        <f t="shared" si="85"/>
        <v>961</v>
      </c>
      <c r="B967" s="72"/>
      <c r="C967" s="73"/>
      <c r="D967" s="74"/>
      <c r="E967" s="658" t="s">
        <v>161</v>
      </c>
      <c r="F967" s="75"/>
      <c r="G967" s="201"/>
      <c r="H967" s="828">
        <f t="shared" si="86"/>
        <v>0</v>
      </c>
      <c r="I967" s="1" t="e">
        <f t="shared" si="87"/>
        <v>#NUM!</v>
      </c>
      <c r="J967" s="1" t="e">
        <f t="shared" si="88"/>
        <v>#NUM!</v>
      </c>
      <c r="K967" s="1" t="e">
        <f t="shared" si="89"/>
        <v>#NUM!</v>
      </c>
    </row>
    <row r="968" spans="1:11">
      <c r="A968" s="483">
        <f t="shared" si="85"/>
        <v>962</v>
      </c>
      <c r="B968" s="72"/>
      <c r="C968" s="73"/>
      <c r="D968" s="74"/>
      <c r="E968" s="658" t="s">
        <v>161</v>
      </c>
      <c r="F968" s="75"/>
      <c r="G968" s="201"/>
      <c r="H968" s="828">
        <f t="shared" si="86"/>
        <v>0</v>
      </c>
      <c r="I968" s="1" t="e">
        <f t="shared" si="87"/>
        <v>#NUM!</v>
      </c>
      <c r="J968" s="1" t="e">
        <f t="shared" si="88"/>
        <v>#NUM!</v>
      </c>
      <c r="K968" s="1" t="e">
        <f t="shared" si="89"/>
        <v>#NUM!</v>
      </c>
    </row>
    <row r="969" spans="1:11">
      <c r="A969" s="483">
        <f t="shared" si="85"/>
        <v>963</v>
      </c>
      <c r="B969" s="72"/>
      <c r="C969" s="73"/>
      <c r="D969" s="74"/>
      <c r="E969" s="658" t="s">
        <v>161</v>
      </c>
      <c r="F969" s="75"/>
      <c r="G969" s="201"/>
      <c r="H969" s="828">
        <f t="shared" si="86"/>
        <v>0</v>
      </c>
      <c r="I969" s="1" t="e">
        <f t="shared" si="87"/>
        <v>#NUM!</v>
      </c>
      <c r="J969" s="1" t="e">
        <f t="shared" si="88"/>
        <v>#NUM!</v>
      </c>
      <c r="K969" s="1" t="e">
        <f t="shared" si="89"/>
        <v>#NUM!</v>
      </c>
    </row>
    <row r="970" spans="1:11">
      <c r="A970" s="483">
        <f t="shared" ref="A970:A1033" si="90">+A969+1</f>
        <v>964</v>
      </c>
      <c r="B970" s="72"/>
      <c r="C970" s="73"/>
      <c r="D970" s="74"/>
      <c r="E970" s="658" t="s">
        <v>161</v>
      </c>
      <c r="F970" s="75"/>
      <c r="G970" s="201"/>
      <c r="H970" s="828">
        <f t="shared" si="86"/>
        <v>0</v>
      </c>
      <c r="I970" s="1" t="e">
        <f t="shared" si="87"/>
        <v>#NUM!</v>
      </c>
      <c r="J970" s="1" t="e">
        <f t="shared" si="88"/>
        <v>#NUM!</v>
      </c>
      <c r="K970" s="1" t="e">
        <f t="shared" si="89"/>
        <v>#NUM!</v>
      </c>
    </row>
    <row r="971" spans="1:11">
      <c r="A971" s="483">
        <f t="shared" si="90"/>
        <v>965</v>
      </c>
      <c r="B971" s="72"/>
      <c r="C971" s="73"/>
      <c r="D971" s="74"/>
      <c r="E971" s="658" t="s">
        <v>161</v>
      </c>
      <c r="F971" s="75"/>
      <c r="G971" s="201"/>
      <c r="H971" s="828">
        <f t="shared" si="86"/>
        <v>0</v>
      </c>
      <c r="I971" s="1" t="e">
        <f t="shared" si="87"/>
        <v>#NUM!</v>
      </c>
      <c r="J971" s="1" t="e">
        <f t="shared" si="88"/>
        <v>#NUM!</v>
      </c>
      <c r="K971" s="1" t="e">
        <f t="shared" si="89"/>
        <v>#NUM!</v>
      </c>
    </row>
    <row r="972" spans="1:11">
      <c r="A972" s="483">
        <f t="shared" si="90"/>
        <v>966</v>
      </c>
      <c r="B972" s="72"/>
      <c r="C972" s="73"/>
      <c r="D972" s="74"/>
      <c r="E972" s="658" t="s">
        <v>161</v>
      </c>
      <c r="F972" s="75"/>
      <c r="G972" s="201"/>
      <c r="H972" s="828">
        <f t="shared" si="86"/>
        <v>0</v>
      </c>
      <c r="I972" s="1" t="e">
        <f t="shared" si="87"/>
        <v>#NUM!</v>
      </c>
      <c r="J972" s="1" t="e">
        <f t="shared" si="88"/>
        <v>#NUM!</v>
      </c>
      <c r="K972" s="1" t="e">
        <f t="shared" si="89"/>
        <v>#NUM!</v>
      </c>
    </row>
    <row r="973" spans="1:11">
      <c r="A973" s="483">
        <f t="shared" si="90"/>
        <v>967</v>
      </c>
      <c r="B973" s="72"/>
      <c r="C973" s="73"/>
      <c r="D973" s="74"/>
      <c r="E973" s="658" t="s">
        <v>161</v>
      </c>
      <c r="F973" s="75"/>
      <c r="G973" s="201"/>
      <c r="H973" s="828">
        <f t="shared" si="86"/>
        <v>0</v>
      </c>
      <c r="I973" s="1" t="e">
        <f t="shared" si="87"/>
        <v>#NUM!</v>
      </c>
      <c r="J973" s="1" t="e">
        <f t="shared" si="88"/>
        <v>#NUM!</v>
      </c>
      <c r="K973" s="1" t="e">
        <f t="shared" si="89"/>
        <v>#NUM!</v>
      </c>
    </row>
    <row r="974" spans="1:11">
      <c r="A974" s="483">
        <f t="shared" si="90"/>
        <v>968</v>
      </c>
      <c r="B974" s="72"/>
      <c r="C974" s="73"/>
      <c r="D974" s="74"/>
      <c r="E974" s="658" t="s">
        <v>161</v>
      </c>
      <c r="F974" s="75"/>
      <c r="G974" s="201"/>
      <c r="H974" s="828">
        <f t="shared" si="86"/>
        <v>0</v>
      </c>
      <c r="I974" s="1" t="e">
        <f t="shared" si="87"/>
        <v>#NUM!</v>
      </c>
      <c r="J974" s="1" t="e">
        <f t="shared" si="88"/>
        <v>#NUM!</v>
      </c>
      <c r="K974" s="1" t="e">
        <f t="shared" si="89"/>
        <v>#NUM!</v>
      </c>
    </row>
    <row r="975" spans="1:11">
      <c r="A975" s="483">
        <f t="shared" si="90"/>
        <v>969</v>
      </c>
      <c r="B975" s="72"/>
      <c r="C975" s="73"/>
      <c r="D975" s="74"/>
      <c r="E975" s="658" t="s">
        <v>161</v>
      </c>
      <c r="F975" s="75"/>
      <c r="G975" s="201"/>
      <c r="H975" s="828">
        <f t="shared" si="86"/>
        <v>0</v>
      </c>
      <c r="I975" s="1" t="e">
        <f t="shared" si="87"/>
        <v>#NUM!</v>
      </c>
      <c r="J975" s="1" t="e">
        <f t="shared" si="88"/>
        <v>#NUM!</v>
      </c>
      <c r="K975" s="1" t="e">
        <f t="shared" si="89"/>
        <v>#NUM!</v>
      </c>
    </row>
    <row r="976" spans="1:11">
      <c r="A976" s="483">
        <f t="shared" si="90"/>
        <v>970</v>
      </c>
      <c r="B976" s="72"/>
      <c r="C976" s="73"/>
      <c r="D976" s="74"/>
      <c r="E976" s="658" t="s">
        <v>161</v>
      </c>
      <c r="F976" s="75"/>
      <c r="G976" s="201"/>
      <c r="H976" s="828">
        <f t="shared" si="86"/>
        <v>0</v>
      </c>
      <c r="I976" s="1" t="e">
        <f t="shared" si="87"/>
        <v>#NUM!</v>
      </c>
      <c r="J976" s="1" t="e">
        <f t="shared" si="88"/>
        <v>#NUM!</v>
      </c>
      <c r="K976" s="1" t="e">
        <f t="shared" si="89"/>
        <v>#NUM!</v>
      </c>
    </row>
    <row r="977" spans="1:11">
      <c r="A977" s="483">
        <f t="shared" si="90"/>
        <v>971</v>
      </c>
      <c r="B977" s="72"/>
      <c r="C977" s="73"/>
      <c r="D977" s="74"/>
      <c r="E977" s="658" t="s">
        <v>161</v>
      </c>
      <c r="F977" s="75"/>
      <c r="G977" s="201"/>
      <c r="H977" s="828">
        <f t="shared" si="86"/>
        <v>0</v>
      </c>
      <c r="I977" s="1" t="e">
        <f t="shared" si="87"/>
        <v>#NUM!</v>
      </c>
      <c r="J977" s="1" t="e">
        <f t="shared" si="88"/>
        <v>#NUM!</v>
      </c>
      <c r="K977" s="1" t="e">
        <f t="shared" si="89"/>
        <v>#NUM!</v>
      </c>
    </row>
    <row r="978" spans="1:11">
      <c r="A978" s="483">
        <f t="shared" si="90"/>
        <v>972</v>
      </c>
      <c r="B978" s="72"/>
      <c r="C978" s="73"/>
      <c r="D978" s="74"/>
      <c r="E978" s="658" t="s">
        <v>161</v>
      </c>
      <c r="F978" s="75"/>
      <c r="G978" s="201"/>
      <c r="H978" s="828">
        <f t="shared" si="86"/>
        <v>0</v>
      </c>
      <c r="I978" s="1" t="e">
        <f t="shared" si="87"/>
        <v>#NUM!</v>
      </c>
      <c r="J978" s="1" t="e">
        <f t="shared" si="88"/>
        <v>#NUM!</v>
      </c>
      <c r="K978" s="1" t="e">
        <f t="shared" si="89"/>
        <v>#NUM!</v>
      </c>
    </row>
    <row r="979" spans="1:11">
      <c r="A979" s="483">
        <f t="shared" si="90"/>
        <v>973</v>
      </c>
      <c r="B979" s="72"/>
      <c r="C979" s="73"/>
      <c r="D979" s="74"/>
      <c r="E979" s="658" t="s">
        <v>161</v>
      </c>
      <c r="F979" s="75"/>
      <c r="G979" s="201"/>
      <c r="H979" s="828">
        <f t="shared" si="86"/>
        <v>0</v>
      </c>
      <c r="I979" s="1" t="e">
        <f t="shared" si="87"/>
        <v>#NUM!</v>
      </c>
      <c r="J979" s="1" t="e">
        <f t="shared" si="88"/>
        <v>#NUM!</v>
      </c>
      <c r="K979" s="1" t="e">
        <f t="shared" si="89"/>
        <v>#NUM!</v>
      </c>
    </row>
    <row r="980" spans="1:11">
      <c r="A980" s="483">
        <f t="shared" si="90"/>
        <v>974</v>
      </c>
      <c r="B980" s="72"/>
      <c r="C980" s="73"/>
      <c r="D980" s="74"/>
      <c r="E980" s="658" t="s">
        <v>161</v>
      </c>
      <c r="F980" s="75"/>
      <c r="G980" s="201"/>
      <c r="H980" s="828">
        <f t="shared" si="86"/>
        <v>0</v>
      </c>
      <c r="I980" s="1" t="e">
        <f t="shared" si="87"/>
        <v>#NUM!</v>
      </c>
      <c r="J980" s="1" t="e">
        <f t="shared" si="88"/>
        <v>#NUM!</v>
      </c>
      <c r="K980" s="1" t="e">
        <f t="shared" si="89"/>
        <v>#NUM!</v>
      </c>
    </row>
    <row r="981" spans="1:11">
      <c r="A981" s="483">
        <f t="shared" si="90"/>
        <v>975</v>
      </c>
      <c r="B981" s="72"/>
      <c r="C981" s="73"/>
      <c r="D981" s="74"/>
      <c r="E981" s="658" t="s">
        <v>161</v>
      </c>
      <c r="F981" s="75"/>
      <c r="G981" s="201"/>
      <c r="H981" s="828">
        <f t="shared" si="86"/>
        <v>0</v>
      </c>
      <c r="I981" s="1" t="e">
        <f t="shared" si="87"/>
        <v>#NUM!</v>
      </c>
      <c r="J981" s="1" t="e">
        <f t="shared" si="88"/>
        <v>#NUM!</v>
      </c>
      <c r="K981" s="1" t="e">
        <f t="shared" si="89"/>
        <v>#NUM!</v>
      </c>
    </row>
    <row r="982" spans="1:11">
      <c r="A982" s="483">
        <f t="shared" si="90"/>
        <v>976</v>
      </c>
      <c r="B982" s="72"/>
      <c r="C982" s="73"/>
      <c r="D982" s="74"/>
      <c r="E982" s="658" t="s">
        <v>161</v>
      </c>
      <c r="F982" s="75"/>
      <c r="G982" s="201"/>
      <c r="H982" s="828">
        <f t="shared" si="86"/>
        <v>0</v>
      </c>
      <c r="I982" s="1" t="e">
        <f t="shared" si="87"/>
        <v>#NUM!</v>
      </c>
      <c r="J982" s="1" t="e">
        <f t="shared" si="88"/>
        <v>#NUM!</v>
      </c>
      <c r="K982" s="1" t="e">
        <f t="shared" si="89"/>
        <v>#NUM!</v>
      </c>
    </row>
    <row r="983" spans="1:11">
      <c r="A983" s="483">
        <f t="shared" si="90"/>
        <v>977</v>
      </c>
      <c r="B983" s="72"/>
      <c r="C983" s="73"/>
      <c r="D983" s="74"/>
      <c r="E983" s="658" t="s">
        <v>161</v>
      </c>
      <c r="F983" s="75"/>
      <c r="G983" s="201"/>
      <c r="H983" s="828">
        <f t="shared" si="86"/>
        <v>0</v>
      </c>
      <c r="I983" s="1" t="e">
        <f t="shared" si="87"/>
        <v>#NUM!</v>
      </c>
      <c r="J983" s="1" t="e">
        <f t="shared" si="88"/>
        <v>#NUM!</v>
      </c>
      <c r="K983" s="1" t="e">
        <f t="shared" si="89"/>
        <v>#NUM!</v>
      </c>
    </row>
    <row r="984" spans="1:11">
      <c r="A984" s="483">
        <f t="shared" si="90"/>
        <v>978</v>
      </c>
      <c r="B984" s="72"/>
      <c r="C984" s="73"/>
      <c r="D984" s="74"/>
      <c r="E984" s="658" t="s">
        <v>161</v>
      </c>
      <c r="F984" s="75"/>
      <c r="G984" s="201"/>
      <c r="H984" s="828">
        <f t="shared" si="86"/>
        <v>0</v>
      </c>
      <c r="I984" s="1" t="e">
        <f t="shared" si="87"/>
        <v>#NUM!</v>
      </c>
      <c r="J984" s="1" t="e">
        <f t="shared" si="88"/>
        <v>#NUM!</v>
      </c>
      <c r="K984" s="1" t="e">
        <f t="shared" si="89"/>
        <v>#NUM!</v>
      </c>
    </row>
    <row r="985" spans="1:11">
      <c r="A985" s="483">
        <f t="shared" si="90"/>
        <v>979</v>
      </c>
      <c r="B985" s="72"/>
      <c r="C985" s="73"/>
      <c r="D985" s="74"/>
      <c r="E985" s="658" t="s">
        <v>161</v>
      </c>
      <c r="F985" s="75"/>
      <c r="G985" s="201"/>
      <c r="H985" s="828">
        <f t="shared" si="86"/>
        <v>0</v>
      </c>
      <c r="I985" s="1" t="e">
        <f t="shared" si="87"/>
        <v>#NUM!</v>
      </c>
      <c r="J985" s="1" t="e">
        <f t="shared" si="88"/>
        <v>#NUM!</v>
      </c>
      <c r="K985" s="1" t="e">
        <f t="shared" si="89"/>
        <v>#NUM!</v>
      </c>
    </row>
    <row r="986" spans="1:11">
      <c r="A986" s="483">
        <f t="shared" si="90"/>
        <v>980</v>
      </c>
      <c r="B986" s="72"/>
      <c r="C986" s="73"/>
      <c r="D986" s="74"/>
      <c r="E986" s="658" t="s">
        <v>161</v>
      </c>
      <c r="F986" s="75"/>
      <c r="G986" s="201"/>
      <c r="H986" s="828">
        <f t="shared" si="86"/>
        <v>0</v>
      </c>
      <c r="I986" s="1" t="e">
        <f t="shared" si="87"/>
        <v>#NUM!</v>
      </c>
      <c r="J986" s="1" t="e">
        <f t="shared" si="88"/>
        <v>#NUM!</v>
      </c>
      <c r="K986" s="1" t="e">
        <f t="shared" si="89"/>
        <v>#NUM!</v>
      </c>
    </row>
    <row r="987" spans="1:11">
      <c r="A987" s="483">
        <f t="shared" si="90"/>
        <v>981</v>
      </c>
      <c r="B987" s="72"/>
      <c r="C987" s="73"/>
      <c r="D987" s="74"/>
      <c r="E987" s="658" t="s">
        <v>161</v>
      </c>
      <c r="F987" s="75"/>
      <c r="G987" s="201"/>
      <c r="H987" s="828">
        <f t="shared" si="86"/>
        <v>0</v>
      </c>
      <c r="I987" s="1" t="e">
        <f t="shared" si="87"/>
        <v>#NUM!</v>
      </c>
      <c r="J987" s="1" t="e">
        <f t="shared" si="88"/>
        <v>#NUM!</v>
      </c>
      <c r="K987" s="1" t="e">
        <f t="shared" si="89"/>
        <v>#NUM!</v>
      </c>
    </row>
    <row r="988" spans="1:11">
      <c r="A988" s="483">
        <f t="shared" si="90"/>
        <v>982</v>
      </c>
      <c r="B988" s="72"/>
      <c r="C988" s="73"/>
      <c r="D988" s="74"/>
      <c r="E988" s="658" t="s">
        <v>161</v>
      </c>
      <c r="F988" s="75"/>
      <c r="G988" s="201"/>
      <c r="H988" s="828">
        <f t="shared" si="86"/>
        <v>0</v>
      </c>
      <c r="I988" s="1" t="e">
        <f t="shared" si="87"/>
        <v>#NUM!</v>
      </c>
      <c r="J988" s="1" t="e">
        <f t="shared" si="88"/>
        <v>#NUM!</v>
      </c>
      <c r="K988" s="1" t="e">
        <f t="shared" si="89"/>
        <v>#NUM!</v>
      </c>
    </row>
    <row r="989" spans="1:11">
      <c r="A989" s="483">
        <f t="shared" si="90"/>
        <v>983</v>
      </c>
      <c r="B989" s="72"/>
      <c r="C989" s="73"/>
      <c r="D989" s="74"/>
      <c r="E989" s="658" t="s">
        <v>161</v>
      </c>
      <c r="F989" s="75"/>
      <c r="G989" s="201"/>
      <c r="H989" s="828">
        <f t="shared" si="86"/>
        <v>0</v>
      </c>
      <c r="I989" s="1" t="e">
        <f t="shared" si="87"/>
        <v>#NUM!</v>
      </c>
      <c r="J989" s="1" t="e">
        <f t="shared" si="88"/>
        <v>#NUM!</v>
      </c>
      <c r="K989" s="1" t="e">
        <f t="shared" si="89"/>
        <v>#NUM!</v>
      </c>
    </row>
    <row r="990" spans="1:11">
      <c r="A990" s="483">
        <f t="shared" si="90"/>
        <v>984</v>
      </c>
      <c r="B990" s="72"/>
      <c r="C990" s="73"/>
      <c r="D990" s="74"/>
      <c r="E990" s="658" t="s">
        <v>161</v>
      </c>
      <c r="F990" s="75"/>
      <c r="G990" s="201"/>
      <c r="H990" s="828">
        <f t="shared" si="86"/>
        <v>0</v>
      </c>
      <c r="I990" s="1" t="e">
        <f t="shared" si="87"/>
        <v>#NUM!</v>
      </c>
      <c r="J990" s="1" t="e">
        <f t="shared" si="88"/>
        <v>#NUM!</v>
      </c>
      <c r="K990" s="1" t="e">
        <f t="shared" si="89"/>
        <v>#NUM!</v>
      </c>
    </row>
    <row r="991" spans="1:11">
      <c r="A991" s="483">
        <f t="shared" si="90"/>
        <v>985</v>
      </c>
      <c r="B991" s="72"/>
      <c r="C991" s="73"/>
      <c r="D991" s="74"/>
      <c r="E991" s="658" t="s">
        <v>161</v>
      </c>
      <c r="F991" s="75"/>
      <c r="G991" s="201"/>
      <c r="H991" s="828">
        <f t="shared" si="86"/>
        <v>0</v>
      </c>
      <c r="I991" s="1" t="e">
        <f t="shared" si="87"/>
        <v>#NUM!</v>
      </c>
      <c r="J991" s="1" t="e">
        <f t="shared" si="88"/>
        <v>#NUM!</v>
      </c>
      <c r="K991" s="1" t="e">
        <f t="shared" si="89"/>
        <v>#NUM!</v>
      </c>
    </row>
    <row r="992" spans="1:11">
      <c r="A992" s="483">
        <f t="shared" si="90"/>
        <v>986</v>
      </c>
      <c r="B992" s="72"/>
      <c r="C992" s="73"/>
      <c r="D992" s="74"/>
      <c r="E992" s="658" t="s">
        <v>161</v>
      </c>
      <c r="F992" s="75"/>
      <c r="G992" s="201"/>
      <c r="H992" s="828">
        <f t="shared" si="86"/>
        <v>0</v>
      </c>
      <c r="I992" s="1" t="e">
        <f t="shared" si="87"/>
        <v>#NUM!</v>
      </c>
      <c r="J992" s="1" t="e">
        <f t="shared" si="88"/>
        <v>#NUM!</v>
      </c>
      <c r="K992" s="1" t="e">
        <f t="shared" si="89"/>
        <v>#NUM!</v>
      </c>
    </row>
    <row r="993" spans="1:11">
      <c r="A993" s="483">
        <f t="shared" si="90"/>
        <v>987</v>
      </c>
      <c r="B993" s="72"/>
      <c r="C993" s="73"/>
      <c r="D993" s="74"/>
      <c r="E993" s="658" t="s">
        <v>161</v>
      </c>
      <c r="F993" s="75"/>
      <c r="G993" s="201"/>
      <c r="H993" s="828">
        <f t="shared" si="86"/>
        <v>0</v>
      </c>
      <c r="I993" s="1" t="e">
        <f t="shared" si="87"/>
        <v>#NUM!</v>
      </c>
      <c r="J993" s="1" t="e">
        <f t="shared" si="88"/>
        <v>#NUM!</v>
      </c>
      <c r="K993" s="1" t="e">
        <f t="shared" si="89"/>
        <v>#NUM!</v>
      </c>
    </row>
    <row r="994" spans="1:11">
      <c r="A994" s="483">
        <f t="shared" si="90"/>
        <v>988</v>
      </c>
      <c r="B994" s="72"/>
      <c r="C994" s="73"/>
      <c r="D994" s="74"/>
      <c r="E994" s="658" t="s">
        <v>161</v>
      </c>
      <c r="F994" s="75"/>
      <c r="G994" s="201"/>
      <c r="H994" s="828">
        <f t="shared" ref="H994:H1057" si="91">+(F994/1760)*G994</f>
        <v>0</v>
      </c>
      <c r="I994" s="1" t="e">
        <f t="shared" ref="I994:I1057" si="92">LN(F994)</f>
        <v>#NUM!</v>
      </c>
      <c r="J994" s="1" t="e">
        <f t="shared" ref="J994:J1057" si="93">LN(G994)</f>
        <v>#NUM!</v>
      </c>
      <c r="K994" s="1" t="e">
        <f t="shared" ref="K994:K1057" si="94">LN(H994)</f>
        <v>#NUM!</v>
      </c>
    </row>
    <row r="995" spans="1:11">
      <c r="A995" s="483">
        <f t="shared" si="90"/>
        <v>989</v>
      </c>
      <c r="B995" s="72"/>
      <c r="C995" s="73"/>
      <c r="D995" s="74"/>
      <c r="E995" s="658" t="s">
        <v>161</v>
      </c>
      <c r="F995" s="75"/>
      <c r="G995" s="201"/>
      <c r="H995" s="828">
        <f t="shared" si="91"/>
        <v>0</v>
      </c>
      <c r="I995" s="1" t="e">
        <f t="shared" si="92"/>
        <v>#NUM!</v>
      </c>
      <c r="J995" s="1" t="e">
        <f t="shared" si="93"/>
        <v>#NUM!</v>
      </c>
      <c r="K995" s="1" t="e">
        <f t="shared" si="94"/>
        <v>#NUM!</v>
      </c>
    </row>
    <row r="996" spans="1:11">
      <c r="A996" s="483">
        <f t="shared" si="90"/>
        <v>990</v>
      </c>
      <c r="B996" s="72"/>
      <c r="C996" s="73"/>
      <c r="D996" s="74"/>
      <c r="E996" s="658" t="s">
        <v>161</v>
      </c>
      <c r="F996" s="75"/>
      <c r="G996" s="201"/>
      <c r="H996" s="828">
        <f t="shared" si="91"/>
        <v>0</v>
      </c>
      <c r="I996" s="1" t="e">
        <f t="shared" si="92"/>
        <v>#NUM!</v>
      </c>
      <c r="J996" s="1" t="e">
        <f t="shared" si="93"/>
        <v>#NUM!</v>
      </c>
      <c r="K996" s="1" t="e">
        <f t="shared" si="94"/>
        <v>#NUM!</v>
      </c>
    </row>
    <row r="997" spans="1:11">
      <c r="A997" s="483">
        <f t="shared" si="90"/>
        <v>991</v>
      </c>
      <c r="B997" s="72"/>
      <c r="C997" s="73"/>
      <c r="D997" s="74"/>
      <c r="E997" s="658" t="s">
        <v>161</v>
      </c>
      <c r="F997" s="75"/>
      <c r="G997" s="201"/>
      <c r="H997" s="828">
        <f t="shared" si="91"/>
        <v>0</v>
      </c>
      <c r="I997" s="1" t="e">
        <f t="shared" si="92"/>
        <v>#NUM!</v>
      </c>
      <c r="J997" s="1" t="e">
        <f t="shared" si="93"/>
        <v>#NUM!</v>
      </c>
      <c r="K997" s="1" t="e">
        <f t="shared" si="94"/>
        <v>#NUM!</v>
      </c>
    </row>
    <row r="998" spans="1:11">
      <c r="A998" s="483">
        <f t="shared" si="90"/>
        <v>992</v>
      </c>
      <c r="B998" s="72"/>
      <c r="C998" s="73"/>
      <c r="D998" s="74"/>
      <c r="E998" s="658" t="s">
        <v>161</v>
      </c>
      <c r="F998" s="75"/>
      <c r="G998" s="201"/>
      <c r="H998" s="828">
        <f t="shared" si="91"/>
        <v>0</v>
      </c>
      <c r="I998" s="1" t="e">
        <f t="shared" si="92"/>
        <v>#NUM!</v>
      </c>
      <c r="J998" s="1" t="e">
        <f t="shared" si="93"/>
        <v>#NUM!</v>
      </c>
      <c r="K998" s="1" t="e">
        <f t="shared" si="94"/>
        <v>#NUM!</v>
      </c>
    </row>
    <row r="999" spans="1:11">
      <c r="A999" s="483">
        <f t="shared" si="90"/>
        <v>993</v>
      </c>
      <c r="B999" s="72"/>
      <c r="C999" s="73"/>
      <c r="D999" s="74"/>
      <c r="E999" s="658" t="s">
        <v>161</v>
      </c>
      <c r="F999" s="75"/>
      <c r="G999" s="201"/>
      <c r="H999" s="828">
        <f t="shared" si="91"/>
        <v>0</v>
      </c>
      <c r="I999" s="1" t="e">
        <f t="shared" si="92"/>
        <v>#NUM!</v>
      </c>
      <c r="J999" s="1" t="e">
        <f t="shared" si="93"/>
        <v>#NUM!</v>
      </c>
      <c r="K999" s="1" t="e">
        <f t="shared" si="94"/>
        <v>#NUM!</v>
      </c>
    </row>
    <row r="1000" spans="1:11">
      <c r="A1000" s="483">
        <f t="shared" si="90"/>
        <v>994</v>
      </c>
      <c r="B1000" s="72"/>
      <c r="C1000" s="73"/>
      <c r="D1000" s="74"/>
      <c r="E1000" s="658" t="s">
        <v>161</v>
      </c>
      <c r="F1000" s="75"/>
      <c r="G1000" s="201"/>
      <c r="H1000" s="828">
        <f t="shared" si="91"/>
        <v>0</v>
      </c>
      <c r="I1000" s="1" t="e">
        <f t="shared" si="92"/>
        <v>#NUM!</v>
      </c>
      <c r="J1000" s="1" t="e">
        <f t="shared" si="93"/>
        <v>#NUM!</v>
      </c>
      <c r="K1000" s="1" t="e">
        <f t="shared" si="94"/>
        <v>#NUM!</v>
      </c>
    </row>
    <row r="1001" spans="1:11">
      <c r="A1001" s="483">
        <f t="shared" si="90"/>
        <v>995</v>
      </c>
      <c r="B1001" s="72"/>
      <c r="C1001" s="73"/>
      <c r="D1001" s="74"/>
      <c r="E1001" s="658" t="s">
        <v>161</v>
      </c>
      <c r="F1001" s="75"/>
      <c r="G1001" s="201"/>
      <c r="H1001" s="828">
        <f t="shared" si="91"/>
        <v>0</v>
      </c>
      <c r="I1001" s="1" t="e">
        <f t="shared" si="92"/>
        <v>#NUM!</v>
      </c>
      <c r="J1001" s="1" t="e">
        <f t="shared" si="93"/>
        <v>#NUM!</v>
      </c>
      <c r="K1001" s="1" t="e">
        <f t="shared" si="94"/>
        <v>#NUM!</v>
      </c>
    </row>
    <row r="1002" spans="1:11">
      <c r="A1002" s="483">
        <f t="shared" si="90"/>
        <v>996</v>
      </c>
      <c r="B1002" s="72"/>
      <c r="C1002" s="73"/>
      <c r="D1002" s="74"/>
      <c r="E1002" s="658" t="s">
        <v>161</v>
      </c>
      <c r="F1002" s="75"/>
      <c r="G1002" s="201"/>
      <c r="H1002" s="828">
        <f t="shared" si="91"/>
        <v>0</v>
      </c>
      <c r="I1002" s="1" t="e">
        <f t="shared" si="92"/>
        <v>#NUM!</v>
      </c>
      <c r="J1002" s="1" t="e">
        <f t="shared" si="93"/>
        <v>#NUM!</v>
      </c>
      <c r="K1002" s="1" t="e">
        <f t="shared" si="94"/>
        <v>#NUM!</v>
      </c>
    </row>
    <row r="1003" spans="1:11">
      <c r="A1003" s="483">
        <f t="shared" si="90"/>
        <v>997</v>
      </c>
      <c r="B1003" s="72"/>
      <c r="C1003" s="73"/>
      <c r="D1003" s="74"/>
      <c r="E1003" s="658" t="s">
        <v>161</v>
      </c>
      <c r="F1003" s="75"/>
      <c r="G1003" s="201"/>
      <c r="H1003" s="828">
        <f t="shared" si="91"/>
        <v>0</v>
      </c>
      <c r="I1003" s="1" t="e">
        <f t="shared" si="92"/>
        <v>#NUM!</v>
      </c>
      <c r="J1003" s="1" t="e">
        <f t="shared" si="93"/>
        <v>#NUM!</v>
      </c>
      <c r="K1003" s="1" t="e">
        <f t="shared" si="94"/>
        <v>#NUM!</v>
      </c>
    </row>
    <row r="1004" spans="1:11">
      <c r="A1004" s="483">
        <f t="shared" si="90"/>
        <v>998</v>
      </c>
      <c r="B1004" s="72"/>
      <c r="C1004" s="73"/>
      <c r="D1004" s="74"/>
      <c r="E1004" s="658" t="s">
        <v>161</v>
      </c>
      <c r="F1004" s="75"/>
      <c r="G1004" s="201"/>
      <c r="H1004" s="828">
        <f t="shared" si="91"/>
        <v>0</v>
      </c>
      <c r="I1004" s="1" t="e">
        <f t="shared" si="92"/>
        <v>#NUM!</v>
      </c>
      <c r="J1004" s="1" t="e">
        <f t="shared" si="93"/>
        <v>#NUM!</v>
      </c>
      <c r="K1004" s="1" t="e">
        <f t="shared" si="94"/>
        <v>#NUM!</v>
      </c>
    </row>
    <row r="1005" spans="1:11">
      <c r="A1005" s="483">
        <f t="shared" si="90"/>
        <v>999</v>
      </c>
      <c r="B1005" s="72"/>
      <c r="C1005" s="73"/>
      <c r="D1005" s="74"/>
      <c r="E1005" s="658" t="s">
        <v>161</v>
      </c>
      <c r="F1005" s="75"/>
      <c r="G1005" s="201"/>
      <c r="H1005" s="828">
        <f t="shared" si="91"/>
        <v>0</v>
      </c>
      <c r="I1005" s="1" t="e">
        <f t="shared" si="92"/>
        <v>#NUM!</v>
      </c>
      <c r="J1005" s="1" t="e">
        <f t="shared" si="93"/>
        <v>#NUM!</v>
      </c>
      <c r="K1005" s="1" t="e">
        <f t="shared" si="94"/>
        <v>#NUM!</v>
      </c>
    </row>
    <row r="1006" spans="1:11">
      <c r="A1006" s="483">
        <f t="shared" si="90"/>
        <v>1000</v>
      </c>
      <c r="B1006" s="72"/>
      <c r="C1006" s="73"/>
      <c r="D1006" s="74"/>
      <c r="E1006" s="658" t="s">
        <v>161</v>
      </c>
      <c r="F1006" s="75"/>
      <c r="G1006" s="201"/>
      <c r="H1006" s="828">
        <f t="shared" si="91"/>
        <v>0</v>
      </c>
      <c r="I1006" s="1" t="e">
        <f t="shared" si="92"/>
        <v>#NUM!</v>
      </c>
      <c r="J1006" s="1" t="e">
        <f t="shared" si="93"/>
        <v>#NUM!</v>
      </c>
      <c r="K1006" s="1" t="e">
        <f t="shared" si="94"/>
        <v>#NUM!</v>
      </c>
    </row>
    <row r="1007" spans="1:11">
      <c r="A1007" s="483">
        <f t="shared" si="90"/>
        <v>1001</v>
      </c>
      <c r="B1007" s="72"/>
      <c r="C1007" s="73"/>
      <c r="D1007" s="74"/>
      <c r="E1007" s="658" t="s">
        <v>161</v>
      </c>
      <c r="F1007" s="75"/>
      <c r="G1007" s="201"/>
      <c r="H1007" s="828">
        <f t="shared" si="91"/>
        <v>0</v>
      </c>
      <c r="I1007" s="1" t="e">
        <f t="shared" si="92"/>
        <v>#NUM!</v>
      </c>
      <c r="J1007" s="1" t="e">
        <f t="shared" si="93"/>
        <v>#NUM!</v>
      </c>
      <c r="K1007" s="1" t="e">
        <f t="shared" si="94"/>
        <v>#NUM!</v>
      </c>
    </row>
    <row r="1008" spans="1:11">
      <c r="A1008" s="483">
        <f t="shared" si="90"/>
        <v>1002</v>
      </c>
      <c r="B1008" s="72"/>
      <c r="C1008" s="73"/>
      <c r="D1008" s="74"/>
      <c r="E1008" s="658" t="s">
        <v>161</v>
      </c>
      <c r="F1008" s="75"/>
      <c r="G1008" s="201"/>
      <c r="H1008" s="828">
        <f t="shared" si="91"/>
        <v>0</v>
      </c>
      <c r="I1008" s="1" t="e">
        <f t="shared" si="92"/>
        <v>#NUM!</v>
      </c>
      <c r="J1008" s="1" t="e">
        <f t="shared" si="93"/>
        <v>#NUM!</v>
      </c>
      <c r="K1008" s="1" t="e">
        <f t="shared" si="94"/>
        <v>#NUM!</v>
      </c>
    </row>
    <row r="1009" spans="1:11">
      <c r="A1009" s="483">
        <f t="shared" si="90"/>
        <v>1003</v>
      </c>
      <c r="B1009" s="72"/>
      <c r="C1009" s="73"/>
      <c r="D1009" s="74"/>
      <c r="E1009" s="658" t="s">
        <v>161</v>
      </c>
      <c r="F1009" s="75"/>
      <c r="G1009" s="201"/>
      <c r="H1009" s="828">
        <f t="shared" si="91"/>
        <v>0</v>
      </c>
      <c r="I1009" s="1" t="e">
        <f t="shared" si="92"/>
        <v>#NUM!</v>
      </c>
      <c r="J1009" s="1" t="e">
        <f t="shared" si="93"/>
        <v>#NUM!</v>
      </c>
      <c r="K1009" s="1" t="e">
        <f t="shared" si="94"/>
        <v>#NUM!</v>
      </c>
    </row>
    <row r="1010" spans="1:11">
      <c r="A1010" s="483">
        <f t="shared" si="90"/>
        <v>1004</v>
      </c>
      <c r="B1010" s="72"/>
      <c r="C1010" s="73"/>
      <c r="D1010" s="74"/>
      <c r="E1010" s="658" t="s">
        <v>161</v>
      </c>
      <c r="F1010" s="75"/>
      <c r="G1010" s="201"/>
      <c r="H1010" s="828">
        <f t="shared" si="91"/>
        <v>0</v>
      </c>
      <c r="I1010" s="1" t="e">
        <f t="shared" si="92"/>
        <v>#NUM!</v>
      </c>
      <c r="J1010" s="1" t="e">
        <f t="shared" si="93"/>
        <v>#NUM!</v>
      </c>
      <c r="K1010" s="1" t="e">
        <f t="shared" si="94"/>
        <v>#NUM!</v>
      </c>
    </row>
    <row r="1011" spans="1:11">
      <c r="A1011" s="483">
        <f t="shared" si="90"/>
        <v>1005</v>
      </c>
      <c r="B1011" s="72"/>
      <c r="C1011" s="73"/>
      <c r="D1011" s="74"/>
      <c r="E1011" s="658" t="s">
        <v>161</v>
      </c>
      <c r="F1011" s="75"/>
      <c r="G1011" s="201"/>
      <c r="H1011" s="828">
        <f t="shared" si="91"/>
        <v>0</v>
      </c>
      <c r="I1011" s="1" t="e">
        <f t="shared" si="92"/>
        <v>#NUM!</v>
      </c>
      <c r="J1011" s="1" t="e">
        <f t="shared" si="93"/>
        <v>#NUM!</v>
      </c>
      <c r="K1011" s="1" t="e">
        <f t="shared" si="94"/>
        <v>#NUM!</v>
      </c>
    </row>
    <row r="1012" spans="1:11">
      <c r="A1012" s="483">
        <f t="shared" si="90"/>
        <v>1006</v>
      </c>
      <c r="B1012" s="72"/>
      <c r="C1012" s="73"/>
      <c r="D1012" s="74"/>
      <c r="E1012" s="658" t="s">
        <v>161</v>
      </c>
      <c r="F1012" s="75"/>
      <c r="G1012" s="201"/>
      <c r="H1012" s="828">
        <f t="shared" si="91"/>
        <v>0</v>
      </c>
      <c r="I1012" s="1" t="e">
        <f t="shared" si="92"/>
        <v>#NUM!</v>
      </c>
      <c r="J1012" s="1" t="e">
        <f t="shared" si="93"/>
        <v>#NUM!</v>
      </c>
      <c r="K1012" s="1" t="e">
        <f t="shared" si="94"/>
        <v>#NUM!</v>
      </c>
    </row>
    <row r="1013" spans="1:11">
      <c r="A1013" s="483">
        <f t="shared" si="90"/>
        <v>1007</v>
      </c>
      <c r="B1013" s="72"/>
      <c r="C1013" s="73"/>
      <c r="D1013" s="74"/>
      <c r="E1013" s="658" t="s">
        <v>161</v>
      </c>
      <c r="F1013" s="75"/>
      <c r="G1013" s="201"/>
      <c r="H1013" s="828">
        <f t="shared" si="91"/>
        <v>0</v>
      </c>
      <c r="I1013" s="1" t="e">
        <f t="shared" si="92"/>
        <v>#NUM!</v>
      </c>
      <c r="J1013" s="1" t="e">
        <f t="shared" si="93"/>
        <v>#NUM!</v>
      </c>
      <c r="K1013" s="1" t="e">
        <f t="shared" si="94"/>
        <v>#NUM!</v>
      </c>
    </row>
    <row r="1014" spans="1:11">
      <c r="A1014" s="483">
        <f t="shared" si="90"/>
        <v>1008</v>
      </c>
      <c r="B1014" s="72"/>
      <c r="C1014" s="73"/>
      <c r="D1014" s="74"/>
      <c r="E1014" s="658" t="s">
        <v>161</v>
      </c>
      <c r="F1014" s="75"/>
      <c r="G1014" s="201"/>
      <c r="H1014" s="828">
        <f t="shared" si="91"/>
        <v>0</v>
      </c>
      <c r="I1014" s="1" t="e">
        <f t="shared" si="92"/>
        <v>#NUM!</v>
      </c>
      <c r="J1014" s="1" t="e">
        <f t="shared" si="93"/>
        <v>#NUM!</v>
      </c>
      <c r="K1014" s="1" t="e">
        <f t="shared" si="94"/>
        <v>#NUM!</v>
      </c>
    </row>
    <row r="1015" spans="1:11">
      <c r="A1015" s="483">
        <f t="shared" si="90"/>
        <v>1009</v>
      </c>
      <c r="B1015" s="72"/>
      <c r="C1015" s="73"/>
      <c r="D1015" s="74"/>
      <c r="E1015" s="658" t="s">
        <v>161</v>
      </c>
      <c r="F1015" s="75"/>
      <c r="G1015" s="201"/>
      <c r="H1015" s="828">
        <f t="shared" si="91"/>
        <v>0</v>
      </c>
      <c r="I1015" s="1" t="e">
        <f t="shared" si="92"/>
        <v>#NUM!</v>
      </c>
      <c r="J1015" s="1" t="e">
        <f t="shared" si="93"/>
        <v>#NUM!</v>
      </c>
      <c r="K1015" s="1" t="e">
        <f t="shared" si="94"/>
        <v>#NUM!</v>
      </c>
    </row>
    <row r="1016" spans="1:11">
      <c r="A1016" s="483">
        <f t="shared" si="90"/>
        <v>1010</v>
      </c>
      <c r="B1016" s="72"/>
      <c r="C1016" s="73"/>
      <c r="D1016" s="74"/>
      <c r="E1016" s="658" t="s">
        <v>161</v>
      </c>
      <c r="F1016" s="75"/>
      <c r="G1016" s="201"/>
      <c r="H1016" s="828">
        <f t="shared" si="91"/>
        <v>0</v>
      </c>
      <c r="I1016" s="1" t="e">
        <f t="shared" si="92"/>
        <v>#NUM!</v>
      </c>
      <c r="J1016" s="1" t="e">
        <f t="shared" si="93"/>
        <v>#NUM!</v>
      </c>
      <c r="K1016" s="1" t="e">
        <f t="shared" si="94"/>
        <v>#NUM!</v>
      </c>
    </row>
    <row r="1017" spans="1:11">
      <c r="A1017" s="483">
        <f t="shared" si="90"/>
        <v>1011</v>
      </c>
      <c r="B1017" s="72"/>
      <c r="C1017" s="73"/>
      <c r="D1017" s="74"/>
      <c r="E1017" s="658" t="s">
        <v>161</v>
      </c>
      <c r="F1017" s="75"/>
      <c r="G1017" s="201"/>
      <c r="H1017" s="828">
        <f t="shared" si="91"/>
        <v>0</v>
      </c>
      <c r="I1017" s="1" t="e">
        <f t="shared" si="92"/>
        <v>#NUM!</v>
      </c>
      <c r="J1017" s="1" t="e">
        <f t="shared" si="93"/>
        <v>#NUM!</v>
      </c>
      <c r="K1017" s="1" t="e">
        <f t="shared" si="94"/>
        <v>#NUM!</v>
      </c>
    </row>
    <row r="1018" spans="1:11">
      <c r="A1018" s="483">
        <f t="shared" si="90"/>
        <v>1012</v>
      </c>
      <c r="B1018" s="72"/>
      <c r="C1018" s="73"/>
      <c r="D1018" s="74"/>
      <c r="E1018" s="658" t="s">
        <v>161</v>
      </c>
      <c r="F1018" s="75"/>
      <c r="G1018" s="201"/>
      <c r="H1018" s="828">
        <f t="shared" si="91"/>
        <v>0</v>
      </c>
      <c r="I1018" s="1" t="e">
        <f t="shared" si="92"/>
        <v>#NUM!</v>
      </c>
      <c r="J1018" s="1" t="e">
        <f t="shared" si="93"/>
        <v>#NUM!</v>
      </c>
      <c r="K1018" s="1" t="e">
        <f t="shared" si="94"/>
        <v>#NUM!</v>
      </c>
    </row>
    <row r="1019" spans="1:11">
      <c r="A1019" s="483">
        <f t="shared" si="90"/>
        <v>1013</v>
      </c>
      <c r="B1019" s="72"/>
      <c r="C1019" s="73"/>
      <c r="D1019" s="74"/>
      <c r="E1019" s="658" t="s">
        <v>161</v>
      </c>
      <c r="F1019" s="75"/>
      <c r="G1019" s="201"/>
      <c r="H1019" s="828">
        <f t="shared" si="91"/>
        <v>0</v>
      </c>
      <c r="I1019" s="1" t="e">
        <f t="shared" si="92"/>
        <v>#NUM!</v>
      </c>
      <c r="J1019" s="1" t="e">
        <f t="shared" si="93"/>
        <v>#NUM!</v>
      </c>
      <c r="K1019" s="1" t="e">
        <f t="shared" si="94"/>
        <v>#NUM!</v>
      </c>
    </row>
    <row r="1020" spans="1:11">
      <c r="A1020" s="483">
        <f t="shared" si="90"/>
        <v>1014</v>
      </c>
      <c r="B1020" s="72"/>
      <c r="C1020" s="73"/>
      <c r="D1020" s="74"/>
      <c r="E1020" s="658" t="s">
        <v>161</v>
      </c>
      <c r="F1020" s="75"/>
      <c r="G1020" s="201"/>
      <c r="H1020" s="828">
        <f t="shared" si="91"/>
        <v>0</v>
      </c>
      <c r="I1020" s="1" t="e">
        <f t="shared" si="92"/>
        <v>#NUM!</v>
      </c>
      <c r="J1020" s="1" t="e">
        <f t="shared" si="93"/>
        <v>#NUM!</v>
      </c>
      <c r="K1020" s="1" t="e">
        <f t="shared" si="94"/>
        <v>#NUM!</v>
      </c>
    </row>
    <row r="1021" spans="1:11">
      <c r="A1021" s="483">
        <f t="shared" si="90"/>
        <v>1015</v>
      </c>
      <c r="B1021" s="72"/>
      <c r="C1021" s="73"/>
      <c r="D1021" s="74"/>
      <c r="E1021" s="658" t="s">
        <v>161</v>
      </c>
      <c r="F1021" s="75"/>
      <c r="G1021" s="201"/>
      <c r="H1021" s="828">
        <f t="shared" si="91"/>
        <v>0</v>
      </c>
      <c r="I1021" s="1" t="e">
        <f t="shared" si="92"/>
        <v>#NUM!</v>
      </c>
      <c r="J1021" s="1" t="e">
        <f t="shared" si="93"/>
        <v>#NUM!</v>
      </c>
      <c r="K1021" s="1" t="e">
        <f t="shared" si="94"/>
        <v>#NUM!</v>
      </c>
    </row>
    <row r="1022" spans="1:11">
      <c r="A1022" s="483">
        <f t="shared" si="90"/>
        <v>1016</v>
      </c>
      <c r="B1022" s="72"/>
      <c r="C1022" s="73"/>
      <c r="D1022" s="74"/>
      <c r="E1022" s="658" t="s">
        <v>161</v>
      </c>
      <c r="F1022" s="75"/>
      <c r="G1022" s="201"/>
      <c r="H1022" s="828">
        <f t="shared" si="91"/>
        <v>0</v>
      </c>
      <c r="I1022" s="1" t="e">
        <f t="shared" si="92"/>
        <v>#NUM!</v>
      </c>
      <c r="J1022" s="1" t="e">
        <f t="shared" si="93"/>
        <v>#NUM!</v>
      </c>
      <c r="K1022" s="1" t="e">
        <f t="shared" si="94"/>
        <v>#NUM!</v>
      </c>
    </row>
    <row r="1023" spans="1:11">
      <c r="A1023" s="483">
        <f t="shared" si="90"/>
        <v>1017</v>
      </c>
      <c r="B1023" s="72"/>
      <c r="C1023" s="73"/>
      <c r="D1023" s="74"/>
      <c r="E1023" s="658" t="s">
        <v>161</v>
      </c>
      <c r="F1023" s="75"/>
      <c r="G1023" s="201"/>
      <c r="H1023" s="828">
        <f t="shared" si="91"/>
        <v>0</v>
      </c>
      <c r="I1023" s="1" t="e">
        <f t="shared" si="92"/>
        <v>#NUM!</v>
      </c>
      <c r="J1023" s="1" t="e">
        <f t="shared" si="93"/>
        <v>#NUM!</v>
      </c>
      <c r="K1023" s="1" t="e">
        <f t="shared" si="94"/>
        <v>#NUM!</v>
      </c>
    </row>
    <row r="1024" spans="1:11">
      <c r="A1024" s="483">
        <f t="shared" si="90"/>
        <v>1018</v>
      </c>
      <c r="B1024" s="72"/>
      <c r="C1024" s="73"/>
      <c r="D1024" s="74"/>
      <c r="E1024" s="658" t="s">
        <v>161</v>
      </c>
      <c r="F1024" s="75"/>
      <c r="G1024" s="201"/>
      <c r="H1024" s="828">
        <f t="shared" si="91"/>
        <v>0</v>
      </c>
      <c r="I1024" s="1" t="e">
        <f t="shared" si="92"/>
        <v>#NUM!</v>
      </c>
      <c r="J1024" s="1" t="e">
        <f t="shared" si="93"/>
        <v>#NUM!</v>
      </c>
      <c r="K1024" s="1" t="e">
        <f t="shared" si="94"/>
        <v>#NUM!</v>
      </c>
    </row>
    <row r="1025" spans="1:11">
      <c r="A1025" s="483">
        <f t="shared" si="90"/>
        <v>1019</v>
      </c>
      <c r="B1025" s="72"/>
      <c r="C1025" s="73"/>
      <c r="D1025" s="74"/>
      <c r="E1025" s="658" t="s">
        <v>161</v>
      </c>
      <c r="F1025" s="75"/>
      <c r="G1025" s="201"/>
      <c r="H1025" s="828">
        <f t="shared" si="91"/>
        <v>0</v>
      </c>
      <c r="I1025" s="1" t="e">
        <f t="shared" si="92"/>
        <v>#NUM!</v>
      </c>
      <c r="J1025" s="1" t="e">
        <f t="shared" si="93"/>
        <v>#NUM!</v>
      </c>
      <c r="K1025" s="1" t="e">
        <f t="shared" si="94"/>
        <v>#NUM!</v>
      </c>
    </row>
    <row r="1026" spans="1:11">
      <c r="A1026" s="483">
        <f t="shared" si="90"/>
        <v>1020</v>
      </c>
      <c r="B1026" s="72"/>
      <c r="C1026" s="73"/>
      <c r="D1026" s="74"/>
      <c r="E1026" s="658" t="s">
        <v>161</v>
      </c>
      <c r="F1026" s="75"/>
      <c r="G1026" s="201"/>
      <c r="H1026" s="828">
        <f t="shared" si="91"/>
        <v>0</v>
      </c>
      <c r="I1026" s="1" t="e">
        <f t="shared" si="92"/>
        <v>#NUM!</v>
      </c>
      <c r="J1026" s="1" t="e">
        <f t="shared" si="93"/>
        <v>#NUM!</v>
      </c>
      <c r="K1026" s="1" t="e">
        <f t="shared" si="94"/>
        <v>#NUM!</v>
      </c>
    </row>
    <row r="1027" spans="1:11">
      <c r="A1027" s="483">
        <f t="shared" si="90"/>
        <v>1021</v>
      </c>
      <c r="B1027" s="72"/>
      <c r="C1027" s="73"/>
      <c r="D1027" s="74"/>
      <c r="E1027" s="658" t="s">
        <v>161</v>
      </c>
      <c r="F1027" s="75"/>
      <c r="G1027" s="201"/>
      <c r="H1027" s="828">
        <f t="shared" si="91"/>
        <v>0</v>
      </c>
      <c r="I1027" s="1" t="e">
        <f t="shared" si="92"/>
        <v>#NUM!</v>
      </c>
      <c r="J1027" s="1" t="e">
        <f t="shared" si="93"/>
        <v>#NUM!</v>
      </c>
      <c r="K1027" s="1" t="e">
        <f t="shared" si="94"/>
        <v>#NUM!</v>
      </c>
    </row>
    <row r="1028" spans="1:11">
      <c r="A1028" s="483">
        <f t="shared" si="90"/>
        <v>1022</v>
      </c>
      <c r="B1028" s="72"/>
      <c r="C1028" s="73"/>
      <c r="D1028" s="74"/>
      <c r="E1028" s="658" t="s">
        <v>161</v>
      </c>
      <c r="F1028" s="75"/>
      <c r="G1028" s="201"/>
      <c r="H1028" s="828">
        <f t="shared" si="91"/>
        <v>0</v>
      </c>
      <c r="I1028" s="1" t="e">
        <f t="shared" si="92"/>
        <v>#NUM!</v>
      </c>
      <c r="J1028" s="1" t="e">
        <f t="shared" si="93"/>
        <v>#NUM!</v>
      </c>
      <c r="K1028" s="1" t="e">
        <f t="shared" si="94"/>
        <v>#NUM!</v>
      </c>
    </row>
    <row r="1029" spans="1:11">
      <c r="A1029" s="483">
        <f t="shared" si="90"/>
        <v>1023</v>
      </c>
      <c r="B1029" s="72"/>
      <c r="C1029" s="73"/>
      <c r="D1029" s="74"/>
      <c r="E1029" s="658" t="s">
        <v>161</v>
      </c>
      <c r="F1029" s="75"/>
      <c r="G1029" s="201"/>
      <c r="H1029" s="828">
        <f t="shared" si="91"/>
        <v>0</v>
      </c>
      <c r="I1029" s="1" t="e">
        <f t="shared" si="92"/>
        <v>#NUM!</v>
      </c>
      <c r="J1029" s="1" t="e">
        <f t="shared" si="93"/>
        <v>#NUM!</v>
      </c>
      <c r="K1029" s="1" t="e">
        <f t="shared" si="94"/>
        <v>#NUM!</v>
      </c>
    </row>
    <row r="1030" spans="1:11">
      <c r="A1030" s="483">
        <f t="shared" si="90"/>
        <v>1024</v>
      </c>
      <c r="B1030" s="72"/>
      <c r="C1030" s="73"/>
      <c r="D1030" s="74"/>
      <c r="E1030" s="658" t="s">
        <v>161</v>
      </c>
      <c r="F1030" s="75"/>
      <c r="G1030" s="201"/>
      <c r="H1030" s="828">
        <f t="shared" si="91"/>
        <v>0</v>
      </c>
      <c r="I1030" s="1" t="e">
        <f t="shared" si="92"/>
        <v>#NUM!</v>
      </c>
      <c r="J1030" s="1" t="e">
        <f t="shared" si="93"/>
        <v>#NUM!</v>
      </c>
      <c r="K1030" s="1" t="e">
        <f t="shared" si="94"/>
        <v>#NUM!</v>
      </c>
    </row>
    <row r="1031" spans="1:11">
      <c r="A1031" s="483">
        <f t="shared" si="90"/>
        <v>1025</v>
      </c>
      <c r="B1031" s="72"/>
      <c r="C1031" s="73"/>
      <c r="D1031" s="74"/>
      <c r="E1031" s="658" t="s">
        <v>161</v>
      </c>
      <c r="F1031" s="75"/>
      <c r="G1031" s="201"/>
      <c r="H1031" s="828">
        <f t="shared" si="91"/>
        <v>0</v>
      </c>
      <c r="I1031" s="1" t="e">
        <f t="shared" si="92"/>
        <v>#NUM!</v>
      </c>
      <c r="J1031" s="1" t="e">
        <f t="shared" si="93"/>
        <v>#NUM!</v>
      </c>
      <c r="K1031" s="1" t="e">
        <f t="shared" si="94"/>
        <v>#NUM!</v>
      </c>
    </row>
    <row r="1032" spans="1:11">
      <c r="A1032" s="483">
        <f t="shared" si="90"/>
        <v>1026</v>
      </c>
      <c r="B1032" s="72"/>
      <c r="C1032" s="73"/>
      <c r="D1032" s="74"/>
      <c r="E1032" s="658" t="s">
        <v>161</v>
      </c>
      <c r="F1032" s="75"/>
      <c r="G1032" s="201"/>
      <c r="H1032" s="828">
        <f t="shared" si="91"/>
        <v>0</v>
      </c>
      <c r="I1032" s="1" t="e">
        <f t="shared" si="92"/>
        <v>#NUM!</v>
      </c>
      <c r="J1032" s="1" t="e">
        <f t="shared" si="93"/>
        <v>#NUM!</v>
      </c>
      <c r="K1032" s="1" t="e">
        <f t="shared" si="94"/>
        <v>#NUM!</v>
      </c>
    </row>
    <row r="1033" spans="1:11">
      <c r="A1033" s="483">
        <f t="shared" si="90"/>
        <v>1027</v>
      </c>
      <c r="B1033" s="72"/>
      <c r="C1033" s="73"/>
      <c r="D1033" s="74"/>
      <c r="E1033" s="658" t="s">
        <v>161</v>
      </c>
      <c r="F1033" s="75"/>
      <c r="G1033" s="201"/>
      <c r="H1033" s="828">
        <f t="shared" si="91"/>
        <v>0</v>
      </c>
      <c r="I1033" s="1" t="e">
        <f t="shared" si="92"/>
        <v>#NUM!</v>
      </c>
      <c r="J1033" s="1" t="e">
        <f t="shared" si="93"/>
        <v>#NUM!</v>
      </c>
      <c r="K1033" s="1" t="e">
        <f t="shared" si="94"/>
        <v>#NUM!</v>
      </c>
    </row>
    <row r="1034" spans="1:11">
      <c r="A1034" s="483">
        <f t="shared" ref="A1034:A1097" si="95">+A1033+1</f>
        <v>1028</v>
      </c>
      <c r="B1034" s="72"/>
      <c r="C1034" s="73"/>
      <c r="D1034" s="74"/>
      <c r="E1034" s="658" t="s">
        <v>161</v>
      </c>
      <c r="F1034" s="75"/>
      <c r="G1034" s="201"/>
      <c r="H1034" s="828">
        <f t="shared" si="91"/>
        <v>0</v>
      </c>
      <c r="I1034" s="1" t="e">
        <f t="shared" si="92"/>
        <v>#NUM!</v>
      </c>
      <c r="J1034" s="1" t="e">
        <f t="shared" si="93"/>
        <v>#NUM!</v>
      </c>
      <c r="K1034" s="1" t="e">
        <f t="shared" si="94"/>
        <v>#NUM!</v>
      </c>
    </row>
    <row r="1035" spans="1:11">
      <c r="A1035" s="483">
        <f t="shared" si="95"/>
        <v>1029</v>
      </c>
      <c r="B1035" s="72"/>
      <c r="C1035" s="73"/>
      <c r="D1035" s="74"/>
      <c r="E1035" s="658" t="s">
        <v>161</v>
      </c>
      <c r="F1035" s="75"/>
      <c r="G1035" s="201"/>
      <c r="H1035" s="828">
        <f t="shared" si="91"/>
        <v>0</v>
      </c>
      <c r="I1035" s="1" t="e">
        <f t="shared" si="92"/>
        <v>#NUM!</v>
      </c>
      <c r="J1035" s="1" t="e">
        <f t="shared" si="93"/>
        <v>#NUM!</v>
      </c>
      <c r="K1035" s="1" t="e">
        <f t="shared" si="94"/>
        <v>#NUM!</v>
      </c>
    </row>
    <row r="1036" spans="1:11">
      <c r="A1036" s="483">
        <f t="shared" si="95"/>
        <v>1030</v>
      </c>
      <c r="B1036" s="72"/>
      <c r="C1036" s="73"/>
      <c r="D1036" s="74"/>
      <c r="E1036" s="658" t="s">
        <v>161</v>
      </c>
      <c r="F1036" s="75"/>
      <c r="G1036" s="201"/>
      <c r="H1036" s="828">
        <f t="shared" si="91"/>
        <v>0</v>
      </c>
      <c r="I1036" s="1" t="e">
        <f t="shared" si="92"/>
        <v>#NUM!</v>
      </c>
      <c r="J1036" s="1" t="e">
        <f t="shared" si="93"/>
        <v>#NUM!</v>
      </c>
      <c r="K1036" s="1" t="e">
        <f t="shared" si="94"/>
        <v>#NUM!</v>
      </c>
    </row>
    <row r="1037" spans="1:11">
      <c r="A1037" s="483">
        <f t="shared" si="95"/>
        <v>1031</v>
      </c>
      <c r="B1037" s="72"/>
      <c r="C1037" s="73"/>
      <c r="D1037" s="74"/>
      <c r="E1037" s="658" t="s">
        <v>161</v>
      </c>
      <c r="F1037" s="75"/>
      <c r="G1037" s="201"/>
      <c r="H1037" s="828">
        <f t="shared" si="91"/>
        <v>0</v>
      </c>
      <c r="I1037" s="1" t="e">
        <f t="shared" si="92"/>
        <v>#NUM!</v>
      </c>
      <c r="J1037" s="1" t="e">
        <f t="shared" si="93"/>
        <v>#NUM!</v>
      </c>
      <c r="K1037" s="1" t="e">
        <f t="shared" si="94"/>
        <v>#NUM!</v>
      </c>
    </row>
    <row r="1038" spans="1:11">
      <c r="A1038" s="483">
        <f t="shared" si="95"/>
        <v>1032</v>
      </c>
      <c r="B1038" s="72"/>
      <c r="C1038" s="73"/>
      <c r="D1038" s="74"/>
      <c r="E1038" s="658" t="s">
        <v>161</v>
      </c>
      <c r="F1038" s="75"/>
      <c r="G1038" s="201"/>
      <c r="H1038" s="828">
        <f t="shared" si="91"/>
        <v>0</v>
      </c>
      <c r="I1038" s="1" t="e">
        <f t="shared" si="92"/>
        <v>#NUM!</v>
      </c>
      <c r="J1038" s="1" t="e">
        <f t="shared" si="93"/>
        <v>#NUM!</v>
      </c>
      <c r="K1038" s="1" t="e">
        <f t="shared" si="94"/>
        <v>#NUM!</v>
      </c>
    </row>
    <row r="1039" spans="1:11">
      <c r="A1039" s="483">
        <f t="shared" si="95"/>
        <v>1033</v>
      </c>
      <c r="B1039" s="72"/>
      <c r="C1039" s="73"/>
      <c r="D1039" s="74"/>
      <c r="E1039" s="658" t="s">
        <v>161</v>
      </c>
      <c r="F1039" s="75"/>
      <c r="G1039" s="201"/>
      <c r="H1039" s="828">
        <f t="shared" si="91"/>
        <v>0</v>
      </c>
      <c r="I1039" s="1" t="e">
        <f t="shared" si="92"/>
        <v>#NUM!</v>
      </c>
      <c r="J1039" s="1" t="e">
        <f t="shared" si="93"/>
        <v>#NUM!</v>
      </c>
      <c r="K1039" s="1" t="e">
        <f t="shared" si="94"/>
        <v>#NUM!</v>
      </c>
    </row>
    <row r="1040" spans="1:11">
      <c r="A1040" s="483">
        <f t="shared" si="95"/>
        <v>1034</v>
      </c>
      <c r="B1040" s="72"/>
      <c r="C1040" s="73"/>
      <c r="D1040" s="74"/>
      <c r="E1040" s="658" t="s">
        <v>161</v>
      </c>
      <c r="F1040" s="75"/>
      <c r="G1040" s="201"/>
      <c r="H1040" s="828">
        <f t="shared" si="91"/>
        <v>0</v>
      </c>
      <c r="I1040" s="1" t="e">
        <f t="shared" si="92"/>
        <v>#NUM!</v>
      </c>
      <c r="J1040" s="1" t="e">
        <f t="shared" si="93"/>
        <v>#NUM!</v>
      </c>
      <c r="K1040" s="1" t="e">
        <f t="shared" si="94"/>
        <v>#NUM!</v>
      </c>
    </row>
    <row r="1041" spans="1:11">
      <c r="A1041" s="483">
        <f t="shared" si="95"/>
        <v>1035</v>
      </c>
      <c r="B1041" s="72"/>
      <c r="C1041" s="73"/>
      <c r="D1041" s="74"/>
      <c r="E1041" s="658" t="s">
        <v>161</v>
      </c>
      <c r="F1041" s="75"/>
      <c r="G1041" s="201"/>
      <c r="H1041" s="828">
        <f t="shared" si="91"/>
        <v>0</v>
      </c>
      <c r="I1041" s="1" t="e">
        <f t="shared" si="92"/>
        <v>#NUM!</v>
      </c>
      <c r="J1041" s="1" t="e">
        <f t="shared" si="93"/>
        <v>#NUM!</v>
      </c>
      <c r="K1041" s="1" t="e">
        <f t="shared" si="94"/>
        <v>#NUM!</v>
      </c>
    </row>
    <row r="1042" spans="1:11">
      <c r="A1042" s="483">
        <f t="shared" si="95"/>
        <v>1036</v>
      </c>
      <c r="B1042" s="72"/>
      <c r="C1042" s="73"/>
      <c r="D1042" s="74"/>
      <c r="E1042" s="658" t="s">
        <v>161</v>
      </c>
      <c r="F1042" s="75"/>
      <c r="G1042" s="201"/>
      <c r="H1042" s="828">
        <f t="shared" si="91"/>
        <v>0</v>
      </c>
      <c r="I1042" s="1" t="e">
        <f t="shared" si="92"/>
        <v>#NUM!</v>
      </c>
      <c r="J1042" s="1" t="e">
        <f t="shared" si="93"/>
        <v>#NUM!</v>
      </c>
      <c r="K1042" s="1" t="e">
        <f t="shared" si="94"/>
        <v>#NUM!</v>
      </c>
    </row>
    <row r="1043" spans="1:11">
      <c r="A1043" s="483">
        <f t="shared" si="95"/>
        <v>1037</v>
      </c>
      <c r="B1043" s="72"/>
      <c r="C1043" s="73"/>
      <c r="D1043" s="74"/>
      <c r="E1043" s="658" t="s">
        <v>161</v>
      </c>
      <c r="F1043" s="75"/>
      <c r="G1043" s="201"/>
      <c r="H1043" s="828">
        <f t="shared" si="91"/>
        <v>0</v>
      </c>
      <c r="I1043" s="1" t="e">
        <f t="shared" si="92"/>
        <v>#NUM!</v>
      </c>
      <c r="J1043" s="1" t="e">
        <f t="shared" si="93"/>
        <v>#NUM!</v>
      </c>
      <c r="K1043" s="1" t="e">
        <f t="shared" si="94"/>
        <v>#NUM!</v>
      </c>
    </row>
    <row r="1044" spans="1:11">
      <c r="A1044" s="483">
        <f t="shared" si="95"/>
        <v>1038</v>
      </c>
      <c r="B1044" s="72"/>
      <c r="C1044" s="73"/>
      <c r="D1044" s="74"/>
      <c r="E1044" s="658" t="s">
        <v>161</v>
      </c>
      <c r="F1044" s="75"/>
      <c r="G1044" s="201"/>
      <c r="H1044" s="828">
        <f t="shared" si="91"/>
        <v>0</v>
      </c>
      <c r="I1044" s="1" t="e">
        <f t="shared" si="92"/>
        <v>#NUM!</v>
      </c>
      <c r="J1044" s="1" t="e">
        <f t="shared" si="93"/>
        <v>#NUM!</v>
      </c>
      <c r="K1044" s="1" t="e">
        <f t="shared" si="94"/>
        <v>#NUM!</v>
      </c>
    </row>
    <row r="1045" spans="1:11">
      <c r="A1045" s="483">
        <f t="shared" si="95"/>
        <v>1039</v>
      </c>
      <c r="B1045" s="72"/>
      <c r="C1045" s="73"/>
      <c r="D1045" s="74"/>
      <c r="E1045" s="658" t="s">
        <v>161</v>
      </c>
      <c r="F1045" s="75"/>
      <c r="G1045" s="201"/>
      <c r="H1045" s="828">
        <f t="shared" si="91"/>
        <v>0</v>
      </c>
      <c r="I1045" s="1" t="e">
        <f t="shared" si="92"/>
        <v>#NUM!</v>
      </c>
      <c r="J1045" s="1" t="e">
        <f t="shared" si="93"/>
        <v>#NUM!</v>
      </c>
      <c r="K1045" s="1" t="e">
        <f t="shared" si="94"/>
        <v>#NUM!</v>
      </c>
    </row>
    <row r="1046" spans="1:11">
      <c r="A1046" s="483">
        <f t="shared" si="95"/>
        <v>1040</v>
      </c>
      <c r="B1046" s="72"/>
      <c r="C1046" s="73"/>
      <c r="D1046" s="74"/>
      <c r="E1046" s="658" t="s">
        <v>161</v>
      </c>
      <c r="F1046" s="75"/>
      <c r="G1046" s="201"/>
      <c r="H1046" s="828">
        <f t="shared" si="91"/>
        <v>0</v>
      </c>
      <c r="I1046" s="1" t="e">
        <f t="shared" si="92"/>
        <v>#NUM!</v>
      </c>
      <c r="J1046" s="1" t="e">
        <f t="shared" si="93"/>
        <v>#NUM!</v>
      </c>
      <c r="K1046" s="1" t="e">
        <f t="shared" si="94"/>
        <v>#NUM!</v>
      </c>
    </row>
    <row r="1047" spans="1:11">
      <c r="A1047" s="483">
        <f t="shared" si="95"/>
        <v>1041</v>
      </c>
      <c r="B1047" s="72"/>
      <c r="C1047" s="73"/>
      <c r="D1047" s="74"/>
      <c r="E1047" s="658" t="s">
        <v>161</v>
      </c>
      <c r="F1047" s="75"/>
      <c r="G1047" s="201"/>
      <c r="H1047" s="828">
        <f t="shared" si="91"/>
        <v>0</v>
      </c>
      <c r="I1047" s="1" t="e">
        <f t="shared" si="92"/>
        <v>#NUM!</v>
      </c>
      <c r="J1047" s="1" t="e">
        <f t="shared" si="93"/>
        <v>#NUM!</v>
      </c>
      <c r="K1047" s="1" t="e">
        <f t="shared" si="94"/>
        <v>#NUM!</v>
      </c>
    </row>
    <row r="1048" spans="1:11">
      <c r="A1048" s="483">
        <f t="shared" si="95"/>
        <v>1042</v>
      </c>
      <c r="B1048" s="72"/>
      <c r="C1048" s="73"/>
      <c r="D1048" s="74"/>
      <c r="E1048" s="658" t="s">
        <v>161</v>
      </c>
      <c r="F1048" s="75"/>
      <c r="G1048" s="201"/>
      <c r="H1048" s="828">
        <f t="shared" si="91"/>
        <v>0</v>
      </c>
      <c r="I1048" s="1" t="e">
        <f t="shared" si="92"/>
        <v>#NUM!</v>
      </c>
      <c r="J1048" s="1" t="e">
        <f t="shared" si="93"/>
        <v>#NUM!</v>
      </c>
      <c r="K1048" s="1" t="e">
        <f t="shared" si="94"/>
        <v>#NUM!</v>
      </c>
    </row>
    <row r="1049" spans="1:11">
      <c r="A1049" s="483">
        <f t="shared" si="95"/>
        <v>1043</v>
      </c>
      <c r="B1049" s="72"/>
      <c r="C1049" s="73"/>
      <c r="D1049" s="74"/>
      <c r="E1049" s="658" t="s">
        <v>161</v>
      </c>
      <c r="F1049" s="75"/>
      <c r="G1049" s="201"/>
      <c r="H1049" s="828">
        <f t="shared" si="91"/>
        <v>0</v>
      </c>
      <c r="I1049" s="1" t="e">
        <f t="shared" si="92"/>
        <v>#NUM!</v>
      </c>
      <c r="J1049" s="1" t="e">
        <f t="shared" si="93"/>
        <v>#NUM!</v>
      </c>
      <c r="K1049" s="1" t="e">
        <f t="shared" si="94"/>
        <v>#NUM!</v>
      </c>
    </row>
    <row r="1050" spans="1:11">
      <c r="A1050" s="483">
        <f t="shared" si="95"/>
        <v>1044</v>
      </c>
      <c r="B1050" s="72"/>
      <c r="C1050" s="73"/>
      <c r="D1050" s="74"/>
      <c r="E1050" s="658" t="s">
        <v>161</v>
      </c>
      <c r="F1050" s="75"/>
      <c r="G1050" s="201"/>
      <c r="H1050" s="828">
        <f t="shared" si="91"/>
        <v>0</v>
      </c>
      <c r="I1050" s="1" t="e">
        <f t="shared" si="92"/>
        <v>#NUM!</v>
      </c>
      <c r="J1050" s="1" t="e">
        <f t="shared" si="93"/>
        <v>#NUM!</v>
      </c>
      <c r="K1050" s="1" t="e">
        <f t="shared" si="94"/>
        <v>#NUM!</v>
      </c>
    </row>
    <row r="1051" spans="1:11">
      <c r="A1051" s="483">
        <f t="shared" si="95"/>
        <v>1045</v>
      </c>
      <c r="B1051" s="72"/>
      <c r="C1051" s="73"/>
      <c r="D1051" s="74"/>
      <c r="E1051" s="658" t="s">
        <v>161</v>
      </c>
      <c r="F1051" s="75"/>
      <c r="G1051" s="201"/>
      <c r="H1051" s="828">
        <f t="shared" si="91"/>
        <v>0</v>
      </c>
      <c r="I1051" s="1" t="e">
        <f t="shared" si="92"/>
        <v>#NUM!</v>
      </c>
      <c r="J1051" s="1" t="e">
        <f t="shared" si="93"/>
        <v>#NUM!</v>
      </c>
      <c r="K1051" s="1" t="e">
        <f t="shared" si="94"/>
        <v>#NUM!</v>
      </c>
    </row>
    <row r="1052" spans="1:11">
      <c r="A1052" s="483">
        <f t="shared" si="95"/>
        <v>1046</v>
      </c>
      <c r="B1052" s="72"/>
      <c r="C1052" s="73"/>
      <c r="D1052" s="74"/>
      <c r="E1052" s="658" t="s">
        <v>161</v>
      </c>
      <c r="F1052" s="75"/>
      <c r="G1052" s="201"/>
      <c r="H1052" s="828">
        <f t="shared" si="91"/>
        <v>0</v>
      </c>
      <c r="I1052" s="1" t="e">
        <f t="shared" si="92"/>
        <v>#NUM!</v>
      </c>
      <c r="J1052" s="1" t="e">
        <f t="shared" si="93"/>
        <v>#NUM!</v>
      </c>
      <c r="K1052" s="1" t="e">
        <f t="shared" si="94"/>
        <v>#NUM!</v>
      </c>
    </row>
    <row r="1053" spans="1:11">
      <c r="A1053" s="483">
        <f t="shared" si="95"/>
        <v>1047</v>
      </c>
      <c r="B1053" s="72"/>
      <c r="C1053" s="73"/>
      <c r="D1053" s="74"/>
      <c r="E1053" s="658" t="s">
        <v>161</v>
      </c>
      <c r="F1053" s="75"/>
      <c r="G1053" s="201"/>
      <c r="H1053" s="828">
        <f t="shared" si="91"/>
        <v>0</v>
      </c>
      <c r="I1053" s="1" t="e">
        <f t="shared" si="92"/>
        <v>#NUM!</v>
      </c>
      <c r="J1053" s="1" t="e">
        <f t="shared" si="93"/>
        <v>#NUM!</v>
      </c>
      <c r="K1053" s="1" t="e">
        <f t="shared" si="94"/>
        <v>#NUM!</v>
      </c>
    </row>
    <row r="1054" spans="1:11">
      <c r="A1054" s="483">
        <f t="shared" si="95"/>
        <v>1048</v>
      </c>
      <c r="B1054" s="72"/>
      <c r="C1054" s="73"/>
      <c r="D1054" s="74"/>
      <c r="E1054" s="658" t="s">
        <v>161</v>
      </c>
      <c r="F1054" s="75"/>
      <c r="G1054" s="201"/>
      <c r="H1054" s="828">
        <f t="shared" si="91"/>
        <v>0</v>
      </c>
      <c r="I1054" s="1" t="e">
        <f t="shared" si="92"/>
        <v>#NUM!</v>
      </c>
      <c r="J1054" s="1" t="e">
        <f t="shared" si="93"/>
        <v>#NUM!</v>
      </c>
      <c r="K1054" s="1" t="e">
        <f t="shared" si="94"/>
        <v>#NUM!</v>
      </c>
    </row>
    <row r="1055" spans="1:11">
      <c r="A1055" s="483">
        <f t="shared" si="95"/>
        <v>1049</v>
      </c>
      <c r="B1055" s="72"/>
      <c r="C1055" s="73"/>
      <c r="D1055" s="74"/>
      <c r="E1055" s="658" t="s">
        <v>161</v>
      </c>
      <c r="F1055" s="75"/>
      <c r="G1055" s="201"/>
      <c r="H1055" s="828">
        <f t="shared" si="91"/>
        <v>0</v>
      </c>
      <c r="I1055" s="1" t="e">
        <f t="shared" si="92"/>
        <v>#NUM!</v>
      </c>
      <c r="J1055" s="1" t="e">
        <f t="shared" si="93"/>
        <v>#NUM!</v>
      </c>
      <c r="K1055" s="1" t="e">
        <f t="shared" si="94"/>
        <v>#NUM!</v>
      </c>
    </row>
    <row r="1056" spans="1:11">
      <c r="A1056" s="483">
        <f t="shared" si="95"/>
        <v>1050</v>
      </c>
      <c r="B1056" s="72"/>
      <c r="C1056" s="73"/>
      <c r="D1056" s="74"/>
      <c r="E1056" s="658" t="s">
        <v>161</v>
      </c>
      <c r="F1056" s="75"/>
      <c r="G1056" s="201"/>
      <c r="H1056" s="828">
        <f t="shared" si="91"/>
        <v>0</v>
      </c>
      <c r="I1056" s="1" t="e">
        <f t="shared" si="92"/>
        <v>#NUM!</v>
      </c>
      <c r="J1056" s="1" t="e">
        <f t="shared" si="93"/>
        <v>#NUM!</v>
      </c>
      <c r="K1056" s="1" t="e">
        <f t="shared" si="94"/>
        <v>#NUM!</v>
      </c>
    </row>
    <row r="1057" spans="1:11">
      <c r="A1057" s="483">
        <f t="shared" si="95"/>
        <v>1051</v>
      </c>
      <c r="B1057" s="72"/>
      <c r="C1057" s="73"/>
      <c r="D1057" s="74"/>
      <c r="E1057" s="658" t="s">
        <v>161</v>
      </c>
      <c r="F1057" s="75"/>
      <c r="G1057" s="201"/>
      <c r="H1057" s="828">
        <f t="shared" si="91"/>
        <v>0</v>
      </c>
      <c r="I1057" s="1" t="e">
        <f t="shared" si="92"/>
        <v>#NUM!</v>
      </c>
      <c r="J1057" s="1" t="e">
        <f t="shared" si="93"/>
        <v>#NUM!</v>
      </c>
      <c r="K1057" s="1" t="e">
        <f t="shared" si="94"/>
        <v>#NUM!</v>
      </c>
    </row>
    <row r="1058" spans="1:11">
      <c r="A1058" s="483">
        <f t="shared" si="95"/>
        <v>1052</v>
      </c>
      <c r="B1058" s="72"/>
      <c r="C1058" s="73"/>
      <c r="D1058" s="74"/>
      <c r="E1058" s="658" t="s">
        <v>161</v>
      </c>
      <c r="F1058" s="75"/>
      <c r="G1058" s="201"/>
      <c r="H1058" s="828">
        <f t="shared" ref="H1058:H1121" si="96">+(F1058/1760)*G1058</f>
        <v>0</v>
      </c>
      <c r="I1058" s="1" t="e">
        <f t="shared" ref="I1058:I1121" si="97">LN(F1058)</f>
        <v>#NUM!</v>
      </c>
      <c r="J1058" s="1" t="e">
        <f t="shared" ref="J1058:J1121" si="98">LN(G1058)</f>
        <v>#NUM!</v>
      </c>
      <c r="K1058" s="1" t="e">
        <f t="shared" ref="K1058:K1121" si="99">LN(H1058)</f>
        <v>#NUM!</v>
      </c>
    </row>
    <row r="1059" spans="1:11">
      <c r="A1059" s="483">
        <f t="shared" si="95"/>
        <v>1053</v>
      </c>
      <c r="B1059" s="72"/>
      <c r="C1059" s="73"/>
      <c r="D1059" s="74"/>
      <c r="E1059" s="658" t="s">
        <v>161</v>
      </c>
      <c r="F1059" s="75"/>
      <c r="G1059" s="201"/>
      <c r="H1059" s="828">
        <f t="shared" si="96"/>
        <v>0</v>
      </c>
      <c r="I1059" s="1" t="e">
        <f t="shared" si="97"/>
        <v>#NUM!</v>
      </c>
      <c r="J1059" s="1" t="e">
        <f t="shared" si="98"/>
        <v>#NUM!</v>
      </c>
      <c r="K1059" s="1" t="e">
        <f t="shared" si="99"/>
        <v>#NUM!</v>
      </c>
    </row>
    <row r="1060" spans="1:11">
      <c r="A1060" s="483">
        <f t="shared" si="95"/>
        <v>1054</v>
      </c>
      <c r="B1060" s="72"/>
      <c r="C1060" s="73"/>
      <c r="D1060" s="74"/>
      <c r="E1060" s="658" t="s">
        <v>161</v>
      </c>
      <c r="F1060" s="75"/>
      <c r="G1060" s="201"/>
      <c r="H1060" s="828">
        <f t="shared" si="96"/>
        <v>0</v>
      </c>
      <c r="I1060" s="1" t="e">
        <f t="shared" si="97"/>
        <v>#NUM!</v>
      </c>
      <c r="J1060" s="1" t="e">
        <f t="shared" si="98"/>
        <v>#NUM!</v>
      </c>
      <c r="K1060" s="1" t="e">
        <f t="shared" si="99"/>
        <v>#NUM!</v>
      </c>
    </row>
    <row r="1061" spans="1:11">
      <c r="A1061" s="483">
        <f t="shared" si="95"/>
        <v>1055</v>
      </c>
      <c r="B1061" s="72"/>
      <c r="C1061" s="73"/>
      <c r="D1061" s="74"/>
      <c r="E1061" s="658" t="s">
        <v>161</v>
      </c>
      <c r="F1061" s="75"/>
      <c r="G1061" s="201"/>
      <c r="H1061" s="828">
        <f t="shared" si="96"/>
        <v>0</v>
      </c>
      <c r="I1061" s="1" t="e">
        <f t="shared" si="97"/>
        <v>#NUM!</v>
      </c>
      <c r="J1061" s="1" t="e">
        <f t="shared" si="98"/>
        <v>#NUM!</v>
      </c>
      <c r="K1061" s="1" t="e">
        <f t="shared" si="99"/>
        <v>#NUM!</v>
      </c>
    </row>
    <row r="1062" spans="1:11">
      <c r="A1062" s="483">
        <f t="shared" si="95"/>
        <v>1056</v>
      </c>
      <c r="B1062" s="72"/>
      <c r="C1062" s="73"/>
      <c r="D1062" s="74"/>
      <c r="E1062" s="658" t="s">
        <v>161</v>
      </c>
      <c r="F1062" s="75"/>
      <c r="G1062" s="201"/>
      <c r="H1062" s="828">
        <f t="shared" si="96"/>
        <v>0</v>
      </c>
      <c r="I1062" s="1" t="e">
        <f t="shared" si="97"/>
        <v>#NUM!</v>
      </c>
      <c r="J1062" s="1" t="e">
        <f t="shared" si="98"/>
        <v>#NUM!</v>
      </c>
      <c r="K1062" s="1" t="e">
        <f t="shared" si="99"/>
        <v>#NUM!</v>
      </c>
    </row>
    <row r="1063" spans="1:11">
      <c r="A1063" s="483">
        <f t="shared" si="95"/>
        <v>1057</v>
      </c>
      <c r="B1063" s="72"/>
      <c r="C1063" s="73"/>
      <c r="D1063" s="74"/>
      <c r="E1063" s="658" t="s">
        <v>161</v>
      </c>
      <c r="F1063" s="75"/>
      <c r="G1063" s="201"/>
      <c r="H1063" s="828">
        <f t="shared" si="96"/>
        <v>0</v>
      </c>
      <c r="I1063" s="1" t="e">
        <f t="shared" si="97"/>
        <v>#NUM!</v>
      </c>
      <c r="J1063" s="1" t="e">
        <f t="shared" si="98"/>
        <v>#NUM!</v>
      </c>
      <c r="K1063" s="1" t="e">
        <f t="shared" si="99"/>
        <v>#NUM!</v>
      </c>
    </row>
    <row r="1064" spans="1:11">
      <c r="A1064" s="483">
        <f t="shared" si="95"/>
        <v>1058</v>
      </c>
      <c r="B1064" s="72"/>
      <c r="C1064" s="73"/>
      <c r="D1064" s="74"/>
      <c r="E1064" s="658" t="s">
        <v>161</v>
      </c>
      <c r="F1064" s="75"/>
      <c r="G1064" s="201"/>
      <c r="H1064" s="828">
        <f t="shared" si="96"/>
        <v>0</v>
      </c>
      <c r="I1064" s="1" t="e">
        <f t="shared" si="97"/>
        <v>#NUM!</v>
      </c>
      <c r="J1064" s="1" t="e">
        <f t="shared" si="98"/>
        <v>#NUM!</v>
      </c>
      <c r="K1064" s="1" t="e">
        <f t="shared" si="99"/>
        <v>#NUM!</v>
      </c>
    </row>
    <row r="1065" spans="1:11">
      <c r="A1065" s="483">
        <f t="shared" si="95"/>
        <v>1059</v>
      </c>
      <c r="B1065" s="72"/>
      <c r="C1065" s="73"/>
      <c r="D1065" s="74"/>
      <c r="E1065" s="658" t="s">
        <v>161</v>
      </c>
      <c r="F1065" s="75"/>
      <c r="G1065" s="201"/>
      <c r="H1065" s="828">
        <f t="shared" si="96"/>
        <v>0</v>
      </c>
      <c r="I1065" s="1" t="e">
        <f t="shared" si="97"/>
        <v>#NUM!</v>
      </c>
      <c r="J1065" s="1" t="e">
        <f t="shared" si="98"/>
        <v>#NUM!</v>
      </c>
      <c r="K1065" s="1" t="e">
        <f t="shared" si="99"/>
        <v>#NUM!</v>
      </c>
    </row>
    <row r="1066" spans="1:11">
      <c r="A1066" s="483">
        <f t="shared" si="95"/>
        <v>1060</v>
      </c>
      <c r="B1066" s="72"/>
      <c r="C1066" s="73"/>
      <c r="D1066" s="74"/>
      <c r="E1066" s="658" t="s">
        <v>161</v>
      </c>
      <c r="F1066" s="75"/>
      <c r="G1066" s="201"/>
      <c r="H1066" s="828">
        <f t="shared" si="96"/>
        <v>0</v>
      </c>
      <c r="I1066" s="1" t="e">
        <f t="shared" si="97"/>
        <v>#NUM!</v>
      </c>
      <c r="J1066" s="1" t="e">
        <f t="shared" si="98"/>
        <v>#NUM!</v>
      </c>
      <c r="K1066" s="1" t="e">
        <f t="shared" si="99"/>
        <v>#NUM!</v>
      </c>
    </row>
    <row r="1067" spans="1:11">
      <c r="A1067" s="483">
        <f t="shared" si="95"/>
        <v>1061</v>
      </c>
      <c r="B1067" s="72"/>
      <c r="C1067" s="73"/>
      <c r="D1067" s="74"/>
      <c r="E1067" s="658" t="s">
        <v>161</v>
      </c>
      <c r="F1067" s="75"/>
      <c r="G1067" s="201"/>
      <c r="H1067" s="828">
        <f t="shared" si="96"/>
        <v>0</v>
      </c>
      <c r="I1067" s="1" t="e">
        <f t="shared" si="97"/>
        <v>#NUM!</v>
      </c>
      <c r="J1067" s="1" t="e">
        <f t="shared" si="98"/>
        <v>#NUM!</v>
      </c>
      <c r="K1067" s="1" t="e">
        <f t="shared" si="99"/>
        <v>#NUM!</v>
      </c>
    </row>
    <row r="1068" spans="1:11">
      <c r="A1068" s="483">
        <f t="shared" si="95"/>
        <v>1062</v>
      </c>
      <c r="B1068" s="72"/>
      <c r="C1068" s="73"/>
      <c r="D1068" s="74"/>
      <c r="E1068" s="658" t="s">
        <v>161</v>
      </c>
      <c r="F1068" s="75"/>
      <c r="G1068" s="201"/>
      <c r="H1068" s="828">
        <f t="shared" si="96"/>
        <v>0</v>
      </c>
      <c r="I1068" s="1" t="e">
        <f t="shared" si="97"/>
        <v>#NUM!</v>
      </c>
      <c r="J1068" s="1" t="e">
        <f t="shared" si="98"/>
        <v>#NUM!</v>
      </c>
      <c r="K1068" s="1" t="e">
        <f t="shared" si="99"/>
        <v>#NUM!</v>
      </c>
    </row>
    <row r="1069" spans="1:11">
      <c r="A1069" s="483">
        <f t="shared" si="95"/>
        <v>1063</v>
      </c>
      <c r="B1069" s="72"/>
      <c r="C1069" s="73"/>
      <c r="D1069" s="74"/>
      <c r="E1069" s="658" t="s">
        <v>161</v>
      </c>
      <c r="F1069" s="75"/>
      <c r="G1069" s="201"/>
      <c r="H1069" s="828">
        <f t="shared" si="96"/>
        <v>0</v>
      </c>
      <c r="I1069" s="1" t="e">
        <f t="shared" si="97"/>
        <v>#NUM!</v>
      </c>
      <c r="J1069" s="1" t="e">
        <f t="shared" si="98"/>
        <v>#NUM!</v>
      </c>
      <c r="K1069" s="1" t="e">
        <f t="shared" si="99"/>
        <v>#NUM!</v>
      </c>
    </row>
    <row r="1070" spans="1:11">
      <c r="A1070" s="483">
        <f t="shared" si="95"/>
        <v>1064</v>
      </c>
      <c r="B1070" s="72"/>
      <c r="C1070" s="73"/>
      <c r="D1070" s="74"/>
      <c r="E1070" s="658" t="s">
        <v>161</v>
      </c>
      <c r="F1070" s="75"/>
      <c r="G1070" s="201"/>
      <c r="H1070" s="828">
        <f t="shared" si="96"/>
        <v>0</v>
      </c>
      <c r="I1070" s="1" t="e">
        <f t="shared" si="97"/>
        <v>#NUM!</v>
      </c>
      <c r="J1070" s="1" t="e">
        <f t="shared" si="98"/>
        <v>#NUM!</v>
      </c>
      <c r="K1070" s="1" t="e">
        <f t="shared" si="99"/>
        <v>#NUM!</v>
      </c>
    </row>
    <row r="1071" spans="1:11">
      <c r="A1071" s="483">
        <f t="shared" si="95"/>
        <v>1065</v>
      </c>
      <c r="B1071" s="72"/>
      <c r="C1071" s="73"/>
      <c r="D1071" s="74"/>
      <c r="E1071" s="658" t="s">
        <v>161</v>
      </c>
      <c r="F1071" s="75"/>
      <c r="G1071" s="201"/>
      <c r="H1071" s="828">
        <f t="shared" si="96"/>
        <v>0</v>
      </c>
      <c r="I1071" s="1" t="e">
        <f t="shared" si="97"/>
        <v>#NUM!</v>
      </c>
      <c r="J1071" s="1" t="e">
        <f t="shared" si="98"/>
        <v>#NUM!</v>
      </c>
      <c r="K1071" s="1" t="e">
        <f t="shared" si="99"/>
        <v>#NUM!</v>
      </c>
    </row>
    <row r="1072" spans="1:11">
      <c r="A1072" s="483">
        <f t="shared" si="95"/>
        <v>1066</v>
      </c>
      <c r="B1072" s="72"/>
      <c r="C1072" s="73"/>
      <c r="D1072" s="74"/>
      <c r="E1072" s="658" t="s">
        <v>161</v>
      </c>
      <c r="F1072" s="75"/>
      <c r="G1072" s="201"/>
      <c r="H1072" s="828">
        <f t="shared" si="96"/>
        <v>0</v>
      </c>
      <c r="I1072" s="1" t="e">
        <f t="shared" si="97"/>
        <v>#NUM!</v>
      </c>
      <c r="J1072" s="1" t="e">
        <f t="shared" si="98"/>
        <v>#NUM!</v>
      </c>
      <c r="K1072" s="1" t="e">
        <f t="shared" si="99"/>
        <v>#NUM!</v>
      </c>
    </row>
    <row r="1073" spans="1:11">
      <c r="A1073" s="483">
        <f t="shared" si="95"/>
        <v>1067</v>
      </c>
      <c r="B1073" s="72"/>
      <c r="C1073" s="73"/>
      <c r="D1073" s="74"/>
      <c r="E1073" s="658" t="s">
        <v>161</v>
      </c>
      <c r="F1073" s="75"/>
      <c r="G1073" s="201"/>
      <c r="H1073" s="828">
        <f t="shared" si="96"/>
        <v>0</v>
      </c>
      <c r="I1073" s="1" t="e">
        <f t="shared" si="97"/>
        <v>#NUM!</v>
      </c>
      <c r="J1073" s="1" t="e">
        <f t="shared" si="98"/>
        <v>#NUM!</v>
      </c>
      <c r="K1073" s="1" t="e">
        <f t="shared" si="99"/>
        <v>#NUM!</v>
      </c>
    </row>
    <row r="1074" spans="1:11">
      <c r="A1074" s="483">
        <f t="shared" si="95"/>
        <v>1068</v>
      </c>
      <c r="B1074" s="72"/>
      <c r="C1074" s="73"/>
      <c r="D1074" s="74"/>
      <c r="E1074" s="658" t="s">
        <v>161</v>
      </c>
      <c r="F1074" s="75"/>
      <c r="G1074" s="201"/>
      <c r="H1074" s="828">
        <f t="shared" si="96"/>
        <v>0</v>
      </c>
      <c r="I1074" s="1" t="e">
        <f t="shared" si="97"/>
        <v>#NUM!</v>
      </c>
      <c r="J1074" s="1" t="e">
        <f t="shared" si="98"/>
        <v>#NUM!</v>
      </c>
      <c r="K1074" s="1" t="e">
        <f t="shared" si="99"/>
        <v>#NUM!</v>
      </c>
    </row>
    <row r="1075" spans="1:11">
      <c r="A1075" s="483">
        <f t="shared" si="95"/>
        <v>1069</v>
      </c>
      <c r="B1075" s="72"/>
      <c r="C1075" s="73"/>
      <c r="D1075" s="74"/>
      <c r="E1075" s="658" t="s">
        <v>161</v>
      </c>
      <c r="F1075" s="75"/>
      <c r="G1075" s="201"/>
      <c r="H1075" s="828">
        <f t="shared" si="96"/>
        <v>0</v>
      </c>
      <c r="I1075" s="1" t="e">
        <f t="shared" si="97"/>
        <v>#NUM!</v>
      </c>
      <c r="J1075" s="1" t="e">
        <f t="shared" si="98"/>
        <v>#NUM!</v>
      </c>
      <c r="K1075" s="1" t="e">
        <f t="shared" si="99"/>
        <v>#NUM!</v>
      </c>
    </row>
    <row r="1076" spans="1:11">
      <c r="A1076" s="483">
        <f t="shared" si="95"/>
        <v>1070</v>
      </c>
      <c r="B1076" s="72"/>
      <c r="C1076" s="73"/>
      <c r="D1076" s="74"/>
      <c r="E1076" s="658" t="s">
        <v>161</v>
      </c>
      <c r="F1076" s="75"/>
      <c r="G1076" s="201"/>
      <c r="H1076" s="828">
        <f t="shared" si="96"/>
        <v>0</v>
      </c>
      <c r="I1076" s="1" t="e">
        <f t="shared" si="97"/>
        <v>#NUM!</v>
      </c>
      <c r="J1076" s="1" t="e">
        <f t="shared" si="98"/>
        <v>#NUM!</v>
      </c>
      <c r="K1076" s="1" t="e">
        <f t="shared" si="99"/>
        <v>#NUM!</v>
      </c>
    </row>
    <row r="1077" spans="1:11">
      <c r="A1077" s="483">
        <f t="shared" si="95"/>
        <v>1071</v>
      </c>
      <c r="B1077" s="72"/>
      <c r="C1077" s="73"/>
      <c r="D1077" s="74"/>
      <c r="E1077" s="658" t="s">
        <v>161</v>
      </c>
      <c r="F1077" s="75"/>
      <c r="G1077" s="201"/>
      <c r="H1077" s="828">
        <f t="shared" si="96"/>
        <v>0</v>
      </c>
      <c r="I1077" s="1" t="e">
        <f t="shared" si="97"/>
        <v>#NUM!</v>
      </c>
      <c r="J1077" s="1" t="e">
        <f t="shared" si="98"/>
        <v>#NUM!</v>
      </c>
      <c r="K1077" s="1" t="e">
        <f t="shared" si="99"/>
        <v>#NUM!</v>
      </c>
    </row>
    <row r="1078" spans="1:11">
      <c r="A1078" s="483">
        <f t="shared" si="95"/>
        <v>1072</v>
      </c>
      <c r="B1078" s="72"/>
      <c r="C1078" s="73"/>
      <c r="D1078" s="74"/>
      <c r="E1078" s="658" t="s">
        <v>161</v>
      </c>
      <c r="F1078" s="75"/>
      <c r="G1078" s="201"/>
      <c r="H1078" s="828">
        <f t="shared" si="96"/>
        <v>0</v>
      </c>
      <c r="I1078" s="1" t="e">
        <f t="shared" si="97"/>
        <v>#NUM!</v>
      </c>
      <c r="J1078" s="1" t="e">
        <f t="shared" si="98"/>
        <v>#NUM!</v>
      </c>
      <c r="K1078" s="1" t="e">
        <f t="shared" si="99"/>
        <v>#NUM!</v>
      </c>
    </row>
    <row r="1079" spans="1:11">
      <c r="A1079" s="483">
        <f t="shared" si="95"/>
        <v>1073</v>
      </c>
      <c r="B1079" s="72"/>
      <c r="C1079" s="73"/>
      <c r="D1079" s="74"/>
      <c r="E1079" s="658" t="s">
        <v>161</v>
      </c>
      <c r="F1079" s="75"/>
      <c r="G1079" s="201"/>
      <c r="H1079" s="828">
        <f t="shared" si="96"/>
        <v>0</v>
      </c>
      <c r="I1079" s="1" t="e">
        <f t="shared" si="97"/>
        <v>#NUM!</v>
      </c>
      <c r="J1079" s="1" t="e">
        <f t="shared" si="98"/>
        <v>#NUM!</v>
      </c>
      <c r="K1079" s="1" t="e">
        <f t="shared" si="99"/>
        <v>#NUM!</v>
      </c>
    </row>
    <row r="1080" spans="1:11">
      <c r="A1080" s="483">
        <f t="shared" si="95"/>
        <v>1074</v>
      </c>
      <c r="B1080" s="72"/>
      <c r="C1080" s="73"/>
      <c r="D1080" s="74"/>
      <c r="E1080" s="658" t="s">
        <v>161</v>
      </c>
      <c r="F1080" s="75"/>
      <c r="G1080" s="201"/>
      <c r="H1080" s="828">
        <f t="shared" si="96"/>
        <v>0</v>
      </c>
      <c r="I1080" s="1" t="e">
        <f t="shared" si="97"/>
        <v>#NUM!</v>
      </c>
      <c r="J1080" s="1" t="e">
        <f t="shared" si="98"/>
        <v>#NUM!</v>
      </c>
      <c r="K1080" s="1" t="e">
        <f t="shared" si="99"/>
        <v>#NUM!</v>
      </c>
    </row>
    <row r="1081" spans="1:11">
      <c r="A1081" s="483">
        <f t="shared" si="95"/>
        <v>1075</v>
      </c>
      <c r="B1081" s="72"/>
      <c r="C1081" s="73"/>
      <c r="D1081" s="74"/>
      <c r="E1081" s="658" t="s">
        <v>161</v>
      </c>
      <c r="F1081" s="75"/>
      <c r="G1081" s="201"/>
      <c r="H1081" s="828">
        <f t="shared" si="96"/>
        <v>0</v>
      </c>
      <c r="I1081" s="1" t="e">
        <f t="shared" si="97"/>
        <v>#NUM!</v>
      </c>
      <c r="J1081" s="1" t="e">
        <f t="shared" si="98"/>
        <v>#NUM!</v>
      </c>
      <c r="K1081" s="1" t="e">
        <f t="shared" si="99"/>
        <v>#NUM!</v>
      </c>
    </row>
    <row r="1082" spans="1:11">
      <c r="A1082" s="483">
        <f t="shared" si="95"/>
        <v>1076</v>
      </c>
      <c r="B1082" s="72"/>
      <c r="C1082" s="73"/>
      <c r="D1082" s="74"/>
      <c r="E1082" s="658" t="s">
        <v>161</v>
      </c>
      <c r="F1082" s="75"/>
      <c r="G1082" s="201"/>
      <c r="H1082" s="828">
        <f t="shared" si="96"/>
        <v>0</v>
      </c>
      <c r="I1082" s="1" t="e">
        <f t="shared" si="97"/>
        <v>#NUM!</v>
      </c>
      <c r="J1082" s="1" t="e">
        <f t="shared" si="98"/>
        <v>#NUM!</v>
      </c>
      <c r="K1082" s="1" t="e">
        <f t="shared" si="99"/>
        <v>#NUM!</v>
      </c>
    </row>
    <row r="1083" spans="1:11">
      <c r="A1083" s="483">
        <f t="shared" si="95"/>
        <v>1077</v>
      </c>
      <c r="B1083" s="72"/>
      <c r="C1083" s="73"/>
      <c r="D1083" s="74"/>
      <c r="E1083" s="658" t="s">
        <v>161</v>
      </c>
      <c r="F1083" s="75"/>
      <c r="G1083" s="201"/>
      <c r="H1083" s="828">
        <f t="shared" si="96"/>
        <v>0</v>
      </c>
      <c r="I1083" s="1" t="e">
        <f t="shared" si="97"/>
        <v>#NUM!</v>
      </c>
      <c r="J1083" s="1" t="e">
        <f t="shared" si="98"/>
        <v>#NUM!</v>
      </c>
      <c r="K1083" s="1" t="e">
        <f t="shared" si="99"/>
        <v>#NUM!</v>
      </c>
    </row>
    <row r="1084" spans="1:11">
      <c r="A1084" s="483">
        <f t="shared" si="95"/>
        <v>1078</v>
      </c>
      <c r="B1084" s="72"/>
      <c r="C1084" s="73"/>
      <c r="D1084" s="74"/>
      <c r="E1084" s="658" t="s">
        <v>161</v>
      </c>
      <c r="F1084" s="75"/>
      <c r="G1084" s="201"/>
      <c r="H1084" s="828">
        <f t="shared" si="96"/>
        <v>0</v>
      </c>
      <c r="I1084" s="1" t="e">
        <f t="shared" si="97"/>
        <v>#NUM!</v>
      </c>
      <c r="J1084" s="1" t="e">
        <f t="shared" si="98"/>
        <v>#NUM!</v>
      </c>
      <c r="K1084" s="1" t="e">
        <f t="shared" si="99"/>
        <v>#NUM!</v>
      </c>
    </row>
    <row r="1085" spans="1:11">
      <c r="A1085" s="483">
        <f t="shared" si="95"/>
        <v>1079</v>
      </c>
      <c r="B1085" s="72"/>
      <c r="C1085" s="73"/>
      <c r="D1085" s="74"/>
      <c r="E1085" s="658" t="s">
        <v>161</v>
      </c>
      <c r="F1085" s="75"/>
      <c r="G1085" s="201"/>
      <c r="H1085" s="828">
        <f t="shared" si="96"/>
        <v>0</v>
      </c>
      <c r="I1085" s="1" t="e">
        <f t="shared" si="97"/>
        <v>#NUM!</v>
      </c>
      <c r="J1085" s="1" t="e">
        <f t="shared" si="98"/>
        <v>#NUM!</v>
      </c>
      <c r="K1085" s="1" t="e">
        <f t="shared" si="99"/>
        <v>#NUM!</v>
      </c>
    </row>
    <row r="1086" spans="1:11">
      <c r="A1086" s="483">
        <f t="shared" si="95"/>
        <v>1080</v>
      </c>
      <c r="B1086" s="72"/>
      <c r="C1086" s="73"/>
      <c r="D1086" s="74"/>
      <c r="E1086" s="658" t="s">
        <v>161</v>
      </c>
      <c r="F1086" s="75"/>
      <c r="G1086" s="201"/>
      <c r="H1086" s="828">
        <f t="shared" si="96"/>
        <v>0</v>
      </c>
      <c r="I1086" s="1" t="e">
        <f t="shared" si="97"/>
        <v>#NUM!</v>
      </c>
      <c r="J1086" s="1" t="e">
        <f t="shared" si="98"/>
        <v>#NUM!</v>
      </c>
      <c r="K1086" s="1" t="e">
        <f t="shared" si="99"/>
        <v>#NUM!</v>
      </c>
    </row>
    <row r="1087" spans="1:11">
      <c r="A1087" s="483">
        <f t="shared" si="95"/>
        <v>1081</v>
      </c>
      <c r="B1087" s="72"/>
      <c r="C1087" s="73"/>
      <c r="D1087" s="74"/>
      <c r="E1087" s="658" t="s">
        <v>161</v>
      </c>
      <c r="F1087" s="75"/>
      <c r="G1087" s="201"/>
      <c r="H1087" s="828">
        <f t="shared" si="96"/>
        <v>0</v>
      </c>
      <c r="I1087" s="1" t="e">
        <f t="shared" si="97"/>
        <v>#NUM!</v>
      </c>
      <c r="J1087" s="1" t="e">
        <f t="shared" si="98"/>
        <v>#NUM!</v>
      </c>
      <c r="K1087" s="1" t="e">
        <f t="shared" si="99"/>
        <v>#NUM!</v>
      </c>
    </row>
    <row r="1088" spans="1:11">
      <c r="A1088" s="483">
        <f t="shared" si="95"/>
        <v>1082</v>
      </c>
      <c r="B1088" s="72"/>
      <c r="C1088" s="73"/>
      <c r="D1088" s="74"/>
      <c r="E1088" s="658" t="s">
        <v>161</v>
      </c>
      <c r="F1088" s="75"/>
      <c r="G1088" s="201"/>
      <c r="H1088" s="828">
        <f t="shared" si="96"/>
        <v>0</v>
      </c>
      <c r="I1088" s="1" t="e">
        <f t="shared" si="97"/>
        <v>#NUM!</v>
      </c>
      <c r="J1088" s="1" t="e">
        <f t="shared" si="98"/>
        <v>#NUM!</v>
      </c>
      <c r="K1088" s="1" t="e">
        <f t="shared" si="99"/>
        <v>#NUM!</v>
      </c>
    </row>
    <row r="1089" spans="1:11">
      <c r="A1089" s="483">
        <f t="shared" si="95"/>
        <v>1083</v>
      </c>
      <c r="B1089" s="72"/>
      <c r="C1089" s="73"/>
      <c r="D1089" s="74"/>
      <c r="E1089" s="658" t="s">
        <v>161</v>
      </c>
      <c r="F1089" s="75"/>
      <c r="G1089" s="201"/>
      <c r="H1089" s="828">
        <f t="shared" si="96"/>
        <v>0</v>
      </c>
      <c r="I1089" s="1" t="e">
        <f t="shared" si="97"/>
        <v>#NUM!</v>
      </c>
      <c r="J1089" s="1" t="e">
        <f t="shared" si="98"/>
        <v>#NUM!</v>
      </c>
      <c r="K1089" s="1" t="e">
        <f t="shared" si="99"/>
        <v>#NUM!</v>
      </c>
    </row>
    <row r="1090" spans="1:11">
      <c r="A1090" s="483">
        <f t="shared" si="95"/>
        <v>1084</v>
      </c>
      <c r="B1090" s="72"/>
      <c r="C1090" s="73"/>
      <c r="D1090" s="74"/>
      <c r="E1090" s="658" t="s">
        <v>161</v>
      </c>
      <c r="F1090" s="75"/>
      <c r="G1090" s="201"/>
      <c r="H1090" s="828">
        <f t="shared" si="96"/>
        <v>0</v>
      </c>
      <c r="I1090" s="1" t="e">
        <f t="shared" si="97"/>
        <v>#NUM!</v>
      </c>
      <c r="J1090" s="1" t="e">
        <f t="shared" si="98"/>
        <v>#NUM!</v>
      </c>
      <c r="K1090" s="1" t="e">
        <f t="shared" si="99"/>
        <v>#NUM!</v>
      </c>
    </row>
    <row r="1091" spans="1:11">
      <c r="A1091" s="483">
        <f t="shared" si="95"/>
        <v>1085</v>
      </c>
      <c r="B1091" s="72"/>
      <c r="C1091" s="73"/>
      <c r="D1091" s="74"/>
      <c r="E1091" s="658" t="s">
        <v>161</v>
      </c>
      <c r="F1091" s="75"/>
      <c r="G1091" s="201"/>
      <c r="H1091" s="828">
        <f t="shared" si="96"/>
        <v>0</v>
      </c>
      <c r="I1091" s="1" t="e">
        <f t="shared" si="97"/>
        <v>#NUM!</v>
      </c>
      <c r="J1091" s="1" t="e">
        <f t="shared" si="98"/>
        <v>#NUM!</v>
      </c>
      <c r="K1091" s="1" t="e">
        <f t="shared" si="99"/>
        <v>#NUM!</v>
      </c>
    </row>
    <row r="1092" spans="1:11">
      <c r="A1092" s="483">
        <f t="shared" si="95"/>
        <v>1086</v>
      </c>
      <c r="B1092" s="72"/>
      <c r="C1092" s="73"/>
      <c r="D1092" s="74"/>
      <c r="E1092" s="658" t="s">
        <v>161</v>
      </c>
      <c r="F1092" s="75"/>
      <c r="G1092" s="201"/>
      <c r="H1092" s="828">
        <f t="shared" si="96"/>
        <v>0</v>
      </c>
      <c r="I1092" s="1" t="e">
        <f t="shared" si="97"/>
        <v>#NUM!</v>
      </c>
      <c r="J1092" s="1" t="e">
        <f t="shared" si="98"/>
        <v>#NUM!</v>
      </c>
      <c r="K1092" s="1" t="e">
        <f t="shared" si="99"/>
        <v>#NUM!</v>
      </c>
    </row>
    <row r="1093" spans="1:11">
      <c r="A1093" s="483">
        <f t="shared" si="95"/>
        <v>1087</v>
      </c>
      <c r="B1093" s="72"/>
      <c r="C1093" s="73"/>
      <c r="D1093" s="74"/>
      <c r="E1093" s="658" t="s">
        <v>161</v>
      </c>
      <c r="F1093" s="75"/>
      <c r="G1093" s="201"/>
      <c r="H1093" s="828">
        <f t="shared" si="96"/>
        <v>0</v>
      </c>
      <c r="I1093" s="1" t="e">
        <f t="shared" si="97"/>
        <v>#NUM!</v>
      </c>
      <c r="J1093" s="1" t="e">
        <f t="shared" si="98"/>
        <v>#NUM!</v>
      </c>
      <c r="K1093" s="1" t="e">
        <f t="shared" si="99"/>
        <v>#NUM!</v>
      </c>
    </row>
    <row r="1094" spans="1:11">
      <c r="A1094" s="483">
        <f t="shared" si="95"/>
        <v>1088</v>
      </c>
      <c r="B1094" s="72"/>
      <c r="C1094" s="73"/>
      <c r="D1094" s="74"/>
      <c r="E1094" s="658" t="s">
        <v>161</v>
      </c>
      <c r="F1094" s="75"/>
      <c r="G1094" s="201"/>
      <c r="H1094" s="828">
        <f t="shared" si="96"/>
        <v>0</v>
      </c>
      <c r="I1094" s="1" t="e">
        <f t="shared" si="97"/>
        <v>#NUM!</v>
      </c>
      <c r="J1094" s="1" t="e">
        <f t="shared" si="98"/>
        <v>#NUM!</v>
      </c>
      <c r="K1094" s="1" t="e">
        <f t="shared" si="99"/>
        <v>#NUM!</v>
      </c>
    </row>
    <row r="1095" spans="1:11">
      <c r="A1095" s="483">
        <f t="shared" si="95"/>
        <v>1089</v>
      </c>
      <c r="B1095" s="72"/>
      <c r="C1095" s="73"/>
      <c r="D1095" s="74"/>
      <c r="E1095" s="658" t="s">
        <v>161</v>
      </c>
      <c r="F1095" s="75"/>
      <c r="G1095" s="201"/>
      <c r="H1095" s="828">
        <f t="shared" si="96"/>
        <v>0</v>
      </c>
      <c r="I1095" s="1" t="e">
        <f t="shared" si="97"/>
        <v>#NUM!</v>
      </c>
      <c r="J1095" s="1" t="e">
        <f t="shared" si="98"/>
        <v>#NUM!</v>
      </c>
      <c r="K1095" s="1" t="e">
        <f t="shared" si="99"/>
        <v>#NUM!</v>
      </c>
    </row>
    <row r="1096" spans="1:11">
      <c r="A1096" s="483">
        <f t="shared" si="95"/>
        <v>1090</v>
      </c>
      <c r="B1096" s="72"/>
      <c r="C1096" s="73"/>
      <c r="D1096" s="74"/>
      <c r="E1096" s="658" t="s">
        <v>161</v>
      </c>
      <c r="F1096" s="75"/>
      <c r="G1096" s="201"/>
      <c r="H1096" s="828">
        <f t="shared" si="96"/>
        <v>0</v>
      </c>
      <c r="I1096" s="1" t="e">
        <f t="shared" si="97"/>
        <v>#NUM!</v>
      </c>
      <c r="J1096" s="1" t="e">
        <f t="shared" si="98"/>
        <v>#NUM!</v>
      </c>
      <c r="K1096" s="1" t="e">
        <f t="shared" si="99"/>
        <v>#NUM!</v>
      </c>
    </row>
    <row r="1097" spans="1:11">
      <c r="A1097" s="483">
        <f t="shared" si="95"/>
        <v>1091</v>
      </c>
      <c r="B1097" s="72"/>
      <c r="C1097" s="73"/>
      <c r="D1097" s="74"/>
      <c r="E1097" s="658" t="s">
        <v>161</v>
      </c>
      <c r="F1097" s="75"/>
      <c r="G1097" s="201"/>
      <c r="H1097" s="828">
        <f t="shared" si="96"/>
        <v>0</v>
      </c>
      <c r="I1097" s="1" t="e">
        <f t="shared" si="97"/>
        <v>#NUM!</v>
      </c>
      <c r="J1097" s="1" t="e">
        <f t="shared" si="98"/>
        <v>#NUM!</v>
      </c>
      <c r="K1097" s="1" t="e">
        <f t="shared" si="99"/>
        <v>#NUM!</v>
      </c>
    </row>
    <row r="1098" spans="1:11">
      <c r="A1098" s="483">
        <f t="shared" ref="A1098:A1161" si="100">+A1097+1</f>
        <v>1092</v>
      </c>
      <c r="B1098" s="72"/>
      <c r="C1098" s="73"/>
      <c r="D1098" s="74"/>
      <c r="E1098" s="658" t="s">
        <v>161</v>
      </c>
      <c r="F1098" s="75"/>
      <c r="G1098" s="201"/>
      <c r="H1098" s="828">
        <f t="shared" si="96"/>
        <v>0</v>
      </c>
      <c r="I1098" s="1" t="e">
        <f t="shared" si="97"/>
        <v>#NUM!</v>
      </c>
      <c r="J1098" s="1" t="e">
        <f t="shared" si="98"/>
        <v>#NUM!</v>
      </c>
      <c r="K1098" s="1" t="e">
        <f t="shared" si="99"/>
        <v>#NUM!</v>
      </c>
    </row>
    <row r="1099" spans="1:11">
      <c r="A1099" s="483">
        <f t="shared" si="100"/>
        <v>1093</v>
      </c>
      <c r="B1099" s="72"/>
      <c r="C1099" s="73"/>
      <c r="D1099" s="74"/>
      <c r="E1099" s="658" t="s">
        <v>161</v>
      </c>
      <c r="F1099" s="75"/>
      <c r="G1099" s="201"/>
      <c r="H1099" s="828">
        <f t="shared" si="96"/>
        <v>0</v>
      </c>
      <c r="I1099" s="1" t="e">
        <f t="shared" si="97"/>
        <v>#NUM!</v>
      </c>
      <c r="J1099" s="1" t="e">
        <f t="shared" si="98"/>
        <v>#NUM!</v>
      </c>
      <c r="K1099" s="1" t="e">
        <f t="shared" si="99"/>
        <v>#NUM!</v>
      </c>
    </row>
    <row r="1100" spans="1:11">
      <c r="A1100" s="483">
        <f t="shared" si="100"/>
        <v>1094</v>
      </c>
      <c r="B1100" s="72"/>
      <c r="C1100" s="73"/>
      <c r="D1100" s="74"/>
      <c r="E1100" s="658" t="s">
        <v>161</v>
      </c>
      <c r="F1100" s="75"/>
      <c r="G1100" s="201"/>
      <c r="H1100" s="828">
        <f t="shared" si="96"/>
        <v>0</v>
      </c>
      <c r="I1100" s="1" t="e">
        <f t="shared" si="97"/>
        <v>#NUM!</v>
      </c>
      <c r="J1100" s="1" t="e">
        <f t="shared" si="98"/>
        <v>#NUM!</v>
      </c>
      <c r="K1100" s="1" t="e">
        <f t="shared" si="99"/>
        <v>#NUM!</v>
      </c>
    </row>
    <row r="1101" spans="1:11">
      <c r="A1101" s="483">
        <f t="shared" si="100"/>
        <v>1095</v>
      </c>
      <c r="B1101" s="72"/>
      <c r="C1101" s="73"/>
      <c r="D1101" s="74"/>
      <c r="E1101" s="658" t="s">
        <v>161</v>
      </c>
      <c r="F1101" s="75"/>
      <c r="G1101" s="201"/>
      <c r="H1101" s="828">
        <f t="shared" si="96"/>
        <v>0</v>
      </c>
      <c r="I1101" s="1" t="e">
        <f t="shared" si="97"/>
        <v>#NUM!</v>
      </c>
      <c r="J1101" s="1" t="e">
        <f t="shared" si="98"/>
        <v>#NUM!</v>
      </c>
      <c r="K1101" s="1" t="e">
        <f t="shared" si="99"/>
        <v>#NUM!</v>
      </c>
    </row>
    <row r="1102" spans="1:11">
      <c r="A1102" s="483">
        <f t="shared" si="100"/>
        <v>1096</v>
      </c>
      <c r="B1102" s="72"/>
      <c r="C1102" s="73"/>
      <c r="D1102" s="74"/>
      <c r="E1102" s="658" t="s">
        <v>161</v>
      </c>
      <c r="F1102" s="75"/>
      <c r="G1102" s="201"/>
      <c r="H1102" s="828">
        <f t="shared" si="96"/>
        <v>0</v>
      </c>
      <c r="I1102" s="1" t="e">
        <f t="shared" si="97"/>
        <v>#NUM!</v>
      </c>
      <c r="J1102" s="1" t="e">
        <f t="shared" si="98"/>
        <v>#NUM!</v>
      </c>
      <c r="K1102" s="1" t="e">
        <f t="shared" si="99"/>
        <v>#NUM!</v>
      </c>
    </row>
    <row r="1103" spans="1:11">
      <c r="A1103" s="483">
        <f t="shared" si="100"/>
        <v>1097</v>
      </c>
      <c r="B1103" s="72"/>
      <c r="C1103" s="73"/>
      <c r="D1103" s="74"/>
      <c r="E1103" s="658" t="s">
        <v>161</v>
      </c>
      <c r="F1103" s="75"/>
      <c r="G1103" s="201"/>
      <c r="H1103" s="828">
        <f t="shared" si="96"/>
        <v>0</v>
      </c>
      <c r="I1103" s="1" t="e">
        <f t="shared" si="97"/>
        <v>#NUM!</v>
      </c>
      <c r="J1103" s="1" t="e">
        <f t="shared" si="98"/>
        <v>#NUM!</v>
      </c>
      <c r="K1103" s="1" t="e">
        <f t="shared" si="99"/>
        <v>#NUM!</v>
      </c>
    </row>
    <row r="1104" spans="1:11">
      <c r="A1104" s="483">
        <f t="shared" si="100"/>
        <v>1098</v>
      </c>
      <c r="B1104" s="72"/>
      <c r="C1104" s="73"/>
      <c r="D1104" s="74"/>
      <c r="E1104" s="658" t="s">
        <v>161</v>
      </c>
      <c r="F1104" s="75"/>
      <c r="G1104" s="201"/>
      <c r="H1104" s="828">
        <f t="shared" si="96"/>
        <v>0</v>
      </c>
      <c r="I1104" s="1" t="e">
        <f t="shared" si="97"/>
        <v>#NUM!</v>
      </c>
      <c r="J1104" s="1" t="e">
        <f t="shared" si="98"/>
        <v>#NUM!</v>
      </c>
      <c r="K1104" s="1" t="e">
        <f t="shared" si="99"/>
        <v>#NUM!</v>
      </c>
    </row>
    <row r="1105" spans="1:11">
      <c r="A1105" s="483">
        <f t="shared" si="100"/>
        <v>1099</v>
      </c>
      <c r="B1105" s="72"/>
      <c r="C1105" s="73"/>
      <c r="D1105" s="74"/>
      <c r="E1105" s="658" t="s">
        <v>161</v>
      </c>
      <c r="F1105" s="75"/>
      <c r="G1105" s="201"/>
      <c r="H1105" s="828">
        <f t="shared" si="96"/>
        <v>0</v>
      </c>
      <c r="I1105" s="1" t="e">
        <f t="shared" si="97"/>
        <v>#NUM!</v>
      </c>
      <c r="J1105" s="1" t="e">
        <f t="shared" si="98"/>
        <v>#NUM!</v>
      </c>
      <c r="K1105" s="1" t="e">
        <f t="shared" si="99"/>
        <v>#NUM!</v>
      </c>
    </row>
    <row r="1106" spans="1:11">
      <c r="A1106" s="483">
        <f t="shared" si="100"/>
        <v>1100</v>
      </c>
      <c r="B1106" s="72"/>
      <c r="C1106" s="73"/>
      <c r="D1106" s="74"/>
      <c r="E1106" s="658" t="s">
        <v>161</v>
      </c>
      <c r="F1106" s="75"/>
      <c r="G1106" s="201"/>
      <c r="H1106" s="828">
        <f t="shared" si="96"/>
        <v>0</v>
      </c>
      <c r="I1106" s="1" t="e">
        <f t="shared" si="97"/>
        <v>#NUM!</v>
      </c>
      <c r="J1106" s="1" t="e">
        <f t="shared" si="98"/>
        <v>#NUM!</v>
      </c>
      <c r="K1106" s="1" t="e">
        <f t="shared" si="99"/>
        <v>#NUM!</v>
      </c>
    </row>
    <row r="1107" spans="1:11">
      <c r="A1107" s="483">
        <f t="shared" si="100"/>
        <v>1101</v>
      </c>
      <c r="B1107" s="72"/>
      <c r="C1107" s="73"/>
      <c r="D1107" s="74"/>
      <c r="E1107" s="658" t="s">
        <v>161</v>
      </c>
      <c r="F1107" s="75"/>
      <c r="G1107" s="201"/>
      <c r="H1107" s="828">
        <f t="shared" si="96"/>
        <v>0</v>
      </c>
      <c r="I1107" s="1" t="e">
        <f t="shared" si="97"/>
        <v>#NUM!</v>
      </c>
      <c r="J1107" s="1" t="e">
        <f t="shared" si="98"/>
        <v>#NUM!</v>
      </c>
      <c r="K1107" s="1" t="e">
        <f t="shared" si="99"/>
        <v>#NUM!</v>
      </c>
    </row>
    <row r="1108" spans="1:11">
      <c r="A1108" s="483">
        <f t="shared" si="100"/>
        <v>1102</v>
      </c>
      <c r="B1108" s="72"/>
      <c r="C1108" s="73"/>
      <c r="D1108" s="74"/>
      <c r="E1108" s="658" t="s">
        <v>161</v>
      </c>
      <c r="F1108" s="75"/>
      <c r="G1108" s="201"/>
      <c r="H1108" s="828">
        <f t="shared" si="96"/>
        <v>0</v>
      </c>
      <c r="I1108" s="1" t="e">
        <f t="shared" si="97"/>
        <v>#NUM!</v>
      </c>
      <c r="J1108" s="1" t="e">
        <f t="shared" si="98"/>
        <v>#NUM!</v>
      </c>
      <c r="K1108" s="1" t="e">
        <f t="shared" si="99"/>
        <v>#NUM!</v>
      </c>
    </row>
    <row r="1109" spans="1:11">
      <c r="A1109" s="483">
        <f t="shared" si="100"/>
        <v>1103</v>
      </c>
      <c r="B1109" s="72"/>
      <c r="C1109" s="73"/>
      <c r="D1109" s="74"/>
      <c r="E1109" s="658" t="s">
        <v>161</v>
      </c>
      <c r="F1109" s="75"/>
      <c r="G1109" s="201"/>
      <c r="H1109" s="828">
        <f t="shared" si="96"/>
        <v>0</v>
      </c>
      <c r="I1109" s="1" t="e">
        <f t="shared" si="97"/>
        <v>#NUM!</v>
      </c>
      <c r="J1109" s="1" t="e">
        <f t="shared" si="98"/>
        <v>#NUM!</v>
      </c>
      <c r="K1109" s="1" t="e">
        <f t="shared" si="99"/>
        <v>#NUM!</v>
      </c>
    </row>
    <row r="1110" spans="1:11">
      <c r="A1110" s="483">
        <f t="shared" si="100"/>
        <v>1104</v>
      </c>
      <c r="B1110" s="72"/>
      <c r="C1110" s="73"/>
      <c r="D1110" s="74"/>
      <c r="E1110" s="658" t="s">
        <v>161</v>
      </c>
      <c r="F1110" s="75"/>
      <c r="G1110" s="201"/>
      <c r="H1110" s="828">
        <f t="shared" si="96"/>
        <v>0</v>
      </c>
      <c r="I1110" s="1" t="e">
        <f t="shared" si="97"/>
        <v>#NUM!</v>
      </c>
      <c r="J1110" s="1" t="e">
        <f t="shared" si="98"/>
        <v>#NUM!</v>
      </c>
      <c r="K1110" s="1" t="e">
        <f t="shared" si="99"/>
        <v>#NUM!</v>
      </c>
    </row>
    <row r="1111" spans="1:11">
      <c r="A1111" s="483">
        <f t="shared" si="100"/>
        <v>1105</v>
      </c>
      <c r="B1111" s="72"/>
      <c r="C1111" s="73"/>
      <c r="D1111" s="74"/>
      <c r="E1111" s="658" t="s">
        <v>161</v>
      </c>
      <c r="F1111" s="75"/>
      <c r="G1111" s="201"/>
      <c r="H1111" s="828">
        <f t="shared" si="96"/>
        <v>0</v>
      </c>
      <c r="I1111" s="1" t="e">
        <f t="shared" si="97"/>
        <v>#NUM!</v>
      </c>
      <c r="J1111" s="1" t="e">
        <f t="shared" si="98"/>
        <v>#NUM!</v>
      </c>
      <c r="K1111" s="1" t="e">
        <f t="shared" si="99"/>
        <v>#NUM!</v>
      </c>
    </row>
    <row r="1112" spans="1:11">
      <c r="A1112" s="483">
        <f t="shared" si="100"/>
        <v>1106</v>
      </c>
      <c r="B1112" s="72"/>
      <c r="C1112" s="73"/>
      <c r="D1112" s="74"/>
      <c r="E1112" s="658" t="s">
        <v>161</v>
      </c>
      <c r="F1112" s="75"/>
      <c r="G1112" s="201"/>
      <c r="H1112" s="828">
        <f t="shared" si="96"/>
        <v>0</v>
      </c>
      <c r="I1112" s="1" t="e">
        <f t="shared" si="97"/>
        <v>#NUM!</v>
      </c>
      <c r="J1112" s="1" t="e">
        <f t="shared" si="98"/>
        <v>#NUM!</v>
      </c>
      <c r="K1112" s="1" t="e">
        <f t="shared" si="99"/>
        <v>#NUM!</v>
      </c>
    </row>
    <row r="1113" spans="1:11">
      <c r="A1113" s="483">
        <f t="shared" si="100"/>
        <v>1107</v>
      </c>
      <c r="B1113" s="72"/>
      <c r="C1113" s="73"/>
      <c r="D1113" s="74"/>
      <c r="E1113" s="658" t="s">
        <v>161</v>
      </c>
      <c r="F1113" s="75"/>
      <c r="G1113" s="201"/>
      <c r="H1113" s="828">
        <f t="shared" si="96"/>
        <v>0</v>
      </c>
      <c r="I1113" s="1" t="e">
        <f t="shared" si="97"/>
        <v>#NUM!</v>
      </c>
      <c r="J1113" s="1" t="e">
        <f t="shared" si="98"/>
        <v>#NUM!</v>
      </c>
      <c r="K1113" s="1" t="e">
        <f t="shared" si="99"/>
        <v>#NUM!</v>
      </c>
    </row>
    <row r="1114" spans="1:11">
      <c r="A1114" s="483">
        <f t="shared" si="100"/>
        <v>1108</v>
      </c>
      <c r="B1114" s="72"/>
      <c r="C1114" s="73"/>
      <c r="D1114" s="74"/>
      <c r="E1114" s="658" t="s">
        <v>161</v>
      </c>
      <c r="F1114" s="75"/>
      <c r="G1114" s="201"/>
      <c r="H1114" s="828">
        <f t="shared" si="96"/>
        <v>0</v>
      </c>
      <c r="I1114" s="1" t="e">
        <f t="shared" si="97"/>
        <v>#NUM!</v>
      </c>
      <c r="J1114" s="1" t="e">
        <f t="shared" si="98"/>
        <v>#NUM!</v>
      </c>
      <c r="K1114" s="1" t="e">
        <f t="shared" si="99"/>
        <v>#NUM!</v>
      </c>
    </row>
    <row r="1115" spans="1:11">
      <c r="A1115" s="483">
        <f t="shared" si="100"/>
        <v>1109</v>
      </c>
      <c r="B1115" s="72"/>
      <c r="C1115" s="73"/>
      <c r="D1115" s="74"/>
      <c r="E1115" s="658" t="s">
        <v>161</v>
      </c>
      <c r="F1115" s="75"/>
      <c r="G1115" s="201"/>
      <c r="H1115" s="828">
        <f t="shared" si="96"/>
        <v>0</v>
      </c>
      <c r="I1115" s="1" t="e">
        <f t="shared" si="97"/>
        <v>#NUM!</v>
      </c>
      <c r="J1115" s="1" t="e">
        <f t="shared" si="98"/>
        <v>#NUM!</v>
      </c>
      <c r="K1115" s="1" t="e">
        <f t="shared" si="99"/>
        <v>#NUM!</v>
      </c>
    </row>
    <row r="1116" spans="1:11">
      <c r="A1116" s="483">
        <f t="shared" si="100"/>
        <v>1110</v>
      </c>
      <c r="B1116" s="72"/>
      <c r="C1116" s="73"/>
      <c r="D1116" s="74"/>
      <c r="E1116" s="658" t="s">
        <v>161</v>
      </c>
      <c r="F1116" s="75"/>
      <c r="G1116" s="201"/>
      <c r="H1116" s="828">
        <f t="shared" si="96"/>
        <v>0</v>
      </c>
      <c r="I1116" s="1" t="e">
        <f t="shared" si="97"/>
        <v>#NUM!</v>
      </c>
      <c r="J1116" s="1" t="e">
        <f t="shared" si="98"/>
        <v>#NUM!</v>
      </c>
      <c r="K1116" s="1" t="e">
        <f t="shared" si="99"/>
        <v>#NUM!</v>
      </c>
    </row>
    <row r="1117" spans="1:11">
      <c r="A1117" s="483">
        <f t="shared" si="100"/>
        <v>1111</v>
      </c>
      <c r="B1117" s="72"/>
      <c r="C1117" s="73"/>
      <c r="D1117" s="74"/>
      <c r="E1117" s="658" t="s">
        <v>161</v>
      </c>
      <c r="F1117" s="75"/>
      <c r="G1117" s="201"/>
      <c r="H1117" s="828">
        <f t="shared" si="96"/>
        <v>0</v>
      </c>
      <c r="I1117" s="1" t="e">
        <f t="shared" si="97"/>
        <v>#NUM!</v>
      </c>
      <c r="J1117" s="1" t="e">
        <f t="shared" si="98"/>
        <v>#NUM!</v>
      </c>
      <c r="K1117" s="1" t="e">
        <f t="shared" si="99"/>
        <v>#NUM!</v>
      </c>
    </row>
    <row r="1118" spans="1:11">
      <c r="A1118" s="483">
        <f t="shared" si="100"/>
        <v>1112</v>
      </c>
      <c r="B1118" s="72"/>
      <c r="C1118" s="73"/>
      <c r="D1118" s="74"/>
      <c r="E1118" s="658" t="s">
        <v>161</v>
      </c>
      <c r="F1118" s="75"/>
      <c r="G1118" s="201"/>
      <c r="H1118" s="828">
        <f t="shared" si="96"/>
        <v>0</v>
      </c>
      <c r="I1118" s="1" t="e">
        <f t="shared" si="97"/>
        <v>#NUM!</v>
      </c>
      <c r="J1118" s="1" t="e">
        <f t="shared" si="98"/>
        <v>#NUM!</v>
      </c>
      <c r="K1118" s="1" t="e">
        <f t="shared" si="99"/>
        <v>#NUM!</v>
      </c>
    </row>
    <row r="1119" spans="1:11">
      <c r="A1119" s="483">
        <f t="shared" si="100"/>
        <v>1113</v>
      </c>
      <c r="B1119" s="72"/>
      <c r="C1119" s="73"/>
      <c r="D1119" s="74"/>
      <c r="E1119" s="658" t="s">
        <v>161</v>
      </c>
      <c r="F1119" s="75"/>
      <c r="G1119" s="201"/>
      <c r="H1119" s="828">
        <f t="shared" si="96"/>
        <v>0</v>
      </c>
      <c r="I1119" s="1" t="e">
        <f t="shared" si="97"/>
        <v>#NUM!</v>
      </c>
      <c r="J1119" s="1" t="e">
        <f t="shared" si="98"/>
        <v>#NUM!</v>
      </c>
      <c r="K1119" s="1" t="e">
        <f t="shared" si="99"/>
        <v>#NUM!</v>
      </c>
    </row>
    <row r="1120" spans="1:11">
      <c r="A1120" s="483">
        <f t="shared" si="100"/>
        <v>1114</v>
      </c>
      <c r="B1120" s="72"/>
      <c r="C1120" s="73"/>
      <c r="D1120" s="74"/>
      <c r="E1120" s="658" t="s">
        <v>161</v>
      </c>
      <c r="F1120" s="75"/>
      <c r="G1120" s="201"/>
      <c r="H1120" s="828">
        <f t="shared" si="96"/>
        <v>0</v>
      </c>
      <c r="I1120" s="1" t="e">
        <f t="shared" si="97"/>
        <v>#NUM!</v>
      </c>
      <c r="J1120" s="1" t="e">
        <f t="shared" si="98"/>
        <v>#NUM!</v>
      </c>
      <c r="K1120" s="1" t="e">
        <f t="shared" si="99"/>
        <v>#NUM!</v>
      </c>
    </row>
    <row r="1121" spans="1:11">
      <c r="A1121" s="483">
        <f t="shared" si="100"/>
        <v>1115</v>
      </c>
      <c r="B1121" s="72"/>
      <c r="C1121" s="73"/>
      <c r="D1121" s="74"/>
      <c r="E1121" s="658" t="s">
        <v>161</v>
      </c>
      <c r="F1121" s="75"/>
      <c r="G1121" s="201"/>
      <c r="H1121" s="828">
        <f t="shared" si="96"/>
        <v>0</v>
      </c>
      <c r="I1121" s="1" t="e">
        <f t="shared" si="97"/>
        <v>#NUM!</v>
      </c>
      <c r="J1121" s="1" t="e">
        <f t="shared" si="98"/>
        <v>#NUM!</v>
      </c>
      <c r="K1121" s="1" t="e">
        <f t="shared" si="99"/>
        <v>#NUM!</v>
      </c>
    </row>
    <row r="1122" spans="1:11">
      <c r="A1122" s="483">
        <f t="shared" si="100"/>
        <v>1116</v>
      </c>
      <c r="B1122" s="72"/>
      <c r="C1122" s="73"/>
      <c r="D1122" s="74"/>
      <c r="E1122" s="658" t="s">
        <v>161</v>
      </c>
      <c r="F1122" s="75"/>
      <c r="G1122" s="201"/>
      <c r="H1122" s="828">
        <f t="shared" ref="H1122:H1185" si="101">+(F1122/1760)*G1122</f>
        <v>0</v>
      </c>
      <c r="I1122" s="1" t="e">
        <f t="shared" ref="I1122:I1185" si="102">LN(F1122)</f>
        <v>#NUM!</v>
      </c>
      <c r="J1122" s="1" t="e">
        <f t="shared" ref="J1122:J1185" si="103">LN(G1122)</f>
        <v>#NUM!</v>
      </c>
      <c r="K1122" s="1" t="e">
        <f t="shared" ref="K1122:K1185" si="104">LN(H1122)</f>
        <v>#NUM!</v>
      </c>
    </row>
    <row r="1123" spans="1:11">
      <c r="A1123" s="483">
        <f t="shared" si="100"/>
        <v>1117</v>
      </c>
      <c r="B1123" s="72"/>
      <c r="C1123" s="73"/>
      <c r="D1123" s="74"/>
      <c r="E1123" s="658" t="s">
        <v>161</v>
      </c>
      <c r="F1123" s="75"/>
      <c r="G1123" s="201"/>
      <c r="H1123" s="828">
        <f t="shared" si="101"/>
        <v>0</v>
      </c>
      <c r="I1123" s="1" t="e">
        <f t="shared" si="102"/>
        <v>#NUM!</v>
      </c>
      <c r="J1123" s="1" t="e">
        <f t="shared" si="103"/>
        <v>#NUM!</v>
      </c>
      <c r="K1123" s="1" t="e">
        <f t="shared" si="104"/>
        <v>#NUM!</v>
      </c>
    </row>
    <row r="1124" spans="1:11">
      <c r="A1124" s="483">
        <f t="shared" si="100"/>
        <v>1118</v>
      </c>
      <c r="B1124" s="72"/>
      <c r="C1124" s="73"/>
      <c r="D1124" s="74"/>
      <c r="E1124" s="658" t="s">
        <v>161</v>
      </c>
      <c r="F1124" s="75"/>
      <c r="G1124" s="201"/>
      <c r="H1124" s="828">
        <f t="shared" si="101"/>
        <v>0</v>
      </c>
      <c r="I1124" s="1" t="e">
        <f t="shared" si="102"/>
        <v>#NUM!</v>
      </c>
      <c r="J1124" s="1" t="e">
        <f t="shared" si="103"/>
        <v>#NUM!</v>
      </c>
      <c r="K1124" s="1" t="e">
        <f t="shared" si="104"/>
        <v>#NUM!</v>
      </c>
    </row>
    <row r="1125" spans="1:11">
      <c r="A1125" s="483">
        <f t="shared" si="100"/>
        <v>1119</v>
      </c>
      <c r="B1125" s="72"/>
      <c r="C1125" s="73"/>
      <c r="D1125" s="74"/>
      <c r="E1125" s="658" t="s">
        <v>161</v>
      </c>
      <c r="F1125" s="75"/>
      <c r="G1125" s="201"/>
      <c r="H1125" s="828">
        <f t="shared" si="101"/>
        <v>0</v>
      </c>
      <c r="I1125" s="1" t="e">
        <f t="shared" si="102"/>
        <v>#NUM!</v>
      </c>
      <c r="J1125" s="1" t="e">
        <f t="shared" si="103"/>
        <v>#NUM!</v>
      </c>
      <c r="K1125" s="1" t="e">
        <f t="shared" si="104"/>
        <v>#NUM!</v>
      </c>
    </row>
    <row r="1126" spans="1:11">
      <c r="A1126" s="483">
        <f t="shared" si="100"/>
        <v>1120</v>
      </c>
      <c r="B1126" s="72"/>
      <c r="C1126" s="73"/>
      <c r="D1126" s="74"/>
      <c r="E1126" s="658" t="s">
        <v>161</v>
      </c>
      <c r="F1126" s="75"/>
      <c r="G1126" s="201"/>
      <c r="H1126" s="828">
        <f t="shared" si="101"/>
        <v>0</v>
      </c>
      <c r="I1126" s="1" t="e">
        <f t="shared" si="102"/>
        <v>#NUM!</v>
      </c>
      <c r="J1126" s="1" t="e">
        <f t="shared" si="103"/>
        <v>#NUM!</v>
      </c>
      <c r="K1126" s="1" t="e">
        <f t="shared" si="104"/>
        <v>#NUM!</v>
      </c>
    </row>
    <row r="1127" spans="1:11">
      <c r="A1127" s="483">
        <f t="shared" si="100"/>
        <v>1121</v>
      </c>
      <c r="B1127" s="72"/>
      <c r="C1127" s="73"/>
      <c r="D1127" s="74"/>
      <c r="E1127" s="658" t="s">
        <v>161</v>
      </c>
      <c r="F1127" s="75"/>
      <c r="G1127" s="201"/>
      <c r="H1127" s="828">
        <f t="shared" si="101"/>
        <v>0</v>
      </c>
      <c r="I1127" s="1" t="e">
        <f t="shared" si="102"/>
        <v>#NUM!</v>
      </c>
      <c r="J1127" s="1" t="e">
        <f t="shared" si="103"/>
        <v>#NUM!</v>
      </c>
      <c r="K1127" s="1" t="e">
        <f t="shared" si="104"/>
        <v>#NUM!</v>
      </c>
    </row>
    <row r="1128" spans="1:11">
      <c r="A1128" s="483">
        <f t="shared" si="100"/>
        <v>1122</v>
      </c>
      <c r="B1128" s="72"/>
      <c r="C1128" s="73"/>
      <c r="D1128" s="74"/>
      <c r="E1128" s="658" t="s">
        <v>161</v>
      </c>
      <c r="F1128" s="75"/>
      <c r="G1128" s="201"/>
      <c r="H1128" s="828">
        <f t="shared" si="101"/>
        <v>0</v>
      </c>
      <c r="I1128" s="1" t="e">
        <f t="shared" si="102"/>
        <v>#NUM!</v>
      </c>
      <c r="J1128" s="1" t="e">
        <f t="shared" si="103"/>
        <v>#NUM!</v>
      </c>
      <c r="K1128" s="1" t="e">
        <f t="shared" si="104"/>
        <v>#NUM!</v>
      </c>
    </row>
    <row r="1129" spans="1:11">
      <c r="A1129" s="483">
        <f t="shared" si="100"/>
        <v>1123</v>
      </c>
      <c r="B1129" s="72"/>
      <c r="C1129" s="73"/>
      <c r="D1129" s="74"/>
      <c r="E1129" s="658" t="s">
        <v>161</v>
      </c>
      <c r="F1129" s="75"/>
      <c r="G1129" s="201"/>
      <c r="H1129" s="828">
        <f t="shared" si="101"/>
        <v>0</v>
      </c>
      <c r="I1129" s="1" t="e">
        <f t="shared" si="102"/>
        <v>#NUM!</v>
      </c>
      <c r="J1129" s="1" t="e">
        <f t="shared" si="103"/>
        <v>#NUM!</v>
      </c>
      <c r="K1129" s="1" t="e">
        <f t="shared" si="104"/>
        <v>#NUM!</v>
      </c>
    </row>
    <row r="1130" spans="1:11">
      <c r="A1130" s="483">
        <f t="shared" si="100"/>
        <v>1124</v>
      </c>
      <c r="B1130" s="72"/>
      <c r="C1130" s="73"/>
      <c r="D1130" s="74"/>
      <c r="E1130" s="658" t="s">
        <v>161</v>
      </c>
      <c r="F1130" s="75"/>
      <c r="G1130" s="201"/>
      <c r="H1130" s="828">
        <f t="shared" si="101"/>
        <v>0</v>
      </c>
      <c r="I1130" s="1" t="e">
        <f t="shared" si="102"/>
        <v>#NUM!</v>
      </c>
      <c r="J1130" s="1" t="e">
        <f t="shared" si="103"/>
        <v>#NUM!</v>
      </c>
      <c r="K1130" s="1" t="e">
        <f t="shared" si="104"/>
        <v>#NUM!</v>
      </c>
    </row>
    <row r="1131" spans="1:11">
      <c r="A1131" s="483">
        <f t="shared" si="100"/>
        <v>1125</v>
      </c>
      <c r="B1131" s="72"/>
      <c r="C1131" s="73"/>
      <c r="D1131" s="74"/>
      <c r="E1131" s="658" t="s">
        <v>161</v>
      </c>
      <c r="F1131" s="75"/>
      <c r="G1131" s="201"/>
      <c r="H1131" s="828">
        <f t="shared" si="101"/>
        <v>0</v>
      </c>
      <c r="I1131" s="1" t="e">
        <f t="shared" si="102"/>
        <v>#NUM!</v>
      </c>
      <c r="J1131" s="1" t="e">
        <f t="shared" si="103"/>
        <v>#NUM!</v>
      </c>
      <c r="K1131" s="1" t="e">
        <f t="shared" si="104"/>
        <v>#NUM!</v>
      </c>
    </row>
    <row r="1132" spans="1:11">
      <c r="A1132" s="483">
        <f t="shared" si="100"/>
        <v>1126</v>
      </c>
      <c r="B1132" s="72"/>
      <c r="C1132" s="73"/>
      <c r="D1132" s="74"/>
      <c r="E1132" s="658" t="s">
        <v>161</v>
      </c>
      <c r="F1132" s="75"/>
      <c r="G1132" s="201"/>
      <c r="H1132" s="828">
        <f t="shared" si="101"/>
        <v>0</v>
      </c>
      <c r="I1132" s="1" t="e">
        <f t="shared" si="102"/>
        <v>#NUM!</v>
      </c>
      <c r="J1132" s="1" t="e">
        <f t="shared" si="103"/>
        <v>#NUM!</v>
      </c>
      <c r="K1132" s="1" t="e">
        <f t="shared" si="104"/>
        <v>#NUM!</v>
      </c>
    </row>
    <row r="1133" spans="1:11">
      <c r="A1133" s="483">
        <f t="shared" si="100"/>
        <v>1127</v>
      </c>
      <c r="B1133" s="72"/>
      <c r="C1133" s="73"/>
      <c r="D1133" s="74"/>
      <c r="E1133" s="658" t="s">
        <v>161</v>
      </c>
      <c r="F1133" s="75"/>
      <c r="G1133" s="201"/>
      <c r="H1133" s="828">
        <f t="shared" si="101"/>
        <v>0</v>
      </c>
      <c r="I1133" s="1" t="e">
        <f t="shared" si="102"/>
        <v>#NUM!</v>
      </c>
      <c r="J1133" s="1" t="e">
        <f t="shared" si="103"/>
        <v>#NUM!</v>
      </c>
      <c r="K1133" s="1" t="e">
        <f t="shared" si="104"/>
        <v>#NUM!</v>
      </c>
    </row>
    <row r="1134" spans="1:11">
      <c r="A1134" s="483">
        <f t="shared" si="100"/>
        <v>1128</v>
      </c>
      <c r="B1134" s="72"/>
      <c r="C1134" s="73"/>
      <c r="D1134" s="74"/>
      <c r="E1134" s="658" t="s">
        <v>161</v>
      </c>
      <c r="F1134" s="75"/>
      <c r="G1134" s="201"/>
      <c r="H1134" s="828">
        <f t="shared" si="101"/>
        <v>0</v>
      </c>
      <c r="I1134" s="1" t="e">
        <f t="shared" si="102"/>
        <v>#NUM!</v>
      </c>
      <c r="J1134" s="1" t="e">
        <f t="shared" si="103"/>
        <v>#NUM!</v>
      </c>
      <c r="K1134" s="1" t="e">
        <f t="shared" si="104"/>
        <v>#NUM!</v>
      </c>
    </row>
    <row r="1135" spans="1:11">
      <c r="A1135" s="483">
        <f t="shared" si="100"/>
        <v>1129</v>
      </c>
      <c r="B1135" s="72"/>
      <c r="C1135" s="73"/>
      <c r="D1135" s="74"/>
      <c r="E1135" s="658" t="s">
        <v>161</v>
      </c>
      <c r="F1135" s="75"/>
      <c r="G1135" s="201"/>
      <c r="H1135" s="828">
        <f t="shared" si="101"/>
        <v>0</v>
      </c>
      <c r="I1135" s="1" t="e">
        <f t="shared" si="102"/>
        <v>#NUM!</v>
      </c>
      <c r="J1135" s="1" t="e">
        <f t="shared" si="103"/>
        <v>#NUM!</v>
      </c>
      <c r="K1135" s="1" t="e">
        <f t="shared" si="104"/>
        <v>#NUM!</v>
      </c>
    </row>
    <row r="1136" spans="1:11">
      <c r="A1136" s="483">
        <f t="shared" si="100"/>
        <v>1130</v>
      </c>
      <c r="B1136" s="72"/>
      <c r="C1136" s="73"/>
      <c r="D1136" s="74"/>
      <c r="E1136" s="658" t="s">
        <v>161</v>
      </c>
      <c r="F1136" s="75"/>
      <c r="G1136" s="201"/>
      <c r="H1136" s="828">
        <f t="shared" si="101"/>
        <v>0</v>
      </c>
      <c r="I1136" s="1" t="e">
        <f t="shared" si="102"/>
        <v>#NUM!</v>
      </c>
      <c r="J1136" s="1" t="e">
        <f t="shared" si="103"/>
        <v>#NUM!</v>
      </c>
      <c r="K1136" s="1" t="e">
        <f t="shared" si="104"/>
        <v>#NUM!</v>
      </c>
    </row>
    <row r="1137" spans="1:11">
      <c r="A1137" s="483">
        <f t="shared" si="100"/>
        <v>1131</v>
      </c>
      <c r="B1137" s="72"/>
      <c r="C1137" s="73"/>
      <c r="D1137" s="74"/>
      <c r="E1137" s="658" t="s">
        <v>161</v>
      </c>
      <c r="F1137" s="75"/>
      <c r="G1137" s="201"/>
      <c r="H1137" s="828">
        <f t="shared" si="101"/>
        <v>0</v>
      </c>
      <c r="I1137" s="1" t="e">
        <f t="shared" si="102"/>
        <v>#NUM!</v>
      </c>
      <c r="J1137" s="1" t="e">
        <f t="shared" si="103"/>
        <v>#NUM!</v>
      </c>
      <c r="K1137" s="1" t="e">
        <f t="shared" si="104"/>
        <v>#NUM!</v>
      </c>
    </row>
    <row r="1138" spans="1:11">
      <c r="A1138" s="483">
        <f t="shared" si="100"/>
        <v>1132</v>
      </c>
      <c r="B1138" s="72"/>
      <c r="C1138" s="73"/>
      <c r="D1138" s="74"/>
      <c r="E1138" s="658" t="s">
        <v>161</v>
      </c>
      <c r="F1138" s="75"/>
      <c r="G1138" s="201"/>
      <c r="H1138" s="828">
        <f t="shared" si="101"/>
        <v>0</v>
      </c>
      <c r="I1138" s="1" t="e">
        <f t="shared" si="102"/>
        <v>#NUM!</v>
      </c>
      <c r="J1138" s="1" t="e">
        <f t="shared" si="103"/>
        <v>#NUM!</v>
      </c>
      <c r="K1138" s="1" t="e">
        <f t="shared" si="104"/>
        <v>#NUM!</v>
      </c>
    </row>
    <row r="1139" spans="1:11">
      <c r="A1139" s="483">
        <f t="shared" si="100"/>
        <v>1133</v>
      </c>
      <c r="B1139" s="72"/>
      <c r="C1139" s="73"/>
      <c r="D1139" s="74"/>
      <c r="E1139" s="658" t="s">
        <v>161</v>
      </c>
      <c r="F1139" s="75"/>
      <c r="G1139" s="201"/>
      <c r="H1139" s="828">
        <f t="shared" si="101"/>
        <v>0</v>
      </c>
      <c r="I1139" s="1" t="e">
        <f t="shared" si="102"/>
        <v>#NUM!</v>
      </c>
      <c r="J1139" s="1" t="e">
        <f t="shared" si="103"/>
        <v>#NUM!</v>
      </c>
      <c r="K1139" s="1" t="e">
        <f t="shared" si="104"/>
        <v>#NUM!</v>
      </c>
    </row>
    <row r="1140" spans="1:11">
      <c r="A1140" s="483">
        <f t="shared" si="100"/>
        <v>1134</v>
      </c>
      <c r="B1140" s="72"/>
      <c r="C1140" s="73"/>
      <c r="D1140" s="74"/>
      <c r="E1140" s="658" t="s">
        <v>161</v>
      </c>
      <c r="F1140" s="75"/>
      <c r="G1140" s="201"/>
      <c r="H1140" s="828">
        <f t="shared" si="101"/>
        <v>0</v>
      </c>
      <c r="I1140" s="1" t="e">
        <f t="shared" si="102"/>
        <v>#NUM!</v>
      </c>
      <c r="J1140" s="1" t="e">
        <f t="shared" si="103"/>
        <v>#NUM!</v>
      </c>
      <c r="K1140" s="1" t="e">
        <f t="shared" si="104"/>
        <v>#NUM!</v>
      </c>
    </row>
    <row r="1141" spans="1:11">
      <c r="A1141" s="483">
        <f t="shared" si="100"/>
        <v>1135</v>
      </c>
      <c r="B1141" s="72"/>
      <c r="C1141" s="73"/>
      <c r="D1141" s="74"/>
      <c r="E1141" s="658" t="s">
        <v>161</v>
      </c>
      <c r="F1141" s="75"/>
      <c r="G1141" s="201"/>
      <c r="H1141" s="828">
        <f t="shared" si="101"/>
        <v>0</v>
      </c>
      <c r="I1141" s="1" t="e">
        <f t="shared" si="102"/>
        <v>#NUM!</v>
      </c>
      <c r="J1141" s="1" t="e">
        <f t="shared" si="103"/>
        <v>#NUM!</v>
      </c>
      <c r="K1141" s="1" t="e">
        <f t="shared" si="104"/>
        <v>#NUM!</v>
      </c>
    </row>
    <row r="1142" spans="1:11">
      <c r="A1142" s="483">
        <f t="shared" si="100"/>
        <v>1136</v>
      </c>
      <c r="B1142" s="72"/>
      <c r="C1142" s="73"/>
      <c r="D1142" s="74"/>
      <c r="E1142" s="658" t="s">
        <v>161</v>
      </c>
      <c r="F1142" s="75"/>
      <c r="G1142" s="201"/>
      <c r="H1142" s="828">
        <f t="shared" si="101"/>
        <v>0</v>
      </c>
      <c r="I1142" s="1" t="e">
        <f t="shared" si="102"/>
        <v>#NUM!</v>
      </c>
      <c r="J1142" s="1" t="e">
        <f t="shared" si="103"/>
        <v>#NUM!</v>
      </c>
      <c r="K1142" s="1" t="e">
        <f t="shared" si="104"/>
        <v>#NUM!</v>
      </c>
    </row>
    <row r="1143" spans="1:11">
      <c r="A1143" s="483">
        <f t="shared" si="100"/>
        <v>1137</v>
      </c>
      <c r="B1143" s="72"/>
      <c r="C1143" s="73"/>
      <c r="D1143" s="74"/>
      <c r="E1143" s="658" t="s">
        <v>161</v>
      </c>
      <c r="F1143" s="75"/>
      <c r="G1143" s="201"/>
      <c r="H1143" s="828">
        <f t="shared" si="101"/>
        <v>0</v>
      </c>
      <c r="I1143" s="1" t="e">
        <f t="shared" si="102"/>
        <v>#NUM!</v>
      </c>
      <c r="J1143" s="1" t="e">
        <f t="shared" si="103"/>
        <v>#NUM!</v>
      </c>
      <c r="K1143" s="1" t="e">
        <f t="shared" si="104"/>
        <v>#NUM!</v>
      </c>
    </row>
    <row r="1144" spans="1:11">
      <c r="A1144" s="483">
        <f t="shared" si="100"/>
        <v>1138</v>
      </c>
      <c r="B1144" s="72"/>
      <c r="C1144" s="73"/>
      <c r="D1144" s="74"/>
      <c r="E1144" s="658" t="s">
        <v>161</v>
      </c>
      <c r="F1144" s="75"/>
      <c r="G1144" s="201"/>
      <c r="H1144" s="828">
        <f t="shared" si="101"/>
        <v>0</v>
      </c>
      <c r="I1144" s="1" t="e">
        <f t="shared" si="102"/>
        <v>#NUM!</v>
      </c>
      <c r="J1144" s="1" t="e">
        <f t="shared" si="103"/>
        <v>#NUM!</v>
      </c>
      <c r="K1144" s="1" t="e">
        <f t="shared" si="104"/>
        <v>#NUM!</v>
      </c>
    </row>
    <row r="1145" spans="1:11">
      <c r="A1145" s="483">
        <f t="shared" si="100"/>
        <v>1139</v>
      </c>
      <c r="B1145" s="72"/>
      <c r="C1145" s="73"/>
      <c r="D1145" s="74"/>
      <c r="E1145" s="658" t="s">
        <v>161</v>
      </c>
      <c r="F1145" s="75"/>
      <c r="G1145" s="201"/>
      <c r="H1145" s="828">
        <f t="shared" si="101"/>
        <v>0</v>
      </c>
      <c r="I1145" s="1" t="e">
        <f t="shared" si="102"/>
        <v>#NUM!</v>
      </c>
      <c r="J1145" s="1" t="e">
        <f t="shared" si="103"/>
        <v>#NUM!</v>
      </c>
      <c r="K1145" s="1" t="e">
        <f t="shared" si="104"/>
        <v>#NUM!</v>
      </c>
    </row>
    <row r="1146" spans="1:11">
      <c r="A1146" s="483">
        <f t="shared" si="100"/>
        <v>1140</v>
      </c>
      <c r="B1146" s="72"/>
      <c r="C1146" s="73"/>
      <c r="D1146" s="74"/>
      <c r="E1146" s="658" t="s">
        <v>161</v>
      </c>
      <c r="F1146" s="75"/>
      <c r="G1146" s="201"/>
      <c r="H1146" s="828">
        <f t="shared" si="101"/>
        <v>0</v>
      </c>
      <c r="I1146" s="1" t="e">
        <f t="shared" si="102"/>
        <v>#NUM!</v>
      </c>
      <c r="J1146" s="1" t="e">
        <f t="shared" si="103"/>
        <v>#NUM!</v>
      </c>
      <c r="K1146" s="1" t="e">
        <f t="shared" si="104"/>
        <v>#NUM!</v>
      </c>
    </row>
    <row r="1147" spans="1:11">
      <c r="A1147" s="483">
        <f t="shared" si="100"/>
        <v>1141</v>
      </c>
      <c r="B1147" s="72"/>
      <c r="C1147" s="73"/>
      <c r="D1147" s="74"/>
      <c r="E1147" s="658" t="s">
        <v>161</v>
      </c>
      <c r="F1147" s="75"/>
      <c r="G1147" s="201"/>
      <c r="H1147" s="828">
        <f t="shared" si="101"/>
        <v>0</v>
      </c>
      <c r="I1147" s="1" t="e">
        <f t="shared" si="102"/>
        <v>#NUM!</v>
      </c>
      <c r="J1147" s="1" t="e">
        <f t="shared" si="103"/>
        <v>#NUM!</v>
      </c>
      <c r="K1147" s="1" t="e">
        <f t="shared" si="104"/>
        <v>#NUM!</v>
      </c>
    </row>
    <row r="1148" spans="1:11">
      <c r="A1148" s="483">
        <f t="shared" si="100"/>
        <v>1142</v>
      </c>
      <c r="B1148" s="72"/>
      <c r="C1148" s="73"/>
      <c r="D1148" s="74"/>
      <c r="E1148" s="658" t="s">
        <v>161</v>
      </c>
      <c r="F1148" s="75"/>
      <c r="G1148" s="201"/>
      <c r="H1148" s="828">
        <f t="shared" si="101"/>
        <v>0</v>
      </c>
      <c r="I1148" s="1" t="e">
        <f t="shared" si="102"/>
        <v>#NUM!</v>
      </c>
      <c r="J1148" s="1" t="e">
        <f t="shared" si="103"/>
        <v>#NUM!</v>
      </c>
      <c r="K1148" s="1" t="e">
        <f t="shared" si="104"/>
        <v>#NUM!</v>
      </c>
    </row>
    <row r="1149" spans="1:11">
      <c r="A1149" s="483">
        <f t="shared" si="100"/>
        <v>1143</v>
      </c>
      <c r="B1149" s="72"/>
      <c r="C1149" s="73"/>
      <c r="D1149" s="74"/>
      <c r="E1149" s="658" t="s">
        <v>161</v>
      </c>
      <c r="F1149" s="75"/>
      <c r="G1149" s="201"/>
      <c r="H1149" s="828">
        <f t="shared" si="101"/>
        <v>0</v>
      </c>
      <c r="I1149" s="1" t="e">
        <f t="shared" si="102"/>
        <v>#NUM!</v>
      </c>
      <c r="J1149" s="1" t="e">
        <f t="shared" si="103"/>
        <v>#NUM!</v>
      </c>
      <c r="K1149" s="1" t="e">
        <f t="shared" si="104"/>
        <v>#NUM!</v>
      </c>
    </row>
    <row r="1150" spans="1:11">
      <c r="A1150" s="483">
        <f t="shared" si="100"/>
        <v>1144</v>
      </c>
      <c r="B1150" s="72"/>
      <c r="C1150" s="73"/>
      <c r="D1150" s="74"/>
      <c r="E1150" s="658" t="s">
        <v>161</v>
      </c>
      <c r="F1150" s="75"/>
      <c r="G1150" s="201"/>
      <c r="H1150" s="828">
        <f t="shared" si="101"/>
        <v>0</v>
      </c>
      <c r="I1150" s="1" t="e">
        <f t="shared" si="102"/>
        <v>#NUM!</v>
      </c>
      <c r="J1150" s="1" t="e">
        <f t="shared" si="103"/>
        <v>#NUM!</v>
      </c>
      <c r="K1150" s="1" t="e">
        <f t="shared" si="104"/>
        <v>#NUM!</v>
      </c>
    </row>
    <row r="1151" spans="1:11">
      <c r="A1151" s="483">
        <f t="shared" si="100"/>
        <v>1145</v>
      </c>
      <c r="B1151" s="72"/>
      <c r="C1151" s="73"/>
      <c r="D1151" s="74"/>
      <c r="E1151" s="658" t="s">
        <v>161</v>
      </c>
      <c r="F1151" s="75"/>
      <c r="G1151" s="201"/>
      <c r="H1151" s="828">
        <f t="shared" si="101"/>
        <v>0</v>
      </c>
      <c r="I1151" s="1" t="e">
        <f t="shared" si="102"/>
        <v>#NUM!</v>
      </c>
      <c r="J1151" s="1" t="e">
        <f t="shared" si="103"/>
        <v>#NUM!</v>
      </c>
      <c r="K1151" s="1" t="e">
        <f t="shared" si="104"/>
        <v>#NUM!</v>
      </c>
    </row>
    <row r="1152" spans="1:11">
      <c r="A1152" s="483">
        <f t="shared" si="100"/>
        <v>1146</v>
      </c>
      <c r="B1152" s="72"/>
      <c r="C1152" s="73"/>
      <c r="D1152" s="74"/>
      <c r="E1152" s="658" t="s">
        <v>161</v>
      </c>
      <c r="F1152" s="75"/>
      <c r="G1152" s="201"/>
      <c r="H1152" s="828">
        <f t="shared" si="101"/>
        <v>0</v>
      </c>
      <c r="I1152" s="1" t="e">
        <f t="shared" si="102"/>
        <v>#NUM!</v>
      </c>
      <c r="J1152" s="1" t="e">
        <f t="shared" si="103"/>
        <v>#NUM!</v>
      </c>
      <c r="K1152" s="1" t="e">
        <f t="shared" si="104"/>
        <v>#NUM!</v>
      </c>
    </row>
    <row r="1153" spans="1:11">
      <c r="A1153" s="483">
        <f t="shared" si="100"/>
        <v>1147</v>
      </c>
      <c r="B1153" s="72"/>
      <c r="C1153" s="73"/>
      <c r="D1153" s="74"/>
      <c r="E1153" s="658" t="s">
        <v>161</v>
      </c>
      <c r="F1153" s="75"/>
      <c r="G1153" s="201"/>
      <c r="H1153" s="828">
        <f t="shared" si="101"/>
        <v>0</v>
      </c>
      <c r="I1153" s="1" t="e">
        <f t="shared" si="102"/>
        <v>#NUM!</v>
      </c>
      <c r="J1153" s="1" t="e">
        <f t="shared" si="103"/>
        <v>#NUM!</v>
      </c>
      <c r="K1153" s="1" t="e">
        <f t="shared" si="104"/>
        <v>#NUM!</v>
      </c>
    </row>
    <row r="1154" spans="1:11">
      <c r="A1154" s="483">
        <f t="shared" si="100"/>
        <v>1148</v>
      </c>
      <c r="B1154" s="72"/>
      <c r="C1154" s="73"/>
      <c r="D1154" s="74"/>
      <c r="E1154" s="658" t="s">
        <v>161</v>
      </c>
      <c r="F1154" s="75"/>
      <c r="G1154" s="201"/>
      <c r="H1154" s="828">
        <f t="shared" si="101"/>
        <v>0</v>
      </c>
      <c r="I1154" s="1" t="e">
        <f t="shared" si="102"/>
        <v>#NUM!</v>
      </c>
      <c r="J1154" s="1" t="e">
        <f t="shared" si="103"/>
        <v>#NUM!</v>
      </c>
      <c r="K1154" s="1" t="e">
        <f t="shared" si="104"/>
        <v>#NUM!</v>
      </c>
    </row>
    <row r="1155" spans="1:11">
      <c r="A1155" s="483">
        <f t="shared" si="100"/>
        <v>1149</v>
      </c>
      <c r="B1155" s="72"/>
      <c r="C1155" s="73"/>
      <c r="D1155" s="74"/>
      <c r="E1155" s="658" t="s">
        <v>161</v>
      </c>
      <c r="F1155" s="75"/>
      <c r="G1155" s="201"/>
      <c r="H1155" s="828">
        <f t="shared" si="101"/>
        <v>0</v>
      </c>
      <c r="I1155" s="1" t="e">
        <f t="shared" si="102"/>
        <v>#NUM!</v>
      </c>
      <c r="J1155" s="1" t="e">
        <f t="shared" si="103"/>
        <v>#NUM!</v>
      </c>
      <c r="K1155" s="1" t="e">
        <f t="shared" si="104"/>
        <v>#NUM!</v>
      </c>
    </row>
    <row r="1156" spans="1:11">
      <c r="A1156" s="483">
        <f t="shared" si="100"/>
        <v>1150</v>
      </c>
      <c r="B1156" s="72"/>
      <c r="C1156" s="73"/>
      <c r="D1156" s="74"/>
      <c r="E1156" s="658" t="s">
        <v>161</v>
      </c>
      <c r="F1156" s="75"/>
      <c r="G1156" s="201"/>
      <c r="H1156" s="828">
        <f t="shared" si="101"/>
        <v>0</v>
      </c>
      <c r="I1156" s="1" t="e">
        <f t="shared" si="102"/>
        <v>#NUM!</v>
      </c>
      <c r="J1156" s="1" t="e">
        <f t="shared" si="103"/>
        <v>#NUM!</v>
      </c>
      <c r="K1156" s="1" t="e">
        <f t="shared" si="104"/>
        <v>#NUM!</v>
      </c>
    </row>
    <row r="1157" spans="1:11">
      <c r="A1157" s="483">
        <f t="shared" si="100"/>
        <v>1151</v>
      </c>
      <c r="B1157" s="72"/>
      <c r="C1157" s="73"/>
      <c r="D1157" s="74"/>
      <c r="E1157" s="658" t="s">
        <v>161</v>
      </c>
      <c r="F1157" s="75"/>
      <c r="G1157" s="201"/>
      <c r="H1157" s="828">
        <f t="shared" si="101"/>
        <v>0</v>
      </c>
      <c r="I1157" s="1" t="e">
        <f t="shared" si="102"/>
        <v>#NUM!</v>
      </c>
      <c r="J1157" s="1" t="e">
        <f t="shared" si="103"/>
        <v>#NUM!</v>
      </c>
      <c r="K1157" s="1" t="e">
        <f t="shared" si="104"/>
        <v>#NUM!</v>
      </c>
    </row>
    <row r="1158" spans="1:11">
      <c r="A1158" s="483">
        <f t="shared" si="100"/>
        <v>1152</v>
      </c>
      <c r="B1158" s="72"/>
      <c r="C1158" s="73"/>
      <c r="D1158" s="74"/>
      <c r="E1158" s="658" t="s">
        <v>161</v>
      </c>
      <c r="F1158" s="75"/>
      <c r="G1158" s="201"/>
      <c r="H1158" s="828">
        <f t="shared" si="101"/>
        <v>0</v>
      </c>
      <c r="I1158" s="1" t="e">
        <f t="shared" si="102"/>
        <v>#NUM!</v>
      </c>
      <c r="J1158" s="1" t="e">
        <f t="shared" si="103"/>
        <v>#NUM!</v>
      </c>
      <c r="K1158" s="1" t="e">
        <f t="shared" si="104"/>
        <v>#NUM!</v>
      </c>
    </row>
    <row r="1159" spans="1:11">
      <c r="A1159" s="483">
        <f t="shared" si="100"/>
        <v>1153</v>
      </c>
      <c r="B1159" s="72"/>
      <c r="C1159" s="73"/>
      <c r="D1159" s="74"/>
      <c r="E1159" s="658" t="s">
        <v>161</v>
      </c>
      <c r="F1159" s="75"/>
      <c r="G1159" s="201"/>
      <c r="H1159" s="828">
        <f t="shared" si="101"/>
        <v>0</v>
      </c>
      <c r="I1159" s="1" t="e">
        <f t="shared" si="102"/>
        <v>#NUM!</v>
      </c>
      <c r="J1159" s="1" t="e">
        <f t="shared" si="103"/>
        <v>#NUM!</v>
      </c>
      <c r="K1159" s="1" t="e">
        <f t="shared" si="104"/>
        <v>#NUM!</v>
      </c>
    </row>
    <row r="1160" spans="1:11">
      <c r="A1160" s="483">
        <f t="shared" si="100"/>
        <v>1154</v>
      </c>
      <c r="B1160" s="72"/>
      <c r="C1160" s="73"/>
      <c r="D1160" s="74"/>
      <c r="E1160" s="658" t="s">
        <v>161</v>
      </c>
      <c r="F1160" s="75"/>
      <c r="G1160" s="201"/>
      <c r="H1160" s="828">
        <f t="shared" si="101"/>
        <v>0</v>
      </c>
      <c r="I1160" s="1" t="e">
        <f t="shared" si="102"/>
        <v>#NUM!</v>
      </c>
      <c r="J1160" s="1" t="e">
        <f t="shared" si="103"/>
        <v>#NUM!</v>
      </c>
      <c r="K1160" s="1" t="e">
        <f t="shared" si="104"/>
        <v>#NUM!</v>
      </c>
    </row>
    <row r="1161" spans="1:11">
      <c r="A1161" s="483">
        <f t="shared" si="100"/>
        <v>1155</v>
      </c>
      <c r="B1161" s="72"/>
      <c r="C1161" s="73"/>
      <c r="D1161" s="74"/>
      <c r="E1161" s="658" t="s">
        <v>161</v>
      </c>
      <c r="F1161" s="75"/>
      <c r="G1161" s="201"/>
      <c r="H1161" s="828">
        <f t="shared" si="101"/>
        <v>0</v>
      </c>
      <c r="I1161" s="1" t="e">
        <f t="shared" si="102"/>
        <v>#NUM!</v>
      </c>
      <c r="J1161" s="1" t="e">
        <f t="shared" si="103"/>
        <v>#NUM!</v>
      </c>
      <c r="K1161" s="1" t="e">
        <f t="shared" si="104"/>
        <v>#NUM!</v>
      </c>
    </row>
    <row r="1162" spans="1:11">
      <c r="A1162" s="483">
        <f t="shared" ref="A1162:A1201" si="105">+A1161+1</f>
        <v>1156</v>
      </c>
      <c r="B1162" s="72"/>
      <c r="C1162" s="73"/>
      <c r="D1162" s="74"/>
      <c r="E1162" s="658" t="s">
        <v>161</v>
      </c>
      <c r="F1162" s="75"/>
      <c r="G1162" s="201"/>
      <c r="H1162" s="828">
        <f t="shared" si="101"/>
        <v>0</v>
      </c>
      <c r="I1162" s="1" t="e">
        <f t="shared" si="102"/>
        <v>#NUM!</v>
      </c>
      <c r="J1162" s="1" t="e">
        <f t="shared" si="103"/>
        <v>#NUM!</v>
      </c>
      <c r="K1162" s="1" t="e">
        <f t="shared" si="104"/>
        <v>#NUM!</v>
      </c>
    </row>
    <row r="1163" spans="1:11">
      <c r="A1163" s="483">
        <f t="shared" si="105"/>
        <v>1157</v>
      </c>
      <c r="B1163" s="72"/>
      <c r="C1163" s="73"/>
      <c r="D1163" s="74"/>
      <c r="E1163" s="658" t="s">
        <v>161</v>
      </c>
      <c r="F1163" s="75"/>
      <c r="G1163" s="201"/>
      <c r="H1163" s="828">
        <f t="shared" si="101"/>
        <v>0</v>
      </c>
      <c r="I1163" s="1" t="e">
        <f t="shared" si="102"/>
        <v>#NUM!</v>
      </c>
      <c r="J1163" s="1" t="e">
        <f t="shared" si="103"/>
        <v>#NUM!</v>
      </c>
      <c r="K1163" s="1" t="e">
        <f t="shared" si="104"/>
        <v>#NUM!</v>
      </c>
    </row>
    <row r="1164" spans="1:11">
      <c r="A1164" s="483">
        <f t="shared" si="105"/>
        <v>1158</v>
      </c>
      <c r="B1164" s="72"/>
      <c r="C1164" s="73"/>
      <c r="D1164" s="74"/>
      <c r="E1164" s="658" t="s">
        <v>161</v>
      </c>
      <c r="F1164" s="75"/>
      <c r="G1164" s="201"/>
      <c r="H1164" s="828">
        <f t="shared" si="101"/>
        <v>0</v>
      </c>
      <c r="I1164" s="1" t="e">
        <f t="shared" si="102"/>
        <v>#NUM!</v>
      </c>
      <c r="J1164" s="1" t="e">
        <f t="shared" si="103"/>
        <v>#NUM!</v>
      </c>
      <c r="K1164" s="1" t="e">
        <f t="shared" si="104"/>
        <v>#NUM!</v>
      </c>
    </row>
    <row r="1165" spans="1:11">
      <c r="A1165" s="483">
        <f t="shared" si="105"/>
        <v>1159</v>
      </c>
      <c r="B1165" s="72"/>
      <c r="C1165" s="73"/>
      <c r="D1165" s="74"/>
      <c r="E1165" s="658" t="s">
        <v>161</v>
      </c>
      <c r="F1165" s="75"/>
      <c r="G1165" s="201"/>
      <c r="H1165" s="828">
        <f t="shared" si="101"/>
        <v>0</v>
      </c>
      <c r="I1165" s="1" t="e">
        <f t="shared" si="102"/>
        <v>#NUM!</v>
      </c>
      <c r="J1165" s="1" t="e">
        <f t="shared" si="103"/>
        <v>#NUM!</v>
      </c>
      <c r="K1165" s="1" t="e">
        <f t="shared" si="104"/>
        <v>#NUM!</v>
      </c>
    </row>
    <row r="1166" spans="1:11">
      <c r="A1166" s="483">
        <f t="shared" si="105"/>
        <v>1160</v>
      </c>
      <c r="B1166" s="72"/>
      <c r="C1166" s="73"/>
      <c r="D1166" s="74"/>
      <c r="E1166" s="658" t="s">
        <v>161</v>
      </c>
      <c r="F1166" s="75"/>
      <c r="G1166" s="201"/>
      <c r="H1166" s="828">
        <f t="shared" si="101"/>
        <v>0</v>
      </c>
      <c r="I1166" s="1" t="e">
        <f t="shared" si="102"/>
        <v>#NUM!</v>
      </c>
      <c r="J1166" s="1" t="e">
        <f t="shared" si="103"/>
        <v>#NUM!</v>
      </c>
      <c r="K1166" s="1" t="e">
        <f t="shared" si="104"/>
        <v>#NUM!</v>
      </c>
    </row>
    <row r="1167" spans="1:11">
      <c r="A1167" s="483">
        <f t="shared" si="105"/>
        <v>1161</v>
      </c>
      <c r="B1167" s="72"/>
      <c r="C1167" s="73"/>
      <c r="D1167" s="74"/>
      <c r="E1167" s="658" t="s">
        <v>161</v>
      </c>
      <c r="F1167" s="75"/>
      <c r="G1167" s="201"/>
      <c r="H1167" s="828">
        <f t="shared" si="101"/>
        <v>0</v>
      </c>
      <c r="I1167" s="1" t="e">
        <f t="shared" si="102"/>
        <v>#NUM!</v>
      </c>
      <c r="J1167" s="1" t="e">
        <f t="shared" si="103"/>
        <v>#NUM!</v>
      </c>
      <c r="K1167" s="1" t="e">
        <f t="shared" si="104"/>
        <v>#NUM!</v>
      </c>
    </row>
    <row r="1168" spans="1:11">
      <c r="A1168" s="483">
        <f t="shared" si="105"/>
        <v>1162</v>
      </c>
      <c r="B1168" s="72"/>
      <c r="C1168" s="73"/>
      <c r="D1168" s="74"/>
      <c r="E1168" s="658" t="s">
        <v>161</v>
      </c>
      <c r="F1168" s="75"/>
      <c r="G1168" s="201"/>
      <c r="H1168" s="828">
        <f t="shared" si="101"/>
        <v>0</v>
      </c>
      <c r="I1168" s="1" t="e">
        <f t="shared" si="102"/>
        <v>#NUM!</v>
      </c>
      <c r="J1168" s="1" t="e">
        <f t="shared" si="103"/>
        <v>#NUM!</v>
      </c>
      <c r="K1168" s="1" t="e">
        <f t="shared" si="104"/>
        <v>#NUM!</v>
      </c>
    </row>
    <row r="1169" spans="1:11">
      <c r="A1169" s="483">
        <f t="shared" si="105"/>
        <v>1163</v>
      </c>
      <c r="B1169" s="72"/>
      <c r="C1169" s="73"/>
      <c r="D1169" s="74"/>
      <c r="E1169" s="658" t="s">
        <v>161</v>
      </c>
      <c r="F1169" s="75"/>
      <c r="G1169" s="201"/>
      <c r="H1169" s="828">
        <f t="shared" si="101"/>
        <v>0</v>
      </c>
      <c r="I1169" s="1" t="e">
        <f t="shared" si="102"/>
        <v>#NUM!</v>
      </c>
      <c r="J1169" s="1" t="e">
        <f t="shared" si="103"/>
        <v>#NUM!</v>
      </c>
      <c r="K1169" s="1" t="e">
        <f t="shared" si="104"/>
        <v>#NUM!</v>
      </c>
    </row>
    <row r="1170" spans="1:11">
      <c r="A1170" s="483">
        <f t="shared" si="105"/>
        <v>1164</v>
      </c>
      <c r="B1170" s="72"/>
      <c r="C1170" s="73"/>
      <c r="D1170" s="74"/>
      <c r="E1170" s="658" t="s">
        <v>161</v>
      </c>
      <c r="F1170" s="75"/>
      <c r="G1170" s="201"/>
      <c r="H1170" s="828">
        <f t="shared" si="101"/>
        <v>0</v>
      </c>
      <c r="I1170" s="1" t="e">
        <f t="shared" si="102"/>
        <v>#NUM!</v>
      </c>
      <c r="J1170" s="1" t="e">
        <f t="shared" si="103"/>
        <v>#NUM!</v>
      </c>
      <c r="K1170" s="1" t="e">
        <f t="shared" si="104"/>
        <v>#NUM!</v>
      </c>
    </row>
    <row r="1171" spans="1:11">
      <c r="A1171" s="483">
        <f t="shared" si="105"/>
        <v>1165</v>
      </c>
      <c r="B1171" s="72"/>
      <c r="C1171" s="73"/>
      <c r="D1171" s="74"/>
      <c r="E1171" s="658" t="s">
        <v>161</v>
      </c>
      <c r="F1171" s="75"/>
      <c r="G1171" s="201"/>
      <c r="H1171" s="828">
        <f t="shared" si="101"/>
        <v>0</v>
      </c>
      <c r="I1171" s="1" t="e">
        <f t="shared" si="102"/>
        <v>#NUM!</v>
      </c>
      <c r="J1171" s="1" t="e">
        <f t="shared" si="103"/>
        <v>#NUM!</v>
      </c>
      <c r="K1171" s="1" t="e">
        <f t="shared" si="104"/>
        <v>#NUM!</v>
      </c>
    </row>
    <row r="1172" spans="1:11">
      <c r="A1172" s="483">
        <f t="shared" si="105"/>
        <v>1166</v>
      </c>
      <c r="B1172" s="72"/>
      <c r="C1172" s="73"/>
      <c r="D1172" s="74"/>
      <c r="E1172" s="658" t="s">
        <v>161</v>
      </c>
      <c r="F1172" s="75"/>
      <c r="G1172" s="201"/>
      <c r="H1172" s="828">
        <f t="shared" si="101"/>
        <v>0</v>
      </c>
      <c r="I1172" s="1" t="e">
        <f t="shared" si="102"/>
        <v>#NUM!</v>
      </c>
      <c r="J1172" s="1" t="e">
        <f t="shared" si="103"/>
        <v>#NUM!</v>
      </c>
      <c r="K1172" s="1" t="e">
        <f t="shared" si="104"/>
        <v>#NUM!</v>
      </c>
    </row>
    <row r="1173" spans="1:11">
      <c r="A1173" s="483">
        <f t="shared" si="105"/>
        <v>1167</v>
      </c>
      <c r="B1173" s="72"/>
      <c r="C1173" s="73"/>
      <c r="D1173" s="74"/>
      <c r="E1173" s="658" t="s">
        <v>161</v>
      </c>
      <c r="F1173" s="75"/>
      <c r="G1173" s="201"/>
      <c r="H1173" s="828">
        <f t="shared" si="101"/>
        <v>0</v>
      </c>
      <c r="I1173" s="1" t="e">
        <f t="shared" si="102"/>
        <v>#NUM!</v>
      </c>
      <c r="J1173" s="1" t="e">
        <f t="shared" si="103"/>
        <v>#NUM!</v>
      </c>
      <c r="K1173" s="1" t="e">
        <f t="shared" si="104"/>
        <v>#NUM!</v>
      </c>
    </row>
    <row r="1174" spans="1:11">
      <c r="A1174" s="483">
        <f t="shared" si="105"/>
        <v>1168</v>
      </c>
      <c r="B1174" s="72"/>
      <c r="C1174" s="73"/>
      <c r="D1174" s="74"/>
      <c r="E1174" s="658" t="s">
        <v>161</v>
      </c>
      <c r="F1174" s="75"/>
      <c r="G1174" s="201"/>
      <c r="H1174" s="828">
        <f t="shared" si="101"/>
        <v>0</v>
      </c>
      <c r="I1174" s="1" t="e">
        <f t="shared" si="102"/>
        <v>#NUM!</v>
      </c>
      <c r="J1174" s="1" t="e">
        <f t="shared" si="103"/>
        <v>#NUM!</v>
      </c>
      <c r="K1174" s="1" t="e">
        <f t="shared" si="104"/>
        <v>#NUM!</v>
      </c>
    </row>
    <row r="1175" spans="1:11">
      <c r="A1175" s="483">
        <f t="shared" si="105"/>
        <v>1169</v>
      </c>
      <c r="B1175" s="72"/>
      <c r="C1175" s="73"/>
      <c r="D1175" s="74"/>
      <c r="E1175" s="658" t="s">
        <v>161</v>
      </c>
      <c r="F1175" s="75"/>
      <c r="G1175" s="201"/>
      <c r="H1175" s="828">
        <f t="shared" si="101"/>
        <v>0</v>
      </c>
      <c r="I1175" s="1" t="e">
        <f t="shared" si="102"/>
        <v>#NUM!</v>
      </c>
      <c r="J1175" s="1" t="e">
        <f t="shared" si="103"/>
        <v>#NUM!</v>
      </c>
      <c r="K1175" s="1" t="e">
        <f t="shared" si="104"/>
        <v>#NUM!</v>
      </c>
    </row>
    <row r="1176" spans="1:11">
      <c r="A1176" s="483">
        <f t="shared" si="105"/>
        <v>1170</v>
      </c>
      <c r="B1176" s="72"/>
      <c r="C1176" s="73"/>
      <c r="D1176" s="74"/>
      <c r="E1176" s="658" t="s">
        <v>161</v>
      </c>
      <c r="F1176" s="75"/>
      <c r="G1176" s="201"/>
      <c r="H1176" s="828">
        <f t="shared" si="101"/>
        <v>0</v>
      </c>
      <c r="I1176" s="1" t="e">
        <f t="shared" si="102"/>
        <v>#NUM!</v>
      </c>
      <c r="J1176" s="1" t="e">
        <f t="shared" si="103"/>
        <v>#NUM!</v>
      </c>
      <c r="K1176" s="1" t="e">
        <f t="shared" si="104"/>
        <v>#NUM!</v>
      </c>
    </row>
    <row r="1177" spans="1:11">
      <c r="A1177" s="483">
        <f t="shared" si="105"/>
        <v>1171</v>
      </c>
      <c r="B1177" s="72"/>
      <c r="C1177" s="73"/>
      <c r="D1177" s="74"/>
      <c r="E1177" s="658" t="s">
        <v>161</v>
      </c>
      <c r="F1177" s="75"/>
      <c r="G1177" s="201"/>
      <c r="H1177" s="828">
        <f t="shared" si="101"/>
        <v>0</v>
      </c>
      <c r="I1177" s="1" t="e">
        <f t="shared" si="102"/>
        <v>#NUM!</v>
      </c>
      <c r="J1177" s="1" t="e">
        <f t="shared" si="103"/>
        <v>#NUM!</v>
      </c>
      <c r="K1177" s="1" t="e">
        <f t="shared" si="104"/>
        <v>#NUM!</v>
      </c>
    </row>
    <row r="1178" spans="1:11">
      <c r="A1178" s="483">
        <f t="shared" si="105"/>
        <v>1172</v>
      </c>
      <c r="B1178" s="72"/>
      <c r="C1178" s="73"/>
      <c r="D1178" s="74"/>
      <c r="E1178" s="658" t="s">
        <v>161</v>
      </c>
      <c r="F1178" s="75"/>
      <c r="G1178" s="201"/>
      <c r="H1178" s="828">
        <f t="shared" si="101"/>
        <v>0</v>
      </c>
      <c r="I1178" s="1" t="e">
        <f t="shared" si="102"/>
        <v>#NUM!</v>
      </c>
      <c r="J1178" s="1" t="e">
        <f t="shared" si="103"/>
        <v>#NUM!</v>
      </c>
      <c r="K1178" s="1" t="e">
        <f t="shared" si="104"/>
        <v>#NUM!</v>
      </c>
    </row>
    <row r="1179" spans="1:11">
      <c r="A1179" s="483">
        <f t="shared" si="105"/>
        <v>1173</v>
      </c>
      <c r="B1179" s="72"/>
      <c r="C1179" s="73"/>
      <c r="D1179" s="74"/>
      <c r="E1179" s="658" t="s">
        <v>161</v>
      </c>
      <c r="F1179" s="75"/>
      <c r="G1179" s="201"/>
      <c r="H1179" s="828">
        <f t="shared" si="101"/>
        <v>0</v>
      </c>
      <c r="I1179" s="1" t="e">
        <f t="shared" si="102"/>
        <v>#NUM!</v>
      </c>
      <c r="J1179" s="1" t="e">
        <f t="shared" si="103"/>
        <v>#NUM!</v>
      </c>
      <c r="K1179" s="1" t="e">
        <f t="shared" si="104"/>
        <v>#NUM!</v>
      </c>
    </row>
    <row r="1180" spans="1:11">
      <c r="A1180" s="483">
        <f t="shared" si="105"/>
        <v>1174</v>
      </c>
      <c r="B1180" s="72"/>
      <c r="C1180" s="73"/>
      <c r="D1180" s="74"/>
      <c r="E1180" s="658" t="s">
        <v>161</v>
      </c>
      <c r="F1180" s="75"/>
      <c r="G1180" s="201"/>
      <c r="H1180" s="828">
        <f t="shared" si="101"/>
        <v>0</v>
      </c>
      <c r="I1180" s="1" t="e">
        <f t="shared" si="102"/>
        <v>#NUM!</v>
      </c>
      <c r="J1180" s="1" t="e">
        <f t="shared" si="103"/>
        <v>#NUM!</v>
      </c>
      <c r="K1180" s="1" t="e">
        <f t="shared" si="104"/>
        <v>#NUM!</v>
      </c>
    </row>
    <row r="1181" spans="1:11">
      <c r="A1181" s="483">
        <f t="shared" si="105"/>
        <v>1175</v>
      </c>
      <c r="B1181" s="72"/>
      <c r="C1181" s="73"/>
      <c r="D1181" s="74"/>
      <c r="E1181" s="658" t="s">
        <v>161</v>
      </c>
      <c r="F1181" s="75"/>
      <c r="G1181" s="201"/>
      <c r="H1181" s="828">
        <f t="shared" si="101"/>
        <v>0</v>
      </c>
      <c r="I1181" s="1" t="e">
        <f t="shared" si="102"/>
        <v>#NUM!</v>
      </c>
      <c r="J1181" s="1" t="e">
        <f t="shared" si="103"/>
        <v>#NUM!</v>
      </c>
      <c r="K1181" s="1" t="e">
        <f t="shared" si="104"/>
        <v>#NUM!</v>
      </c>
    </row>
    <row r="1182" spans="1:11">
      <c r="A1182" s="483">
        <f t="shared" si="105"/>
        <v>1176</v>
      </c>
      <c r="B1182" s="72"/>
      <c r="C1182" s="73"/>
      <c r="D1182" s="74"/>
      <c r="E1182" s="658" t="s">
        <v>161</v>
      </c>
      <c r="F1182" s="75"/>
      <c r="G1182" s="201"/>
      <c r="H1182" s="828">
        <f t="shared" si="101"/>
        <v>0</v>
      </c>
      <c r="I1182" s="1" t="e">
        <f t="shared" si="102"/>
        <v>#NUM!</v>
      </c>
      <c r="J1182" s="1" t="e">
        <f t="shared" si="103"/>
        <v>#NUM!</v>
      </c>
      <c r="K1182" s="1" t="e">
        <f t="shared" si="104"/>
        <v>#NUM!</v>
      </c>
    </row>
    <row r="1183" spans="1:11">
      <c r="A1183" s="483">
        <f t="shared" si="105"/>
        <v>1177</v>
      </c>
      <c r="B1183" s="72"/>
      <c r="C1183" s="73"/>
      <c r="D1183" s="74"/>
      <c r="E1183" s="658" t="s">
        <v>161</v>
      </c>
      <c r="F1183" s="75"/>
      <c r="G1183" s="201"/>
      <c r="H1183" s="828">
        <f t="shared" si="101"/>
        <v>0</v>
      </c>
      <c r="I1183" s="1" t="e">
        <f t="shared" si="102"/>
        <v>#NUM!</v>
      </c>
      <c r="J1183" s="1" t="e">
        <f t="shared" si="103"/>
        <v>#NUM!</v>
      </c>
      <c r="K1183" s="1" t="e">
        <f t="shared" si="104"/>
        <v>#NUM!</v>
      </c>
    </row>
    <row r="1184" spans="1:11">
      <c r="A1184" s="483">
        <f t="shared" si="105"/>
        <v>1178</v>
      </c>
      <c r="B1184" s="72"/>
      <c r="C1184" s="73"/>
      <c r="D1184" s="74"/>
      <c r="E1184" s="658" t="s">
        <v>161</v>
      </c>
      <c r="F1184" s="75"/>
      <c r="G1184" s="201"/>
      <c r="H1184" s="828">
        <f t="shared" si="101"/>
        <v>0</v>
      </c>
      <c r="I1184" s="1" t="e">
        <f t="shared" si="102"/>
        <v>#NUM!</v>
      </c>
      <c r="J1184" s="1" t="e">
        <f t="shared" si="103"/>
        <v>#NUM!</v>
      </c>
      <c r="K1184" s="1" t="e">
        <f t="shared" si="104"/>
        <v>#NUM!</v>
      </c>
    </row>
    <row r="1185" spans="1:11">
      <c r="A1185" s="483">
        <f t="shared" si="105"/>
        <v>1179</v>
      </c>
      <c r="B1185" s="72"/>
      <c r="C1185" s="73"/>
      <c r="D1185" s="74"/>
      <c r="E1185" s="658" t="s">
        <v>161</v>
      </c>
      <c r="F1185" s="75"/>
      <c r="G1185" s="201"/>
      <c r="H1185" s="828">
        <f t="shared" si="101"/>
        <v>0</v>
      </c>
      <c r="I1185" s="1" t="e">
        <f t="shared" si="102"/>
        <v>#NUM!</v>
      </c>
      <c r="J1185" s="1" t="e">
        <f t="shared" si="103"/>
        <v>#NUM!</v>
      </c>
      <c r="K1185" s="1" t="e">
        <f t="shared" si="104"/>
        <v>#NUM!</v>
      </c>
    </row>
    <row r="1186" spans="1:11">
      <c r="A1186" s="483">
        <f t="shared" si="105"/>
        <v>1180</v>
      </c>
      <c r="B1186" s="72"/>
      <c r="C1186" s="73"/>
      <c r="D1186" s="74"/>
      <c r="E1186" s="658" t="s">
        <v>161</v>
      </c>
      <c r="F1186" s="75"/>
      <c r="G1186" s="201"/>
      <c r="H1186" s="828">
        <f t="shared" ref="H1186:H1201" si="106">+(F1186/1760)*G1186</f>
        <v>0</v>
      </c>
      <c r="I1186" s="1" t="e">
        <f t="shared" ref="I1186:I1201" si="107">LN(F1186)</f>
        <v>#NUM!</v>
      </c>
      <c r="J1186" s="1" t="e">
        <f t="shared" ref="J1186:J1201" si="108">LN(G1186)</f>
        <v>#NUM!</v>
      </c>
      <c r="K1186" s="1" t="e">
        <f t="shared" ref="K1186:K1201" si="109">LN(H1186)</f>
        <v>#NUM!</v>
      </c>
    </row>
    <row r="1187" spans="1:11">
      <c r="A1187" s="483">
        <f t="shared" si="105"/>
        <v>1181</v>
      </c>
      <c r="B1187" s="72"/>
      <c r="C1187" s="73"/>
      <c r="D1187" s="74"/>
      <c r="E1187" s="658" t="s">
        <v>161</v>
      </c>
      <c r="F1187" s="75"/>
      <c r="G1187" s="201"/>
      <c r="H1187" s="828">
        <f t="shared" si="106"/>
        <v>0</v>
      </c>
      <c r="I1187" s="1" t="e">
        <f t="shared" si="107"/>
        <v>#NUM!</v>
      </c>
      <c r="J1187" s="1" t="e">
        <f t="shared" si="108"/>
        <v>#NUM!</v>
      </c>
      <c r="K1187" s="1" t="e">
        <f t="shared" si="109"/>
        <v>#NUM!</v>
      </c>
    </row>
    <row r="1188" spans="1:11">
      <c r="A1188" s="483">
        <f t="shared" si="105"/>
        <v>1182</v>
      </c>
      <c r="B1188" s="72"/>
      <c r="C1188" s="73"/>
      <c r="D1188" s="74"/>
      <c r="E1188" s="658" t="s">
        <v>161</v>
      </c>
      <c r="F1188" s="75"/>
      <c r="G1188" s="201"/>
      <c r="H1188" s="828">
        <f t="shared" si="106"/>
        <v>0</v>
      </c>
      <c r="I1188" s="1" t="e">
        <f t="shared" si="107"/>
        <v>#NUM!</v>
      </c>
      <c r="J1188" s="1" t="e">
        <f t="shared" si="108"/>
        <v>#NUM!</v>
      </c>
      <c r="K1188" s="1" t="e">
        <f t="shared" si="109"/>
        <v>#NUM!</v>
      </c>
    </row>
    <row r="1189" spans="1:11">
      <c r="A1189" s="483">
        <f t="shared" si="105"/>
        <v>1183</v>
      </c>
      <c r="B1189" s="72"/>
      <c r="C1189" s="73"/>
      <c r="D1189" s="74"/>
      <c r="E1189" s="658" t="s">
        <v>161</v>
      </c>
      <c r="F1189" s="75"/>
      <c r="G1189" s="201"/>
      <c r="H1189" s="828">
        <f t="shared" si="106"/>
        <v>0</v>
      </c>
      <c r="I1189" s="1" t="e">
        <f t="shared" si="107"/>
        <v>#NUM!</v>
      </c>
      <c r="J1189" s="1" t="e">
        <f t="shared" si="108"/>
        <v>#NUM!</v>
      </c>
      <c r="K1189" s="1" t="e">
        <f t="shared" si="109"/>
        <v>#NUM!</v>
      </c>
    </row>
    <row r="1190" spans="1:11">
      <c r="A1190" s="483">
        <f t="shared" si="105"/>
        <v>1184</v>
      </c>
      <c r="B1190" s="72"/>
      <c r="C1190" s="73"/>
      <c r="D1190" s="74"/>
      <c r="E1190" s="658" t="s">
        <v>161</v>
      </c>
      <c r="F1190" s="75"/>
      <c r="G1190" s="201"/>
      <c r="H1190" s="828">
        <f t="shared" si="106"/>
        <v>0</v>
      </c>
      <c r="I1190" s="1" t="e">
        <f t="shared" si="107"/>
        <v>#NUM!</v>
      </c>
      <c r="J1190" s="1" t="e">
        <f t="shared" si="108"/>
        <v>#NUM!</v>
      </c>
      <c r="K1190" s="1" t="e">
        <f t="shared" si="109"/>
        <v>#NUM!</v>
      </c>
    </row>
    <row r="1191" spans="1:11">
      <c r="A1191" s="483">
        <f t="shared" si="105"/>
        <v>1185</v>
      </c>
      <c r="B1191" s="72"/>
      <c r="C1191" s="73"/>
      <c r="D1191" s="74"/>
      <c r="E1191" s="658" t="s">
        <v>161</v>
      </c>
      <c r="F1191" s="75"/>
      <c r="G1191" s="201"/>
      <c r="H1191" s="828">
        <f t="shared" si="106"/>
        <v>0</v>
      </c>
      <c r="I1191" s="1" t="e">
        <f t="shared" si="107"/>
        <v>#NUM!</v>
      </c>
      <c r="J1191" s="1" t="e">
        <f t="shared" si="108"/>
        <v>#NUM!</v>
      </c>
      <c r="K1191" s="1" t="e">
        <f t="shared" si="109"/>
        <v>#NUM!</v>
      </c>
    </row>
    <row r="1192" spans="1:11">
      <c r="A1192" s="483">
        <f t="shared" si="105"/>
        <v>1186</v>
      </c>
      <c r="B1192" s="72"/>
      <c r="C1192" s="73"/>
      <c r="D1192" s="74"/>
      <c r="E1192" s="658" t="s">
        <v>161</v>
      </c>
      <c r="F1192" s="75"/>
      <c r="G1192" s="201"/>
      <c r="H1192" s="828">
        <f t="shared" si="106"/>
        <v>0</v>
      </c>
      <c r="I1192" s="1" t="e">
        <f t="shared" si="107"/>
        <v>#NUM!</v>
      </c>
      <c r="J1192" s="1" t="e">
        <f t="shared" si="108"/>
        <v>#NUM!</v>
      </c>
      <c r="K1192" s="1" t="e">
        <f t="shared" si="109"/>
        <v>#NUM!</v>
      </c>
    </row>
    <row r="1193" spans="1:11">
      <c r="A1193" s="483">
        <f t="shared" si="105"/>
        <v>1187</v>
      </c>
      <c r="B1193" s="72"/>
      <c r="C1193" s="73"/>
      <c r="D1193" s="74"/>
      <c r="E1193" s="658" t="s">
        <v>161</v>
      </c>
      <c r="F1193" s="75"/>
      <c r="G1193" s="201"/>
      <c r="H1193" s="828">
        <f t="shared" si="106"/>
        <v>0</v>
      </c>
      <c r="I1193" s="1" t="e">
        <f t="shared" si="107"/>
        <v>#NUM!</v>
      </c>
      <c r="J1193" s="1" t="e">
        <f t="shared" si="108"/>
        <v>#NUM!</v>
      </c>
      <c r="K1193" s="1" t="e">
        <f t="shared" si="109"/>
        <v>#NUM!</v>
      </c>
    </row>
    <row r="1194" spans="1:11">
      <c r="A1194" s="483">
        <f t="shared" si="105"/>
        <v>1188</v>
      </c>
      <c r="B1194" s="72"/>
      <c r="C1194" s="73"/>
      <c r="D1194" s="74"/>
      <c r="E1194" s="658" t="s">
        <v>161</v>
      </c>
      <c r="F1194" s="75"/>
      <c r="G1194" s="201"/>
      <c r="H1194" s="828">
        <f t="shared" si="106"/>
        <v>0</v>
      </c>
      <c r="I1194" s="1" t="e">
        <f t="shared" si="107"/>
        <v>#NUM!</v>
      </c>
      <c r="J1194" s="1" t="e">
        <f t="shared" si="108"/>
        <v>#NUM!</v>
      </c>
      <c r="K1194" s="1" t="e">
        <f t="shared" si="109"/>
        <v>#NUM!</v>
      </c>
    </row>
    <row r="1195" spans="1:11">
      <c r="A1195" s="483">
        <f t="shared" si="105"/>
        <v>1189</v>
      </c>
      <c r="B1195" s="72"/>
      <c r="C1195" s="73"/>
      <c r="D1195" s="74"/>
      <c r="E1195" s="658" t="s">
        <v>161</v>
      </c>
      <c r="F1195" s="75"/>
      <c r="G1195" s="201"/>
      <c r="H1195" s="828">
        <f t="shared" si="106"/>
        <v>0</v>
      </c>
      <c r="I1195" s="1" t="e">
        <f t="shared" si="107"/>
        <v>#NUM!</v>
      </c>
      <c r="J1195" s="1" t="e">
        <f t="shared" si="108"/>
        <v>#NUM!</v>
      </c>
      <c r="K1195" s="1" t="e">
        <f t="shared" si="109"/>
        <v>#NUM!</v>
      </c>
    </row>
    <row r="1196" spans="1:11">
      <c r="A1196" s="483">
        <f t="shared" si="105"/>
        <v>1190</v>
      </c>
      <c r="B1196" s="72"/>
      <c r="C1196" s="73"/>
      <c r="D1196" s="74"/>
      <c r="E1196" s="658" t="s">
        <v>161</v>
      </c>
      <c r="F1196" s="75"/>
      <c r="G1196" s="201"/>
      <c r="H1196" s="828">
        <f t="shared" si="106"/>
        <v>0</v>
      </c>
      <c r="I1196" s="1" t="e">
        <f t="shared" si="107"/>
        <v>#NUM!</v>
      </c>
      <c r="J1196" s="1" t="e">
        <f t="shared" si="108"/>
        <v>#NUM!</v>
      </c>
      <c r="K1196" s="1" t="e">
        <f t="shared" si="109"/>
        <v>#NUM!</v>
      </c>
    </row>
    <row r="1197" spans="1:11">
      <c r="A1197" s="483">
        <f t="shared" si="105"/>
        <v>1191</v>
      </c>
      <c r="B1197" s="72"/>
      <c r="C1197" s="73"/>
      <c r="D1197" s="74"/>
      <c r="E1197" s="658" t="s">
        <v>161</v>
      </c>
      <c r="F1197" s="75"/>
      <c r="G1197" s="201"/>
      <c r="H1197" s="828">
        <f t="shared" si="106"/>
        <v>0</v>
      </c>
      <c r="I1197" s="1" t="e">
        <f t="shared" si="107"/>
        <v>#NUM!</v>
      </c>
      <c r="J1197" s="1" t="e">
        <f t="shared" si="108"/>
        <v>#NUM!</v>
      </c>
      <c r="K1197" s="1" t="e">
        <f t="shared" si="109"/>
        <v>#NUM!</v>
      </c>
    </row>
    <row r="1198" spans="1:11">
      <c r="A1198" s="483">
        <f t="shared" si="105"/>
        <v>1192</v>
      </c>
      <c r="B1198" s="72"/>
      <c r="C1198" s="73"/>
      <c r="D1198" s="74"/>
      <c r="E1198" s="658" t="s">
        <v>161</v>
      </c>
      <c r="F1198" s="75"/>
      <c r="G1198" s="201"/>
      <c r="H1198" s="828">
        <f t="shared" si="106"/>
        <v>0</v>
      </c>
      <c r="I1198" s="1" t="e">
        <f t="shared" si="107"/>
        <v>#NUM!</v>
      </c>
      <c r="J1198" s="1" t="e">
        <f t="shared" si="108"/>
        <v>#NUM!</v>
      </c>
      <c r="K1198" s="1" t="e">
        <f t="shared" si="109"/>
        <v>#NUM!</v>
      </c>
    </row>
    <row r="1199" spans="1:11">
      <c r="A1199" s="483">
        <f t="shared" si="105"/>
        <v>1193</v>
      </c>
      <c r="B1199" s="72"/>
      <c r="C1199" s="73"/>
      <c r="D1199" s="74"/>
      <c r="E1199" s="658" t="s">
        <v>161</v>
      </c>
      <c r="F1199" s="75"/>
      <c r="G1199" s="201"/>
      <c r="H1199" s="828">
        <f t="shared" si="106"/>
        <v>0</v>
      </c>
      <c r="I1199" s="1" t="e">
        <f t="shared" si="107"/>
        <v>#NUM!</v>
      </c>
      <c r="J1199" s="1" t="e">
        <f t="shared" si="108"/>
        <v>#NUM!</v>
      </c>
      <c r="K1199" s="1" t="e">
        <f t="shared" si="109"/>
        <v>#NUM!</v>
      </c>
    </row>
    <row r="1200" spans="1:11">
      <c r="A1200" s="483">
        <f t="shared" si="105"/>
        <v>1194</v>
      </c>
      <c r="B1200" s="72"/>
      <c r="C1200" s="73"/>
      <c r="D1200" s="74"/>
      <c r="E1200" s="658" t="s">
        <v>161</v>
      </c>
      <c r="F1200" s="75"/>
      <c r="G1200" s="201"/>
      <c r="H1200" s="828">
        <f t="shared" si="106"/>
        <v>0</v>
      </c>
      <c r="I1200" s="1" t="e">
        <f t="shared" si="107"/>
        <v>#NUM!</v>
      </c>
      <c r="J1200" s="1" t="e">
        <f t="shared" si="108"/>
        <v>#NUM!</v>
      </c>
      <c r="K1200" s="1" t="e">
        <f t="shared" si="109"/>
        <v>#NUM!</v>
      </c>
    </row>
    <row r="1201" spans="1:11">
      <c r="A1201" s="483">
        <f t="shared" si="105"/>
        <v>1195</v>
      </c>
      <c r="B1201" s="72"/>
      <c r="C1201" s="73"/>
      <c r="D1201" s="74"/>
      <c r="E1201" s="658" t="s">
        <v>161</v>
      </c>
      <c r="F1201" s="75"/>
      <c r="G1201" s="201"/>
      <c r="H1201" s="828">
        <f t="shared" si="106"/>
        <v>0</v>
      </c>
      <c r="I1201" s="1" t="e">
        <f t="shared" si="107"/>
        <v>#NUM!</v>
      </c>
      <c r="J1201" s="1" t="e">
        <f t="shared" si="108"/>
        <v>#NUM!</v>
      </c>
      <c r="K1201" s="1" t="e">
        <f t="shared" si="109"/>
        <v>#NUM!</v>
      </c>
    </row>
  </sheetData>
  <customSheetViews>
    <customSheetView guid="{CFA9FB8A-52FF-44B9-AE70-27339693E196}" scale="90" topLeftCell="G1">
      <pane ySplit="6" topLeftCell="A7" activePane="bottomLeft" state="frozen"/>
      <selection pane="bottomLeft" activeCell="P7" sqref="P7"/>
      <pageMargins left="0.75" right="0.75" top="1" bottom="1" header="0.5" footer="0.5"/>
      <pageSetup orientation="portrait" r:id="rId1"/>
      <headerFooter alignWithMargins="0"/>
    </customSheetView>
  </customSheetViews>
  <mergeCells count="1">
    <mergeCell ref="A1:H3"/>
  </mergeCells>
  <phoneticPr fontId="18" type="noConversion"/>
  <dataValidations count="2">
    <dataValidation type="list" allowBlank="1" showInputMessage="1" showErrorMessage="1" sqref="D658:D724 D726:D1201">
      <formula1>counties</formula1>
    </dataValidation>
    <dataValidation type="list" allowBlank="1" showInputMessage="1" showErrorMessage="1" sqref="E681:E687">
      <formula1>rating</formula1>
    </dataValidation>
  </dataValidations>
  <printOptions horizontalCentered="1"/>
  <pageMargins left="0.75" right="0.75" top="1.25" bottom="0.5" header="0.5" footer="0"/>
  <pageSetup scale="74" fitToHeight="34" orientation="landscape" r:id="rId2"/>
  <headerFooter scaleWithDoc="0">
    <oddFoote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pane ySplit="11" topLeftCell="A998" activePane="bottomLeft" state="frozen"/>
      <selection pane="bottomLeft" activeCell="E4" sqref="E4"/>
    </sheetView>
  </sheetViews>
  <sheetFormatPr defaultRowHeight="15"/>
  <cols>
    <col min="5" max="5" width="8.109375" customWidth="1"/>
    <col min="11" max="11" width="7.88671875" bestFit="1" customWidth="1"/>
  </cols>
  <sheetData>
    <row r="1" spans="1:16" ht="30" customHeight="1" thickTop="1" thickBot="1">
      <c r="A1" s="1185" t="s">
        <v>1163</v>
      </c>
      <c r="B1" s="1186"/>
      <c r="C1" s="1186"/>
      <c r="D1" s="1186"/>
      <c r="E1" s="1186"/>
      <c r="F1" s="1186"/>
      <c r="G1" s="1186"/>
      <c r="H1" s="1186"/>
      <c r="I1" s="1187"/>
    </row>
    <row r="2" spans="1:16" ht="16.5" thickTop="1">
      <c r="A2" s="749"/>
      <c r="C2" s="4" t="s">
        <v>183</v>
      </c>
      <c r="D2" s="4" t="s">
        <v>184</v>
      </c>
      <c r="E2" s="4" t="s">
        <v>540</v>
      </c>
      <c r="I2" s="750"/>
    </row>
    <row r="3" spans="1:16">
      <c r="A3" s="749"/>
      <c r="B3" s="27" t="s">
        <v>947</v>
      </c>
      <c r="C3" s="27">
        <f>COUNT(G12:G1000)</f>
        <v>807</v>
      </c>
      <c r="D3" s="27">
        <f>COUNT(H12:H1000)</f>
        <v>807</v>
      </c>
      <c r="E3" s="27">
        <f>COUNT(I12:I1000)</f>
        <v>807</v>
      </c>
      <c r="I3" s="750"/>
    </row>
    <row r="4" spans="1:16">
      <c r="A4" s="749"/>
      <c r="B4" s="27">
        <v>0.05</v>
      </c>
      <c r="C4" s="671">
        <f>EXP(INDEX(G12:G818,C3*$B$4)+(INDEX(G12:G818,C3*$B$4+1)-INDEX(G12:G818,C3*$B$4))*(C3*$B$4-INT(C3*$B$4)))</f>
        <v>10.000000000000002</v>
      </c>
      <c r="D4" s="671">
        <f>EXP(INDEX(H12:H818,D3*$B$4)+(INDEX(H12:H818,D3*$B$4+1)-INDEX(H12:H818,D3*$B$4))*(D3*$B$4-INT(D3*$B$4)))</f>
        <v>0.10000000000000002</v>
      </c>
      <c r="E4" s="671">
        <f>EXP(INDEX(I12:I818,E3*$B$4)+(INDEX(I12:I818,E3*$B$4+1)-INDEX(I12:I818,E3*$B$4))*(E3*$B$4-INT(E3*$B$4)))</f>
        <v>5.6818181818181826E-4</v>
      </c>
      <c r="I4" s="750"/>
    </row>
    <row r="5" spans="1:16">
      <c r="A5" s="749"/>
      <c r="B5" s="27" t="s">
        <v>948</v>
      </c>
      <c r="C5" s="671">
        <f>EXP(MODE(G12:G818))</f>
        <v>49.999999999999993</v>
      </c>
      <c r="D5" s="671">
        <f>EXP(MODE(H12:H818))</f>
        <v>0.10000000000000002</v>
      </c>
      <c r="E5" s="671">
        <f>EXP(MODE(I12:I818))</f>
        <v>1.4204545454545457E-3</v>
      </c>
      <c r="I5" s="750"/>
    </row>
    <row r="6" spans="1:16">
      <c r="A6" s="749"/>
      <c r="B6" s="27" t="s">
        <v>949</v>
      </c>
      <c r="C6" s="671">
        <f>EXP(MEDIAN(G12:G818))</f>
        <v>33</v>
      </c>
      <c r="D6" s="671">
        <f>EXP(MEDIAN(H12:H818))</f>
        <v>0.5</v>
      </c>
      <c r="E6" s="671">
        <f>EXP(MEDIAN(I12:I818))</f>
        <v>8.5227272727272704E-3</v>
      </c>
      <c r="I6" s="750"/>
    </row>
    <row r="7" spans="1:16">
      <c r="A7" s="749"/>
      <c r="B7" s="27" t="s">
        <v>950</v>
      </c>
      <c r="C7" s="671">
        <f>EXP(AVERAGE(G12:G818))</f>
        <v>34.833891274791831</v>
      </c>
      <c r="D7" s="671">
        <f>EXP(AVERAGE(H12:H818))</f>
        <v>0.43072303711031279</v>
      </c>
      <c r="E7" s="671">
        <f>EXP(AVERAGE(I12:I818))</f>
        <v>8.9815227984979765E-3</v>
      </c>
      <c r="I7" s="750"/>
    </row>
    <row r="8" spans="1:16">
      <c r="A8" s="749"/>
      <c r="B8" s="27" t="s">
        <v>131</v>
      </c>
      <c r="C8" s="671">
        <f>AVERAGE(B12:B818)</f>
        <v>54.343246592317222</v>
      </c>
      <c r="D8" s="671">
        <f>AVERAGE(C12:C818)</f>
        <v>1.0954522924411396</v>
      </c>
      <c r="E8" s="671">
        <f>AVERAGE(D12:D818)</f>
        <v>7.0057663061845243E-2</v>
      </c>
      <c r="I8" s="750"/>
    </row>
    <row r="9" spans="1:16">
      <c r="A9" s="749"/>
      <c r="B9" s="27">
        <v>0.95</v>
      </c>
      <c r="C9" s="671">
        <f>EXP(INDEX(G12:G818,C3*$B$9)+(INDEX(G12:G818,C3*$B$9+1)-INDEX(G12:G818,C3*$B$9))*(C3*$B$9-INT(C3*$B$9)))</f>
        <v>114.50072852592491</v>
      </c>
      <c r="D9" s="671">
        <f>EXP(INDEX(H12:H818,D3*$B$9)+(INDEX(H12:H818,D3*$B$9+1)-INDEX(H12:H818,D3*$B$9))*(D3*$B$9-INT(D3*$B$9)))</f>
        <v>4.4382915623541148</v>
      </c>
      <c r="E9" s="671">
        <f>EXP(INDEX(I12:I818,E3*$B$9)+(INDEX(I12:I818,E3*$B$9+1)-INDEX(I12:I818,E3*$B$9))*(E3*$B$9-INT(E3*$B$9)))</f>
        <v>0.25115614231015743</v>
      </c>
      <c r="I9" s="750"/>
    </row>
    <row r="10" spans="1:16" ht="15.75" thickBot="1">
      <c r="A10" s="749"/>
      <c r="I10" s="750"/>
    </row>
    <row r="11" spans="1:16" s="7" customFormat="1" ht="17.25" thickTop="1" thickBot="1">
      <c r="A11" s="751" t="s">
        <v>941</v>
      </c>
      <c r="B11" s="751" t="s">
        <v>183</v>
      </c>
      <c r="C11" s="751" t="s">
        <v>184</v>
      </c>
      <c r="D11" s="751" t="s">
        <v>540</v>
      </c>
      <c r="E11" s="752" t="s">
        <v>942</v>
      </c>
      <c r="F11" s="751" t="s">
        <v>943</v>
      </c>
      <c r="G11" s="751" t="s">
        <v>944</v>
      </c>
      <c r="H11" s="751" t="s">
        <v>945</v>
      </c>
      <c r="I11" s="751" t="s">
        <v>946</v>
      </c>
      <c r="J11" s="4"/>
      <c r="K11" s="4"/>
      <c r="O11" s="4"/>
      <c r="P11" s="4"/>
    </row>
    <row r="12" spans="1:16" ht="15.75" thickTop="1">
      <c r="A12" s="27">
        <v>1</v>
      </c>
      <c r="B12" s="1227">
        <v>3</v>
      </c>
      <c r="C12" s="1227">
        <v>0.01</v>
      </c>
      <c r="D12" s="1227">
        <v>8.522727272727272E-5</v>
      </c>
      <c r="E12" s="1227">
        <f>(A12-0.5)/807</f>
        <v>6.1957868649318464E-4</v>
      </c>
      <c r="F12" s="1227">
        <f t="shared" ref="F12:F75" si="0">NORMSINV(E12)</f>
        <v>-3.2297102373667248</v>
      </c>
      <c r="G12" s="1227">
        <f t="shared" ref="G12:G75" si="1">LN(B12)</f>
        <v>1.0986122886681098</v>
      </c>
      <c r="H12" s="1227">
        <f t="shared" ref="H12:H75" si="2">LN(C12)</f>
        <v>-4.6051701859880909</v>
      </c>
      <c r="I12" s="1227">
        <f t="shared" ref="I12:I75" si="3">LN(D12)</f>
        <v>-9.3701890729180786</v>
      </c>
      <c r="J12" s="27"/>
      <c r="O12" s="27"/>
      <c r="P12" s="27"/>
    </row>
    <row r="13" spans="1:16">
      <c r="A13" s="27">
        <v>2</v>
      </c>
      <c r="B13" s="1227">
        <v>3</v>
      </c>
      <c r="C13" s="1227">
        <v>0.01</v>
      </c>
      <c r="D13" s="1227">
        <v>1.1363636363636364E-4</v>
      </c>
      <c r="E13" s="1227">
        <f t="shared" ref="E13:E76" si="4">(A13-0.5)/807</f>
        <v>1.8587360594795538E-3</v>
      </c>
      <c r="F13" s="1227">
        <f t="shared" si="0"/>
        <v>-2.9011910009329664</v>
      </c>
      <c r="G13" s="1227">
        <f t="shared" si="1"/>
        <v>1.0986122886681098</v>
      </c>
      <c r="H13" s="1227">
        <f t="shared" si="2"/>
        <v>-4.6051701859880909</v>
      </c>
      <c r="I13" s="1227">
        <f t="shared" si="3"/>
        <v>-9.0825070004662987</v>
      </c>
      <c r="J13" s="27"/>
      <c r="O13" s="27"/>
      <c r="P13" s="27"/>
    </row>
    <row r="14" spans="1:16">
      <c r="A14" s="27">
        <v>3</v>
      </c>
      <c r="B14" s="1227">
        <v>3</v>
      </c>
      <c r="C14" s="1227">
        <v>0.01</v>
      </c>
      <c r="D14" s="1227">
        <v>1.7045454545454547E-4</v>
      </c>
      <c r="E14" s="1227">
        <f t="shared" si="4"/>
        <v>3.0978934324659233E-3</v>
      </c>
      <c r="F14" s="1227">
        <f t="shared" si="0"/>
        <v>-2.7372357806755607</v>
      </c>
      <c r="G14" s="1227">
        <f t="shared" si="1"/>
        <v>1.0986122886681098</v>
      </c>
      <c r="H14" s="1227">
        <f t="shared" si="2"/>
        <v>-4.6051701859880909</v>
      </c>
      <c r="I14" s="1227">
        <f t="shared" si="3"/>
        <v>-8.6770418923581332</v>
      </c>
      <c r="J14" s="27"/>
      <c r="O14" s="27"/>
      <c r="P14" s="27"/>
    </row>
    <row r="15" spans="1:16">
      <c r="A15" s="27">
        <v>4</v>
      </c>
      <c r="B15" s="1227">
        <v>3</v>
      </c>
      <c r="C15" s="1227">
        <v>0.02</v>
      </c>
      <c r="D15" s="1227">
        <v>1.7045454545454547E-4</v>
      </c>
      <c r="E15" s="1227">
        <f t="shared" si="4"/>
        <v>4.3370508054522928E-3</v>
      </c>
      <c r="F15" s="1227">
        <f t="shared" si="0"/>
        <v>-2.6246384632745574</v>
      </c>
      <c r="G15" s="1227">
        <f t="shared" si="1"/>
        <v>1.0986122886681098</v>
      </c>
      <c r="H15" s="1227">
        <f t="shared" si="2"/>
        <v>-3.912023005428146</v>
      </c>
      <c r="I15" s="1227">
        <f t="shared" si="3"/>
        <v>-8.6770418923581332</v>
      </c>
      <c r="J15" s="27"/>
      <c r="O15" s="27"/>
      <c r="P15" s="27"/>
    </row>
    <row r="16" spans="1:16">
      <c r="A16" s="27">
        <v>5</v>
      </c>
      <c r="B16" s="1227">
        <v>3</v>
      </c>
      <c r="C16" s="1227">
        <v>0.03</v>
      </c>
      <c r="D16" s="1227">
        <v>1.7045454545454547E-4</v>
      </c>
      <c r="E16" s="1227">
        <f t="shared" si="4"/>
        <v>5.5762081784386614E-3</v>
      </c>
      <c r="F16" s="1227">
        <f t="shared" si="0"/>
        <v>-2.5378864473628475</v>
      </c>
      <c r="G16" s="1227">
        <f t="shared" si="1"/>
        <v>1.0986122886681098</v>
      </c>
      <c r="H16" s="1227">
        <f t="shared" si="2"/>
        <v>-3.5065578973199818</v>
      </c>
      <c r="I16" s="1227">
        <f t="shared" si="3"/>
        <v>-8.6770418923581332</v>
      </c>
      <c r="J16" s="27"/>
      <c r="O16" s="27"/>
      <c r="P16" s="27"/>
    </row>
    <row r="17" spans="1:16">
      <c r="A17" s="27">
        <v>6</v>
      </c>
      <c r="B17" s="1227">
        <v>3</v>
      </c>
      <c r="C17" s="1227">
        <v>0.04</v>
      </c>
      <c r="D17" s="1227">
        <v>1.7045454545454547E-4</v>
      </c>
      <c r="E17" s="1227">
        <f t="shared" si="4"/>
        <v>6.8153655514250309E-3</v>
      </c>
      <c r="F17" s="1227">
        <f t="shared" si="0"/>
        <v>-2.466850349828011</v>
      </c>
      <c r="G17" s="1227">
        <f t="shared" si="1"/>
        <v>1.0986122886681098</v>
      </c>
      <c r="H17" s="1227">
        <f t="shared" si="2"/>
        <v>-3.2188758248682006</v>
      </c>
      <c r="I17" s="1227">
        <f t="shared" si="3"/>
        <v>-8.6770418923581332</v>
      </c>
      <c r="J17" s="27"/>
      <c r="O17" s="27"/>
      <c r="P17" s="27"/>
    </row>
    <row r="18" spans="1:16">
      <c r="A18" s="27">
        <v>7</v>
      </c>
      <c r="B18" s="1227">
        <v>3</v>
      </c>
      <c r="C18" s="1227">
        <v>0.04</v>
      </c>
      <c r="D18" s="1227">
        <v>1.7045454545454547E-4</v>
      </c>
      <c r="E18" s="1227">
        <f t="shared" si="4"/>
        <v>8.0545229244113996E-3</v>
      </c>
      <c r="F18" s="1227">
        <f t="shared" si="0"/>
        <v>-2.406435557000667</v>
      </c>
      <c r="G18" s="1227">
        <f t="shared" si="1"/>
        <v>1.0986122886681098</v>
      </c>
      <c r="H18" s="1227">
        <f t="shared" si="2"/>
        <v>-3.2188758248682006</v>
      </c>
      <c r="I18" s="1227">
        <f t="shared" si="3"/>
        <v>-8.6770418923581332</v>
      </c>
      <c r="J18" s="27"/>
      <c r="O18" s="27"/>
      <c r="P18" s="27"/>
    </row>
    <row r="19" spans="1:16">
      <c r="A19" s="27">
        <v>8</v>
      </c>
      <c r="B19" s="1227">
        <v>3</v>
      </c>
      <c r="C19" s="1227">
        <v>0.04</v>
      </c>
      <c r="D19" s="1227">
        <v>1.7045454545454547E-4</v>
      </c>
      <c r="E19" s="1227">
        <f t="shared" si="4"/>
        <v>9.2936802973977699E-3</v>
      </c>
      <c r="F19" s="1227">
        <f t="shared" si="0"/>
        <v>-2.3537049007249542</v>
      </c>
      <c r="G19" s="1227">
        <f t="shared" si="1"/>
        <v>1.0986122886681098</v>
      </c>
      <c r="H19" s="1227">
        <f t="shared" si="2"/>
        <v>-3.2188758248682006</v>
      </c>
      <c r="I19" s="1227">
        <f t="shared" si="3"/>
        <v>-8.6770418923581332</v>
      </c>
      <c r="J19" s="27"/>
      <c r="O19" s="27"/>
      <c r="P19" s="27"/>
    </row>
    <row r="20" spans="1:16">
      <c r="A20" s="27">
        <v>9</v>
      </c>
      <c r="B20" s="1227">
        <v>5</v>
      </c>
      <c r="C20" s="1227">
        <v>0.05</v>
      </c>
      <c r="D20" s="1227">
        <v>1.7045454545454547E-4</v>
      </c>
      <c r="E20" s="1227">
        <f t="shared" si="4"/>
        <v>1.0532837670384139E-2</v>
      </c>
      <c r="F20" s="1227">
        <f t="shared" si="0"/>
        <v>-2.3068053236275246</v>
      </c>
      <c r="G20" s="1227">
        <f t="shared" si="1"/>
        <v>1.6094379124341003</v>
      </c>
      <c r="H20" s="1227">
        <f t="shared" si="2"/>
        <v>-2.9957322735539909</v>
      </c>
      <c r="I20" s="1227">
        <f t="shared" si="3"/>
        <v>-8.6770418923581332</v>
      </c>
      <c r="J20" s="27"/>
      <c r="K20" s="27"/>
      <c r="N20" s="27"/>
      <c r="O20" s="27"/>
      <c r="P20" s="27"/>
    </row>
    <row r="21" spans="1:16">
      <c r="A21" s="27">
        <v>10</v>
      </c>
      <c r="B21" s="1227">
        <v>7</v>
      </c>
      <c r="C21" s="1233">
        <v>0.06</v>
      </c>
      <c r="D21" s="1227">
        <v>1.7045454545454547E-4</v>
      </c>
      <c r="E21" s="1227">
        <f t="shared" si="4"/>
        <v>1.1771995043370507E-2</v>
      </c>
      <c r="F21" s="1227">
        <f t="shared" si="0"/>
        <v>-2.2644900655881872</v>
      </c>
      <c r="G21" s="1227">
        <f t="shared" si="1"/>
        <v>1.9459101490553132</v>
      </c>
      <c r="H21" s="1227">
        <f t="shared" si="2"/>
        <v>-2.8134107167600364</v>
      </c>
      <c r="I21" s="1227">
        <f t="shared" si="3"/>
        <v>-8.6770418923581332</v>
      </c>
      <c r="J21" s="27"/>
      <c r="N21" s="27"/>
      <c r="O21" s="27"/>
      <c r="P21" s="27"/>
    </row>
    <row r="22" spans="1:16">
      <c r="A22" s="27">
        <v>11</v>
      </c>
      <c r="B22" s="1227">
        <v>7</v>
      </c>
      <c r="C22" s="1234">
        <v>0.06</v>
      </c>
      <c r="D22" s="1227">
        <v>2.8409090909090908E-4</v>
      </c>
      <c r="E22" s="1227">
        <f t="shared" si="4"/>
        <v>1.3011152416356878E-2</v>
      </c>
      <c r="F22" s="1227">
        <f t="shared" si="0"/>
        <v>-2.2258787390295107</v>
      </c>
      <c r="G22" s="1227">
        <f t="shared" si="1"/>
        <v>1.9459101490553132</v>
      </c>
      <c r="H22" s="1227">
        <f t="shared" si="2"/>
        <v>-2.8134107167600364</v>
      </c>
      <c r="I22" s="1227">
        <f t="shared" si="3"/>
        <v>-8.1662162685921427</v>
      </c>
      <c r="J22" s="27"/>
      <c r="N22" s="27"/>
      <c r="O22" s="27"/>
      <c r="P22" s="27"/>
    </row>
    <row r="23" spans="1:16">
      <c r="A23" s="27">
        <v>12</v>
      </c>
      <c r="B23" s="1227">
        <v>7</v>
      </c>
      <c r="C23" s="1234">
        <v>0.06</v>
      </c>
      <c r="D23" s="1227">
        <v>2.8409090909090908E-4</v>
      </c>
      <c r="E23" s="1227">
        <f t="shared" si="4"/>
        <v>1.4250309789343246E-2</v>
      </c>
      <c r="F23" s="1227">
        <f t="shared" si="0"/>
        <v>-2.1903257646302365</v>
      </c>
      <c r="G23" s="1227">
        <f t="shared" si="1"/>
        <v>1.9459101490553132</v>
      </c>
      <c r="H23" s="1227">
        <f t="shared" si="2"/>
        <v>-2.8134107167600364</v>
      </c>
      <c r="I23" s="1227">
        <f t="shared" si="3"/>
        <v>-8.1662162685921427</v>
      </c>
      <c r="J23" s="27"/>
      <c r="N23" s="27"/>
      <c r="O23" s="27"/>
      <c r="P23" s="27"/>
    </row>
    <row r="24" spans="1:16">
      <c r="A24" s="27">
        <v>13</v>
      </c>
      <c r="B24" s="1227">
        <v>7</v>
      </c>
      <c r="C24" s="1227">
        <v>0.06</v>
      </c>
      <c r="D24" s="1227">
        <v>2.8409090909090913E-4</v>
      </c>
      <c r="E24" s="1227">
        <f t="shared" si="4"/>
        <v>1.5489467162329617E-2</v>
      </c>
      <c r="F24" s="1227">
        <f t="shared" si="0"/>
        <v>-2.157343187508133</v>
      </c>
      <c r="G24" s="1227">
        <f t="shared" si="1"/>
        <v>1.9459101490553132</v>
      </c>
      <c r="H24" s="1227">
        <f t="shared" si="2"/>
        <v>-2.8134107167600364</v>
      </c>
      <c r="I24" s="1227">
        <f t="shared" si="3"/>
        <v>-8.1662162685921427</v>
      </c>
      <c r="J24" s="27"/>
      <c r="M24" s="27"/>
      <c r="N24" s="27"/>
      <c r="O24" s="27"/>
      <c r="P24" s="27"/>
    </row>
    <row r="25" spans="1:16">
      <c r="A25" s="27">
        <v>14</v>
      </c>
      <c r="B25" s="1227">
        <v>7</v>
      </c>
      <c r="C25" s="1227">
        <v>7.0000000000000007E-2</v>
      </c>
      <c r="D25" s="1228">
        <v>3.4090909090909088E-4</v>
      </c>
      <c r="E25" s="1227">
        <f t="shared" si="4"/>
        <v>1.6728624535315983E-2</v>
      </c>
      <c r="F25" s="1227">
        <f t="shared" si="0"/>
        <v>-2.1265529048537464</v>
      </c>
      <c r="G25" s="1227">
        <f t="shared" si="1"/>
        <v>1.9459101490553132</v>
      </c>
      <c r="H25" s="1227">
        <f t="shared" si="2"/>
        <v>-2.6592600369327779</v>
      </c>
      <c r="I25" s="1227">
        <f t="shared" si="3"/>
        <v>-7.9838947117981887</v>
      </c>
      <c r="J25" s="27"/>
      <c r="M25" s="27"/>
      <c r="N25" s="27"/>
      <c r="O25" s="27"/>
      <c r="P25" s="27"/>
    </row>
    <row r="26" spans="1:16">
      <c r="A26" s="27">
        <v>15</v>
      </c>
      <c r="B26" s="1227">
        <v>7</v>
      </c>
      <c r="C26" s="1233">
        <v>0.09</v>
      </c>
      <c r="D26" s="1227">
        <v>3.4090909090909088E-4</v>
      </c>
      <c r="E26" s="1227">
        <f t="shared" si="4"/>
        <v>1.7967781908302356E-2</v>
      </c>
      <c r="F26" s="1227">
        <f t="shared" si="0"/>
        <v>-2.0976557798505122</v>
      </c>
      <c r="G26" s="1227">
        <f t="shared" si="1"/>
        <v>1.9459101490553132</v>
      </c>
      <c r="H26" s="1227">
        <f t="shared" si="2"/>
        <v>-2.4079456086518722</v>
      </c>
      <c r="I26" s="1227">
        <f t="shared" si="3"/>
        <v>-7.9838947117981887</v>
      </c>
      <c r="J26" s="27"/>
      <c r="M26" s="27"/>
      <c r="N26" s="27"/>
      <c r="O26" s="27"/>
      <c r="P26" s="27"/>
    </row>
    <row r="27" spans="1:16">
      <c r="A27" s="27">
        <v>16</v>
      </c>
      <c r="B27" s="1227">
        <v>10</v>
      </c>
      <c r="C27" s="1233">
        <v>0.09</v>
      </c>
      <c r="D27" s="1227">
        <v>3.9772727272727269E-4</v>
      </c>
      <c r="E27" s="1227">
        <f t="shared" si="4"/>
        <v>1.9206939281288724E-2</v>
      </c>
      <c r="F27" s="1227">
        <f t="shared" si="0"/>
        <v>-2.0704109364617698</v>
      </c>
      <c r="G27" s="1227">
        <f t="shared" si="1"/>
        <v>2.3025850929940459</v>
      </c>
      <c r="H27" s="1227">
        <f t="shared" si="2"/>
        <v>-2.4079456086518722</v>
      </c>
      <c r="I27" s="1227">
        <f t="shared" si="3"/>
        <v>-7.8297440319709297</v>
      </c>
      <c r="J27" s="27"/>
      <c r="M27" s="27"/>
      <c r="N27" s="27"/>
      <c r="O27" s="27"/>
      <c r="P27" s="27"/>
    </row>
    <row r="28" spans="1:16">
      <c r="A28" s="27">
        <v>17</v>
      </c>
      <c r="B28" s="1227">
        <v>10</v>
      </c>
      <c r="C28" s="1233">
        <v>0.09</v>
      </c>
      <c r="D28" s="1227">
        <v>3.9772727272727269E-4</v>
      </c>
      <c r="E28" s="1227">
        <f t="shared" si="4"/>
        <v>2.0446096654275093E-2</v>
      </c>
      <c r="F28" s="1227">
        <f t="shared" si="0"/>
        <v>-2.0446214479968488</v>
      </c>
      <c r="G28" s="1227">
        <f t="shared" si="1"/>
        <v>2.3025850929940459</v>
      </c>
      <c r="H28" s="1227">
        <f t="shared" si="2"/>
        <v>-2.4079456086518722</v>
      </c>
      <c r="I28" s="1227">
        <f t="shared" si="3"/>
        <v>-7.8297440319709297</v>
      </c>
      <c r="J28" s="27"/>
      <c r="M28" s="27"/>
      <c r="N28" s="27"/>
      <c r="O28" s="27"/>
      <c r="P28" s="27"/>
    </row>
    <row r="29" spans="1:16">
      <c r="A29" s="27">
        <v>18</v>
      </c>
      <c r="B29" s="1227">
        <v>10</v>
      </c>
      <c r="C29" s="1227">
        <v>0.09</v>
      </c>
      <c r="D29" s="1227">
        <v>4.5454545454545455E-4</v>
      </c>
      <c r="E29" s="1227">
        <f t="shared" si="4"/>
        <v>2.1685254027261461E-2</v>
      </c>
      <c r="F29" s="1227">
        <f t="shared" si="0"/>
        <v>-2.0201241824908265</v>
      </c>
      <c r="G29" s="1227">
        <f t="shared" si="1"/>
        <v>2.3025850929940459</v>
      </c>
      <c r="H29" s="1227">
        <f t="shared" si="2"/>
        <v>-2.4079456086518722</v>
      </c>
      <c r="I29" s="1227">
        <f t="shared" si="3"/>
        <v>-7.696212639346407</v>
      </c>
      <c r="J29" s="27"/>
      <c r="M29" s="27"/>
      <c r="N29" s="27"/>
      <c r="O29" s="27"/>
      <c r="P29" s="27"/>
    </row>
    <row r="30" spans="1:16">
      <c r="A30" s="27">
        <v>19</v>
      </c>
      <c r="B30" s="1227">
        <v>10</v>
      </c>
      <c r="C30" s="1227">
        <v>0.1</v>
      </c>
      <c r="D30" s="1227">
        <v>5.113636363636364E-4</v>
      </c>
      <c r="E30" s="1227">
        <f t="shared" si="4"/>
        <v>2.292441140024783E-2</v>
      </c>
      <c r="F30" s="1227">
        <f t="shared" si="0"/>
        <v>-1.9967824321552781</v>
      </c>
      <c r="G30" s="1227">
        <f t="shared" si="1"/>
        <v>2.3025850929940459</v>
      </c>
      <c r="H30" s="1227">
        <f t="shared" si="2"/>
        <v>-2.3025850929940455</v>
      </c>
      <c r="I30" s="1227">
        <f t="shared" si="3"/>
        <v>-7.5784296036900241</v>
      </c>
      <c r="J30" s="27"/>
      <c r="M30" s="27"/>
      <c r="N30" s="27"/>
      <c r="O30" s="27"/>
      <c r="P30" s="27"/>
    </row>
    <row r="31" spans="1:16">
      <c r="A31" s="27">
        <v>20</v>
      </c>
      <c r="B31" s="1227">
        <v>10</v>
      </c>
      <c r="C31" s="1227">
        <v>0.1</v>
      </c>
      <c r="D31" s="1227">
        <v>5.6818181818181815E-4</v>
      </c>
      <c r="E31" s="1227">
        <f t="shared" si="4"/>
        <v>2.4163568773234202E-2</v>
      </c>
      <c r="F31" s="1227">
        <f t="shared" si="0"/>
        <v>-1.9744804563168559</v>
      </c>
      <c r="G31" s="1227">
        <f t="shared" si="1"/>
        <v>2.3025850929940459</v>
      </c>
      <c r="H31" s="1227">
        <f t="shared" si="2"/>
        <v>-2.3025850929940455</v>
      </c>
      <c r="I31" s="1227">
        <f t="shared" si="3"/>
        <v>-7.4730690880321973</v>
      </c>
      <c r="J31" s="27"/>
    </row>
    <row r="32" spans="1:16">
      <c r="A32" s="27">
        <v>21</v>
      </c>
      <c r="B32" s="1227">
        <v>10</v>
      </c>
      <c r="C32" s="1227">
        <v>0.1</v>
      </c>
      <c r="D32" s="1227">
        <v>5.6818181818181826E-4</v>
      </c>
      <c r="E32" s="1227">
        <f t="shared" si="4"/>
        <v>2.5402726146220571E-2</v>
      </c>
      <c r="F32" s="1227">
        <f t="shared" si="0"/>
        <v>-1.953119369661714</v>
      </c>
      <c r="G32" s="1227">
        <f t="shared" si="1"/>
        <v>2.3025850929940459</v>
      </c>
      <c r="H32" s="1227">
        <f t="shared" si="2"/>
        <v>-2.3025850929940455</v>
      </c>
      <c r="I32" s="1227">
        <f t="shared" si="3"/>
        <v>-7.4730690880321973</v>
      </c>
      <c r="J32" s="27"/>
      <c r="M32" s="125"/>
    </row>
    <row r="33" spans="1:16">
      <c r="A33" s="27">
        <v>22</v>
      </c>
      <c r="B33" s="1227">
        <v>10</v>
      </c>
      <c r="C33" s="1227">
        <v>0.1</v>
      </c>
      <c r="D33" s="1227">
        <v>5.6818181818181826E-4</v>
      </c>
      <c r="E33" s="1227">
        <f t="shared" si="4"/>
        <v>2.6641883519206939E-2</v>
      </c>
      <c r="F33" s="1227">
        <f t="shared" si="0"/>
        <v>-1.9326139954890176</v>
      </c>
      <c r="G33" s="1227">
        <f t="shared" si="1"/>
        <v>2.3025850929940459</v>
      </c>
      <c r="H33" s="1227">
        <f t="shared" si="2"/>
        <v>-2.3025850929940455</v>
      </c>
      <c r="I33" s="1227">
        <f t="shared" si="3"/>
        <v>-7.4730690880321973</v>
      </c>
      <c r="J33" s="27"/>
    </row>
    <row r="34" spans="1:16">
      <c r="A34" s="27">
        <v>23</v>
      </c>
      <c r="B34" s="1227">
        <v>10</v>
      </c>
      <c r="C34" s="1227">
        <v>0.1</v>
      </c>
      <c r="D34" s="1227">
        <v>5.6818181818181826E-4</v>
      </c>
      <c r="E34" s="1227">
        <f t="shared" si="4"/>
        <v>2.7881040892193308E-2</v>
      </c>
      <c r="F34" s="1227">
        <f t="shared" si="0"/>
        <v>-1.9128904236723956</v>
      </c>
      <c r="G34" s="1227">
        <f t="shared" si="1"/>
        <v>2.3025850929940459</v>
      </c>
      <c r="H34" s="1227">
        <f t="shared" si="2"/>
        <v>-2.3025850929940455</v>
      </c>
      <c r="I34" s="1227">
        <f t="shared" si="3"/>
        <v>-7.4730690880321973</v>
      </c>
      <c r="J34" s="27"/>
      <c r="K34" s="27"/>
      <c r="N34" s="27"/>
      <c r="O34" s="27"/>
      <c r="P34" s="27"/>
    </row>
    <row r="35" spans="1:16">
      <c r="A35" s="27">
        <v>24</v>
      </c>
      <c r="B35" s="1227">
        <v>10</v>
      </c>
      <c r="C35" s="1227">
        <v>0.1</v>
      </c>
      <c r="D35" s="1227">
        <v>5.6818181818181826E-4</v>
      </c>
      <c r="E35" s="1227">
        <f t="shared" si="4"/>
        <v>2.9120198265179677E-2</v>
      </c>
      <c r="F35" s="1227">
        <f t="shared" si="0"/>
        <v>-1.8938840915645971</v>
      </c>
      <c r="G35" s="1227">
        <f t="shared" si="1"/>
        <v>2.3025850929940459</v>
      </c>
      <c r="H35" s="1227">
        <f t="shared" si="2"/>
        <v>-2.3025850929940455</v>
      </c>
      <c r="I35" s="1227">
        <f t="shared" si="3"/>
        <v>-7.4730690880321973</v>
      </c>
      <c r="J35" s="27"/>
      <c r="K35" s="27"/>
      <c r="N35" s="27"/>
      <c r="O35" s="27"/>
      <c r="P35" s="27"/>
    </row>
    <row r="36" spans="1:16">
      <c r="A36" s="27">
        <v>25</v>
      </c>
      <c r="B36" s="1227">
        <v>10</v>
      </c>
      <c r="C36" s="1227">
        <v>0.1</v>
      </c>
      <c r="D36" s="1227">
        <v>5.6818181818181826E-4</v>
      </c>
      <c r="E36" s="1227">
        <f t="shared" si="4"/>
        <v>3.0359355638166045E-2</v>
      </c>
      <c r="F36" s="1227">
        <f t="shared" si="0"/>
        <v>-1.8755382586208733</v>
      </c>
      <c r="G36" s="1227">
        <f t="shared" si="1"/>
        <v>2.3025850929940459</v>
      </c>
      <c r="H36" s="1227">
        <f t="shared" si="2"/>
        <v>-2.3025850929940455</v>
      </c>
      <c r="I36" s="1227">
        <f t="shared" si="3"/>
        <v>-7.4730690880321973</v>
      </c>
      <c r="J36" s="27"/>
      <c r="K36" s="27"/>
      <c r="N36" s="27"/>
      <c r="O36" s="27"/>
      <c r="P36" s="27"/>
    </row>
    <row r="37" spans="1:16">
      <c r="A37" s="27">
        <v>26</v>
      </c>
      <c r="B37" s="1227">
        <v>10</v>
      </c>
      <c r="C37" s="1227">
        <v>0.1</v>
      </c>
      <c r="D37" s="1227">
        <v>5.6818181818181826E-4</v>
      </c>
      <c r="E37" s="1227">
        <f t="shared" si="4"/>
        <v>3.1598513011152414E-2</v>
      </c>
      <c r="F37" s="1227">
        <f t="shared" si="0"/>
        <v>-1.8578027813659423</v>
      </c>
      <c r="G37" s="1227">
        <f t="shared" si="1"/>
        <v>2.3025850929940459</v>
      </c>
      <c r="H37" s="1227">
        <f t="shared" si="2"/>
        <v>-2.3025850929940455</v>
      </c>
      <c r="I37" s="1227">
        <f t="shared" si="3"/>
        <v>-7.4730690880321973</v>
      </c>
      <c r="J37" s="27"/>
      <c r="K37" s="27"/>
      <c r="N37" s="27"/>
      <c r="O37" s="27"/>
      <c r="P37" s="27"/>
    </row>
    <row r="38" spans="1:16">
      <c r="A38" s="27">
        <v>27</v>
      </c>
      <c r="B38" s="1227">
        <v>10</v>
      </c>
      <c r="C38" s="1227">
        <v>0.1</v>
      </c>
      <c r="D38" s="1227">
        <v>5.6818181818181826E-4</v>
      </c>
      <c r="E38" s="1227">
        <f t="shared" si="4"/>
        <v>3.2837670384138783E-2</v>
      </c>
      <c r="F38" s="1227">
        <f t="shared" si="0"/>
        <v>-1.8406331202309791</v>
      </c>
      <c r="G38" s="1227">
        <f t="shared" si="1"/>
        <v>2.3025850929940459</v>
      </c>
      <c r="H38" s="1227">
        <f t="shared" si="2"/>
        <v>-2.3025850929940455</v>
      </c>
      <c r="I38" s="1227">
        <f t="shared" si="3"/>
        <v>-7.4730690880321973</v>
      </c>
      <c r="J38" s="27"/>
      <c r="K38" s="27"/>
      <c r="N38" s="27"/>
      <c r="O38" s="27"/>
      <c r="P38" s="27"/>
    </row>
    <row r="39" spans="1:16">
      <c r="A39" s="27">
        <v>28</v>
      </c>
      <c r="B39" s="1227">
        <v>10</v>
      </c>
      <c r="C39" s="1227">
        <v>0.1</v>
      </c>
      <c r="D39" s="1227">
        <v>5.6818181818181826E-4</v>
      </c>
      <c r="E39" s="1227">
        <f t="shared" si="4"/>
        <v>3.4076827757125158E-2</v>
      </c>
      <c r="F39" s="1227">
        <f t="shared" si="0"/>
        <v>-1.8239895273675018</v>
      </c>
      <c r="G39" s="1227">
        <f t="shared" si="1"/>
        <v>2.3025850929940459</v>
      </c>
      <c r="H39" s="1227">
        <f t="shared" si="2"/>
        <v>-2.3025850929940455</v>
      </c>
      <c r="I39" s="1227">
        <f t="shared" si="3"/>
        <v>-7.4730690880321973</v>
      </c>
      <c r="J39" s="27"/>
      <c r="K39" s="27"/>
      <c r="N39" s="27"/>
      <c r="O39" s="27"/>
      <c r="P39" s="27"/>
    </row>
    <row r="40" spans="1:16">
      <c r="A40" s="27">
        <v>29</v>
      </c>
      <c r="B40" s="1227">
        <v>10</v>
      </c>
      <c r="C40" s="1227">
        <v>0.1</v>
      </c>
      <c r="D40" s="1227">
        <v>5.6818181818181826E-4</v>
      </c>
      <c r="E40" s="1227">
        <f t="shared" si="4"/>
        <v>3.5315985130111527E-2</v>
      </c>
      <c r="F40" s="1227">
        <f t="shared" si="0"/>
        <v>-1.8078363771423687</v>
      </c>
      <c r="G40" s="1227">
        <f t="shared" si="1"/>
        <v>2.3025850929940459</v>
      </c>
      <c r="H40" s="1227">
        <f t="shared" si="2"/>
        <v>-2.3025850929940455</v>
      </c>
      <c r="I40" s="1227">
        <f t="shared" si="3"/>
        <v>-7.4730690880321973</v>
      </c>
      <c r="J40" s="27"/>
      <c r="K40" s="27"/>
      <c r="N40" s="27"/>
      <c r="O40" s="27"/>
      <c r="P40" s="27"/>
    </row>
    <row r="41" spans="1:16">
      <c r="A41" s="27">
        <v>30</v>
      </c>
      <c r="B41" s="1227">
        <v>10</v>
      </c>
      <c r="C41" s="1227">
        <v>0.1</v>
      </c>
      <c r="D41" s="1227">
        <v>5.6818181818181826E-4</v>
      </c>
      <c r="E41" s="1227">
        <f t="shared" si="4"/>
        <v>3.6555142503097895E-2</v>
      </c>
      <c r="F41" s="1227">
        <f t="shared" si="0"/>
        <v>-1.7921416101686585</v>
      </c>
      <c r="G41" s="1227">
        <f t="shared" si="1"/>
        <v>2.3025850929940459</v>
      </c>
      <c r="H41" s="1227">
        <f t="shared" si="2"/>
        <v>-2.3025850929940455</v>
      </c>
      <c r="I41" s="1227">
        <f t="shared" si="3"/>
        <v>-7.4730690880321973</v>
      </c>
      <c r="J41" s="27"/>
      <c r="K41" s="27"/>
      <c r="N41" s="27"/>
      <c r="O41" s="27"/>
      <c r="P41" s="27"/>
    </row>
    <row r="42" spans="1:16">
      <c r="A42" s="27">
        <v>31</v>
      </c>
      <c r="B42" s="1227">
        <v>10</v>
      </c>
      <c r="C42" s="1227">
        <v>0.1</v>
      </c>
      <c r="D42" s="1227">
        <v>5.6818181818181826E-4</v>
      </c>
      <c r="E42" s="1227">
        <f t="shared" si="4"/>
        <v>3.7794299876084264E-2</v>
      </c>
      <c r="F42" s="1227">
        <f t="shared" si="0"/>
        <v>-1.7768762684579023</v>
      </c>
      <c r="G42" s="1227">
        <f t="shared" si="1"/>
        <v>2.3025850929940459</v>
      </c>
      <c r="H42" s="1227">
        <f t="shared" si="2"/>
        <v>-2.3025850929940455</v>
      </c>
      <c r="I42" s="1227">
        <f t="shared" si="3"/>
        <v>-7.4730690880321973</v>
      </c>
      <c r="J42" s="27"/>
      <c r="K42" s="27"/>
      <c r="N42" s="27"/>
      <c r="O42" s="27"/>
      <c r="P42" s="27"/>
    </row>
    <row r="43" spans="1:16">
      <c r="A43" s="27">
        <v>32</v>
      </c>
      <c r="B43" s="1227">
        <v>10</v>
      </c>
      <c r="C43" s="1227">
        <v>0.1</v>
      </c>
      <c r="D43" s="1227">
        <v>5.6818181818181826E-4</v>
      </c>
      <c r="E43" s="1227">
        <f t="shared" si="4"/>
        <v>3.9033457249070633E-2</v>
      </c>
      <c r="F43" s="1227">
        <f t="shared" si="0"/>
        <v>-1.7620141042876334</v>
      </c>
      <c r="G43" s="1227">
        <f t="shared" si="1"/>
        <v>2.3025850929940459</v>
      </c>
      <c r="H43" s="1227">
        <f t="shared" si="2"/>
        <v>-2.3025850929940455</v>
      </c>
      <c r="I43" s="1227">
        <f t="shared" si="3"/>
        <v>-7.4730690880321973</v>
      </c>
      <c r="J43" s="27"/>
      <c r="K43" s="27"/>
      <c r="N43" s="27"/>
      <c r="O43" s="27"/>
      <c r="P43" s="27"/>
    </row>
    <row r="44" spans="1:16">
      <c r="A44" s="27">
        <v>33</v>
      </c>
      <c r="B44" s="1227">
        <v>10</v>
      </c>
      <c r="C44" s="1227">
        <v>0.1</v>
      </c>
      <c r="D44" s="1227">
        <v>5.6818181818181826E-4</v>
      </c>
      <c r="E44" s="1227">
        <f t="shared" si="4"/>
        <v>4.0272614622057001E-2</v>
      </c>
      <c r="F44" s="1227">
        <f t="shared" si="0"/>
        <v>-1.7475312491454524</v>
      </c>
      <c r="G44" s="1227">
        <f t="shared" si="1"/>
        <v>2.3025850929940459</v>
      </c>
      <c r="H44" s="1227">
        <f t="shared" si="2"/>
        <v>-2.3025850929940455</v>
      </c>
      <c r="I44" s="1227">
        <f t="shared" si="3"/>
        <v>-7.4730690880321973</v>
      </c>
      <c r="J44" s="27"/>
      <c r="K44" s="27"/>
      <c r="N44" s="27"/>
      <c r="O44" s="27"/>
      <c r="P44" s="27"/>
    </row>
    <row r="45" spans="1:16">
      <c r="A45" s="27">
        <v>34</v>
      </c>
      <c r="B45" s="1227">
        <v>10</v>
      </c>
      <c r="C45" s="1227">
        <v>0.1</v>
      </c>
      <c r="D45" s="1227">
        <v>5.6818181818181826E-4</v>
      </c>
      <c r="E45" s="1227">
        <f t="shared" si="4"/>
        <v>4.151177199504337E-2</v>
      </c>
      <c r="F45" s="1227">
        <f t="shared" si="0"/>
        <v>-1.7334059319727604</v>
      </c>
      <c r="G45" s="1227">
        <f t="shared" si="1"/>
        <v>2.3025850929940459</v>
      </c>
      <c r="H45" s="1227">
        <f t="shared" si="2"/>
        <v>-2.3025850929940455</v>
      </c>
      <c r="I45" s="1227">
        <f t="shared" si="3"/>
        <v>-7.4730690880321973</v>
      </c>
      <c r="J45" s="27"/>
      <c r="K45" s="27"/>
      <c r="N45" s="27"/>
      <c r="O45" s="27"/>
      <c r="P45" s="27"/>
    </row>
    <row r="46" spans="1:16">
      <c r="A46" s="27">
        <v>35</v>
      </c>
      <c r="B46" s="1227">
        <v>10</v>
      </c>
      <c r="C46" s="1227">
        <v>0.1</v>
      </c>
      <c r="D46" s="1227">
        <v>5.6818181818181826E-4</v>
      </c>
      <c r="E46" s="1227">
        <f t="shared" si="4"/>
        <v>4.2750929368029739E-2</v>
      </c>
      <c r="F46" s="1227">
        <f t="shared" si="0"/>
        <v>-1.7196182381259371</v>
      </c>
      <c r="G46" s="1227">
        <f t="shared" si="1"/>
        <v>2.3025850929940459</v>
      </c>
      <c r="H46" s="1227">
        <f t="shared" si="2"/>
        <v>-2.3025850929940455</v>
      </c>
      <c r="I46" s="1227">
        <f t="shared" si="3"/>
        <v>-7.4730690880321973</v>
      </c>
      <c r="J46" s="27"/>
      <c r="K46" s="27"/>
      <c r="N46" s="27"/>
      <c r="O46" s="27"/>
      <c r="P46" s="27"/>
    </row>
    <row r="47" spans="1:16">
      <c r="A47" s="27">
        <v>36</v>
      </c>
      <c r="B47" s="1227">
        <v>10</v>
      </c>
      <c r="C47" s="1227">
        <v>0.1</v>
      </c>
      <c r="D47" s="1227">
        <v>5.6818181818181826E-4</v>
      </c>
      <c r="E47" s="1227">
        <f t="shared" si="4"/>
        <v>4.3990086741016107E-2</v>
      </c>
      <c r="F47" s="1227">
        <f t="shared" si="0"/>
        <v>-1.706149902170248</v>
      </c>
      <c r="G47" s="1227">
        <f t="shared" si="1"/>
        <v>2.3025850929940459</v>
      </c>
      <c r="H47" s="1227">
        <f t="shared" si="2"/>
        <v>-2.3025850929940455</v>
      </c>
      <c r="I47" s="1227">
        <f t="shared" si="3"/>
        <v>-7.4730690880321973</v>
      </c>
      <c r="J47" s="27"/>
      <c r="K47" s="27"/>
      <c r="N47" s="27"/>
      <c r="O47" s="27"/>
      <c r="P47" s="27"/>
    </row>
    <row r="48" spans="1:16">
      <c r="A48" s="27">
        <v>37</v>
      </c>
      <c r="B48" s="1227">
        <v>10</v>
      </c>
      <c r="C48" s="1227">
        <v>0.1</v>
      </c>
      <c r="D48" s="1227">
        <v>5.6818181818181826E-4</v>
      </c>
      <c r="E48" s="1227">
        <f t="shared" si="4"/>
        <v>4.5229244114002476E-2</v>
      </c>
      <c r="F48" s="1227">
        <f t="shared" si="0"/>
        <v>-1.6929841289455307</v>
      </c>
      <c r="G48" s="1227">
        <f t="shared" si="1"/>
        <v>2.3025850929940459</v>
      </c>
      <c r="H48" s="1227">
        <f t="shared" si="2"/>
        <v>-2.3025850929940455</v>
      </c>
      <c r="I48" s="1227">
        <f t="shared" si="3"/>
        <v>-7.4730690880321973</v>
      </c>
      <c r="J48" s="27"/>
      <c r="K48" s="27"/>
      <c r="N48" s="27"/>
      <c r="O48" s="27"/>
      <c r="P48" s="27"/>
    </row>
    <row r="49" spans="1:16">
      <c r="A49" s="27">
        <v>38</v>
      </c>
      <c r="B49" s="1227">
        <v>10</v>
      </c>
      <c r="C49" s="1227">
        <v>0.1</v>
      </c>
      <c r="D49" s="1227">
        <v>5.6818181818181826E-4</v>
      </c>
      <c r="E49" s="1227">
        <f t="shared" si="4"/>
        <v>4.6468401486988845E-2</v>
      </c>
      <c r="F49" s="1227">
        <f t="shared" si="0"/>
        <v>-1.6801054383829324</v>
      </c>
      <c r="G49" s="1227">
        <f t="shared" si="1"/>
        <v>2.3025850929940459</v>
      </c>
      <c r="H49" s="1227">
        <f t="shared" si="2"/>
        <v>-2.3025850929940455</v>
      </c>
      <c r="I49" s="1227">
        <f t="shared" si="3"/>
        <v>-7.4730690880321973</v>
      </c>
      <c r="J49" s="27"/>
      <c r="K49" s="27"/>
      <c r="N49" s="27"/>
      <c r="O49" s="27"/>
      <c r="P49" s="27"/>
    </row>
    <row r="50" spans="1:16">
      <c r="A50" s="27">
        <v>39</v>
      </c>
      <c r="B50" s="1227">
        <v>10</v>
      </c>
      <c r="C50" s="1227">
        <v>0.1</v>
      </c>
      <c r="D50" s="1227">
        <v>5.6818181818181826E-4</v>
      </c>
      <c r="E50" s="1227">
        <f t="shared" si="4"/>
        <v>4.770755885997522E-2</v>
      </c>
      <c r="F50" s="1227">
        <f t="shared" si="0"/>
        <v>-1.6674995303752358</v>
      </c>
      <c r="G50" s="1227">
        <f t="shared" si="1"/>
        <v>2.3025850929940459</v>
      </c>
      <c r="H50" s="1227">
        <f t="shared" si="2"/>
        <v>-2.3025850929940455</v>
      </c>
      <c r="I50" s="1227">
        <f t="shared" si="3"/>
        <v>-7.4730690880321973</v>
      </c>
      <c r="J50" s="27"/>
      <c r="K50" s="27"/>
      <c r="N50" s="27"/>
      <c r="O50" s="27"/>
      <c r="P50" s="27"/>
    </row>
    <row r="51" spans="1:16">
      <c r="A51" s="27">
        <v>40</v>
      </c>
      <c r="B51" s="1227">
        <v>10</v>
      </c>
      <c r="C51" s="1227">
        <v>0.1</v>
      </c>
      <c r="D51" s="1227">
        <v>5.6818181818181826E-4</v>
      </c>
      <c r="E51" s="1227">
        <f t="shared" si="4"/>
        <v>4.8946716232961589E-2</v>
      </c>
      <c r="F51" s="1227">
        <f t="shared" si="0"/>
        <v>-1.6551531666593429</v>
      </c>
      <c r="G51" s="1227">
        <f t="shared" si="1"/>
        <v>2.3025850929940459</v>
      </c>
      <c r="H51" s="1227">
        <f t="shared" si="2"/>
        <v>-2.3025850929940455</v>
      </c>
      <c r="I51" s="1227">
        <f t="shared" si="3"/>
        <v>-7.4730690880321973</v>
      </c>
      <c r="J51" s="27"/>
      <c r="K51" s="27"/>
      <c r="N51" s="27"/>
      <c r="O51" s="27"/>
      <c r="P51" s="27"/>
    </row>
    <row r="52" spans="1:16">
      <c r="A52" s="27">
        <v>41</v>
      </c>
      <c r="B52" s="1227">
        <v>10</v>
      </c>
      <c r="C52" s="1227">
        <v>0.1</v>
      </c>
      <c r="D52" s="1227">
        <v>5.6818181818181826E-4</v>
      </c>
      <c r="E52" s="1227">
        <f t="shared" si="4"/>
        <v>5.0185873605947957E-2</v>
      </c>
      <c r="F52" s="1227">
        <f t="shared" si="0"/>
        <v>-1.6430540671955431</v>
      </c>
      <c r="G52" s="1227">
        <f t="shared" si="1"/>
        <v>2.3025850929940459</v>
      </c>
      <c r="H52" s="1227">
        <f t="shared" si="2"/>
        <v>-2.3025850929940455</v>
      </c>
      <c r="I52" s="1227">
        <f t="shared" si="3"/>
        <v>-7.4730690880321973</v>
      </c>
      <c r="J52" s="27"/>
      <c r="K52" s="27"/>
      <c r="N52" s="27"/>
      <c r="O52" s="27"/>
      <c r="P52" s="27"/>
    </row>
    <row r="53" spans="1:16">
      <c r="A53" s="27">
        <v>42</v>
      </c>
      <c r="B53" s="1227">
        <v>10</v>
      </c>
      <c r="C53" s="1227">
        <v>0.1</v>
      </c>
      <c r="D53" s="1227">
        <v>5.6818181818181826E-4</v>
      </c>
      <c r="E53" s="1227">
        <f t="shared" si="4"/>
        <v>5.1425030978934326E-2</v>
      </c>
      <c r="F53" s="1227">
        <f t="shared" si="0"/>
        <v>-1.6311908189526321</v>
      </c>
      <c r="G53" s="1227">
        <f t="shared" si="1"/>
        <v>2.3025850929940459</v>
      </c>
      <c r="H53" s="1227">
        <f t="shared" si="2"/>
        <v>-2.3025850929940455</v>
      </c>
      <c r="I53" s="1227">
        <f t="shared" si="3"/>
        <v>-7.4730690880321973</v>
      </c>
      <c r="J53" s="27"/>
    </row>
    <row r="54" spans="1:16">
      <c r="A54" s="27">
        <v>43</v>
      </c>
      <c r="B54" s="1227">
        <v>10</v>
      </c>
      <c r="C54" s="1227">
        <v>0.1</v>
      </c>
      <c r="D54" s="1227">
        <v>5.6818181818181826E-4</v>
      </c>
      <c r="E54" s="1227">
        <f t="shared" si="4"/>
        <v>5.2664188351920695E-2</v>
      </c>
      <c r="F54" s="1227">
        <f t="shared" si="0"/>
        <v>-1.619552795352317</v>
      </c>
      <c r="G54" s="1227">
        <f t="shared" si="1"/>
        <v>2.3025850929940459</v>
      </c>
      <c r="H54" s="1227">
        <f t="shared" si="2"/>
        <v>-2.3025850929940455</v>
      </c>
      <c r="I54" s="1227">
        <f t="shared" si="3"/>
        <v>-7.4730690880321973</v>
      </c>
      <c r="J54" s="27"/>
    </row>
    <row r="55" spans="1:16">
      <c r="A55" s="27">
        <v>44</v>
      </c>
      <c r="B55" s="1227">
        <v>10</v>
      </c>
      <c r="C55" s="1227">
        <v>0.1</v>
      </c>
      <c r="D55" s="1227">
        <v>5.6818181818181826E-4</v>
      </c>
      <c r="E55" s="1227">
        <f t="shared" si="4"/>
        <v>5.3903345724907063E-2</v>
      </c>
      <c r="F55" s="1227">
        <f t="shared" si="0"/>
        <v>-1.6081300849072808</v>
      </c>
      <c r="G55" s="1227">
        <f t="shared" si="1"/>
        <v>2.3025850929940459</v>
      </c>
      <c r="H55" s="1227">
        <f t="shared" si="2"/>
        <v>-2.3025850929940455</v>
      </c>
      <c r="I55" s="1227">
        <f t="shared" si="3"/>
        <v>-7.4730690880321973</v>
      </c>
      <c r="J55" s="27"/>
    </row>
    <row r="56" spans="1:16">
      <c r="A56" s="27">
        <v>45</v>
      </c>
      <c r="B56" s="1227">
        <v>10</v>
      </c>
      <c r="C56" s="1227">
        <v>0.1</v>
      </c>
      <c r="D56" s="1227">
        <v>5.6818181818181826E-4</v>
      </c>
      <c r="E56" s="1227">
        <f t="shared" si="4"/>
        <v>5.5142503097893432E-2</v>
      </c>
      <c r="F56" s="1227">
        <f t="shared" si="0"/>
        <v>-1.5969134278176627</v>
      </c>
      <c r="G56" s="1227">
        <f t="shared" si="1"/>
        <v>2.3025850929940459</v>
      </c>
      <c r="H56" s="1227">
        <f t="shared" si="2"/>
        <v>-2.3025850929940455</v>
      </c>
      <c r="I56" s="1227">
        <f t="shared" si="3"/>
        <v>-7.4730690880321973</v>
      </c>
      <c r="J56" s="27"/>
    </row>
    <row r="57" spans="1:16">
      <c r="A57" s="27">
        <v>46</v>
      </c>
      <c r="B57" s="1227">
        <v>10</v>
      </c>
      <c r="C57" s="1227">
        <v>0.1</v>
      </c>
      <c r="D57" s="1227">
        <v>5.6818181818181826E-4</v>
      </c>
      <c r="E57" s="1227">
        <f t="shared" si="4"/>
        <v>5.6381660470879801E-2</v>
      </c>
      <c r="F57" s="1227">
        <f t="shared" si="0"/>
        <v>-1.5858941594805218</v>
      </c>
      <c r="G57" s="1227">
        <f t="shared" si="1"/>
        <v>2.3025850929940459</v>
      </c>
      <c r="H57" s="1227">
        <f t="shared" si="2"/>
        <v>-2.3025850929940455</v>
      </c>
      <c r="I57" s="1227">
        <f t="shared" si="3"/>
        <v>-7.4730690880321973</v>
      </c>
      <c r="J57" s="27"/>
    </row>
    <row r="58" spans="1:16">
      <c r="A58" s="27">
        <v>47</v>
      </c>
      <c r="B58" s="1227">
        <v>10</v>
      </c>
      <c r="C58" s="1227">
        <v>0.1</v>
      </c>
      <c r="D58" s="1227">
        <v>5.6818181818181826E-4</v>
      </c>
      <c r="E58" s="1227">
        <f t="shared" si="4"/>
        <v>5.7620817843866169E-2</v>
      </c>
      <c r="F58" s="1227">
        <f t="shared" si="0"/>
        <v>-1.5750641600240298</v>
      </c>
      <c r="G58" s="1227">
        <f t="shared" si="1"/>
        <v>2.3025850929940459</v>
      </c>
      <c r="H58" s="1227">
        <f t="shared" si="2"/>
        <v>-2.3025850929940455</v>
      </c>
      <c r="I58" s="1227">
        <f t="shared" si="3"/>
        <v>-7.4730690880321973</v>
      </c>
      <c r="J58" s="27"/>
    </row>
    <row r="59" spans="1:16">
      <c r="A59" s="27">
        <v>48</v>
      </c>
      <c r="B59" s="1227">
        <v>10</v>
      </c>
      <c r="C59" s="1227">
        <v>0.1</v>
      </c>
      <c r="D59" s="1227">
        <v>5.6818181818181826E-4</v>
      </c>
      <c r="E59" s="1227">
        <f t="shared" si="4"/>
        <v>5.8859975216852538E-2</v>
      </c>
      <c r="F59" s="1227">
        <f t="shared" si="0"/>
        <v>-1.5644158091087819</v>
      </c>
      <c r="G59" s="1227">
        <f t="shared" si="1"/>
        <v>2.3025850929940459</v>
      </c>
      <c r="H59" s="1227">
        <f t="shared" si="2"/>
        <v>-2.3025850929940455</v>
      </c>
      <c r="I59" s="1227">
        <f t="shared" si="3"/>
        <v>-7.4730690880321973</v>
      </c>
      <c r="J59" s="27"/>
    </row>
    <row r="60" spans="1:16">
      <c r="A60" s="27">
        <v>49</v>
      </c>
      <c r="B60" s="1227">
        <v>10</v>
      </c>
      <c r="C60" s="1227">
        <v>0.1</v>
      </c>
      <c r="D60" s="1227">
        <v>5.6818181818181826E-4</v>
      </c>
      <c r="E60" s="1227">
        <f t="shared" si="4"/>
        <v>6.0099132589838906E-2</v>
      </c>
      <c r="F60" s="1227">
        <f t="shared" si="0"/>
        <v>-1.5539419453477636</v>
      </c>
      <c r="G60" s="1227">
        <f t="shared" si="1"/>
        <v>2.3025850929940459</v>
      </c>
      <c r="H60" s="1227">
        <f t="shared" si="2"/>
        <v>-2.3025850929940455</v>
      </c>
      <c r="I60" s="1227">
        <f t="shared" si="3"/>
        <v>-7.4730690880321973</v>
      </c>
      <c r="J60" s="27"/>
    </row>
    <row r="61" spans="1:16">
      <c r="A61" s="27">
        <v>50</v>
      </c>
      <c r="B61" s="1227">
        <v>10</v>
      </c>
      <c r="C61" s="1227">
        <v>0.1</v>
      </c>
      <c r="D61" s="1227">
        <v>5.6818181818181826E-4</v>
      </c>
      <c r="E61" s="1227">
        <f t="shared" si="4"/>
        <v>6.1338289962825282E-2</v>
      </c>
      <c r="F61" s="1227">
        <f t="shared" si="0"/>
        <v>-1.5436358297879897</v>
      </c>
      <c r="G61" s="1227">
        <f t="shared" si="1"/>
        <v>2.3025850929940459</v>
      </c>
      <c r="H61" s="1227">
        <f t="shared" si="2"/>
        <v>-2.3025850929940455</v>
      </c>
      <c r="I61" s="1227">
        <f t="shared" si="3"/>
        <v>-7.4730690880321973</v>
      </c>
      <c r="J61" s="27"/>
    </row>
    <row r="62" spans="1:16">
      <c r="A62" s="27">
        <v>51</v>
      </c>
      <c r="B62" s="1227">
        <v>10</v>
      </c>
      <c r="C62" s="1227">
        <v>0.1</v>
      </c>
      <c r="D62" s="1227">
        <v>5.6818181818181826E-4</v>
      </c>
      <c r="E62" s="1227">
        <f t="shared" si="4"/>
        <v>6.2577447335811651E-2</v>
      </c>
      <c r="F62" s="1227">
        <f t="shared" si="0"/>
        <v>-1.5334911129738318</v>
      </c>
      <c r="G62" s="1227">
        <f t="shared" si="1"/>
        <v>2.3025850929940459</v>
      </c>
      <c r="H62" s="1227">
        <f t="shared" si="2"/>
        <v>-2.3025850929940455</v>
      </c>
      <c r="I62" s="1227">
        <f t="shared" si="3"/>
        <v>-7.4730690880321973</v>
      </c>
      <c r="J62" s="27"/>
    </row>
    <row r="63" spans="1:16">
      <c r="A63" s="27">
        <v>52</v>
      </c>
      <c r="B63" s="1227">
        <v>10</v>
      </c>
      <c r="C63" s="1227">
        <v>0.1</v>
      </c>
      <c r="D63" s="1227">
        <v>5.6818181818181826E-4</v>
      </c>
      <c r="E63" s="1227">
        <f t="shared" si="4"/>
        <v>6.3816604708798019E-2</v>
      </c>
      <c r="F63" s="1227">
        <f t="shared" si="0"/>
        <v>-1.5235018051771141</v>
      </c>
      <c r="G63" s="1227">
        <f t="shared" si="1"/>
        <v>2.3025850929940459</v>
      </c>
      <c r="H63" s="1227">
        <f t="shared" si="2"/>
        <v>-2.3025850929940455</v>
      </c>
      <c r="I63" s="1227">
        <f t="shared" si="3"/>
        <v>-7.4730690880321973</v>
      </c>
      <c r="J63" s="27"/>
    </row>
    <row r="64" spans="1:16">
      <c r="A64" s="27">
        <v>53</v>
      </c>
      <c r="B64" s="1227">
        <v>10</v>
      </c>
      <c r="C64" s="1227">
        <v>0.1</v>
      </c>
      <c r="D64" s="1227">
        <v>5.6818181818181826E-4</v>
      </c>
      <c r="E64" s="1227">
        <f t="shared" si="4"/>
        <v>6.5055762081784388E-2</v>
      </c>
      <c r="F64" s="1227">
        <f t="shared" si="0"/>
        <v>-1.5136622494342076</v>
      </c>
      <c r="G64" s="1227">
        <f t="shared" si="1"/>
        <v>2.3025850929940459</v>
      </c>
      <c r="H64" s="1227">
        <f t="shared" si="2"/>
        <v>-2.3025850929940455</v>
      </c>
      <c r="I64" s="1227">
        <f t="shared" si="3"/>
        <v>-7.4730690880321973</v>
      </c>
      <c r="J64" s="27"/>
    </row>
    <row r="65" spans="1:10">
      <c r="A65" s="27">
        <v>54</v>
      </c>
      <c r="B65" s="1227">
        <v>10</v>
      </c>
      <c r="C65" s="1227">
        <v>0.1</v>
      </c>
      <c r="D65" s="1227">
        <v>5.6818181818181826E-4</v>
      </c>
      <c r="E65" s="1227">
        <f t="shared" si="4"/>
        <v>6.6294919454770757E-2</v>
      </c>
      <c r="F65" s="1227">
        <f t="shared" si="0"/>
        <v>-1.5039670970772523</v>
      </c>
      <c r="G65" s="1227">
        <f t="shared" si="1"/>
        <v>2.3025850929940459</v>
      </c>
      <c r="H65" s="1227">
        <f t="shared" si="2"/>
        <v>-2.3025850929940455</v>
      </c>
      <c r="I65" s="1227">
        <f t="shared" si="3"/>
        <v>-7.4730690880321973</v>
      </c>
      <c r="J65" s="27"/>
    </row>
    <row r="66" spans="1:10">
      <c r="A66" s="27">
        <v>55</v>
      </c>
      <c r="B66" s="1227">
        <v>10</v>
      </c>
      <c r="C66" s="1227">
        <v>0.1</v>
      </c>
      <c r="D66" s="1227">
        <v>5.6818181818181826E-4</v>
      </c>
      <c r="E66" s="1227">
        <f t="shared" si="4"/>
        <v>6.7534076827757125E-2</v>
      </c>
      <c r="F66" s="1227">
        <f t="shared" si="0"/>
        <v>-1.4944112854866949</v>
      </c>
      <c r="G66" s="1227">
        <f t="shared" si="1"/>
        <v>2.3025850929940459</v>
      </c>
      <c r="H66" s="1227">
        <f t="shared" si="2"/>
        <v>-2.3025850929940455</v>
      </c>
      <c r="I66" s="1227">
        <f t="shared" si="3"/>
        <v>-7.4730690880321973</v>
      </c>
      <c r="J66" s="27"/>
    </row>
    <row r="67" spans="1:10">
      <c r="A67" s="27">
        <v>56</v>
      </c>
      <c r="B67" s="1227">
        <v>10</v>
      </c>
      <c r="C67" s="1227">
        <v>0.1</v>
      </c>
      <c r="D67" s="1227">
        <v>5.6818181818181826E-4</v>
      </c>
      <c r="E67" s="1227">
        <f t="shared" si="4"/>
        <v>6.8773234200743494E-2</v>
      </c>
      <c r="F67" s="1227">
        <f t="shared" si="0"/>
        <v>-1.4849900178265962</v>
      </c>
      <c r="G67" s="1227">
        <f t="shared" si="1"/>
        <v>2.3025850929940459</v>
      </c>
      <c r="H67" s="1227">
        <f t="shared" si="2"/>
        <v>-2.3025850929940455</v>
      </c>
      <c r="I67" s="1227">
        <f t="shared" si="3"/>
        <v>-7.4730690880321973</v>
      </c>
      <c r="J67" s="27"/>
    </row>
    <row r="68" spans="1:10">
      <c r="A68" s="27">
        <v>57</v>
      </c>
      <c r="B68" s="1227">
        <v>10</v>
      </c>
      <c r="C68" s="1227">
        <v>0.1</v>
      </c>
      <c r="D68" s="1227">
        <v>5.6818181818181826E-4</v>
      </c>
      <c r="E68" s="1227">
        <f t="shared" si="4"/>
        <v>7.0012391573729862E-2</v>
      </c>
      <c r="F68" s="1227">
        <f t="shared" si="0"/>
        <v>-1.4756987445536023</v>
      </c>
      <c r="G68" s="1227">
        <f t="shared" si="1"/>
        <v>2.3025850929940459</v>
      </c>
      <c r="H68" s="1227">
        <f t="shared" si="2"/>
        <v>-2.3025850929940455</v>
      </c>
      <c r="I68" s="1227">
        <f t="shared" si="3"/>
        <v>-7.4730690880321973</v>
      </c>
      <c r="J68" s="27"/>
    </row>
    <row r="69" spans="1:10">
      <c r="A69" s="27">
        <v>58</v>
      </c>
      <c r="B69" s="1227">
        <v>10</v>
      </c>
      <c r="C69" s="1227">
        <v>0.1</v>
      </c>
      <c r="D69" s="1227">
        <v>5.6818181818181826E-4</v>
      </c>
      <c r="E69" s="1227">
        <f t="shared" si="4"/>
        <v>7.1251548946716231E-2</v>
      </c>
      <c r="F69" s="1227">
        <f t="shared" si="0"/>
        <v>-1.4665331465158102</v>
      </c>
      <c r="G69" s="1227">
        <f t="shared" si="1"/>
        <v>2.3025850929940459</v>
      </c>
      <c r="H69" s="1227">
        <f t="shared" si="2"/>
        <v>-2.3025850929940455</v>
      </c>
      <c r="I69" s="1227">
        <f t="shared" si="3"/>
        <v>-7.4730690880321973</v>
      </c>
      <c r="J69" s="27"/>
    </row>
    <row r="70" spans="1:10">
      <c r="A70" s="27">
        <v>59</v>
      </c>
      <c r="B70" s="1227">
        <v>10</v>
      </c>
      <c r="C70" s="1227">
        <v>0.1</v>
      </c>
      <c r="D70" s="1227">
        <v>5.6818181818181826E-4</v>
      </c>
      <c r="E70" s="1227">
        <f t="shared" si="4"/>
        <v>7.24907063197026E-2</v>
      </c>
      <c r="F70" s="1227">
        <f t="shared" si="0"/>
        <v>-1.4574891194796666</v>
      </c>
      <c r="G70" s="1227">
        <f t="shared" si="1"/>
        <v>2.3025850929940459</v>
      </c>
      <c r="H70" s="1227">
        <f t="shared" si="2"/>
        <v>-2.3025850929940455</v>
      </c>
      <c r="I70" s="1227">
        <f t="shared" si="3"/>
        <v>-7.4730690880321973</v>
      </c>
      <c r="J70" s="27"/>
    </row>
    <row r="71" spans="1:10">
      <c r="A71" s="27">
        <v>60</v>
      </c>
      <c r="B71" s="1227">
        <v>10</v>
      </c>
      <c r="C71" s="1227">
        <v>0.1</v>
      </c>
      <c r="D71" s="1227">
        <v>5.6818181818181826E-4</v>
      </c>
      <c r="E71" s="1227">
        <f t="shared" si="4"/>
        <v>7.3729863692688968E-2</v>
      </c>
      <c r="F71" s="1227">
        <f t="shared" si="0"/>
        <v>-1.4485627599419753</v>
      </c>
      <c r="G71" s="1227">
        <f t="shared" si="1"/>
        <v>2.3025850929940459</v>
      </c>
      <c r="H71" s="1227">
        <f t="shared" si="2"/>
        <v>-2.3025850929940455</v>
      </c>
      <c r="I71" s="1227">
        <f t="shared" si="3"/>
        <v>-7.4730690880321973</v>
      </c>
      <c r="J71" s="27"/>
    </row>
    <row r="72" spans="1:10">
      <c r="A72" s="27">
        <v>61</v>
      </c>
      <c r="B72" s="1227">
        <v>10</v>
      </c>
      <c r="C72" s="1227">
        <v>0.1</v>
      </c>
      <c r="D72" s="1227">
        <v>5.6818181818181826E-4</v>
      </c>
      <c r="E72" s="1227">
        <f t="shared" si="4"/>
        <v>7.4969021065675337E-2</v>
      </c>
      <c r="F72" s="1227">
        <f t="shared" si="0"/>
        <v>-1.4397503521005517</v>
      </c>
      <c r="G72" s="1227">
        <f t="shared" si="1"/>
        <v>2.3025850929940459</v>
      </c>
      <c r="H72" s="1227">
        <f t="shared" si="2"/>
        <v>-2.3025850929940455</v>
      </c>
      <c r="I72" s="1227">
        <f t="shared" si="3"/>
        <v>-7.4730690880321973</v>
      </c>
      <c r="J72" s="27"/>
    </row>
    <row r="73" spans="1:10">
      <c r="A73" s="27">
        <v>62</v>
      </c>
      <c r="B73" s="1227">
        <v>10</v>
      </c>
      <c r="C73" s="1227">
        <v>0.1</v>
      </c>
      <c r="D73" s="1227">
        <v>5.6818181818181826E-4</v>
      </c>
      <c r="E73" s="1227">
        <f t="shared" si="4"/>
        <v>7.6208178438661706E-2</v>
      </c>
      <c r="F73" s="1227">
        <f t="shared" si="0"/>
        <v>-1.4310483558713887</v>
      </c>
      <c r="G73" s="1227">
        <f t="shared" si="1"/>
        <v>2.3025850929940459</v>
      </c>
      <c r="H73" s="1227">
        <f t="shared" si="2"/>
        <v>-2.3025850929940455</v>
      </c>
      <c r="I73" s="1227">
        <f t="shared" si="3"/>
        <v>-7.4730690880321973</v>
      </c>
      <c r="J73" s="27"/>
    </row>
    <row r="74" spans="1:10">
      <c r="A74" s="27">
        <v>63</v>
      </c>
      <c r="B74" s="1227">
        <v>10</v>
      </c>
      <c r="C74" s="1227">
        <v>0.1</v>
      </c>
      <c r="D74" s="1227">
        <v>5.6818181818181826E-4</v>
      </c>
      <c r="E74" s="1227">
        <f t="shared" si="4"/>
        <v>7.7447335811648074E-2</v>
      </c>
      <c r="F74" s="1227">
        <f t="shared" si="0"/>
        <v>-1.4224533958526753</v>
      </c>
      <c r="G74" s="1227">
        <f t="shared" si="1"/>
        <v>2.3025850929940459</v>
      </c>
      <c r="H74" s="1227">
        <f t="shared" si="2"/>
        <v>-2.3025850929940455</v>
      </c>
      <c r="I74" s="1227">
        <f t="shared" si="3"/>
        <v>-7.4730690880321973</v>
      </c>
      <c r="J74" s="27"/>
    </row>
    <row r="75" spans="1:10">
      <c r="A75" s="27">
        <v>64</v>
      </c>
      <c r="B75" s="1227">
        <v>10</v>
      </c>
      <c r="C75" s="1227">
        <v>0.1</v>
      </c>
      <c r="D75" s="1227">
        <v>5.6818181818181826E-4</v>
      </c>
      <c r="E75" s="1227">
        <f t="shared" si="4"/>
        <v>7.8686493184634443E-2</v>
      </c>
      <c r="F75" s="1227">
        <f t="shared" si="0"/>
        <v>-1.4139622511469609</v>
      </c>
      <c r="G75" s="1227">
        <f t="shared" si="1"/>
        <v>2.3025850929940459</v>
      </c>
      <c r="H75" s="1227">
        <f t="shared" si="2"/>
        <v>-2.3025850929940455</v>
      </c>
      <c r="I75" s="1227">
        <f t="shared" si="3"/>
        <v>-7.4730690880321973</v>
      </c>
      <c r="J75" s="27"/>
    </row>
    <row r="76" spans="1:10">
      <c r="A76" s="27">
        <v>65</v>
      </c>
      <c r="B76" s="1227">
        <v>10</v>
      </c>
      <c r="C76" s="1227">
        <v>0.1</v>
      </c>
      <c r="D76" s="1227">
        <v>5.6818181818181826E-4</v>
      </c>
      <c r="E76" s="1227">
        <f t="shared" si="4"/>
        <v>7.9925650557620811E-2</v>
      </c>
      <c r="F76" s="1227">
        <f t="shared" ref="F76:F139" si="5">NORMSINV(E76)</f>
        <v>-1.4055718459622997</v>
      </c>
      <c r="G76" s="1227">
        <f t="shared" ref="G76:G139" si="6">LN(B76)</f>
        <v>2.3025850929940459</v>
      </c>
      <c r="H76" s="1227">
        <f t="shared" ref="H76:H139" si="7">LN(C76)</f>
        <v>-2.3025850929940455</v>
      </c>
      <c r="I76" s="1227">
        <f t="shared" ref="I76:I139" si="8">LN(D76)</f>
        <v>-7.4730690880321973</v>
      </c>
      <c r="J76" s="27"/>
    </row>
    <row r="77" spans="1:10">
      <c r="A77" s="27">
        <v>66</v>
      </c>
      <c r="B77" s="1227">
        <v>10</v>
      </c>
      <c r="C77" s="1227">
        <v>0.1</v>
      </c>
      <c r="D77" s="1227">
        <v>5.6818181818181826E-4</v>
      </c>
      <c r="E77" s="1227">
        <f t="shared" ref="E77:E140" si="9">(A77-0.5)/807</f>
        <v>8.1164807930607194E-2</v>
      </c>
      <c r="F77" s="1227">
        <f t="shared" si="5"/>
        <v>-1.3972792409216594</v>
      </c>
      <c r="G77" s="1227">
        <f t="shared" si="6"/>
        <v>2.3025850929940459</v>
      </c>
      <c r="H77" s="1227">
        <f t="shared" si="7"/>
        <v>-2.3025850929940455</v>
      </c>
      <c r="I77" s="1227">
        <f t="shared" si="8"/>
        <v>-7.4730690880321973</v>
      </c>
      <c r="J77" s="27"/>
    </row>
    <row r="78" spans="1:10">
      <c r="A78" s="27">
        <v>67</v>
      </c>
      <c r="B78" s="1227">
        <v>10</v>
      </c>
      <c r="C78" s="1227">
        <v>0.1</v>
      </c>
      <c r="D78" s="1227">
        <v>5.6818181818181826E-4</v>
      </c>
      <c r="E78" s="1227">
        <f t="shared" si="9"/>
        <v>8.2403965303593563E-2</v>
      </c>
      <c r="F78" s="1227">
        <f t="shared" si="5"/>
        <v>-1.3890816250172116</v>
      </c>
      <c r="G78" s="1227">
        <f t="shared" si="6"/>
        <v>2.3025850929940459</v>
      </c>
      <c r="H78" s="1227">
        <f t="shared" si="7"/>
        <v>-2.3025850929940455</v>
      </c>
      <c r="I78" s="1227">
        <f t="shared" si="8"/>
        <v>-7.4730690880321973</v>
      </c>
      <c r="J78" s="27"/>
    </row>
    <row r="79" spans="1:10">
      <c r="A79" s="27">
        <v>68</v>
      </c>
      <c r="B79" s="1227">
        <v>10</v>
      </c>
      <c r="C79" s="1227">
        <v>0.1</v>
      </c>
      <c r="D79" s="1227">
        <v>5.6818181818181826E-4</v>
      </c>
      <c r="E79" s="1227">
        <f t="shared" si="9"/>
        <v>8.3643122676579931E-2</v>
      </c>
      <c r="F79" s="1227">
        <f t="shared" si="5"/>
        <v>-1.3809763081527771</v>
      </c>
      <c r="G79" s="1227">
        <f t="shared" si="6"/>
        <v>2.3025850929940459</v>
      </c>
      <c r="H79" s="1227">
        <f t="shared" si="7"/>
        <v>-2.3025850929940455</v>
      </c>
      <c r="I79" s="1227">
        <f t="shared" si="8"/>
        <v>-7.4730690880321973</v>
      </c>
      <c r="J79" s="27"/>
    </row>
    <row r="80" spans="1:10">
      <c r="A80" s="27">
        <v>69</v>
      </c>
      <c r="B80" s="1227">
        <v>10</v>
      </c>
      <c r="C80" s="1227">
        <v>0.1</v>
      </c>
      <c r="D80" s="1227">
        <v>5.6818181818181826E-4</v>
      </c>
      <c r="E80" s="1227">
        <f t="shared" si="9"/>
        <v>8.48822800495663E-2</v>
      </c>
      <c r="F80" s="1227">
        <f t="shared" si="5"/>
        <v>-1.3729607142232811</v>
      </c>
      <c r="G80" s="1227">
        <f t="shared" si="6"/>
        <v>2.3025850929940459</v>
      </c>
      <c r="H80" s="1227">
        <f t="shared" si="7"/>
        <v>-2.3025850929940455</v>
      </c>
      <c r="I80" s="1227">
        <f t="shared" si="8"/>
        <v>-7.4730690880321973</v>
      </c>
      <c r="J80" s="27"/>
    </row>
    <row r="81" spans="1:10">
      <c r="A81" s="27">
        <v>70</v>
      </c>
      <c r="B81" s="1227">
        <v>10</v>
      </c>
      <c r="C81" s="1227">
        <v>0.1</v>
      </c>
      <c r="D81" s="1227">
        <v>5.6818181818181826E-4</v>
      </c>
      <c r="E81" s="1227">
        <f t="shared" si="9"/>
        <v>8.6121437422552669E-2</v>
      </c>
      <c r="F81" s="1227">
        <f t="shared" si="5"/>
        <v>-1.3650323746853841</v>
      </c>
      <c r="G81" s="1227">
        <f t="shared" si="6"/>
        <v>2.3025850929940459</v>
      </c>
      <c r="H81" s="1227">
        <f t="shared" si="7"/>
        <v>-2.3025850929940455</v>
      </c>
      <c r="I81" s="1227">
        <f t="shared" si="8"/>
        <v>-7.4730690880321973</v>
      </c>
      <c r="J81" s="27"/>
    </row>
    <row r="82" spans="1:10">
      <c r="A82" s="27">
        <v>71</v>
      </c>
      <c r="B82" s="1227">
        <v>10</v>
      </c>
      <c r="C82" s="1227">
        <v>0.1</v>
      </c>
      <c r="D82" s="1227">
        <v>5.6818181818181826E-4</v>
      </c>
      <c r="E82" s="1227">
        <f t="shared" si="9"/>
        <v>8.7360594795539037E-2</v>
      </c>
      <c r="F82" s="1227">
        <f t="shared" si="5"/>
        <v>-1.3571889225778233</v>
      </c>
      <c r="G82" s="1227">
        <f t="shared" si="6"/>
        <v>2.3025850929940459</v>
      </c>
      <c r="H82" s="1227">
        <f t="shared" si="7"/>
        <v>-2.3025850929940455</v>
      </c>
      <c r="I82" s="1227">
        <f t="shared" si="8"/>
        <v>-7.4730690880321973</v>
      </c>
      <c r="J82" s="27"/>
    </row>
    <row r="83" spans="1:10">
      <c r="A83" s="27">
        <v>72</v>
      </c>
      <c r="B83" s="1227">
        <v>10</v>
      </c>
      <c r="C83" s="1227">
        <v>0.1</v>
      </c>
      <c r="D83" s="1227">
        <v>5.6818181818181826E-4</v>
      </c>
      <c r="E83" s="1227">
        <f t="shared" si="9"/>
        <v>8.8599752168525406E-2</v>
      </c>
      <c r="F83" s="1227">
        <f t="shared" si="5"/>
        <v>-1.3494280869541073</v>
      </c>
      <c r="G83" s="1227">
        <f t="shared" si="6"/>
        <v>2.3025850929940459</v>
      </c>
      <c r="H83" s="1227">
        <f t="shared" si="7"/>
        <v>-2.3025850929940455</v>
      </c>
      <c r="I83" s="1227">
        <f t="shared" si="8"/>
        <v>-7.4730690880321973</v>
      </c>
      <c r="J83" s="27"/>
    </row>
    <row r="84" spans="1:10">
      <c r="A84" s="27">
        <v>73</v>
      </c>
      <c r="B84" s="1227">
        <v>10</v>
      </c>
      <c r="C84" s="1227">
        <v>0.1</v>
      </c>
      <c r="D84" s="1227">
        <v>5.6818181818181826E-4</v>
      </c>
      <c r="E84" s="1227">
        <f t="shared" si="9"/>
        <v>8.9838909541511774E-2</v>
      </c>
      <c r="F84" s="1227">
        <f t="shared" si="5"/>
        <v>-1.3417476876937868</v>
      </c>
      <c r="G84" s="1227">
        <f t="shared" si="6"/>
        <v>2.3025850929940459</v>
      </c>
      <c r="H84" s="1227">
        <f t="shared" si="7"/>
        <v>-2.3025850929940455</v>
      </c>
      <c r="I84" s="1227">
        <f t="shared" si="8"/>
        <v>-7.4730690880321973</v>
      </c>
      <c r="J84" s="27"/>
    </row>
    <row r="85" spans="1:10">
      <c r="A85" s="27">
        <v>74</v>
      </c>
      <c r="B85" s="1227">
        <v>10</v>
      </c>
      <c r="C85" s="1227">
        <v>0.1</v>
      </c>
      <c r="D85" s="1227">
        <v>5.6818181818181826E-4</v>
      </c>
      <c r="E85" s="1227">
        <f t="shared" si="9"/>
        <v>9.1078066914498143E-2</v>
      </c>
      <c r="F85" s="1227">
        <f t="shared" si="5"/>
        <v>-1.3341456306616806</v>
      </c>
      <c r="G85" s="1227">
        <f t="shared" si="6"/>
        <v>2.3025850929940459</v>
      </c>
      <c r="H85" s="1227">
        <f t="shared" si="7"/>
        <v>-2.3025850929940455</v>
      </c>
      <c r="I85" s="1227">
        <f t="shared" si="8"/>
        <v>-7.4730690880321973</v>
      </c>
      <c r="J85" s="27"/>
    </row>
    <row r="86" spans="1:10">
      <c r="A86" s="27">
        <v>75</v>
      </c>
      <c r="B86" s="1227">
        <v>10</v>
      </c>
      <c r="C86" s="1227">
        <v>0.1</v>
      </c>
      <c r="D86" s="1227">
        <v>5.6818181818181826E-4</v>
      </c>
      <c r="E86" s="1227">
        <f t="shared" si="9"/>
        <v>9.2317224287484512E-2</v>
      </c>
      <c r="F86" s="1227">
        <f t="shared" si="5"/>
        <v>-1.3266199031873371</v>
      </c>
      <c r="G86" s="1227">
        <f t="shared" si="6"/>
        <v>2.3025850929940459</v>
      </c>
      <c r="H86" s="1227">
        <f t="shared" si="7"/>
        <v>-2.3025850929940455</v>
      </c>
      <c r="I86" s="1227">
        <f t="shared" si="8"/>
        <v>-7.4730690880321973</v>
      </c>
      <c r="J86" s="27"/>
    </row>
    <row r="87" spans="1:10">
      <c r="A87" s="27">
        <v>76</v>
      </c>
      <c r="B87" s="1227">
        <v>10</v>
      </c>
      <c r="C87" s="1227">
        <v>0.1</v>
      </c>
      <c r="D87" s="1227">
        <v>5.6818181818181826E-4</v>
      </c>
      <c r="E87" s="1227">
        <f t="shared" si="9"/>
        <v>9.355638166047088E-2</v>
      </c>
      <c r="F87" s="1227">
        <f t="shared" si="5"/>
        <v>-1.3191685698395292</v>
      </c>
      <c r="G87" s="1227">
        <f t="shared" si="6"/>
        <v>2.3025850929940459</v>
      </c>
      <c r="H87" s="1227">
        <f t="shared" si="7"/>
        <v>-2.3025850929940455</v>
      </c>
      <c r="I87" s="1227">
        <f t="shared" si="8"/>
        <v>-7.4730690880321973</v>
      </c>
      <c r="J87" s="27"/>
    </row>
    <row r="88" spans="1:10">
      <c r="A88" s="27">
        <v>77</v>
      </c>
      <c r="B88" s="1227">
        <v>10</v>
      </c>
      <c r="C88" s="1227">
        <v>0.1</v>
      </c>
      <c r="D88" s="1227">
        <v>5.6818181818181826E-4</v>
      </c>
      <c r="E88" s="1227">
        <f t="shared" si="9"/>
        <v>9.4795539033457249E-2</v>
      </c>
      <c r="F88" s="1227">
        <f t="shared" si="5"/>
        <v>-1.3117897684728792</v>
      </c>
      <c r="G88" s="1227">
        <f t="shared" si="6"/>
        <v>2.3025850929940459</v>
      </c>
      <c r="H88" s="1227">
        <f t="shared" si="7"/>
        <v>-2.3025850929940455</v>
      </c>
      <c r="I88" s="1227">
        <f t="shared" si="8"/>
        <v>-7.4730690880321973</v>
      </c>
      <c r="J88" s="27"/>
    </row>
    <row r="89" spans="1:10">
      <c r="A89" s="27">
        <v>78</v>
      </c>
      <c r="B89" s="1227">
        <v>10</v>
      </c>
      <c r="C89" s="1227">
        <v>0.1</v>
      </c>
      <c r="D89" s="1227">
        <v>5.6818181818181826E-4</v>
      </c>
      <c r="E89" s="1227">
        <f t="shared" si="9"/>
        <v>9.6034696406443618E-2</v>
      </c>
      <c r="F89" s="1227">
        <f t="shared" si="5"/>
        <v>-1.3044817065257879</v>
      </c>
      <c r="G89" s="1227">
        <f t="shared" si="6"/>
        <v>2.3025850929940459</v>
      </c>
      <c r="H89" s="1227">
        <f t="shared" si="7"/>
        <v>-2.3025850929940455</v>
      </c>
      <c r="I89" s="1227">
        <f t="shared" si="8"/>
        <v>-7.4730690880321973</v>
      </c>
      <c r="J89" s="27"/>
    </row>
    <row r="90" spans="1:10">
      <c r="A90" s="27">
        <v>79</v>
      </c>
      <c r="B90" s="1227">
        <v>10</v>
      </c>
      <c r="C90" s="1227">
        <v>0.1</v>
      </c>
      <c r="D90" s="1227">
        <v>5.6818181818181826E-4</v>
      </c>
      <c r="E90" s="1227">
        <f t="shared" si="9"/>
        <v>9.7273853779429986E-2</v>
      </c>
      <c r="F90" s="1227">
        <f t="shared" si="5"/>
        <v>-1.2972426575506355</v>
      </c>
      <c r="G90" s="1227">
        <f t="shared" si="6"/>
        <v>2.3025850929940459</v>
      </c>
      <c r="H90" s="1227">
        <f t="shared" si="7"/>
        <v>-2.3025850929940455</v>
      </c>
      <c r="I90" s="1227">
        <f t="shared" si="8"/>
        <v>-7.4730690880321973</v>
      </c>
      <c r="J90" s="27"/>
    </row>
    <row r="91" spans="1:10">
      <c r="A91" s="27">
        <v>80</v>
      </c>
      <c r="B91" s="1227">
        <v>10</v>
      </c>
      <c r="C91" s="1227">
        <v>0.1</v>
      </c>
      <c r="D91" s="1227">
        <v>5.6818181818181826E-4</v>
      </c>
      <c r="E91" s="1227">
        <f t="shared" si="9"/>
        <v>9.8513011152416355E-2</v>
      </c>
      <c r="F91" s="1227">
        <f t="shared" si="5"/>
        <v>-1.290070957958934</v>
      </c>
      <c r="G91" s="1227">
        <f t="shared" si="6"/>
        <v>2.3025850929940459</v>
      </c>
      <c r="H91" s="1227">
        <f t="shared" si="7"/>
        <v>-2.3025850929940455</v>
      </c>
      <c r="I91" s="1227">
        <f t="shared" si="8"/>
        <v>-7.4730690880321973</v>
      </c>
      <c r="J91" s="27"/>
    </row>
    <row r="92" spans="1:10">
      <c r="A92" s="27">
        <v>81</v>
      </c>
      <c r="B92" s="1227">
        <v>10</v>
      </c>
      <c r="C92" s="1227">
        <v>0.1</v>
      </c>
      <c r="D92" s="1227">
        <v>5.6818181818181826E-4</v>
      </c>
      <c r="E92" s="1227">
        <f t="shared" si="9"/>
        <v>9.9752168525402723E-2</v>
      </c>
      <c r="F92" s="1227">
        <f t="shared" si="5"/>
        <v>-1.2829650039655704</v>
      </c>
      <c r="G92" s="1227">
        <f t="shared" si="6"/>
        <v>2.3025850929940459</v>
      </c>
      <c r="H92" s="1227">
        <f t="shared" si="7"/>
        <v>-2.3025850929940455</v>
      </c>
      <c r="I92" s="1227">
        <f t="shared" si="8"/>
        <v>-7.4730690880321973</v>
      </c>
      <c r="J92" s="27"/>
    </row>
    <row r="93" spans="1:10">
      <c r="A93" s="27">
        <v>82</v>
      </c>
      <c r="B93" s="1227">
        <v>10</v>
      </c>
      <c r="C93" s="1227">
        <v>0.1</v>
      </c>
      <c r="D93" s="1227">
        <v>5.6818181818181826E-4</v>
      </c>
      <c r="E93" s="1227">
        <f t="shared" si="9"/>
        <v>0.10099132589838909</v>
      </c>
      <c r="F93" s="1227">
        <f t="shared" si="5"/>
        <v>-1.2759232487176544</v>
      </c>
      <c r="G93" s="1227">
        <f t="shared" si="6"/>
        <v>2.3025850929940459</v>
      </c>
      <c r="H93" s="1227">
        <f t="shared" si="7"/>
        <v>-2.3025850929940455</v>
      </c>
      <c r="I93" s="1227">
        <f t="shared" si="8"/>
        <v>-7.4730690880321973</v>
      </c>
      <c r="J93" s="27"/>
    </row>
    <row r="94" spans="1:10">
      <c r="A94" s="27">
        <v>83</v>
      </c>
      <c r="B94" s="1227">
        <v>10</v>
      </c>
      <c r="C94" s="1227">
        <v>0.1</v>
      </c>
      <c r="D94" s="1227">
        <v>5.6818181818181826E-4</v>
      </c>
      <c r="E94" s="1227">
        <f t="shared" si="9"/>
        <v>0.10223048327137546</v>
      </c>
      <c r="F94" s="1227">
        <f t="shared" si="5"/>
        <v>-1.2689441995946946</v>
      </c>
      <c r="G94" s="1227">
        <f t="shared" si="6"/>
        <v>2.3025850929940459</v>
      </c>
      <c r="H94" s="1227">
        <f t="shared" si="7"/>
        <v>-2.3025850929940455</v>
      </c>
      <c r="I94" s="1227">
        <f t="shared" si="8"/>
        <v>-7.4730690880321973</v>
      </c>
      <c r="J94" s="27"/>
    </row>
    <row r="95" spans="1:10">
      <c r="A95" s="27">
        <v>84</v>
      </c>
      <c r="B95" s="1227">
        <v>10</v>
      </c>
      <c r="C95" s="1227">
        <v>0.1</v>
      </c>
      <c r="D95" s="1227">
        <v>5.6818181818181826E-4</v>
      </c>
      <c r="E95" s="1227">
        <f t="shared" si="9"/>
        <v>0.10346964064436183</v>
      </c>
      <c r="F95" s="1227">
        <f t="shared" si="5"/>
        <v>-1.2620264156679111</v>
      </c>
      <c r="G95" s="1227">
        <f t="shared" si="6"/>
        <v>2.3025850929940459</v>
      </c>
      <c r="H95" s="1227">
        <f t="shared" si="7"/>
        <v>-2.3025850929940455</v>
      </c>
      <c r="I95" s="1227">
        <f t="shared" si="8"/>
        <v>-7.4730690880321973</v>
      </c>
      <c r="J95" s="27"/>
    </row>
    <row r="96" spans="1:10">
      <c r="A96" s="27">
        <v>85</v>
      </c>
      <c r="B96" s="1227">
        <v>10</v>
      </c>
      <c r="C96" s="1227">
        <v>0.1</v>
      </c>
      <c r="D96" s="1227">
        <v>5.6818181818181826E-4</v>
      </c>
      <c r="E96" s="1227">
        <f t="shared" si="9"/>
        <v>0.1047087980173482</v>
      </c>
      <c r="F96" s="1227">
        <f t="shared" si="5"/>
        <v>-1.2551685053075385</v>
      </c>
      <c r="G96" s="1227">
        <f t="shared" si="6"/>
        <v>2.3025850929940459</v>
      </c>
      <c r="H96" s="1227">
        <f t="shared" si="7"/>
        <v>-2.3025850929940455</v>
      </c>
      <c r="I96" s="1227">
        <f t="shared" si="8"/>
        <v>-7.4730690880321973</v>
      </c>
      <c r="J96" s="27"/>
    </row>
    <row r="97" spans="1:10">
      <c r="A97" s="27">
        <v>86</v>
      </c>
      <c r="B97" s="1227">
        <v>10</v>
      </c>
      <c r="C97" s="1227">
        <v>0.1</v>
      </c>
      <c r="D97" s="1227">
        <v>5.6818181818181826E-4</v>
      </c>
      <c r="E97" s="1227">
        <f t="shared" si="9"/>
        <v>0.10594795539033457</v>
      </c>
      <c r="F97" s="1227">
        <f t="shared" si="5"/>
        <v>-1.2483691239278443</v>
      </c>
      <c r="G97" s="1227">
        <f t="shared" si="6"/>
        <v>2.3025850929940459</v>
      </c>
      <c r="H97" s="1227">
        <f t="shared" si="7"/>
        <v>-2.3025850929940455</v>
      </c>
      <c r="I97" s="1227">
        <f t="shared" si="8"/>
        <v>-7.4730690880321973</v>
      </c>
      <c r="J97" s="27"/>
    </row>
    <row r="98" spans="1:10">
      <c r="A98" s="27">
        <v>87</v>
      </c>
      <c r="B98" s="1227">
        <v>10</v>
      </c>
      <c r="C98" s="1227">
        <v>0.1</v>
      </c>
      <c r="D98" s="1227">
        <v>5.6818181818181826E-4</v>
      </c>
      <c r="E98" s="1227">
        <f t="shared" si="9"/>
        <v>0.10718711276332094</v>
      </c>
      <c r="F98" s="1227">
        <f t="shared" si="5"/>
        <v>-1.2416269718604036</v>
      </c>
      <c r="G98" s="1227">
        <f t="shared" si="6"/>
        <v>2.3025850929940459</v>
      </c>
      <c r="H98" s="1227">
        <f t="shared" si="7"/>
        <v>-2.3025850929940455</v>
      </c>
      <c r="I98" s="1227">
        <f t="shared" si="8"/>
        <v>-7.4730690880321973</v>
      </c>
      <c r="J98" s="27"/>
    </row>
    <row r="99" spans="1:10">
      <c r="A99" s="27">
        <v>88</v>
      </c>
      <c r="B99" s="1227">
        <v>10</v>
      </c>
      <c r="C99" s="1227">
        <v>0.1</v>
      </c>
      <c r="D99" s="1227">
        <v>5.6818181818181826E-4</v>
      </c>
      <c r="E99" s="1227">
        <f t="shared" si="9"/>
        <v>0.10842627013630732</v>
      </c>
      <c r="F99" s="1227">
        <f t="shared" si="5"/>
        <v>-1.2349407923469664</v>
      </c>
      <c r="G99" s="1227">
        <f t="shared" si="6"/>
        <v>2.3025850929940459</v>
      </c>
      <c r="H99" s="1227">
        <f t="shared" si="7"/>
        <v>-2.3025850929940455</v>
      </c>
      <c r="I99" s="1227">
        <f t="shared" si="8"/>
        <v>-7.4730690880321973</v>
      </c>
      <c r="J99" s="27"/>
    </row>
    <row r="100" spans="1:10">
      <c r="A100" s="27">
        <v>89</v>
      </c>
      <c r="B100" s="1227">
        <v>10</v>
      </c>
      <c r="C100" s="1227">
        <v>0.1</v>
      </c>
      <c r="D100" s="1227">
        <v>5.6818181818181826E-4</v>
      </c>
      <c r="E100" s="1227">
        <f t="shared" si="9"/>
        <v>0.10966542750929369</v>
      </c>
      <c r="F100" s="1227">
        <f t="shared" si="5"/>
        <v>-1.2283093696438858</v>
      </c>
      <c r="G100" s="1227">
        <f t="shared" si="6"/>
        <v>2.3025850929940459</v>
      </c>
      <c r="H100" s="1227">
        <f t="shared" si="7"/>
        <v>-2.3025850929940455</v>
      </c>
      <c r="I100" s="1227">
        <f t="shared" si="8"/>
        <v>-7.4730690880321973</v>
      </c>
      <c r="J100" s="27"/>
    </row>
    <row r="101" spans="1:10">
      <c r="A101" s="27">
        <v>90</v>
      </c>
      <c r="B101" s="1227">
        <v>10</v>
      </c>
      <c r="C101" s="1227">
        <v>0.1</v>
      </c>
      <c r="D101" s="1228">
        <v>5.6818181818181826E-4</v>
      </c>
      <c r="E101" s="1227">
        <f t="shared" si="9"/>
        <v>0.11090458488228006</v>
      </c>
      <c r="F101" s="1227">
        <f t="shared" si="5"/>
        <v>-1.2217315272307172</v>
      </c>
      <c r="G101" s="1227">
        <f t="shared" si="6"/>
        <v>2.3025850929940459</v>
      </c>
      <c r="H101" s="1227">
        <f t="shared" si="7"/>
        <v>-2.3025850929940455</v>
      </c>
      <c r="I101" s="1227">
        <f t="shared" si="8"/>
        <v>-7.4730690880321973</v>
      </c>
      <c r="J101" s="27"/>
    </row>
    <row r="102" spans="1:10">
      <c r="A102" s="27">
        <v>91</v>
      </c>
      <c r="B102" s="1227">
        <v>10</v>
      </c>
      <c r="C102" s="1227">
        <v>0.1</v>
      </c>
      <c r="D102" s="1227">
        <v>6.2500000000000001E-4</v>
      </c>
      <c r="E102" s="1227">
        <f t="shared" si="9"/>
        <v>0.11214374225526642</v>
      </c>
      <c r="F102" s="1227">
        <f t="shared" si="5"/>
        <v>-1.2152061261161777</v>
      </c>
      <c r="G102" s="1227">
        <f t="shared" si="6"/>
        <v>2.3025850929940459</v>
      </c>
      <c r="H102" s="1227">
        <f t="shared" si="7"/>
        <v>-2.3025850929940455</v>
      </c>
      <c r="I102" s="1227">
        <f t="shared" si="8"/>
        <v>-7.3777589082278725</v>
      </c>
      <c r="J102" s="27"/>
    </row>
    <row r="103" spans="1:10">
      <c r="A103" s="27">
        <v>92</v>
      </c>
      <c r="B103" s="1227">
        <v>10</v>
      </c>
      <c r="C103" s="1227">
        <v>0.1</v>
      </c>
      <c r="D103" s="1227">
        <v>6.8181818181818176E-4</v>
      </c>
      <c r="E103" s="1227">
        <f t="shared" si="9"/>
        <v>0.11338289962825279</v>
      </c>
      <c r="F103" s="1227">
        <f t="shared" si="5"/>
        <v>-1.2087320632351395</v>
      </c>
      <c r="G103" s="1227">
        <f t="shared" si="6"/>
        <v>2.3025850929940459</v>
      </c>
      <c r="H103" s="1227">
        <f t="shared" si="7"/>
        <v>-2.3025850929940455</v>
      </c>
      <c r="I103" s="1227">
        <f t="shared" si="8"/>
        <v>-7.2907475312382433</v>
      </c>
      <c r="J103" s="27"/>
    </row>
    <row r="104" spans="1:10">
      <c r="A104" s="27">
        <v>93</v>
      </c>
      <c r="B104" s="1227">
        <v>10</v>
      </c>
      <c r="C104" s="1227">
        <v>0.1</v>
      </c>
      <c r="D104" s="1227">
        <v>6.8181818181818176E-4</v>
      </c>
      <c r="E104" s="1227">
        <f t="shared" si="9"/>
        <v>0.11462205700123916</v>
      </c>
      <c r="F104" s="1227">
        <f t="shared" si="5"/>
        <v>-1.2023082699308456</v>
      </c>
      <c r="G104" s="1227">
        <f t="shared" si="6"/>
        <v>2.3025850929940459</v>
      </c>
      <c r="H104" s="1227">
        <f t="shared" si="7"/>
        <v>-2.3025850929940455</v>
      </c>
      <c r="I104" s="1227">
        <f t="shared" si="8"/>
        <v>-7.2907475312382433</v>
      </c>
      <c r="J104" s="27"/>
    </row>
    <row r="105" spans="1:10">
      <c r="A105" s="27">
        <v>94</v>
      </c>
      <c r="B105" s="1227">
        <v>10</v>
      </c>
      <c r="C105" s="1227">
        <v>0.1</v>
      </c>
      <c r="D105" s="1227">
        <v>7.1022727272727275E-4</v>
      </c>
      <c r="E105" s="1227">
        <f t="shared" si="9"/>
        <v>0.11586121437422553</v>
      </c>
      <c r="F105" s="1227">
        <f t="shared" si="5"/>
        <v>-1.1959337105169319</v>
      </c>
      <c r="G105" s="1227">
        <f t="shared" si="6"/>
        <v>2.3025850929940459</v>
      </c>
      <c r="H105" s="1227">
        <f t="shared" si="7"/>
        <v>-2.3025850929940455</v>
      </c>
      <c r="I105" s="1227">
        <f t="shared" si="8"/>
        <v>-7.2499255367179876</v>
      </c>
      <c r="J105" s="27"/>
    </row>
    <row r="106" spans="1:10">
      <c r="A106" s="27">
        <v>95</v>
      </c>
      <c r="B106" s="1227">
        <v>10</v>
      </c>
      <c r="C106" s="1227">
        <v>0.1</v>
      </c>
      <c r="D106" s="1227">
        <v>7.3863636363636362E-4</v>
      </c>
      <c r="E106" s="1227">
        <f t="shared" si="9"/>
        <v>0.1171003717472119</v>
      </c>
      <c r="F106" s="1227">
        <f t="shared" si="5"/>
        <v>-1.1896073809142442</v>
      </c>
      <c r="G106" s="1227">
        <f t="shared" si="6"/>
        <v>2.3025850929940459</v>
      </c>
      <c r="H106" s="1227">
        <f t="shared" si="7"/>
        <v>-2.3025850929940455</v>
      </c>
      <c r="I106" s="1227">
        <f t="shared" si="8"/>
        <v>-7.210704823564706</v>
      </c>
      <c r="J106" s="27"/>
    </row>
    <row r="107" spans="1:10">
      <c r="A107" s="27">
        <v>96</v>
      </c>
      <c r="B107" s="1227">
        <v>10</v>
      </c>
      <c r="C107" s="1227">
        <v>0.1</v>
      </c>
      <c r="D107" s="1227">
        <v>8.5227272727272723E-4</v>
      </c>
      <c r="E107" s="1227">
        <f t="shared" si="9"/>
        <v>0.11833952912019827</v>
      </c>
      <c r="F107" s="1227">
        <f t="shared" si="5"/>
        <v>-1.1833283073578369</v>
      </c>
      <c r="G107" s="1227">
        <f t="shared" si="6"/>
        <v>2.3025850929940459</v>
      </c>
      <c r="H107" s="1227">
        <f t="shared" si="7"/>
        <v>-2.3025850929940455</v>
      </c>
      <c r="I107" s="1227">
        <f t="shared" si="8"/>
        <v>-7.0676039799240336</v>
      </c>
      <c r="J107" s="27"/>
    </row>
    <row r="108" spans="1:10">
      <c r="A108" s="27">
        <v>97</v>
      </c>
      <c r="B108" s="1227">
        <v>10</v>
      </c>
      <c r="C108" s="1227">
        <v>0.1</v>
      </c>
      <c r="D108" s="1228">
        <v>8.5227272727272723E-4</v>
      </c>
      <c r="E108" s="1227">
        <f t="shared" si="9"/>
        <v>0.11957868649318464</v>
      </c>
      <c r="F108" s="1227">
        <f t="shared" si="5"/>
        <v>-1.1770955451698164</v>
      </c>
      <c r="G108" s="1227">
        <f t="shared" si="6"/>
        <v>2.3025850929940459</v>
      </c>
      <c r="H108" s="1227">
        <f t="shared" si="7"/>
        <v>-2.3025850929940455</v>
      </c>
      <c r="I108" s="1227">
        <f t="shared" si="8"/>
        <v>-7.0676039799240336</v>
      </c>
      <c r="J108" s="27"/>
    </row>
    <row r="109" spans="1:10">
      <c r="A109" s="27">
        <v>98</v>
      </c>
      <c r="B109" s="1227">
        <v>10</v>
      </c>
      <c r="C109" s="1227">
        <v>0.1</v>
      </c>
      <c r="D109" s="1227">
        <v>9.6590909090909095E-4</v>
      </c>
      <c r="E109" s="1227">
        <f t="shared" si="9"/>
        <v>0.120817843866171</v>
      </c>
      <c r="F109" s="1227">
        <f t="shared" si="5"/>
        <v>-1.1709081775940402</v>
      </c>
      <c r="G109" s="1227">
        <f t="shared" si="6"/>
        <v>2.3025850929940459</v>
      </c>
      <c r="H109" s="1227">
        <f t="shared" si="7"/>
        <v>-2.3025850929940455</v>
      </c>
      <c r="I109" s="1227">
        <f t="shared" si="8"/>
        <v>-6.942440836970027</v>
      </c>
      <c r="J109" s="27"/>
    </row>
    <row r="110" spans="1:10">
      <c r="A110" s="27">
        <v>99</v>
      </c>
      <c r="B110" s="1227">
        <v>10</v>
      </c>
      <c r="C110" s="1227">
        <v>0.1</v>
      </c>
      <c r="D110" s="1227">
        <v>9.6590909090909095E-4</v>
      </c>
      <c r="E110" s="1227">
        <f t="shared" si="9"/>
        <v>0.12205700123915737</v>
      </c>
      <c r="F110" s="1227">
        <f t="shared" si="5"/>
        <v>-1.1647653146889521</v>
      </c>
      <c r="G110" s="1227">
        <f t="shared" si="6"/>
        <v>2.3025850929940459</v>
      </c>
      <c r="H110" s="1227">
        <f t="shared" si="7"/>
        <v>-2.3025850929940455</v>
      </c>
      <c r="I110" s="1227">
        <f t="shared" si="8"/>
        <v>-6.942440836970027</v>
      </c>
      <c r="J110" s="27"/>
    </row>
    <row r="111" spans="1:10">
      <c r="A111" s="27">
        <v>100</v>
      </c>
      <c r="B111" s="1227">
        <v>10</v>
      </c>
      <c r="C111" s="1227">
        <v>0.1</v>
      </c>
      <c r="D111" s="1227">
        <v>9.6590909090909095E-4</v>
      </c>
      <c r="E111" s="1227">
        <f t="shared" si="9"/>
        <v>0.12329615861214374</v>
      </c>
      <c r="F111" s="1227">
        <f t="shared" si="5"/>
        <v>-1.1586660922750927</v>
      </c>
      <c r="G111" s="1227">
        <f t="shared" si="6"/>
        <v>2.3025850929940459</v>
      </c>
      <c r="H111" s="1227">
        <f t="shared" si="7"/>
        <v>-2.3025850929940455</v>
      </c>
      <c r="I111" s="1227">
        <f t="shared" si="8"/>
        <v>-6.942440836970027</v>
      </c>
      <c r="J111" s="27"/>
    </row>
    <row r="112" spans="1:10">
      <c r="A112" s="27">
        <v>101</v>
      </c>
      <c r="B112" s="1227">
        <v>10</v>
      </c>
      <c r="C112" s="1227">
        <v>0.1</v>
      </c>
      <c r="D112" s="1227">
        <v>9.6590909090909095E-4</v>
      </c>
      <c r="E112" s="1227">
        <f t="shared" si="9"/>
        <v>0.12453531598513011</v>
      </c>
      <c r="F112" s="1227">
        <f t="shared" si="5"/>
        <v>-1.1526096709340612</v>
      </c>
      <c r="G112" s="1227">
        <f t="shared" si="6"/>
        <v>2.3025850929940459</v>
      </c>
      <c r="H112" s="1227">
        <f t="shared" si="7"/>
        <v>-2.3025850929940455</v>
      </c>
      <c r="I112" s="1227">
        <f t="shared" si="8"/>
        <v>-6.942440836970027</v>
      </c>
      <c r="J112" s="27"/>
    </row>
    <row r="113" spans="1:10">
      <c r="A113" s="27">
        <v>102</v>
      </c>
      <c r="B113" s="1233">
        <v>10</v>
      </c>
      <c r="C113" s="1227">
        <v>0.1</v>
      </c>
      <c r="D113" s="1227">
        <v>1.1363636363636363E-3</v>
      </c>
      <c r="E113" s="1227">
        <f t="shared" si="9"/>
        <v>0.12577447335811648</v>
      </c>
      <c r="F113" s="1227">
        <f t="shared" si="5"/>
        <v>-1.1465952350559252</v>
      </c>
      <c r="G113" s="1227">
        <f t="shared" si="6"/>
        <v>2.3025850929940459</v>
      </c>
      <c r="H113" s="1227">
        <f t="shared" si="7"/>
        <v>-2.3025850929940455</v>
      </c>
      <c r="I113" s="1227">
        <f t="shared" si="8"/>
        <v>-6.7799219074722519</v>
      </c>
      <c r="J113" s="27"/>
    </row>
    <row r="114" spans="1:10">
      <c r="A114" s="27">
        <v>103</v>
      </c>
      <c r="B114" s="1234">
        <v>10</v>
      </c>
      <c r="C114" s="1227">
        <v>0.1</v>
      </c>
      <c r="D114" s="1227">
        <v>1.1363636363636365E-3</v>
      </c>
      <c r="E114" s="1227">
        <f t="shared" si="9"/>
        <v>0.12701363073110286</v>
      </c>
      <c r="F114" s="1227">
        <f t="shared" si="5"/>
        <v>-1.1406219919322809</v>
      </c>
      <c r="G114" s="1227">
        <f t="shared" si="6"/>
        <v>2.3025850929940459</v>
      </c>
      <c r="H114" s="1227">
        <f t="shared" si="7"/>
        <v>-2.3025850929940455</v>
      </c>
      <c r="I114" s="1227">
        <f t="shared" si="8"/>
        <v>-6.7799219074722519</v>
      </c>
      <c r="J114" s="27"/>
    </row>
    <row r="115" spans="1:10">
      <c r="A115" s="27">
        <v>104</v>
      </c>
      <c r="B115" s="1234">
        <v>10</v>
      </c>
      <c r="C115" s="1227">
        <v>0.1</v>
      </c>
      <c r="D115" s="1227">
        <v>1.1363636363636365E-3</v>
      </c>
      <c r="E115" s="1227">
        <f t="shared" si="9"/>
        <v>0.12825278810408922</v>
      </c>
      <c r="F115" s="1227">
        <f t="shared" si="5"/>
        <v>-1.1346891708923552</v>
      </c>
      <c r="G115" s="1227">
        <f t="shared" si="6"/>
        <v>2.3025850929940459</v>
      </c>
      <c r="H115" s="1227">
        <f t="shared" si="7"/>
        <v>-2.3025850929940455</v>
      </c>
      <c r="I115" s="1227">
        <f t="shared" si="8"/>
        <v>-6.7799219074722519</v>
      </c>
      <c r="J115" s="27"/>
    </row>
    <row r="116" spans="1:10">
      <c r="A116" s="27">
        <v>105</v>
      </c>
      <c r="B116" s="1227">
        <v>10</v>
      </c>
      <c r="C116" s="1227">
        <v>0.1</v>
      </c>
      <c r="D116" s="1227">
        <v>1.1363636363636365E-3</v>
      </c>
      <c r="E116" s="1227">
        <f t="shared" si="9"/>
        <v>0.1294919454770756</v>
      </c>
      <c r="F116" s="1227">
        <f t="shared" si="5"/>
        <v>-1.1287960224797093</v>
      </c>
      <c r="G116" s="1227">
        <f t="shared" si="6"/>
        <v>2.3025850929940459</v>
      </c>
      <c r="H116" s="1227">
        <f t="shared" si="7"/>
        <v>-2.3025850929940455</v>
      </c>
      <c r="I116" s="1227">
        <f t="shared" si="8"/>
        <v>-6.7799219074722519</v>
      </c>
      <c r="J116" s="27"/>
    </row>
    <row r="117" spans="1:10">
      <c r="A117" s="27">
        <v>106</v>
      </c>
      <c r="B117" s="1227">
        <v>10</v>
      </c>
      <c r="C117" s="1227">
        <v>0.1</v>
      </c>
      <c r="D117" s="1227">
        <v>1.1363636363636365E-3</v>
      </c>
      <c r="E117" s="1227">
        <f t="shared" si="9"/>
        <v>0.13073110285006195</v>
      </c>
      <c r="F117" s="1227">
        <f t="shared" si="5"/>
        <v>-1.1229418176672605</v>
      </c>
      <c r="G117" s="1227">
        <f t="shared" si="6"/>
        <v>2.3025850929940459</v>
      </c>
      <c r="H117" s="1227">
        <f t="shared" si="7"/>
        <v>-2.3025850929940455</v>
      </c>
      <c r="I117" s="1227">
        <f t="shared" si="8"/>
        <v>-6.7799219074722519</v>
      </c>
      <c r="J117" s="27"/>
    </row>
    <row r="118" spans="1:10">
      <c r="A118" s="27">
        <v>107</v>
      </c>
      <c r="B118" s="1227">
        <v>10</v>
      </c>
      <c r="C118" s="1227">
        <v>0.1</v>
      </c>
      <c r="D118" s="1227">
        <v>1.1363636363636365E-3</v>
      </c>
      <c r="E118" s="1227">
        <f t="shared" si="9"/>
        <v>0.13197026022304834</v>
      </c>
      <c r="F118" s="1227">
        <f t="shared" si="5"/>
        <v>-1.1171258471084931</v>
      </c>
      <c r="G118" s="1227">
        <f t="shared" si="6"/>
        <v>2.3025850929940459</v>
      </c>
      <c r="H118" s="1227">
        <f t="shared" si="7"/>
        <v>-2.3025850929940455</v>
      </c>
      <c r="I118" s="1227">
        <f t="shared" si="8"/>
        <v>-6.7799219074722519</v>
      </c>
      <c r="J118" s="27"/>
    </row>
    <row r="119" spans="1:10">
      <c r="A119" s="27">
        <v>108</v>
      </c>
      <c r="B119" s="1227">
        <v>10</v>
      </c>
      <c r="C119" s="1227">
        <v>0.1</v>
      </c>
      <c r="D119" s="1227">
        <v>1.1363636363636365E-3</v>
      </c>
      <c r="E119" s="1227">
        <f t="shared" si="9"/>
        <v>0.13320941759603469</v>
      </c>
      <c r="F119" s="1227">
        <f t="shared" si="5"/>
        <v>-1.1113474204228826</v>
      </c>
      <c r="G119" s="1227">
        <f t="shared" si="6"/>
        <v>2.3025850929940459</v>
      </c>
      <c r="H119" s="1227">
        <f t="shared" si="7"/>
        <v>-2.3025850929940455</v>
      </c>
      <c r="I119" s="1227">
        <f t="shared" si="8"/>
        <v>-6.7799219074722519</v>
      </c>
      <c r="J119" s="27"/>
    </row>
    <row r="120" spans="1:10">
      <c r="A120" s="27">
        <v>109</v>
      </c>
      <c r="B120" s="1227">
        <v>10</v>
      </c>
      <c r="C120" s="1227">
        <v>0.1</v>
      </c>
      <c r="D120" s="1227">
        <v>1.1363636363636365E-3</v>
      </c>
      <c r="E120" s="1227">
        <f t="shared" si="9"/>
        <v>0.13444857496902107</v>
      </c>
      <c r="F120" s="1227">
        <f t="shared" si="5"/>
        <v>-1.1056058655136347</v>
      </c>
      <c r="G120" s="1227">
        <f t="shared" si="6"/>
        <v>2.3025850929940459</v>
      </c>
      <c r="H120" s="1227">
        <f t="shared" si="7"/>
        <v>-2.3025850929940455</v>
      </c>
      <c r="I120" s="1227">
        <f t="shared" si="8"/>
        <v>-6.7799219074722519</v>
      </c>
      <c r="J120" s="27"/>
    </row>
    <row r="121" spans="1:10">
      <c r="A121" s="27">
        <v>110</v>
      </c>
      <c r="B121" s="1227">
        <v>13</v>
      </c>
      <c r="C121" s="1227">
        <v>0.1</v>
      </c>
      <c r="D121" s="1227">
        <v>1.1363636363636365E-3</v>
      </c>
      <c r="E121" s="1227">
        <f t="shared" si="9"/>
        <v>0.13568773234200743</v>
      </c>
      <c r="F121" s="1227">
        <f t="shared" si="5"/>
        <v>-1.0999005279160254</v>
      </c>
      <c r="G121" s="1227">
        <f t="shared" si="6"/>
        <v>2.5649493574615367</v>
      </c>
      <c r="H121" s="1227">
        <f t="shared" si="7"/>
        <v>-2.3025850929940455</v>
      </c>
      <c r="I121" s="1227">
        <f t="shared" si="8"/>
        <v>-6.7799219074722519</v>
      </c>
      <c r="J121" s="27"/>
    </row>
    <row r="122" spans="1:10">
      <c r="A122" s="27">
        <v>111</v>
      </c>
      <c r="B122" s="1227">
        <v>13</v>
      </c>
      <c r="C122" s="1227">
        <v>0.1</v>
      </c>
      <c r="D122" s="1227">
        <v>1.1363636363636365E-3</v>
      </c>
      <c r="E122" s="1227">
        <f t="shared" si="9"/>
        <v>0.13692688971499381</v>
      </c>
      <c r="F122" s="1227">
        <f t="shared" si="5"/>
        <v>-1.0942307701746825</v>
      </c>
      <c r="G122" s="1227">
        <f t="shared" si="6"/>
        <v>2.5649493574615367</v>
      </c>
      <c r="H122" s="1227">
        <f t="shared" si="7"/>
        <v>-2.3025850929940455</v>
      </c>
      <c r="I122" s="1227">
        <f t="shared" si="8"/>
        <v>-6.7799219074722519</v>
      </c>
      <c r="J122" s="27"/>
    </row>
    <row r="123" spans="1:10">
      <c r="A123" s="27">
        <v>112</v>
      </c>
      <c r="B123" s="1227">
        <v>13</v>
      </c>
      <c r="C123" s="1227">
        <v>0.1</v>
      </c>
      <c r="D123" s="1227">
        <v>1.1363636363636365E-3</v>
      </c>
      <c r="E123" s="1227">
        <f t="shared" si="9"/>
        <v>0.13816604708798016</v>
      </c>
      <c r="F123" s="1227">
        <f t="shared" si="5"/>
        <v>-1.0885959712482742</v>
      </c>
      <c r="G123" s="1227">
        <f t="shared" si="6"/>
        <v>2.5649493574615367</v>
      </c>
      <c r="H123" s="1227">
        <f t="shared" si="7"/>
        <v>-2.3025850929940455</v>
      </c>
      <c r="I123" s="1227">
        <f t="shared" si="8"/>
        <v>-6.7799219074722519</v>
      </c>
      <c r="J123" s="27"/>
    </row>
    <row r="124" spans="1:10">
      <c r="A124" s="27">
        <v>113</v>
      </c>
      <c r="B124" s="1227">
        <v>13</v>
      </c>
      <c r="C124" s="1227">
        <v>0.1</v>
      </c>
      <c r="D124" s="1227">
        <v>1.1363636363636365E-3</v>
      </c>
      <c r="E124" s="1227">
        <f t="shared" si="9"/>
        <v>0.13940520446096655</v>
      </c>
      <c r="F124" s="1227">
        <f t="shared" si="5"/>
        <v>-1.0829955259401776</v>
      </c>
      <c r="G124" s="1227">
        <f t="shared" si="6"/>
        <v>2.5649493574615367</v>
      </c>
      <c r="H124" s="1227">
        <f t="shared" si="7"/>
        <v>-2.3025850929940455</v>
      </c>
      <c r="I124" s="1227">
        <f t="shared" si="8"/>
        <v>-6.7799219074722519</v>
      </c>
      <c r="J124" s="27"/>
    </row>
    <row r="125" spans="1:10">
      <c r="A125" s="27">
        <v>114</v>
      </c>
      <c r="B125" s="1227">
        <v>13</v>
      </c>
      <c r="C125" s="1227">
        <v>0.1</v>
      </c>
      <c r="D125" s="1227">
        <v>1.1363636363636365E-3</v>
      </c>
      <c r="E125" s="1227">
        <f t="shared" si="9"/>
        <v>0.1406443618339529</v>
      </c>
      <c r="F125" s="1227">
        <f t="shared" si="5"/>
        <v>-1.0774288443537556</v>
      </c>
      <c r="G125" s="1227">
        <f t="shared" si="6"/>
        <v>2.5649493574615367</v>
      </c>
      <c r="H125" s="1227">
        <f t="shared" si="7"/>
        <v>-2.3025850929940455</v>
      </c>
      <c r="I125" s="1227">
        <f t="shared" si="8"/>
        <v>-6.7799219074722519</v>
      </c>
      <c r="J125" s="27"/>
    </row>
    <row r="126" spans="1:10">
      <c r="A126" s="27">
        <v>115</v>
      </c>
      <c r="B126" s="1227">
        <v>13</v>
      </c>
      <c r="C126" s="1227">
        <v>0.1</v>
      </c>
      <c r="D126" s="1227">
        <v>1.1363636363636365E-3</v>
      </c>
      <c r="E126" s="1227">
        <f t="shared" si="9"/>
        <v>0.14188351920693928</v>
      </c>
      <c r="F126" s="1227">
        <f t="shared" si="5"/>
        <v>-1.0718953513709781</v>
      </c>
      <c r="G126" s="1227">
        <f t="shared" si="6"/>
        <v>2.5649493574615367</v>
      </c>
      <c r="H126" s="1227">
        <f t="shared" si="7"/>
        <v>-2.3025850929940455</v>
      </c>
      <c r="I126" s="1227">
        <f t="shared" si="8"/>
        <v>-6.7799219074722519</v>
      </c>
      <c r="J126" s="27"/>
    </row>
    <row r="127" spans="1:10">
      <c r="A127" s="27">
        <v>116</v>
      </c>
      <c r="B127" s="1227">
        <v>13</v>
      </c>
      <c r="C127" s="1227">
        <v>0.1</v>
      </c>
      <c r="D127" s="1227">
        <v>1.1363636363636365E-3</v>
      </c>
      <c r="E127" s="1227">
        <f t="shared" si="9"/>
        <v>0.14312267657992564</v>
      </c>
      <c r="F127" s="1227">
        <f t="shared" si="5"/>
        <v>-1.0663944861531984</v>
      </c>
      <c r="G127" s="1227">
        <f t="shared" si="6"/>
        <v>2.5649493574615367</v>
      </c>
      <c r="H127" s="1227">
        <f t="shared" si="7"/>
        <v>-2.3025850929940455</v>
      </c>
      <c r="I127" s="1227">
        <f t="shared" si="8"/>
        <v>-6.7799219074722519</v>
      </c>
      <c r="J127" s="27"/>
    </row>
    <row r="128" spans="1:10">
      <c r="A128" s="27">
        <v>117</v>
      </c>
      <c r="B128" s="1227">
        <v>13</v>
      </c>
      <c r="C128" s="1227">
        <v>0.1</v>
      </c>
      <c r="D128" s="1227">
        <v>1.1363636363636365E-3</v>
      </c>
      <c r="E128" s="1227">
        <f t="shared" si="9"/>
        <v>0.14436183395291202</v>
      </c>
      <c r="F128" s="1227">
        <f t="shared" si="5"/>
        <v>-1.060925701662939</v>
      </c>
      <c r="G128" s="1227">
        <f t="shared" si="6"/>
        <v>2.5649493574615367</v>
      </c>
      <c r="H128" s="1227">
        <f t="shared" si="7"/>
        <v>-2.3025850929940455</v>
      </c>
      <c r="I128" s="1227">
        <f t="shared" si="8"/>
        <v>-6.7799219074722519</v>
      </c>
      <c r="J128" s="27"/>
    </row>
    <row r="129" spans="1:10">
      <c r="A129" s="27">
        <v>118</v>
      </c>
      <c r="B129" s="1227">
        <v>13</v>
      </c>
      <c r="C129" s="1227">
        <v>0.1</v>
      </c>
      <c r="D129" s="1227">
        <v>1.1363636363636365E-3</v>
      </c>
      <c r="E129" s="1227">
        <f t="shared" si="9"/>
        <v>0.14560099132589838</v>
      </c>
      <c r="F129" s="1227">
        <f t="shared" si="5"/>
        <v>-1.0554884642056614</v>
      </c>
      <c r="G129" s="1227">
        <f t="shared" si="6"/>
        <v>2.5649493574615367</v>
      </c>
      <c r="H129" s="1227">
        <f t="shared" si="7"/>
        <v>-2.3025850929940455</v>
      </c>
      <c r="I129" s="1227">
        <f t="shared" si="8"/>
        <v>-6.7799219074722519</v>
      </c>
      <c r="J129" s="27"/>
    </row>
    <row r="130" spans="1:10">
      <c r="A130" s="27">
        <v>119</v>
      </c>
      <c r="B130" s="1227">
        <v>15</v>
      </c>
      <c r="C130" s="1227">
        <v>0.1</v>
      </c>
      <c r="D130" s="1227">
        <v>1.1363636363636365E-3</v>
      </c>
      <c r="E130" s="1227">
        <f t="shared" si="9"/>
        <v>0.14684014869888476</v>
      </c>
      <c r="F130" s="1227">
        <f t="shared" si="5"/>
        <v>-1.0500822529904894</v>
      </c>
      <c r="G130" s="1227">
        <f t="shared" si="6"/>
        <v>2.7080502011022101</v>
      </c>
      <c r="H130" s="1227">
        <f t="shared" si="7"/>
        <v>-2.3025850929940455</v>
      </c>
      <c r="I130" s="1227">
        <f t="shared" si="8"/>
        <v>-6.7799219074722519</v>
      </c>
      <c r="J130" s="27"/>
    </row>
    <row r="131" spans="1:10">
      <c r="A131" s="27">
        <v>120</v>
      </c>
      <c r="B131" s="1227">
        <v>15</v>
      </c>
      <c r="C131" s="1227">
        <v>0.1</v>
      </c>
      <c r="D131" s="1227">
        <v>1.1363636363636365E-3</v>
      </c>
      <c r="E131" s="1227">
        <f t="shared" si="9"/>
        <v>0.14807930607187111</v>
      </c>
      <c r="F131" s="1227">
        <f t="shared" si="5"/>
        <v>-1.0447065597089622</v>
      </c>
      <c r="G131" s="1227">
        <f t="shared" si="6"/>
        <v>2.7080502011022101</v>
      </c>
      <c r="H131" s="1227">
        <f t="shared" si="7"/>
        <v>-2.3025850929940455</v>
      </c>
      <c r="I131" s="1227">
        <f t="shared" si="8"/>
        <v>-6.7799219074722519</v>
      </c>
      <c r="J131" s="27"/>
    </row>
    <row r="132" spans="1:10">
      <c r="A132" s="27">
        <v>121</v>
      </c>
      <c r="B132" s="1227">
        <v>15</v>
      </c>
      <c r="C132" s="1227">
        <v>0.1</v>
      </c>
      <c r="D132" s="1227">
        <v>1.1363636363636365E-3</v>
      </c>
      <c r="E132" s="1227">
        <f t="shared" si="9"/>
        <v>0.1493184634448575</v>
      </c>
      <c r="F132" s="1227">
        <f t="shared" si="5"/>
        <v>-1.0393608881309535</v>
      </c>
      <c r="G132" s="1227">
        <f t="shared" si="6"/>
        <v>2.7080502011022101</v>
      </c>
      <c r="H132" s="1227">
        <f t="shared" si="7"/>
        <v>-2.3025850929940455</v>
      </c>
      <c r="I132" s="1227">
        <f t="shared" si="8"/>
        <v>-6.7799219074722519</v>
      </c>
      <c r="J132" s="27"/>
    </row>
    <row r="133" spans="1:10">
      <c r="A133" s="27">
        <v>122</v>
      </c>
      <c r="B133" s="1227">
        <v>17</v>
      </c>
      <c r="C133" s="1227">
        <v>0.1</v>
      </c>
      <c r="D133" s="1227">
        <v>1.1363636363636365E-3</v>
      </c>
      <c r="E133" s="1227">
        <f t="shared" si="9"/>
        <v>0.15055762081784388</v>
      </c>
      <c r="F133" s="1227">
        <f t="shared" si="5"/>
        <v>-1.0340447537168658</v>
      </c>
      <c r="G133" s="1227">
        <f t="shared" si="6"/>
        <v>2.8332133440562162</v>
      </c>
      <c r="H133" s="1227">
        <f t="shared" si="7"/>
        <v>-2.3025850929940455</v>
      </c>
      <c r="I133" s="1227">
        <f t="shared" si="8"/>
        <v>-6.7799219074722519</v>
      </c>
      <c r="J133" s="27"/>
    </row>
    <row r="134" spans="1:10">
      <c r="A134" s="27">
        <v>123</v>
      </c>
      <c r="B134" s="1227">
        <v>17</v>
      </c>
      <c r="C134" s="1227">
        <v>0.1</v>
      </c>
      <c r="D134" s="1227">
        <v>1.1363636363636365E-3</v>
      </c>
      <c r="E134" s="1227">
        <f t="shared" si="9"/>
        <v>0.15179677819083023</v>
      </c>
      <c r="F134" s="1227">
        <f t="shared" si="5"/>
        <v>-1.0287576832453833</v>
      </c>
      <c r="G134" s="1227">
        <f t="shared" si="6"/>
        <v>2.8332133440562162</v>
      </c>
      <c r="H134" s="1227">
        <f t="shared" si="7"/>
        <v>-2.3025850929940455</v>
      </c>
      <c r="I134" s="1227">
        <f t="shared" si="8"/>
        <v>-6.7799219074722519</v>
      </c>
      <c r="J134" s="27"/>
    </row>
    <row r="135" spans="1:10">
      <c r="A135" s="27">
        <v>124</v>
      </c>
      <c r="B135" s="1227">
        <v>17</v>
      </c>
      <c r="C135" s="1227">
        <v>0.1</v>
      </c>
      <c r="D135" s="1227">
        <v>1.1931818181818181E-3</v>
      </c>
      <c r="E135" s="1227">
        <f t="shared" si="9"/>
        <v>0.15303593556381662</v>
      </c>
      <c r="F135" s="1227">
        <f t="shared" si="5"/>
        <v>-1.0234992144559822</v>
      </c>
      <c r="G135" s="1227">
        <f t="shared" si="6"/>
        <v>2.8332133440562162</v>
      </c>
      <c r="H135" s="1227">
        <f t="shared" si="7"/>
        <v>-2.3025850929940455</v>
      </c>
      <c r="I135" s="1227">
        <f t="shared" si="8"/>
        <v>-6.7311317433028206</v>
      </c>
      <c r="J135" s="27"/>
    </row>
    <row r="136" spans="1:10">
      <c r="A136" s="27">
        <v>125</v>
      </c>
      <c r="B136" s="1227">
        <v>17</v>
      </c>
      <c r="C136" s="1227">
        <v>0.1</v>
      </c>
      <c r="D136" s="1227">
        <v>1.1931818181818183E-3</v>
      </c>
      <c r="E136" s="1227">
        <f t="shared" si="9"/>
        <v>0.15427509293680297</v>
      </c>
      <c r="F136" s="1227">
        <f t="shared" si="5"/>
        <v>-1.0182688957055219</v>
      </c>
      <c r="G136" s="1227">
        <f t="shared" si="6"/>
        <v>2.8332133440562162</v>
      </c>
      <c r="H136" s="1227">
        <f t="shared" si="7"/>
        <v>-2.3025850929940455</v>
      </c>
      <c r="I136" s="1227">
        <f t="shared" si="8"/>
        <v>-6.7311317433028197</v>
      </c>
      <c r="J136" s="27"/>
    </row>
    <row r="137" spans="1:10">
      <c r="A137" s="27">
        <v>126</v>
      </c>
      <c r="B137" s="1227">
        <v>17</v>
      </c>
      <c r="C137" s="1227">
        <v>0.1</v>
      </c>
      <c r="D137" s="1227">
        <v>1.3068181818181818E-3</v>
      </c>
      <c r="E137" s="1227">
        <f t="shared" si="9"/>
        <v>0.15551425030978935</v>
      </c>
      <c r="F137" s="1227">
        <f t="shared" si="5"/>
        <v>-1.0130662856382573</v>
      </c>
      <c r="G137" s="1227">
        <f t="shared" si="6"/>
        <v>2.8332133440562162</v>
      </c>
      <c r="H137" s="1227">
        <f t="shared" si="7"/>
        <v>-2.3025850929940455</v>
      </c>
      <c r="I137" s="1227">
        <f t="shared" si="8"/>
        <v>-6.6401599650970935</v>
      </c>
      <c r="J137" s="27"/>
    </row>
    <row r="138" spans="1:10">
      <c r="A138" s="27">
        <v>127</v>
      </c>
      <c r="B138" s="1227">
        <v>17</v>
      </c>
      <c r="C138" s="1227">
        <v>0.1</v>
      </c>
      <c r="D138" s="1227">
        <v>1.3636363636363635E-3</v>
      </c>
      <c r="E138" s="1227">
        <f t="shared" si="9"/>
        <v>0.15675340768277571</v>
      </c>
      <c r="F138" s="1227">
        <f t="shared" si="5"/>
        <v>-1.0078909528686477</v>
      </c>
      <c r="G138" s="1227">
        <f t="shared" si="6"/>
        <v>2.8332133440562162</v>
      </c>
      <c r="H138" s="1227">
        <f t="shared" si="7"/>
        <v>-2.3025850929940455</v>
      </c>
      <c r="I138" s="1227">
        <f t="shared" si="8"/>
        <v>-6.5976003506782979</v>
      </c>
      <c r="J138" s="27"/>
    </row>
    <row r="139" spans="1:10">
      <c r="A139" s="27">
        <v>128</v>
      </c>
      <c r="B139" s="1227">
        <v>17</v>
      </c>
      <c r="C139" s="1227">
        <v>0.1</v>
      </c>
      <c r="D139" s="1227">
        <v>1.4204545454545455E-3</v>
      </c>
      <c r="E139" s="1227">
        <f t="shared" si="9"/>
        <v>0.15799256505576209</v>
      </c>
      <c r="F139" s="1227">
        <f t="shared" si="5"/>
        <v>-1.0027424756763177</v>
      </c>
      <c r="G139" s="1227">
        <f t="shared" si="6"/>
        <v>2.8332133440562162</v>
      </c>
      <c r="H139" s="1227">
        <f t="shared" si="7"/>
        <v>-2.3025850929940455</v>
      </c>
      <c r="I139" s="1227">
        <f t="shared" si="8"/>
        <v>-6.5567783561580422</v>
      </c>
      <c r="J139" s="27"/>
    </row>
    <row r="140" spans="1:10">
      <c r="A140" s="27">
        <v>129</v>
      </c>
      <c r="B140" s="1227">
        <v>17</v>
      </c>
      <c r="C140" s="1227">
        <v>0.1</v>
      </c>
      <c r="D140" s="1227">
        <v>1.4204545454545455E-3</v>
      </c>
      <c r="E140" s="1227">
        <f t="shared" si="9"/>
        <v>0.15923172242874845</v>
      </c>
      <c r="F140" s="1227">
        <f t="shared" ref="F140:F203" si="10">NORMSINV(E140)</f>
        <v>-0.99762044171272712</v>
      </c>
      <c r="G140" s="1227">
        <f t="shared" ref="G140:G203" si="11">LN(B140)</f>
        <v>2.8332133440562162</v>
      </c>
      <c r="H140" s="1227">
        <f t="shared" ref="H140:H203" si="12">LN(C140)</f>
        <v>-2.3025850929940455</v>
      </c>
      <c r="I140" s="1227">
        <f t="shared" ref="I140:I203" si="13">LN(D140)</f>
        <v>-6.5567783561580422</v>
      </c>
      <c r="J140" s="27"/>
    </row>
    <row r="141" spans="1:10">
      <c r="A141" s="27">
        <v>130</v>
      </c>
      <c r="B141" s="1227">
        <v>17</v>
      </c>
      <c r="C141" s="1227">
        <v>0.1</v>
      </c>
      <c r="D141" s="1227">
        <v>1.4204545454545455E-3</v>
      </c>
      <c r="E141" s="1227">
        <f t="shared" ref="E141:E204" si="14">(A141-0.5)/807</f>
        <v>0.16047087980173483</v>
      </c>
      <c r="F141" s="1227">
        <f t="shared" si="10"/>
        <v>-0.99252444771886239</v>
      </c>
      <c r="G141" s="1227">
        <f t="shared" si="11"/>
        <v>2.8332133440562162</v>
      </c>
      <c r="H141" s="1227">
        <f t="shared" si="12"/>
        <v>-2.3025850929940455</v>
      </c>
      <c r="I141" s="1227">
        <f t="shared" si="13"/>
        <v>-6.5567783561580422</v>
      </c>
      <c r="J141" s="27"/>
    </row>
    <row r="142" spans="1:10">
      <c r="A142" s="27">
        <v>131</v>
      </c>
      <c r="B142" s="1227">
        <v>17</v>
      </c>
      <c r="C142" s="1227">
        <v>0.1</v>
      </c>
      <c r="D142" s="1227">
        <v>1.4204545454545455E-3</v>
      </c>
      <c r="E142" s="1227">
        <f t="shared" si="14"/>
        <v>0.16171003717472118</v>
      </c>
      <c r="F142" s="1227">
        <f t="shared" si="10"/>
        <v>-0.98745409925358074</v>
      </c>
      <c r="G142" s="1227">
        <f t="shared" si="11"/>
        <v>2.8332133440562162</v>
      </c>
      <c r="H142" s="1227">
        <f t="shared" si="12"/>
        <v>-2.3025850929940455</v>
      </c>
      <c r="I142" s="1227">
        <f t="shared" si="13"/>
        <v>-6.5567783561580422</v>
      </c>
      <c r="J142" s="27"/>
    </row>
    <row r="143" spans="1:10">
      <c r="A143" s="27">
        <v>132</v>
      </c>
      <c r="B143" s="1227">
        <v>17</v>
      </c>
      <c r="C143" s="1227">
        <v>0.1</v>
      </c>
      <c r="D143" s="1227">
        <v>1.4204545454545455E-3</v>
      </c>
      <c r="E143" s="1227">
        <f t="shared" si="14"/>
        <v>0.16294919454770757</v>
      </c>
      <c r="F143" s="1227">
        <f t="shared" si="10"/>
        <v>-0.9824090104320703</v>
      </c>
      <c r="G143" s="1227">
        <f t="shared" si="11"/>
        <v>2.8332133440562162</v>
      </c>
      <c r="H143" s="1227">
        <f t="shared" si="12"/>
        <v>-2.3025850929940455</v>
      </c>
      <c r="I143" s="1227">
        <f t="shared" si="13"/>
        <v>-6.5567783561580422</v>
      </c>
      <c r="J143" s="27"/>
    </row>
    <row r="144" spans="1:10">
      <c r="A144" s="27">
        <v>133</v>
      </c>
      <c r="B144" s="1227">
        <v>17</v>
      </c>
      <c r="C144" s="1227">
        <v>0.1</v>
      </c>
      <c r="D144" s="1227">
        <v>1.4204545454545455E-3</v>
      </c>
      <c r="E144" s="1227">
        <f t="shared" si="14"/>
        <v>0.16418835192069392</v>
      </c>
      <c r="F144" s="1227">
        <f t="shared" si="10"/>
        <v>-0.97738880367395276</v>
      </c>
      <c r="G144" s="1227">
        <f t="shared" si="11"/>
        <v>2.8332133440562162</v>
      </c>
      <c r="H144" s="1227">
        <f t="shared" si="12"/>
        <v>-2.3025850929940455</v>
      </c>
      <c r="I144" s="1227">
        <f t="shared" si="13"/>
        <v>-6.5567783561580422</v>
      </c>
      <c r="J144" s="27"/>
    </row>
    <row r="145" spans="1:10">
      <c r="A145" s="27">
        <v>134</v>
      </c>
      <c r="B145" s="1227">
        <v>17</v>
      </c>
      <c r="C145" s="1227">
        <v>0.1</v>
      </c>
      <c r="D145" s="1227">
        <v>1.4204545454545455E-3</v>
      </c>
      <c r="E145" s="1227">
        <f t="shared" si="14"/>
        <v>0.1654275092936803</v>
      </c>
      <c r="F145" s="1227">
        <f t="shared" si="10"/>
        <v>-0.97239310946067403</v>
      </c>
      <c r="G145" s="1227">
        <f t="shared" si="11"/>
        <v>2.8332133440562162</v>
      </c>
      <c r="H145" s="1227">
        <f t="shared" si="12"/>
        <v>-2.3025850929940455</v>
      </c>
      <c r="I145" s="1227">
        <f t="shared" si="13"/>
        <v>-6.5567783561580422</v>
      </c>
      <c r="J145" s="27"/>
    </row>
    <row r="146" spans="1:10">
      <c r="A146" s="27">
        <v>135</v>
      </c>
      <c r="B146" s="1227">
        <v>17</v>
      </c>
      <c r="C146" s="1227">
        <v>0.1</v>
      </c>
      <c r="D146" s="1227">
        <v>1.4204545454545455E-3</v>
      </c>
      <c r="E146" s="1227">
        <f t="shared" si="14"/>
        <v>0.16666666666666666</v>
      </c>
      <c r="F146" s="1227">
        <f t="shared" si="10"/>
        <v>-0.96742156610170071</v>
      </c>
      <c r="G146" s="1227">
        <f t="shared" si="11"/>
        <v>2.8332133440562162</v>
      </c>
      <c r="H146" s="1227">
        <f t="shared" si="12"/>
        <v>-2.3025850929940455</v>
      </c>
      <c r="I146" s="1227">
        <f t="shared" si="13"/>
        <v>-6.5567783561580422</v>
      </c>
      <c r="J146" s="27"/>
    </row>
    <row r="147" spans="1:10">
      <c r="A147" s="27">
        <v>136</v>
      </c>
      <c r="B147" s="1227">
        <v>17</v>
      </c>
      <c r="C147" s="1227">
        <v>0.1</v>
      </c>
      <c r="D147" s="1227">
        <v>1.4204545454545455E-3</v>
      </c>
      <c r="E147" s="1227">
        <f t="shared" si="14"/>
        <v>0.16790582403965304</v>
      </c>
      <c r="F147" s="1227">
        <f t="shared" si="10"/>
        <v>-0.96247381950917721</v>
      </c>
      <c r="G147" s="1227">
        <f t="shared" si="11"/>
        <v>2.8332133440562162</v>
      </c>
      <c r="H147" s="1227">
        <f t="shared" si="12"/>
        <v>-2.3025850929940455</v>
      </c>
      <c r="I147" s="1227">
        <f t="shared" si="13"/>
        <v>-6.5567783561580422</v>
      </c>
      <c r="J147" s="27"/>
    </row>
    <row r="148" spans="1:10">
      <c r="A148" s="27">
        <v>137</v>
      </c>
      <c r="B148" s="1227">
        <v>17</v>
      </c>
      <c r="C148" s="1227">
        <v>0.1</v>
      </c>
      <c r="D148" s="1227">
        <v>1.4204545454545455E-3</v>
      </c>
      <c r="E148" s="1227">
        <f t="shared" si="14"/>
        <v>0.16914498141263939</v>
      </c>
      <c r="F148" s="1227">
        <f t="shared" si="10"/>
        <v>-0.9575495229806702</v>
      </c>
      <c r="G148" s="1227">
        <f t="shared" si="11"/>
        <v>2.8332133440562162</v>
      </c>
      <c r="H148" s="1227">
        <f t="shared" si="12"/>
        <v>-2.3025850929940455</v>
      </c>
      <c r="I148" s="1227">
        <f t="shared" si="13"/>
        <v>-6.5567783561580422</v>
      </c>
      <c r="J148" s="27"/>
    </row>
    <row r="149" spans="1:10">
      <c r="A149" s="27">
        <v>138</v>
      </c>
      <c r="B149" s="1227">
        <v>17</v>
      </c>
      <c r="C149" s="1227">
        <v>0.1</v>
      </c>
      <c r="D149" s="1227">
        <v>1.4204545454545455E-3</v>
      </c>
      <c r="E149" s="1227">
        <f t="shared" si="14"/>
        <v>0.17038413878562578</v>
      </c>
      <c r="F149" s="1227">
        <f t="shared" si="10"/>
        <v>-0.95264833698965778</v>
      </c>
      <c r="G149" s="1227">
        <f t="shared" si="11"/>
        <v>2.8332133440562162</v>
      </c>
      <c r="H149" s="1227">
        <f t="shared" si="12"/>
        <v>-2.3025850929940455</v>
      </c>
      <c r="I149" s="1227">
        <f t="shared" si="13"/>
        <v>-6.5567783561580422</v>
      </c>
      <c r="J149" s="27"/>
    </row>
    <row r="150" spans="1:10">
      <c r="A150" s="27">
        <v>139</v>
      </c>
      <c r="B150" s="1227">
        <v>17</v>
      </c>
      <c r="C150" s="1227">
        <v>0.1</v>
      </c>
      <c r="D150" s="1227">
        <v>1.4204545454545455E-3</v>
      </c>
      <c r="E150" s="1227">
        <f t="shared" si="14"/>
        <v>0.17162329615861213</v>
      </c>
      <c r="F150" s="1227">
        <f t="shared" si="10"/>
        <v>-0.94776992898341883</v>
      </c>
      <c r="G150" s="1227">
        <f t="shared" si="11"/>
        <v>2.8332133440562162</v>
      </c>
      <c r="H150" s="1227">
        <f t="shared" si="12"/>
        <v>-2.3025850929940455</v>
      </c>
      <c r="I150" s="1227">
        <f t="shared" si="13"/>
        <v>-6.5567783561580422</v>
      </c>
      <c r="J150" s="27"/>
    </row>
    <row r="151" spans="1:10">
      <c r="A151" s="27">
        <v>140</v>
      </c>
      <c r="B151" s="1227">
        <v>17</v>
      </c>
      <c r="C151" s="1227">
        <v>0.1</v>
      </c>
      <c r="D151" s="1227">
        <v>1.4204545454545455E-3</v>
      </c>
      <c r="E151" s="1227">
        <f t="shared" si="14"/>
        <v>0.17286245353159851</v>
      </c>
      <c r="F151" s="1227">
        <f t="shared" si="10"/>
        <v>-0.94291397318801362</v>
      </c>
      <c r="G151" s="1227">
        <f t="shared" si="11"/>
        <v>2.8332133440562162</v>
      </c>
      <c r="H151" s="1227">
        <f t="shared" si="12"/>
        <v>-2.3025850929940455</v>
      </c>
      <c r="I151" s="1227">
        <f t="shared" si="13"/>
        <v>-6.5567783561580422</v>
      </c>
      <c r="J151" s="27"/>
    </row>
    <row r="152" spans="1:10">
      <c r="A152" s="27">
        <v>141</v>
      </c>
      <c r="B152" s="1227">
        <v>17</v>
      </c>
      <c r="C152" s="1227">
        <v>0.1</v>
      </c>
      <c r="D152" s="1227">
        <v>1.4204545454545455E-3</v>
      </c>
      <c r="E152" s="1227">
        <f t="shared" si="14"/>
        <v>0.17410161090458487</v>
      </c>
      <c r="F152" s="1227">
        <f t="shared" si="10"/>
        <v>-0.93808015042007897</v>
      </c>
      <c r="G152" s="1227">
        <f t="shared" si="11"/>
        <v>2.8332133440562162</v>
      </c>
      <c r="H152" s="1227">
        <f t="shared" si="12"/>
        <v>-2.3025850929940455</v>
      </c>
      <c r="I152" s="1227">
        <f t="shared" si="13"/>
        <v>-6.5567783561580422</v>
      </c>
      <c r="J152" s="27"/>
    </row>
    <row r="153" spans="1:10">
      <c r="A153" s="27">
        <v>142</v>
      </c>
      <c r="B153" s="1227">
        <v>20</v>
      </c>
      <c r="C153" s="1227">
        <v>0.1</v>
      </c>
      <c r="D153" s="1227">
        <v>1.4204545454545455E-3</v>
      </c>
      <c r="E153" s="1227">
        <f t="shared" si="14"/>
        <v>0.17534076827757125</v>
      </c>
      <c r="F153" s="1227">
        <f t="shared" si="10"/>
        <v>-0.93326814790512536</v>
      </c>
      <c r="G153" s="1227">
        <f t="shared" si="11"/>
        <v>2.9957322735539909</v>
      </c>
      <c r="H153" s="1227">
        <f t="shared" si="12"/>
        <v>-2.3025850929940455</v>
      </c>
      <c r="I153" s="1227">
        <f t="shared" si="13"/>
        <v>-6.5567783561580422</v>
      </c>
      <c r="J153" s="27"/>
    </row>
    <row r="154" spans="1:10">
      <c r="A154" s="27">
        <v>143</v>
      </c>
      <c r="B154" s="1227">
        <v>20</v>
      </c>
      <c r="C154" s="1227">
        <v>0.1</v>
      </c>
      <c r="D154" s="1227">
        <v>1.4204545454545455E-3</v>
      </c>
      <c r="E154" s="1227">
        <f t="shared" si="14"/>
        <v>0.17657992565055763</v>
      </c>
      <c r="F154" s="1227">
        <f t="shared" si="10"/>
        <v>-0.92847765910206081</v>
      </c>
      <c r="G154" s="1227">
        <f t="shared" si="11"/>
        <v>2.9957322735539909</v>
      </c>
      <c r="H154" s="1227">
        <f t="shared" si="12"/>
        <v>-2.3025850929940455</v>
      </c>
      <c r="I154" s="1227">
        <f t="shared" si="13"/>
        <v>-6.5567783561580422</v>
      </c>
      <c r="J154" s="27"/>
    </row>
    <row r="155" spans="1:10">
      <c r="A155" s="27">
        <v>144</v>
      </c>
      <c r="B155" s="1227">
        <v>20</v>
      </c>
      <c r="C155" s="1227">
        <v>0.1</v>
      </c>
      <c r="D155" s="1227">
        <v>1.4204545454545455E-3</v>
      </c>
      <c r="E155" s="1227">
        <f t="shared" si="14"/>
        <v>0.17781908302354399</v>
      </c>
      <c r="F155" s="1227">
        <f t="shared" si="10"/>
        <v>-0.92370838353373652</v>
      </c>
      <c r="G155" s="1227">
        <f t="shared" si="11"/>
        <v>2.9957322735539909</v>
      </c>
      <c r="H155" s="1227">
        <f t="shared" si="12"/>
        <v>-2.3025850929940455</v>
      </c>
      <c r="I155" s="1227">
        <f t="shared" si="13"/>
        <v>-6.5567783561580422</v>
      </c>
      <c r="J155" s="27"/>
    </row>
    <row r="156" spans="1:10">
      <c r="A156" s="27">
        <v>145</v>
      </c>
      <c r="B156" s="1227">
        <v>20</v>
      </c>
      <c r="C156" s="1227">
        <v>0.1</v>
      </c>
      <c r="D156" s="1227">
        <v>1.4204545454545455E-3</v>
      </c>
      <c r="E156" s="1227">
        <f t="shared" si="14"/>
        <v>0.17905824039653037</v>
      </c>
      <c r="F156" s="1227">
        <f t="shared" si="10"/>
        <v>-0.91896002662320075</v>
      </c>
      <c r="G156" s="1227">
        <f t="shared" si="11"/>
        <v>2.9957322735539909</v>
      </c>
      <c r="H156" s="1227">
        <f t="shared" si="12"/>
        <v>-2.3025850929940455</v>
      </c>
      <c r="I156" s="1227">
        <f t="shared" si="13"/>
        <v>-6.5567783561580422</v>
      </c>
      <c r="J156" s="27"/>
    </row>
    <row r="157" spans="1:10">
      <c r="A157" s="27">
        <v>146</v>
      </c>
      <c r="B157" s="1227">
        <v>20</v>
      </c>
      <c r="C157" s="1227">
        <v>0.1</v>
      </c>
      <c r="D157" s="1227">
        <v>1.4204545454545455E-3</v>
      </c>
      <c r="E157" s="1227">
        <f t="shared" si="14"/>
        <v>0.18029739776951673</v>
      </c>
      <c r="F157" s="1227">
        <f t="shared" si="10"/>
        <v>-0.91423229953548146</v>
      </c>
      <c r="G157" s="1227">
        <f t="shared" si="11"/>
        <v>2.9957322735539909</v>
      </c>
      <c r="H157" s="1227">
        <f t="shared" si="12"/>
        <v>-2.3025850929940455</v>
      </c>
      <c r="I157" s="1227">
        <f t="shared" si="13"/>
        <v>-6.5567783561580422</v>
      </c>
      <c r="J157" s="27"/>
    </row>
    <row r="158" spans="1:10">
      <c r="A158" s="27">
        <v>147</v>
      </c>
      <c r="B158" s="1227">
        <v>20</v>
      </c>
      <c r="C158" s="1227">
        <v>0.1</v>
      </c>
      <c r="D158" s="1227">
        <v>1.4204545454545455E-3</v>
      </c>
      <c r="E158" s="1227">
        <f t="shared" si="14"/>
        <v>0.18153655514250311</v>
      </c>
      <c r="F158" s="1227">
        <f t="shared" si="10"/>
        <v>-0.90952491902464438</v>
      </c>
      <c r="G158" s="1227">
        <f t="shared" si="11"/>
        <v>2.9957322735539909</v>
      </c>
      <c r="H158" s="1227">
        <f t="shared" si="12"/>
        <v>-2.3025850929940455</v>
      </c>
      <c r="I158" s="1227">
        <f t="shared" si="13"/>
        <v>-6.5567783561580422</v>
      </c>
      <c r="J158" s="27"/>
    </row>
    <row r="159" spans="1:10">
      <c r="A159" s="27">
        <v>148</v>
      </c>
      <c r="B159" s="1227">
        <v>20</v>
      </c>
      <c r="C159" s="1227">
        <v>0.1</v>
      </c>
      <c r="D159" s="1227">
        <v>1.4204545454545455E-3</v>
      </c>
      <c r="E159" s="1227">
        <f t="shared" si="14"/>
        <v>0.18277571251548946</v>
      </c>
      <c r="F159" s="1227">
        <f t="shared" si="10"/>
        <v>-0.9048376072859271</v>
      </c>
      <c r="G159" s="1227">
        <f t="shared" si="11"/>
        <v>2.9957322735539909</v>
      </c>
      <c r="H159" s="1227">
        <f t="shared" si="12"/>
        <v>-2.3025850929940455</v>
      </c>
      <c r="I159" s="1227">
        <f t="shared" si="13"/>
        <v>-6.5567783561580422</v>
      </c>
      <c r="J159" s="27"/>
    </row>
    <row r="160" spans="1:10">
      <c r="A160" s="27">
        <v>149</v>
      </c>
      <c r="B160" s="1227">
        <v>20</v>
      </c>
      <c r="C160" s="1227">
        <v>0.1</v>
      </c>
      <c r="D160" s="1227">
        <v>1.4204545454545455E-3</v>
      </c>
      <c r="E160" s="1227">
        <f t="shared" si="14"/>
        <v>0.18401486988847585</v>
      </c>
      <c r="F160" s="1227">
        <f t="shared" si="10"/>
        <v>-0.90017009181275498</v>
      </c>
      <c r="G160" s="1227">
        <f t="shared" si="11"/>
        <v>2.9957322735539909</v>
      </c>
      <c r="H160" s="1227">
        <f t="shared" si="12"/>
        <v>-2.3025850929940455</v>
      </c>
      <c r="I160" s="1227">
        <f t="shared" si="13"/>
        <v>-6.5567783561580422</v>
      </c>
      <c r="J160" s="27"/>
    </row>
    <row r="161" spans="1:10">
      <c r="A161" s="27">
        <v>150</v>
      </c>
      <c r="B161" s="1227">
        <v>20</v>
      </c>
      <c r="C161" s="1227">
        <v>0.1</v>
      </c>
      <c r="D161" s="1227">
        <v>1.4204545454545455E-3</v>
      </c>
      <c r="E161" s="1227">
        <f t="shared" si="14"/>
        <v>0.1852540272614622</v>
      </c>
      <c r="F161" s="1227">
        <f t="shared" si="10"/>
        <v>-0.89552210525841913</v>
      </c>
      <c r="G161" s="1227">
        <f t="shared" si="11"/>
        <v>2.9957322735539909</v>
      </c>
      <c r="H161" s="1227">
        <f t="shared" si="12"/>
        <v>-2.3025850929940455</v>
      </c>
      <c r="I161" s="1227">
        <f t="shared" si="13"/>
        <v>-6.5567783561580422</v>
      </c>
      <c r="J161" s="27"/>
    </row>
    <row r="162" spans="1:10">
      <c r="A162" s="27">
        <v>151</v>
      </c>
      <c r="B162" s="1227">
        <v>20</v>
      </c>
      <c r="C162" s="1227">
        <v>0.1</v>
      </c>
      <c r="D162" s="1227">
        <v>1.4204545454545455E-3</v>
      </c>
      <c r="E162" s="1227">
        <f t="shared" si="14"/>
        <v>0.18649318463444858</v>
      </c>
      <c r="F162" s="1227">
        <f t="shared" si="10"/>
        <v>-0.89089338530226814</v>
      </c>
      <c r="G162" s="1227">
        <f t="shared" si="11"/>
        <v>2.9957322735539909</v>
      </c>
      <c r="H162" s="1227">
        <f t="shared" si="12"/>
        <v>-2.3025850929940455</v>
      </c>
      <c r="I162" s="1227">
        <f t="shared" si="13"/>
        <v>-6.5567783561580422</v>
      </c>
      <c r="J162" s="27"/>
    </row>
    <row r="163" spans="1:10">
      <c r="A163" s="27">
        <v>152</v>
      </c>
      <c r="B163" s="1227">
        <v>20</v>
      </c>
      <c r="C163" s="1227">
        <v>0.1</v>
      </c>
      <c r="D163" s="1227">
        <v>1.4204545454545455E-3</v>
      </c>
      <c r="E163" s="1227">
        <f t="shared" si="14"/>
        <v>0.18773234200743494</v>
      </c>
      <c r="F163" s="1227">
        <f t="shared" si="10"/>
        <v>-0.88628367452021983</v>
      </c>
      <c r="G163" s="1227">
        <f t="shared" si="11"/>
        <v>2.9957322735539909</v>
      </c>
      <c r="H163" s="1227">
        <f t="shared" si="12"/>
        <v>-2.3025850929940455</v>
      </c>
      <c r="I163" s="1227">
        <f t="shared" si="13"/>
        <v>-6.5567783561580422</v>
      </c>
      <c r="J163" s="27"/>
    </row>
    <row r="164" spans="1:10">
      <c r="A164" s="27">
        <v>153</v>
      </c>
      <c r="B164" s="1227">
        <v>20</v>
      </c>
      <c r="C164" s="1227">
        <v>0.1</v>
      </c>
      <c r="D164" s="1227">
        <v>1.4204545454545455E-3</v>
      </c>
      <c r="E164" s="1227">
        <f t="shared" si="14"/>
        <v>0.18897149938042132</v>
      </c>
      <c r="F164" s="1227">
        <f t="shared" si="10"/>
        <v>-0.88169272025940548</v>
      </c>
      <c r="G164" s="1227">
        <f t="shared" si="11"/>
        <v>2.9957322735539909</v>
      </c>
      <c r="H164" s="1227">
        <f t="shared" si="12"/>
        <v>-2.3025850929940455</v>
      </c>
      <c r="I164" s="1227">
        <f t="shared" si="13"/>
        <v>-6.5567783561580422</v>
      </c>
      <c r="J164" s="27"/>
    </row>
    <row r="165" spans="1:10">
      <c r="A165" s="27">
        <v>154</v>
      </c>
      <c r="B165" s="1227">
        <v>20</v>
      </c>
      <c r="C165" s="1227">
        <v>0.1</v>
      </c>
      <c r="D165" s="1227">
        <v>1.4204545454545455E-3</v>
      </c>
      <c r="E165" s="1227">
        <f t="shared" si="14"/>
        <v>0.19021065675340768</v>
      </c>
      <c r="F165" s="1227">
        <f t="shared" si="10"/>
        <v>-0.87712027451684371</v>
      </c>
      <c r="G165" s="1227">
        <f t="shared" si="11"/>
        <v>2.9957322735539909</v>
      </c>
      <c r="H165" s="1227">
        <f t="shared" si="12"/>
        <v>-2.3025850929940455</v>
      </c>
      <c r="I165" s="1227">
        <f t="shared" si="13"/>
        <v>-6.5567783561580422</v>
      </c>
      <c r="J165" s="27"/>
    </row>
    <row r="166" spans="1:10">
      <c r="A166" s="27">
        <v>155</v>
      </c>
      <c r="B166" s="1227">
        <v>20</v>
      </c>
      <c r="C166" s="1227">
        <v>0.1</v>
      </c>
      <c r="D166" s="1227">
        <v>1.4204545454545455E-3</v>
      </c>
      <c r="E166" s="1227">
        <f t="shared" si="14"/>
        <v>0.19144981412639406</v>
      </c>
      <c r="F166" s="1227">
        <f t="shared" si="10"/>
        <v>-0.87256609382191841</v>
      </c>
      <c r="G166" s="1227">
        <f t="shared" si="11"/>
        <v>2.9957322735539909</v>
      </c>
      <c r="H166" s="1227">
        <f t="shared" si="12"/>
        <v>-2.3025850929940455</v>
      </c>
      <c r="I166" s="1227">
        <f t="shared" si="13"/>
        <v>-6.5567783561580422</v>
      </c>
      <c r="J166" s="27"/>
    </row>
    <row r="167" spans="1:10">
      <c r="A167" s="27">
        <v>156</v>
      </c>
      <c r="B167" s="1227">
        <v>20</v>
      </c>
      <c r="C167" s="1227">
        <v>0.1</v>
      </c>
      <c r="D167" s="1227">
        <v>1.4204545454545455E-3</v>
      </c>
      <c r="E167" s="1227">
        <f t="shared" si="14"/>
        <v>0.19268897149938041</v>
      </c>
      <c r="F167" s="1227">
        <f t="shared" si="10"/>
        <v>-0.86802993912258575</v>
      </c>
      <c r="G167" s="1227">
        <f t="shared" si="11"/>
        <v>2.9957322735539909</v>
      </c>
      <c r="H167" s="1227">
        <f t="shared" si="12"/>
        <v>-2.3025850929940455</v>
      </c>
      <c r="I167" s="1227">
        <f t="shared" si="13"/>
        <v>-6.5567783561580422</v>
      </c>
      <c r="J167" s="27"/>
    </row>
    <row r="168" spans="1:10">
      <c r="A168" s="27">
        <v>157</v>
      </c>
      <c r="B168" s="1227">
        <v>20</v>
      </c>
      <c r="C168" s="1227">
        <v>0.1</v>
      </c>
      <c r="D168" s="1227">
        <v>1.4204545454545455E-3</v>
      </c>
      <c r="E168" s="1227">
        <f t="shared" si="14"/>
        <v>0.1939281288723668</v>
      </c>
      <c r="F168" s="1227">
        <f t="shared" si="10"/>
        <v>-0.86351157567511283</v>
      </c>
      <c r="G168" s="1227">
        <f t="shared" si="11"/>
        <v>2.9957322735539909</v>
      </c>
      <c r="H168" s="1227">
        <f t="shared" si="12"/>
        <v>-2.3025850929940455</v>
      </c>
      <c r="I168" s="1227">
        <f t="shared" si="13"/>
        <v>-6.5567783561580422</v>
      </c>
      <c r="J168" s="27"/>
    </row>
    <row r="169" spans="1:10">
      <c r="A169" s="27">
        <v>158</v>
      </c>
      <c r="B169" s="1227">
        <v>20</v>
      </c>
      <c r="C169" s="1227">
        <v>0.1</v>
      </c>
      <c r="D169" s="1227">
        <v>1.4204545454545455E-3</v>
      </c>
      <c r="E169" s="1227">
        <f t="shared" si="14"/>
        <v>0.19516728624535315</v>
      </c>
      <c r="F169" s="1227">
        <f t="shared" si="10"/>
        <v>-0.85901077293724848</v>
      </c>
      <c r="G169" s="1227">
        <f t="shared" si="11"/>
        <v>2.9957322735539909</v>
      </c>
      <c r="H169" s="1227">
        <f t="shared" si="12"/>
        <v>-2.3025850929940455</v>
      </c>
      <c r="I169" s="1227">
        <f t="shared" si="13"/>
        <v>-6.5567783561580422</v>
      </c>
      <c r="J169" s="27"/>
    </row>
    <row r="170" spans="1:10">
      <c r="A170" s="27">
        <v>159</v>
      </c>
      <c r="B170" s="1227">
        <v>20</v>
      </c>
      <c r="C170" s="1227">
        <v>0.1</v>
      </c>
      <c r="D170" s="1227">
        <v>1.4204545454545455E-3</v>
      </c>
      <c r="E170" s="1227">
        <f t="shared" si="14"/>
        <v>0.19640644361833953</v>
      </c>
      <c r="F170" s="1227">
        <f t="shared" si="10"/>
        <v>-0.85452730446469505</v>
      </c>
      <c r="G170" s="1227">
        <f t="shared" si="11"/>
        <v>2.9957322735539909</v>
      </c>
      <c r="H170" s="1227">
        <f t="shared" si="12"/>
        <v>-2.3025850929940455</v>
      </c>
      <c r="I170" s="1227">
        <f t="shared" si="13"/>
        <v>-6.5567783561580422</v>
      </c>
      <c r="J170" s="27"/>
    </row>
    <row r="171" spans="1:10">
      <c r="A171" s="27">
        <v>160</v>
      </c>
      <c r="B171" s="1227">
        <v>20</v>
      </c>
      <c r="C171" s="1227">
        <v>0.1</v>
      </c>
      <c r="D171" s="1227">
        <v>1.4204545454545455E-3</v>
      </c>
      <c r="E171" s="1227">
        <f t="shared" si="14"/>
        <v>0.19764560099132589</v>
      </c>
      <c r="F171" s="1227">
        <f t="shared" si="10"/>
        <v>-0.85006094781074393</v>
      </c>
      <c r="G171" s="1227">
        <f t="shared" si="11"/>
        <v>2.9957322735539909</v>
      </c>
      <c r="H171" s="1227">
        <f t="shared" si="12"/>
        <v>-2.3025850929940455</v>
      </c>
      <c r="I171" s="1227">
        <f t="shared" si="13"/>
        <v>-6.5567783561580422</v>
      </c>
      <c r="J171" s="27"/>
    </row>
    <row r="172" spans="1:10">
      <c r="A172" s="27">
        <v>161</v>
      </c>
      <c r="B172" s="1227">
        <v>20</v>
      </c>
      <c r="C172" s="1227">
        <v>0.1</v>
      </c>
      <c r="D172" s="1227">
        <v>1.4204545454545455E-3</v>
      </c>
      <c r="E172" s="1227">
        <f t="shared" si="14"/>
        <v>0.19888475836431227</v>
      </c>
      <c r="F172" s="1227">
        <f t="shared" si="10"/>
        <v>-0.84561148442897183</v>
      </c>
      <c r="G172" s="1227">
        <f t="shared" si="11"/>
        <v>2.9957322735539909</v>
      </c>
      <c r="H172" s="1227">
        <f t="shared" si="12"/>
        <v>-2.3025850929940455</v>
      </c>
      <c r="I172" s="1227">
        <f t="shared" si="13"/>
        <v>-6.5567783561580422</v>
      </c>
      <c r="J172" s="27"/>
    </row>
    <row r="173" spans="1:10">
      <c r="A173" s="27">
        <v>162</v>
      </c>
      <c r="B173" s="1227">
        <v>20</v>
      </c>
      <c r="C173" s="1227">
        <v>0.1</v>
      </c>
      <c r="D173" s="1227">
        <v>1.4204545454545455E-3</v>
      </c>
      <c r="E173" s="1227">
        <f t="shared" si="14"/>
        <v>0.20012391573729862</v>
      </c>
      <c r="F173" s="1227">
        <f t="shared" si="10"/>
        <v>-0.84117869957888414</v>
      </c>
      <c r="G173" s="1227">
        <f t="shared" si="11"/>
        <v>2.9957322735539909</v>
      </c>
      <c r="H173" s="1227">
        <f t="shared" si="12"/>
        <v>-2.3025850929940455</v>
      </c>
      <c r="I173" s="1227">
        <f t="shared" si="13"/>
        <v>-6.5567783561580422</v>
      </c>
      <c r="J173" s="27"/>
    </row>
    <row r="174" spans="1:10">
      <c r="A174" s="27">
        <v>163</v>
      </c>
      <c r="B174" s="1227">
        <v>20</v>
      </c>
      <c r="C174" s="1227">
        <v>0.1</v>
      </c>
      <c r="D174" s="1227">
        <v>1.4204545454545455E-3</v>
      </c>
      <c r="E174" s="1227">
        <f t="shared" si="14"/>
        <v>0.20136307311028501</v>
      </c>
      <c r="F174" s="1227">
        <f t="shared" si="10"/>
        <v>-0.83676238223438926</v>
      </c>
      <c r="G174" s="1227">
        <f t="shared" si="11"/>
        <v>2.9957322735539909</v>
      </c>
      <c r="H174" s="1227">
        <f t="shared" si="12"/>
        <v>-2.3025850929940455</v>
      </c>
      <c r="I174" s="1227">
        <f t="shared" si="13"/>
        <v>-6.5567783561580422</v>
      </c>
      <c r="J174" s="27"/>
    </row>
    <row r="175" spans="1:10">
      <c r="A175" s="27">
        <v>164</v>
      </c>
      <c r="B175" s="1227">
        <v>20</v>
      </c>
      <c r="C175" s="1227">
        <v>0.1</v>
      </c>
      <c r="D175" s="1227">
        <v>1.4204545454545455E-3</v>
      </c>
      <c r="E175" s="1227">
        <f t="shared" si="14"/>
        <v>0.20260223048327136</v>
      </c>
      <c r="F175" s="1227">
        <f t="shared" si="10"/>
        <v>-0.83236232499502194</v>
      </c>
      <c r="G175" s="1227">
        <f t="shared" si="11"/>
        <v>2.9957322735539909</v>
      </c>
      <c r="H175" s="1227">
        <f t="shared" si="12"/>
        <v>-2.3025850929940455</v>
      </c>
      <c r="I175" s="1227">
        <f t="shared" si="13"/>
        <v>-6.5567783561580422</v>
      </c>
      <c r="J175" s="27"/>
    </row>
    <row r="176" spans="1:10">
      <c r="A176" s="27">
        <v>165</v>
      </c>
      <c r="B176" s="1227">
        <v>20</v>
      </c>
      <c r="C176" s="1227">
        <v>0.1</v>
      </c>
      <c r="D176" s="1227">
        <v>1.4204545454545455E-3</v>
      </c>
      <c r="E176" s="1227">
        <f t="shared" si="14"/>
        <v>0.20384138785625774</v>
      </c>
      <c r="F176" s="1227">
        <f t="shared" si="10"/>
        <v>-0.82797832399978744</v>
      </c>
      <c r="G176" s="1227">
        <f t="shared" si="11"/>
        <v>2.9957322735539909</v>
      </c>
      <c r="H176" s="1227">
        <f t="shared" si="12"/>
        <v>-2.3025850929940455</v>
      </c>
      <c r="I176" s="1227">
        <f t="shared" si="13"/>
        <v>-6.5567783561580422</v>
      </c>
      <c r="J176" s="27"/>
    </row>
    <row r="177" spans="1:10">
      <c r="A177" s="27">
        <v>166</v>
      </c>
      <c r="B177" s="1227">
        <v>20</v>
      </c>
      <c r="C177" s="1227">
        <v>0.1</v>
      </c>
      <c r="D177" s="1227">
        <v>1.4204545454545455E-3</v>
      </c>
      <c r="E177" s="1227">
        <f t="shared" si="14"/>
        <v>0.20508054522924413</v>
      </c>
      <c r="F177" s="1227">
        <f t="shared" si="10"/>
        <v>-0.82361017884355936</v>
      </c>
      <c r="G177" s="1227">
        <f t="shared" si="11"/>
        <v>2.9957322735539909</v>
      </c>
      <c r="H177" s="1227">
        <f t="shared" si="12"/>
        <v>-2.3025850929940455</v>
      </c>
      <c r="I177" s="1227">
        <f t="shared" si="13"/>
        <v>-6.5567783561580422</v>
      </c>
      <c r="J177" s="27"/>
    </row>
    <row r="178" spans="1:10">
      <c r="A178" s="27">
        <v>167</v>
      </c>
      <c r="B178" s="1227">
        <v>20</v>
      </c>
      <c r="C178" s="1227">
        <v>0.1</v>
      </c>
      <c r="D178" s="1227">
        <v>1.4204545454545455E-3</v>
      </c>
      <c r="E178" s="1227">
        <f t="shared" si="14"/>
        <v>0.20631970260223048</v>
      </c>
      <c r="F178" s="1227">
        <f t="shared" si="10"/>
        <v>-0.81925769249593172</v>
      </c>
      <c r="G178" s="1227">
        <f t="shared" si="11"/>
        <v>2.9957322735539909</v>
      </c>
      <c r="H178" s="1227">
        <f t="shared" si="12"/>
        <v>-2.3025850929940455</v>
      </c>
      <c r="I178" s="1227">
        <f t="shared" si="13"/>
        <v>-6.5567783561580422</v>
      </c>
      <c r="J178" s="27"/>
    </row>
    <row r="179" spans="1:10">
      <c r="A179" s="27">
        <v>168</v>
      </c>
      <c r="B179" s="1227">
        <v>20</v>
      </c>
      <c r="C179" s="1227">
        <v>0.1</v>
      </c>
      <c r="D179" s="1227">
        <v>1.4204545454545455E-3</v>
      </c>
      <c r="E179" s="1227">
        <f t="shared" si="14"/>
        <v>0.20755885997521686</v>
      </c>
      <c r="F179" s="1227">
        <f t="shared" si="10"/>
        <v>-0.81492067122242973</v>
      </c>
      <c r="G179" s="1227">
        <f t="shared" si="11"/>
        <v>2.9957322735539909</v>
      </c>
      <c r="H179" s="1227">
        <f t="shared" si="12"/>
        <v>-2.3025850929940455</v>
      </c>
      <c r="I179" s="1227">
        <f t="shared" si="13"/>
        <v>-6.5567783561580422</v>
      </c>
      <c r="J179" s="27"/>
    </row>
    <row r="180" spans="1:10">
      <c r="A180" s="27">
        <v>169</v>
      </c>
      <c r="B180" s="1227">
        <v>20</v>
      </c>
      <c r="C180" s="1227">
        <v>0.1</v>
      </c>
      <c r="D180" s="1227">
        <v>1.4204545454545455E-3</v>
      </c>
      <c r="E180" s="1227">
        <f t="shared" si="14"/>
        <v>0.20879801734820322</v>
      </c>
      <c r="F180" s="1227">
        <f t="shared" si="10"/>
        <v>-0.81059892450800952</v>
      </c>
      <c r="G180" s="1227">
        <f t="shared" si="11"/>
        <v>2.9957322735539909</v>
      </c>
      <c r="H180" s="1227">
        <f t="shared" si="12"/>
        <v>-2.3025850929940455</v>
      </c>
      <c r="I180" s="1227">
        <f t="shared" si="13"/>
        <v>-6.5567783561580422</v>
      </c>
      <c r="J180" s="27"/>
    </row>
    <row r="181" spans="1:10">
      <c r="A181" s="27">
        <v>170</v>
      </c>
      <c r="B181" s="1227">
        <v>20</v>
      </c>
      <c r="C181" s="1227">
        <v>0.1</v>
      </c>
      <c r="D181" s="1227">
        <v>1.4204545454545455E-3</v>
      </c>
      <c r="E181" s="1227">
        <f t="shared" si="14"/>
        <v>0.2100371747211896</v>
      </c>
      <c r="F181" s="1227">
        <f t="shared" si="10"/>
        <v>-0.80629226498276396</v>
      </c>
      <c r="G181" s="1227">
        <f t="shared" si="11"/>
        <v>2.9957322735539909</v>
      </c>
      <c r="H181" s="1227">
        <f t="shared" si="12"/>
        <v>-2.3025850929940455</v>
      </c>
      <c r="I181" s="1227">
        <f t="shared" si="13"/>
        <v>-6.5567783561580422</v>
      </c>
      <c r="J181" s="27"/>
    </row>
    <row r="182" spans="1:10">
      <c r="A182" s="27">
        <v>171</v>
      </c>
      <c r="B182" s="1227">
        <v>20</v>
      </c>
      <c r="C182" s="1227">
        <v>0.1</v>
      </c>
      <c r="D182" s="1227">
        <v>1.4204545454545455E-3</v>
      </c>
      <c r="E182" s="1227">
        <f t="shared" si="14"/>
        <v>0.21127633209417596</v>
      </c>
      <c r="F182" s="1227">
        <f t="shared" si="10"/>
        <v>-0.80200050834975056</v>
      </c>
      <c r="G182" s="1227">
        <f t="shared" si="11"/>
        <v>2.9957322735539909</v>
      </c>
      <c r="H182" s="1227">
        <f t="shared" si="12"/>
        <v>-2.3025850929940455</v>
      </c>
      <c r="I182" s="1227">
        <f t="shared" si="13"/>
        <v>-6.5567783561580422</v>
      </c>
      <c r="J182" s="27"/>
    </row>
    <row r="183" spans="1:10">
      <c r="A183" s="27">
        <v>172</v>
      </c>
      <c r="B183" s="1227">
        <v>20</v>
      </c>
      <c r="C183" s="1227">
        <v>0.1</v>
      </c>
      <c r="D183" s="1227">
        <v>1.4204545454545455E-3</v>
      </c>
      <c r="E183" s="1227">
        <f t="shared" si="14"/>
        <v>0.21251548946716234</v>
      </c>
      <c r="F183" s="1227">
        <f t="shared" si="10"/>
        <v>-0.79772347331488291</v>
      </c>
      <c r="G183" s="1227">
        <f t="shared" si="11"/>
        <v>2.9957322735539909</v>
      </c>
      <c r="H183" s="1227">
        <f t="shared" si="12"/>
        <v>-2.3025850929940455</v>
      </c>
      <c r="I183" s="1227">
        <f t="shared" si="13"/>
        <v>-6.5567783561580422</v>
      </c>
      <c r="J183" s="27"/>
    </row>
    <row r="184" spans="1:10">
      <c r="A184" s="27">
        <v>173</v>
      </c>
      <c r="B184" s="1227">
        <v>20</v>
      </c>
      <c r="C184" s="1227">
        <v>0.1</v>
      </c>
      <c r="D184" s="1227">
        <v>1.4204545454545455E-3</v>
      </c>
      <c r="E184" s="1227">
        <f t="shared" si="14"/>
        <v>0.21375464684014869</v>
      </c>
      <c r="F184" s="1227">
        <f t="shared" si="10"/>
        <v>-0.79346098151879274</v>
      </c>
      <c r="G184" s="1227">
        <f t="shared" si="11"/>
        <v>2.9957322735539909</v>
      </c>
      <c r="H184" s="1227">
        <f t="shared" si="12"/>
        <v>-2.3025850929940455</v>
      </c>
      <c r="I184" s="1227">
        <f t="shared" si="13"/>
        <v>-6.5567783561580422</v>
      </c>
      <c r="J184" s="27"/>
    </row>
    <row r="185" spans="1:10">
      <c r="A185" s="27">
        <v>174</v>
      </c>
      <c r="B185" s="1227">
        <v>20</v>
      </c>
      <c r="C185" s="1227">
        <v>0.1</v>
      </c>
      <c r="D185" s="1227">
        <v>1.4204545454545455E-3</v>
      </c>
      <c r="E185" s="1227">
        <f t="shared" si="14"/>
        <v>0.21499380421313508</v>
      </c>
      <c r="F185" s="1227">
        <f t="shared" si="10"/>
        <v>-0.78921285747062497</v>
      </c>
      <c r="G185" s="1227">
        <f t="shared" si="11"/>
        <v>2.9957322735539909</v>
      </c>
      <c r="H185" s="1227">
        <f t="shared" si="12"/>
        <v>-2.3025850929940455</v>
      </c>
      <c r="I185" s="1227">
        <f t="shared" si="13"/>
        <v>-6.5567783561580422</v>
      </c>
      <c r="J185" s="27"/>
    </row>
    <row r="186" spans="1:10">
      <c r="A186" s="27">
        <v>175</v>
      </c>
      <c r="B186" s="1233">
        <v>20</v>
      </c>
      <c r="C186" s="1227">
        <v>0.1</v>
      </c>
      <c r="D186" s="1227">
        <v>1.4204545454545455E-3</v>
      </c>
      <c r="E186" s="1227">
        <f t="shared" si="14"/>
        <v>0.21623296158612143</v>
      </c>
      <c r="F186" s="1227">
        <f t="shared" si="10"/>
        <v>-0.78497892848367556</v>
      </c>
      <c r="G186" s="1227">
        <f t="shared" si="11"/>
        <v>2.9957322735539909</v>
      </c>
      <c r="H186" s="1227">
        <f t="shared" si="12"/>
        <v>-2.3025850929940455</v>
      </c>
      <c r="I186" s="1227">
        <f t="shared" si="13"/>
        <v>-6.5567783561580422</v>
      </c>
      <c r="J186" s="27"/>
    </row>
    <row r="187" spans="1:10">
      <c r="A187" s="27">
        <v>176</v>
      </c>
      <c r="B187" s="1227">
        <v>20</v>
      </c>
      <c r="C187" s="1227">
        <v>0.1</v>
      </c>
      <c r="D187" s="1227">
        <v>1.4204545454545455E-3</v>
      </c>
      <c r="E187" s="1227">
        <f t="shared" si="14"/>
        <v>0.21747211895910781</v>
      </c>
      <c r="F187" s="1227">
        <f t="shared" si="10"/>
        <v>-0.78075902461281554</v>
      </c>
      <c r="G187" s="1227">
        <f t="shared" si="11"/>
        <v>2.9957322735539909</v>
      </c>
      <c r="H187" s="1227">
        <f t="shared" si="12"/>
        <v>-2.3025850929940455</v>
      </c>
      <c r="I187" s="1227">
        <f t="shared" si="13"/>
        <v>-6.5567783561580422</v>
      </c>
      <c r="J187" s="27"/>
    </row>
    <row r="188" spans="1:10">
      <c r="A188" s="27">
        <v>177</v>
      </c>
      <c r="B188" s="1227">
        <v>20</v>
      </c>
      <c r="C188" s="1227">
        <v>0.1</v>
      </c>
      <c r="D188" s="1227">
        <v>1.4204545454545455E-3</v>
      </c>
      <c r="E188" s="1227">
        <f t="shared" si="14"/>
        <v>0.21871127633209417</v>
      </c>
      <c r="F188" s="1227">
        <f t="shared" si="10"/>
        <v>-0.77655297859365702</v>
      </c>
      <c r="G188" s="1227">
        <f t="shared" si="11"/>
        <v>2.9957322735539909</v>
      </c>
      <c r="H188" s="1227">
        <f t="shared" si="12"/>
        <v>-2.3025850929940455</v>
      </c>
      <c r="I188" s="1227">
        <f t="shared" si="13"/>
        <v>-6.5567783561580422</v>
      </c>
      <c r="J188" s="27"/>
    </row>
    <row r="189" spans="1:10">
      <c r="A189" s="27">
        <v>178</v>
      </c>
      <c r="B189" s="1227">
        <v>20</v>
      </c>
      <c r="C189" s="1227">
        <v>0.1</v>
      </c>
      <c r="D189" s="1227">
        <v>1.4204545454545455E-3</v>
      </c>
      <c r="E189" s="1227">
        <f t="shared" si="14"/>
        <v>0.21995043370508055</v>
      </c>
      <c r="F189" s="1227">
        <f t="shared" si="10"/>
        <v>-0.77236062578338083</v>
      </c>
      <c r="G189" s="1227">
        <f t="shared" si="11"/>
        <v>2.9957322735539909</v>
      </c>
      <c r="H189" s="1227">
        <f t="shared" si="12"/>
        <v>-2.3025850929940455</v>
      </c>
      <c r="I189" s="1227">
        <f t="shared" si="13"/>
        <v>-6.5567783561580422</v>
      </c>
      <c r="J189" s="27"/>
    </row>
    <row r="190" spans="1:10">
      <c r="A190" s="27">
        <v>179</v>
      </c>
      <c r="B190" s="1227">
        <v>20</v>
      </c>
      <c r="C190" s="1227">
        <v>0.1</v>
      </c>
      <c r="D190" s="1227">
        <v>1.4204545454545455E-3</v>
      </c>
      <c r="E190" s="1227">
        <f t="shared" si="14"/>
        <v>0.22118959107806691</v>
      </c>
      <c r="F190" s="1227">
        <f t="shared" si="10"/>
        <v>-0.76818180410318582</v>
      </c>
      <c r="G190" s="1227">
        <f t="shared" si="11"/>
        <v>2.9957322735539909</v>
      </c>
      <c r="H190" s="1227">
        <f t="shared" si="12"/>
        <v>-2.3025850929940455</v>
      </c>
      <c r="I190" s="1227">
        <f t="shared" si="13"/>
        <v>-6.5567783561580422</v>
      </c>
      <c r="J190" s="27"/>
    </row>
    <row r="191" spans="1:10">
      <c r="A191" s="27">
        <v>180</v>
      </c>
      <c r="B191" s="1227">
        <v>20</v>
      </c>
      <c r="C191" s="1227">
        <v>0.1</v>
      </c>
      <c r="D191" s="1227">
        <v>1.4204545454545455E-3</v>
      </c>
      <c r="E191" s="1227">
        <f t="shared" si="14"/>
        <v>0.22242874845105329</v>
      </c>
      <c r="F191" s="1227">
        <f t="shared" si="10"/>
        <v>-0.76401635398230361</v>
      </c>
      <c r="G191" s="1227">
        <f t="shared" si="11"/>
        <v>2.9957322735539909</v>
      </c>
      <c r="H191" s="1227">
        <f t="shared" si="12"/>
        <v>-2.3025850929940455</v>
      </c>
      <c r="I191" s="1227">
        <f t="shared" si="13"/>
        <v>-6.5567783561580422</v>
      </c>
      <c r="J191" s="27"/>
    </row>
    <row r="192" spans="1:10">
      <c r="A192" s="27">
        <v>181</v>
      </c>
      <c r="B192" s="1227">
        <v>20</v>
      </c>
      <c r="C192" s="1227">
        <v>0.1</v>
      </c>
      <c r="D192" s="1227">
        <v>1.4204545454545455E-3</v>
      </c>
      <c r="E192" s="1227">
        <f t="shared" si="14"/>
        <v>0.22366790582403964</v>
      </c>
      <c r="F192" s="1227">
        <f t="shared" si="10"/>
        <v>-0.75986411830352263</v>
      </c>
      <c r="G192" s="1227">
        <f t="shared" si="11"/>
        <v>2.9957322735539909</v>
      </c>
      <c r="H192" s="1227">
        <f t="shared" si="12"/>
        <v>-2.3025850929940455</v>
      </c>
      <c r="I192" s="1227">
        <f t="shared" si="13"/>
        <v>-6.5567783561580422</v>
      </c>
      <c r="J192" s="27"/>
    </row>
    <row r="193" spans="1:10">
      <c r="A193" s="27">
        <v>182</v>
      </c>
      <c r="B193" s="1227">
        <v>20</v>
      </c>
      <c r="C193" s="1227">
        <v>0.1</v>
      </c>
      <c r="D193" s="1227">
        <v>1.4204545454545455E-3</v>
      </c>
      <c r="E193" s="1227">
        <f t="shared" si="14"/>
        <v>0.22490706319702602</v>
      </c>
      <c r="F193" s="1227">
        <f t="shared" si="10"/>
        <v>-0.75572494235017407</v>
      </c>
      <c r="G193" s="1227">
        <f t="shared" si="11"/>
        <v>2.9957322735539909</v>
      </c>
      <c r="H193" s="1227">
        <f t="shared" si="12"/>
        <v>-2.3025850929940455</v>
      </c>
      <c r="I193" s="1227">
        <f t="shared" si="13"/>
        <v>-6.5567783561580422</v>
      </c>
      <c r="J193" s="27"/>
    </row>
    <row r="194" spans="1:10">
      <c r="A194" s="27">
        <v>183</v>
      </c>
      <c r="B194" s="1227">
        <v>20</v>
      </c>
      <c r="C194" s="1227">
        <v>0.1</v>
      </c>
      <c r="D194" s="1227">
        <v>1.4204545454545455E-3</v>
      </c>
      <c r="E194" s="1227">
        <f t="shared" si="14"/>
        <v>0.22614622057001238</v>
      </c>
      <c r="F194" s="1227">
        <f t="shared" si="10"/>
        <v>-0.75159867375454548</v>
      </c>
      <c r="G194" s="1227">
        <f t="shared" si="11"/>
        <v>2.9957322735539909</v>
      </c>
      <c r="H194" s="1227">
        <f t="shared" si="12"/>
        <v>-2.3025850929940455</v>
      </c>
      <c r="I194" s="1227">
        <f t="shared" si="13"/>
        <v>-6.5567783561580422</v>
      </c>
      <c r="J194" s="27"/>
    </row>
    <row r="195" spans="1:10">
      <c r="A195" s="27">
        <v>184</v>
      </c>
      <c r="B195" s="1227">
        <v>20</v>
      </c>
      <c r="C195" s="1227">
        <v>0.1</v>
      </c>
      <c r="D195" s="1227">
        <v>1.4204545454545455E-3</v>
      </c>
      <c r="E195" s="1227">
        <f t="shared" si="14"/>
        <v>0.22738537794299876</v>
      </c>
      <c r="F195" s="1227">
        <f t="shared" si="10"/>
        <v>-0.74748516244764973</v>
      </c>
      <c r="G195" s="1227">
        <f t="shared" si="11"/>
        <v>2.9957322735539909</v>
      </c>
      <c r="H195" s="1227">
        <f t="shared" si="12"/>
        <v>-2.3025850929940455</v>
      </c>
      <c r="I195" s="1227">
        <f t="shared" si="13"/>
        <v>-6.5567783561580422</v>
      </c>
      <c r="J195" s="27"/>
    </row>
    <row r="196" spans="1:10">
      <c r="A196" s="27">
        <v>185</v>
      </c>
      <c r="B196" s="1227">
        <v>20</v>
      </c>
      <c r="C196" s="1227">
        <v>0.1</v>
      </c>
      <c r="D196" s="1227">
        <v>1.4204545454545455E-3</v>
      </c>
      <c r="E196" s="1227">
        <f t="shared" si="14"/>
        <v>0.22862453531598512</v>
      </c>
      <c r="F196" s="1227">
        <f t="shared" si="10"/>
        <v>-0.74338426061033158</v>
      </c>
      <c r="G196" s="1227">
        <f t="shared" si="11"/>
        <v>2.9957322735539909</v>
      </c>
      <c r="H196" s="1227">
        <f t="shared" si="12"/>
        <v>-2.3025850929940455</v>
      </c>
      <c r="I196" s="1227">
        <f t="shared" si="13"/>
        <v>-6.5567783561580422</v>
      </c>
      <c r="J196" s="27"/>
    </row>
    <row r="197" spans="1:10">
      <c r="A197" s="27">
        <v>186</v>
      </c>
      <c r="B197" s="1227">
        <v>20</v>
      </c>
      <c r="C197" s="1227">
        <v>0.1</v>
      </c>
      <c r="D197" s="1227">
        <v>1.4204545454545455E-3</v>
      </c>
      <c r="E197" s="1227">
        <f t="shared" si="14"/>
        <v>0.2298636926889715</v>
      </c>
      <c r="F197" s="1227">
        <f t="shared" si="10"/>
        <v>-0.73929582262565408</v>
      </c>
      <c r="G197" s="1227">
        <f t="shared" si="11"/>
        <v>2.9957322735539909</v>
      </c>
      <c r="H197" s="1227">
        <f t="shared" si="12"/>
        <v>-2.3025850929940455</v>
      </c>
      <c r="I197" s="1227">
        <f t="shared" si="13"/>
        <v>-6.5567783561580422</v>
      </c>
      <c r="J197" s="27"/>
    </row>
    <row r="198" spans="1:10">
      <c r="A198" s="27">
        <v>187</v>
      </c>
      <c r="B198" s="1227">
        <v>20</v>
      </c>
      <c r="C198" s="1227">
        <v>0.1</v>
      </c>
      <c r="D198" s="1227">
        <v>1.4204545454545455E-3</v>
      </c>
      <c r="E198" s="1227">
        <f t="shared" si="14"/>
        <v>0.23110285006195788</v>
      </c>
      <c r="F198" s="1227">
        <f t="shared" si="10"/>
        <v>-0.73521970503253264</v>
      </c>
      <c r="G198" s="1227">
        <f t="shared" si="11"/>
        <v>2.9957322735539909</v>
      </c>
      <c r="H198" s="1227">
        <f t="shared" si="12"/>
        <v>-2.3025850929940455</v>
      </c>
      <c r="I198" s="1227">
        <f t="shared" si="13"/>
        <v>-6.5567783561580422</v>
      </c>
      <c r="J198" s="27"/>
    </row>
    <row r="199" spans="1:10">
      <c r="A199" s="27">
        <v>188</v>
      </c>
      <c r="B199" s="1227">
        <v>20</v>
      </c>
      <c r="C199" s="1227">
        <v>0.1</v>
      </c>
      <c r="D199" s="1227">
        <v>1.4204545454545455E-3</v>
      </c>
      <c r="E199" s="1227">
        <f t="shared" si="14"/>
        <v>0.23234200743494424</v>
      </c>
      <c r="F199" s="1227">
        <f t="shared" si="10"/>
        <v>-0.73115576648057046</v>
      </c>
      <c r="G199" s="1227">
        <f t="shared" si="11"/>
        <v>2.9957322735539909</v>
      </c>
      <c r="H199" s="1227">
        <f t="shared" si="12"/>
        <v>-2.3025850929940455</v>
      </c>
      <c r="I199" s="1227">
        <f t="shared" si="13"/>
        <v>-6.5567783561580422</v>
      </c>
      <c r="J199" s="27"/>
    </row>
    <row r="200" spans="1:10">
      <c r="A200" s="27">
        <v>189</v>
      </c>
      <c r="B200" s="1227">
        <v>23</v>
      </c>
      <c r="C200" s="1227">
        <v>0.1</v>
      </c>
      <c r="D200" s="1227">
        <v>1.4204545454545455E-3</v>
      </c>
      <c r="E200" s="1227">
        <f t="shared" si="14"/>
        <v>0.23358116480793062</v>
      </c>
      <c r="F200" s="1227">
        <f t="shared" si="10"/>
        <v>-0.72710386768606139</v>
      </c>
      <c r="G200" s="1227">
        <f t="shared" si="11"/>
        <v>3.1354942159291497</v>
      </c>
      <c r="H200" s="1227">
        <f t="shared" si="12"/>
        <v>-2.3025850929940455</v>
      </c>
      <c r="I200" s="1227">
        <f t="shared" si="13"/>
        <v>-6.5567783561580422</v>
      </c>
      <c r="J200" s="27"/>
    </row>
    <row r="201" spans="1:10">
      <c r="A201" s="27">
        <v>190</v>
      </c>
      <c r="B201" s="1227">
        <v>23</v>
      </c>
      <c r="C201" s="1227">
        <v>0.1</v>
      </c>
      <c r="D201" s="1227">
        <v>1.4204545454545455E-3</v>
      </c>
      <c r="E201" s="1227">
        <f t="shared" si="14"/>
        <v>0.23482032218091697</v>
      </c>
      <c r="F201" s="1227">
        <f t="shared" si="10"/>
        <v>-0.7230638713891282</v>
      </c>
      <c r="G201" s="1227">
        <f t="shared" si="11"/>
        <v>3.1354942159291497</v>
      </c>
      <c r="H201" s="1227">
        <f t="shared" si="12"/>
        <v>-2.3025850929940455</v>
      </c>
      <c r="I201" s="1227">
        <f t="shared" si="13"/>
        <v>-6.5567783561580422</v>
      </c>
      <c r="J201" s="27"/>
    </row>
    <row r="202" spans="1:10">
      <c r="A202" s="27">
        <v>191</v>
      </c>
      <c r="B202" s="1227">
        <v>23</v>
      </c>
      <c r="C202" s="1227">
        <v>0.1</v>
      </c>
      <c r="D202" s="1227">
        <v>1.4204545454545455E-3</v>
      </c>
      <c r="E202" s="1227">
        <f t="shared" si="14"/>
        <v>0.23605947955390336</v>
      </c>
      <c r="F202" s="1227">
        <f t="shared" si="10"/>
        <v>-0.71903564231194905</v>
      </c>
      <c r="G202" s="1227">
        <f t="shared" si="11"/>
        <v>3.1354942159291497</v>
      </c>
      <c r="H202" s="1227">
        <f t="shared" si="12"/>
        <v>-2.3025850929940455</v>
      </c>
      <c r="I202" s="1227">
        <f t="shared" si="13"/>
        <v>-6.5567783561580422</v>
      </c>
      <c r="J202" s="27"/>
    </row>
    <row r="203" spans="1:10">
      <c r="A203" s="27">
        <v>192</v>
      </c>
      <c r="B203" s="1227">
        <v>25</v>
      </c>
      <c r="C203" s="1227">
        <v>0.1</v>
      </c>
      <c r="D203" s="1227">
        <v>1.4204545454545455E-3</v>
      </c>
      <c r="E203" s="1227">
        <f t="shared" si="14"/>
        <v>0.23729863692688971</v>
      </c>
      <c r="F203" s="1227">
        <f t="shared" si="10"/>
        <v>-0.71501904711805409</v>
      </c>
      <c r="G203" s="1227">
        <f t="shared" si="11"/>
        <v>3.2188758248682006</v>
      </c>
      <c r="H203" s="1227">
        <f t="shared" si="12"/>
        <v>-2.3025850929940455</v>
      </c>
      <c r="I203" s="1227">
        <f t="shared" si="13"/>
        <v>-6.5567783561580422</v>
      </c>
      <c r="J203" s="27"/>
    </row>
    <row r="204" spans="1:10">
      <c r="A204" s="27">
        <v>193</v>
      </c>
      <c r="B204" s="1227">
        <v>25</v>
      </c>
      <c r="C204" s="1227">
        <v>0.1</v>
      </c>
      <c r="D204" s="1227">
        <v>1.4204545454545455E-3</v>
      </c>
      <c r="E204" s="1227">
        <f t="shared" si="14"/>
        <v>0.23853779429987609</v>
      </c>
      <c r="F204" s="1227">
        <f t="shared" ref="F204:F267" si="15">NORMSINV(E204)</f>
        <v>-0.71101395437264392</v>
      </c>
      <c r="G204" s="1227">
        <f t="shared" ref="G204:G267" si="16">LN(B204)</f>
        <v>3.2188758248682006</v>
      </c>
      <c r="H204" s="1227">
        <f t="shared" ref="H204:H267" si="17">LN(C204)</f>
        <v>-2.3025850929940455</v>
      </c>
      <c r="I204" s="1227">
        <f t="shared" ref="I204:I267" si="18">LN(D204)</f>
        <v>-6.5567783561580422</v>
      </c>
      <c r="J204" s="27"/>
    </row>
    <row r="205" spans="1:10">
      <c r="A205" s="27">
        <v>194</v>
      </c>
      <c r="B205" s="1227">
        <v>25</v>
      </c>
      <c r="C205" s="1227">
        <v>0.1</v>
      </c>
      <c r="D205" s="1227">
        <v>1.4204545454545455E-3</v>
      </c>
      <c r="E205" s="1227">
        <f t="shared" ref="E205:E268" si="19">(A205-0.5)/807</f>
        <v>0.23977695167286245</v>
      </c>
      <c r="F205" s="1227">
        <f t="shared" si="15"/>
        <v>-0.70702023450391449</v>
      </c>
      <c r="G205" s="1227">
        <f t="shared" si="16"/>
        <v>3.2188758248682006</v>
      </c>
      <c r="H205" s="1227">
        <f t="shared" si="17"/>
        <v>-2.3025850929940455</v>
      </c>
      <c r="I205" s="1227">
        <f t="shared" si="18"/>
        <v>-6.5567783561580422</v>
      </c>
      <c r="J205" s="27"/>
    </row>
    <row r="206" spans="1:10">
      <c r="A206" s="27">
        <v>195</v>
      </c>
      <c r="B206" s="1227">
        <v>25</v>
      </c>
      <c r="C206" s="1227">
        <v>0.1</v>
      </c>
      <c r="D206" s="1227">
        <v>1.4204545454545455E-3</v>
      </c>
      <c r="E206" s="1227">
        <f t="shared" si="19"/>
        <v>0.24101610904584883</v>
      </c>
      <c r="F206" s="1227">
        <f t="shared" si="15"/>
        <v>-0.70303775976533733</v>
      </c>
      <c r="G206" s="1227">
        <f t="shared" si="16"/>
        <v>3.2188758248682006</v>
      </c>
      <c r="H206" s="1227">
        <f t="shared" si="17"/>
        <v>-2.3025850929940455</v>
      </c>
      <c r="I206" s="1227">
        <f t="shared" si="18"/>
        <v>-6.5567783561580422</v>
      </c>
      <c r="J206" s="27"/>
    </row>
    <row r="207" spans="1:10">
      <c r="A207" s="27">
        <v>196</v>
      </c>
      <c r="B207" s="1227">
        <v>25</v>
      </c>
      <c r="C207" s="1227">
        <v>0.1</v>
      </c>
      <c r="D207" s="1227">
        <v>1.4204545454545455E-3</v>
      </c>
      <c r="E207" s="1227">
        <f t="shared" si="19"/>
        <v>0.24225526641883519</v>
      </c>
      <c r="F207" s="1227">
        <f t="shared" si="15"/>
        <v>-0.69906640419889454</v>
      </c>
      <c r="G207" s="1227">
        <f t="shared" si="16"/>
        <v>3.2188758248682006</v>
      </c>
      <c r="H207" s="1227">
        <f t="shared" si="17"/>
        <v>-2.3025850929940455</v>
      </c>
      <c r="I207" s="1227">
        <f t="shared" si="18"/>
        <v>-6.5567783561580422</v>
      </c>
      <c r="J207" s="27"/>
    </row>
    <row r="208" spans="1:10">
      <c r="A208" s="27">
        <v>197</v>
      </c>
      <c r="B208" s="1227">
        <v>25</v>
      </c>
      <c r="C208" s="1227">
        <v>0.1</v>
      </c>
      <c r="D208" s="1227">
        <v>1.4204545454545455E-3</v>
      </c>
      <c r="E208" s="1227">
        <f t="shared" si="19"/>
        <v>0.24349442379182157</v>
      </c>
      <c r="F208" s="1227">
        <f t="shared" si="15"/>
        <v>-0.69510604359921147</v>
      </c>
      <c r="G208" s="1227">
        <f t="shared" si="16"/>
        <v>3.2188758248682006</v>
      </c>
      <c r="H208" s="1227">
        <f t="shared" si="17"/>
        <v>-2.3025850929940455</v>
      </c>
      <c r="I208" s="1227">
        <f t="shared" si="18"/>
        <v>-6.5567783561580422</v>
      </c>
      <c r="J208" s="27"/>
    </row>
    <row r="209" spans="1:10">
      <c r="A209" s="27">
        <v>198</v>
      </c>
      <c r="B209" s="1227">
        <v>25</v>
      </c>
      <c r="C209" s="1227">
        <v>0.1</v>
      </c>
      <c r="D209" s="1227">
        <v>1.4204545454545455E-3</v>
      </c>
      <c r="E209" s="1227">
        <f t="shared" si="19"/>
        <v>0.24473358116480792</v>
      </c>
      <c r="F209" s="1227">
        <f t="shared" si="15"/>
        <v>-0.69115655547857413</v>
      </c>
      <c r="G209" s="1227">
        <f t="shared" si="16"/>
        <v>3.2188758248682006</v>
      </c>
      <c r="H209" s="1227">
        <f t="shared" si="17"/>
        <v>-2.3025850929940455</v>
      </c>
      <c r="I209" s="1227">
        <f t="shared" si="18"/>
        <v>-6.5567783561580422</v>
      </c>
      <c r="J209" s="27"/>
    </row>
    <row r="210" spans="1:10">
      <c r="A210" s="27">
        <v>199</v>
      </c>
      <c r="B210" s="1227">
        <v>25</v>
      </c>
      <c r="C210" s="1227">
        <v>0.1</v>
      </c>
      <c r="D210" s="1227">
        <v>1.4204545454545455E-3</v>
      </c>
      <c r="E210" s="1227">
        <f t="shared" si="19"/>
        <v>0.24597273853779431</v>
      </c>
      <c r="F210" s="1227">
        <f t="shared" si="15"/>
        <v>-0.68721781903280976</v>
      </c>
      <c r="G210" s="1227">
        <f t="shared" si="16"/>
        <v>3.2188758248682006</v>
      </c>
      <c r="H210" s="1227">
        <f t="shared" si="17"/>
        <v>-2.3025850929940455</v>
      </c>
      <c r="I210" s="1227">
        <f t="shared" si="18"/>
        <v>-6.5567783561580422</v>
      </c>
      <c r="J210" s="27"/>
    </row>
    <row r="211" spans="1:10">
      <c r="A211" s="27">
        <v>200</v>
      </c>
      <c r="B211" s="1227">
        <v>25</v>
      </c>
      <c r="C211" s="1227">
        <v>0.1</v>
      </c>
      <c r="D211" s="1227">
        <v>1.4204545454545455E-3</v>
      </c>
      <c r="E211" s="1227">
        <f t="shared" si="19"/>
        <v>0.24721189591078066</v>
      </c>
      <c r="F211" s="1227">
        <f t="shared" si="15"/>
        <v>-0.68328971510799696</v>
      </c>
      <c r="G211" s="1227">
        <f t="shared" si="16"/>
        <v>3.2188758248682006</v>
      </c>
      <c r="H211" s="1227">
        <f t="shared" si="17"/>
        <v>-2.3025850929940455</v>
      </c>
      <c r="I211" s="1227">
        <f t="shared" si="18"/>
        <v>-6.5567783561580422</v>
      </c>
      <c r="J211" s="27"/>
    </row>
    <row r="212" spans="1:10">
      <c r="A212" s="27">
        <v>201</v>
      </c>
      <c r="B212" s="1227">
        <v>25</v>
      </c>
      <c r="C212" s="1227">
        <v>0.1</v>
      </c>
      <c r="D212" s="1227">
        <v>1.4204545454545455E-3</v>
      </c>
      <c r="E212" s="1227">
        <f t="shared" si="19"/>
        <v>0.24845105328376704</v>
      </c>
      <c r="F212" s="1227">
        <f t="shared" si="15"/>
        <v>-0.67937212616797271</v>
      </c>
      <c r="G212" s="1227">
        <f t="shared" si="16"/>
        <v>3.2188758248682006</v>
      </c>
      <c r="H212" s="1227">
        <f t="shared" si="17"/>
        <v>-2.3025850929940455</v>
      </c>
      <c r="I212" s="1227">
        <f t="shared" si="18"/>
        <v>-6.5567783561580422</v>
      </c>
      <c r="J212" s="27"/>
    </row>
    <row r="213" spans="1:10">
      <c r="A213" s="27">
        <v>202</v>
      </c>
      <c r="B213" s="1227">
        <v>25</v>
      </c>
      <c r="C213" s="1227">
        <v>0.1</v>
      </c>
      <c r="D213" s="1227">
        <v>1.4204545454545455E-3</v>
      </c>
      <c r="E213" s="1227">
        <f t="shared" si="19"/>
        <v>0.2496902106567534</v>
      </c>
      <c r="F213" s="1227">
        <f t="shared" si="15"/>
        <v>-0.67546493626264137</v>
      </c>
      <c r="G213" s="1227">
        <f t="shared" si="16"/>
        <v>3.2188758248682006</v>
      </c>
      <c r="H213" s="1227">
        <f t="shared" si="17"/>
        <v>-2.3025850929940455</v>
      </c>
      <c r="I213" s="1227">
        <f t="shared" si="18"/>
        <v>-6.5567783561580422</v>
      </c>
      <c r="J213" s="27"/>
    </row>
    <row r="214" spans="1:10">
      <c r="A214" s="27">
        <v>203</v>
      </c>
      <c r="B214" s="1227">
        <v>25</v>
      </c>
      <c r="C214" s="1227">
        <v>0.1</v>
      </c>
      <c r="D214" s="1227">
        <v>1.4204545454545455E-3</v>
      </c>
      <c r="E214" s="1227">
        <f t="shared" si="19"/>
        <v>0.25092936802973975</v>
      </c>
      <c r="F214" s="1227">
        <f t="shared" si="15"/>
        <v>-0.67156803099702567</v>
      </c>
      <c r="G214" s="1227">
        <f t="shared" si="16"/>
        <v>3.2188758248682006</v>
      </c>
      <c r="H214" s="1227">
        <f t="shared" si="17"/>
        <v>-2.3025850929940455</v>
      </c>
      <c r="I214" s="1227">
        <f t="shared" si="18"/>
        <v>-6.5567783561580422</v>
      </c>
      <c r="J214" s="27"/>
    </row>
    <row r="215" spans="1:10">
      <c r="A215" s="27">
        <v>204</v>
      </c>
      <c r="B215" s="1227">
        <v>25</v>
      </c>
      <c r="C215" s="1227">
        <v>0.1</v>
      </c>
      <c r="D215" s="1227">
        <v>1.4204545454545455E-3</v>
      </c>
      <c r="E215" s="1227">
        <f t="shared" si="19"/>
        <v>0.25216852540272616</v>
      </c>
      <c r="F215" s="1227">
        <f t="shared" si="15"/>
        <v>-0.66768129750106964</v>
      </c>
      <c r="G215" s="1227">
        <f t="shared" si="16"/>
        <v>3.2188758248682006</v>
      </c>
      <c r="H215" s="1227">
        <f t="shared" si="17"/>
        <v>-2.3025850929940455</v>
      </c>
      <c r="I215" s="1227">
        <f t="shared" si="18"/>
        <v>-6.5567783561580422</v>
      </c>
      <c r="J215" s="27"/>
    </row>
    <row r="216" spans="1:10">
      <c r="A216" s="27">
        <v>205</v>
      </c>
      <c r="B216" s="1227">
        <v>25</v>
      </c>
      <c r="C216" s="1227">
        <v>0.1</v>
      </c>
      <c r="D216" s="1227">
        <v>1.4204545454545455E-3</v>
      </c>
      <c r="E216" s="1227">
        <f t="shared" si="19"/>
        <v>0.25340768277571252</v>
      </c>
      <c r="F216" s="1227">
        <f t="shared" si="15"/>
        <v>-0.66380462440015109</v>
      </c>
      <c r="G216" s="1227">
        <f t="shared" si="16"/>
        <v>3.2188758248682006</v>
      </c>
      <c r="H216" s="1227">
        <f t="shared" si="17"/>
        <v>-2.3025850929940455</v>
      </c>
      <c r="I216" s="1227">
        <f t="shared" si="18"/>
        <v>-6.5567783561580422</v>
      </c>
      <c r="J216" s="27"/>
    </row>
    <row r="217" spans="1:10">
      <c r="A217" s="27">
        <v>206</v>
      </c>
      <c r="B217" s="1227">
        <v>25</v>
      </c>
      <c r="C217" s="1227">
        <v>0.1</v>
      </c>
      <c r="D217" s="1227">
        <v>1.4204545454545455E-3</v>
      </c>
      <c r="E217" s="1227">
        <f t="shared" si="19"/>
        <v>0.25464684014869887</v>
      </c>
      <c r="F217" s="1227">
        <f t="shared" si="15"/>
        <v>-0.65993790178629375</v>
      </c>
      <c r="G217" s="1227">
        <f t="shared" si="16"/>
        <v>3.2188758248682006</v>
      </c>
      <c r="H217" s="1227">
        <f t="shared" si="17"/>
        <v>-2.3025850929940455</v>
      </c>
      <c r="I217" s="1227">
        <f t="shared" si="18"/>
        <v>-6.5567783561580422</v>
      </c>
      <c r="J217" s="27"/>
    </row>
    <row r="218" spans="1:10">
      <c r="A218" s="27">
        <v>207</v>
      </c>
      <c r="B218" s="1227">
        <v>25</v>
      </c>
      <c r="C218" s="1227">
        <v>0.1</v>
      </c>
      <c r="D218" s="1229">
        <v>1.4204545454545455E-3</v>
      </c>
      <c r="E218" s="1227">
        <f t="shared" si="19"/>
        <v>0.25588599752168523</v>
      </c>
      <c r="F218" s="1227">
        <f t="shared" si="15"/>
        <v>-0.65608102119005407</v>
      </c>
      <c r="G218" s="1227">
        <f t="shared" si="16"/>
        <v>3.2188758248682006</v>
      </c>
      <c r="H218" s="1227">
        <f t="shared" si="17"/>
        <v>-2.3025850929940455</v>
      </c>
      <c r="I218" s="1227">
        <f t="shared" si="18"/>
        <v>-6.5567783561580422</v>
      </c>
      <c r="J218" s="27"/>
    </row>
    <row r="219" spans="1:10">
      <c r="A219" s="27">
        <v>208</v>
      </c>
      <c r="B219" s="1227">
        <v>25</v>
      </c>
      <c r="C219" s="1227">
        <v>0.1</v>
      </c>
      <c r="D219" s="1227">
        <v>1.4204545454545455E-3</v>
      </c>
      <c r="E219" s="1227">
        <f t="shared" si="19"/>
        <v>0.25712515489467164</v>
      </c>
      <c r="F219" s="1227">
        <f t="shared" si="15"/>
        <v>-0.65223387555306989</v>
      </c>
      <c r="G219" s="1227">
        <f t="shared" si="16"/>
        <v>3.2188758248682006</v>
      </c>
      <c r="H219" s="1227">
        <f t="shared" si="17"/>
        <v>-2.3025850929940455</v>
      </c>
      <c r="I219" s="1227">
        <f t="shared" si="18"/>
        <v>-6.5567783561580422</v>
      </c>
      <c r="J219" s="27"/>
    </row>
    <row r="220" spans="1:10">
      <c r="A220" s="27">
        <v>209</v>
      </c>
      <c r="B220" s="1227">
        <v>25</v>
      </c>
      <c r="C220" s="1227">
        <v>0.1</v>
      </c>
      <c r="D220" s="1227">
        <v>1.5624999999999999E-3</v>
      </c>
      <c r="E220" s="1227">
        <f t="shared" si="19"/>
        <v>0.25836431226765799</v>
      </c>
      <c r="F220" s="1227">
        <f t="shared" si="15"/>
        <v>-0.64839635920124028</v>
      </c>
      <c r="G220" s="1227">
        <f t="shared" si="16"/>
        <v>3.2188758248682006</v>
      </c>
      <c r="H220" s="1227">
        <f t="shared" si="17"/>
        <v>-2.3025850929940455</v>
      </c>
      <c r="I220" s="1227">
        <f t="shared" si="18"/>
        <v>-6.4614681763537174</v>
      </c>
      <c r="J220" s="27"/>
    </row>
    <row r="221" spans="1:10">
      <c r="A221" s="27">
        <v>210</v>
      </c>
      <c r="B221" s="1227">
        <v>25</v>
      </c>
      <c r="C221" s="1227">
        <v>0.1</v>
      </c>
      <c r="D221" s="1227">
        <v>1.5624999999999999E-3</v>
      </c>
      <c r="E221" s="1227">
        <f t="shared" si="19"/>
        <v>0.25960346964064435</v>
      </c>
      <c r="F221" s="1227">
        <f t="shared" si="15"/>
        <v>-0.64456836781853544</v>
      </c>
      <c r="G221" s="1227">
        <f t="shared" si="16"/>
        <v>3.2188758248682006</v>
      </c>
      <c r="H221" s="1227">
        <f t="shared" si="17"/>
        <v>-2.3025850929940455</v>
      </c>
      <c r="I221" s="1227">
        <f t="shared" si="18"/>
        <v>-6.4614681763537174</v>
      </c>
      <c r="J221" s="27"/>
    </row>
    <row r="222" spans="1:10">
      <c r="A222" s="27">
        <v>211</v>
      </c>
      <c r="B222" s="1227">
        <v>25</v>
      </c>
      <c r="C222" s="1227">
        <v>0.1</v>
      </c>
      <c r="D222" s="1227">
        <v>1.5909090909090907E-3</v>
      </c>
      <c r="E222" s="1227">
        <f t="shared" si="19"/>
        <v>0.26084262701363076</v>
      </c>
      <c r="F222" s="1227">
        <f t="shared" si="15"/>
        <v>-0.64074979842139845</v>
      </c>
      <c r="G222" s="1227">
        <f t="shared" si="16"/>
        <v>3.2188758248682006</v>
      </c>
      <c r="H222" s="1227">
        <f t="shared" si="17"/>
        <v>-2.3025850929940455</v>
      </c>
      <c r="I222" s="1227">
        <f t="shared" si="18"/>
        <v>-6.4434496708510389</v>
      </c>
      <c r="J222" s="27"/>
    </row>
    <row r="223" spans="1:10">
      <c r="A223" s="27">
        <v>212</v>
      </c>
      <c r="B223" s="1227">
        <v>25</v>
      </c>
      <c r="C223" s="1227">
        <v>0.1</v>
      </c>
      <c r="D223" s="1227">
        <v>1.7045454545454545E-3</v>
      </c>
      <c r="E223" s="1227">
        <f t="shared" si="19"/>
        <v>0.26208178438661711</v>
      </c>
      <c r="F223" s="1227">
        <f t="shared" si="15"/>
        <v>-0.636940549333748</v>
      </c>
      <c r="G223" s="1227">
        <f t="shared" si="16"/>
        <v>3.2188758248682006</v>
      </c>
      <c r="H223" s="1227">
        <f t="shared" si="17"/>
        <v>-2.3025850929940455</v>
      </c>
      <c r="I223" s="1227">
        <f t="shared" si="18"/>
        <v>-6.3744567993640882</v>
      </c>
      <c r="J223" s="27"/>
    </row>
    <row r="224" spans="1:10">
      <c r="A224" s="27">
        <v>213</v>
      </c>
      <c r="B224" s="1227">
        <v>25</v>
      </c>
      <c r="C224" s="1227">
        <v>0.1</v>
      </c>
      <c r="D224" s="1227">
        <v>1.7045454545454545E-3</v>
      </c>
      <c r="E224" s="1227">
        <f t="shared" si="19"/>
        <v>0.26332094175960347</v>
      </c>
      <c r="F224" s="1227">
        <f t="shared" si="15"/>
        <v>-0.63314052016253586</v>
      </c>
      <c r="G224" s="1227">
        <f t="shared" si="16"/>
        <v>3.2188758248682006</v>
      </c>
      <c r="H224" s="1227">
        <f t="shared" si="17"/>
        <v>-2.3025850929940455</v>
      </c>
      <c r="I224" s="1227">
        <f t="shared" si="18"/>
        <v>-6.3744567993640882</v>
      </c>
      <c r="J224" s="27"/>
    </row>
    <row r="225" spans="1:10">
      <c r="A225" s="27">
        <v>214</v>
      </c>
      <c r="B225" s="1227">
        <v>25</v>
      </c>
      <c r="C225" s="1227">
        <v>0.1</v>
      </c>
      <c r="D225" s="1227">
        <v>1.7045454545454545E-3</v>
      </c>
      <c r="E225" s="1227">
        <f t="shared" si="19"/>
        <v>0.26456009913258982</v>
      </c>
      <c r="F225" s="1227">
        <f t="shared" si="15"/>
        <v>-0.62934961177387116</v>
      </c>
      <c r="G225" s="1227">
        <f t="shared" si="16"/>
        <v>3.2188758248682006</v>
      </c>
      <c r="H225" s="1227">
        <f t="shared" si="17"/>
        <v>-2.3025850929940455</v>
      </c>
      <c r="I225" s="1227">
        <f t="shared" si="18"/>
        <v>-6.3744567993640882</v>
      </c>
      <c r="J225" s="27"/>
    </row>
    <row r="226" spans="1:10">
      <c r="A226" s="27">
        <v>215</v>
      </c>
      <c r="B226" s="1227">
        <v>25</v>
      </c>
      <c r="C226" s="1227">
        <v>0.1</v>
      </c>
      <c r="D226" s="1227">
        <v>1.7045454545454545E-3</v>
      </c>
      <c r="E226" s="1227">
        <f t="shared" si="19"/>
        <v>0.26579925650557623</v>
      </c>
      <c r="F226" s="1227">
        <f t="shared" si="15"/>
        <v>-0.62556772626967638</v>
      </c>
      <c r="G226" s="1227">
        <f t="shared" si="16"/>
        <v>3.2188758248682006</v>
      </c>
      <c r="H226" s="1227">
        <f t="shared" si="17"/>
        <v>-2.3025850929940455</v>
      </c>
      <c r="I226" s="1227">
        <f t="shared" si="18"/>
        <v>-6.3744567993640882</v>
      </c>
      <c r="J226" s="27"/>
    </row>
    <row r="227" spans="1:10">
      <c r="A227" s="27">
        <v>216</v>
      </c>
      <c r="B227" s="1227">
        <v>25</v>
      </c>
      <c r="C227" s="1227">
        <v>0.1</v>
      </c>
      <c r="D227" s="1227">
        <v>1.7045454545454545E-3</v>
      </c>
      <c r="E227" s="1227">
        <f t="shared" si="19"/>
        <v>0.26703841387856259</v>
      </c>
      <c r="F227" s="1227">
        <f t="shared" si="15"/>
        <v>-0.62179476696487046</v>
      </c>
      <c r="G227" s="1227">
        <f t="shared" si="16"/>
        <v>3.2188758248682006</v>
      </c>
      <c r="H227" s="1227">
        <f t="shared" si="17"/>
        <v>-2.3025850929940455</v>
      </c>
      <c r="I227" s="1227">
        <f t="shared" si="18"/>
        <v>-6.3744567993640882</v>
      </c>
      <c r="J227" s="27"/>
    </row>
    <row r="228" spans="1:10">
      <c r="A228" s="27">
        <v>217</v>
      </c>
      <c r="B228" s="1227">
        <v>25</v>
      </c>
      <c r="C228" s="1227">
        <v>0.1</v>
      </c>
      <c r="D228" s="1227">
        <v>1.7045454545454545E-3</v>
      </c>
      <c r="E228" s="1227">
        <f t="shared" si="19"/>
        <v>0.26827757125154894</v>
      </c>
      <c r="F228" s="1227">
        <f t="shared" si="15"/>
        <v>-0.61803063836506167</v>
      </c>
      <c r="G228" s="1227">
        <f t="shared" si="16"/>
        <v>3.2188758248682006</v>
      </c>
      <c r="H228" s="1227">
        <f t="shared" si="17"/>
        <v>-2.3025850929940455</v>
      </c>
      <c r="I228" s="1227">
        <f t="shared" si="18"/>
        <v>-6.3744567993640882</v>
      </c>
      <c r="J228" s="27"/>
    </row>
    <row r="229" spans="1:10">
      <c r="A229" s="27">
        <v>218</v>
      </c>
      <c r="B229" s="1227">
        <v>25</v>
      </c>
      <c r="C229" s="1227">
        <v>0.1</v>
      </c>
      <c r="D229" s="1227">
        <v>1.7045454545454545E-3</v>
      </c>
      <c r="E229" s="1227">
        <f t="shared" si="19"/>
        <v>0.2695167286245353</v>
      </c>
      <c r="F229" s="1227">
        <f t="shared" si="15"/>
        <v>-0.61427524614473805</v>
      </c>
      <c r="G229" s="1227">
        <f t="shared" si="16"/>
        <v>3.2188758248682006</v>
      </c>
      <c r="H229" s="1227">
        <f t="shared" si="17"/>
        <v>-2.3025850929940455</v>
      </c>
      <c r="I229" s="1227">
        <f t="shared" si="18"/>
        <v>-6.3744567993640882</v>
      </c>
      <c r="J229" s="27"/>
    </row>
    <row r="230" spans="1:10">
      <c r="A230" s="27">
        <v>219</v>
      </c>
      <c r="B230" s="1227">
        <v>25</v>
      </c>
      <c r="C230" s="1227">
        <v>0.1</v>
      </c>
      <c r="D230" s="1227">
        <v>1.7045454545454545E-3</v>
      </c>
      <c r="E230" s="1227">
        <f t="shared" si="19"/>
        <v>0.27075588599752171</v>
      </c>
      <c r="F230" s="1227">
        <f t="shared" si="15"/>
        <v>-0.61052849712593604</v>
      </c>
      <c r="G230" s="1227">
        <f t="shared" si="16"/>
        <v>3.2188758248682006</v>
      </c>
      <c r="H230" s="1227">
        <f t="shared" si="17"/>
        <v>-2.3025850929940455</v>
      </c>
      <c r="I230" s="1227">
        <f t="shared" si="18"/>
        <v>-6.3744567993640882</v>
      </c>
      <c r="J230" s="27"/>
    </row>
    <row r="231" spans="1:10">
      <c r="A231" s="27">
        <v>220</v>
      </c>
      <c r="B231" s="1227">
        <v>25</v>
      </c>
      <c r="C231" s="1227">
        <v>0.1</v>
      </c>
      <c r="D231" s="1227">
        <v>1.7045454545454545E-3</v>
      </c>
      <c r="E231" s="1227">
        <f t="shared" si="19"/>
        <v>0.27199504337050806</v>
      </c>
      <c r="F231" s="1227">
        <f t="shared" si="15"/>
        <v>-0.60679029925738348</v>
      </c>
      <c r="G231" s="1227">
        <f t="shared" si="16"/>
        <v>3.2188758248682006</v>
      </c>
      <c r="H231" s="1227">
        <f t="shared" si="17"/>
        <v>-2.3025850929940455</v>
      </c>
      <c r="I231" s="1227">
        <f t="shared" si="18"/>
        <v>-6.3744567993640882</v>
      </c>
      <c r="J231" s="27"/>
    </row>
    <row r="232" spans="1:10">
      <c r="A232" s="27">
        <v>221</v>
      </c>
      <c r="B232" s="1227">
        <v>25</v>
      </c>
      <c r="C232" s="1227">
        <v>0.1</v>
      </c>
      <c r="D232" s="1227">
        <v>1.7613636363636364E-3</v>
      </c>
      <c r="E232" s="1227">
        <f t="shared" si="19"/>
        <v>0.27323420074349442</v>
      </c>
      <c r="F232" s="1227">
        <f t="shared" si="15"/>
        <v>-0.60306056159409904</v>
      </c>
      <c r="G232" s="1227">
        <f t="shared" si="16"/>
        <v>3.2188758248682006</v>
      </c>
      <c r="H232" s="1227">
        <f t="shared" si="17"/>
        <v>-2.3025850929940455</v>
      </c>
      <c r="I232" s="1227">
        <f t="shared" si="18"/>
        <v>-6.3416669765410969</v>
      </c>
      <c r="J232" s="27"/>
    </row>
    <row r="233" spans="1:10">
      <c r="A233" s="27">
        <v>222</v>
      </c>
      <c r="B233" s="1227">
        <v>25</v>
      </c>
      <c r="C233" s="1227">
        <v>0.1</v>
      </c>
      <c r="D233" s="1227">
        <v>1.8181818181818182E-3</v>
      </c>
      <c r="E233" s="1227">
        <f t="shared" si="19"/>
        <v>0.27447335811648077</v>
      </c>
      <c r="F233" s="1227">
        <f t="shared" si="15"/>
        <v>-0.59933919427743332</v>
      </c>
      <c r="G233" s="1227">
        <f t="shared" si="16"/>
        <v>3.2188758248682006</v>
      </c>
      <c r="H233" s="1227">
        <f t="shared" si="17"/>
        <v>-2.3025850929940455</v>
      </c>
      <c r="I233" s="1227">
        <f t="shared" si="18"/>
        <v>-6.3099182782265162</v>
      </c>
      <c r="J233" s="27"/>
    </row>
    <row r="234" spans="1:10">
      <c r="A234" s="27">
        <v>223</v>
      </c>
      <c r="B234" s="1227">
        <v>25</v>
      </c>
      <c r="C234" s="1227">
        <v>0.1</v>
      </c>
      <c r="D234" s="1227">
        <v>1.8749999999999999E-3</v>
      </c>
      <c r="E234" s="1227">
        <f t="shared" si="19"/>
        <v>0.27571251548946718</v>
      </c>
      <c r="F234" s="1227">
        <f t="shared" si="15"/>
        <v>-0.59562610851554787</v>
      </c>
      <c r="G234" s="1227">
        <f t="shared" si="16"/>
        <v>3.2188758248682006</v>
      </c>
      <c r="H234" s="1227">
        <f t="shared" si="17"/>
        <v>-2.3025850929940455</v>
      </c>
      <c r="I234" s="1227">
        <f t="shared" si="18"/>
        <v>-6.2791466195597634</v>
      </c>
      <c r="J234" s="27"/>
    </row>
    <row r="235" spans="1:10">
      <c r="A235" s="27">
        <v>224</v>
      </c>
      <c r="B235" s="1227">
        <v>25</v>
      </c>
      <c r="C235" s="1227">
        <v>0.1</v>
      </c>
      <c r="D235" s="1227">
        <v>1.8749999999999999E-3</v>
      </c>
      <c r="E235" s="1227">
        <f t="shared" si="19"/>
        <v>0.27695167286245354</v>
      </c>
      <c r="F235" s="1227">
        <f t="shared" si="15"/>
        <v>-0.59192121656431196</v>
      </c>
      <c r="G235" s="1227">
        <f t="shared" si="16"/>
        <v>3.2188758248682006</v>
      </c>
      <c r="H235" s="1227">
        <f t="shared" si="17"/>
        <v>-2.3025850929940455</v>
      </c>
      <c r="I235" s="1227">
        <f t="shared" si="18"/>
        <v>-6.2791466195597634</v>
      </c>
      <c r="J235" s="27"/>
    </row>
    <row r="236" spans="1:10">
      <c r="A236" s="27">
        <v>225</v>
      </c>
      <c r="B236" s="1227">
        <v>25</v>
      </c>
      <c r="C236" s="1227">
        <v>0.1</v>
      </c>
      <c r="D236" s="1227">
        <v>1.8749999999999999E-3</v>
      </c>
      <c r="E236" s="1227">
        <f t="shared" si="19"/>
        <v>0.27819083023543989</v>
      </c>
      <c r="F236" s="1227">
        <f t="shared" si="15"/>
        <v>-0.58822443170861116</v>
      </c>
      <c r="G236" s="1227">
        <f t="shared" si="16"/>
        <v>3.2188758248682006</v>
      </c>
      <c r="H236" s="1227">
        <f t="shared" si="17"/>
        <v>-2.3025850929940455</v>
      </c>
      <c r="I236" s="1227">
        <f t="shared" si="18"/>
        <v>-6.2791466195597634</v>
      </c>
      <c r="J236" s="27"/>
    </row>
    <row r="237" spans="1:10">
      <c r="A237" s="27">
        <v>226</v>
      </c>
      <c r="B237" s="1227">
        <v>25</v>
      </c>
      <c r="C237" s="1227">
        <v>0.1</v>
      </c>
      <c r="D237" s="1227">
        <v>1.8749999999999999E-3</v>
      </c>
      <c r="E237" s="1227">
        <f t="shared" si="19"/>
        <v>0.27942998760842624</v>
      </c>
      <c r="F237" s="1227">
        <f t="shared" si="15"/>
        <v>-0.58453566824405612</v>
      </c>
      <c r="G237" s="1227">
        <f t="shared" si="16"/>
        <v>3.2188758248682006</v>
      </c>
      <c r="H237" s="1227">
        <f t="shared" si="17"/>
        <v>-2.3025850929940455</v>
      </c>
      <c r="I237" s="1227">
        <f t="shared" si="18"/>
        <v>-6.2791466195597634</v>
      </c>
      <c r="J237" s="27"/>
    </row>
    <row r="238" spans="1:10">
      <c r="A238" s="27">
        <v>227</v>
      </c>
      <c r="B238" s="1227">
        <v>25</v>
      </c>
      <c r="C238" s="1227">
        <v>0.1</v>
      </c>
      <c r="D238" s="1227">
        <v>1.8749999999999999E-3</v>
      </c>
      <c r="E238" s="1227">
        <f t="shared" si="19"/>
        <v>0.28066914498141265</v>
      </c>
      <c r="F238" s="1227">
        <f t="shared" si="15"/>
        <v>-0.5808548414590804</v>
      </c>
      <c r="G238" s="1227">
        <f t="shared" si="16"/>
        <v>3.2188758248682006</v>
      </c>
      <c r="H238" s="1227">
        <f t="shared" si="17"/>
        <v>-2.3025850929940455</v>
      </c>
      <c r="I238" s="1227">
        <f t="shared" si="18"/>
        <v>-6.2791466195597634</v>
      </c>
      <c r="J238" s="27"/>
    </row>
    <row r="239" spans="1:10">
      <c r="A239" s="27">
        <v>228</v>
      </c>
      <c r="B239" s="1227">
        <v>25</v>
      </c>
      <c r="C239" s="1227">
        <v>0.1</v>
      </c>
      <c r="D239" s="1227">
        <v>1.8749999999999999E-3</v>
      </c>
      <c r="E239" s="1227">
        <f t="shared" si="19"/>
        <v>0.28190830235439901</v>
      </c>
      <c r="F239" s="1227">
        <f t="shared" si="15"/>
        <v>-0.57718186761741808</v>
      </c>
      <c r="G239" s="1227">
        <f t="shared" si="16"/>
        <v>3.2188758248682006</v>
      </c>
      <c r="H239" s="1227">
        <f t="shared" si="17"/>
        <v>-2.3025850929940455</v>
      </c>
      <c r="I239" s="1227">
        <f t="shared" si="18"/>
        <v>-6.2791466195597634</v>
      </c>
      <c r="J239" s="27"/>
    </row>
    <row r="240" spans="1:10">
      <c r="A240" s="27">
        <v>229</v>
      </c>
      <c r="B240" s="1227">
        <v>25</v>
      </c>
      <c r="C240" s="1227">
        <v>0.1</v>
      </c>
      <c r="D240" s="1227">
        <v>1.8749999999999999E-3</v>
      </c>
      <c r="E240" s="1227">
        <f t="shared" si="19"/>
        <v>0.28314745972738536</v>
      </c>
      <c r="F240" s="1227">
        <f t="shared" si="15"/>
        <v>-0.57351666394094913</v>
      </c>
      <c r="G240" s="1227">
        <f t="shared" si="16"/>
        <v>3.2188758248682006</v>
      </c>
      <c r="H240" s="1227">
        <f t="shared" si="17"/>
        <v>-2.3025850929940455</v>
      </c>
      <c r="I240" s="1227">
        <f t="shared" si="18"/>
        <v>-6.2791466195597634</v>
      </c>
      <c r="J240" s="27"/>
    </row>
    <row r="241" spans="1:10">
      <c r="A241" s="27">
        <v>230</v>
      </c>
      <c r="B241" s="1227">
        <v>25</v>
      </c>
      <c r="C241" s="1227">
        <v>0.1</v>
      </c>
      <c r="D241" s="1227">
        <v>1.8749999999999999E-3</v>
      </c>
      <c r="E241" s="1227">
        <f t="shared" si="19"/>
        <v>0.28438661710037177</v>
      </c>
      <c r="F241" s="1227">
        <f t="shared" si="15"/>
        <v>-0.56985914859290521</v>
      </c>
      <c r="G241" s="1227">
        <f t="shared" si="16"/>
        <v>3.2188758248682006</v>
      </c>
      <c r="H241" s="1227">
        <f t="shared" si="17"/>
        <v>-2.3025850929940455</v>
      </c>
      <c r="I241" s="1227">
        <f t="shared" si="18"/>
        <v>-6.2791466195597634</v>
      </c>
      <c r="J241" s="27"/>
    </row>
    <row r="242" spans="1:10">
      <c r="A242" s="27">
        <v>231</v>
      </c>
      <c r="B242" s="1227">
        <v>25</v>
      </c>
      <c r="C242" s="1227">
        <v>0.1</v>
      </c>
      <c r="D242" s="1227">
        <v>1.8749999999999999E-3</v>
      </c>
      <c r="E242" s="1227">
        <f t="shared" si="19"/>
        <v>0.28562577447335813</v>
      </c>
      <c r="F242" s="1227">
        <f t="shared" si="15"/>
        <v>-0.56620924066142819</v>
      </c>
      <c r="G242" s="1227">
        <f t="shared" si="16"/>
        <v>3.2188758248682006</v>
      </c>
      <c r="H242" s="1227">
        <f t="shared" si="17"/>
        <v>-2.3025850929940455</v>
      </c>
      <c r="I242" s="1227">
        <f t="shared" si="18"/>
        <v>-6.2791466195597634</v>
      </c>
      <c r="J242" s="27"/>
    </row>
    <row r="243" spans="1:10">
      <c r="A243" s="27">
        <v>232</v>
      </c>
      <c r="B243" s="1227">
        <v>25</v>
      </c>
      <c r="C243" s="1227">
        <v>0.1</v>
      </c>
      <c r="D243" s="1227">
        <v>1.9318181818181819E-3</v>
      </c>
      <c r="E243" s="1227">
        <f t="shared" si="19"/>
        <v>0.28686493184634448</v>
      </c>
      <c r="F243" s="1227">
        <f t="shared" si="15"/>
        <v>-0.56256686014346691</v>
      </c>
      <c r="G243" s="1227">
        <f t="shared" si="16"/>
        <v>3.2188758248682006</v>
      </c>
      <c r="H243" s="1227">
        <f t="shared" si="17"/>
        <v>-2.3025850929940455</v>
      </c>
      <c r="I243" s="1227">
        <f t="shared" si="18"/>
        <v>-6.2492936564100816</v>
      </c>
      <c r="J243" s="27"/>
    </row>
    <row r="244" spans="1:10">
      <c r="A244" s="27">
        <v>233</v>
      </c>
      <c r="B244" s="1227">
        <v>25</v>
      </c>
      <c r="C244" s="1227">
        <v>0.1</v>
      </c>
      <c r="D244" s="1227">
        <v>1.9318181818181819E-3</v>
      </c>
      <c r="E244" s="1227">
        <f t="shared" si="19"/>
        <v>0.28810408921933084</v>
      </c>
      <c r="F244" s="1227">
        <f t="shared" si="15"/>
        <v>-0.5589319279290087</v>
      </c>
      <c r="G244" s="1227">
        <f t="shared" si="16"/>
        <v>3.2188758248682006</v>
      </c>
      <c r="H244" s="1227">
        <f t="shared" si="17"/>
        <v>-2.3025850929940455</v>
      </c>
      <c r="I244" s="1227">
        <f t="shared" si="18"/>
        <v>-6.2492936564100816</v>
      </c>
      <c r="J244" s="27"/>
    </row>
    <row r="245" spans="1:10">
      <c r="A245" s="27">
        <v>234</v>
      </c>
      <c r="B245" s="1227">
        <v>25</v>
      </c>
      <c r="C245" s="1227">
        <v>0.1</v>
      </c>
      <c r="D245" s="1227">
        <v>1.9318181818181819E-3</v>
      </c>
      <c r="E245" s="1227">
        <f t="shared" si="19"/>
        <v>0.28934324659231725</v>
      </c>
      <c r="F245" s="1227">
        <f t="shared" si="15"/>
        <v>-0.55530436578563602</v>
      </c>
      <c r="G245" s="1227">
        <f t="shared" si="16"/>
        <v>3.2188758248682006</v>
      </c>
      <c r="H245" s="1227">
        <f t="shared" si="17"/>
        <v>-2.3025850929940455</v>
      </c>
      <c r="I245" s="1227">
        <f t="shared" si="18"/>
        <v>-6.2492936564100816</v>
      </c>
      <c r="J245" s="27"/>
    </row>
    <row r="246" spans="1:10">
      <c r="A246" s="27">
        <v>235</v>
      </c>
      <c r="B246" s="1227">
        <v>25</v>
      </c>
      <c r="C246" s="1227">
        <v>0.1</v>
      </c>
      <c r="D246" s="1227">
        <v>1.9886363636363634E-3</v>
      </c>
      <c r="E246" s="1227">
        <f t="shared" si="19"/>
        <v>0.2905824039653036</v>
      </c>
      <c r="F246" s="1227">
        <f t="shared" si="15"/>
        <v>-0.55168409634339777</v>
      </c>
      <c r="G246" s="1227">
        <f t="shared" si="16"/>
        <v>3.2188758248682006</v>
      </c>
      <c r="H246" s="1227">
        <f t="shared" si="17"/>
        <v>-2.3025850929940455</v>
      </c>
      <c r="I246" s="1227">
        <f t="shared" si="18"/>
        <v>-6.2203061195368292</v>
      </c>
      <c r="J246" s="27"/>
    </row>
    <row r="247" spans="1:10">
      <c r="A247" s="27">
        <v>236</v>
      </c>
      <c r="B247" s="1227">
        <v>25</v>
      </c>
      <c r="C247" s="1227">
        <v>0.1</v>
      </c>
      <c r="D247" s="1227">
        <v>1.9886363636363639E-3</v>
      </c>
      <c r="E247" s="1227">
        <f t="shared" si="19"/>
        <v>0.29182156133828996</v>
      </c>
      <c r="F247" s="1227">
        <f t="shared" si="15"/>
        <v>-0.54807104307998966</v>
      </c>
      <c r="G247" s="1227">
        <f t="shared" si="16"/>
        <v>3.2188758248682006</v>
      </c>
      <c r="H247" s="1227">
        <f t="shared" si="17"/>
        <v>-2.3025850929940455</v>
      </c>
      <c r="I247" s="1227">
        <f t="shared" si="18"/>
        <v>-6.2203061195368292</v>
      </c>
      <c r="J247" s="27"/>
    </row>
    <row r="248" spans="1:10">
      <c r="A248" s="27">
        <v>237</v>
      </c>
      <c r="B248" s="1227">
        <v>25</v>
      </c>
      <c r="C248" s="1227">
        <v>0.1</v>
      </c>
      <c r="D248" s="1227">
        <v>2.2727272727272731E-3</v>
      </c>
      <c r="E248" s="1227">
        <f t="shared" si="19"/>
        <v>0.29306071871127631</v>
      </c>
      <c r="F248" s="1227">
        <f t="shared" si="15"/>
        <v>-0.54446513030623522</v>
      </c>
      <c r="G248" s="1227">
        <f t="shared" si="16"/>
        <v>3.2188758248682006</v>
      </c>
      <c r="H248" s="1227">
        <f t="shared" si="17"/>
        <v>-2.3025850929940455</v>
      </c>
      <c r="I248" s="1227">
        <f t="shared" si="18"/>
        <v>-6.0867747269123065</v>
      </c>
      <c r="J248" s="27"/>
    </row>
    <row r="249" spans="1:10">
      <c r="A249" s="27">
        <v>238</v>
      </c>
      <c r="B249" s="1227">
        <v>25</v>
      </c>
      <c r="C249" s="1227">
        <v>0.1</v>
      </c>
      <c r="D249" s="1227">
        <v>2.2727272727272731E-3</v>
      </c>
      <c r="E249" s="1227">
        <f t="shared" si="19"/>
        <v>0.29429987608426272</v>
      </c>
      <c r="F249" s="1227">
        <f t="shared" si="15"/>
        <v>-0.54086628315185947</v>
      </c>
      <c r="G249" s="1227">
        <f t="shared" si="16"/>
        <v>3.2188758248682006</v>
      </c>
      <c r="H249" s="1227">
        <f t="shared" si="17"/>
        <v>-2.3025850929940455</v>
      </c>
      <c r="I249" s="1227">
        <f t="shared" si="18"/>
        <v>-6.0867747269123065</v>
      </c>
      <c r="J249" s="27"/>
    </row>
    <row r="250" spans="1:10">
      <c r="A250" s="27">
        <v>239</v>
      </c>
      <c r="B250" s="1227">
        <v>25</v>
      </c>
      <c r="C250" s="1227">
        <v>0.1</v>
      </c>
      <c r="D250" s="1227">
        <v>2.2727272727272731E-3</v>
      </c>
      <c r="E250" s="1227">
        <f t="shared" si="19"/>
        <v>0.29553903345724908</v>
      </c>
      <c r="F250" s="1227">
        <f t="shared" si="15"/>
        <v>-0.53727442755154975</v>
      </c>
      <c r="G250" s="1227">
        <f t="shared" si="16"/>
        <v>3.2188758248682006</v>
      </c>
      <c r="H250" s="1227">
        <f t="shared" si="17"/>
        <v>-2.3025850929940455</v>
      </c>
      <c r="I250" s="1227">
        <f t="shared" si="18"/>
        <v>-6.0867747269123065</v>
      </c>
      <c r="J250" s="27"/>
    </row>
    <row r="251" spans="1:10">
      <c r="A251" s="27">
        <v>240</v>
      </c>
      <c r="B251" s="1227">
        <v>25</v>
      </c>
      <c r="C251" s="1227">
        <v>0.1</v>
      </c>
      <c r="D251" s="1227">
        <v>2.2727272727272731E-3</v>
      </c>
      <c r="E251" s="1227">
        <f t="shared" si="19"/>
        <v>0.29677819083023543</v>
      </c>
      <c r="F251" s="1227">
        <f t="shared" si="15"/>
        <v>-0.53368949023129297</v>
      </c>
      <c r="G251" s="1227">
        <f t="shared" si="16"/>
        <v>3.2188758248682006</v>
      </c>
      <c r="H251" s="1227">
        <f t="shared" si="17"/>
        <v>-2.3025850929940455</v>
      </c>
      <c r="I251" s="1227">
        <f t="shared" si="18"/>
        <v>-6.0867747269123065</v>
      </c>
      <c r="J251" s="27"/>
    </row>
    <row r="252" spans="1:10">
      <c r="A252" s="27">
        <v>241</v>
      </c>
      <c r="B252" s="1227">
        <v>25</v>
      </c>
      <c r="C252" s="1227">
        <v>0.1</v>
      </c>
      <c r="D252" s="1227">
        <v>2.2727272727272731E-3</v>
      </c>
      <c r="E252" s="1227">
        <f t="shared" si="19"/>
        <v>0.29801734820322179</v>
      </c>
      <c r="F252" s="1227">
        <f t="shared" si="15"/>
        <v>-0.5301113986949858</v>
      </c>
      <c r="G252" s="1227">
        <f t="shared" si="16"/>
        <v>3.2188758248682006</v>
      </c>
      <c r="H252" s="1227">
        <f t="shared" si="17"/>
        <v>-2.3025850929940455</v>
      </c>
      <c r="I252" s="1227">
        <f t="shared" si="18"/>
        <v>-6.0867747269123065</v>
      </c>
      <c r="J252" s="27"/>
    </row>
    <row r="253" spans="1:10">
      <c r="A253" s="27">
        <v>242</v>
      </c>
      <c r="B253" s="1227">
        <v>25</v>
      </c>
      <c r="C253" s="1227">
        <v>0.1</v>
      </c>
      <c r="D253" s="1227">
        <v>2.2727272727272731E-3</v>
      </c>
      <c r="E253" s="1227">
        <f t="shared" si="19"/>
        <v>0.2992565055762082</v>
      </c>
      <c r="F253" s="1227">
        <f t="shared" si="15"/>
        <v>-0.52654008121131124</v>
      </c>
      <c r="G253" s="1227">
        <f t="shared" si="16"/>
        <v>3.2188758248682006</v>
      </c>
      <c r="H253" s="1227">
        <f t="shared" si="17"/>
        <v>-2.3025850929940455</v>
      </c>
      <c r="I253" s="1227">
        <f t="shared" si="18"/>
        <v>-6.0867747269123065</v>
      </c>
      <c r="J253" s="27"/>
    </row>
    <row r="254" spans="1:10">
      <c r="A254" s="27">
        <v>243</v>
      </c>
      <c r="B254" s="1227">
        <v>25</v>
      </c>
      <c r="C254" s="1227">
        <v>0.1</v>
      </c>
      <c r="D254" s="1227">
        <v>2.2727272727272731E-3</v>
      </c>
      <c r="E254" s="1227">
        <f t="shared" si="19"/>
        <v>0.30049566294919455</v>
      </c>
      <c r="F254" s="1227">
        <f t="shared" si="15"/>
        <v>-0.52297546680087248</v>
      </c>
      <c r="G254" s="1227">
        <f t="shared" si="16"/>
        <v>3.2188758248682006</v>
      </c>
      <c r="H254" s="1227">
        <f t="shared" si="17"/>
        <v>-2.3025850929940455</v>
      </c>
      <c r="I254" s="1227">
        <f t="shared" si="18"/>
        <v>-6.0867747269123065</v>
      </c>
      <c r="J254" s="27"/>
    </row>
    <row r="255" spans="1:10">
      <c r="A255" s="27">
        <v>244</v>
      </c>
      <c r="B255" s="1227">
        <v>25</v>
      </c>
      <c r="C255" s="1227">
        <v>0.1</v>
      </c>
      <c r="D255" s="1227">
        <v>2.2727272727272731E-3</v>
      </c>
      <c r="E255" s="1227">
        <f t="shared" si="19"/>
        <v>0.30173482032218091</v>
      </c>
      <c r="F255" s="1227">
        <f t="shared" si="15"/>
        <v>-0.51941748522357756</v>
      </c>
      <c r="G255" s="1227">
        <f t="shared" si="16"/>
        <v>3.2188758248682006</v>
      </c>
      <c r="H255" s="1227">
        <f t="shared" si="17"/>
        <v>-2.3025850929940455</v>
      </c>
      <c r="I255" s="1227">
        <f t="shared" si="18"/>
        <v>-6.0867747269123065</v>
      </c>
      <c r="J255" s="27"/>
    </row>
    <row r="256" spans="1:10">
      <c r="A256" s="27">
        <v>245</v>
      </c>
      <c r="B256" s="1227">
        <v>25</v>
      </c>
      <c r="C256" s="1227">
        <v>0.1</v>
      </c>
      <c r="D256" s="1227">
        <v>2.2727272727272731E-3</v>
      </c>
      <c r="E256" s="1227">
        <f t="shared" si="19"/>
        <v>0.30297397769516726</v>
      </c>
      <c r="F256" s="1227">
        <f t="shared" si="15"/>
        <v>-0.51586606696627446</v>
      </c>
      <c r="G256" s="1227">
        <f t="shared" si="16"/>
        <v>3.2188758248682006</v>
      </c>
      <c r="H256" s="1227">
        <f t="shared" si="17"/>
        <v>-2.3025850929940455</v>
      </c>
      <c r="I256" s="1227">
        <f t="shared" si="18"/>
        <v>-6.0867747269123065</v>
      </c>
      <c r="J256" s="27"/>
    </row>
    <row r="257" spans="1:10">
      <c r="A257" s="27">
        <v>246</v>
      </c>
      <c r="B257" s="1227">
        <v>25</v>
      </c>
      <c r="C257" s="1227">
        <v>0.1</v>
      </c>
      <c r="D257" s="1227">
        <v>2.2727272727272731E-3</v>
      </c>
      <c r="E257" s="1227">
        <f t="shared" si="19"/>
        <v>0.30421313506815367</v>
      </c>
      <c r="F257" s="1227">
        <f t="shared" si="15"/>
        <v>-0.51232114323062183</v>
      </c>
      <c r="G257" s="1227">
        <f t="shared" si="16"/>
        <v>3.2188758248682006</v>
      </c>
      <c r="H257" s="1227">
        <f t="shared" si="17"/>
        <v>-2.3025850929940455</v>
      </c>
      <c r="I257" s="1227">
        <f t="shared" si="18"/>
        <v>-6.0867747269123065</v>
      </c>
      <c r="J257" s="27"/>
    </row>
    <row r="258" spans="1:10">
      <c r="A258" s="27">
        <v>247</v>
      </c>
      <c r="B258" s="1227">
        <v>25</v>
      </c>
      <c r="C258" s="1233">
        <v>0.1</v>
      </c>
      <c r="D258" s="1227">
        <v>2.2727272727272731E-3</v>
      </c>
      <c r="E258" s="1227">
        <f t="shared" si="19"/>
        <v>0.30545229244114003</v>
      </c>
      <c r="F258" s="1227">
        <f t="shared" si="15"/>
        <v>-0.50878264592119848</v>
      </c>
      <c r="G258" s="1227">
        <f t="shared" si="16"/>
        <v>3.2188758248682006</v>
      </c>
      <c r="H258" s="1227">
        <f t="shared" si="17"/>
        <v>-2.3025850929940455</v>
      </c>
      <c r="I258" s="1227">
        <f t="shared" si="18"/>
        <v>-6.0867747269123065</v>
      </c>
      <c r="J258" s="27"/>
    </row>
    <row r="259" spans="1:10">
      <c r="A259" s="27">
        <v>248</v>
      </c>
      <c r="B259" s="1227">
        <v>25</v>
      </c>
      <c r="C259" s="1234">
        <v>0.1</v>
      </c>
      <c r="D259" s="1227">
        <v>2.2727272727272731E-3</v>
      </c>
      <c r="E259" s="1227">
        <f t="shared" si="19"/>
        <v>0.30669144981412638</v>
      </c>
      <c r="F259" s="1227">
        <f t="shared" si="15"/>
        <v>-0.50525050763383694</v>
      </c>
      <c r="G259" s="1227">
        <f t="shared" si="16"/>
        <v>3.2188758248682006</v>
      </c>
      <c r="H259" s="1227">
        <f t="shared" si="17"/>
        <v>-2.3025850929940455</v>
      </c>
      <c r="I259" s="1227">
        <f t="shared" si="18"/>
        <v>-6.0867747269123065</v>
      </c>
      <c r="J259" s="27"/>
    </row>
    <row r="260" spans="1:10">
      <c r="A260" s="27">
        <v>249</v>
      </c>
      <c r="B260" s="1227">
        <v>25</v>
      </c>
      <c r="C260" s="1234">
        <v>0.1</v>
      </c>
      <c r="D260" s="1227">
        <v>2.3863636363636366E-3</v>
      </c>
      <c r="E260" s="1227">
        <f t="shared" si="19"/>
        <v>0.30793060718711274</v>
      </c>
      <c r="F260" s="1227">
        <f t="shared" si="15"/>
        <v>-0.50172466164418483</v>
      </c>
      <c r="G260" s="1227">
        <f t="shared" si="16"/>
        <v>3.2188758248682006</v>
      </c>
      <c r="H260" s="1227">
        <f t="shared" si="17"/>
        <v>-2.3025850929940455</v>
      </c>
      <c r="I260" s="1227">
        <f t="shared" si="18"/>
        <v>-6.0379845627428752</v>
      </c>
      <c r="J260" s="27"/>
    </row>
    <row r="261" spans="1:10">
      <c r="A261" s="27">
        <v>250</v>
      </c>
      <c r="B261" s="1227">
        <v>25</v>
      </c>
      <c r="C261" s="1234">
        <v>0.1</v>
      </c>
      <c r="D261" s="1227">
        <v>2.3863636363636366E-3</v>
      </c>
      <c r="E261" s="1227">
        <f t="shared" si="19"/>
        <v>0.30916976456009915</v>
      </c>
      <c r="F261" s="1227">
        <f t="shared" si="15"/>
        <v>-0.49820504189648129</v>
      </c>
      <c r="G261" s="1227">
        <f t="shared" si="16"/>
        <v>3.2188758248682006</v>
      </c>
      <c r="H261" s="1227">
        <f t="shared" si="17"/>
        <v>-2.3025850929940455</v>
      </c>
      <c r="I261" s="1227">
        <f t="shared" si="18"/>
        <v>-6.0379845627428752</v>
      </c>
      <c r="J261" s="27"/>
    </row>
    <row r="262" spans="1:10">
      <c r="A262" s="27">
        <v>251</v>
      </c>
      <c r="B262" s="1227">
        <v>25</v>
      </c>
      <c r="C262" s="1227">
        <v>0.11</v>
      </c>
      <c r="D262" s="1227">
        <v>2.5000000000000001E-3</v>
      </c>
      <c r="E262" s="1227">
        <f t="shared" si="19"/>
        <v>0.3104089219330855</v>
      </c>
      <c r="F262" s="1227">
        <f t="shared" si="15"/>
        <v>-0.49469158299254773</v>
      </c>
      <c r="G262" s="1227">
        <f t="shared" si="16"/>
        <v>3.2188758248682006</v>
      </c>
      <c r="H262" s="1227">
        <f t="shared" si="17"/>
        <v>-2.2072749131897207</v>
      </c>
      <c r="I262" s="1227">
        <f t="shared" si="18"/>
        <v>-5.9914645471079817</v>
      </c>
      <c r="J262" s="27"/>
    </row>
    <row r="263" spans="1:10">
      <c r="A263" s="27">
        <v>252</v>
      </c>
      <c r="B263" s="1227">
        <v>25</v>
      </c>
      <c r="C263" s="1227">
        <v>0.11</v>
      </c>
      <c r="D263" s="1227">
        <v>2.5000000000000001E-3</v>
      </c>
      <c r="E263" s="1227">
        <f t="shared" si="19"/>
        <v>0.31164807930607186</v>
      </c>
      <c r="F263" s="1227">
        <f t="shared" si="15"/>
        <v>-0.49118422018098601</v>
      </c>
      <c r="G263" s="1227">
        <f t="shared" si="16"/>
        <v>3.2188758248682006</v>
      </c>
      <c r="H263" s="1227">
        <f t="shared" si="17"/>
        <v>-2.2072749131897207</v>
      </c>
      <c r="I263" s="1227">
        <f t="shared" si="18"/>
        <v>-5.9914645471079817</v>
      </c>
      <c r="J263" s="27"/>
    </row>
    <row r="264" spans="1:10">
      <c r="A264" s="27">
        <v>253</v>
      </c>
      <c r="B264" s="1227">
        <v>25</v>
      </c>
      <c r="C264" s="1227">
        <v>0.11</v>
      </c>
      <c r="D264" s="1227">
        <v>2.840909090909091E-3</v>
      </c>
      <c r="E264" s="1227">
        <f t="shared" si="19"/>
        <v>0.31288723667905827</v>
      </c>
      <c r="F264" s="1227">
        <f t="shared" si="15"/>
        <v>-0.4876828893465785</v>
      </c>
      <c r="G264" s="1227">
        <f t="shared" si="16"/>
        <v>3.2188758248682006</v>
      </c>
      <c r="H264" s="1227">
        <f t="shared" si="17"/>
        <v>-2.2072749131897207</v>
      </c>
      <c r="I264" s="1227">
        <f t="shared" si="18"/>
        <v>-5.8636311755980968</v>
      </c>
      <c r="J264" s="27"/>
    </row>
    <row r="265" spans="1:10">
      <c r="A265" s="27">
        <v>254</v>
      </c>
      <c r="B265" s="1227">
        <v>25</v>
      </c>
      <c r="C265" s="1227">
        <v>0.11</v>
      </c>
      <c r="D265" s="1227">
        <v>2.840909090909091E-3</v>
      </c>
      <c r="E265" s="1227">
        <f t="shared" si="19"/>
        <v>0.31412639405204462</v>
      </c>
      <c r="F265" s="1227">
        <f t="shared" si="15"/>
        <v>-0.48418752699988798</v>
      </c>
      <c r="G265" s="1227">
        <f t="shared" si="16"/>
        <v>3.2188758248682006</v>
      </c>
      <c r="H265" s="1227">
        <f t="shared" si="17"/>
        <v>-2.2072749131897207</v>
      </c>
      <c r="I265" s="1227">
        <f t="shared" si="18"/>
        <v>-5.8636311755980968</v>
      </c>
      <c r="J265" s="27"/>
    </row>
    <row r="266" spans="1:10">
      <c r="A266" s="27">
        <v>255</v>
      </c>
      <c r="B266" s="1227">
        <v>25</v>
      </c>
      <c r="C266" s="1227">
        <v>0.11</v>
      </c>
      <c r="D266" s="1227">
        <v>2.840909090909091E-3</v>
      </c>
      <c r="E266" s="1227">
        <f t="shared" si="19"/>
        <v>0.31536555142503098</v>
      </c>
      <c r="F266" s="1227">
        <f t="shared" si="15"/>
        <v>-0.48069807026704975</v>
      </c>
      <c r="G266" s="1227">
        <f t="shared" si="16"/>
        <v>3.2188758248682006</v>
      </c>
      <c r="H266" s="1227">
        <f t="shared" si="17"/>
        <v>-2.2072749131897207</v>
      </c>
      <c r="I266" s="1227">
        <f t="shared" si="18"/>
        <v>-5.8636311755980968</v>
      </c>
      <c r="J266" s="27"/>
    </row>
    <row r="267" spans="1:10">
      <c r="A267" s="27">
        <v>256</v>
      </c>
      <c r="B267" s="1227">
        <v>25</v>
      </c>
      <c r="C267" s="1227">
        <v>0.12</v>
      </c>
      <c r="D267" s="1227">
        <v>2.840909090909091E-3</v>
      </c>
      <c r="E267" s="1227">
        <f t="shared" si="19"/>
        <v>0.31660470879801733</v>
      </c>
      <c r="F267" s="1227">
        <f t="shared" si="15"/>
        <v>-0.47721445687975278</v>
      </c>
      <c r="G267" s="1227">
        <f t="shared" si="16"/>
        <v>3.2188758248682006</v>
      </c>
      <c r="H267" s="1227">
        <f t="shared" si="17"/>
        <v>-2.120263536200091</v>
      </c>
      <c r="I267" s="1227">
        <f t="shared" si="18"/>
        <v>-5.8636311755980968</v>
      </c>
      <c r="J267" s="27"/>
    </row>
    <row r="268" spans="1:10">
      <c r="A268" s="27">
        <v>257</v>
      </c>
      <c r="B268" s="1227">
        <v>25</v>
      </c>
      <c r="C268" s="1227">
        <v>0.12</v>
      </c>
      <c r="D268" s="1227">
        <v>2.840909090909091E-3</v>
      </c>
      <c r="E268" s="1227">
        <f t="shared" si="19"/>
        <v>0.31784386617100374</v>
      </c>
      <c r="F268" s="1227">
        <f t="shared" ref="F268:F331" si="20">NORMSINV(E268)</f>
        <v>-0.47373662516540577</v>
      </c>
      <c r="G268" s="1227">
        <f t="shared" ref="G268:G331" si="21">LN(B268)</f>
        <v>3.2188758248682006</v>
      </c>
      <c r="H268" s="1227">
        <f t="shared" ref="H268:H331" si="22">LN(C268)</f>
        <v>-2.120263536200091</v>
      </c>
      <c r="I268" s="1227">
        <f t="shared" ref="I268:I331" si="23">LN(D268)</f>
        <v>-5.8636311755980968</v>
      </c>
      <c r="J268" s="27"/>
    </row>
    <row r="269" spans="1:10">
      <c r="A269" s="27">
        <v>258</v>
      </c>
      <c r="B269" s="1227">
        <v>25</v>
      </c>
      <c r="C269" s="1227">
        <v>0.13</v>
      </c>
      <c r="D269" s="1227">
        <v>2.840909090909091E-3</v>
      </c>
      <c r="E269" s="1227">
        <f t="shared" ref="E269:E332" si="24">(A269-0.5)/807</f>
        <v>0.3190830235439901</v>
      </c>
      <c r="F269" s="1227">
        <f t="shared" si="20"/>
        <v>-0.47026451403748454</v>
      </c>
      <c r="G269" s="1227">
        <f t="shared" si="21"/>
        <v>3.2188758248682006</v>
      </c>
      <c r="H269" s="1227">
        <f t="shared" si="22"/>
        <v>-2.0402208285265546</v>
      </c>
      <c r="I269" s="1227">
        <f t="shared" si="23"/>
        <v>-5.8636311755980968</v>
      </c>
      <c r="J269" s="27"/>
    </row>
    <row r="270" spans="1:10">
      <c r="A270" s="27">
        <v>259</v>
      </c>
      <c r="B270" s="1227">
        <v>25</v>
      </c>
      <c r="C270" s="1227">
        <v>0.14000000000000001</v>
      </c>
      <c r="D270" s="1227">
        <v>2.840909090909091E-3</v>
      </c>
      <c r="E270" s="1227">
        <f t="shared" si="24"/>
        <v>0.32032218091697645</v>
      </c>
      <c r="F270" s="1227">
        <f t="shared" si="20"/>
        <v>-0.46679806298605186</v>
      </c>
      <c r="G270" s="1227">
        <f t="shared" si="21"/>
        <v>3.2188758248682006</v>
      </c>
      <c r="H270" s="1227">
        <f t="shared" si="22"/>
        <v>-1.9661128563728327</v>
      </c>
      <c r="I270" s="1227">
        <f t="shared" si="23"/>
        <v>-5.8636311755980968</v>
      </c>
      <c r="J270" s="27"/>
    </row>
    <row r="271" spans="1:10">
      <c r="A271" s="27">
        <v>260</v>
      </c>
      <c r="B271" s="1227">
        <v>25</v>
      </c>
      <c r="C271" s="1227">
        <v>0.14000000000000001</v>
      </c>
      <c r="D271" s="1227">
        <v>2.840909090909091E-3</v>
      </c>
      <c r="E271" s="1227">
        <f t="shared" si="24"/>
        <v>0.32156133828996281</v>
      </c>
      <c r="F271" s="1227">
        <f t="shared" si="20"/>
        <v>-0.46333721206845424</v>
      </c>
      <c r="G271" s="1227">
        <f t="shared" si="21"/>
        <v>3.2188758248682006</v>
      </c>
      <c r="H271" s="1227">
        <f t="shared" si="22"/>
        <v>-1.9661128563728327</v>
      </c>
      <c r="I271" s="1227">
        <f t="shared" si="23"/>
        <v>-5.8636311755980968</v>
      </c>
      <c r="J271" s="27"/>
    </row>
    <row r="272" spans="1:10">
      <c r="A272" s="27">
        <v>261</v>
      </c>
      <c r="B272" s="1227">
        <v>25</v>
      </c>
      <c r="C272" s="1227">
        <v>0.15</v>
      </c>
      <c r="D272" s="1227">
        <v>2.840909090909091E-3</v>
      </c>
      <c r="E272" s="1227">
        <f t="shared" si="24"/>
        <v>0.32280049566294922</v>
      </c>
      <c r="F272" s="1227">
        <f t="shared" si="20"/>
        <v>-0.45988190190018269</v>
      </c>
      <c r="G272" s="1227">
        <f t="shared" si="21"/>
        <v>3.2188758248682006</v>
      </c>
      <c r="H272" s="1227">
        <f t="shared" si="22"/>
        <v>-1.8971199848858813</v>
      </c>
      <c r="I272" s="1227">
        <f t="shared" si="23"/>
        <v>-5.8636311755980968</v>
      </c>
      <c r="J272" s="27"/>
    </row>
    <row r="273" spans="1:10">
      <c r="A273" s="27">
        <v>262</v>
      </c>
      <c r="B273" s="1227">
        <v>25</v>
      </c>
      <c r="C273" s="1227">
        <v>0.16</v>
      </c>
      <c r="D273" s="1227">
        <v>2.840909090909091E-3</v>
      </c>
      <c r="E273" s="1227">
        <f t="shared" si="24"/>
        <v>0.32403965303593557</v>
      </c>
      <c r="F273" s="1227">
        <f t="shared" si="20"/>
        <v>-0.45643207364590005</v>
      </c>
      <c r="G273" s="1227">
        <f t="shared" si="21"/>
        <v>3.2188758248682006</v>
      </c>
      <c r="H273" s="1227">
        <f t="shared" si="22"/>
        <v>-1.8325814637483102</v>
      </c>
      <c r="I273" s="1227">
        <f t="shared" si="23"/>
        <v>-5.8636311755980968</v>
      </c>
      <c r="J273" s="27"/>
    </row>
    <row r="274" spans="1:10">
      <c r="A274" s="27">
        <v>263</v>
      </c>
      <c r="B274" s="1227">
        <v>25</v>
      </c>
      <c r="C274" s="1227">
        <v>0.17</v>
      </c>
      <c r="D274" s="1227">
        <v>2.840909090909091E-3</v>
      </c>
      <c r="E274" s="1227">
        <f t="shared" si="24"/>
        <v>0.32527881040892193</v>
      </c>
      <c r="F274" s="1227">
        <f t="shared" si="20"/>
        <v>-0.45298766901062815</v>
      </c>
      <c r="G274" s="1227">
        <f t="shared" si="21"/>
        <v>3.2188758248682006</v>
      </c>
      <c r="H274" s="1227">
        <f t="shared" si="22"/>
        <v>-1.7719568419318752</v>
      </c>
      <c r="I274" s="1227">
        <f t="shared" si="23"/>
        <v>-5.8636311755980968</v>
      </c>
      <c r="J274" s="27"/>
    </row>
    <row r="275" spans="1:10">
      <c r="A275" s="27">
        <v>264</v>
      </c>
      <c r="B275" s="1227">
        <v>25</v>
      </c>
      <c r="C275" s="1227">
        <v>0.2</v>
      </c>
      <c r="D275" s="1227">
        <v>2.840909090909091E-3</v>
      </c>
      <c r="E275" s="1227">
        <f t="shared" si="24"/>
        <v>0.32651796778190828</v>
      </c>
      <c r="F275" s="1227">
        <f t="shared" si="20"/>
        <v>-0.44954863023109176</v>
      </c>
      <c r="G275" s="1227">
        <f t="shared" si="21"/>
        <v>3.2188758248682006</v>
      </c>
      <c r="H275" s="1227">
        <f t="shared" si="22"/>
        <v>-1.6094379124341003</v>
      </c>
      <c r="I275" s="1227">
        <f t="shared" si="23"/>
        <v>-5.8636311755980968</v>
      </c>
      <c r="J275" s="27"/>
    </row>
    <row r="276" spans="1:10">
      <c r="A276" s="27">
        <v>265</v>
      </c>
      <c r="B276" s="1227">
        <v>25</v>
      </c>
      <c r="C276" s="1227">
        <v>0.2</v>
      </c>
      <c r="D276" s="1227">
        <v>2.840909090909091E-3</v>
      </c>
      <c r="E276" s="1227">
        <f t="shared" si="24"/>
        <v>0.32775712515489469</v>
      </c>
      <c r="F276" s="1227">
        <f t="shared" si="20"/>
        <v>-0.4461149000672151</v>
      </c>
      <c r="G276" s="1227">
        <f t="shared" si="21"/>
        <v>3.2188758248682006</v>
      </c>
      <c r="H276" s="1227">
        <f t="shared" si="22"/>
        <v>-1.6094379124341003</v>
      </c>
      <c r="I276" s="1227">
        <f t="shared" si="23"/>
        <v>-5.8636311755980968</v>
      </c>
      <c r="J276" s="27"/>
    </row>
    <row r="277" spans="1:10">
      <c r="A277" s="27">
        <v>266</v>
      </c>
      <c r="B277" s="1227">
        <v>25</v>
      </c>
      <c r="C277" s="1227">
        <v>0.2</v>
      </c>
      <c r="D277" s="1227">
        <v>2.840909090909091E-3</v>
      </c>
      <c r="E277" s="1227">
        <f t="shared" si="24"/>
        <v>0.32899628252788105</v>
      </c>
      <c r="F277" s="1227">
        <f t="shared" si="20"/>
        <v>-0.44268642179377005</v>
      </c>
      <c r="G277" s="1227">
        <f t="shared" si="21"/>
        <v>3.2188758248682006</v>
      </c>
      <c r="H277" s="1227">
        <f t="shared" si="22"/>
        <v>-1.6094379124341003</v>
      </c>
      <c r="I277" s="1227">
        <f t="shared" si="23"/>
        <v>-5.8636311755980968</v>
      </c>
      <c r="J277" s="27"/>
    </row>
    <row r="278" spans="1:10">
      <c r="A278" s="27">
        <v>267</v>
      </c>
      <c r="B278" s="1227">
        <v>25</v>
      </c>
      <c r="C278" s="1227">
        <v>0.2</v>
      </c>
      <c r="D278" s="1227">
        <v>2.840909090909091E-3</v>
      </c>
      <c r="E278" s="1227">
        <f t="shared" si="24"/>
        <v>0.3302354399008674</v>
      </c>
      <c r="F278" s="1227">
        <f t="shared" si="20"/>
        <v>-0.43926313919216853</v>
      </c>
      <c r="G278" s="1227">
        <f t="shared" si="21"/>
        <v>3.2188758248682006</v>
      </c>
      <c r="H278" s="1227">
        <f t="shared" si="22"/>
        <v>-1.6094379124341003</v>
      </c>
      <c r="I278" s="1227">
        <f t="shared" si="23"/>
        <v>-5.8636311755980968</v>
      </c>
      <c r="J278" s="27"/>
    </row>
    <row r="279" spans="1:10">
      <c r="A279" s="27">
        <v>268</v>
      </c>
      <c r="B279" s="1227">
        <v>25</v>
      </c>
      <c r="C279" s="1227">
        <v>0.2</v>
      </c>
      <c r="D279" s="1227">
        <v>2.840909090909091E-3</v>
      </c>
      <c r="E279" s="1227">
        <f t="shared" si="24"/>
        <v>0.33147459727385375</v>
      </c>
      <c r="F279" s="1227">
        <f t="shared" si="20"/>
        <v>-0.4358449965423995</v>
      </c>
      <c r="G279" s="1227">
        <f t="shared" si="21"/>
        <v>3.2188758248682006</v>
      </c>
      <c r="H279" s="1227">
        <f t="shared" si="22"/>
        <v>-1.6094379124341003</v>
      </c>
      <c r="I279" s="1227">
        <f t="shared" si="23"/>
        <v>-5.8636311755980968</v>
      </c>
      <c r="J279" s="27"/>
    </row>
    <row r="280" spans="1:10">
      <c r="A280" s="27">
        <v>269</v>
      </c>
      <c r="B280" s="1227">
        <v>25</v>
      </c>
      <c r="C280" s="1227">
        <v>0.2</v>
      </c>
      <c r="D280" s="1227">
        <v>2.840909090909091E-3</v>
      </c>
      <c r="E280" s="1227">
        <f t="shared" si="24"/>
        <v>0.33271375464684017</v>
      </c>
      <c r="F280" s="1227">
        <f t="shared" si="20"/>
        <v>-0.43243193861510604</v>
      </c>
      <c r="G280" s="1227">
        <f t="shared" si="21"/>
        <v>3.2188758248682006</v>
      </c>
      <c r="H280" s="1227">
        <f t="shared" si="22"/>
        <v>-1.6094379124341003</v>
      </c>
      <c r="I280" s="1227">
        <f t="shared" si="23"/>
        <v>-5.8636311755980968</v>
      </c>
      <c r="J280" s="27"/>
    </row>
    <row r="281" spans="1:10">
      <c r="A281" s="27">
        <v>270</v>
      </c>
      <c r="B281" s="1227">
        <v>25</v>
      </c>
      <c r="C281" s="1227">
        <v>0.2</v>
      </c>
      <c r="D281" s="1227">
        <v>2.840909090909091E-3</v>
      </c>
      <c r="E281" s="1227">
        <f t="shared" si="24"/>
        <v>0.33395291201982652</v>
      </c>
      <c r="F281" s="1227">
        <f t="shared" si="20"/>
        <v>-0.42902391066379769</v>
      </c>
      <c r="G281" s="1227">
        <f t="shared" si="21"/>
        <v>3.2188758248682006</v>
      </c>
      <c r="H281" s="1227">
        <f t="shared" si="22"/>
        <v>-1.6094379124341003</v>
      </c>
      <c r="I281" s="1227">
        <f t="shared" si="23"/>
        <v>-5.8636311755980968</v>
      </c>
      <c r="J281" s="27"/>
    </row>
    <row r="282" spans="1:10">
      <c r="A282" s="27">
        <v>271</v>
      </c>
      <c r="B282" s="1227">
        <v>25</v>
      </c>
      <c r="C282" s="1227">
        <v>0.2</v>
      </c>
      <c r="D282" s="1227">
        <v>2.840909090909091E-3</v>
      </c>
      <c r="E282" s="1227">
        <f t="shared" si="24"/>
        <v>0.33519206939281287</v>
      </c>
      <c r="F282" s="1227">
        <f t="shared" si="20"/>
        <v>-0.42562085841719849</v>
      </c>
      <c r="G282" s="1227">
        <f t="shared" si="21"/>
        <v>3.2188758248682006</v>
      </c>
      <c r="H282" s="1227">
        <f t="shared" si="22"/>
        <v>-1.6094379124341003</v>
      </c>
      <c r="I282" s="1227">
        <f t="shared" si="23"/>
        <v>-5.8636311755980968</v>
      </c>
      <c r="J282" s="27"/>
    </row>
    <row r="283" spans="1:10">
      <c r="A283" s="27">
        <v>272</v>
      </c>
      <c r="B283" s="1227">
        <v>25</v>
      </c>
      <c r="C283" s="1227">
        <v>0.2</v>
      </c>
      <c r="D283" s="1227">
        <v>2.840909090909091E-3</v>
      </c>
      <c r="E283" s="1227">
        <f t="shared" si="24"/>
        <v>0.33643122676579923</v>
      </c>
      <c r="F283" s="1227">
        <f t="shared" si="20"/>
        <v>-0.42222272807172406</v>
      </c>
      <c r="G283" s="1227">
        <f t="shared" si="21"/>
        <v>3.2188758248682006</v>
      </c>
      <c r="H283" s="1227">
        <f t="shared" si="22"/>
        <v>-1.6094379124341003</v>
      </c>
      <c r="I283" s="1227">
        <f t="shared" si="23"/>
        <v>-5.8636311755980968</v>
      </c>
      <c r="J283" s="27"/>
    </row>
    <row r="284" spans="1:10">
      <c r="A284" s="27">
        <v>273</v>
      </c>
      <c r="B284" s="1227">
        <v>25</v>
      </c>
      <c r="C284" s="1227">
        <v>0.2</v>
      </c>
      <c r="D284" s="1227">
        <v>2.840909090909091E-3</v>
      </c>
      <c r="E284" s="1227">
        <f t="shared" si="24"/>
        <v>0.33767038413878564</v>
      </c>
      <c r="F284" s="1227">
        <f t="shared" si="20"/>
        <v>-0.41882946628408779</v>
      </c>
      <c r="G284" s="1227">
        <f t="shared" si="21"/>
        <v>3.2188758248682006</v>
      </c>
      <c r="H284" s="1227">
        <f t="shared" si="22"/>
        <v>-1.6094379124341003</v>
      </c>
      <c r="I284" s="1227">
        <f t="shared" si="23"/>
        <v>-5.8636311755980968</v>
      </c>
      <c r="J284" s="27"/>
    </row>
    <row r="285" spans="1:10">
      <c r="A285" s="27">
        <v>274</v>
      </c>
      <c r="B285" s="1227">
        <v>25</v>
      </c>
      <c r="C285" s="1227">
        <v>0.2</v>
      </c>
      <c r="D285" s="1227">
        <v>2.840909090909091E-3</v>
      </c>
      <c r="E285" s="1227">
        <f t="shared" si="24"/>
        <v>0.33890954151177199</v>
      </c>
      <c r="F285" s="1227">
        <f t="shared" si="20"/>
        <v>-0.415441020164032</v>
      </c>
      <c r="G285" s="1227">
        <f t="shared" si="21"/>
        <v>3.2188758248682006</v>
      </c>
      <c r="H285" s="1227">
        <f t="shared" si="22"/>
        <v>-1.6094379124341003</v>
      </c>
      <c r="I285" s="1227">
        <f t="shared" si="23"/>
        <v>-5.8636311755980968</v>
      </c>
      <c r="J285" s="27"/>
    </row>
    <row r="286" spans="1:10">
      <c r="A286" s="27">
        <v>275</v>
      </c>
      <c r="B286" s="1227">
        <v>25</v>
      </c>
      <c r="C286" s="1227">
        <v>0.2</v>
      </c>
      <c r="D286" s="1227">
        <v>2.840909090909091E-3</v>
      </c>
      <c r="E286" s="1227">
        <f t="shared" si="24"/>
        <v>0.34014869888475835</v>
      </c>
      <c r="F286" s="1227">
        <f t="shared" si="20"/>
        <v>-0.41205733726718058</v>
      </c>
      <c r="G286" s="1227">
        <f t="shared" si="21"/>
        <v>3.2188758248682006</v>
      </c>
      <c r="H286" s="1227">
        <f t="shared" si="22"/>
        <v>-1.6094379124341003</v>
      </c>
      <c r="I286" s="1227">
        <f t="shared" si="23"/>
        <v>-5.8636311755980968</v>
      </c>
      <c r="J286" s="27"/>
    </row>
    <row r="287" spans="1:10">
      <c r="A287" s="27">
        <v>276</v>
      </c>
      <c r="B287" s="1227">
        <v>25</v>
      </c>
      <c r="C287" s="1227">
        <v>0.2</v>
      </c>
      <c r="D287" s="1227">
        <v>2.840909090909091E-3</v>
      </c>
      <c r="E287" s="1227">
        <f t="shared" si="24"/>
        <v>0.34138785625774476</v>
      </c>
      <c r="F287" s="1227">
        <f t="shared" si="20"/>
        <v>-0.40867836558801141</v>
      </c>
      <c r="G287" s="1227">
        <f t="shared" si="21"/>
        <v>3.2188758248682006</v>
      </c>
      <c r="H287" s="1227">
        <f t="shared" si="22"/>
        <v>-1.6094379124341003</v>
      </c>
      <c r="I287" s="1227">
        <f t="shared" si="23"/>
        <v>-5.8636311755980968</v>
      </c>
      <c r="J287" s="27"/>
    </row>
    <row r="288" spans="1:10">
      <c r="A288" s="27">
        <v>277</v>
      </c>
      <c r="B288" s="1227">
        <v>25</v>
      </c>
      <c r="C288" s="1227">
        <v>0.2</v>
      </c>
      <c r="D288" s="1227">
        <v>2.840909090909091E-3</v>
      </c>
      <c r="E288" s="1227">
        <f t="shared" si="24"/>
        <v>0.34262701363073111</v>
      </c>
      <c r="F288" s="1227">
        <f t="shared" si="20"/>
        <v>-0.40530405355294757</v>
      </c>
      <c r="G288" s="1227">
        <f t="shared" si="21"/>
        <v>3.2188758248682006</v>
      </c>
      <c r="H288" s="1227">
        <f t="shared" si="22"/>
        <v>-1.6094379124341003</v>
      </c>
      <c r="I288" s="1227">
        <f t="shared" si="23"/>
        <v>-5.8636311755980968</v>
      </c>
      <c r="J288" s="27"/>
    </row>
    <row r="289" spans="1:10">
      <c r="A289" s="27">
        <v>278</v>
      </c>
      <c r="B289" s="1227">
        <v>25</v>
      </c>
      <c r="C289" s="1227">
        <v>0.2</v>
      </c>
      <c r="D289" s="1227">
        <v>2.840909090909091E-3</v>
      </c>
      <c r="E289" s="1227">
        <f t="shared" si="24"/>
        <v>0.34386617100371747</v>
      </c>
      <c r="F289" s="1227">
        <f t="shared" si="20"/>
        <v>-0.40193435001356043</v>
      </c>
      <c r="G289" s="1227">
        <f t="shared" si="21"/>
        <v>3.2188758248682006</v>
      </c>
      <c r="H289" s="1227">
        <f t="shared" si="22"/>
        <v>-1.6094379124341003</v>
      </c>
      <c r="I289" s="1227">
        <f t="shared" si="23"/>
        <v>-5.8636311755980968</v>
      </c>
      <c r="J289" s="27"/>
    </row>
    <row r="290" spans="1:10">
      <c r="A290" s="27">
        <v>279</v>
      </c>
      <c r="B290" s="1227">
        <v>25</v>
      </c>
      <c r="C290" s="1227">
        <v>0.2</v>
      </c>
      <c r="D290" s="1227">
        <v>2.840909090909091E-3</v>
      </c>
      <c r="E290" s="1227">
        <f t="shared" si="24"/>
        <v>0.34510532837670382</v>
      </c>
      <c r="F290" s="1227">
        <f t="shared" si="20"/>
        <v>-0.39856920423988579</v>
      </c>
      <c r="G290" s="1227">
        <f t="shared" si="21"/>
        <v>3.2188758248682006</v>
      </c>
      <c r="H290" s="1227">
        <f t="shared" si="22"/>
        <v>-1.6094379124341003</v>
      </c>
      <c r="I290" s="1227">
        <f t="shared" si="23"/>
        <v>-5.8636311755980968</v>
      </c>
      <c r="J290" s="27"/>
    </row>
    <row r="291" spans="1:10">
      <c r="A291" s="27">
        <v>280</v>
      </c>
      <c r="B291" s="1227">
        <v>25</v>
      </c>
      <c r="C291" s="1227">
        <v>0.2</v>
      </c>
      <c r="D291" s="1227">
        <v>2.840909090909091E-3</v>
      </c>
      <c r="E291" s="1227">
        <f t="shared" si="24"/>
        <v>0.34634448574969023</v>
      </c>
      <c r="F291" s="1227">
        <f t="shared" si="20"/>
        <v>-0.39520856591384995</v>
      </c>
      <c r="G291" s="1227">
        <f t="shared" si="21"/>
        <v>3.2188758248682006</v>
      </c>
      <c r="H291" s="1227">
        <f t="shared" si="22"/>
        <v>-1.6094379124341003</v>
      </c>
      <c r="I291" s="1227">
        <f t="shared" si="23"/>
        <v>-5.8636311755980968</v>
      </c>
      <c r="J291" s="27"/>
    </row>
    <row r="292" spans="1:10">
      <c r="A292" s="27">
        <v>281</v>
      </c>
      <c r="B292" s="1227">
        <v>25</v>
      </c>
      <c r="C292" s="1227">
        <v>0.2</v>
      </c>
      <c r="D292" s="1227">
        <v>2.840909090909091E-3</v>
      </c>
      <c r="E292" s="1227">
        <f t="shared" si="24"/>
        <v>0.34758364312267659</v>
      </c>
      <c r="F292" s="1227">
        <f t="shared" si="20"/>
        <v>-0.39185238512280307</v>
      </c>
      <c r="G292" s="1227">
        <f t="shared" si="21"/>
        <v>3.2188758248682006</v>
      </c>
      <c r="H292" s="1227">
        <f t="shared" si="22"/>
        <v>-1.6094379124341003</v>
      </c>
      <c r="I292" s="1227">
        <f t="shared" si="23"/>
        <v>-5.8636311755980968</v>
      </c>
      <c r="J292" s="27"/>
    </row>
    <row r="293" spans="1:10">
      <c r="A293" s="27">
        <v>282</v>
      </c>
      <c r="B293" s="1227">
        <v>25</v>
      </c>
      <c r="C293" s="1227">
        <v>0.2</v>
      </c>
      <c r="D293" s="1227">
        <v>2.840909090909091E-3</v>
      </c>
      <c r="E293" s="1227">
        <f t="shared" si="24"/>
        <v>0.34882280049566294</v>
      </c>
      <c r="F293" s="1227">
        <f t="shared" si="20"/>
        <v>-0.38850061235315569</v>
      </c>
      <c r="G293" s="1227">
        <f t="shared" si="21"/>
        <v>3.2188758248682006</v>
      </c>
      <c r="H293" s="1227">
        <f t="shared" si="22"/>
        <v>-1.6094379124341003</v>
      </c>
      <c r="I293" s="1227">
        <f t="shared" si="23"/>
        <v>-5.8636311755980968</v>
      </c>
      <c r="J293" s="27"/>
    </row>
    <row r="294" spans="1:10">
      <c r="A294" s="27">
        <v>283</v>
      </c>
      <c r="B294" s="1227">
        <v>25</v>
      </c>
      <c r="C294" s="1227">
        <v>0.2</v>
      </c>
      <c r="D294" s="1227">
        <v>2.840909090909091E-3</v>
      </c>
      <c r="E294" s="1227">
        <f t="shared" si="24"/>
        <v>0.3500619578686493</v>
      </c>
      <c r="F294" s="1227">
        <f t="shared" si="20"/>
        <v>-0.38515319848411983</v>
      </c>
      <c r="G294" s="1227">
        <f t="shared" si="21"/>
        <v>3.2188758248682006</v>
      </c>
      <c r="H294" s="1227">
        <f t="shared" si="22"/>
        <v>-1.6094379124341003</v>
      </c>
      <c r="I294" s="1227">
        <f t="shared" si="23"/>
        <v>-5.8636311755980968</v>
      </c>
      <c r="J294" s="27"/>
    </row>
    <row r="295" spans="1:10">
      <c r="A295" s="27">
        <v>284</v>
      </c>
      <c r="B295" s="1227">
        <v>25</v>
      </c>
      <c r="C295" s="1227">
        <v>0.2</v>
      </c>
      <c r="D295" s="1227">
        <v>2.840909090909091E-3</v>
      </c>
      <c r="E295" s="1227">
        <f t="shared" si="24"/>
        <v>0.35130111524163571</v>
      </c>
      <c r="F295" s="1227">
        <f t="shared" si="20"/>
        <v>-0.38181009478154904</v>
      </c>
      <c r="G295" s="1227">
        <f t="shared" si="21"/>
        <v>3.2188758248682006</v>
      </c>
      <c r="H295" s="1227">
        <f t="shared" si="22"/>
        <v>-1.6094379124341003</v>
      </c>
      <c r="I295" s="1227">
        <f t="shared" si="23"/>
        <v>-5.8636311755980968</v>
      </c>
      <c r="J295" s="27"/>
    </row>
    <row r="296" spans="1:10">
      <c r="A296" s="27">
        <v>285</v>
      </c>
      <c r="B296" s="1227">
        <v>25</v>
      </c>
      <c r="C296" s="1227">
        <v>0.2</v>
      </c>
      <c r="D296" s="1227">
        <v>2.840909090909091E-3</v>
      </c>
      <c r="E296" s="1227">
        <f t="shared" si="24"/>
        <v>0.35254027261462206</v>
      </c>
      <c r="F296" s="1227">
        <f t="shared" si="20"/>
        <v>-0.37847125289187822</v>
      </c>
      <c r="G296" s="1227">
        <f t="shared" si="21"/>
        <v>3.2188758248682006</v>
      </c>
      <c r="H296" s="1227">
        <f t="shared" si="22"/>
        <v>-1.6094379124341003</v>
      </c>
      <c r="I296" s="1227">
        <f t="shared" si="23"/>
        <v>-5.8636311755980968</v>
      </c>
      <c r="J296" s="27"/>
    </row>
    <row r="297" spans="1:10">
      <c r="A297" s="27">
        <v>286</v>
      </c>
      <c r="B297" s="1227">
        <v>25</v>
      </c>
      <c r="C297" s="1227">
        <v>0.2</v>
      </c>
      <c r="D297" s="1228">
        <v>2.840909090909091E-3</v>
      </c>
      <c r="E297" s="1227">
        <f t="shared" si="24"/>
        <v>0.35377942998760842</v>
      </c>
      <c r="F297" s="1227">
        <f t="shared" si="20"/>
        <v>-0.37513662483615695</v>
      </c>
      <c r="G297" s="1227">
        <f t="shared" si="21"/>
        <v>3.2188758248682006</v>
      </c>
      <c r="H297" s="1227">
        <f t="shared" si="22"/>
        <v>-1.6094379124341003</v>
      </c>
      <c r="I297" s="1227">
        <f t="shared" si="23"/>
        <v>-5.8636311755980968</v>
      </c>
      <c r="J297" s="27"/>
    </row>
    <row r="298" spans="1:10">
      <c r="A298" s="27">
        <v>287</v>
      </c>
      <c r="B298" s="1227">
        <v>25</v>
      </c>
      <c r="C298" s="1227">
        <v>0.2</v>
      </c>
      <c r="D298" s="1228">
        <v>2.840909090909091E-3</v>
      </c>
      <c r="E298" s="1227">
        <f t="shared" si="24"/>
        <v>0.35501858736059477</v>
      </c>
      <c r="F298" s="1227">
        <f t="shared" si="20"/>
        <v>-0.37180616300417962</v>
      </c>
      <c r="G298" s="1227">
        <f t="shared" si="21"/>
        <v>3.2188758248682006</v>
      </c>
      <c r="H298" s="1227">
        <f t="shared" si="22"/>
        <v>-1.6094379124341003</v>
      </c>
      <c r="I298" s="1227">
        <f t="shared" si="23"/>
        <v>-5.8636311755980968</v>
      </c>
      <c r="J298" s="27"/>
    </row>
    <row r="299" spans="1:10">
      <c r="A299" s="27">
        <v>288</v>
      </c>
      <c r="B299" s="1227">
        <v>25</v>
      </c>
      <c r="C299" s="1227">
        <v>0.2</v>
      </c>
      <c r="D299" s="1227">
        <v>2.8977272727272727E-3</v>
      </c>
      <c r="E299" s="1227">
        <f t="shared" si="24"/>
        <v>0.35625774473358118</v>
      </c>
      <c r="F299" s="1227">
        <f t="shared" si="20"/>
        <v>-0.36847982014870556</v>
      </c>
      <c r="G299" s="1227">
        <f t="shared" si="21"/>
        <v>3.2188758248682006</v>
      </c>
      <c r="H299" s="1227">
        <f t="shared" si="22"/>
        <v>-1.6094379124341003</v>
      </c>
      <c r="I299" s="1227">
        <f t="shared" si="23"/>
        <v>-5.843828548301917</v>
      </c>
      <c r="J299" s="27"/>
    </row>
    <row r="300" spans="1:10">
      <c r="A300" s="27">
        <v>289</v>
      </c>
      <c r="B300" s="1227">
        <v>25</v>
      </c>
      <c r="C300" s="1227">
        <v>0.2</v>
      </c>
      <c r="D300" s="1227">
        <v>2.8977272727272727E-3</v>
      </c>
      <c r="E300" s="1227">
        <f t="shared" si="24"/>
        <v>0.35749690210656754</v>
      </c>
      <c r="F300" s="1227">
        <f t="shared" si="20"/>
        <v>-0.36515754937977118</v>
      </c>
      <c r="G300" s="1227">
        <f t="shared" si="21"/>
        <v>3.2188758248682006</v>
      </c>
      <c r="H300" s="1227">
        <f t="shared" si="22"/>
        <v>-1.6094379124341003</v>
      </c>
      <c r="I300" s="1227">
        <f t="shared" si="23"/>
        <v>-5.843828548301917</v>
      </c>
      <c r="J300" s="27"/>
    </row>
    <row r="301" spans="1:10">
      <c r="A301" s="27">
        <v>290</v>
      </c>
      <c r="B301" s="1227">
        <v>25</v>
      </c>
      <c r="C301" s="1227">
        <v>0.2</v>
      </c>
      <c r="D301" s="1227">
        <v>2.9829545454545451E-3</v>
      </c>
      <c r="E301" s="1227">
        <f t="shared" si="24"/>
        <v>0.35873605947955389</v>
      </c>
      <c r="F301" s="1227">
        <f t="shared" si="20"/>
        <v>-0.36183930415908783</v>
      </c>
      <c r="G301" s="1227">
        <f t="shared" si="21"/>
        <v>3.2188758248682006</v>
      </c>
      <c r="H301" s="1227">
        <f t="shared" si="22"/>
        <v>-1.6094379124341003</v>
      </c>
      <c r="I301" s="1227">
        <f t="shared" si="23"/>
        <v>-5.8148410114286655</v>
      </c>
      <c r="J301" s="27"/>
    </row>
    <row r="302" spans="1:10">
      <c r="A302" s="27">
        <v>291</v>
      </c>
      <c r="B302" s="1227">
        <v>25</v>
      </c>
      <c r="C302" s="1227">
        <v>0.2</v>
      </c>
      <c r="D302" s="1227">
        <v>3.1249999999999997E-3</v>
      </c>
      <c r="E302" s="1227">
        <f t="shared" si="24"/>
        <v>0.35997521685254025</v>
      </c>
      <c r="F302" s="1227">
        <f t="shared" si="20"/>
        <v>-0.35852503829452781</v>
      </c>
      <c r="G302" s="1227">
        <f t="shared" si="21"/>
        <v>3.2188758248682006</v>
      </c>
      <c r="H302" s="1227">
        <f t="shared" si="22"/>
        <v>-1.6094379124341003</v>
      </c>
      <c r="I302" s="1227">
        <f t="shared" si="23"/>
        <v>-5.768320995793772</v>
      </c>
      <c r="J302" s="27"/>
    </row>
    <row r="303" spans="1:10">
      <c r="A303" s="27">
        <v>292</v>
      </c>
      <c r="B303" s="1227">
        <v>25</v>
      </c>
      <c r="C303" s="1227">
        <v>0.2</v>
      </c>
      <c r="D303" s="1227">
        <v>3.2670454545454548E-3</v>
      </c>
      <c r="E303" s="1227">
        <f t="shared" si="24"/>
        <v>0.36121437422552666</v>
      </c>
      <c r="F303" s="1227">
        <f t="shared" si="20"/>
        <v>-0.3552147059346944</v>
      </c>
      <c r="G303" s="1227">
        <f t="shared" si="21"/>
        <v>3.2188758248682006</v>
      </c>
      <c r="H303" s="1227">
        <f t="shared" si="22"/>
        <v>-1.6094379124341003</v>
      </c>
      <c r="I303" s="1227">
        <f t="shared" si="23"/>
        <v>-5.7238692332229384</v>
      </c>
      <c r="J303" s="27"/>
    </row>
    <row r="304" spans="1:10">
      <c r="A304" s="27">
        <v>293</v>
      </c>
      <c r="B304" s="1227">
        <v>25</v>
      </c>
      <c r="C304" s="1227">
        <v>0.2</v>
      </c>
      <c r="D304" s="1227">
        <v>3.4090909090909089E-3</v>
      </c>
      <c r="E304" s="1227">
        <f t="shared" si="24"/>
        <v>0.36245353159851301</v>
      </c>
      <c r="F304" s="1227">
        <f t="shared" si="20"/>
        <v>-0.35190826156357441</v>
      </c>
      <c r="G304" s="1227">
        <f t="shared" si="21"/>
        <v>3.2188758248682006</v>
      </c>
      <c r="H304" s="1227">
        <f t="shared" si="22"/>
        <v>-1.6094379124341003</v>
      </c>
      <c r="I304" s="1227">
        <f t="shared" si="23"/>
        <v>-5.6813096188041428</v>
      </c>
      <c r="J304" s="27"/>
    </row>
    <row r="305" spans="1:10">
      <c r="A305" s="27">
        <v>294</v>
      </c>
      <c r="B305" s="1227">
        <v>25</v>
      </c>
      <c r="C305" s="1227">
        <v>0.2</v>
      </c>
      <c r="D305" s="1227">
        <v>3.4090909090909089E-3</v>
      </c>
      <c r="E305" s="1227">
        <f t="shared" si="24"/>
        <v>0.36369268897149937</v>
      </c>
      <c r="F305" s="1227">
        <f t="shared" si="20"/>
        <v>-0.34860565999527116</v>
      </c>
      <c r="G305" s="1227">
        <f t="shared" si="21"/>
        <v>3.2188758248682006</v>
      </c>
      <c r="H305" s="1227">
        <f t="shared" si="22"/>
        <v>-1.6094379124341003</v>
      </c>
      <c r="I305" s="1227">
        <f t="shared" si="23"/>
        <v>-5.6813096188041428</v>
      </c>
      <c r="J305" s="27"/>
    </row>
    <row r="306" spans="1:10">
      <c r="A306" s="27">
        <v>295</v>
      </c>
      <c r="B306" s="1227">
        <v>25</v>
      </c>
      <c r="C306" s="1227">
        <v>0.2</v>
      </c>
      <c r="D306" s="1227">
        <v>3.4090909090909089E-3</v>
      </c>
      <c r="E306" s="1227">
        <f t="shared" si="24"/>
        <v>0.36493184634448578</v>
      </c>
      <c r="F306" s="1227">
        <f t="shared" si="20"/>
        <v>-0.34530685636881769</v>
      </c>
      <c r="G306" s="1227">
        <f t="shared" si="21"/>
        <v>3.2188758248682006</v>
      </c>
      <c r="H306" s="1227">
        <f t="shared" si="22"/>
        <v>-1.6094379124341003</v>
      </c>
      <c r="I306" s="1227">
        <f t="shared" si="23"/>
        <v>-5.6813096188041428</v>
      </c>
      <c r="J306" s="27"/>
    </row>
    <row r="307" spans="1:10">
      <c r="A307" s="27">
        <v>296</v>
      </c>
      <c r="B307" s="1227">
        <v>25</v>
      </c>
      <c r="C307" s="1227">
        <v>0.2</v>
      </c>
      <c r="D307" s="1227">
        <v>3.4090909090909089E-3</v>
      </c>
      <c r="E307" s="1227">
        <f t="shared" si="24"/>
        <v>0.36617100371747213</v>
      </c>
      <c r="F307" s="1227">
        <f t="shared" si="20"/>
        <v>-0.34201180614306698</v>
      </c>
      <c r="G307" s="1227">
        <f t="shared" si="21"/>
        <v>3.2188758248682006</v>
      </c>
      <c r="H307" s="1227">
        <f t="shared" si="22"/>
        <v>-1.6094379124341003</v>
      </c>
      <c r="I307" s="1227">
        <f t="shared" si="23"/>
        <v>-5.6813096188041428</v>
      </c>
      <c r="J307" s="27"/>
    </row>
    <row r="308" spans="1:10">
      <c r="A308" s="27">
        <v>297</v>
      </c>
      <c r="B308" s="1227">
        <v>25</v>
      </c>
      <c r="C308" s="1227">
        <v>0.2</v>
      </c>
      <c r="D308" s="1227">
        <v>3.4090909090909089E-3</v>
      </c>
      <c r="E308" s="1227">
        <f t="shared" si="24"/>
        <v>0.36741016109045849</v>
      </c>
      <c r="F308" s="1227">
        <f t="shared" si="20"/>
        <v>-0.33872046509165765</v>
      </c>
      <c r="G308" s="1227">
        <f t="shared" si="21"/>
        <v>3.2188758248682006</v>
      </c>
      <c r="H308" s="1227">
        <f t="shared" si="22"/>
        <v>-1.6094379124341003</v>
      </c>
      <c r="I308" s="1227">
        <f t="shared" si="23"/>
        <v>-5.6813096188041428</v>
      </c>
      <c r="J308" s="27"/>
    </row>
    <row r="309" spans="1:10">
      <c r="A309" s="27">
        <v>298</v>
      </c>
      <c r="B309" s="1227">
        <v>25</v>
      </c>
      <c r="C309" s="1227">
        <v>0.2</v>
      </c>
      <c r="D309" s="1227">
        <v>3.4090909090909089E-3</v>
      </c>
      <c r="E309" s="1227">
        <f t="shared" si="24"/>
        <v>0.36864931846344484</v>
      </c>
      <c r="F309" s="1227">
        <f t="shared" si="20"/>
        <v>-0.33543278929805492</v>
      </c>
      <c r="G309" s="1227">
        <f t="shared" si="21"/>
        <v>3.2188758248682006</v>
      </c>
      <c r="H309" s="1227">
        <f t="shared" si="22"/>
        <v>-1.6094379124341003</v>
      </c>
      <c r="I309" s="1227">
        <f t="shared" si="23"/>
        <v>-5.6813096188041428</v>
      </c>
      <c r="J309" s="27"/>
    </row>
    <row r="310" spans="1:10">
      <c r="A310" s="27">
        <v>299</v>
      </c>
      <c r="B310" s="1227">
        <v>25</v>
      </c>
      <c r="C310" s="1227">
        <v>0.2</v>
      </c>
      <c r="D310" s="1227">
        <v>3.4090909090909089E-3</v>
      </c>
      <c r="E310" s="1227">
        <f t="shared" si="24"/>
        <v>0.36988847583643125</v>
      </c>
      <c r="F310" s="1227">
        <f t="shared" si="20"/>
        <v>-0.33214873515066334</v>
      </c>
      <c r="G310" s="1227">
        <f t="shared" si="21"/>
        <v>3.2188758248682006</v>
      </c>
      <c r="H310" s="1227">
        <f t="shared" si="22"/>
        <v>-1.6094379124341003</v>
      </c>
      <c r="I310" s="1227">
        <f t="shared" si="23"/>
        <v>-5.6813096188041428</v>
      </c>
      <c r="J310" s="27"/>
    </row>
    <row r="311" spans="1:10">
      <c r="A311" s="27">
        <v>300</v>
      </c>
      <c r="B311" s="1227">
        <v>25</v>
      </c>
      <c r="C311" s="1227">
        <v>0.2</v>
      </c>
      <c r="D311" s="1227">
        <v>3.4090909090909089E-3</v>
      </c>
      <c r="E311" s="1227">
        <f t="shared" si="24"/>
        <v>0.37112763320941761</v>
      </c>
      <c r="F311" s="1227">
        <f t="shared" si="20"/>
        <v>-0.32886825933801206</v>
      </c>
      <c r="G311" s="1227">
        <f t="shared" si="21"/>
        <v>3.2188758248682006</v>
      </c>
      <c r="H311" s="1227">
        <f t="shared" si="22"/>
        <v>-1.6094379124341003</v>
      </c>
      <c r="I311" s="1227">
        <f t="shared" si="23"/>
        <v>-5.6813096188041428</v>
      </c>
      <c r="J311" s="27"/>
    </row>
    <row r="312" spans="1:10">
      <c r="A312" s="27">
        <v>301</v>
      </c>
      <c r="B312" s="1227">
        <v>25</v>
      </c>
      <c r="C312" s="1227">
        <v>0.2</v>
      </c>
      <c r="D312" s="1227">
        <v>3.4090909090909089E-3</v>
      </c>
      <c r="E312" s="1227">
        <f t="shared" si="24"/>
        <v>0.37236679058240396</v>
      </c>
      <c r="F312" s="1227">
        <f t="shared" si="20"/>
        <v>-0.32559131884400822</v>
      </c>
      <c r="G312" s="1227">
        <f t="shared" si="21"/>
        <v>3.2188758248682006</v>
      </c>
      <c r="H312" s="1227">
        <f t="shared" si="22"/>
        <v>-1.6094379124341003</v>
      </c>
      <c r="I312" s="1227">
        <f t="shared" si="23"/>
        <v>-5.6813096188041428</v>
      </c>
      <c r="J312" s="27"/>
    </row>
    <row r="313" spans="1:10">
      <c r="A313" s="27">
        <v>302</v>
      </c>
      <c r="B313" s="1227">
        <v>25</v>
      </c>
      <c r="C313" s="1227">
        <v>0.2</v>
      </c>
      <c r="D313" s="1227">
        <v>3.4090909090909089E-3</v>
      </c>
      <c r="E313" s="1227">
        <f t="shared" si="24"/>
        <v>0.37360594795539032</v>
      </c>
      <c r="F313" s="1227">
        <f t="shared" si="20"/>
        <v>-0.32231787094325981</v>
      </c>
      <c r="G313" s="1227">
        <f t="shared" si="21"/>
        <v>3.2188758248682006</v>
      </c>
      <c r="H313" s="1227">
        <f t="shared" si="22"/>
        <v>-1.6094379124341003</v>
      </c>
      <c r="I313" s="1227">
        <f t="shared" si="23"/>
        <v>-5.6813096188041428</v>
      </c>
      <c r="J313" s="27"/>
    </row>
    <row r="314" spans="1:10">
      <c r="A314" s="27">
        <v>303</v>
      </c>
      <c r="B314" s="1227">
        <v>25</v>
      </c>
      <c r="C314" s="1227">
        <v>0.2</v>
      </c>
      <c r="D314" s="1227">
        <v>3.4090909090909089E-3</v>
      </c>
      <c r="E314" s="1227">
        <f t="shared" si="24"/>
        <v>0.37484510532837673</v>
      </c>
      <c r="F314" s="1227">
        <f t="shared" si="20"/>
        <v>-0.31904787319646521</v>
      </c>
      <c r="G314" s="1227">
        <f t="shared" si="21"/>
        <v>3.2188758248682006</v>
      </c>
      <c r="H314" s="1227">
        <f t="shared" si="22"/>
        <v>-1.6094379124341003</v>
      </c>
      <c r="I314" s="1227">
        <f t="shared" si="23"/>
        <v>-5.6813096188041428</v>
      </c>
      <c r="J314" s="27"/>
    </row>
    <row r="315" spans="1:10">
      <c r="A315" s="27">
        <v>304</v>
      </c>
      <c r="B315" s="1227">
        <v>25</v>
      </c>
      <c r="C315" s="1227">
        <v>0.2</v>
      </c>
      <c r="D315" s="1227">
        <v>3.4090909090909089E-3</v>
      </c>
      <c r="E315" s="1227">
        <f t="shared" si="24"/>
        <v>0.37608426270136308</v>
      </c>
      <c r="F315" s="1227">
        <f t="shared" si="20"/>
        <v>-0.31578128344586803</v>
      </c>
      <c r="G315" s="1227">
        <f t="shared" si="21"/>
        <v>3.2188758248682006</v>
      </c>
      <c r="H315" s="1227">
        <f t="shared" si="22"/>
        <v>-1.6094379124341003</v>
      </c>
      <c r="I315" s="1227">
        <f t="shared" si="23"/>
        <v>-5.6813096188041428</v>
      </c>
      <c r="J315" s="27"/>
    </row>
    <row r="316" spans="1:10">
      <c r="A316" s="27">
        <v>305</v>
      </c>
      <c r="B316" s="1227">
        <v>25</v>
      </c>
      <c r="C316" s="1227">
        <v>0.2</v>
      </c>
      <c r="D316" s="1227">
        <v>3.4090909090909089E-3</v>
      </c>
      <c r="E316" s="1227">
        <f t="shared" si="24"/>
        <v>0.37732342007434944</v>
      </c>
      <c r="F316" s="1227">
        <f t="shared" si="20"/>
        <v>-0.31251805981077574</v>
      </c>
      <c r="G316" s="1227">
        <f t="shared" si="21"/>
        <v>3.2188758248682006</v>
      </c>
      <c r="H316" s="1227">
        <f t="shared" si="22"/>
        <v>-1.6094379124341003</v>
      </c>
      <c r="I316" s="1227">
        <f t="shared" si="23"/>
        <v>-5.6813096188041428</v>
      </c>
      <c r="J316" s="27"/>
    </row>
    <row r="317" spans="1:10">
      <c r="A317" s="27">
        <v>306</v>
      </c>
      <c r="B317" s="1227">
        <v>25</v>
      </c>
      <c r="C317" s="1227">
        <v>0.2</v>
      </c>
      <c r="D317" s="1227">
        <v>3.4090909090909089E-3</v>
      </c>
      <c r="E317" s="1227">
        <f t="shared" si="24"/>
        <v>0.37856257744733579</v>
      </c>
      <c r="F317" s="1227">
        <f t="shared" si="20"/>
        <v>-0.30925816068314183</v>
      </c>
      <c r="G317" s="1227">
        <f t="shared" si="21"/>
        <v>3.2188758248682006</v>
      </c>
      <c r="H317" s="1227">
        <f t="shared" si="22"/>
        <v>-1.6094379124341003</v>
      </c>
      <c r="I317" s="1227">
        <f t="shared" si="23"/>
        <v>-5.6813096188041428</v>
      </c>
      <c r="J317" s="27"/>
    </row>
    <row r="318" spans="1:10">
      <c r="A318" s="27">
        <v>307</v>
      </c>
      <c r="B318" s="1227">
        <v>25</v>
      </c>
      <c r="C318" s="1227">
        <v>0.2</v>
      </c>
      <c r="D318" s="1227">
        <v>3.579545454545455E-3</v>
      </c>
      <c r="E318" s="1227">
        <f t="shared" si="24"/>
        <v>0.3798017348203222</v>
      </c>
      <c r="F318" s="1227">
        <f t="shared" si="20"/>
        <v>-0.30600154472320873</v>
      </c>
      <c r="G318" s="1227">
        <f t="shared" si="21"/>
        <v>3.2188758248682006</v>
      </c>
      <c r="H318" s="1227">
        <f t="shared" si="22"/>
        <v>-1.6094379124341003</v>
      </c>
      <c r="I318" s="1227">
        <f t="shared" si="23"/>
        <v>-5.6325194546347106</v>
      </c>
      <c r="J318" s="27"/>
    </row>
    <row r="319" spans="1:10">
      <c r="A319" s="27">
        <v>308</v>
      </c>
      <c r="B319" s="1227">
        <v>25</v>
      </c>
      <c r="C319" s="1227">
        <v>0.2</v>
      </c>
      <c r="D319" s="1227">
        <v>3.6931818181818181E-3</v>
      </c>
      <c r="E319" s="1227">
        <f t="shared" si="24"/>
        <v>0.38104089219330856</v>
      </c>
      <c r="F319" s="1227">
        <f t="shared" si="20"/>
        <v>-0.30274817085521177</v>
      </c>
      <c r="G319" s="1227">
        <f t="shared" si="21"/>
        <v>3.2188758248682006</v>
      </c>
      <c r="H319" s="1227">
        <f t="shared" si="22"/>
        <v>-1.6094379124341003</v>
      </c>
      <c r="I319" s="1227">
        <f t="shared" si="23"/>
        <v>-5.6012669111306064</v>
      </c>
      <c r="J319" s="27"/>
    </row>
    <row r="320" spans="1:10">
      <c r="A320" s="27">
        <v>309</v>
      </c>
      <c r="B320" s="1227">
        <v>25</v>
      </c>
      <c r="C320" s="1227">
        <v>0.2</v>
      </c>
      <c r="D320" s="1227">
        <v>3.6931818181818181E-3</v>
      </c>
      <c r="E320" s="1227">
        <f t="shared" si="24"/>
        <v>0.38228004956629491</v>
      </c>
      <c r="F320" s="1227">
        <f t="shared" si="20"/>
        <v>-0.29949799826314094</v>
      </c>
      <c r="G320" s="1227">
        <f t="shared" si="21"/>
        <v>3.2188758248682006</v>
      </c>
      <c r="H320" s="1227">
        <f t="shared" si="22"/>
        <v>-1.6094379124341003</v>
      </c>
      <c r="I320" s="1227">
        <f t="shared" si="23"/>
        <v>-5.6012669111306064</v>
      </c>
      <c r="J320" s="27"/>
    </row>
    <row r="321" spans="1:10">
      <c r="A321" s="27">
        <v>310</v>
      </c>
      <c r="B321" s="1227">
        <v>25</v>
      </c>
      <c r="C321" s="1227">
        <v>0.2</v>
      </c>
      <c r="D321" s="1227">
        <v>3.6931818181818181E-3</v>
      </c>
      <c r="E321" s="1227">
        <f t="shared" si="24"/>
        <v>0.38351920693928127</v>
      </c>
      <c r="F321" s="1227">
        <f t="shared" si="20"/>
        <v>-0.29625098638656117</v>
      </c>
      <c r="G321" s="1227">
        <f t="shared" si="21"/>
        <v>3.2188758248682006</v>
      </c>
      <c r="H321" s="1227">
        <f t="shared" si="22"/>
        <v>-1.6094379124341003</v>
      </c>
      <c r="I321" s="1227">
        <f t="shared" si="23"/>
        <v>-5.6012669111306064</v>
      </c>
      <c r="J321" s="27"/>
    </row>
    <row r="322" spans="1:10">
      <c r="A322" s="27">
        <v>311</v>
      </c>
      <c r="B322" s="1227">
        <v>25</v>
      </c>
      <c r="C322" s="1227">
        <v>0.2</v>
      </c>
      <c r="D322" s="1227">
        <v>3.6931818181818181E-3</v>
      </c>
      <c r="E322" s="1227">
        <f t="shared" si="24"/>
        <v>0.38475836431226768</v>
      </c>
      <c r="F322" s="1227">
        <f t="shared" si="20"/>
        <v>-0.2930070949164888</v>
      </c>
      <c r="G322" s="1227">
        <f t="shared" si="21"/>
        <v>3.2188758248682006</v>
      </c>
      <c r="H322" s="1227">
        <f t="shared" si="22"/>
        <v>-1.6094379124341003</v>
      </c>
      <c r="I322" s="1227">
        <f t="shared" si="23"/>
        <v>-5.6012669111306064</v>
      </c>
      <c r="J322" s="27"/>
    </row>
    <row r="323" spans="1:10">
      <c r="A323" s="27">
        <v>312</v>
      </c>
      <c r="B323" s="1227">
        <v>25</v>
      </c>
      <c r="C323" s="1227">
        <v>0.2</v>
      </c>
      <c r="D323" s="1227">
        <v>3.6931818181818181E-3</v>
      </c>
      <c r="E323" s="1227">
        <f t="shared" si="24"/>
        <v>0.38599752168525403</v>
      </c>
      <c r="F323" s="1227">
        <f t="shared" si="20"/>
        <v>-0.28976628379132435</v>
      </c>
      <c r="G323" s="1227">
        <f t="shared" si="21"/>
        <v>3.2188758248682006</v>
      </c>
      <c r="H323" s="1227">
        <f t="shared" si="22"/>
        <v>-1.6094379124341003</v>
      </c>
      <c r="I323" s="1227">
        <f t="shared" si="23"/>
        <v>-5.6012669111306064</v>
      </c>
      <c r="J323" s="27"/>
    </row>
    <row r="324" spans="1:10">
      <c r="A324" s="27">
        <v>313</v>
      </c>
      <c r="B324" s="1227">
        <v>25</v>
      </c>
      <c r="C324" s="1227">
        <v>0.2</v>
      </c>
      <c r="D324" s="1227">
        <v>3.6931818181818181E-3</v>
      </c>
      <c r="E324" s="1227">
        <f t="shared" si="24"/>
        <v>0.38723667905824039</v>
      </c>
      <c r="F324" s="1227">
        <f t="shared" si="20"/>
        <v>-0.28652851319283745</v>
      </c>
      <c r="G324" s="1227">
        <f t="shared" si="21"/>
        <v>3.2188758248682006</v>
      </c>
      <c r="H324" s="1227">
        <f t="shared" si="22"/>
        <v>-1.6094379124341003</v>
      </c>
      <c r="I324" s="1227">
        <f t="shared" si="23"/>
        <v>-5.6012669111306064</v>
      </c>
      <c r="J324" s="27"/>
    </row>
    <row r="325" spans="1:10">
      <c r="A325" s="27">
        <v>314</v>
      </c>
      <c r="B325" s="1227">
        <v>25</v>
      </c>
      <c r="C325" s="1227">
        <v>0.2</v>
      </c>
      <c r="D325" s="1227">
        <v>3.6931818181818181E-3</v>
      </c>
      <c r="E325" s="1227">
        <f t="shared" si="24"/>
        <v>0.38847583643122674</v>
      </c>
      <c r="F325" s="1227">
        <f t="shared" si="20"/>
        <v>-0.28329374354220688</v>
      </c>
      <c r="G325" s="1227">
        <f t="shared" si="21"/>
        <v>3.2188758248682006</v>
      </c>
      <c r="H325" s="1227">
        <f t="shared" si="22"/>
        <v>-1.6094379124341003</v>
      </c>
      <c r="I325" s="1227">
        <f t="shared" si="23"/>
        <v>-5.6012669111306064</v>
      </c>
      <c r="J325" s="27"/>
    </row>
    <row r="326" spans="1:10">
      <c r="A326" s="27">
        <v>315</v>
      </c>
      <c r="B326" s="1227">
        <v>25</v>
      </c>
      <c r="C326" s="1227">
        <v>0.2</v>
      </c>
      <c r="D326" s="1227">
        <v>3.6931818181818181E-3</v>
      </c>
      <c r="E326" s="1227">
        <f t="shared" si="24"/>
        <v>0.38971499380421315</v>
      </c>
      <c r="F326" s="1227">
        <f t="shared" si="20"/>
        <v>-0.28006193549611114</v>
      </c>
      <c r="G326" s="1227">
        <f t="shared" si="21"/>
        <v>3.2188758248682006</v>
      </c>
      <c r="H326" s="1227">
        <f t="shared" si="22"/>
        <v>-1.6094379124341003</v>
      </c>
      <c r="I326" s="1227">
        <f t="shared" si="23"/>
        <v>-5.6012669111306064</v>
      </c>
      <c r="J326" s="27"/>
    </row>
    <row r="327" spans="1:10">
      <c r="A327" s="27">
        <v>316</v>
      </c>
      <c r="B327" s="1227">
        <v>25</v>
      </c>
      <c r="C327" s="1227">
        <v>0.2</v>
      </c>
      <c r="D327" s="1227">
        <v>3.7499999999999999E-3</v>
      </c>
      <c r="E327" s="1227">
        <f t="shared" si="24"/>
        <v>0.3909541511771995</v>
      </c>
      <c r="F327" s="1227">
        <f t="shared" si="20"/>
        <v>-0.27683304994287161</v>
      </c>
      <c r="G327" s="1227">
        <f t="shared" si="21"/>
        <v>3.2188758248682006</v>
      </c>
      <c r="H327" s="1227">
        <f t="shared" si="22"/>
        <v>-1.6094379124341003</v>
      </c>
      <c r="I327" s="1227">
        <f t="shared" si="23"/>
        <v>-5.585999438999818</v>
      </c>
      <c r="J327" s="27"/>
    </row>
    <row r="328" spans="1:10">
      <c r="A328" s="27">
        <v>317</v>
      </c>
      <c r="B328" s="1227">
        <v>25</v>
      </c>
      <c r="C328" s="1227">
        <v>0.2</v>
      </c>
      <c r="D328" s="1227">
        <v>3.7499999999999999E-3</v>
      </c>
      <c r="E328" s="1227">
        <f t="shared" si="24"/>
        <v>0.39219330855018586</v>
      </c>
      <c r="F328" s="1227">
        <f t="shared" si="20"/>
        <v>-0.27360704799864299</v>
      </c>
      <c r="G328" s="1227">
        <f t="shared" si="21"/>
        <v>3.2188758248682006</v>
      </c>
      <c r="H328" s="1227">
        <f t="shared" si="22"/>
        <v>-1.6094379124341003</v>
      </c>
      <c r="I328" s="1227">
        <f t="shared" si="23"/>
        <v>-5.585999438999818</v>
      </c>
      <c r="J328" s="27"/>
    </row>
    <row r="329" spans="1:10">
      <c r="A329" s="27">
        <v>318</v>
      </c>
      <c r="B329" s="1227">
        <v>25</v>
      </c>
      <c r="C329" s="1227">
        <v>0.2</v>
      </c>
      <c r="D329" s="1227">
        <v>3.7499999999999999E-3</v>
      </c>
      <c r="E329" s="1227">
        <f t="shared" si="24"/>
        <v>0.39343246592317227</v>
      </c>
      <c r="F329" s="1227">
        <f t="shared" si="20"/>
        <v>-0.27038389100365501</v>
      </c>
      <c r="G329" s="1227">
        <f t="shared" si="21"/>
        <v>3.2188758248682006</v>
      </c>
      <c r="H329" s="1227">
        <f t="shared" si="22"/>
        <v>-1.6094379124341003</v>
      </c>
      <c r="I329" s="1227">
        <f t="shared" si="23"/>
        <v>-5.585999438999818</v>
      </c>
      <c r="J329" s="27"/>
    </row>
    <row r="330" spans="1:10">
      <c r="A330" s="27">
        <v>319</v>
      </c>
      <c r="B330" s="1227">
        <v>25</v>
      </c>
      <c r="C330" s="1227">
        <v>0.2</v>
      </c>
      <c r="D330" s="1227">
        <v>3.806818181818182E-3</v>
      </c>
      <c r="E330" s="1227">
        <f t="shared" si="24"/>
        <v>0.39467162329615862</v>
      </c>
      <c r="F330" s="1227">
        <f t="shared" si="20"/>
        <v>-0.26716354051850083</v>
      </c>
      <c r="G330" s="1227">
        <f t="shared" si="21"/>
        <v>3.2188758248682006</v>
      </c>
      <c r="H330" s="1227">
        <f t="shared" si="22"/>
        <v>-1.6094379124341003</v>
      </c>
      <c r="I330" s="1227">
        <f t="shared" si="23"/>
        <v>-5.5709615616352774</v>
      </c>
      <c r="J330" s="27"/>
    </row>
    <row r="331" spans="1:10">
      <c r="A331" s="27">
        <v>320</v>
      </c>
      <c r="B331" s="1227">
        <v>25</v>
      </c>
      <c r="C331" s="1227">
        <v>0.2</v>
      </c>
      <c r="D331" s="1227">
        <v>3.8352272727272727E-3</v>
      </c>
      <c r="E331" s="1227">
        <f t="shared" si="24"/>
        <v>0.39591078066914498</v>
      </c>
      <c r="F331" s="1227">
        <f t="shared" si="20"/>
        <v>-0.26394595832047196</v>
      </c>
      <c r="G331" s="1227">
        <f t="shared" si="21"/>
        <v>3.2188758248682006</v>
      </c>
      <c r="H331" s="1227">
        <f t="shared" si="22"/>
        <v>-1.6094379124341003</v>
      </c>
      <c r="I331" s="1227">
        <f t="shared" si="23"/>
        <v>-5.5635265831477589</v>
      </c>
      <c r="J331" s="27"/>
    </row>
    <row r="332" spans="1:10">
      <c r="A332" s="27">
        <v>321</v>
      </c>
      <c r="B332" s="1227">
        <v>25</v>
      </c>
      <c r="C332" s="1227">
        <v>0.21</v>
      </c>
      <c r="D332" s="1227">
        <v>3.8636363636363638E-3</v>
      </c>
      <c r="E332" s="1227">
        <f t="shared" si="24"/>
        <v>0.39714993804213133</v>
      </c>
      <c r="F332" s="1227">
        <f t="shared" ref="F332:F395" si="25">NORMSINV(E332)</f>
        <v>-0.26073110639993929</v>
      </c>
      <c r="G332" s="1227">
        <f t="shared" ref="G332:G395" si="26">LN(B332)</f>
        <v>3.2188758248682006</v>
      </c>
      <c r="H332" s="1227">
        <f t="shared" ref="H332:H395" si="27">LN(C332)</f>
        <v>-1.5606477482646683</v>
      </c>
      <c r="I332" s="1227">
        <f t="shared" ref="I332:I395" si="28">LN(D332)</f>
        <v>-5.5561464758501362</v>
      </c>
      <c r="J332" s="27"/>
    </row>
    <row r="333" spans="1:10">
      <c r="A333" s="27">
        <v>322</v>
      </c>
      <c r="B333" s="1227">
        <v>25</v>
      </c>
      <c r="C333" s="1227">
        <v>0.21</v>
      </c>
      <c r="D333" s="1227">
        <v>3.9772727272727277E-3</v>
      </c>
      <c r="E333" s="1227">
        <f t="shared" ref="E333:E396" si="29">(A333-0.5)/807</f>
        <v>0.39838909541511774</v>
      </c>
      <c r="F333" s="1227">
        <f t="shared" si="25"/>
        <v>-0.2575189469567789</v>
      </c>
      <c r="G333" s="1227">
        <f t="shared" si="26"/>
        <v>3.2188758248682006</v>
      </c>
      <c r="H333" s="1227">
        <f t="shared" si="27"/>
        <v>-1.5606477482646683</v>
      </c>
      <c r="I333" s="1227">
        <f t="shared" si="28"/>
        <v>-5.5271589389768838</v>
      </c>
      <c r="J333" s="27"/>
    </row>
    <row r="334" spans="1:10">
      <c r="A334" s="27">
        <v>323</v>
      </c>
      <c r="B334" s="1227">
        <v>25</v>
      </c>
      <c r="C334" s="1227">
        <v>0.22</v>
      </c>
      <c r="D334" s="1227">
        <v>4.261363636363636E-3</v>
      </c>
      <c r="E334" s="1227">
        <f t="shared" si="29"/>
        <v>0.3996282527881041</v>
      </c>
      <c r="F334" s="1227">
        <f t="shared" si="25"/>
        <v>-0.254309442396843</v>
      </c>
      <c r="G334" s="1227">
        <f t="shared" si="26"/>
        <v>3.2188758248682006</v>
      </c>
      <c r="H334" s="1227">
        <f t="shared" si="27"/>
        <v>-1.5141277326297755</v>
      </c>
      <c r="I334" s="1227">
        <f t="shared" si="28"/>
        <v>-5.458166067489933</v>
      </c>
      <c r="J334" s="27"/>
    </row>
    <row r="335" spans="1:10">
      <c r="A335" s="27">
        <v>324</v>
      </c>
      <c r="B335" s="1227">
        <v>25</v>
      </c>
      <c r="C335" s="1227">
        <v>0.23</v>
      </c>
      <c r="D335" s="1227">
        <v>4.261363636363636E-3</v>
      </c>
      <c r="E335" s="1227">
        <f t="shared" si="29"/>
        <v>0.40086741016109045</v>
      </c>
      <c r="F335" s="1227">
        <f t="shared" si="25"/>
        <v>-0.25110255532847103</v>
      </c>
      <c r="G335" s="1227">
        <f t="shared" si="26"/>
        <v>3.2188758248682006</v>
      </c>
      <c r="H335" s="1227">
        <f t="shared" si="27"/>
        <v>-1.4696759700589417</v>
      </c>
      <c r="I335" s="1227">
        <f t="shared" si="28"/>
        <v>-5.458166067489933</v>
      </c>
      <c r="J335" s="27"/>
    </row>
    <row r="336" spans="1:10">
      <c r="A336" s="27">
        <v>325</v>
      </c>
      <c r="B336" s="1227">
        <v>25</v>
      </c>
      <c r="C336" s="1227">
        <v>0.25</v>
      </c>
      <c r="D336" s="1227">
        <v>4.261363636363636E-3</v>
      </c>
      <c r="E336" s="1227">
        <f t="shared" si="29"/>
        <v>0.40210656753407681</v>
      </c>
      <c r="F336" s="1227">
        <f t="shared" si="25"/>
        <v>-0.2478982485590456</v>
      </c>
      <c r="G336" s="1227">
        <f t="shared" si="26"/>
        <v>3.2188758248682006</v>
      </c>
      <c r="H336" s="1227">
        <f t="shared" si="27"/>
        <v>-1.3862943611198906</v>
      </c>
      <c r="I336" s="1227">
        <f t="shared" si="28"/>
        <v>-5.458166067489933</v>
      </c>
      <c r="J336" s="27"/>
    </row>
    <row r="337" spans="1:10">
      <c r="A337" s="27">
        <v>326</v>
      </c>
      <c r="B337" s="1227">
        <v>25</v>
      </c>
      <c r="C337" s="1227">
        <v>0.25</v>
      </c>
      <c r="D337" s="1227">
        <v>4.261363636363636E-3</v>
      </c>
      <c r="E337" s="1227">
        <f t="shared" si="29"/>
        <v>0.40334572490706322</v>
      </c>
      <c r="F337" s="1227">
        <f t="shared" si="25"/>
        <v>-0.24469648509158839</v>
      </c>
      <c r="G337" s="1227">
        <f t="shared" si="26"/>
        <v>3.2188758248682006</v>
      </c>
      <c r="H337" s="1227">
        <f t="shared" si="27"/>
        <v>-1.3862943611198906</v>
      </c>
      <c r="I337" s="1227">
        <f t="shared" si="28"/>
        <v>-5.458166067489933</v>
      </c>
      <c r="J337" s="27"/>
    </row>
    <row r="338" spans="1:10">
      <c r="A338" s="27">
        <v>327</v>
      </c>
      <c r="B338" s="1227">
        <v>25</v>
      </c>
      <c r="C338" s="1227">
        <v>0.25</v>
      </c>
      <c r="D338" s="1227">
        <v>4.261363636363636E-3</v>
      </c>
      <c r="E338" s="1227">
        <f t="shared" si="29"/>
        <v>0.40458488228004957</v>
      </c>
      <c r="F338" s="1227">
        <f t="shared" si="25"/>
        <v>-0.24149722812139685</v>
      </c>
      <c r="G338" s="1227">
        <f t="shared" si="26"/>
        <v>3.2188758248682006</v>
      </c>
      <c r="H338" s="1227">
        <f t="shared" si="27"/>
        <v>-1.3862943611198906</v>
      </c>
      <c r="I338" s="1227">
        <f t="shared" si="28"/>
        <v>-5.458166067489933</v>
      </c>
      <c r="J338" s="27"/>
    </row>
    <row r="339" spans="1:10">
      <c r="A339" s="27">
        <v>328</v>
      </c>
      <c r="B339" s="1227">
        <v>25</v>
      </c>
      <c r="C339" s="1227">
        <v>0.25</v>
      </c>
      <c r="D339" s="1227">
        <v>4.261363636363636E-3</v>
      </c>
      <c r="E339" s="1227">
        <f t="shared" si="29"/>
        <v>0.40582403965303593</v>
      </c>
      <c r="F339" s="1227">
        <f t="shared" si="25"/>
        <v>-0.23830044103271933</v>
      </c>
      <c r="G339" s="1227">
        <f t="shared" si="26"/>
        <v>3.2188758248682006</v>
      </c>
      <c r="H339" s="1227">
        <f t="shared" si="27"/>
        <v>-1.3862943611198906</v>
      </c>
      <c r="I339" s="1227">
        <f t="shared" si="28"/>
        <v>-5.458166067489933</v>
      </c>
      <c r="J339" s="27"/>
    </row>
    <row r="340" spans="1:10">
      <c r="A340" s="27">
        <v>329</v>
      </c>
      <c r="B340" s="1227">
        <v>25</v>
      </c>
      <c r="C340" s="1227">
        <v>0.25</v>
      </c>
      <c r="D340" s="1227">
        <v>4.261363636363636E-3</v>
      </c>
      <c r="E340" s="1227">
        <f t="shared" si="29"/>
        <v>0.40706319702602228</v>
      </c>
      <c r="F340" s="1227">
        <f t="shared" si="25"/>
        <v>-0.23510608739547059</v>
      </c>
      <c r="G340" s="1227">
        <f t="shared" si="26"/>
        <v>3.2188758248682006</v>
      </c>
      <c r="H340" s="1227">
        <f t="shared" si="27"/>
        <v>-1.3862943611198906</v>
      </c>
      <c r="I340" s="1227">
        <f t="shared" si="28"/>
        <v>-5.458166067489933</v>
      </c>
      <c r="J340" s="27"/>
    </row>
    <row r="341" spans="1:10">
      <c r="A341" s="27">
        <v>330</v>
      </c>
      <c r="B341" s="1227">
        <v>25</v>
      </c>
      <c r="C341" s="1227">
        <v>0.26</v>
      </c>
      <c r="D341" s="1227">
        <v>4.261363636363636E-3</v>
      </c>
      <c r="E341" s="1227">
        <f t="shared" si="29"/>
        <v>0.40830235439900869</v>
      </c>
      <c r="F341" s="1227">
        <f t="shared" si="25"/>
        <v>-0.23191413096198332</v>
      </c>
      <c r="G341" s="1227">
        <f t="shared" si="26"/>
        <v>3.2188758248682006</v>
      </c>
      <c r="H341" s="1227">
        <f t="shared" si="27"/>
        <v>-1.3470736479666092</v>
      </c>
      <c r="I341" s="1227">
        <f t="shared" si="28"/>
        <v>-5.458166067489933</v>
      </c>
      <c r="J341" s="27"/>
    </row>
    <row r="342" spans="1:10">
      <c r="A342" s="27">
        <v>331</v>
      </c>
      <c r="B342" s="1227">
        <v>25</v>
      </c>
      <c r="C342" s="1234">
        <v>0.26</v>
      </c>
      <c r="D342" s="1227">
        <v>4.4034090909090906E-3</v>
      </c>
      <c r="E342" s="1227">
        <f t="shared" si="29"/>
        <v>0.40954151177199505</v>
      </c>
      <c r="F342" s="1227">
        <f t="shared" si="25"/>
        <v>-0.22872453566379866</v>
      </c>
      <c r="G342" s="1227">
        <f t="shared" si="26"/>
        <v>3.2188758248682006</v>
      </c>
      <c r="H342" s="1227">
        <f t="shared" si="27"/>
        <v>-1.3470736479666092</v>
      </c>
      <c r="I342" s="1227">
        <f t="shared" si="28"/>
        <v>-5.4253762446669418</v>
      </c>
      <c r="J342" s="27"/>
    </row>
    <row r="343" spans="1:10">
      <c r="A343" s="27">
        <v>332</v>
      </c>
      <c r="B343" s="1227">
        <v>25</v>
      </c>
      <c r="C343" s="1227">
        <v>0.27</v>
      </c>
      <c r="D343" s="1229">
        <v>4.5454545454545452E-3</v>
      </c>
      <c r="E343" s="1227">
        <f t="shared" si="29"/>
        <v>0.4107806691449814</v>
      </c>
      <c r="F343" s="1227">
        <f t="shared" si="25"/>
        <v>-0.22553726560849066</v>
      </c>
      <c r="G343" s="1227">
        <f t="shared" si="26"/>
        <v>3.2188758248682006</v>
      </c>
      <c r="H343" s="1227">
        <f t="shared" si="27"/>
        <v>-1.3093333199837622</v>
      </c>
      <c r="I343" s="1227">
        <f t="shared" si="28"/>
        <v>-5.393627546352362</v>
      </c>
      <c r="J343" s="27"/>
    </row>
    <row r="344" spans="1:10">
      <c r="A344" s="27">
        <v>333</v>
      </c>
      <c r="B344" s="1227">
        <v>25</v>
      </c>
      <c r="C344" s="1227">
        <v>0.28000000000000003</v>
      </c>
      <c r="D344" s="1227">
        <v>4.5454545454545452E-3</v>
      </c>
      <c r="E344" s="1227">
        <f t="shared" si="29"/>
        <v>0.41201982651796776</v>
      </c>
      <c r="F344" s="1227">
        <f t="shared" si="25"/>
        <v>-0.22235228507652813</v>
      </c>
      <c r="G344" s="1227">
        <f t="shared" si="26"/>
        <v>3.2188758248682006</v>
      </c>
      <c r="H344" s="1227">
        <f t="shared" si="27"/>
        <v>-1.2729656758128873</v>
      </c>
      <c r="I344" s="1227">
        <f t="shared" si="28"/>
        <v>-5.393627546352362</v>
      </c>
      <c r="J344" s="27"/>
    </row>
    <row r="345" spans="1:10">
      <c r="A345" s="27">
        <v>334</v>
      </c>
      <c r="B345" s="1227">
        <v>25</v>
      </c>
      <c r="C345" s="1233">
        <v>0.28999999999999998</v>
      </c>
      <c r="D345" s="1227">
        <v>4.5454545454545461E-3</v>
      </c>
      <c r="E345" s="1227">
        <f t="shared" si="29"/>
        <v>0.41325898389095417</v>
      </c>
      <c r="F345" s="1227">
        <f t="shared" si="25"/>
        <v>-0.21916955851817027</v>
      </c>
      <c r="G345" s="1227">
        <f t="shared" si="26"/>
        <v>3.2188758248682006</v>
      </c>
      <c r="H345" s="1227">
        <f t="shared" si="27"/>
        <v>-1.2378743560016174</v>
      </c>
      <c r="I345" s="1227">
        <f t="shared" si="28"/>
        <v>-5.3936275463523611</v>
      </c>
      <c r="J345" s="27"/>
    </row>
    <row r="346" spans="1:10">
      <c r="A346" s="27">
        <v>335</v>
      </c>
      <c r="B346" s="1227">
        <v>25</v>
      </c>
      <c r="C346" s="1227">
        <v>0.28999999999999998</v>
      </c>
      <c r="D346" s="1227">
        <v>4.5454545454545461E-3</v>
      </c>
      <c r="E346" s="1227">
        <f t="shared" si="29"/>
        <v>0.41449814126394052</v>
      </c>
      <c r="F346" s="1227">
        <f t="shared" si="25"/>
        <v>-0.21598905055039688</v>
      </c>
      <c r="G346" s="1227">
        <f t="shared" si="26"/>
        <v>3.2188758248682006</v>
      </c>
      <c r="H346" s="1227">
        <f t="shared" si="27"/>
        <v>-1.2378743560016174</v>
      </c>
      <c r="I346" s="1227">
        <f t="shared" si="28"/>
        <v>-5.3936275463523611</v>
      </c>
      <c r="J346" s="27"/>
    </row>
    <row r="347" spans="1:10">
      <c r="A347" s="27">
        <v>336</v>
      </c>
      <c r="B347" s="1227">
        <v>25</v>
      </c>
      <c r="C347" s="1227">
        <v>0.3</v>
      </c>
      <c r="D347" s="1227">
        <v>4.8295454545454544E-3</v>
      </c>
      <c r="E347" s="1227">
        <f t="shared" si="29"/>
        <v>0.41573729863692688</v>
      </c>
      <c r="F347" s="1227">
        <f t="shared" si="25"/>
        <v>-0.21281072595387035</v>
      </c>
      <c r="G347" s="1227">
        <f t="shared" si="26"/>
        <v>3.2188758248682006</v>
      </c>
      <c r="H347" s="1227">
        <f t="shared" si="27"/>
        <v>-1.2039728043259361</v>
      </c>
      <c r="I347" s="1227">
        <f t="shared" si="28"/>
        <v>-5.3330029245359265</v>
      </c>
      <c r="J347" s="27"/>
    </row>
    <row r="348" spans="1:10">
      <c r="A348" s="27">
        <v>337</v>
      </c>
      <c r="B348" s="1227">
        <v>25</v>
      </c>
      <c r="C348" s="1227">
        <v>0.3</v>
      </c>
      <c r="D348" s="1227">
        <v>4.8295454545454544E-3</v>
      </c>
      <c r="E348" s="1227">
        <f t="shared" si="29"/>
        <v>0.41697645600991323</v>
      </c>
      <c r="F348" s="1227">
        <f t="shared" si="25"/>
        <v>-0.20963454966993217</v>
      </c>
      <c r="G348" s="1227">
        <f t="shared" si="26"/>
        <v>3.2188758248682006</v>
      </c>
      <c r="H348" s="1227">
        <f t="shared" si="27"/>
        <v>-1.2039728043259361</v>
      </c>
      <c r="I348" s="1227">
        <f t="shared" si="28"/>
        <v>-5.3330029245359265</v>
      </c>
      <c r="J348" s="27"/>
    </row>
    <row r="349" spans="1:10">
      <c r="A349" s="27">
        <v>338</v>
      </c>
      <c r="B349" s="1227">
        <v>25</v>
      </c>
      <c r="C349" s="1227">
        <v>0.3</v>
      </c>
      <c r="D349" s="1227">
        <v>4.8295454545454544E-3</v>
      </c>
      <c r="E349" s="1227">
        <f t="shared" si="29"/>
        <v>0.41821561338289964</v>
      </c>
      <c r="F349" s="1227">
        <f t="shared" si="25"/>
        <v>-0.20646048679762946</v>
      </c>
      <c r="G349" s="1227">
        <f t="shared" si="26"/>
        <v>3.2188758248682006</v>
      </c>
      <c r="H349" s="1227">
        <f t="shared" si="27"/>
        <v>-1.2039728043259361</v>
      </c>
      <c r="I349" s="1227">
        <f t="shared" si="28"/>
        <v>-5.3330029245359265</v>
      </c>
      <c r="J349" s="27"/>
    </row>
    <row r="350" spans="1:10">
      <c r="A350" s="27">
        <v>339</v>
      </c>
      <c r="B350" s="1227">
        <v>25</v>
      </c>
      <c r="C350" s="1227">
        <v>0.3</v>
      </c>
      <c r="D350" s="1229">
        <v>4.8295454545454544E-3</v>
      </c>
      <c r="E350" s="1227">
        <f t="shared" si="29"/>
        <v>0.419454770755886</v>
      </c>
      <c r="F350" s="1227">
        <f t="shared" si="25"/>
        <v>-0.20328850259077433</v>
      </c>
      <c r="G350" s="1227">
        <f t="shared" si="26"/>
        <v>3.2188758248682006</v>
      </c>
      <c r="H350" s="1227">
        <f t="shared" si="27"/>
        <v>-1.2039728043259361</v>
      </c>
      <c r="I350" s="1227">
        <f t="shared" si="28"/>
        <v>-5.3330029245359265</v>
      </c>
      <c r="J350" s="27"/>
    </row>
    <row r="351" spans="1:10">
      <c r="A351" s="27">
        <v>340</v>
      </c>
      <c r="B351" s="1227">
        <v>25</v>
      </c>
      <c r="C351" s="1227">
        <v>0.3</v>
      </c>
      <c r="D351" s="1227">
        <v>5.1136363636363627E-3</v>
      </c>
      <c r="E351" s="1227">
        <f t="shared" si="29"/>
        <v>0.42069392812887235</v>
      </c>
      <c r="F351" s="1227">
        <f t="shared" si="25"/>
        <v>-0.20011856245503135</v>
      </c>
      <c r="G351" s="1227">
        <f t="shared" si="26"/>
        <v>3.2188758248682006</v>
      </c>
      <c r="H351" s="1227">
        <f t="shared" si="27"/>
        <v>-1.2039728043259361</v>
      </c>
      <c r="I351" s="1227">
        <f t="shared" si="28"/>
        <v>-5.2758445106959782</v>
      </c>
      <c r="J351" s="27"/>
    </row>
    <row r="352" spans="1:10">
      <c r="A352" s="27">
        <v>341</v>
      </c>
      <c r="B352" s="1227">
        <v>25</v>
      </c>
      <c r="C352" s="1227">
        <v>0.3</v>
      </c>
      <c r="D352" s="1227">
        <v>5.1136363636363636E-3</v>
      </c>
      <c r="E352" s="1227">
        <f t="shared" si="29"/>
        <v>0.42193308550185876</v>
      </c>
      <c r="F352" s="1227">
        <f t="shared" si="25"/>
        <v>-0.19695063194503698</v>
      </c>
      <c r="G352" s="1227">
        <f t="shared" si="26"/>
        <v>3.2188758248682006</v>
      </c>
      <c r="H352" s="1227">
        <f t="shared" si="27"/>
        <v>-1.2039728043259361</v>
      </c>
      <c r="I352" s="1227">
        <f t="shared" si="28"/>
        <v>-5.2758445106959782</v>
      </c>
      <c r="J352" s="27"/>
    </row>
    <row r="353" spans="1:10">
      <c r="A353" s="27">
        <v>342</v>
      </c>
      <c r="B353" s="1227">
        <v>25</v>
      </c>
      <c r="C353" s="1227">
        <v>0.3</v>
      </c>
      <c r="D353" s="1227">
        <v>5.1136363636363636E-3</v>
      </c>
      <c r="E353" s="1227">
        <f t="shared" si="29"/>
        <v>0.42317224287484512</v>
      </c>
      <c r="F353" s="1227">
        <f t="shared" si="25"/>
        <v>-0.19378467676154726</v>
      </c>
      <c r="G353" s="1227">
        <f t="shared" si="26"/>
        <v>3.2188758248682006</v>
      </c>
      <c r="H353" s="1227">
        <f t="shared" si="27"/>
        <v>-1.2039728043259361</v>
      </c>
      <c r="I353" s="1227">
        <f t="shared" si="28"/>
        <v>-5.2758445106959782</v>
      </c>
      <c r="J353" s="27"/>
    </row>
    <row r="354" spans="1:10">
      <c r="A354" s="27">
        <v>343</v>
      </c>
      <c r="B354" s="1233">
        <v>25</v>
      </c>
      <c r="C354" s="1227">
        <v>0.3</v>
      </c>
      <c r="D354" s="1227">
        <v>5.3977272727272728E-3</v>
      </c>
      <c r="E354" s="1227">
        <f t="shared" si="29"/>
        <v>0.42441140024783147</v>
      </c>
      <c r="F354" s="1227">
        <f t="shared" si="25"/>
        <v>-0.19062066274861308</v>
      </c>
      <c r="G354" s="1227">
        <f t="shared" si="26"/>
        <v>3.2188758248682006</v>
      </c>
      <c r="H354" s="1227">
        <f t="shared" si="27"/>
        <v>-1.2039728043259361</v>
      </c>
      <c r="I354" s="1227">
        <f t="shared" si="28"/>
        <v>-5.2217772894257024</v>
      </c>
      <c r="J354" s="27"/>
    </row>
    <row r="355" spans="1:10">
      <c r="A355" s="27">
        <v>344</v>
      </c>
      <c r="B355" s="1233">
        <v>25</v>
      </c>
      <c r="C355" s="1227">
        <v>0.3</v>
      </c>
      <c r="D355" s="1227">
        <v>5.6249999999999998E-3</v>
      </c>
      <c r="E355" s="1227">
        <f t="shared" si="29"/>
        <v>0.42565055762081783</v>
      </c>
      <c r="F355" s="1227">
        <f t="shared" si="25"/>
        <v>-0.18745855589078456</v>
      </c>
      <c r="G355" s="1227">
        <f t="shared" si="26"/>
        <v>3.2188758248682006</v>
      </c>
      <c r="H355" s="1227">
        <f t="shared" si="27"/>
        <v>-1.2039728043259361</v>
      </c>
      <c r="I355" s="1227">
        <f t="shared" si="28"/>
        <v>-5.1805343308916534</v>
      </c>
      <c r="J355" s="27"/>
    </row>
    <row r="356" spans="1:10">
      <c r="A356" s="27">
        <v>345</v>
      </c>
      <c r="B356" s="1233">
        <v>25</v>
      </c>
      <c r="C356" s="1227">
        <v>0.3</v>
      </c>
      <c r="D356" s="1227">
        <v>5.681818181818182E-3</v>
      </c>
      <c r="E356" s="1227">
        <f t="shared" si="29"/>
        <v>0.42688971499380424</v>
      </c>
      <c r="F356" s="1227">
        <f t="shared" si="25"/>
        <v>-0.18429832231034171</v>
      </c>
      <c r="G356" s="1227">
        <f t="shared" si="26"/>
        <v>3.2188758248682006</v>
      </c>
      <c r="H356" s="1227">
        <f t="shared" si="27"/>
        <v>-1.2039728043259361</v>
      </c>
      <c r="I356" s="1227">
        <f t="shared" si="28"/>
        <v>-5.1704839950381514</v>
      </c>
      <c r="J356" s="27"/>
    </row>
    <row r="357" spans="1:10">
      <c r="A357" s="27">
        <v>346</v>
      </c>
      <c r="B357" s="1233">
        <v>25</v>
      </c>
      <c r="C357" s="1227">
        <v>0.3</v>
      </c>
      <c r="D357" s="1227">
        <v>5.681818181818182E-3</v>
      </c>
      <c r="E357" s="1227">
        <f t="shared" si="29"/>
        <v>0.42812887236679059</v>
      </c>
      <c r="F357" s="1227">
        <f t="shared" si="25"/>
        <v>-0.18113992826455266</v>
      </c>
      <c r="G357" s="1227">
        <f t="shared" si="26"/>
        <v>3.2188758248682006</v>
      </c>
      <c r="H357" s="1227">
        <f t="shared" si="27"/>
        <v>-1.2039728043259361</v>
      </c>
      <c r="I357" s="1227">
        <f t="shared" si="28"/>
        <v>-5.1704839950381514</v>
      </c>
      <c r="J357" s="27"/>
    </row>
    <row r="358" spans="1:10">
      <c r="A358" s="27">
        <v>347</v>
      </c>
      <c r="B358" s="1233">
        <v>25</v>
      </c>
      <c r="C358" s="1227">
        <v>0.3</v>
      </c>
      <c r="D358" s="1227">
        <v>5.681818181818182E-3</v>
      </c>
      <c r="E358" s="1227">
        <f t="shared" si="29"/>
        <v>0.42936802973977695</v>
      </c>
      <c r="F358" s="1227">
        <f t="shared" si="25"/>
        <v>-0.17798334014295583</v>
      </c>
      <c r="G358" s="1227">
        <f t="shared" si="26"/>
        <v>3.2188758248682006</v>
      </c>
      <c r="H358" s="1227">
        <f t="shared" si="27"/>
        <v>-1.2039728043259361</v>
      </c>
      <c r="I358" s="1227">
        <f t="shared" si="28"/>
        <v>-5.1704839950381514</v>
      </c>
      <c r="J358" s="27"/>
    </row>
    <row r="359" spans="1:10">
      <c r="A359" s="27">
        <v>348</v>
      </c>
      <c r="B359" s="1234">
        <v>25</v>
      </c>
      <c r="C359" s="1227">
        <v>0.3</v>
      </c>
      <c r="D359" s="1227">
        <v>5.681818181818182E-3</v>
      </c>
      <c r="E359" s="1227">
        <f t="shared" si="29"/>
        <v>0.4306071871127633</v>
      </c>
      <c r="F359" s="1227">
        <f t="shared" si="25"/>
        <v>-0.17482852446466976</v>
      </c>
      <c r="G359" s="1227">
        <f t="shared" si="26"/>
        <v>3.2188758248682006</v>
      </c>
      <c r="H359" s="1227">
        <f t="shared" si="27"/>
        <v>-1.2039728043259361</v>
      </c>
      <c r="I359" s="1227">
        <f t="shared" si="28"/>
        <v>-5.1704839950381514</v>
      </c>
      <c r="J359" s="27"/>
    </row>
    <row r="360" spans="1:10">
      <c r="A360" s="27">
        <v>349</v>
      </c>
      <c r="B360" s="1227">
        <v>25</v>
      </c>
      <c r="C360" s="1227">
        <v>0.3</v>
      </c>
      <c r="D360" s="1227">
        <v>5.681818181818182E-3</v>
      </c>
      <c r="E360" s="1227">
        <f t="shared" si="29"/>
        <v>0.43184634448574971</v>
      </c>
      <c r="F360" s="1227">
        <f t="shared" si="25"/>
        <v>-0.17167544787572603</v>
      </c>
      <c r="G360" s="1227">
        <f t="shared" si="26"/>
        <v>3.2188758248682006</v>
      </c>
      <c r="H360" s="1227">
        <f t="shared" si="27"/>
        <v>-1.2039728043259361</v>
      </c>
      <c r="I360" s="1227">
        <f t="shared" si="28"/>
        <v>-5.1704839950381514</v>
      </c>
      <c r="J360" s="27"/>
    </row>
    <row r="361" spans="1:10">
      <c r="A361" s="27">
        <v>350</v>
      </c>
      <c r="B361" s="1227">
        <v>25</v>
      </c>
      <c r="C361" s="1227">
        <v>0.3</v>
      </c>
      <c r="D361" s="1227">
        <v>5.681818181818182E-3</v>
      </c>
      <c r="E361" s="1227">
        <f t="shared" si="29"/>
        <v>0.43308550185873607</v>
      </c>
      <c r="F361" s="1227">
        <f t="shared" si="25"/>
        <v>-0.1685240771464275</v>
      </c>
      <c r="G361" s="1227">
        <f t="shared" si="26"/>
        <v>3.2188758248682006</v>
      </c>
      <c r="H361" s="1227">
        <f t="shared" si="27"/>
        <v>-1.2039728043259361</v>
      </c>
      <c r="I361" s="1227">
        <f t="shared" si="28"/>
        <v>-5.1704839950381514</v>
      </c>
      <c r="J361" s="27"/>
    </row>
    <row r="362" spans="1:10">
      <c r="A362" s="27">
        <v>351</v>
      </c>
      <c r="B362" s="1227">
        <v>25</v>
      </c>
      <c r="C362" s="1227">
        <v>0.3</v>
      </c>
      <c r="D362" s="1227">
        <v>5.681818181818182E-3</v>
      </c>
      <c r="E362" s="1227">
        <f t="shared" si="29"/>
        <v>0.43432465923172242</v>
      </c>
      <c r="F362" s="1227">
        <f t="shared" si="25"/>
        <v>-0.16537437916872888</v>
      </c>
      <c r="G362" s="1227">
        <f t="shared" si="26"/>
        <v>3.2188758248682006</v>
      </c>
      <c r="H362" s="1227">
        <f t="shared" si="27"/>
        <v>-1.2039728043259361</v>
      </c>
      <c r="I362" s="1227">
        <f t="shared" si="28"/>
        <v>-5.1704839950381514</v>
      </c>
      <c r="J362" s="27"/>
    </row>
    <row r="363" spans="1:10">
      <c r="A363" s="27">
        <v>352</v>
      </c>
      <c r="B363" s="1227">
        <v>25</v>
      </c>
      <c r="C363" s="1227">
        <v>0.3</v>
      </c>
      <c r="D363" s="1227">
        <v>5.681818181818182E-3</v>
      </c>
      <c r="E363" s="1227">
        <f t="shared" si="29"/>
        <v>0.43556381660470878</v>
      </c>
      <c r="F363" s="1227">
        <f t="shared" si="25"/>
        <v>-0.16222632095364145</v>
      </c>
      <c r="G363" s="1227">
        <f t="shared" si="26"/>
        <v>3.2188758248682006</v>
      </c>
      <c r="H363" s="1227">
        <f t="shared" si="27"/>
        <v>-1.2039728043259361</v>
      </c>
      <c r="I363" s="1227">
        <f t="shared" si="28"/>
        <v>-5.1704839950381514</v>
      </c>
      <c r="J363" s="27"/>
    </row>
    <row r="364" spans="1:10">
      <c r="A364" s="27">
        <v>353</v>
      </c>
      <c r="B364" s="1227">
        <v>27</v>
      </c>
      <c r="C364" s="1227">
        <v>0.3</v>
      </c>
      <c r="D364" s="1227">
        <v>5.681818181818182E-3</v>
      </c>
      <c r="E364" s="1227">
        <f t="shared" si="29"/>
        <v>0.43680297397769519</v>
      </c>
      <c r="F364" s="1227">
        <f t="shared" si="25"/>
        <v>-0.1590798696286595</v>
      </c>
      <c r="G364" s="1227">
        <f t="shared" si="26"/>
        <v>3.2958368660043291</v>
      </c>
      <c r="H364" s="1227">
        <f t="shared" si="27"/>
        <v>-1.2039728043259361</v>
      </c>
      <c r="I364" s="1227">
        <f t="shared" si="28"/>
        <v>-5.1704839950381514</v>
      </c>
      <c r="J364" s="27"/>
    </row>
    <row r="365" spans="1:10">
      <c r="A365" s="27">
        <v>354</v>
      </c>
      <c r="B365" s="1227">
        <v>27</v>
      </c>
      <c r="C365" s="1227">
        <v>0.3</v>
      </c>
      <c r="D365" s="1227">
        <v>5.681818181818182E-3</v>
      </c>
      <c r="E365" s="1227">
        <f t="shared" si="29"/>
        <v>0.43804213135068154</v>
      </c>
      <c r="F365" s="1227">
        <f t="shared" si="25"/>
        <v>-0.15593499243520981</v>
      </c>
      <c r="G365" s="1227">
        <f t="shared" si="26"/>
        <v>3.2958368660043291</v>
      </c>
      <c r="H365" s="1227">
        <f t="shared" si="27"/>
        <v>-1.2039728043259361</v>
      </c>
      <c r="I365" s="1227">
        <f t="shared" si="28"/>
        <v>-5.1704839950381514</v>
      </c>
      <c r="J365" s="27"/>
    </row>
    <row r="366" spans="1:10">
      <c r="A366" s="27">
        <v>355</v>
      </c>
      <c r="B366" s="1227">
        <v>30</v>
      </c>
      <c r="C366" s="1227">
        <v>0.3</v>
      </c>
      <c r="D366" s="1227">
        <v>5.681818181818182E-3</v>
      </c>
      <c r="E366" s="1227">
        <f t="shared" si="29"/>
        <v>0.4392812887236679</v>
      </c>
      <c r="F366" s="1227">
        <f t="shared" si="25"/>
        <v>-0.15279165672612058</v>
      </c>
      <c r="G366" s="1227">
        <f t="shared" si="26"/>
        <v>3.4011973816621555</v>
      </c>
      <c r="H366" s="1227">
        <f t="shared" si="27"/>
        <v>-1.2039728043259361</v>
      </c>
      <c r="I366" s="1227">
        <f t="shared" si="28"/>
        <v>-5.1704839950381514</v>
      </c>
      <c r="J366" s="27"/>
    </row>
    <row r="367" spans="1:10">
      <c r="A367" s="27">
        <v>356</v>
      </c>
      <c r="B367" s="1227">
        <v>30</v>
      </c>
      <c r="C367" s="1227">
        <v>0.3</v>
      </c>
      <c r="D367" s="1227">
        <v>5.681818181818182E-3</v>
      </c>
      <c r="E367" s="1227">
        <f t="shared" si="29"/>
        <v>0.44052044609665425</v>
      </c>
      <c r="F367" s="1227">
        <f t="shared" si="25"/>
        <v>-0.14964982996311305</v>
      </c>
      <c r="G367" s="1227">
        <f t="shared" si="26"/>
        <v>3.4011973816621555</v>
      </c>
      <c r="H367" s="1227">
        <f t="shared" si="27"/>
        <v>-1.2039728043259361</v>
      </c>
      <c r="I367" s="1227">
        <f t="shared" si="28"/>
        <v>-5.1704839950381514</v>
      </c>
      <c r="J367" s="27"/>
    </row>
    <row r="368" spans="1:10">
      <c r="A368" s="27">
        <v>357</v>
      </c>
      <c r="B368" s="1227">
        <v>30</v>
      </c>
      <c r="C368" s="1227">
        <v>0.3</v>
      </c>
      <c r="D368" s="1227">
        <v>5.681818181818182E-3</v>
      </c>
      <c r="E368" s="1227">
        <f t="shared" si="29"/>
        <v>0.44175960346964066</v>
      </c>
      <c r="F368" s="1227">
        <f t="shared" si="25"/>
        <v>-0.14650947971431272</v>
      </c>
      <c r="G368" s="1227">
        <f t="shared" si="26"/>
        <v>3.4011973816621555</v>
      </c>
      <c r="H368" s="1227">
        <f t="shared" si="27"/>
        <v>-1.2039728043259361</v>
      </c>
      <c r="I368" s="1227">
        <f t="shared" si="28"/>
        <v>-5.1704839950381514</v>
      </c>
      <c r="J368" s="27"/>
    </row>
    <row r="369" spans="1:10">
      <c r="A369" s="27">
        <v>358</v>
      </c>
      <c r="B369" s="1227">
        <v>30</v>
      </c>
      <c r="C369" s="1227">
        <v>0.3</v>
      </c>
      <c r="D369" s="1227">
        <v>5.681818181818182E-3</v>
      </c>
      <c r="E369" s="1227">
        <f t="shared" si="29"/>
        <v>0.44299876084262702</v>
      </c>
      <c r="F369" s="1227">
        <f t="shared" si="25"/>
        <v>-0.1433705736517806</v>
      </c>
      <c r="G369" s="1227">
        <f t="shared" si="26"/>
        <v>3.4011973816621555</v>
      </c>
      <c r="H369" s="1227">
        <f t="shared" si="27"/>
        <v>-1.2039728043259361</v>
      </c>
      <c r="I369" s="1227">
        <f t="shared" si="28"/>
        <v>-5.1704839950381514</v>
      </c>
      <c r="J369" s="27"/>
    </row>
    <row r="370" spans="1:10">
      <c r="A370" s="27">
        <v>359</v>
      </c>
      <c r="B370" s="1227">
        <v>30</v>
      </c>
      <c r="C370" s="1227">
        <v>0.3</v>
      </c>
      <c r="D370" s="1227">
        <v>5.681818181818182E-3</v>
      </c>
      <c r="E370" s="1227">
        <f t="shared" si="29"/>
        <v>0.44423791821561337</v>
      </c>
      <c r="F370" s="1227">
        <f t="shared" si="25"/>
        <v>-0.14023307954906311</v>
      </c>
      <c r="G370" s="1227">
        <f t="shared" si="26"/>
        <v>3.4011973816621555</v>
      </c>
      <c r="H370" s="1227">
        <f t="shared" si="27"/>
        <v>-1.2039728043259361</v>
      </c>
      <c r="I370" s="1227">
        <f t="shared" si="28"/>
        <v>-5.1704839950381514</v>
      </c>
      <c r="J370" s="27"/>
    </row>
    <row r="371" spans="1:10">
      <c r="A371" s="27">
        <v>360</v>
      </c>
      <c r="B371" s="1227">
        <v>30</v>
      </c>
      <c r="C371" s="1227">
        <v>0.3</v>
      </c>
      <c r="D371" s="1227">
        <v>5.681818181818182E-3</v>
      </c>
      <c r="E371" s="1227">
        <f t="shared" si="29"/>
        <v>0.44547707558859972</v>
      </c>
      <c r="F371" s="1227">
        <f t="shared" si="25"/>
        <v>-0.13709696527876158</v>
      </c>
      <c r="G371" s="1227">
        <f t="shared" si="26"/>
        <v>3.4011973816621555</v>
      </c>
      <c r="H371" s="1227">
        <f t="shared" si="27"/>
        <v>-1.2039728043259361</v>
      </c>
      <c r="I371" s="1227">
        <f t="shared" si="28"/>
        <v>-5.1704839950381514</v>
      </c>
      <c r="J371" s="27"/>
    </row>
    <row r="372" spans="1:10">
      <c r="A372" s="27">
        <v>361</v>
      </c>
      <c r="B372" s="1227">
        <v>30</v>
      </c>
      <c r="C372" s="1227">
        <v>0.3</v>
      </c>
      <c r="D372" s="1227">
        <v>5.681818181818182E-3</v>
      </c>
      <c r="E372" s="1227">
        <f t="shared" si="29"/>
        <v>0.44671623296158613</v>
      </c>
      <c r="F372" s="1227">
        <f t="shared" si="25"/>
        <v>-0.13396219881011989</v>
      </c>
      <c r="G372" s="1227">
        <f t="shared" si="26"/>
        <v>3.4011973816621555</v>
      </c>
      <c r="H372" s="1227">
        <f t="shared" si="27"/>
        <v>-1.2039728043259361</v>
      </c>
      <c r="I372" s="1227">
        <f t="shared" si="28"/>
        <v>-5.1704839950381514</v>
      </c>
      <c r="J372" s="27"/>
    </row>
    <row r="373" spans="1:10">
      <c r="A373" s="27">
        <v>362</v>
      </c>
      <c r="B373" s="1227">
        <v>30</v>
      </c>
      <c r="C373" s="1227">
        <v>0.3</v>
      </c>
      <c r="D373" s="1227">
        <v>5.681818181818182E-3</v>
      </c>
      <c r="E373" s="1227">
        <f t="shared" si="29"/>
        <v>0.44795539033457249</v>
      </c>
      <c r="F373" s="1227">
        <f t="shared" si="25"/>
        <v>-0.13082874820662996</v>
      </c>
      <c r="G373" s="1227">
        <f t="shared" si="26"/>
        <v>3.4011973816621555</v>
      </c>
      <c r="H373" s="1227">
        <f t="shared" si="27"/>
        <v>-1.2039728043259361</v>
      </c>
      <c r="I373" s="1227">
        <f t="shared" si="28"/>
        <v>-5.1704839950381514</v>
      </c>
      <c r="J373" s="27"/>
    </row>
    <row r="374" spans="1:10">
      <c r="A374" s="27">
        <v>363</v>
      </c>
      <c r="B374" s="1227">
        <v>30</v>
      </c>
      <c r="C374" s="1227">
        <v>0.3</v>
      </c>
      <c r="D374" s="1227">
        <v>5.681818181818182E-3</v>
      </c>
      <c r="E374" s="1227">
        <f t="shared" si="29"/>
        <v>0.44919454770755884</v>
      </c>
      <c r="F374" s="1227">
        <f t="shared" si="25"/>
        <v>-0.12769658162365391</v>
      </c>
      <c r="G374" s="1227">
        <f t="shared" si="26"/>
        <v>3.4011973816621555</v>
      </c>
      <c r="H374" s="1227">
        <f t="shared" si="27"/>
        <v>-1.2039728043259361</v>
      </c>
      <c r="I374" s="1227">
        <f t="shared" si="28"/>
        <v>-5.1704839950381514</v>
      </c>
      <c r="J374" s="27"/>
    </row>
    <row r="375" spans="1:10">
      <c r="A375" s="27">
        <v>364</v>
      </c>
      <c r="B375" s="1227">
        <v>30</v>
      </c>
      <c r="C375" s="1227">
        <v>0.3</v>
      </c>
      <c r="D375" s="1227">
        <v>5.681818181818182E-3</v>
      </c>
      <c r="E375" s="1227">
        <f t="shared" si="29"/>
        <v>0.45043370508054525</v>
      </c>
      <c r="F375" s="1227">
        <f t="shared" si="25"/>
        <v>-0.12456566730606403</v>
      </c>
      <c r="G375" s="1227">
        <f t="shared" si="26"/>
        <v>3.4011973816621555</v>
      </c>
      <c r="H375" s="1227">
        <f t="shared" si="27"/>
        <v>-1.2039728043259361</v>
      </c>
      <c r="I375" s="1227">
        <f t="shared" si="28"/>
        <v>-5.1704839950381514</v>
      </c>
      <c r="J375" s="27"/>
    </row>
    <row r="376" spans="1:10">
      <c r="A376" s="27">
        <v>365</v>
      </c>
      <c r="B376" s="1227">
        <v>30</v>
      </c>
      <c r="C376" s="1227">
        <v>0.3</v>
      </c>
      <c r="D376" s="1227">
        <v>5.681818181818182E-3</v>
      </c>
      <c r="E376" s="1227">
        <f t="shared" si="29"/>
        <v>0.45167286245353161</v>
      </c>
      <c r="F376" s="1227">
        <f t="shared" si="25"/>
        <v>-0.12143597358589922</v>
      </c>
      <c r="G376" s="1227">
        <f t="shared" si="26"/>
        <v>3.4011973816621555</v>
      </c>
      <c r="H376" s="1227">
        <f t="shared" si="27"/>
        <v>-1.2039728043259361</v>
      </c>
      <c r="I376" s="1227">
        <f t="shared" si="28"/>
        <v>-5.1704839950381514</v>
      </c>
      <c r="J376" s="27"/>
    </row>
    <row r="377" spans="1:10">
      <c r="A377" s="27">
        <v>366</v>
      </c>
      <c r="B377" s="1227">
        <v>30</v>
      </c>
      <c r="C377" s="1227">
        <v>0.3</v>
      </c>
      <c r="D377" s="1227">
        <v>5.681818181818182E-3</v>
      </c>
      <c r="E377" s="1227">
        <f t="shared" si="29"/>
        <v>0.45291201982651796</v>
      </c>
      <c r="F377" s="1227">
        <f t="shared" si="25"/>
        <v>-0.1183074688800359</v>
      </c>
      <c r="G377" s="1227">
        <f t="shared" si="26"/>
        <v>3.4011973816621555</v>
      </c>
      <c r="H377" s="1227">
        <f t="shared" si="27"/>
        <v>-1.2039728043259361</v>
      </c>
      <c r="I377" s="1227">
        <f t="shared" si="28"/>
        <v>-5.1704839950381514</v>
      </c>
      <c r="J377" s="27"/>
    </row>
    <row r="378" spans="1:10">
      <c r="A378" s="27">
        <v>367</v>
      </c>
      <c r="B378" s="1227">
        <v>30</v>
      </c>
      <c r="C378" s="1227">
        <v>0.3</v>
      </c>
      <c r="D378" s="1227">
        <v>5.681818181818182E-3</v>
      </c>
      <c r="E378" s="1227">
        <f t="shared" si="29"/>
        <v>0.45415117719950432</v>
      </c>
      <c r="F378" s="1227">
        <f t="shared" si="25"/>
        <v>-0.11518012168787614</v>
      </c>
      <c r="G378" s="1227">
        <f t="shared" si="26"/>
        <v>3.4011973816621555</v>
      </c>
      <c r="H378" s="1227">
        <f t="shared" si="27"/>
        <v>-1.2039728043259361</v>
      </c>
      <c r="I378" s="1227">
        <f t="shared" si="28"/>
        <v>-5.1704839950381514</v>
      </c>
      <c r="J378" s="27"/>
    </row>
    <row r="379" spans="1:10">
      <c r="A379" s="27">
        <v>368</v>
      </c>
      <c r="B379" s="1227">
        <v>30</v>
      </c>
      <c r="C379" s="1227">
        <v>0.3</v>
      </c>
      <c r="D379" s="1227">
        <v>5.9659090909090903E-3</v>
      </c>
      <c r="E379" s="1227">
        <f t="shared" si="29"/>
        <v>0.45539033457249073</v>
      </c>
      <c r="F379" s="1227">
        <f t="shared" si="25"/>
        <v>-0.1120539005890499</v>
      </c>
      <c r="G379" s="1227">
        <f t="shared" si="26"/>
        <v>3.4011973816621555</v>
      </c>
      <c r="H379" s="1227">
        <f t="shared" si="27"/>
        <v>-1.2039728043259361</v>
      </c>
      <c r="I379" s="1227">
        <f t="shared" si="28"/>
        <v>-5.1216938308687201</v>
      </c>
      <c r="J379" s="27"/>
    </row>
    <row r="380" spans="1:10">
      <c r="A380" s="27">
        <v>369</v>
      </c>
      <c r="B380" s="1227">
        <v>30</v>
      </c>
      <c r="C380" s="1227">
        <v>0.3</v>
      </c>
      <c r="D380" s="1227">
        <v>6.2499999999999995E-3</v>
      </c>
      <c r="E380" s="1227">
        <f t="shared" si="29"/>
        <v>0.45662949194547708</v>
      </c>
      <c r="F380" s="1227">
        <f t="shared" si="25"/>
        <v>-0.10892877424113243</v>
      </c>
      <c r="G380" s="1227">
        <f t="shared" si="26"/>
        <v>3.4011973816621555</v>
      </c>
      <c r="H380" s="1227">
        <f t="shared" si="27"/>
        <v>-1.2039728043259361</v>
      </c>
      <c r="I380" s="1227">
        <f t="shared" si="28"/>
        <v>-5.0751738152338266</v>
      </c>
      <c r="J380" s="27"/>
    </row>
    <row r="381" spans="1:10">
      <c r="A381" s="27">
        <v>370</v>
      </c>
      <c r="B381" s="1227">
        <v>30</v>
      </c>
      <c r="C381" s="1227">
        <v>0.3</v>
      </c>
      <c r="D381" s="1227">
        <v>6.6477272727272739E-3</v>
      </c>
      <c r="E381" s="1227">
        <f t="shared" si="29"/>
        <v>0.45786864931846344</v>
      </c>
      <c r="F381" s="1227">
        <f t="shared" si="25"/>
        <v>-0.10580471137737471</v>
      </c>
      <c r="G381" s="1227">
        <f t="shared" si="26"/>
        <v>3.4011973816621555</v>
      </c>
      <c r="H381" s="1227">
        <f t="shared" si="27"/>
        <v>-1.2039728043259361</v>
      </c>
      <c r="I381" s="1227">
        <f t="shared" si="28"/>
        <v>-5.0134802462284869</v>
      </c>
      <c r="J381" s="27"/>
    </row>
    <row r="382" spans="1:10">
      <c r="A382" s="27">
        <v>371</v>
      </c>
      <c r="B382" s="1227">
        <v>30</v>
      </c>
      <c r="C382" s="1227">
        <v>0.31</v>
      </c>
      <c r="D382" s="1227">
        <v>6.8181818181818179E-3</v>
      </c>
      <c r="E382" s="1227">
        <f t="shared" si="29"/>
        <v>0.45910780669144979</v>
      </c>
      <c r="F382" s="1227">
        <f t="shared" si="25"/>
        <v>-0.10268168080444878</v>
      </c>
      <c r="G382" s="1227">
        <f t="shared" si="26"/>
        <v>3.4011973816621555</v>
      </c>
      <c r="H382" s="1227">
        <f t="shared" si="27"/>
        <v>-1.1711829815029451</v>
      </c>
      <c r="I382" s="1227">
        <f t="shared" si="28"/>
        <v>-4.9881624382441974</v>
      </c>
      <c r="J382" s="27"/>
    </row>
    <row r="383" spans="1:10">
      <c r="A383" s="27">
        <v>372</v>
      </c>
      <c r="B383" s="1227">
        <v>30</v>
      </c>
      <c r="C383" s="1227">
        <v>0.31</v>
      </c>
      <c r="D383" s="1227">
        <v>6.9602272727272724E-3</v>
      </c>
      <c r="E383" s="1227">
        <f t="shared" si="29"/>
        <v>0.4603469640644362</v>
      </c>
      <c r="F383" s="1227">
        <f t="shared" si="25"/>
        <v>-9.9559651400205743E-2</v>
      </c>
      <c r="G383" s="1227">
        <f t="shared" si="26"/>
        <v>3.4011973816621555</v>
      </c>
      <c r="H383" s="1227">
        <f t="shared" si="27"/>
        <v>-1.1711829815029451</v>
      </c>
      <c r="I383" s="1227">
        <f t="shared" si="28"/>
        <v>-4.9675431510414612</v>
      </c>
      <c r="J383" s="27"/>
    </row>
    <row r="384" spans="1:10">
      <c r="A384" s="27">
        <v>373</v>
      </c>
      <c r="B384" s="1227">
        <v>30</v>
      </c>
      <c r="C384" s="1227">
        <v>0.32</v>
      </c>
      <c r="D384" s="1227">
        <v>7.102272727272727E-3</v>
      </c>
      <c r="E384" s="1227">
        <f t="shared" si="29"/>
        <v>0.46158612143742256</v>
      </c>
      <c r="F384" s="1227">
        <f t="shared" si="25"/>
        <v>-9.6438592111447202E-2</v>
      </c>
      <c r="G384" s="1227">
        <f t="shared" si="26"/>
        <v>3.4011973816621555</v>
      </c>
      <c r="H384" s="1227">
        <f t="shared" si="27"/>
        <v>-1.1394342831883648</v>
      </c>
      <c r="I384" s="1227">
        <f t="shared" si="28"/>
        <v>-4.9473404437239417</v>
      </c>
      <c r="J384" s="27"/>
    </row>
    <row r="385" spans="1:10">
      <c r="A385" s="27">
        <v>374</v>
      </c>
      <c r="B385" s="1227">
        <v>30</v>
      </c>
      <c r="C385" s="1227">
        <v>0.32</v>
      </c>
      <c r="D385" s="1227">
        <v>7.102272727272727E-3</v>
      </c>
      <c r="E385" s="1227">
        <f t="shared" si="29"/>
        <v>0.46282527881040891</v>
      </c>
      <c r="F385" s="1227">
        <f t="shared" si="25"/>
        <v>-9.3318471951707754E-2</v>
      </c>
      <c r="G385" s="1227">
        <f t="shared" si="26"/>
        <v>3.4011973816621555</v>
      </c>
      <c r="H385" s="1227">
        <f t="shared" si="27"/>
        <v>-1.1394342831883648</v>
      </c>
      <c r="I385" s="1227">
        <f t="shared" si="28"/>
        <v>-4.9473404437239417</v>
      </c>
      <c r="J385" s="27"/>
    </row>
    <row r="386" spans="1:10">
      <c r="A386" s="27">
        <v>375</v>
      </c>
      <c r="B386" s="1227">
        <v>30</v>
      </c>
      <c r="C386" s="1227">
        <v>0.34</v>
      </c>
      <c r="D386" s="1227">
        <v>7.102272727272727E-3</v>
      </c>
      <c r="E386" s="1227">
        <f t="shared" si="29"/>
        <v>0.46406443618339527</v>
      </c>
      <c r="F386" s="1227">
        <f t="shared" si="25"/>
        <v>-9.0199259999051096E-2</v>
      </c>
      <c r="G386" s="1227">
        <f t="shared" si="26"/>
        <v>3.4011973816621555</v>
      </c>
      <c r="H386" s="1227">
        <f t="shared" si="27"/>
        <v>-1.0788096613719298</v>
      </c>
      <c r="I386" s="1227">
        <f t="shared" si="28"/>
        <v>-4.9473404437239417</v>
      </c>
      <c r="J386" s="27"/>
    </row>
    <row r="387" spans="1:10">
      <c r="A387" s="27">
        <v>376</v>
      </c>
      <c r="B387" s="1227">
        <v>30</v>
      </c>
      <c r="C387" s="1227">
        <v>0.35</v>
      </c>
      <c r="D387" s="1227">
        <v>7.102272727272727E-3</v>
      </c>
      <c r="E387" s="1227">
        <f t="shared" si="29"/>
        <v>0.46530359355638168</v>
      </c>
      <c r="F387" s="1227">
        <f t="shared" si="25"/>
        <v>-8.7080925393876574E-2</v>
      </c>
      <c r="G387" s="1227">
        <f t="shared" si="26"/>
        <v>3.4011973816621555</v>
      </c>
      <c r="H387" s="1227">
        <f t="shared" si="27"/>
        <v>-1.0498221244986778</v>
      </c>
      <c r="I387" s="1227">
        <f t="shared" si="28"/>
        <v>-4.9473404437239417</v>
      </c>
      <c r="J387" s="27"/>
    </row>
    <row r="388" spans="1:10">
      <c r="A388" s="27">
        <v>377</v>
      </c>
      <c r="B388" s="1227">
        <v>30</v>
      </c>
      <c r="C388" s="1227">
        <v>0.36</v>
      </c>
      <c r="D388" s="1227">
        <v>7.102272727272727E-3</v>
      </c>
      <c r="E388" s="1227">
        <f t="shared" si="29"/>
        <v>0.46654275092936803</v>
      </c>
      <c r="F388" s="1227">
        <f t="shared" si="25"/>
        <v>-8.3963437336737987E-2</v>
      </c>
      <c r="G388" s="1227">
        <f t="shared" si="26"/>
        <v>3.4011973816621555</v>
      </c>
      <c r="H388" s="1227">
        <f t="shared" si="27"/>
        <v>-1.0216512475319814</v>
      </c>
      <c r="I388" s="1227">
        <f t="shared" si="28"/>
        <v>-4.9473404437239417</v>
      </c>
      <c r="J388" s="27"/>
    </row>
    <row r="389" spans="1:10">
      <c r="A389" s="27">
        <v>378</v>
      </c>
      <c r="B389" s="1227">
        <v>30</v>
      </c>
      <c r="C389" s="1227">
        <v>0.36</v>
      </c>
      <c r="D389" s="1227">
        <v>7.102272727272727E-3</v>
      </c>
      <c r="E389" s="1227">
        <f t="shared" si="29"/>
        <v>0.46778190830235439</v>
      </c>
      <c r="F389" s="1227">
        <f t="shared" si="25"/>
        <v>-8.0846765086171571E-2</v>
      </c>
      <c r="G389" s="1227">
        <f t="shared" si="26"/>
        <v>3.4011973816621555</v>
      </c>
      <c r="H389" s="1227">
        <f t="shared" si="27"/>
        <v>-1.0216512475319814</v>
      </c>
      <c r="I389" s="1227">
        <f t="shared" si="28"/>
        <v>-4.9473404437239417</v>
      </c>
      <c r="J389" s="27"/>
    </row>
    <row r="390" spans="1:10">
      <c r="A390" s="27">
        <v>379</v>
      </c>
      <c r="B390" s="1227">
        <v>30</v>
      </c>
      <c r="C390" s="1227">
        <v>0.38</v>
      </c>
      <c r="D390" s="1227">
        <v>7.102272727272727E-3</v>
      </c>
      <c r="E390" s="1227">
        <f t="shared" si="29"/>
        <v>0.46902106567534074</v>
      </c>
      <c r="F390" s="1227">
        <f t="shared" si="25"/>
        <v>-7.7730877956535868E-2</v>
      </c>
      <c r="G390" s="1227">
        <f t="shared" si="26"/>
        <v>3.4011973816621555</v>
      </c>
      <c r="H390" s="1227">
        <f t="shared" si="27"/>
        <v>-0.96758402626170559</v>
      </c>
      <c r="I390" s="1227">
        <f t="shared" si="28"/>
        <v>-4.9473404437239417</v>
      </c>
      <c r="J390" s="27"/>
    </row>
    <row r="391" spans="1:10">
      <c r="A391" s="27">
        <v>380</v>
      </c>
      <c r="B391" s="1227">
        <v>30</v>
      </c>
      <c r="C391" s="1227">
        <v>0.38</v>
      </c>
      <c r="D391" s="1227">
        <v>7.102272727272727E-3</v>
      </c>
      <c r="E391" s="1227">
        <f t="shared" si="29"/>
        <v>0.47026022304832715</v>
      </c>
      <c r="F391" s="1227">
        <f t="shared" si="25"/>
        <v>-7.4615745315860654E-2</v>
      </c>
      <c r="G391" s="1227">
        <f t="shared" si="26"/>
        <v>3.4011973816621555</v>
      </c>
      <c r="H391" s="1227">
        <f t="shared" si="27"/>
        <v>-0.96758402626170559</v>
      </c>
      <c r="I391" s="1227">
        <f t="shared" si="28"/>
        <v>-4.9473404437239417</v>
      </c>
      <c r="J391" s="27"/>
    </row>
    <row r="392" spans="1:10">
      <c r="A392" s="27">
        <v>381</v>
      </c>
      <c r="B392" s="1227">
        <v>30</v>
      </c>
      <c r="C392" s="1227">
        <v>0.4</v>
      </c>
      <c r="D392" s="1227">
        <v>7.102272727272727E-3</v>
      </c>
      <c r="E392" s="1227">
        <f t="shared" si="29"/>
        <v>0.47149938042131351</v>
      </c>
      <c r="F392" s="1227">
        <f t="shared" si="25"/>
        <v>-7.1501336583706318E-2</v>
      </c>
      <c r="G392" s="1227">
        <f t="shared" si="26"/>
        <v>3.4011973816621555</v>
      </c>
      <c r="H392" s="1227">
        <f t="shared" si="27"/>
        <v>-0.916290731874155</v>
      </c>
      <c r="I392" s="1227">
        <f t="shared" si="28"/>
        <v>-4.9473404437239417</v>
      </c>
      <c r="J392" s="27"/>
    </row>
    <row r="393" spans="1:10">
      <c r="A393" s="27">
        <v>382</v>
      </c>
      <c r="B393" s="1227">
        <v>30</v>
      </c>
      <c r="C393" s="1227">
        <v>0.4</v>
      </c>
      <c r="D393" s="1227">
        <v>7.102272727272727E-3</v>
      </c>
      <c r="E393" s="1227">
        <f t="shared" si="29"/>
        <v>0.47273853779429986</v>
      </c>
      <c r="F393" s="1227">
        <f t="shared" si="25"/>
        <v>-6.8387621229030929E-2</v>
      </c>
      <c r="G393" s="1227">
        <f t="shared" si="26"/>
        <v>3.4011973816621555</v>
      </c>
      <c r="H393" s="1227">
        <f t="shared" si="27"/>
        <v>-0.916290731874155</v>
      </c>
      <c r="I393" s="1227">
        <f t="shared" si="28"/>
        <v>-4.9473404437239417</v>
      </c>
      <c r="J393" s="27"/>
    </row>
    <row r="394" spans="1:10">
      <c r="A394" s="27">
        <v>383</v>
      </c>
      <c r="B394" s="1227">
        <v>30</v>
      </c>
      <c r="C394" s="1227">
        <v>0.4</v>
      </c>
      <c r="D394" s="1227">
        <v>7.102272727272727E-3</v>
      </c>
      <c r="E394" s="1227">
        <f t="shared" si="29"/>
        <v>0.47397769516728627</v>
      </c>
      <c r="F394" s="1227">
        <f t="shared" si="25"/>
        <v>-6.527456876806742E-2</v>
      </c>
      <c r="G394" s="1227">
        <f t="shared" si="26"/>
        <v>3.4011973816621555</v>
      </c>
      <c r="H394" s="1227">
        <f t="shared" si="27"/>
        <v>-0.916290731874155</v>
      </c>
      <c r="I394" s="1227">
        <f t="shared" si="28"/>
        <v>-4.9473404437239417</v>
      </c>
      <c r="J394" s="27"/>
    </row>
    <row r="395" spans="1:10">
      <c r="A395" s="27">
        <v>384</v>
      </c>
      <c r="B395" s="1227">
        <v>30</v>
      </c>
      <c r="C395" s="1227">
        <v>0.4</v>
      </c>
      <c r="D395" s="1227">
        <v>7.3863636363636362E-3</v>
      </c>
      <c r="E395" s="1227">
        <f t="shared" si="29"/>
        <v>0.47521685254027263</v>
      </c>
      <c r="F395" s="1227">
        <f t="shared" si="25"/>
        <v>-6.2162148762209143E-2</v>
      </c>
      <c r="G395" s="1227">
        <f t="shared" si="26"/>
        <v>3.4011973816621555</v>
      </c>
      <c r="H395" s="1227">
        <f t="shared" si="27"/>
        <v>-0.916290731874155</v>
      </c>
      <c r="I395" s="1227">
        <f t="shared" si="28"/>
        <v>-4.908119730570661</v>
      </c>
      <c r="J395" s="27"/>
    </row>
    <row r="396" spans="1:10">
      <c r="A396" s="27">
        <v>385</v>
      </c>
      <c r="B396" s="1227">
        <v>30</v>
      </c>
      <c r="C396" s="1227">
        <v>0.4</v>
      </c>
      <c r="D396" s="1227">
        <v>7.3863636363636362E-3</v>
      </c>
      <c r="E396" s="1227">
        <f t="shared" si="29"/>
        <v>0.47645600991325898</v>
      </c>
      <c r="F396" s="1227">
        <f t="shared" ref="F396:F459" si="30">NORMSINV(E396)</f>
        <v>-5.9050330815902101E-2</v>
      </c>
      <c r="G396" s="1227">
        <f t="shared" ref="G396:G459" si="31">LN(B396)</f>
        <v>3.4011973816621555</v>
      </c>
      <c r="H396" s="1227">
        <f t="shared" ref="H396:H459" si="32">LN(C396)</f>
        <v>-0.916290731874155</v>
      </c>
      <c r="I396" s="1227">
        <f t="shared" ref="I396:I459" si="33">LN(D396)</f>
        <v>-4.908119730570661</v>
      </c>
      <c r="J396" s="27"/>
    </row>
    <row r="397" spans="1:10">
      <c r="A397" s="27">
        <v>386</v>
      </c>
      <c r="B397" s="1227">
        <v>30</v>
      </c>
      <c r="C397" s="1227">
        <v>0.4</v>
      </c>
      <c r="D397" s="1227">
        <v>7.3863636363636362E-3</v>
      </c>
      <c r="E397" s="1227">
        <f t="shared" ref="E397:E460" si="34">(A397-0.5)/807</f>
        <v>0.47769516728624534</v>
      </c>
      <c r="F397" s="1227">
        <f t="shared" si="30"/>
        <v>-5.5939084574546334E-2</v>
      </c>
      <c r="G397" s="1227">
        <f t="shared" si="31"/>
        <v>3.4011973816621555</v>
      </c>
      <c r="H397" s="1227">
        <f t="shared" si="32"/>
        <v>-0.916290731874155</v>
      </c>
      <c r="I397" s="1227">
        <f t="shared" si="33"/>
        <v>-4.908119730570661</v>
      </c>
      <c r="J397" s="27"/>
    </row>
    <row r="398" spans="1:10">
      <c r="A398" s="27">
        <v>387</v>
      </c>
      <c r="B398" s="1227">
        <v>30</v>
      </c>
      <c r="C398" s="1227">
        <v>0.43</v>
      </c>
      <c r="D398" s="1227">
        <v>7.3863636363636362E-3</v>
      </c>
      <c r="E398" s="1227">
        <f t="shared" si="34"/>
        <v>0.47893432465923175</v>
      </c>
      <c r="F398" s="1227">
        <f t="shared" si="30"/>
        <v>-5.2828379722403541E-2</v>
      </c>
      <c r="G398" s="1227">
        <f t="shared" si="31"/>
        <v>3.4011973816621555</v>
      </c>
      <c r="H398" s="1227">
        <f t="shared" si="32"/>
        <v>-0.84397007029452897</v>
      </c>
      <c r="I398" s="1227">
        <f t="shared" si="33"/>
        <v>-4.908119730570661</v>
      </c>
      <c r="J398" s="27"/>
    </row>
    <row r="399" spans="1:10">
      <c r="A399" s="27">
        <v>388</v>
      </c>
      <c r="B399" s="1227">
        <v>30</v>
      </c>
      <c r="C399" s="1227">
        <v>0.44</v>
      </c>
      <c r="D399" s="1228">
        <v>7.3863636363636362E-3</v>
      </c>
      <c r="E399" s="1227">
        <f t="shared" si="34"/>
        <v>0.4801734820322181</v>
      </c>
      <c r="F399" s="1227">
        <f t="shared" si="30"/>
        <v>-4.9718185980512669E-2</v>
      </c>
      <c r="G399" s="1227">
        <f t="shared" si="31"/>
        <v>3.4011973816621555</v>
      </c>
      <c r="H399" s="1227">
        <f t="shared" si="32"/>
        <v>-0.82098055206983023</v>
      </c>
      <c r="I399" s="1227">
        <f t="shared" si="33"/>
        <v>-4.908119730570661</v>
      </c>
      <c r="J399" s="27"/>
    </row>
    <row r="400" spans="1:10">
      <c r="A400" s="27">
        <v>389</v>
      </c>
      <c r="B400" s="1227">
        <v>30</v>
      </c>
      <c r="C400" s="1227">
        <v>0.44</v>
      </c>
      <c r="D400" s="1227">
        <v>7.4999999999999997E-3</v>
      </c>
      <c r="E400" s="1227">
        <f t="shared" si="34"/>
        <v>0.48141263940520446</v>
      </c>
      <c r="F400" s="1227">
        <f t="shared" si="30"/>
        <v>-4.6608473104610221E-2</v>
      </c>
      <c r="G400" s="1227">
        <f t="shared" si="31"/>
        <v>3.4011973816621555</v>
      </c>
      <c r="H400" s="1227">
        <f t="shared" si="32"/>
        <v>-0.82098055206983023</v>
      </c>
      <c r="I400" s="1227">
        <f t="shared" si="33"/>
        <v>-4.8928522584398726</v>
      </c>
      <c r="J400" s="27"/>
    </row>
    <row r="401" spans="1:10">
      <c r="A401" s="27">
        <v>390</v>
      </c>
      <c r="B401" s="1227">
        <v>30</v>
      </c>
      <c r="C401" s="1227">
        <v>0.47</v>
      </c>
      <c r="D401" s="1227">
        <v>7.5284090909090908E-3</v>
      </c>
      <c r="E401" s="1227">
        <f t="shared" si="34"/>
        <v>0.48265179677819081</v>
      </c>
      <c r="F401" s="1227">
        <f t="shared" si="30"/>
        <v>-4.3499210883058456E-2</v>
      </c>
      <c r="G401" s="1227">
        <f t="shared" si="31"/>
        <v>3.4011973816621555</v>
      </c>
      <c r="H401" s="1227">
        <f t="shared" si="32"/>
        <v>-0.75502258427803282</v>
      </c>
      <c r="I401" s="1227">
        <f t="shared" si="33"/>
        <v>-4.8890715355999665</v>
      </c>
      <c r="J401" s="27"/>
    </row>
    <row r="402" spans="1:10">
      <c r="A402" s="27">
        <v>391</v>
      </c>
      <c r="B402" s="1227">
        <v>30</v>
      </c>
      <c r="C402" s="1227">
        <v>0.49</v>
      </c>
      <c r="D402" s="1227">
        <v>7.7272727272727276E-3</v>
      </c>
      <c r="E402" s="1227">
        <f t="shared" si="34"/>
        <v>0.48389095415117722</v>
      </c>
      <c r="F402" s="1227">
        <f t="shared" si="30"/>
        <v>-4.039036913477824E-2</v>
      </c>
      <c r="G402" s="1227">
        <f t="shared" si="31"/>
        <v>3.4011973816621555</v>
      </c>
      <c r="H402" s="1227">
        <f t="shared" si="32"/>
        <v>-0.71334988787746478</v>
      </c>
      <c r="I402" s="1227">
        <f t="shared" si="33"/>
        <v>-4.8629992952901908</v>
      </c>
      <c r="J402" s="27"/>
    </row>
    <row r="403" spans="1:10">
      <c r="A403" s="27">
        <v>392</v>
      </c>
      <c r="B403" s="1227">
        <v>30</v>
      </c>
      <c r="C403" s="1227">
        <v>0.5</v>
      </c>
      <c r="D403" s="1227">
        <v>7.8125E-3</v>
      </c>
      <c r="E403" s="1227">
        <f t="shared" si="34"/>
        <v>0.48513011152416358</v>
      </c>
      <c r="F403" s="1227">
        <f t="shared" si="30"/>
        <v>-3.7281917707188278E-2</v>
      </c>
      <c r="G403" s="1227">
        <f t="shared" si="31"/>
        <v>3.4011973816621555</v>
      </c>
      <c r="H403" s="1227">
        <f t="shared" si="32"/>
        <v>-0.69314718055994529</v>
      </c>
      <c r="I403" s="1227">
        <f t="shared" si="33"/>
        <v>-4.8520302639196169</v>
      </c>
      <c r="J403" s="27"/>
    </row>
    <row r="404" spans="1:10">
      <c r="A404" s="27">
        <v>393</v>
      </c>
      <c r="B404" s="1227">
        <v>30</v>
      </c>
      <c r="C404" s="1227">
        <v>0.5</v>
      </c>
      <c r="D404" s="1227">
        <v>7.8125E-3</v>
      </c>
      <c r="E404" s="1227">
        <f t="shared" si="34"/>
        <v>0.48636926889714993</v>
      </c>
      <c r="F404" s="1227">
        <f t="shared" si="30"/>
        <v>-3.4173826474147871E-2</v>
      </c>
      <c r="G404" s="1227">
        <f t="shared" si="31"/>
        <v>3.4011973816621555</v>
      </c>
      <c r="H404" s="1227">
        <f t="shared" si="32"/>
        <v>-0.69314718055994529</v>
      </c>
      <c r="I404" s="1227">
        <f t="shared" si="33"/>
        <v>-4.8520302639196169</v>
      </c>
      <c r="J404" s="27"/>
    </row>
    <row r="405" spans="1:10">
      <c r="A405" s="27">
        <v>394</v>
      </c>
      <c r="B405" s="1227">
        <v>30</v>
      </c>
      <c r="C405" s="1227">
        <v>0.5</v>
      </c>
      <c r="D405" s="1227">
        <v>7.9545454545454555E-3</v>
      </c>
      <c r="E405" s="1227">
        <f t="shared" si="34"/>
        <v>0.48760842627013629</v>
      </c>
      <c r="F405" s="1227">
        <f t="shared" si="30"/>
        <v>-3.1066065333905688E-2</v>
      </c>
      <c r="G405" s="1227">
        <f t="shared" si="31"/>
        <v>3.4011973816621555</v>
      </c>
      <c r="H405" s="1227">
        <f t="shared" si="32"/>
        <v>-0.69314718055994529</v>
      </c>
      <c r="I405" s="1227">
        <f t="shared" si="33"/>
        <v>-4.8340117584169384</v>
      </c>
      <c r="J405" s="27"/>
    </row>
    <row r="406" spans="1:10">
      <c r="A406" s="27">
        <v>395</v>
      </c>
      <c r="B406" s="1227">
        <v>30</v>
      </c>
      <c r="C406" s="1227">
        <v>0.5</v>
      </c>
      <c r="D406" s="1227">
        <v>8.0113636363636359E-3</v>
      </c>
      <c r="E406" s="1227">
        <f t="shared" si="34"/>
        <v>0.4888475836431227</v>
      </c>
      <c r="F406" s="1227">
        <f t="shared" si="30"/>
        <v>-2.7958604207052151E-2</v>
      </c>
      <c r="G406" s="1227">
        <f t="shared" si="31"/>
        <v>3.4011973816621555</v>
      </c>
      <c r="H406" s="1227">
        <f t="shared" si="32"/>
        <v>-0.69314718055994529</v>
      </c>
      <c r="I406" s="1227">
        <f t="shared" si="33"/>
        <v>-4.8268942906480747</v>
      </c>
      <c r="J406" s="27"/>
    </row>
    <row r="407" spans="1:10">
      <c r="A407" s="27">
        <v>396</v>
      </c>
      <c r="B407" s="1227">
        <v>30</v>
      </c>
      <c r="C407" s="1227">
        <v>0.5</v>
      </c>
      <c r="D407" s="1227">
        <v>8.2386363636363629E-3</v>
      </c>
      <c r="E407" s="1227">
        <f t="shared" si="34"/>
        <v>0.49008674101610905</v>
      </c>
      <c r="F407" s="1227">
        <f t="shared" si="30"/>
        <v>-2.4851413034476393E-2</v>
      </c>
      <c r="G407" s="1227">
        <f t="shared" si="31"/>
        <v>3.4011973816621555</v>
      </c>
      <c r="H407" s="1227">
        <f t="shared" si="32"/>
        <v>-0.69314718055994529</v>
      </c>
      <c r="I407" s="1227">
        <f t="shared" si="33"/>
        <v>-4.798920438605669</v>
      </c>
      <c r="J407" s="27"/>
    </row>
    <row r="408" spans="1:10">
      <c r="A408" s="27">
        <v>397</v>
      </c>
      <c r="B408" s="1227">
        <v>30</v>
      </c>
      <c r="C408" s="1227">
        <v>0.5</v>
      </c>
      <c r="D408" s="1227">
        <v>8.3806818181818166E-3</v>
      </c>
      <c r="E408" s="1227">
        <f t="shared" si="34"/>
        <v>0.49132589838909541</v>
      </c>
      <c r="F408" s="1227">
        <f t="shared" si="30"/>
        <v>-2.1744461775325484E-2</v>
      </c>
      <c r="G408" s="1227">
        <f t="shared" si="31"/>
        <v>3.4011973816621555</v>
      </c>
      <c r="H408" s="1227">
        <f t="shared" si="32"/>
        <v>-0.69314718055994529</v>
      </c>
      <c r="I408" s="1227">
        <f t="shared" si="33"/>
        <v>-4.7818260052463692</v>
      </c>
      <c r="J408" s="27"/>
    </row>
    <row r="409" spans="1:10">
      <c r="A409" s="27">
        <v>398</v>
      </c>
      <c r="B409" s="1227">
        <v>30</v>
      </c>
      <c r="C409" s="1227">
        <v>0.5</v>
      </c>
      <c r="D409" s="1227">
        <v>8.5227272727272721E-3</v>
      </c>
      <c r="E409" s="1227">
        <f t="shared" si="34"/>
        <v>0.49256505576208176</v>
      </c>
      <c r="F409" s="1227">
        <f t="shared" si="30"/>
        <v>-1.8637720404968229E-2</v>
      </c>
      <c r="G409" s="1227">
        <f t="shared" si="31"/>
        <v>3.4011973816621555</v>
      </c>
      <c r="H409" s="1227">
        <f t="shared" si="32"/>
        <v>-0.69314718055994529</v>
      </c>
      <c r="I409" s="1227">
        <f t="shared" si="33"/>
        <v>-4.7650188869299877</v>
      </c>
      <c r="J409" s="27"/>
    </row>
    <row r="410" spans="1:10">
      <c r="A410" s="27">
        <v>399</v>
      </c>
      <c r="B410" s="1227">
        <v>30</v>
      </c>
      <c r="C410" s="1227">
        <v>0.5</v>
      </c>
      <c r="D410" s="1227">
        <v>8.5227272727272721E-3</v>
      </c>
      <c r="E410" s="1227">
        <f t="shared" si="34"/>
        <v>0.49380421313506817</v>
      </c>
      <c r="F410" s="1227">
        <f t="shared" si="30"/>
        <v>-1.5531158912960993E-2</v>
      </c>
      <c r="G410" s="1227">
        <f t="shared" si="31"/>
        <v>3.4011973816621555</v>
      </c>
      <c r="H410" s="1227">
        <f t="shared" si="32"/>
        <v>-0.69314718055994529</v>
      </c>
      <c r="I410" s="1227">
        <f t="shared" si="33"/>
        <v>-4.7650188869299877</v>
      </c>
      <c r="J410" s="27"/>
    </row>
    <row r="411" spans="1:10">
      <c r="A411" s="27">
        <v>400</v>
      </c>
      <c r="B411" s="1227">
        <v>33</v>
      </c>
      <c r="C411" s="1227">
        <v>0.5</v>
      </c>
      <c r="D411" s="1227">
        <v>8.5227272727272721E-3</v>
      </c>
      <c r="E411" s="1227">
        <f t="shared" si="34"/>
        <v>0.49504337050805453</v>
      </c>
      <c r="F411" s="1227">
        <f t="shared" si="30"/>
        <v>-1.2424747301016821E-2</v>
      </c>
      <c r="G411" s="1227">
        <f t="shared" si="31"/>
        <v>3.4965075614664802</v>
      </c>
      <c r="H411" s="1227">
        <f t="shared" si="32"/>
        <v>-0.69314718055994529</v>
      </c>
      <c r="I411" s="1227">
        <f t="shared" si="33"/>
        <v>-4.7650188869299877</v>
      </c>
      <c r="J411" s="27"/>
    </row>
    <row r="412" spans="1:10">
      <c r="A412" s="27">
        <v>401</v>
      </c>
      <c r="B412" s="1227">
        <v>33</v>
      </c>
      <c r="C412" s="1227">
        <v>0.5</v>
      </c>
      <c r="D412" s="1227">
        <v>8.5227272727272721E-3</v>
      </c>
      <c r="E412" s="1227">
        <f t="shared" si="34"/>
        <v>0.49628252788104088</v>
      </c>
      <c r="F412" s="1227">
        <f t="shared" si="30"/>
        <v>-9.3184555809752972E-3</v>
      </c>
      <c r="G412" s="1227">
        <f t="shared" si="31"/>
        <v>3.4965075614664802</v>
      </c>
      <c r="H412" s="1227">
        <f t="shared" si="32"/>
        <v>-0.69314718055994529</v>
      </c>
      <c r="I412" s="1227">
        <f t="shared" si="33"/>
        <v>-4.7650188869299877</v>
      </c>
      <c r="J412" s="27"/>
    </row>
    <row r="413" spans="1:10">
      <c r="A413" s="27">
        <v>402</v>
      </c>
      <c r="B413" s="1227">
        <v>33</v>
      </c>
      <c r="C413" s="1227">
        <v>0.5</v>
      </c>
      <c r="D413" s="1227">
        <v>8.5227272727272721E-3</v>
      </c>
      <c r="E413" s="1227">
        <f t="shared" si="34"/>
        <v>0.49752168525402723</v>
      </c>
      <c r="F413" s="1227">
        <f t="shared" si="30"/>
        <v>-6.2122537727756083E-3</v>
      </c>
      <c r="G413" s="1227">
        <f t="shared" si="31"/>
        <v>3.4965075614664802</v>
      </c>
      <c r="H413" s="1227">
        <f t="shared" si="32"/>
        <v>-0.69314718055994529</v>
      </c>
      <c r="I413" s="1227">
        <f t="shared" si="33"/>
        <v>-4.7650188869299877</v>
      </c>
      <c r="J413" s="27"/>
    </row>
    <row r="414" spans="1:10">
      <c r="A414" s="27">
        <v>403</v>
      </c>
      <c r="B414" s="1227">
        <v>33</v>
      </c>
      <c r="C414" s="1227">
        <v>0.5</v>
      </c>
      <c r="D414" s="1227">
        <v>8.5227272727272721E-3</v>
      </c>
      <c r="E414" s="1227">
        <f t="shared" si="34"/>
        <v>0.49876084262701365</v>
      </c>
      <c r="F414" s="1227">
        <f t="shared" si="30"/>
        <v>-3.1061119024301388E-3</v>
      </c>
      <c r="G414" s="1227">
        <f t="shared" si="31"/>
        <v>3.4965075614664802</v>
      </c>
      <c r="H414" s="1227">
        <f t="shared" si="32"/>
        <v>-0.69314718055994529</v>
      </c>
      <c r="I414" s="1227">
        <f t="shared" si="33"/>
        <v>-4.7650188869299877</v>
      </c>
      <c r="J414" s="27"/>
    </row>
    <row r="415" spans="1:10">
      <c r="A415" s="27">
        <v>404</v>
      </c>
      <c r="B415" s="1227">
        <v>33</v>
      </c>
      <c r="C415" s="1227">
        <v>0.5</v>
      </c>
      <c r="D415" s="1227">
        <v>8.5227272727272721E-3</v>
      </c>
      <c r="E415" s="1227">
        <f t="shared" si="34"/>
        <v>0.5</v>
      </c>
      <c r="F415" s="1227">
        <f t="shared" si="30"/>
        <v>0</v>
      </c>
      <c r="G415" s="1227">
        <f t="shared" si="31"/>
        <v>3.4965075614664802</v>
      </c>
      <c r="H415" s="1227">
        <f t="shared" si="32"/>
        <v>-0.69314718055994529</v>
      </c>
      <c r="I415" s="1227">
        <f t="shared" si="33"/>
        <v>-4.7650188869299877</v>
      </c>
      <c r="J415" s="27"/>
    </row>
    <row r="416" spans="1:10">
      <c r="A416" s="27">
        <v>405</v>
      </c>
      <c r="B416" s="1227">
        <v>33</v>
      </c>
      <c r="C416" s="1227">
        <v>0.5</v>
      </c>
      <c r="D416" s="1227">
        <v>8.5227272727272721E-3</v>
      </c>
      <c r="E416" s="1227">
        <f t="shared" si="34"/>
        <v>0.50123915737298641</v>
      </c>
      <c r="F416" s="1227">
        <f t="shared" si="30"/>
        <v>3.1061119024302771E-3</v>
      </c>
      <c r="G416" s="1227">
        <f t="shared" si="31"/>
        <v>3.4965075614664802</v>
      </c>
      <c r="H416" s="1227">
        <f t="shared" si="32"/>
        <v>-0.69314718055994529</v>
      </c>
      <c r="I416" s="1227">
        <f t="shared" si="33"/>
        <v>-4.7650188869299877</v>
      </c>
      <c r="J416" s="27"/>
    </row>
    <row r="417" spans="1:10">
      <c r="A417" s="27">
        <v>406</v>
      </c>
      <c r="B417" s="1227">
        <v>33</v>
      </c>
      <c r="C417" s="1227">
        <v>0.5</v>
      </c>
      <c r="D417" s="1227">
        <v>8.5227272727272721E-3</v>
      </c>
      <c r="E417" s="1227">
        <f t="shared" si="34"/>
        <v>0.50247831474597271</v>
      </c>
      <c r="F417" s="1227">
        <f t="shared" si="30"/>
        <v>6.2122537727754678E-3</v>
      </c>
      <c r="G417" s="1227">
        <f t="shared" si="31"/>
        <v>3.4965075614664802</v>
      </c>
      <c r="H417" s="1227">
        <f t="shared" si="32"/>
        <v>-0.69314718055994529</v>
      </c>
      <c r="I417" s="1227">
        <f t="shared" si="33"/>
        <v>-4.7650188869299877</v>
      </c>
      <c r="J417" s="27"/>
    </row>
    <row r="418" spans="1:10">
      <c r="A418" s="27">
        <v>407</v>
      </c>
      <c r="B418" s="1227">
        <v>33</v>
      </c>
      <c r="C418" s="1227">
        <v>0.5</v>
      </c>
      <c r="D418" s="1227">
        <v>8.5227272727272721E-3</v>
      </c>
      <c r="E418" s="1227">
        <f t="shared" si="34"/>
        <v>0.50371747211895912</v>
      </c>
      <c r="F418" s="1227">
        <f t="shared" si="30"/>
        <v>9.3184555809752972E-3</v>
      </c>
      <c r="G418" s="1227">
        <f t="shared" si="31"/>
        <v>3.4965075614664802</v>
      </c>
      <c r="H418" s="1227">
        <f t="shared" si="32"/>
        <v>-0.69314718055994529</v>
      </c>
      <c r="I418" s="1227">
        <f t="shared" si="33"/>
        <v>-4.7650188869299877</v>
      </c>
      <c r="J418" s="27"/>
    </row>
    <row r="419" spans="1:10">
      <c r="A419" s="27">
        <v>408</v>
      </c>
      <c r="B419" s="1227">
        <v>33</v>
      </c>
      <c r="C419" s="1227">
        <v>0.5</v>
      </c>
      <c r="D419" s="1227">
        <v>8.5227272727272721E-3</v>
      </c>
      <c r="E419" s="1227">
        <f t="shared" si="34"/>
        <v>0.50495662949194553</v>
      </c>
      <c r="F419" s="1227">
        <f t="shared" si="30"/>
        <v>1.2424747301016958E-2</v>
      </c>
      <c r="G419" s="1227">
        <f t="shared" si="31"/>
        <v>3.4965075614664802</v>
      </c>
      <c r="H419" s="1227">
        <f t="shared" si="32"/>
        <v>-0.69314718055994529</v>
      </c>
      <c r="I419" s="1227">
        <f t="shared" si="33"/>
        <v>-4.7650188869299877</v>
      </c>
      <c r="J419" s="27"/>
    </row>
    <row r="420" spans="1:10">
      <c r="A420" s="27">
        <v>409</v>
      </c>
      <c r="B420" s="1227">
        <v>33</v>
      </c>
      <c r="C420" s="1227">
        <v>0.5</v>
      </c>
      <c r="D420" s="1227">
        <v>8.5227272727272721E-3</v>
      </c>
      <c r="E420" s="1227">
        <f t="shared" si="34"/>
        <v>0.50619578686493183</v>
      </c>
      <c r="F420" s="1227">
        <f t="shared" si="30"/>
        <v>1.5531158912960993E-2</v>
      </c>
      <c r="G420" s="1227">
        <f t="shared" si="31"/>
        <v>3.4965075614664802</v>
      </c>
      <c r="H420" s="1227">
        <f t="shared" si="32"/>
        <v>-0.69314718055994529</v>
      </c>
      <c r="I420" s="1227">
        <f t="shared" si="33"/>
        <v>-4.7650188869299877</v>
      </c>
      <c r="J420" s="27"/>
    </row>
    <row r="421" spans="1:10">
      <c r="A421" s="27">
        <v>410</v>
      </c>
      <c r="B421" s="1227">
        <v>33</v>
      </c>
      <c r="C421" s="1227">
        <v>0.5</v>
      </c>
      <c r="D421" s="1227">
        <v>8.5227272727272721E-3</v>
      </c>
      <c r="E421" s="1227">
        <f t="shared" si="34"/>
        <v>0.50743494423791824</v>
      </c>
      <c r="F421" s="1227">
        <f t="shared" si="30"/>
        <v>1.8637720404968229E-2</v>
      </c>
      <c r="G421" s="1227">
        <f t="shared" si="31"/>
        <v>3.4965075614664802</v>
      </c>
      <c r="H421" s="1227">
        <f t="shared" si="32"/>
        <v>-0.69314718055994529</v>
      </c>
      <c r="I421" s="1227">
        <f t="shared" si="33"/>
        <v>-4.7650188869299877</v>
      </c>
      <c r="J421" s="27"/>
    </row>
    <row r="422" spans="1:10">
      <c r="A422" s="27">
        <v>411</v>
      </c>
      <c r="B422" s="1227">
        <v>33</v>
      </c>
      <c r="C422" s="1227">
        <v>0.5</v>
      </c>
      <c r="D422" s="1227">
        <v>8.5227272727272721E-3</v>
      </c>
      <c r="E422" s="1227">
        <f t="shared" si="34"/>
        <v>0.50867410161090454</v>
      </c>
      <c r="F422" s="1227">
        <f t="shared" si="30"/>
        <v>2.1744461775325342E-2</v>
      </c>
      <c r="G422" s="1227">
        <f t="shared" si="31"/>
        <v>3.4965075614664802</v>
      </c>
      <c r="H422" s="1227">
        <f t="shared" si="32"/>
        <v>-0.69314718055994529</v>
      </c>
      <c r="I422" s="1227">
        <f t="shared" si="33"/>
        <v>-4.7650188869299877</v>
      </c>
      <c r="J422" s="27"/>
    </row>
    <row r="423" spans="1:10">
      <c r="A423" s="27">
        <v>412</v>
      </c>
      <c r="B423" s="1227">
        <v>33</v>
      </c>
      <c r="C423" s="1227">
        <v>0.5</v>
      </c>
      <c r="D423" s="1227">
        <v>8.5227272727272721E-3</v>
      </c>
      <c r="E423" s="1227">
        <f t="shared" si="34"/>
        <v>0.50991325898389095</v>
      </c>
      <c r="F423" s="1227">
        <f t="shared" si="30"/>
        <v>2.4851413034476393E-2</v>
      </c>
      <c r="G423" s="1227">
        <f t="shared" si="31"/>
        <v>3.4965075614664802</v>
      </c>
      <c r="H423" s="1227">
        <f t="shared" si="32"/>
        <v>-0.69314718055994529</v>
      </c>
      <c r="I423" s="1227">
        <f t="shared" si="33"/>
        <v>-4.7650188869299877</v>
      </c>
      <c r="J423" s="27"/>
    </row>
    <row r="424" spans="1:10">
      <c r="A424" s="27">
        <v>413</v>
      </c>
      <c r="B424" s="1227">
        <v>33</v>
      </c>
      <c r="C424" s="1227">
        <v>0.5</v>
      </c>
      <c r="D424" s="1227">
        <v>8.5227272727272721E-3</v>
      </c>
      <c r="E424" s="1227">
        <f t="shared" si="34"/>
        <v>0.51115241635687736</v>
      </c>
      <c r="F424" s="1227">
        <f t="shared" si="30"/>
        <v>2.7958604207052293E-2</v>
      </c>
      <c r="G424" s="1227">
        <f t="shared" si="31"/>
        <v>3.4965075614664802</v>
      </c>
      <c r="H424" s="1227">
        <f t="shared" si="32"/>
        <v>-0.69314718055994529</v>
      </c>
      <c r="I424" s="1227">
        <f t="shared" si="33"/>
        <v>-4.7650188869299877</v>
      </c>
      <c r="J424" s="27"/>
    </row>
    <row r="425" spans="1:10">
      <c r="A425" s="27">
        <v>414</v>
      </c>
      <c r="B425" s="1227">
        <v>33</v>
      </c>
      <c r="C425" s="1227">
        <v>0.5</v>
      </c>
      <c r="D425" s="1229">
        <v>8.5227272727272721E-3</v>
      </c>
      <c r="E425" s="1227">
        <f t="shared" si="34"/>
        <v>0.51239157372986366</v>
      </c>
      <c r="F425" s="1227">
        <f t="shared" si="30"/>
        <v>3.1066065333905553E-2</v>
      </c>
      <c r="G425" s="1227">
        <f t="shared" si="31"/>
        <v>3.4965075614664802</v>
      </c>
      <c r="H425" s="1227">
        <f t="shared" si="32"/>
        <v>-0.69314718055994529</v>
      </c>
      <c r="I425" s="1227">
        <f t="shared" si="33"/>
        <v>-4.7650188869299877</v>
      </c>
      <c r="J425" s="27"/>
    </row>
    <row r="426" spans="1:10">
      <c r="A426" s="27">
        <v>415</v>
      </c>
      <c r="B426" s="1227">
        <v>33</v>
      </c>
      <c r="C426" s="1227">
        <v>0.5</v>
      </c>
      <c r="D426" s="1227">
        <v>8.5227272727272721E-3</v>
      </c>
      <c r="E426" s="1227">
        <f t="shared" si="34"/>
        <v>0.51363073110285007</v>
      </c>
      <c r="F426" s="1227">
        <f t="shared" si="30"/>
        <v>3.4173826474147871E-2</v>
      </c>
      <c r="G426" s="1227">
        <f t="shared" si="31"/>
        <v>3.4965075614664802</v>
      </c>
      <c r="H426" s="1227">
        <f t="shared" si="32"/>
        <v>-0.69314718055994529</v>
      </c>
      <c r="I426" s="1227">
        <f t="shared" si="33"/>
        <v>-4.7650188869299877</v>
      </c>
      <c r="J426" s="27"/>
    </row>
    <row r="427" spans="1:10">
      <c r="A427" s="27">
        <v>416</v>
      </c>
      <c r="B427" s="1227">
        <v>33</v>
      </c>
      <c r="C427" s="1227">
        <v>0.5</v>
      </c>
      <c r="D427" s="1227">
        <v>8.5227272727272721E-3</v>
      </c>
      <c r="E427" s="1227">
        <f t="shared" si="34"/>
        <v>0.51486988847583648</v>
      </c>
      <c r="F427" s="1227">
        <f t="shared" si="30"/>
        <v>3.7281917707188424E-2</v>
      </c>
      <c r="G427" s="1227">
        <f t="shared" si="31"/>
        <v>3.4965075614664802</v>
      </c>
      <c r="H427" s="1227">
        <f t="shared" si="32"/>
        <v>-0.69314718055994529</v>
      </c>
      <c r="I427" s="1227">
        <f t="shared" si="33"/>
        <v>-4.7650188869299877</v>
      </c>
      <c r="J427" s="27"/>
    </row>
    <row r="428" spans="1:10">
      <c r="A428" s="27">
        <v>417</v>
      </c>
      <c r="B428" s="1227">
        <v>33</v>
      </c>
      <c r="C428" s="1227">
        <v>0.5</v>
      </c>
      <c r="D428" s="1227">
        <v>9.0909090909090922E-3</v>
      </c>
      <c r="E428" s="1227">
        <f t="shared" si="34"/>
        <v>0.51610904584882278</v>
      </c>
      <c r="F428" s="1227">
        <f t="shared" si="30"/>
        <v>4.039036913477824E-2</v>
      </c>
      <c r="G428" s="1227">
        <f t="shared" si="31"/>
        <v>3.4965075614664802</v>
      </c>
      <c r="H428" s="1227">
        <f t="shared" si="32"/>
        <v>-0.69314718055994529</v>
      </c>
      <c r="I428" s="1227">
        <f t="shared" si="33"/>
        <v>-4.7004803657924157</v>
      </c>
      <c r="J428" s="27"/>
    </row>
    <row r="429" spans="1:10">
      <c r="A429" s="27">
        <v>418</v>
      </c>
      <c r="B429" s="1227">
        <v>33</v>
      </c>
      <c r="C429" s="1227">
        <v>0.5</v>
      </c>
      <c r="D429" s="1227">
        <v>9.3749999999999997E-3</v>
      </c>
      <c r="E429" s="1227">
        <f t="shared" si="34"/>
        <v>0.51734820322180919</v>
      </c>
      <c r="F429" s="1227">
        <f t="shared" si="30"/>
        <v>4.3499210883058456E-2</v>
      </c>
      <c r="G429" s="1227">
        <f t="shared" si="31"/>
        <v>3.4965075614664802</v>
      </c>
      <c r="H429" s="1227">
        <f t="shared" si="32"/>
        <v>-0.69314718055994529</v>
      </c>
      <c r="I429" s="1227">
        <f t="shared" si="33"/>
        <v>-4.6697087071256629</v>
      </c>
      <c r="J429" s="27"/>
    </row>
    <row r="430" spans="1:10">
      <c r="A430" s="27">
        <v>419</v>
      </c>
      <c r="B430" s="1227">
        <v>33</v>
      </c>
      <c r="C430" s="1227">
        <v>0.5</v>
      </c>
      <c r="D430" s="1227">
        <v>9.3749999999999997E-3</v>
      </c>
      <c r="E430" s="1227">
        <f t="shared" si="34"/>
        <v>0.51858736059479549</v>
      </c>
      <c r="F430" s="1227">
        <f t="shared" si="30"/>
        <v>4.6608473104610082E-2</v>
      </c>
      <c r="G430" s="1227">
        <f t="shared" si="31"/>
        <v>3.4965075614664802</v>
      </c>
      <c r="H430" s="1227">
        <f t="shared" si="32"/>
        <v>-0.69314718055994529</v>
      </c>
      <c r="I430" s="1227">
        <f t="shared" si="33"/>
        <v>-4.6697087071256629</v>
      </c>
      <c r="J430" s="27"/>
    </row>
    <row r="431" spans="1:10">
      <c r="A431" s="27">
        <v>420</v>
      </c>
      <c r="B431" s="1227">
        <v>33</v>
      </c>
      <c r="C431" s="1227">
        <v>0.5</v>
      </c>
      <c r="D431" s="1227">
        <v>9.3749999999999997E-3</v>
      </c>
      <c r="E431" s="1227">
        <f t="shared" si="34"/>
        <v>0.5198265179677819</v>
      </c>
      <c r="F431" s="1227">
        <f t="shared" si="30"/>
        <v>4.9718185980512669E-2</v>
      </c>
      <c r="G431" s="1227">
        <f t="shared" si="31"/>
        <v>3.4965075614664802</v>
      </c>
      <c r="H431" s="1227">
        <f t="shared" si="32"/>
        <v>-0.69314718055994529</v>
      </c>
      <c r="I431" s="1227">
        <f t="shared" si="33"/>
        <v>-4.6697087071256629</v>
      </c>
      <c r="J431" s="27"/>
    </row>
    <row r="432" spans="1:10">
      <c r="A432" s="27">
        <v>421</v>
      </c>
      <c r="B432" s="1227">
        <v>33</v>
      </c>
      <c r="C432" s="1227">
        <v>0.5</v>
      </c>
      <c r="D432" s="1227">
        <v>9.3749999999999997E-3</v>
      </c>
      <c r="E432" s="1227">
        <f t="shared" si="34"/>
        <v>0.52106567534076831</v>
      </c>
      <c r="F432" s="1227">
        <f t="shared" si="30"/>
        <v>5.2828379722403694E-2</v>
      </c>
      <c r="G432" s="1227">
        <f t="shared" si="31"/>
        <v>3.4965075614664802</v>
      </c>
      <c r="H432" s="1227">
        <f t="shared" si="32"/>
        <v>-0.69314718055994529</v>
      </c>
      <c r="I432" s="1227">
        <f t="shared" si="33"/>
        <v>-4.6697087071256629</v>
      </c>
      <c r="J432" s="27"/>
    </row>
    <row r="433" spans="1:10">
      <c r="A433" s="27">
        <v>422</v>
      </c>
      <c r="B433" s="1227">
        <v>33</v>
      </c>
      <c r="C433" s="1227">
        <v>0.5</v>
      </c>
      <c r="D433" s="1227">
        <v>9.4318181818181818E-3</v>
      </c>
      <c r="E433" s="1227">
        <f t="shared" si="34"/>
        <v>0.52230483271375461</v>
      </c>
      <c r="F433" s="1227">
        <f t="shared" si="30"/>
        <v>5.5939084574546188E-2</v>
      </c>
      <c r="G433" s="1227">
        <f t="shared" si="31"/>
        <v>3.4965075614664802</v>
      </c>
      <c r="H433" s="1227">
        <f t="shared" si="32"/>
        <v>-0.69314718055994529</v>
      </c>
      <c r="I433" s="1227">
        <f t="shared" si="33"/>
        <v>-4.6636663926696995</v>
      </c>
      <c r="J433" s="27"/>
    </row>
    <row r="434" spans="1:10">
      <c r="A434" s="27">
        <v>423</v>
      </c>
      <c r="B434" s="1227">
        <v>33</v>
      </c>
      <c r="C434" s="1227">
        <v>0.5</v>
      </c>
      <c r="D434" s="1227">
        <v>9.6590909090909088E-3</v>
      </c>
      <c r="E434" s="1227">
        <f t="shared" si="34"/>
        <v>0.52354399008674102</v>
      </c>
      <c r="F434" s="1227">
        <f t="shared" si="30"/>
        <v>5.9050330815902101E-2</v>
      </c>
      <c r="G434" s="1227">
        <f t="shared" si="31"/>
        <v>3.4965075614664802</v>
      </c>
      <c r="H434" s="1227">
        <f t="shared" si="32"/>
        <v>-0.69314718055994529</v>
      </c>
      <c r="I434" s="1227">
        <f t="shared" si="33"/>
        <v>-4.6398557439759811</v>
      </c>
      <c r="J434" s="27"/>
    </row>
    <row r="435" spans="1:10">
      <c r="A435" s="27">
        <v>424</v>
      </c>
      <c r="B435" s="1227">
        <v>33</v>
      </c>
      <c r="C435" s="1227">
        <v>0.5</v>
      </c>
      <c r="D435" s="1227">
        <v>9.6590909090909088E-3</v>
      </c>
      <c r="E435" s="1227">
        <f t="shared" si="34"/>
        <v>0.52478314745972743</v>
      </c>
      <c r="F435" s="1227">
        <f t="shared" si="30"/>
        <v>6.2162148762209282E-2</v>
      </c>
      <c r="G435" s="1227">
        <f t="shared" si="31"/>
        <v>3.4965075614664802</v>
      </c>
      <c r="H435" s="1227">
        <f t="shared" si="32"/>
        <v>-0.69314718055994529</v>
      </c>
      <c r="I435" s="1227">
        <f t="shared" si="33"/>
        <v>-4.6398557439759811</v>
      </c>
      <c r="J435" s="27"/>
    </row>
    <row r="436" spans="1:10">
      <c r="A436" s="27">
        <v>425</v>
      </c>
      <c r="B436" s="1227">
        <v>33</v>
      </c>
      <c r="C436" s="1227">
        <v>0.5</v>
      </c>
      <c r="D436" s="1227">
        <v>9.6590909090909088E-3</v>
      </c>
      <c r="E436" s="1227">
        <f t="shared" si="34"/>
        <v>0.52602230483271373</v>
      </c>
      <c r="F436" s="1227">
        <f t="shared" si="30"/>
        <v>6.527456876806742E-2</v>
      </c>
      <c r="G436" s="1227">
        <f t="shared" si="31"/>
        <v>3.4965075614664802</v>
      </c>
      <c r="H436" s="1227">
        <f t="shared" si="32"/>
        <v>-0.69314718055994529</v>
      </c>
      <c r="I436" s="1227">
        <f t="shared" si="33"/>
        <v>-4.6398557439759811</v>
      </c>
      <c r="J436" s="27"/>
    </row>
    <row r="437" spans="1:10">
      <c r="A437" s="27">
        <v>426</v>
      </c>
      <c r="B437" s="1227">
        <v>33</v>
      </c>
      <c r="C437" s="1227">
        <v>0.5</v>
      </c>
      <c r="D437" s="1227">
        <v>9.6590909090909088E-3</v>
      </c>
      <c r="E437" s="1227">
        <f t="shared" si="34"/>
        <v>0.52726146220570014</v>
      </c>
      <c r="F437" s="1227">
        <f t="shared" si="30"/>
        <v>6.8387621229030929E-2</v>
      </c>
      <c r="G437" s="1227">
        <f t="shared" si="31"/>
        <v>3.4965075614664802</v>
      </c>
      <c r="H437" s="1227">
        <f t="shared" si="32"/>
        <v>-0.69314718055994529</v>
      </c>
      <c r="I437" s="1227">
        <f t="shared" si="33"/>
        <v>-4.6398557439759811</v>
      </c>
      <c r="J437" s="27"/>
    </row>
    <row r="438" spans="1:10">
      <c r="A438" s="27">
        <v>427</v>
      </c>
      <c r="B438" s="1227">
        <v>33</v>
      </c>
      <c r="C438" s="1227">
        <v>0.5</v>
      </c>
      <c r="D438" s="1227">
        <v>9.7727272727272732E-3</v>
      </c>
      <c r="E438" s="1227">
        <f t="shared" si="34"/>
        <v>0.52850061957868655</v>
      </c>
      <c r="F438" s="1227">
        <f t="shared" si="30"/>
        <v>7.1501336583706457E-2</v>
      </c>
      <c r="G438" s="1227">
        <f t="shared" si="31"/>
        <v>3.4965075614664802</v>
      </c>
      <c r="H438" s="1227">
        <f t="shared" si="32"/>
        <v>-0.69314718055994529</v>
      </c>
      <c r="I438" s="1227">
        <f t="shared" si="33"/>
        <v>-4.6281597042127904</v>
      </c>
      <c r="J438" s="27"/>
    </row>
    <row r="439" spans="1:10">
      <c r="A439" s="27">
        <v>428</v>
      </c>
      <c r="B439" s="1227">
        <v>33</v>
      </c>
      <c r="C439" s="1227">
        <v>0.5</v>
      </c>
      <c r="D439" s="1227">
        <v>9.943181818181818E-3</v>
      </c>
      <c r="E439" s="1227">
        <f t="shared" si="34"/>
        <v>0.52973977695167285</v>
      </c>
      <c r="F439" s="1227">
        <f t="shared" si="30"/>
        <v>7.4615745315860654E-2</v>
      </c>
      <c r="G439" s="1227">
        <f t="shared" si="31"/>
        <v>3.4965075614664802</v>
      </c>
      <c r="H439" s="1227">
        <f t="shared" si="32"/>
        <v>-0.69314718055994529</v>
      </c>
      <c r="I439" s="1227">
        <f t="shared" si="33"/>
        <v>-4.6108682071027287</v>
      </c>
      <c r="J439" s="27"/>
    </row>
    <row r="440" spans="1:10">
      <c r="A440" s="27">
        <v>429</v>
      </c>
      <c r="B440" s="1227">
        <v>33</v>
      </c>
      <c r="C440" s="1227">
        <v>0.5</v>
      </c>
      <c r="D440" s="1227">
        <v>9.943181818181818E-3</v>
      </c>
      <c r="E440" s="1227">
        <f t="shared" si="34"/>
        <v>0.53097893432465926</v>
      </c>
      <c r="F440" s="1227">
        <f t="shared" si="30"/>
        <v>7.7730877956535868E-2</v>
      </c>
      <c r="G440" s="1227">
        <f t="shared" si="31"/>
        <v>3.4965075614664802</v>
      </c>
      <c r="H440" s="1227">
        <f t="shared" si="32"/>
        <v>-0.69314718055994529</v>
      </c>
      <c r="I440" s="1227">
        <f t="shared" si="33"/>
        <v>-4.6108682071027287</v>
      </c>
      <c r="J440" s="27"/>
    </row>
    <row r="441" spans="1:10">
      <c r="A441" s="27">
        <v>430</v>
      </c>
      <c r="B441" s="1227">
        <v>33</v>
      </c>
      <c r="C441" s="1227">
        <v>0.5</v>
      </c>
      <c r="D441" s="1227">
        <v>1.0795454545454546E-2</v>
      </c>
      <c r="E441" s="1227">
        <f t="shared" si="34"/>
        <v>0.53221809169764556</v>
      </c>
      <c r="F441" s="1227">
        <f t="shared" si="30"/>
        <v>8.0846765086171432E-2</v>
      </c>
      <c r="G441" s="1227">
        <f t="shared" si="31"/>
        <v>3.4965075614664802</v>
      </c>
      <c r="H441" s="1227">
        <f t="shared" si="32"/>
        <v>-0.69314718055994529</v>
      </c>
      <c r="I441" s="1227">
        <f t="shared" si="33"/>
        <v>-4.528630108865757</v>
      </c>
      <c r="J441" s="27"/>
    </row>
    <row r="442" spans="1:10">
      <c r="A442" s="27">
        <v>431</v>
      </c>
      <c r="B442" s="1227">
        <v>33</v>
      </c>
      <c r="C442" s="1227">
        <v>0.5</v>
      </c>
      <c r="D442" s="1227">
        <v>1.0795454545454546E-2</v>
      </c>
      <c r="E442" s="1227">
        <f t="shared" si="34"/>
        <v>0.53345724907063197</v>
      </c>
      <c r="F442" s="1227">
        <f t="shared" si="30"/>
        <v>8.3963437336737987E-2</v>
      </c>
      <c r="G442" s="1227">
        <f t="shared" si="31"/>
        <v>3.4965075614664802</v>
      </c>
      <c r="H442" s="1227">
        <f t="shared" si="32"/>
        <v>-0.69314718055994529</v>
      </c>
      <c r="I442" s="1227">
        <f t="shared" si="33"/>
        <v>-4.528630108865757</v>
      </c>
      <c r="J442" s="27"/>
    </row>
    <row r="443" spans="1:10">
      <c r="A443" s="27">
        <v>432</v>
      </c>
      <c r="B443" s="1227">
        <v>33</v>
      </c>
      <c r="C443" s="1227">
        <v>0.5</v>
      </c>
      <c r="D443" s="1227">
        <v>1.0909090909090908E-2</v>
      </c>
      <c r="E443" s="1227">
        <f t="shared" si="34"/>
        <v>0.53469640644361838</v>
      </c>
      <c r="F443" s="1227">
        <f t="shared" si="30"/>
        <v>8.7080925393876726E-2</v>
      </c>
      <c r="G443" s="1227">
        <f t="shared" si="31"/>
        <v>3.4965075614664802</v>
      </c>
      <c r="H443" s="1227">
        <f t="shared" si="32"/>
        <v>-0.69314718055994529</v>
      </c>
      <c r="I443" s="1227">
        <f t="shared" si="33"/>
        <v>-4.5181588089984617</v>
      </c>
      <c r="J443" s="27"/>
    </row>
    <row r="444" spans="1:10">
      <c r="A444" s="27">
        <v>433</v>
      </c>
      <c r="B444" s="1227">
        <v>33</v>
      </c>
      <c r="C444" s="1227">
        <v>0.5</v>
      </c>
      <c r="D444" s="1227">
        <v>1.1079545454545455E-2</v>
      </c>
      <c r="E444" s="1227">
        <f t="shared" si="34"/>
        <v>0.53593556381660468</v>
      </c>
      <c r="F444" s="1227">
        <f t="shared" si="30"/>
        <v>9.0199259999050957E-2</v>
      </c>
      <c r="G444" s="1227">
        <f t="shared" si="31"/>
        <v>3.4965075614664802</v>
      </c>
      <c r="H444" s="1227">
        <f t="shared" si="32"/>
        <v>-0.69314718055994529</v>
      </c>
      <c r="I444" s="1227">
        <f t="shared" si="33"/>
        <v>-4.5026546224624964</v>
      </c>
      <c r="J444" s="27"/>
    </row>
    <row r="445" spans="1:10">
      <c r="A445" s="27">
        <v>434</v>
      </c>
      <c r="B445" s="1227">
        <v>33</v>
      </c>
      <c r="C445" s="1227">
        <v>0.5</v>
      </c>
      <c r="D445" s="1227">
        <v>1.1363636363636364E-2</v>
      </c>
      <c r="E445" s="1227">
        <f t="shared" si="34"/>
        <v>0.53717472118959109</v>
      </c>
      <c r="F445" s="1227">
        <f t="shared" si="30"/>
        <v>9.3318471951707754E-2</v>
      </c>
      <c r="G445" s="1227">
        <f t="shared" si="31"/>
        <v>3.4965075614664802</v>
      </c>
      <c r="H445" s="1227">
        <f t="shared" si="32"/>
        <v>-0.69314718055994529</v>
      </c>
      <c r="I445" s="1227">
        <f t="shared" si="33"/>
        <v>-4.4773368144782069</v>
      </c>
      <c r="J445" s="27"/>
    </row>
    <row r="446" spans="1:10">
      <c r="A446" s="27">
        <v>435</v>
      </c>
      <c r="B446" s="1227">
        <v>33</v>
      </c>
      <c r="C446" s="1227">
        <v>0.5</v>
      </c>
      <c r="D446" s="1227">
        <v>1.1363636363636364E-2</v>
      </c>
      <c r="E446" s="1227">
        <f t="shared" si="34"/>
        <v>0.5384138785625775</v>
      </c>
      <c r="F446" s="1227">
        <f t="shared" si="30"/>
        <v>9.6438592111447313E-2</v>
      </c>
      <c r="G446" s="1227">
        <f t="shared" si="31"/>
        <v>3.4965075614664802</v>
      </c>
      <c r="H446" s="1227">
        <f t="shared" si="32"/>
        <v>-0.69314718055994529</v>
      </c>
      <c r="I446" s="1227">
        <f t="shared" si="33"/>
        <v>-4.4773368144782069</v>
      </c>
      <c r="J446" s="27"/>
    </row>
    <row r="447" spans="1:10">
      <c r="A447" s="27">
        <v>436</v>
      </c>
      <c r="B447" s="1227">
        <v>33</v>
      </c>
      <c r="C447" s="1227">
        <v>0.5</v>
      </c>
      <c r="D447" s="1227">
        <v>1.1363636363636364E-2</v>
      </c>
      <c r="E447" s="1227">
        <f t="shared" si="34"/>
        <v>0.5396530359355638</v>
      </c>
      <c r="F447" s="1227">
        <f t="shared" si="30"/>
        <v>9.9559651400205743E-2</v>
      </c>
      <c r="G447" s="1227">
        <f t="shared" si="31"/>
        <v>3.4965075614664802</v>
      </c>
      <c r="H447" s="1227">
        <f t="shared" si="32"/>
        <v>-0.69314718055994529</v>
      </c>
      <c r="I447" s="1227">
        <f t="shared" si="33"/>
        <v>-4.4773368144782069</v>
      </c>
      <c r="J447" s="27"/>
    </row>
    <row r="448" spans="1:10">
      <c r="A448" s="27">
        <v>437</v>
      </c>
      <c r="B448" s="1227">
        <v>40</v>
      </c>
      <c r="C448" s="1227">
        <v>0.5</v>
      </c>
      <c r="D448" s="1227">
        <v>1.1363636363636364E-2</v>
      </c>
      <c r="E448" s="1227">
        <f t="shared" si="34"/>
        <v>0.54089219330855021</v>
      </c>
      <c r="F448" s="1227">
        <f t="shared" si="30"/>
        <v>0.10268168080444878</v>
      </c>
      <c r="G448" s="1227">
        <f t="shared" si="31"/>
        <v>3.6888794541139363</v>
      </c>
      <c r="H448" s="1227">
        <f t="shared" si="32"/>
        <v>-0.69314718055994529</v>
      </c>
      <c r="I448" s="1227">
        <f t="shared" si="33"/>
        <v>-4.4773368144782069</v>
      </c>
      <c r="J448" s="27"/>
    </row>
    <row r="449" spans="1:10">
      <c r="A449" s="27">
        <v>438</v>
      </c>
      <c r="B449" s="1227">
        <v>40</v>
      </c>
      <c r="C449" s="1227">
        <v>0.5</v>
      </c>
      <c r="D449" s="1227">
        <v>1.1363636363636364E-2</v>
      </c>
      <c r="E449" s="1227">
        <f t="shared" si="34"/>
        <v>0.54213135068153651</v>
      </c>
      <c r="F449" s="1227">
        <f t="shared" si="30"/>
        <v>0.10580471137737456</v>
      </c>
      <c r="G449" s="1227">
        <f t="shared" si="31"/>
        <v>3.6888794541139363</v>
      </c>
      <c r="H449" s="1227">
        <f t="shared" si="32"/>
        <v>-0.69314718055994529</v>
      </c>
      <c r="I449" s="1227">
        <f t="shared" si="33"/>
        <v>-4.4773368144782069</v>
      </c>
      <c r="J449" s="27"/>
    </row>
    <row r="450" spans="1:10">
      <c r="A450" s="27">
        <v>439</v>
      </c>
      <c r="B450" s="1227">
        <v>40</v>
      </c>
      <c r="C450" s="1227">
        <v>0.5</v>
      </c>
      <c r="D450" s="1227">
        <v>1.1363636363636364E-2</v>
      </c>
      <c r="E450" s="1227">
        <f t="shared" si="34"/>
        <v>0.54337050805452292</v>
      </c>
      <c r="F450" s="1227">
        <f t="shared" si="30"/>
        <v>0.10892877424113243</v>
      </c>
      <c r="G450" s="1227">
        <f t="shared" si="31"/>
        <v>3.6888794541139363</v>
      </c>
      <c r="H450" s="1227">
        <f t="shared" si="32"/>
        <v>-0.69314718055994529</v>
      </c>
      <c r="I450" s="1227">
        <f t="shared" si="33"/>
        <v>-4.4773368144782069</v>
      </c>
      <c r="J450" s="27"/>
    </row>
    <row r="451" spans="1:10">
      <c r="A451" s="27">
        <v>440</v>
      </c>
      <c r="B451" s="1227">
        <v>40</v>
      </c>
      <c r="C451" s="1227">
        <v>0.5</v>
      </c>
      <c r="D451" s="1227">
        <v>1.1363636363636364E-2</v>
      </c>
      <c r="E451" s="1227">
        <f t="shared" si="34"/>
        <v>0.54460966542750933</v>
      </c>
      <c r="F451" s="1227">
        <f t="shared" si="30"/>
        <v>0.11205390058905006</v>
      </c>
      <c r="G451" s="1227">
        <f t="shared" si="31"/>
        <v>3.6888794541139363</v>
      </c>
      <c r="H451" s="1227">
        <f t="shared" si="32"/>
        <v>-0.69314718055994529</v>
      </c>
      <c r="I451" s="1227">
        <f t="shared" si="33"/>
        <v>-4.4773368144782069</v>
      </c>
      <c r="J451" s="27"/>
    </row>
    <row r="452" spans="1:10">
      <c r="A452" s="27">
        <v>441</v>
      </c>
      <c r="B452" s="1227">
        <v>40</v>
      </c>
      <c r="C452" s="1227">
        <v>0.5</v>
      </c>
      <c r="D452" s="1227">
        <v>1.1363636363636364E-2</v>
      </c>
      <c r="E452" s="1227">
        <f t="shared" si="34"/>
        <v>0.54584882280049563</v>
      </c>
      <c r="F452" s="1227">
        <f t="shared" si="30"/>
        <v>0.115180121687876</v>
      </c>
      <c r="G452" s="1227">
        <f t="shared" si="31"/>
        <v>3.6888794541139363</v>
      </c>
      <c r="H452" s="1227">
        <f t="shared" si="32"/>
        <v>-0.69314718055994529</v>
      </c>
      <c r="I452" s="1227">
        <f t="shared" si="33"/>
        <v>-4.4773368144782069</v>
      </c>
      <c r="J452" s="27"/>
    </row>
    <row r="453" spans="1:10">
      <c r="A453" s="27">
        <v>442</v>
      </c>
      <c r="B453" s="1227">
        <v>40</v>
      </c>
      <c r="C453" s="1227">
        <v>0.5</v>
      </c>
      <c r="D453" s="1227">
        <v>1.1363636363636364E-2</v>
      </c>
      <c r="E453" s="1227">
        <f t="shared" si="34"/>
        <v>0.54708798017348204</v>
      </c>
      <c r="F453" s="1227">
        <f t="shared" si="30"/>
        <v>0.1183074688800359</v>
      </c>
      <c r="G453" s="1227">
        <f t="shared" si="31"/>
        <v>3.6888794541139363</v>
      </c>
      <c r="H453" s="1227">
        <f t="shared" si="32"/>
        <v>-0.69314718055994529</v>
      </c>
      <c r="I453" s="1227">
        <f t="shared" si="33"/>
        <v>-4.4773368144782069</v>
      </c>
      <c r="J453" s="27"/>
    </row>
    <row r="454" spans="1:10">
      <c r="A454" s="27">
        <v>443</v>
      </c>
      <c r="B454" s="1227">
        <v>40</v>
      </c>
      <c r="C454" s="1227">
        <v>0.5</v>
      </c>
      <c r="D454" s="1227">
        <v>1.1420454545454546E-2</v>
      </c>
      <c r="E454" s="1227">
        <f t="shared" si="34"/>
        <v>0.54832713754646845</v>
      </c>
      <c r="F454" s="1227">
        <f t="shared" si="30"/>
        <v>0.12143597358589935</v>
      </c>
      <c r="G454" s="1227">
        <f t="shared" si="31"/>
        <v>3.6888794541139363</v>
      </c>
      <c r="H454" s="1227">
        <f t="shared" si="32"/>
        <v>-0.69314718055994529</v>
      </c>
      <c r="I454" s="1227">
        <f t="shared" si="33"/>
        <v>-4.4723492729671674</v>
      </c>
      <c r="J454" s="27"/>
    </row>
    <row r="455" spans="1:10">
      <c r="A455" s="27">
        <v>444</v>
      </c>
      <c r="B455" s="1227">
        <v>40</v>
      </c>
      <c r="C455" s="1227">
        <v>0.5</v>
      </c>
      <c r="D455" s="1227">
        <v>1.1647727272727271E-2</v>
      </c>
      <c r="E455" s="1227">
        <f t="shared" si="34"/>
        <v>0.54956629491945475</v>
      </c>
      <c r="F455" s="1227">
        <f t="shared" si="30"/>
        <v>0.12456566730606403</v>
      </c>
      <c r="G455" s="1227">
        <f t="shared" si="31"/>
        <v>3.6888794541139363</v>
      </c>
      <c r="H455" s="1227">
        <f t="shared" si="32"/>
        <v>-0.69314718055994529</v>
      </c>
      <c r="I455" s="1227">
        <f t="shared" si="33"/>
        <v>-4.4526442018878347</v>
      </c>
      <c r="J455" s="27"/>
    </row>
    <row r="456" spans="1:10">
      <c r="A456" s="27">
        <v>445</v>
      </c>
      <c r="B456" s="1227">
        <v>40</v>
      </c>
      <c r="C456" s="1227">
        <v>0.5</v>
      </c>
      <c r="D456" s="1227">
        <v>1.1931818181818181E-2</v>
      </c>
      <c r="E456" s="1227">
        <f t="shared" si="34"/>
        <v>0.55080545229244116</v>
      </c>
      <c r="F456" s="1227">
        <f t="shared" si="30"/>
        <v>0.12769658162365391</v>
      </c>
      <c r="G456" s="1227">
        <f t="shared" si="31"/>
        <v>3.6888794541139363</v>
      </c>
      <c r="H456" s="1227">
        <f t="shared" si="32"/>
        <v>-0.69314718055994529</v>
      </c>
      <c r="I456" s="1227">
        <f t="shared" si="33"/>
        <v>-4.4285466503087747</v>
      </c>
      <c r="J456" s="27"/>
    </row>
    <row r="457" spans="1:10">
      <c r="A457" s="27">
        <v>446</v>
      </c>
      <c r="B457" s="1227">
        <v>40</v>
      </c>
      <c r="C457" s="1227">
        <v>0.5</v>
      </c>
      <c r="D457" s="1227">
        <v>1.1931818181818181E-2</v>
      </c>
      <c r="E457" s="1227">
        <f t="shared" si="34"/>
        <v>0.55204460966542745</v>
      </c>
      <c r="F457" s="1227">
        <f t="shared" si="30"/>
        <v>0.13082874820662979</v>
      </c>
      <c r="G457" s="1227">
        <f t="shared" si="31"/>
        <v>3.6888794541139363</v>
      </c>
      <c r="H457" s="1227">
        <f t="shared" si="32"/>
        <v>-0.69314718055994529</v>
      </c>
      <c r="I457" s="1227">
        <f t="shared" si="33"/>
        <v>-4.4285466503087747</v>
      </c>
      <c r="J457" s="27"/>
    </row>
    <row r="458" spans="1:10">
      <c r="A458" s="27">
        <v>447</v>
      </c>
      <c r="B458" s="1227">
        <v>40</v>
      </c>
      <c r="C458" s="1227">
        <v>0.5</v>
      </c>
      <c r="D458" s="1227">
        <v>1.221590909090909E-2</v>
      </c>
      <c r="E458" s="1227">
        <f t="shared" si="34"/>
        <v>0.55328376703841387</v>
      </c>
      <c r="F458" s="1227">
        <f t="shared" si="30"/>
        <v>0.13396219881011989</v>
      </c>
      <c r="G458" s="1227">
        <f t="shared" si="31"/>
        <v>3.6888794541139363</v>
      </c>
      <c r="H458" s="1227">
        <f t="shared" si="32"/>
        <v>-0.69314718055994529</v>
      </c>
      <c r="I458" s="1227">
        <f t="shared" si="33"/>
        <v>-4.4050161528985807</v>
      </c>
      <c r="J458" s="27"/>
    </row>
    <row r="459" spans="1:10">
      <c r="A459" s="27">
        <v>448</v>
      </c>
      <c r="B459" s="1227">
        <v>40</v>
      </c>
      <c r="C459" s="1227">
        <v>0.5</v>
      </c>
      <c r="D459" s="1227">
        <v>1.2499999999999999E-2</v>
      </c>
      <c r="E459" s="1227">
        <f t="shared" si="34"/>
        <v>0.55452292441140028</v>
      </c>
      <c r="F459" s="1227">
        <f t="shared" si="30"/>
        <v>0.13709696527876158</v>
      </c>
      <c r="G459" s="1227">
        <f t="shared" si="31"/>
        <v>3.6888794541139363</v>
      </c>
      <c r="H459" s="1227">
        <f t="shared" si="32"/>
        <v>-0.69314718055994529</v>
      </c>
      <c r="I459" s="1227">
        <f t="shared" si="33"/>
        <v>-4.3820266346738821</v>
      </c>
      <c r="J459" s="27"/>
    </row>
    <row r="460" spans="1:10">
      <c r="A460" s="27">
        <v>449</v>
      </c>
      <c r="B460" s="1227">
        <v>40</v>
      </c>
      <c r="C460" s="1227">
        <v>0.5</v>
      </c>
      <c r="D460" s="1227">
        <v>1.3068181818181817E-2</v>
      </c>
      <c r="E460" s="1227">
        <f t="shared" si="34"/>
        <v>0.55576208178438657</v>
      </c>
      <c r="F460" s="1227">
        <f t="shared" ref="F460:F523" si="35">NORMSINV(E460)</f>
        <v>0.14023307954906297</v>
      </c>
      <c r="G460" s="1227">
        <f t="shared" ref="G460:G523" si="36">LN(B460)</f>
        <v>3.6888794541139363</v>
      </c>
      <c r="H460" s="1227">
        <f t="shared" ref="H460:H523" si="37">LN(C460)</f>
        <v>-0.69314718055994529</v>
      </c>
      <c r="I460" s="1227">
        <f t="shared" ref="I460:I523" si="38">LN(D460)</f>
        <v>-4.3375748721030476</v>
      </c>
      <c r="J460" s="27"/>
    </row>
    <row r="461" spans="1:10">
      <c r="A461" s="27">
        <v>450</v>
      </c>
      <c r="B461" s="1227">
        <v>40</v>
      </c>
      <c r="C461" s="1227">
        <v>0.5</v>
      </c>
      <c r="D461" s="1227">
        <v>1.3068181818181817E-2</v>
      </c>
      <c r="E461" s="1227">
        <f t="shared" ref="E461:E524" si="39">(A461-0.5)/807</f>
        <v>0.55700123915737298</v>
      </c>
      <c r="F461" s="1227">
        <f t="shared" si="35"/>
        <v>0.1433705736517806</v>
      </c>
      <c r="G461" s="1227">
        <f t="shared" si="36"/>
        <v>3.6888794541139363</v>
      </c>
      <c r="H461" s="1227">
        <f t="shared" si="37"/>
        <v>-0.69314718055994529</v>
      </c>
      <c r="I461" s="1227">
        <f t="shared" si="38"/>
        <v>-4.3375748721030476</v>
      </c>
      <c r="J461" s="27"/>
    </row>
    <row r="462" spans="1:10">
      <c r="A462" s="27">
        <v>451</v>
      </c>
      <c r="B462" s="1227">
        <v>40</v>
      </c>
      <c r="C462" s="1227">
        <v>0.5</v>
      </c>
      <c r="D462" s="1227">
        <v>1.3636363636363636E-2</v>
      </c>
      <c r="E462" s="1227">
        <f t="shared" si="39"/>
        <v>0.5582403965303594</v>
      </c>
      <c r="F462" s="1227">
        <f t="shared" si="35"/>
        <v>0.14650947971431286</v>
      </c>
      <c r="G462" s="1227">
        <f t="shared" si="36"/>
        <v>3.6888794541139363</v>
      </c>
      <c r="H462" s="1227">
        <f t="shared" si="37"/>
        <v>-0.69314718055994529</v>
      </c>
      <c r="I462" s="1227">
        <f t="shared" si="38"/>
        <v>-4.295015257684252</v>
      </c>
      <c r="J462" s="27"/>
    </row>
    <row r="463" spans="1:10">
      <c r="A463" s="27">
        <v>452</v>
      </c>
      <c r="B463" s="1227">
        <v>40</v>
      </c>
      <c r="C463" s="1227">
        <v>0.5</v>
      </c>
      <c r="D463" s="1227">
        <v>1.3636363636363636E-2</v>
      </c>
      <c r="E463" s="1227">
        <f t="shared" si="39"/>
        <v>0.55947955390334569</v>
      </c>
      <c r="F463" s="1227">
        <f t="shared" si="35"/>
        <v>0.14964982996311293</v>
      </c>
      <c r="G463" s="1227">
        <f t="shared" si="36"/>
        <v>3.6888794541139363</v>
      </c>
      <c r="H463" s="1227">
        <f t="shared" si="37"/>
        <v>-0.69314718055994529</v>
      </c>
      <c r="I463" s="1227">
        <f t="shared" si="38"/>
        <v>-4.295015257684252</v>
      </c>
      <c r="J463" s="27"/>
    </row>
    <row r="464" spans="1:10">
      <c r="A464" s="27">
        <v>453</v>
      </c>
      <c r="B464" s="1227">
        <v>40</v>
      </c>
      <c r="C464" s="1227">
        <v>0.5</v>
      </c>
      <c r="D464" s="1227">
        <v>1.3636363636363636E-2</v>
      </c>
      <c r="E464" s="1227">
        <f t="shared" si="39"/>
        <v>0.5607187112763321</v>
      </c>
      <c r="F464" s="1227">
        <f t="shared" si="35"/>
        <v>0.15279165672612058</v>
      </c>
      <c r="G464" s="1227">
        <f t="shared" si="36"/>
        <v>3.6888794541139363</v>
      </c>
      <c r="H464" s="1227">
        <f t="shared" si="37"/>
        <v>-0.69314718055994529</v>
      </c>
      <c r="I464" s="1227">
        <f t="shared" si="38"/>
        <v>-4.295015257684252</v>
      </c>
      <c r="J464" s="27"/>
    </row>
    <row r="465" spans="1:10">
      <c r="A465" s="27">
        <v>454</v>
      </c>
      <c r="B465" s="1227">
        <v>40</v>
      </c>
      <c r="C465" s="1227">
        <v>0.5</v>
      </c>
      <c r="D465" s="1227">
        <v>1.3636363636363636E-2</v>
      </c>
      <c r="E465" s="1227">
        <f t="shared" si="39"/>
        <v>0.56195786864931851</v>
      </c>
      <c r="F465" s="1227">
        <f t="shared" si="35"/>
        <v>0.15593499243520995</v>
      </c>
      <c r="G465" s="1227">
        <f t="shared" si="36"/>
        <v>3.6888794541139363</v>
      </c>
      <c r="H465" s="1227">
        <f t="shared" si="37"/>
        <v>-0.69314718055994529</v>
      </c>
      <c r="I465" s="1227">
        <f t="shared" si="38"/>
        <v>-4.295015257684252</v>
      </c>
      <c r="J465" s="27"/>
    </row>
    <row r="466" spans="1:10">
      <c r="A466" s="27">
        <v>455</v>
      </c>
      <c r="B466" s="1227">
        <v>40</v>
      </c>
      <c r="C466" s="1227">
        <v>0.5</v>
      </c>
      <c r="D466" s="1227">
        <v>1.4204545454545454E-2</v>
      </c>
      <c r="E466" s="1227">
        <f t="shared" si="39"/>
        <v>0.56319702602230481</v>
      </c>
      <c r="F466" s="1227">
        <f t="shared" si="35"/>
        <v>0.1590798696286595</v>
      </c>
      <c r="G466" s="1227">
        <f t="shared" si="36"/>
        <v>3.6888794541139363</v>
      </c>
      <c r="H466" s="1227">
        <f t="shared" si="37"/>
        <v>-0.69314718055994529</v>
      </c>
      <c r="I466" s="1227">
        <f t="shared" si="38"/>
        <v>-4.2541932631639972</v>
      </c>
      <c r="J466" s="27"/>
    </row>
    <row r="467" spans="1:10">
      <c r="A467" s="27">
        <v>456</v>
      </c>
      <c r="B467" s="1227">
        <v>40</v>
      </c>
      <c r="C467" s="1227">
        <v>0.5</v>
      </c>
      <c r="D467" s="1227">
        <v>1.4204545454545454E-2</v>
      </c>
      <c r="E467" s="1227">
        <f t="shared" si="39"/>
        <v>0.56443618339529122</v>
      </c>
      <c r="F467" s="1227">
        <f t="shared" si="35"/>
        <v>0.16222632095364145</v>
      </c>
      <c r="G467" s="1227">
        <f t="shared" si="36"/>
        <v>3.6888794541139363</v>
      </c>
      <c r="H467" s="1227">
        <f t="shared" si="37"/>
        <v>-0.69314718055994529</v>
      </c>
      <c r="I467" s="1227">
        <f t="shared" si="38"/>
        <v>-4.2541932631639972</v>
      </c>
      <c r="J467" s="27"/>
    </row>
    <row r="468" spans="1:10">
      <c r="A468" s="27">
        <v>457</v>
      </c>
      <c r="B468" s="1227">
        <v>40</v>
      </c>
      <c r="C468" s="1227">
        <v>0.5</v>
      </c>
      <c r="D468" s="1227">
        <v>1.4204545454545454E-2</v>
      </c>
      <c r="E468" s="1227">
        <f t="shared" si="39"/>
        <v>0.56567534076827752</v>
      </c>
      <c r="F468" s="1227">
        <f t="shared" si="35"/>
        <v>0.16537437916872874</v>
      </c>
      <c r="G468" s="1227">
        <f t="shared" si="36"/>
        <v>3.6888794541139363</v>
      </c>
      <c r="H468" s="1227">
        <f t="shared" si="37"/>
        <v>-0.69314718055994529</v>
      </c>
      <c r="I468" s="1227">
        <f t="shared" si="38"/>
        <v>-4.2541932631639972</v>
      </c>
      <c r="J468" s="27"/>
    </row>
    <row r="469" spans="1:10">
      <c r="A469" s="27">
        <v>458</v>
      </c>
      <c r="B469" s="1227">
        <v>40</v>
      </c>
      <c r="C469" s="1227">
        <v>0.5</v>
      </c>
      <c r="D469" s="1227">
        <v>1.4204545454545454E-2</v>
      </c>
      <c r="E469" s="1227">
        <f t="shared" si="39"/>
        <v>0.56691449814126393</v>
      </c>
      <c r="F469" s="1227">
        <f t="shared" si="35"/>
        <v>0.1685240771464275</v>
      </c>
      <c r="G469" s="1227">
        <f t="shared" si="36"/>
        <v>3.6888794541139363</v>
      </c>
      <c r="H469" s="1227">
        <f t="shared" si="37"/>
        <v>-0.69314718055994529</v>
      </c>
      <c r="I469" s="1227">
        <f t="shared" si="38"/>
        <v>-4.2541932631639972</v>
      </c>
      <c r="J469" s="27"/>
    </row>
    <row r="470" spans="1:10">
      <c r="A470" s="27">
        <v>459</v>
      </c>
      <c r="B470" s="1227">
        <v>40</v>
      </c>
      <c r="C470" s="1227">
        <v>0.5</v>
      </c>
      <c r="D470" s="1227">
        <v>1.4204545454545454E-2</v>
      </c>
      <c r="E470" s="1227">
        <f t="shared" si="39"/>
        <v>0.56815365551425034</v>
      </c>
      <c r="F470" s="1227">
        <f t="shared" si="35"/>
        <v>0.17167544787572614</v>
      </c>
      <c r="G470" s="1227">
        <f t="shared" si="36"/>
        <v>3.6888794541139363</v>
      </c>
      <c r="H470" s="1227">
        <f t="shared" si="37"/>
        <v>-0.69314718055994529</v>
      </c>
      <c r="I470" s="1227">
        <f t="shared" si="38"/>
        <v>-4.2541932631639972</v>
      </c>
      <c r="J470" s="27"/>
    </row>
    <row r="471" spans="1:10">
      <c r="A471" s="27">
        <v>460</v>
      </c>
      <c r="B471" s="1227">
        <v>40</v>
      </c>
      <c r="C471" s="1227">
        <v>0.5</v>
      </c>
      <c r="D471" s="1227">
        <v>1.4204545454545454E-2</v>
      </c>
      <c r="E471" s="1227">
        <f t="shared" si="39"/>
        <v>0.56939281288723664</v>
      </c>
      <c r="F471" s="1227">
        <f t="shared" si="35"/>
        <v>0.17482852446466962</v>
      </c>
      <c r="G471" s="1227">
        <f t="shared" si="36"/>
        <v>3.6888794541139363</v>
      </c>
      <c r="H471" s="1227">
        <f t="shared" si="37"/>
        <v>-0.69314718055994529</v>
      </c>
      <c r="I471" s="1227">
        <f t="shared" si="38"/>
        <v>-4.2541932631639972</v>
      </c>
      <c r="J471" s="27"/>
    </row>
    <row r="472" spans="1:10">
      <c r="A472" s="27">
        <v>461</v>
      </c>
      <c r="B472" s="1227">
        <v>40</v>
      </c>
      <c r="C472" s="1227">
        <v>0.5</v>
      </c>
      <c r="D472" s="1227">
        <v>1.4204545454545454E-2</v>
      </c>
      <c r="E472" s="1227">
        <f t="shared" si="39"/>
        <v>0.57063197026022305</v>
      </c>
      <c r="F472" s="1227">
        <f t="shared" si="35"/>
        <v>0.17798334014295583</v>
      </c>
      <c r="G472" s="1227">
        <f t="shared" si="36"/>
        <v>3.6888794541139363</v>
      </c>
      <c r="H472" s="1227">
        <f t="shared" si="37"/>
        <v>-0.69314718055994529</v>
      </c>
      <c r="I472" s="1227">
        <f t="shared" si="38"/>
        <v>-4.2541932631639972</v>
      </c>
      <c r="J472" s="27"/>
    </row>
    <row r="473" spans="1:10">
      <c r="A473" s="27">
        <v>462</v>
      </c>
      <c r="B473" s="1227">
        <v>40</v>
      </c>
      <c r="C473" s="1227">
        <v>0.5</v>
      </c>
      <c r="D473" s="1227">
        <v>1.4204545454545454E-2</v>
      </c>
      <c r="E473" s="1227">
        <f t="shared" si="39"/>
        <v>0.57187112763320946</v>
      </c>
      <c r="F473" s="1227">
        <f t="shared" si="35"/>
        <v>0.18113992826455283</v>
      </c>
      <c r="G473" s="1227">
        <f t="shared" si="36"/>
        <v>3.6888794541139363</v>
      </c>
      <c r="H473" s="1227">
        <f t="shared" si="37"/>
        <v>-0.69314718055994529</v>
      </c>
      <c r="I473" s="1227">
        <f t="shared" si="38"/>
        <v>-4.2541932631639972</v>
      </c>
      <c r="J473" s="27"/>
    </row>
    <row r="474" spans="1:10">
      <c r="A474" s="27">
        <v>463</v>
      </c>
      <c r="B474" s="1227">
        <v>40</v>
      </c>
      <c r="C474" s="1227">
        <v>0.5</v>
      </c>
      <c r="D474" s="1227">
        <v>1.4204545454545454E-2</v>
      </c>
      <c r="E474" s="1227">
        <f t="shared" si="39"/>
        <v>0.57311028500619576</v>
      </c>
      <c r="F474" s="1227">
        <f t="shared" si="35"/>
        <v>0.18429832231034171</v>
      </c>
      <c r="G474" s="1227">
        <f t="shared" si="36"/>
        <v>3.6888794541139363</v>
      </c>
      <c r="H474" s="1227">
        <f t="shared" si="37"/>
        <v>-0.69314718055994529</v>
      </c>
      <c r="I474" s="1227">
        <f t="shared" si="38"/>
        <v>-4.2541932631639972</v>
      </c>
      <c r="J474" s="27"/>
    </row>
    <row r="475" spans="1:10">
      <c r="A475" s="27">
        <v>464</v>
      </c>
      <c r="B475" s="1227">
        <v>40</v>
      </c>
      <c r="C475" s="1227">
        <v>0.5</v>
      </c>
      <c r="D475" s="1227">
        <v>1.4204545454545454E-2</v>
      </c>
      <c r="E475" s="1227">
        <f t="shared" si="39"/>
        <v>0.57434944237918217</v>
      </c>
      <c r="F475" s="1227">
        <f t="shared" si="35"/>
        <v>0.18745855589078456</v>
      </c>
      <c r="G475" s="1227">
        <f t="shared" si="36"/>
        <v>3.6888794541139363</v>
      </c>
      <c r="H475" s="1227">
        <f t="shared" si="37"/>
        <v>-0.69314718055994529</v>
      </c>
      <c r="I475" s="1227">
        <f t="shared" si="38"/>
        <v>-4.2541932631639972</v>
      </c>
      <c r="J475" s="27"/>
    </row>
    <row r="476" spans="1:10">
      <c r="A476" s="27">
        <v>465</v>
      </c>
      <c r="B476" s="1227">
        <v>45</v>
      </c>
      <c r="C476" s="1227">
        <v>0.5</v>
      </c>
      <c r="D476" s="1227">
        <v>1.4204545454545454E-2</v>
      </c>
      <c r="E476" s="1227">
        <f t="shared" si="39"/>
        <v>0.57558859975216847</v>
      </c>
      <c r="F476" s="1227">
        <f t="shared" si="35"/>
        <v>0.19062066274861295</v>
      </c>
      <c r="G476" s="1227">
        <f t="shared" si="36"/>
        <v>3.8066624897703196</v>
      </c>
      <c r="H476" s="1227">
        <f t="shared" si="37"/>
        <v>-0.69314718055994529</v>
      </c>
      <c r="I476" s="1227">
        <f t="shared" si="38"/>
        <v>-4.2541932631639972</v>
      </c>
      <c r="J476" s="27"/>
    </row>
    <row r="477" spans="1:10">
      <c r="A477" s="27">
        <v>466</v>
      </c>
      <c r="B477" s="1227">
        <v>50</v>
      </c>
      <c r="C477" s="1227">
        <v>0.5</v>
      </c>
      <c r="D477" s="1227">
        <v>1.4204545454545454E-2</v>
      </c>
      <c r="E477" s="1227">
        <f t="shared" si="39"/>
        <v>0.57682775712515488</v>
      </c>
      <c r="F477" s="1227">
        <f t="shared" si="35"/>
        <v>0.19378467676154726</v>
      </c>
      <c r="G477" s="1227">
        <f t="shared" si="36"/>
        <v>3.912023005428146</v>
      </c>
      <c r="H477" s="1227">
        <f t="shared" si="37"/>
        <v>-0.69314718055994529</v>
      </c>
      <c r="I477" s="1227">
        <f t="shared" si="38"/>
        <v>-4.2541932631639972</v>
      </c>
      <c r="J477" s="27"/>
    </row>
    <row r="478" spans="1:10">
      <c r="A478" s="27">
        <v>467</v>
      </c>
      <c r="B478" s="1227">
        <v>50</v>
      </c>
      <c r="C478" s="1227">
        <v>0.5</v>
      </c>
      <c r="D478" s="1227">
        <v>1.4204545454545454E-2</v>
      </c>
      <c r="E478" s="1227">
        <f t="shared" si="39"/>
        <v>0.57806691449814129</v>
      </c>
      <c r="F478" s="1227">
        <f t="shared" si="35"/>
        <v>0.19695063194503712</v>
      </c>
      <c r="G478" s="1227">
        <f t="shared" si="36"/>
        <v>3.912023005428146</v>
      </c>
      <c r="H478" s="1227">
        <f t="shared" si="37"/>
        <v>-0.69314718055994529</v>
      </c>
      <c r="I478" s="1227">
        <f t="shared" si="38"/>
        <v>-4.2541932631639972</v>
      </c>
      <c r="J478" s="27"/>
    </row>
    <row r="479" spans="1:10">
      <c r="A479" s="27">
        <v>468</v>
      </c>
      <c r="B479" s="1227">
        <v>50</v>
      </c>
      <c r="C479" s="1227">
        <v>0.5</v>
      </c>
      <c r="D479" s="1227">
        <v>1.4204545454545454E-2</v>
      </c>
      <c r="E479" s="1227">
        <f t="shared" si="39"/>
        <v>0.57930607187112759</v>
      </c>
      <c r="F479" s="1227">
        <f t="shared" si="35"/>
        <v>0.20011856245503121</v>
      </c>
      <c r="G479" s="1227">
        <f t="shared" si="36"/>
        <v>3.912023005428146</v>
      </c>
      <c r="H479" s="1227">
        <f t="shared" si="37"/>
        <v>-0.69314718055994529</v>
      </c>
      <c r="I479" s="1227">
        <f t="shared" si="38"/>
        <v>-4.2541932631639972</v>
      </c>
      <c r="J479" s="27"/>
    </row>
    <row r="480" spans="1:10">
      <c r="A480" s="27">
        <v>469</v>
      </c>
      <c r="B480" s="1227">
        <v>50</v>
      </c>
      <c r="C480" s="1227">
        <v>0.5</v>
      </c>
      <c r="D480" s="1227">
        <v>1.4204545454545454E-2</v>
      </c>
      <c r="E480" s="1227">
        <f t="shared" si="39"/>
        <v>0.580545229244114</v>
      </c>
      <c r="F480" s="1227">
        <f t="shared" si="35"/>
        <v>0.20328850259077433</v>
      </c>
      <c r="G480" s="1227">
        <f t="shared" si="36"/>
        <v>3.912023005428146</v>
      </c>
      <c r="H480" s="1227">
        <f t="shared" si="37"/>
        <v>-0.69314718055994529</v>
      </c>
      <c r="I480" s="1227">
        <f t="shared" si="38"/>
        <v>-4.2541932631639972</v>
      </c>
      <c r="J480" s="27"/>
    </row>
    <row r="481" spans="1:10">
      <c r="A481" s="27">
        <v>470</v>
      </c>
      <c r="B481" s="1227">
        <v>50</v>
      </c>
      <c r="C481" s="1227">
        <v>0.5</v>
      </c>
      <c r="D481" s="1227">
        <v>1.4204545454545454E-2</v>
      </c>
      <c r="E481" s="1227">
        <f t="shared" si="39"/>
        <v>0.58178438661710041</v>
      </c>
      <c r="F481" s="1227">
        <f t="shared" si="35"/>
        <v>0.20646048679762963</v>
      </c>
      <c r="G481" s="1227">
        <f t="shared" si="36"/>
        <v>3.912023005428146</v>
      </c>
      <c r="H481" s="1227">
        <f t="shared" si="37"/>
        <v>-0.69314718055994529</v>
      </c>
      <c r="I481" s="1227">
        <f t="shared" si="38"/>
        <v>-4.2541932631639972</v>
      </c>
      <c r="J481" s="27"/>
    </row>
    <row r="482" spans="1:10">
      <c r="A482" s="27">
        <v>471</v>
      </c>
      <c r="B482" s="1227">
        <v>50</v>
      </c>
      <c r="C482" s="1227">
        <v>0.5</v>
      </c>
      <c r="D482" s="1227">
        <v>1.4204545454545454E-2</v>
      </c>
      <c r="E482" s="1227">
        <f t="shared" si="39"/>
        <v>0.58302354399008671</v>
      </c>
      <c r="F482" s="1227">
        <f t="shared" si="35"/>
        <v>0.209634549669932</v>
      </c>
      <c r="G482" s="1227">
        <f t="shared" si="36"/>
        <v>3.912023005428146</v>
      </c>
      <c r="H482" s="1227">
        <f t="shared" si="37"/>
        <v>-0.69314718055994529</v>
      </c>
      <c r="I482" s="1227">
        <f t="shared" si="38"/>
        <v>-4.2541932631639972</v>
      </c>
      <c r="J482" s="27"/>
    </row>
    <row r="483" spans="1:10">
      <c r="A483" s="27">
        <v>472</v>
      </c>
      <c r="B483" s="1227">
        <v>50</v>
      </c>
      <c r="C483" s="1227">
        <v>0.5</v>
      </c>
      <c r="D483" s="1227">
        <v>1.4204545454545454E-2</v>
      </c>
      <c r="E483" s="1227">
        <f t="shared" si="39"/>
        <v>0.58426270136307312</v>
      </c>
      <c r="F483" s="1227">
        <f t="shared" si="35"/>
        <v>0.21281072595387035</v>
      </c>
      <c r="G483" s="1227">
        <f t="shared" si="36"/>
        <v>3.912023005428146</v>
      </c>
      <c r="H483" s="1227">
        <f t="shared" si="37"/>
        <v>-0.69314718055994529</v>
      </c>
      <c r="I483" s="1227">
        <f t="shared" si="38"/>
        <v>-4.2541932631639972</v>
      </c>
      <c r="J483" s="27"/>
    </row>
    <row r="484" spans="1:10">
      <c r="A484" s="27">
        <v>473</v>
      </c>
      <c r="B484" s="1227">
        <v>50</v>
      </c>
      <c r="C484" s="1227">
        <v>0.5</v>
      </c>
      <c r="D484" s="1227">
        <v>1.4204545454545454E-2</v>
      </c>
      <c r="E484" s="1227">
        <f t="shared" si="39"/>
        <v>0.58550185873605953</v>
      </c>
      <c r="F484" s="1227">
        <f t="shared" si="35"/>
        <v>0.21598905055039699</v>
      </c>
      <c r="G484" s="1227">
        <f t="shared" si="36"/>
        <v>3.912023005428146</v>
      </c>
      <c r="H484" s="1227">
        <f t="shared" si="37"/>
        <v>-0.69314718055994529</v>
      </c>
      <c r="I484" s="1227">
        <f t="shared" si="38"/>
        <v>-4.2541932631639972</v>
      </c>
      <c r="J484" s="27"/>
    </row>
    <row r="485" spans="1:10">
      <c r="A485" s="27">
        <v>474</v>
      </c>
      <c r="B485" s="1227">
        <v>50</v>
      </c>
      <c r="C485" s="1227">
        <v>0.5</v>
      </c>
      <c r="D485" s="1227">
        <v>1.4204545454545454E-2</v>
      </c>
      <c r="E485" s="1227">
        <f t="shared" si="39"/>
        <v>0.58674101610904583</v>
      </c>
      <c r="F485" s="1227">
        <f t="shared" si="35"/>
        <v>0.21916955851817027</v>
      </c>
      <c r="G485" s="1227">
        <f t="shared" si="36"/>
        <v>3.912023005428146</v>
      </c>
      <c r="H485" s="1227">
        <f t="shared" si="37"/>
        <v>-0.69314718055994529</v>
      </c>
      <c r="I485" s="1227">
        <f t="shared" si="38"/>
        <v>-4.2541932631639972</v>
      </c>
      <c r="J485" s="27"/>
    </row>
    <row r="486" spans="1:10">
      <c r="A486" s="27">
        <v>475</v>
      </c>
      <c r="B486" s="1227">
        <v>50</v>
      </c>
      <c r="C486" s="1227">
        <v>0.5</v>
      </c>
      <c r="D486" s="1227">
        <v>1.4204545454545454E-2</v>
      </c>
      <c r="E486" s="1227">
        <f t="shared" si="39"/>
        <v>0.58798017348203224</v>
      </c>
      <c r="F486" s="1227">
        <f t="shared" si="35"/>
        <v>0.22235228507652813</v>
      </c>
      <c r="G486" s="1227">
        <f t="shared" si="36"/>
        <v>3.912023005428146</v>
      </c>
      <c r="H486" s="1227">
        <f t="shared" si="37"/>
        <v>-0.69314718055994529</v>
      </c>
      <c r="I486" s="1227">
        <f t="shared" si="38"/>
        <v>-4.2541932631639972</v>
      </c>
      <c r="J486" s="27"/>
    </row>
    <row r="487" spans="1:10">
      <c r="A487" s="27">
        <v>476</v>
      </c>
      <c r="B487" s="1227">
        <v>50</v>
      </c>
      <c r="C487" s="1227">
        <v>0.5</v>
      </c>
      <c r="D487" s="1227">
        <v>1.4204545454545454E-2</v>
      </c>
      <c r="E487" s="1227">
        <f t="shared" si="39"/>
        <v>0.58921933085501854</v>
      </c>
      <c r="F487" s="1227">
        <f t="shared" si="35"/>
        <v>0.22553726560849049</v>
      </c>
      <c r="G487" s="1227">
        <f t="shared" si="36"/>
        <v>3.912023005428146</v>
      </c>
      <c r="H487" s="1227">
        <f t="shared" si="37"/>
        <v>-0.69314718055994529</v>
      </c>
      <c r="I487" s="1227">
        <f t="shared" si="38"/>
        <v>-4.2541932631639972</v>
      </c>
      <c r="J487" s="27"/>
    </row>
    <row r="488" spans="1:10">
      <c r="A488" s="27">
        <v>477</v>
      </c>
      <c r="B488" s="1227">
        <v>50</v>
      </c>
      <c r="C488" s="1227">
        <v>0.5</v>
      </c>
      <c r="D488" s="1227">
        <v>1.4204545454545454E-2</v>
      </c>
      <c r="E488" s="1227">
        <f t="shared" si="39"/>
        <v>0.59045848822800495</v>
      </c>
      <c r="F488" s="1227">
        <f t="shared" si="35"/>
        <v>0.22872453566379866</v>
      </c>
      <c r="G488" s="1227">
        <f t="shared" si="36"/>
        <v>3.912023005428146</v>
      </c>
      <c r="H488" s="1227">
        <f t="shared" si="37"/>
        <v>-0.69314718055994529</v>
      </c>
      <c r="I488" s="1227">
        <f t="shared" si="38"/>
        <v>-4.2541932631639972</v>
      </c>
      <c r="J488" s="27"/>
    </row>
    <row r="489" spans="1:10">
      <c r="A489" s="27">
        <v>478</v>
      </c>
      <c r="B489" s="1227">
        <v>50</v>
      </c>
      <c r="C489" s="1227">
        <v>0.5</v>
      </c>
      <c r="D489" s="1227">
        <v>1.4204545454545454E-2</v>
      </c>
      <c r="E489" s="1227">
        <f t="shared" si="39"/>
        <v>0.59169764560099136</v>
      </c>
      <c r="F489" s="1227">
        <f t="shared" si="35"/>
        <v>0.23191413096198346</v>
      </c>
      <c r="G489" s="1227">
        <f t="shared" si="36"/>
        <v>3.912023005428146</v>
      </c>
      <c r="H489" s="1227">
        <f t="shared" si="37"/>
        <v>-0.69314718055994529</v>
      </c>
      <c r="I489" s="1227">
        <f t="shared" si="38"/>
        <v>-4.2541932631639972</v>
      </c>
      <c r="J489" s="27"/>
    </row>
    <row r="490" spans="1:10">
      <c r="A490" s="27">
        <v>479</v>
      </c>
      <c r="B490" s="1227">
        <v>50</v>
      </c>
      <c r="C490" s="1227">
        <v>0.5</v>
      </c>
      <c r="D490" s="1227">
        <v>1.4204545454545454E-2</v>
      </c>
      <c r="E490" s="1227">
        <f t="shared" si="39"/>
        <v>0.59293680297397766</v>
      </c>
      <c r="F490" s="1227">
        <f t="shared" si="35"/>
        <v>0.23510608739547043</v>
      </c>
      <c r="G490" s="1227">
        <f t="shared" si="36"/>
        <v>3.912023005428146</v>
      </c>
      <c r="H490" s="1227">
        <f t="shared" si="37"/>
        <v>-0.69314718055994529</v>
      </c>
      <c r="I490" s="1227">
        <f t="shared" si="38"/>
        <v>-4.2541932631639972</v>
      </c>
      <c r="J490" s="27"/>
    </row>
    <row r="491" spans="1:10">
      <c r="A491" s="27">
        <v>480</v>
      </c>
      <c r="B491" s="1227">
        <v>50</v>
      </c>
      <c r="C491" s="1227">
        <v>0.5</v>
      </c>
      <c r="D491" s="1227">
        <v>1.4204545454545454E-2</v>
      </c>
      <c r="E491" s="1227">
        <f t="shared" si="39"/>
        <v>0.59417596034696407</v>
      </c>
      <c r="F491" s="1227">
        <f t="shared" si="35"/>
        <v>0.23830044103271933</v>
      </c>
      <c r="G491" s="1227">
        <f t="shared" si="36"/>
        <v>3.912023005428146</v>
      </c>
      <c r="H491" s="1227">
        <f t="shared" si="37"/>
        <v>-0.69314718055994529</v>
      </c>
      <c r="I491" s="1227">
        <f t="shared" si="38"/>
        <v>-4.2541932631639972</v>
      </c>
      <c r="J491" s="27"/>
    </row>
    <row r="492" spans="1:10">
      <c r="A492" s="27">
        <v>481</v>
      </c>
      <c r="B492" s="1227">
        <v>50</v>
      </c>
      <c r="C492" s="1227">
        <v>0.51</v>
      </c>
      <c r="D492" s="1227">
        <v>1.4204545454545454E-2</v>
      </c>
      <c r="E492" s="1227">
        <f t="shared" si="39"/>
        <v>0.59541511771995048</v>
      </c>
      <c r="F492" s="1227">
        <f t="shared" si="35"/>
        <v>0.24149722812139693</v>
      </c>
      <c r="G492" s="1227">
        <f t="shared" si="36"/>
        <v>3.912023005428146</v>
      </c>
      <c r="H492" s="1227">
        <f t="shared" si="37"/>
        <v>-0.67334455326376563</v>
      </c>
      <c r="I492" s="1227">
        <f t="shared" si="38"/>
        <v>-4.2541932631639972</v>
      </c>
      <c r="J492" s="27"/>
    </row>
    <row r="493" spans="1:10">
      <c r="A493" s="27">
        <v>482</v>
      </c>
      <c r="B493" s="1227">
        <v>50</v>
      </c>
      <c r="C493" s="1227">
        <v>0.51</v>
      </c>
      <c r="D493" s="1227">
        <v>1.4204545454545454E-2</v>
      </c>
      <c r="E493" s="1227">
        <f t="shared" si="39"/>
        <v>0.59665427509293678</v>
      </c>
      <c r="F493" s="1227">
        <f t="shared" si="35"/>
        <v>0.24469648509158839</v>
      </c>
      <c r="G493" s="1227">
        <f t="shared" si="36"/>
        <v>3.912023005428146</v>
      </c>
      <c r="H493" s="1227">
        <f t="shared" si="37"/>
        <v>-0.67334455326376563</v>
      </c>
      <c r="I493" s="1227">
        <f t="shared" si="38"/>
        <v>-4.2541932631639972</v>
      </c>
      <c r="J493" s="27"/>
    </row>
    <row r="494" spans="1:10">
      <c r="A494" s="27">
        <v>483</v>
      </c>
      <c r="B494" s="1227">
        <v>50</v>
      </c>
      <c r="C494" s="1227">
        <v>0.52</v>
      </c>
      <c r="D494" s="1227">
        <v>1.4204545454545454E-2</v>
      </c>
      <c r="E494" s="1227">
        <f t="shared" si="39"/>
        <v>0.59789343246592319</v>
      </c>
      <c r="F494" s="1227">
        <f t="shared" si="35"/>
        <v>0.2478982485590456</v>
      </c>
      <c r="G494" s="1227">
        <f t="shared" si="36"/>
        <v>3.912023005428146</v>
      </c>
      <c r="H494" s="1227">
        <f t="shared" si="37"/>
        <v>-0.65392646740666394</v>
      </c>
      <c r="I494" s="1227">
        <f t="shared" si="38"/>
        <v>-4.2541932631639972</v>
      </c>
      <c r="J494" s="27"/>
    </row>
    <row r="495" spans="1:10">
      <c r="A495" s="27">
        <v>484</v>
      </c>
      <c r="B495" s="1227">
        <v>50</v>
      </c>
      <c r="C495" s="1227">
        <v>0.52</v>
      </c>
      <c r="D495" s="1227">
        <v>1.4204545454545454E-2</v>
      </c>
      <c r="E495" s="1227">
        <f t="shared" si="39"/>
        <v>0.59913258983890949</v>
      </c>
      <c r="F495" s="1227">
        <f t="shared" si="35"/>
        <v>0.25110255532847081</v>
      </c>
      <c r="G495" s="1227">
        <f t="shared" si="36"/>
        <v>3.912023005428146</v>
      </c>
      <c r="H495" s="1227">
        <f t="shared" si="37"/>
        <v>-0.65392646740666394</v>
      </c>
      <c r="I495" s="1227">
        <f t="shared" si="38"/>
        <v>-4.2541932631639972</v>
      </c>
      <c r="J495" s="27"/>
    </row>
    <row r="496" spans="1:10">
      <c r="A496" s="27">
        <v>485</v>
      </c>
      <c r="B496" s="1227">
        <v>50</v>
      </c>
      <c r="C496" s="1227">
        <v>0.52</v>
      </c>
      <c r="D496" s="1227">
        <v>1.4204545454545454E-2</v>
      </c>
      <c r="E496" s="1227">
        <f t="shared" si="39"/>
        <v>0.6003717472118959</v>
      </c>
      <c r="F496" s="1227">
        <f t="shared" si="35"/>
        <v>0.254309442396843</v>
      </c>
      <c r="G496" s="1227">
        <f t="shared" si="36"/>
        <v>3.912023005428146</v>
      </c>
      <c r="H496" s="1227">
        <f t="shared" si="37"/>
        <v>-0.65392646740666394</v>
      </c>
      <c r="I496" s="1227">
        <f t="shared" si="38"/>
        <v>-4.2541932631639972</v>
      </c>
      <c r="J496" s="27"/>
    </row>
    <row r="497" spans="1:10">
      <c r="A497" s="27">
        <v>486</v>
      </c>
      <c r="B497" s="1227">
        <v>50</v>
      </c>
      <c r="C497" s="1227">
        <v>0.53</v>
      </c>
      <c r="D497" s="1227">
        <v>1.4204545454545454E-2</v>
      </c>
      <c r="E497" s="1227">
        <f t="shared" si="39"/>
        <v>0.60161090458488231</v>
      </c>
      <c r="F497" s="1227">
        <f t="shared" si="35"/>
        <v>0.25751894695677907</v>
      </c>
      <c r="G497" s="1227">
        <f t="shared" si="36"/>
        <v>3.912023005428146</v>
      </c>
      <c r="H497" s="1227">
        <f t="shared" si="37"/>
        <v>-0.6348782724359695</v>
      </c>
      <c r="I497" s="1227">
        <f t="shared" si="38"/>
        <v>-4.2541932631639972</v>
      </c>
      <c r="J497" s="27"/>
    </row>
    <row r="498" spans="1:10">
      <c r="A498" s="27">
        <v>487</v>
      </c>
      <c r="B498" s="1227">
        <v>50</v>
      </c>
      <c r="C498" s="1227">
        <v>0.53</v>
      </c>
      <c r="D498" s="1227">
        <v>1.4204545454545454E-2</v>
      </c>
      <c r="E498" s="1227">
        <f t="shared" si="39"/>
        <v>0.60285006195786861</v>
      </c>
      <c r="F498" s="1227">
        <f t="shared" si="35"/>
        <v>0.26073110639993913</v>
      </c>
      <c r="G498" s="1227">
        <f t="shared" si="36"/>
        <v>3.912023005428146</v>
      </c>
      <c r="H498" s="1227">
        <f t="shared" si="37"/>
        <v>-0.6348782724359695</v>
      </c>
      <c r="I498" s="1227">
        <f t="shared" si="38"/>
        <v>-4.2541932631639972</v>
      </c>
      <c r="J498" s="27"/>
    </row>
    <row r="499" spans="1:10">
      <c r="A499" s="27">
        <v>488</v>
      </c>
      <c r="B499" s="1227">
        <v>50</v>
      </c>
      <c r="C499" s="1234">
        <v>0.53</v>
      </c>
      <c r="D499" s="1227">
        <v>1.4204545454545454E-2</v>
      </c>
      <c r="E499" s="1227">
        <f t="shared" si="39"/>
        <v>0.60408921933085502</v>
      </c>
      <c r="F499" s="1227">
        <f t="shared" si="35"/>
        <v>0.26394595832047196</v>
      </c>
      <c r="G499" s="1227">
        <f t="shared" si="36"/>
        <v>3.912023005428146</v>
      </c>
      <c r="H499" s="1227">
        <f t="shared" si="37"/>
        <v>-0.6348782724359695</v>
      </c>
      <c r="I499" s="1227">
        <f t="shared" si="38"/>
        <v>-4.2541932631639972</v>
      </c>
      <c r="J499" s="27"/>
    </row>
    <row r="500" spans="1:10">
      <c r="A500" s="27">
        <v>489</v>
      </c>
      <c r="B500" s="1227">
        <v>50</v>
      </c>
      <c r="C500" s="1227">
        <v>0.55000000000000004</v>
      </c>
      <c r="D500" s="1227">
        <v>1.4204545454545454E-2</v>
      </c>
      <c r="E500" s="1227">
        <f t="shared" si="39"/>
        <v>0.60532837670384143</v>
      </c>
      <c r="F500" s="1227">
        <f t="shared" si="35"/>
        <v>0.26716354051850105</v>
      </c>
      <c r="G500" s="1227">
        <f t="shared" si="36"/>
        <v>3.912023005428146</v>
      </c>
      <c r="H500" s="1227">
        <f t="shared" si="37"/>
        <v>-0.59783700075562041</v>
      </c>
      <c r="I500" s="1227">
        <f t="shared" si="38"/>
        <v>-4.2541932631639972</v>
      </c>
      <c r="J500" s="27"/>
    </row>
    <row r="501" spans="1:10">
      <c r="A501" s="27">
        <v>490</v>
      </c>
      <c r="B501" s="1227">
        <v>50</v>
      </c>
      <c r="C501" s="1227">
        <v>0.55000000000000004</v>
      </c>
      <c r="D501" s="1227">
        <v>1.4488636363636363E-2</v>
      </c>
      <c r="E501" s="1227">
        <f t="shared" si="39"/>
        <v>0.60656753407682773</v>
      </c>
      <c r="F501" s="1227">
        <f t="shared" si="35"/>
        <v>0.27038389100365501</v>
      </c>
      <c r="G501" s="1227">
        <f t="shared" si="36"/>
        <v>3.912023005428146</v>
      </c>
      <c r="H501" s="1227">
        <f t="shared" si="37"/>
        <v>-0.59783700075562041</v>
      </c>
      <c r="I501" s="1227">
        <f t="shared" si="38"/>
        <v>-4.2343906358678174</v>
      </c>
      <c r="J501" s="27"/>
    </row>
    <row r="502" spans="1:10">
      <c r="A502" s="27">
        <v>491</v>
      </c>
      <c r="B502" s="1227">
        <v>50</v>
      </c>
      <c r="C502" s="1227">
        <v>0.56000000000000005</v>
      </c>
      <c r="D502" s="1227">
        <v>1.4488636363636363E-2</v>
      </c>
      <c r="E502" s="1227">
        <f t="shared" si="39"/>
        <v>0.60780669144981414</v>
      </c>
      <c r="F502" s="1227">
        <f t="shared" si="35"/>
        <v>0.27360704799864299</v>
      </c>
      <c r="G502" s="1227">
        <f t="shared" si="36"/>
        <v>3.912023005428146</v>
      </c>
      <c r="H502" s="1227">
        <f t="shared" si="37"/>
        <v>-0.57981849525294205</v>
      </c>
      <c r="I502" s="1227">
        <f t="shared" si="38"/>
        <v>-4.2343906358678174</v>
      </c>
      <c r="J502" s="27"/>
    </row>
    <row r="503" spans="1:10">
      <c r="A503" s="27">
        <v>492</v>
      </c>
      <c r="B503" s="1227">
        <v>50</v>
      </c>
      <c r="C503" s="1227">
        <v>0.56000000000000005</v>
      </c>
      <c r="D503" s="1227">
        <v>1.4545454545454545E-2</v>
      </c>
      <c r="E503" s="1227">
        <f t="shared" si="39"/>
        <v>0.60904584882280055</v>
      </c>
      <c r="F503" s="1227">
        <f t="shared" si="35"/>
        <v>0.27683304994287167</v>
      </c>
      <c r="G503" s="1227">
        <f t="shared" si="36"/>
        <v>3.912023005428146</v>
      </c>
      <c r="H503" s="1227">
        <f t="shared" si="37"/>
        <v>-0.57981849525294205</v>
      </c>
      <c r="I503" s="1227">
        <f t="shared" si="38"/>
        <v>-4.2304767365466809</v>
      </c>
      <c r="J503" s="27"/>
    </row>
    <row r="504" spans="1:10">
      <c r="A504" s="27">
        <v>493</v>
      </c>
      <c r="B504" s="1227">
        <v>50</v>
      </c>
      <c r="C504" s="1227">
        <v>0.56999999999999995</v>
      </c>
      <c r="D504" s="1227">
        <v>1.4999999999999999E-2</v>
      </c>
      <c r="E504" s="1227">
        <f t="shared" si="39"/>
        <v>0.61028500619578685</v>
      </c>
      <c r="F504" s="1227">
        <f t="shared" si="35"/>
        <v>0.28006193549611114</v>
      </c>
      <c r="G504" s="1227">
        <f t="shared" si="36"/>
        <v>3.912023005428146</v>
      </c>
      <c r="H504" s="1227">
        <f t="shared" si="37"/>
        <v>-0.56211891815354131</v>
      </c>
      <c r="I504" s="1227">
        <f t="shared" si="38"/>
        <v>-4.1997050778799272</v>
      </c>
      <c r="J504" s="27"/>
    </row>
    <row r="505" spans="1:10">
      <c r="A505" s="27">
        <v>494</v>
      </c>
      <c r="B505" s="1227">
        <v>50</v>
      </c>
      <c r="C505" s="1227">
        <v>0.59</v>
      </c>
      <c r="D505" s="1228">
        <v>1.5056818181818182E-2</v>
      </c>
      <c r="E505" s="1227">
        <f t="shared" si="39"/>
        <v>0.61152416356877326</v>
      </c>
      <c r="F505" s="1227">
        <f t="shared" si="35"/>
        <v>0.28329374354220688</v>
      </c>
      <c r="G505" s="1227">
        <f t="shared" si="36"/>
        <v>3.912023005428146</v>
      </c>
      <c r="H505" s="1227">
        <f t="shared" si="37"/>
        <v>-0.52763274208237199</v>
      </c>
      <c r="I505" s="1227">
        <f t="shared" si="38"/>
        <v>-4.1959243550400211</v>
      </c>
      <c r="J505" s="27"/>
    </row>
    <row r="506" spans="1:10">
      <c r="A506" s="27">
        <v>495</v>
      </c>
      <c r="B506" s="1227">
        <v>50</v>
      </c>
      <c r="C506" s="1227">
        <v>0.59</v>
      </c>
      <c r="D506" s="1227">
        <v>1.5227272727272728E-2</v>
      </c>
      <c r="E506" s="1227">
        <f t="shared" si="39"/>
        <v>0.61276332094175956</v>
      </c>
      <c r="F506" s="1227">
        <f t="shared" si="35"/>
        <v>0.28652851319283734</v>
      </c>
      <c r="G506" s="1227">
        <f t="shared" si="36"/>
        <v>3.912023005428146</v>
      </c>
      <c r="H506" s="1227">
        <f t="shared" si="37"/>
        <v>-0.52763274208237199</v>
      </c>
      <c r="I506" s="1227">
        <f t="shared" si="38"/>
        <v>-4.1846672005153867</v>
      </c>
      <c r="J506" s="27"/>
    </row>
    <row r="507" spans="1:10">
      <c r="A507" s="27">
        <v>496</v>
      </c>
      <c r="B507" s="1227">
        <v>50</v>
      </c>
      <c r="C507" s="1227">
        <v>0.6</v>
      </c>
      <c r="D507" s="1227">
        <v>1.5340909090909091E-2</v>
      </c>
      <c r="E507" s="1227">
        <f t="shared" si="39"/>
        <v>0.61400247831474597</v>
      </c>
      <c r="F507" s="1227">
        <f t="shared" si="35"/>
        <v>0.28976628379132435</v>
      </c>
      <c r="G507" s="1227">
        <f t="shared" si="36"/>
        <v>3.912023005428146</v>
      </c>
      <c r="H507" s="1227">
        <f t="shared" si="37"/>
        <v>-0.51082562376599072</v>
      </c>
      <c r="I507" s="1227">
        <f t="shared" si="38"/>
        <v>-4.1772322220278681</v>
      </c>
      <c r="J507" s="27"/>
    </row>
    <row r="508" spans="1:10">
      <c r="A508" s="27">
        <v>497</v>
      </c>
      <c r="B508" s="1227">
        <v>50</v>
      </c>
      <c r="C508" s="1227">
        <v>0.6</v>
      </c>
      <c r="D508" s="1227">
        <v>1.5909090909090911E-2</v>
      </c>
      <c r="E508" s="1227">
        <f t="shared" si="39"/>
        <v>0.61524163568773238</v>
      </c>
      <c r="F508" s="1227">
        <f t="shared" si="35"/>
        <v>0.29300709491648896</v>
      </c>
      <c r="G508" s="1227">
        <f t="shared" si="36"/>
        <v>3.912023005428146</v>
      </c>
      <c r="H508" s="1227">
        <f t="shared" si="37"/>
        <v>-0.51082562376599072</v>
      </c>
      <c r="I508" s="1227">
        <f t="shared" si="38"/>
        <v>-4.140864577856993</v>
      </c>
      <c r="J508" s="27"/>
    </row>
    <row r="509" spans="1:10">
      <c r="A509" s="27">
        <v>498</v>
      </c>
      <c r="B509" s="1227">
        <v>50</v>
      </c>
      <c r="C509" s="1227">
        <v>0.6</v>
      </c>
      <c r="D509" s="1227">
        <v>1.6761363636363633E-2</v>
      </c>
      <c r="E509" s="1227">
        <f t="shared" si="39"/>
        <v>0.61648079306071868</v>
      </c>
      <c r="F509" s="1227">
        <f t="shared" si="35"/>
        <v>0.296250986386561</v>
      </c>
      <c r="G509" s="1227">
        <f t="shared" si="36"/>
        <v>3.912023005428146</v>
      </c>
      <c r="H509" s="1227">
        <f t="shared" si="37"/>
        <v>-0.51082562376599072</v>
      </c>
      <c r="I509" s="1227">
        <f t="shared" si="38"/>
        <v>-4.0886788246864239</v>
      </c>
      <c r="J509" s="27"/>
    </row>
    <row r="510" spans="1:10">
      <c r="A510" s="27">
        <v>499</v>
      </c>
      <c r="B510" s="1227">
        <v>50</v>
      </c>
      <c r="C510" s="1227">
        <v>0.6</v>
      </c>
      <c r="D510" s="1227">
        <v>1.7045454545454544E-2</v>
      </c>
      <c r="E510" s="1227">
        <f t="shared" si="39"/>
        <v>0.61771995043370509</v>
      </c>
      <c r="F510" s="1227">
        <f t="shared" si="35"/>
        <v>0.29949799826314094</v>
      </c>
      <c r="G510" s="1227">
        <f t="shared" si="36"/>
        <v>3.912023005428146</v>
      </c>
      <c r="H510" s="1227">
        <f t="shared" si="37"/>
        <v>-0.51082562376599072</v>
      </c>
      <c r="I510" s="1227">
        <f t="shared" si="38"/>
        <v>-4.0718717063700423</v>
      </c>
      <c r="J510" s="27"/>
    </row>
    <row r="511" spans="1:10">
      <c r="A511" s="27">
        <v>500</v>
      </c>
      <c r="B511" s="1227">
        <v>50</v>
      </c>
      <c r="C511" s="1227">
        <v>0.6</v>
      </c>
      <c r="D511" s="1227">
        <v>1.7045454545454544E-2</v>
      </c>
      <c r="E511" s="1227">
        <f t="shared" si="39"/>
        <v>0.6189591078066915</v>
      </c>
      <c r="F511" s="1227">
        <f t="shared" si="35"/>
        <v>0.30274817085521194</v>
      </c>
      <c r="G511" s="1227">
        <f t="shared" si="36"/>
        <v>3.912023005428146</v>
      </c>
      <c r="H511" s="1227">
        <f t="shared" si="37"/>
        <v>-0.51082562376599072</v>
      </c>
      <c r="I511" s="1227">
        <f t="shared" si="38"/>
        <v>-4.0718717063700423</v>
      </c>
      <c r="J511" s="27"/>
    </row>
    <row r="512" spans="1:10">
      <c r="A512" s="27">
        <v>501</v>
      </c>
      <c r="B512" s="1227">
        <v>50</v>
      </c>
      <c r="C512" s="1227">
        <v>0.6</v>
      </c>
      <c r="D512" s="1227">
        <v>1.7045454545454544E-2</v>
      </c>
      <c r="E512" s="1227">
        <f t="shared" si="39"/>
        <v>0.6201982651796778</v>
      </c>
      <c r="F512" s="1227">
        <f t="shared" si="35"/>
        <v>0.30600154472320873</v>
      </c>
      <c r="G512" s="1227">
        <f t="shared" si="36"/>
        <v>3.912023005428146</v>
      </c>
      <c r="H512" s="1227">
        <f t="shared" si="37"/>
        <v>-0.51082562376599072</v>
      </c>
      <c r="I512" s="1227">
        <f t="shared" si="38"/>
        <v>-4.0718717063700423</v>
      </c>
      <c r="J512" s="27"/>
    </row>
    <row r="513" spans="1:10">
      <c r="A513" s="27">
        <v>502</v>
      </c>
      <c r="B513" s="1227">
        <v>50</v>
      </c>
      <c r="C513" s="1227">
        <v>0.6</v>
      </c>
      <c r="D513" s="1227">
        <v>1.7045454545454544E-2</v>
      </c>
      <c r="E513" s="1227">
        <f t="shared" si="39"/>
        <v>0.62143742255266421</v>
      </c>
      <c r="F513" s="1227">
        <f t="shared" si="35"/>
        <v>0.30925816068314183</v>
      </c>
      <c r="G513" s="1227">
        <f t="shared" si="36"/>
        <v>3.912023005428146</v>
      </c>
      <c r="H513" s="1227">
        <f t="shared" si="37"/>
        <v>-0.51082562376599072</v>
      </c>
      <c r="I513" s="1227">
        <f t="shared" si="38"/>
        <v>-4.0718717063700423</v>
      </c>
      <c r="J513" s="27"/>
    </row>
    <row r="514" spans="1:10">
      <c r="A514" s="27">
        <v>503</v>
      </c>
      <c r="B514" s="1227">
        <v>50</v>
      </c>
      <c r="C514" s="1234">
        <v>0.6</v>
      </c>
      <c r="D514" s="1227">
        <v>1.7045454545454544E-2</v>
      </c>
      <c r="E514" s="1227">
        <f t="shared" si="39"/>
        <v>0.62267657992565051</v>
      </c>
      <c r="F514" s="1227">
        <f t="shared" si="35"/>
        <v>0.31251805981077552</v>
      </c>
      <c r="G514" s="1227">
        <f t="shared" si="36"/>
        <v>3.912023005428146</v>
      </c>
      <c r="H514" s="1227">
        <f t="shared" si="37"/>
        <v>-0.51082562376599072</v>
      </c>
      <c r="I514" s="1227">
        <f t="shared" si="38"/>
        <v>-4.0718717063700423</v>
      </c>
      <c r="J514" s="27"/>
    </row>
    <row r="515" spans="1:10">
      <c r="A515" s="27">
        <v>504</v>
      </c>
      <c r="B515" s="1227">
        <v>50</v>
      </c>
      <c r="C515" s="1227">
        <v>0.64</v>
      </c>
      <c r="D515" s="1227">
        <v>1.7045454545454544E-2</v>
      </c>
      <c r="E515" s="1227">
        <f t="shared" si="39"/>
        <v>0.62391573729863692</v>
      </c>
      <c r="F515" s="1227">
        <f t="shared" si="35"/>
        <v>0.31578128344586803</v>
      </c>
      <c r="G515" s="1227">
        <f t="shared" si="36"/>
        <v>3.912023005428146</v>
      </c>
      <c r="H515" s="1227">
        <f t="shared" si="37"/>
        <v>-0.44628710262841947</v>
      </c>
      <c r="I515" s="1227">
        <f t="shared" si="38"/>
        <v>-4.0718717063700423</v>
      </c>
      <c r="J515" s="27"/>
    </row>
    <row r="516" spans="1:10">
      <c r="A516" s="27">
        <v>505</v>
      </c>
      <c r="B516" s="1227">
        <v>50</v>
      </c>
      <c r="C516" s="1227">
        <v>0.7</v>
      </c>
      <c r="D516" s="1227">
        <v>1.7045454545454544E-2</v>
      </c>
      <c r="E516" s="1227">
        <f t="shared" si="39"/>
        <v>0.62515489467162333</v>
      </c>
      <c r="F516" s="1227">
        <f t="shared" si="35"/>
        <v>0.31904787319646533</v>
      </c>
      <c r="G516" s="1227">
        <f t="shared" si="36"/>
        <v>3.912023005428146</v>
      </c>
      <c r="H516" s="1227">
        <f t="shared" si="37"/>
        <v>-0.35667494393873245</v>
      </c>
      <c r="I516" s="1227">
        <f t="shared" si="38"/>
        <v>-4.0718717063700423</v>
      </c>
      <c r="J516" s="27"/>
    </row>
    <row r="517" spans="1:10">
      <c r="A517" s="27">
        <v>506</v>
      </c>
      <c r="B517" s="1227">
        <v>50</v>
      </c>
      <c r="C517" s="1227">
        <v>0.7</v>
      </c>
      <c r="D517" s="1227">
        <v>1.7045454545454544E-2</v>
      </c>
      <c r="E517" s="1227">
        <f t="shared" si="39"/>
        <v>0.62639405204460963</v>
      </c>
      <c r="F517" s="1227">
        <f t="shared" si="35"/>
        <v>0.3223178709432597</v>
      </c>
      <c r="G517" s="1227">
        <f t="shared" si="36"/>
        <v>3.912023005428146</v>
      </c>
      <c r="H517" s="1227">
        <f t="shared" si="37"/>
        <v>-0.35667494393873245</v>
      </c>
      <c r="I517" s="1227">
        <f t="shared" si="38"/>
        <v>-4.0718717063700423</v>
      </c>
      <c r="J517" s="27"/>
    </row>
    <row r="518" spans="1:10">
      <c r="A518" s="27">
        <v>507</v>
      </c>
      <c r="B518" s="1227">
        <v>50</v>
      </c>
      <c r="C518" s="1227">
        <v>0.7</v>
      </c>
      <c r="D518" s="1227">
        <v>1.8068181818181817E-2</v>
      </c>
      <c r="E518" s="1227">
        <f t="shared" si="39"/>
        <v>0.62763320941759604</v>
      </c>
      <c r="F518" s="1227">
        <f t="shared" si="35"/>
        <v>0.32559131884400822</v>
      </c>
      <c r="G518" s="1227">
        <f t="shared" si="36"/>
        <v>3.912023005428146</v>
      </c>
      <c r="H518" s="1227">
        <f t="shared" si="37"/>
        <v>-0.35667494393873245</v>
      </c>
      <c r="I518" s="1227">
        <f t="shared" si="38"/>
        <v>-4.0136027982460662</v>
      </c>
      <c r="J518" s="27"/>
    </row>
    <row r="519" spans="1:10">
      <c r="A519" s="27">
        <v>508</v>
      </c>
      <c r="B519" s="1227">
        <v>50</v>
      </c>
      <c r="C519" s="1226">
        <v>0.7</v>
      </c>
      <c r="D519" s="1227">
        <v>1.8323863636363635E-2</v>
      </c>
      <c r="E519" s="1227">
        <f t="shared" si="39"/>
        <v>0.62887236679058245</v>
      </c>
      <c r="F519" s="1227">
        <f t="shared" si="35"/>
        <v>0.32886825933801223</v>
      </c>
      <c r="G519" s="1227">
        <f t="shared" si="36"/>
        <v>3.912023005428146</v>
      </c>
      <c r="H519" s="1227">
        <f t="shared" si="37"/>
        <v>-0.35667494393873245</v>
      </c>
      <c r="I519" s="1227">
        <f t="shared" si="38"/>
        <v>-3.9995510447904161</v>
      </c>
      <c r="J519" s="27"/>
    </row>
    <row r="520" spans="1:10">
      <c r="A520" s="27">
        <v>509</v>
      </c>
      <c r="B520" s="1227">
        <v>50</v>
      </c>
      <c r="C520" s="1227">
        <v>0.71</v>
      </c>
      <c r="D520" s="1227">
        <v>1.8323863636363635E-2</v>
      </c>
      <c r="E520" s="1227">
        <f t="shared" si="39"/>
        <v>0.63011152416356875</v>
      </c>
      <c r="F520" s="1227">
        <f t="shared" si="35"/>
        <v>0.33214873515066334</v>
      </c>
      <c r="G520" s="1227">
        <f t="shared" si="36"/>
        <v>3.912023005428146</v>
      </c>
      <c r="H520" s="1227">
        <f t="shared" si="37"/>
        <v>-0.34249030894677601</v>
      </c>
      <c r="I520" s="1227">
        <f t="shared" si="38"/>
        <v>-3.9995510447904161</v>
      </c>
      <c r="J520" s="27"/>
    </row>
    <row r="521" spans="1:10">
      <c r="A521" s="27">
        <v>510</v>
      </c>
      <c r="B521" s="1227">
        <v>50</v>
      </c>
      <c r="C521" s="1227">
        <v>0.71</v>
      </c>
      <c r="D521" s="1227">
        <v>1.8749999999999999E-2</v>
      </c>
      <c r="E521" s="1227">
        <f t="shared" si="39"/>
        <v>0.63135068153655516</v>
      </c>
      <c r="F521" s="1227">
        <f t="shared" si="35"/>
        <v>0.33543278929805492</v>
      </c>
      <c r="G521" s="1227">
        <f t="shared" si="36"/>
        <v>3.912023005428146</v>
      </c>
      <c r="H521" s="1227">
        <f t="shared" si="37"/>
        <v>-0.34249030894677601</v>
      </c>
      <c r="I521" s="1227">
        <f t="shared" si="38"/>
        <v>-3.9765615265657175</v>
      </c>
      <c r="J521" s="27"/>
    </row>
    <row r="522" spans="1:10">
      <c r="A522" s="27">
        <v>511</v>
      </c>
      <c r="B522" s="1227">
        <v>50</v>
      </c>
      <c r="C522" s="1227">
        <v>0.75</v>
      </c>
      <c r="D522" s="1227">
        <v>1.8749999999999999E-2</v>
      </c>
      <c r="E522" s="1227">
        <f t="shared" si="39"/>
        <v>0.63258983890954146</v>
      </c>
      <c r="F522" s="1227">
        <f t="shared" si="35"/>
        <v>0.3387204650916576</v>
      </c>
      <c r="G522" s="1227">
        <f t="shared" si="36"/>
        <v>3.912023005428146</v>
      </c>
      <c r="H522" s="1227">
        <f t="shared" si="37"/>
        <v>-0.2876820724517809</v>
      </c>
      <c r="I522" s="1227">
        <f t="shared" si="38"/>
        <v>-3.9765615265657175</v>
      </c>
      <c r="J522" s="27"/>
    </row>
    <row r="523" spans="1:10">
      <c r="A523" s="27">
        <v>512</v>
      </c>
      <c r="B523" s="1227">
        <v>50</v>
      </c>
      <c r="C523" s="1227">
        <v>0.75</v>
      </c>
      <c r="D523" s="1227">
        <v>1.8749999999999999E-2</v>
      </c>
      <c r="E523" s="1227">
        <f t="shared" si="39"/>
        <v>0.63382899628252787</v>
      </c>
      <c r="F523" s="1227">
        <f t="shared" si="35"/>
        <v>0.34201180614306698</v>
      </c>
      <c r="G523" s="1227">
        <f t="shared" si="36"/>
        <v>3.912023005428146</v>
      </c>
      <c r="H523" s="1227">
        <f t="shared" si="37"/>
        <v>-0.2876820724517809</v>
      </c>
      <c r="I523" s="1227">
        <f t="shared" si="38"/>
        <v>-3.9765615265657175</v>
      </c>
      <c r="J523" s="27"/>
    </row>
    <row r="524" spans="1:10">
      <c r="A524" s="27">
        <v>513</v>
      </c>
      <c r="B524" s="1227">
        <v>50</v>
      </c>
      <c r="C524" s="1227">
        <v>0.78</v>
      </c>
      <c r="D524" s="1227">
        <v>1.9318181818181818E-2</v>
      </c>
      <c r="E524" s="1227">
        <f t="shared" si="39"/>
        <v>0.63506815365551428</v>
      </c>
      <c r="F524" s="1227">
        <f t="shared" ref="F524:F587" si="40">NORMSINV(E524)</f>
        <v>0.34530685636881786</v>
      </c>
      <c r="G524" s="1227">
        <f t="shared" ref="G524:G587" si="41">LN(B524)</f>
        <v>3.912023005428146</v>
      </c>
      <c r="H524" s="1227">
        <f t="shared" ref="H524:H587" si="42">LN(C524)</f>
        <v>-0.24846135929849961</v>
      </c>
      <c r="I524" s="1227">
        <f t="shared" ref="I524:I587" si="43">LN(D524)</f>
        <v>-3.9467085634160362</v>
      </c>
      <c r="J524" s="27"/>
    </row>
    <row r="525" spans="1:10">
      <c r="A525" s="27">
        <v>514</v>
      </c>
      <c r="B525" s="1227">
        <v>50</v>
      </c>
      <c r="C525" s="1227">
        <v>0.8</v>
      </c>
      <c r="D525" s="1227">
        <v>1.9318181818181818E-2</v>
      </c>
      <c r="E525" s="1227">
        <f t="shared" ref="E525:E588" si="44">(A525-0.5)/807</f>
        <v>0.63630731102850058</v>
      </c>
      <c r="F525" s="1227">
        <f t="shared" si="40"/>
        <v>0.34860565999527104</v>
      </c>
      <c r="G525" s="1227">
        <f t="shared" si="41"/>
        <v>3.912023005428146</v>
      </c>
      <c r="H525" s="1227">
        <f t="shared" si="42"/>
        <v>-0.22314355131420971</v>
      </c>
      <c r="I525" s="1227">
        <f t="shared" si="43"/>
        <v>-3.9467085634160362</v>
      </c>
      <c r="J525" s="27"/>
    </row>
    <row r="526" spans="1:10">
      <c r="A526" s="27">
        <v>515</v>
      </c>
      <c r="B526" s="1227">
        <v>50</v>
      </c>
      <c r="C526" s="1227">
        <v>0.8</v>
      </c>
      <c r="D526" s="1227">
        <v>1.9886363636363636E-2</v>
      </c>
      <c r="E526" s="1227">
        <f t="shared" si="44"/>
        <v>0.63754646840148699</v>
      </c>
      <c r="F526" s="1227">
        <f t="shared" si="40"/>
        <v>0.35190826156357441</v>
      </c>
      <c r="G526" s="1227">
        <f t="shared" si="41"/>
        <v>3.912023005428146</v>
      </c>
      <c r="H526" s="1227">
        <f t="shared" si="42"/>
        <v>-0.22314355131420971</v>
      </c>
      <c r="I526" s="1227">
        <f t="shared" si="43"/>
        <v>-3.9177210265427838</v>
      </c>
      <c r="J526" s="27"/>
    </row>
    <row r="527" spans="1:10">
      <c r="A527" s="27">
        <v>516</v>
      </c>
      <c r="B527" s="1227">
        <v>50</v>
      </c>
      <c r="C527" s="1227">
        <v>0.8</v>
      </c>
      <c r="D527" s="1227">
        <v>1.9886363636363636E-2</v>
      </c>
      <c r="E527" s="1227">
        <f t="shared" si="44"/>
        <v>0.6387856257744734</v>
      </c>
      <c r="F527" s="1227">
        <f t="shared" si="40"/>
        <v>0.35521470593469451</v>
      </c>
      <c r="G527" s="1227">
        <f t="shared" si="41"/>
        <v>3.912023005428146</v>
      </c>
      <c r="H527" s="1227">
        <f t="shared" si="42"/>
        <v>-0.22314355131420971</v>
      </c>
      <c r="I527" s="1227">
        <f t="shared" si="43"/>
        <v>-3.9177210265427838</v>
      </c>
      <c r="J527" s="27"/>
    </row>
    <row r="528" spans="1:10">
      <c r="A528" s="27">
        <v>517</v>
      </c>
      <c r="B528" s="1227">
        <v>50</v>
      </c>
      <c r="C528" s="1227">
        <v>0.8</v>
      </c>
      <c r="D528" s="1231">
        <v>1.9886363636363636E-2</v>
      </c>
      <c r="E528" s="1227">
        <f t="shared" si="44"/>
        <v>0.6400247831474597</v>
      </c>
      <c r="F528" s="1227">
        <f t="shared" si="40"/>
        <v>0.35852503829452775</v>
      </c>
      <c r="G528" s="1227">
        <f t="shared" si="41"/>
        <v>3.912023005428146</v>
      </c>
      <c r="H528" s="1227">
        <f t="shared" si="42"/>
        <v>-0.22314355131420971</v>
      </c>
      <c r="I528" s="1227">
        <f t="shared" si="43"/>
        <v>-3.9177210265427838</v>
      </c>
      <c r="J528" s="27"/>
    </row>
    <row r="529" spans="1:10">
      <c r="A529" s="27">
        <v>518</v>
      </c>
      <c r="B529" s="1227">
        <v>50</v>
      </c>
      <c r="C529" s="1227">
        <v>0.8</v>
      </c>
      <c r="D529" s="1227">
        <v>2.0170454545454543E-2</v>
      </c>
      <c r="E529" s="1227">
        <f t="shared" si="44"/>
        <v>0.64126394052044611</v>
      </c>
      <c r="F529" s="1227">
        <f t="shared" si="40"/>
        <v>0.36183930415908783</v>
      </c>
      <c r="G529" s="1227">
        <f t="shared" si="41"/>
        <v>3.912023005428146</v>
      </c>
      <c r="H529" s="1227">
        <f t="shared" si="42"/>
        <v>-0.22314355131420971</v>
      </c>
      <c r="I529" s="1227">
        <f t="shared" si="43"/>
        <v>-3.9035363915508277</v>
      </c>
      <c r="J529" s="27"/>
    </row>
    <row r="530" spans="1:10">
      <c r="A530" s="27">
        <v>519</v>
      </c>
      <c r="B530" s="1227">
        <v>50</v>
      </c>
      <c r="C530" s="1227">
        <v>0.8</v>
      </c>
      <c r="D530" s="1227">
        <v>2.0170454545454543E-2</v>
      </c>
      <c r="E530" s="1227">
        <f t="shared" si="44"/>
        <v>0.64250309789343252</v>
      </c>
      <c r="F530" s="1227">
        <f t="shared" si="40"/>
        <v>0.36515754937977135</v>
      </c>
      <c r="G530" s="1227">
        <f t="shared" si="41"/>
        <v>3.912023005428146</v>
      </c>
      <c r="H530" s="1227">
        <f t="shared" si="42"/>
        <v>-0.22314355131420971</v>
      </c>
      <c r="I530" s="1227">
        <f t="shared" si="43"/>
        <v>-3.9035363915508277</v>
      </c>
      <c r="J530" s="27"/>
    </row>
    <row r="531" spans="1:10">
      <c r="A531" s="27">
        <v>520</v>
      </c>
      <c r="B531" s="1227">
        <v>50</v>
      </c>
      <c r="C531" s="1227">
        <v>0.8</v>
      </c>
      <c r="D531" s="1227">
        <v>2.130681818181818E-2</v>
      </c>
      <c r="E531" s="1227">
        <f t="shared" si="44"/>
        <v>0.64374225526641882</v>
      </c>
      <c r="F531" s="1227">
        <f t="shared" si="40"/>
        <v>0.36847982014870556</v>
      </c>
      <c r="G531" s="1227">
        <f t="shared" si="41"/>
        <v>3.912023005428146</v>
      </c>
      <c r="H531" s="1227">
        <f t="shared" si="42"/>
        <v>-0.22314355131420971</v>
      </c>
      <c r="I531" s="1227">
        <f t="shared" si="43"/>
        <v>-3.8487281550558325</v>
      </c>
      <c r="J531" s="27"/>
    </row>
    <row r="532" spans="1:10">
      <c r="A532" s="27">
        <v>521</v>
      </c>
      <c r="B532" s="1227">
        <v>50</v>
      </c>
      <c r="C532" s="1227">
        <v>0.82</v>
      </c>
      <c r="D532" s="1227">
        <v>2.130681818181818E-2</v>
      </c>
      <c r="E532" s="1227">
        <f t="shared" si="44"/>
        <v>0.64498141263940523</v>
      </c>
      <c r="F532" s="1227">
        <f t="shared" si="40"/>
        <v>0.37180616300417962</v>
      </c>
      <c r="G532" s="1227">
        <f t="shared" si="41"/>
        <v>3.912023005428146</v>
      </c>
      <c r="H532" s="1227">
        <f t="shared" si="42"/>
        <v>-0.19845093872383832</v>
      </c>
      <c r="I532" s="1227">
        <f t="shared" si="43"/>
        <v>-3.8487281550558325</v>
      </c>
      <c r="J532" s="27"/>
    </row>
    <row r="533" spans="1:10">
      <c r="A533" s="27">
        <v>522</v>
      </c>
      <c r="B533" s="1227">
        <v>50</v>
      </c>
      <c r="C533" s="1227">
        <v>0.82</v>
      </c>
      <c r="D533" s="1227">
        <v>2.130681818181818E-2</v>
      </c>
      <c r="E533" s="1227">
        <f t="shared" si="44"/>
        <v>0.64622057001239153</v>
      </c>
      <c r="F533" s="1227">
        <f t="shared" si="40"/>
        <v>0.37513662483615684</v>
      </c>
      <c r="G533" s="1227">
        <f t="shared" si="41"/>
        <v>3.912023005428146</v>
      </c>
      <c r="H533" s="1227">
        <f t="shared" si="42"/>
        <v>-0.19845093872383832</v>
      </c>
      <c r="I533" s="1227">
        <f t="shared" si="43"/>
        <v>-3.8487281550558325</v>
      </c>
      <c r="J533" s="27"/>
    </row>
    <row r="534" spans="1:10">
      <c r="A534" s="27">
        <v>523</v>
      </c>
      <c r="B534" s="1227">
        <v>50</v>
      </c>
      <c r="C534" s="1227">
        <v>0.83</v>
      </c>
      <c r="D534" s="1227">
        <v>2.130681818181818E-2</v>
      </c>
      <c r="E534" s="1227">
        <f t="shared" si="44"/>
        <v>0.64745972738537794</v>
      </c>
      <c r="F534" s="1227">
        <f t="shared" si="40"/>
        <v>0.37847125289187822</v>
      </c>
      <c r="G534" s="1227">
        <f t="shared" si="41"/>
        <v>3.912023005428146</v>
      </c>
      <c r="H534" s="1227">
        <f t="shared" si="42"/>
        <v>-0.18632957819149348</v>
      </c>
      <c r="I534" s="1227">
        <f t="shared" si="43"/>
        <v>-3.8487281550558325</v>
      </c>
      <c r="J534" s="27"/>
    </row>
    <row r="535" spans="1:10">
      <c r="A535" s="27">
        <v>524</v>
      </c>
      <c r="B535" s="1227">
        <v>50</v>
      </c>
      <c r="C535" s="1227">
        <v>0.86</v>
      </c>
      <c r="D535" s="1229">
        <v>2.130681818181818E-2</v>
      </c>
      <c r="E535" s="1227">
        <f t="shared" si="44"/>
        <v>0.64869888475836435</v>
      </c>
      <c r="F535" s="1227">
        <f t="shared" si="40"/>
        <v>0.38181009478154926</v>
      </c>
      <c r="G535" s="1227">
        <f t="shared" si="41"/>
        <v>3.912023005428146</v>
      </c>
      <c r="H535" s="1227">
        <f t="shared" si="42"/>
        <v>-0.15082288973458366</v>
      </c>
      <c r="I535" s="1227">
        <f t="shared" si="43"/>
        <v>-3.8487281550558325</v>
      </c>
      <c r="J535" s="27"/>
    </row>
    <row r="536" spans="1:10">
      <c r="A536" s="27">
        <v>525</v>
      </c>
      <c r="B536" s="1227">
        <v>50</v>
      </c>
      <c r="C536" s="1227">
        <v>0.9</v>
      </c>
      <c r="D536" s="1227">
        <v>2.1590909090909091E-2</v>
      </c>
      <c r="E536" s="1227">
        <f t="shared" si="44"/>
        <v>0.64993804213135065</v>
      </c>
      <c r="F536" s="1227">
        <f t="shared" si="40"/>
        <v>0.38515319848411972</v>
      </c>
      <c r="G536" s="1227">
        <f t="shared" si="41"/>
        <v>3.912023005428146</v>
      </c>
      <c r="H536" s="1227">
        <f t="shared" si="42"/>
        <v>-0.10536051565782628</v>
      </c>
      <c r="I536" s="1227">
        <f t="shared" si="43"/>
        <v>-3.8354829283058116</v>
      </c>
      <c r="J536" s="27"/>
    </row>
    <row r="537" spans="1:10">
      <c r="A537" s="27">
        <v>526</v>
      </c>
      <c r="B537" s="1227">
        <v>50</v>
      </c>
      <c r="C537" s="1227">
        <v>0.9</v>
      </c>
      <c r="D537" s="1227">
        <v>2.1931818181818181E-2</v>
      </c>
      <c r="E537" s="1227">
        <f t="shared" si="44"/>
        <v>0.65117719950433706</v>
      </c>
      <c r="F537" s="1227">
        <f t="shared" si="40"/>
        <v>0.38850061235315569</v>
      </c>
      <c r="G537" s="1227">
        <f t="shared" si="41"/>
        <v>3.912023005428146</v>
      </c>
      <c r="H537" s="1227">
        <f t="shared" si="42"/>
        <v>-0.10536051565782628</v>
      </c>
      <c r="I537" s="1227">
        <f t="shared" si="43"/>
        <v>-3.8198168115614122</v>
      </c>
      <c r="J537" s="27"/>
    </row>
    <row r="538" spans="1:10">
      <c r="A538" s="27">
        <v>527</v>
      </c>
      <c r="B538" s="1227">
        <v>50</v>
      </c>
      <c r="C538" s="1227">
        <v>0.91</v>
      </c>
      <c r="D538" s="1227">
        <v>2.2386363636363638E-2</v>
      </c>
      <c r="E538" s="1227">
        <f t="shared" si="44"/>
        <v>0.65241635687732347</v>
      </c>
      <c r="F538" s="1227">
        <f t="shared" si="40"/>
        <v>0.39185238512280324</v>
      </c>
      <c r="G538" s="1227">
        <f t="shared" si="41"/>
        <v>3.912023005428146</v>
      </c>
      <c r="H538" s="1227">
        <f t="shared" si="42"/>
        <v>-9.431067947124129E-2</v>
      </c>
      <c r="I538" s="1227">
        <f t="shared" si="43"/>
        <v>-3.7993032717283093</v>
      </c>
      <c r="J538" s="27"/>
    </row>
    <row r="539" spans="1:10">
      <c r="A539" s="27">
        <v>528</v>
      </c>
      <c r="B539" s="1227">
        <v>50</v>
      </c>
      <c r="C539" s="1227">
        <v>0.95</v>
      </c>
      <c r="D539" s="1227">
        <v>2.2727272727272728E-2</v>
      </c>
      <c r="E539" s="1227">
        <f t="shared" si="44"/>
        <v>0.65365551425030977</v>
      </c>
      <c r="F539" s="1227">
        <f t="shared" si="40"/>
        <v>0.39520856591384995</v>
      </c>
      <c r="G539" s="1227">
        <f t="shared" si="41"/>
        <v>3.912023005428146</v>
      </c>
      <c r="H539" s="1227">
        <f t="shared" si="42"/>
        <v>-5.1293294387550578E-2</v>
      </c>
      <c r="I539" s="1227">
        <f t="shared" si="43"/>
        <v>-3.784189633918261</v>
      </c>
      <c r="J539" s="27"/>
    </row>
    <row r="540" spans="1:10">
      <c r="A540" s="27">
        <v>529</v>
      </c>
      <c r="B540" s="1227">
        <v>50</v>
      </c>
      <c r="C540" s="1227">
        <v>0.95</v>
      </c>
      <c r="D540" s="1227">
        <v>2.2727272727272728E-2</v>
      </c>
      <c r="E540" s="1227">
        <f t="shared" si="44"/>
        <v>0.65489467162329618</v>
      </c>
      <c r="F540" s="1227">
        <f t="shared" si="40"/>
        <v>0.39856920423988579</v>
      </c>
      <c r="G540" s="1227">
        <f t="shared" si="41"/>
        <v>3.912023005428146</v>
      </c>
      <c r="H540" s="1227">
        <f t="shared" si="42"/>
        <v>-5.1293294387550578E-2</v>
      </c>
      <c r="I540" s="1227">
        <f t="shared" si="43"/>
        <v>-3.784189633918261</v>
      </c>
      <c r="J540" s="27"/>
    </row>
    <row r="541" spans="1:10">
      <c r="A541" s="27">
        <v>530</v>
      </c>
      <c r="B541" s="1227">
        <v>50</v>
      </c>
      <c r="C541" s="1227">
        <v>0.96</v>
      </c>
      <c r="D541" s="1227">
        <v>2.2727272727272728E-2</v>
      </c>
      <c r="E541" s="1227">
        <f t="shared" si="44"/>
        <v>0.65613382899628248</v>
      </c>
      <c r="F541" s="1227">
        <f t="shared" si="40"/>
        <v>0.40193435001356026</v>
      </c>
      <c r="G541" s="1227">
        <f t="shared" si="41"/>
        <v>3.912023005428146</v>
      </c>
      <c r="H541" s="1227">
        <f t="shared" si="42"/>
        <v>-4.0821994520255166E-2</v>
      </c>
      <c r="I541" s="1227">
        <f t="shared" si="43"/>
        <v>-3.784189633918261</v>
      </c>
      <c r="J541" s="27"/>
    </row>
    <row r="542" spans="1:10">
      <c r="A542" s="27">
        <v>531</v>
      </c>
      <c r="B542" s="1227">
        <v>50</v>
      </c>
      <c r="C542" s="1227">
        <v>1</v>
      </c>
      <c r="D542" s="1227">
        <v>2.2727272727272728E-2</v>
      </c>
      <c r="E542" s="1227">
        <f t="shared" si="44"/>
        <v>0.65737298636926889</v>
      </c>
      <c r="F542" s="1227">
        <f t="shared" si="40"/>
        <v>0.40530405355294757</v>
      </c>
      <c r="G542" s="1227">
        <f t="shared" si="41"/>
        <v>3.912023005428146</v>
      </c>
      <c r="H542" s="1227">
        <f t="shared" si="42"/>
        <v>0</v>
      </c>
      <c r="I542" s="1227">
        <f t="shared" si="43"/>
        <v>-3.784189633918261</v>
      </c>
      <c r="J542" s="27"/>
    </row>
    <row r="543" spans="1:10">
      <c r="A543" s="27">
        <v>532</v>
      </c>
      <c r="B543" s="1227">
        <v>50</v>
      </c>
      <c r="C543" s="1227">
        <v>1</v>
      </c>
      <c r="D543" s="1227">
        <v>2.2727272727272728E-2</v>
      </c>
      <c r="E543" s="1227">
        <f t="shared" si="44"/>
        <v>0.6586121437422553</v>
      </c>
      <c r="F543" s="1227">
        <f t="shared" si="40"/>
        <v>0.40867836558801146</v>
      </c>
      <c r="G543" s="1227">
        <f t="shared" si="41"/>
        <v>3.912023005428146</v>
      </c>
      <c r="H543" s="1227">
        <f t="shared" si="42"/>
        <v>0</v>
      </c>
      <c r="I543" s="1227">
        <f t="shared" si="43"/>
        <v>-3.784189633918261</v>
      </c>
      <c r="J543" s="27"/>
    </row>
    <row r="544" spans="1:10">
      <c r="A544" s="27">
        <v>533</v>
      </c>
      <c r="B544" s="1227">
        <v>50</v>
      </c>
      <c r="C544" s="1227">
        <v>1</v>
      </c>
      <c r="D544" s="1227">
        <v>2.2727272727272728E-2</v>
      </c>
      <c r="E544" s="1227">
        <f t="shared" si="44"/>
        <v>0.6598513011152416</v>
      </c>
      <c r="F544" s="1227">
        <f t="shared" si="40"/>
        <v>0.41205733726718025</v>
      </c>
      <c r="G544" s="1227">
        <f t="shared" si="41"/>
        <v>3.912023005428146</v>
      </c>
      <c r="H544" s="1227">
        <f t="shared" si="42"/>
        <v>0</v>
      </c>
      <c r="I544" s="1227">
        <f t="shared" si="43"/>
        <v>-3.784189633918261</v>
      </c>
      <c r="J544" s="27"/>
    </row>
    <row r="545" spans="1:10">
      <c r="A545" s="27">
        <v>534</v>
      </c>
      <c r="B545" s="1227">
        <v>50</v>
      </c>
      <c r="C545" s="1227">
        <v>1</v>
      </c>
      <c r="D545" s="1227">
        <v>2.2727272727272728E-2</v>
      </c>
      <c r="E545" s="1227">
        <f t="shared" si="44"/>
        <v>0.66109045848822801</v>
      </c>
      <c r="F545" s="1227">
        <f t="shared" si="40"/>
        <v>0.415441020164032</v>
      </c>
      <c r="G545" s="1227">
        <f t="shared" si="41"/>
        <v>3.912023005428146</v>
      </c>
      <c r="H545" s="1227">
        <f t="shared" si="42"/>
        <v>0</v>
      </c>
      <c r="I545" s="1227">
        <f t="shared" si="43"/>
        <v>-3.784189633918261</v>
      </c>
      <c r="J545" s="27"/>
    </row>
    <row r="546" spans="1:10">
      <c r="A546" s="27">
        <v>535</v>
      </c>
      <c r="B546" s="1227">
        <v>50</v>
      </c>
      <c r="C546" s="1227">
        <v>1</v>
      </c>
      <c r="D546" s="1227">
        <v>2.2727272727272728E-2</v>
      </c>
      <c r="E546" s="1227">
        <f t="shared" si="44"/>
        <v>0.66232961586121442</v>
      </c>
      <c r="F546" s="1227">
        <f t="shared" si="40"/>
        <v>0.4188294662840879</v>
      </c>
      <c r="G546" s="1227">
        <f t="shared" si="41"/>
        <v>3.912023005428146</v>
      </c>
      <c r="H546" s="1227">
        <f t="shared" si="42"/>
        <v>0</v>
      </c>
      <c r="I546" s="1227">
        <f t="shared" si="43"/>
        <v>-3.784189633918261</v>
      </c>
      <c r="J546" s="27"/>
    </row>
    <row r="547" spans="1:10">
      <c r="A547" s="27">
        <v>536</v>
      </c>
      <c r="B547" s="1227">
        <v>50</v>
      </c>
      <c r="C547" s="1227">
        <v>1</v>
      </c>
      <c r="D547" s="1227">
        <v>2.2727272727272728E-2</v>
      </c>
      <c r="E547" s="1227">
        <f t="shared" si="44"/>
        <v>0.66356877323420072</v>
      </c>
      <c r="F547" s="1227">
        <f t="shared" si="40"/>
        <v>0.42222272807172406</v>
      </c>
      <c r="G547" s="1227">
        <f t="shared" si="41"/>
        <v>3.912023005428146</v>
      </c>
      <c r="H547" s="1227">
        <f t="shared" si="42"/>
        <v>0</v>
      </c>
      <c r="I547" s="1227">
        <f t="shared" si="43"/>
        <v>-3.784189633918261</v>
      </c>
      <c r="J547" s="27"/>
    </row>
    <row r="548" spans="1:10">
      <c r="A548" s="27">
        <v>537</v>
      </c>
      <c r="B548" s="1227">
        <v>50</v>
      </c>
      <c r="C548" s="1227">
        <v>1</v>
      </c>
      <c r="D548" s="1227">
        <v>2.2727272727272728E-2</v>
      </c>
      <c r="E548" s="1227">
        <f t="shared" si="44"/>
        <v>0.66480793060718713</v>
      </c>
      <c r="F548" s="1227">
        <f t="shared" si="40"/>
        <v>0.42562085841719849</v>
      </c>
      <c r="G548" s="1227">
        <f t="shared" si="41"/>
        <v>3.912023005428146</v>
      </c>
      <c r="H548" s="1227">
        <f t="shared" si="42"/>
        <v>0</v>
      </c>
      <c r="I548" s="1227">
        <f t="shared" si="43"/>
        <v>-3.784189633918261</v>
      </c>
      <c r="J548" s="27"/>
    </row>
    <row r="549" spans="1:10">
      <c r="A549" s="27">
        <v>538</v>
      </c>
      <c r="B549" s="1227">
        <v>50</v>
      </c>
      <c r="C549" s="1227">
        <v>1</v>
      </c>
      <c r="D549" s="1227">
        <v>2.2840909090909092E-2</v>
      </c>
      <c r="E549" s="1227">
        <f t="shared" si="44"/>
        <v>0.66604708798017354</v>
      </c>
      <c r="F549" s="1227">
        <f t="shared" si="40"/>
        <v>0.4290239106637978</v>
      </c>
      <c r="G549" s="1227">
        <f t="shared" si="41"/>
        <v>3.912023005428146</v>
      </c>
      <c r="H549" s="1227">
        <f t="shared" si="42"/>
        <v>0</v>
      </c>
      <c r="I549" s="1227">
        <f t="shared" si="43"/>
        <v>-3.779202092407222</v>
      </c>
      <c r="J549" s="27"/>
    </row>
    <row r="550" spans="1:10">
      <c r="A550" s="27">
        <v>539</v>
      </c>
      <c r="B550" s="1227">
        <v>50</v>
      </c>
      <c r="C550" s="1227">
        <v>1</v>
      </c>
      <c r="D550" s="1227">
        <v>2.4147727272727272E-2</v>
      </c>
      <c r="E550" s="1227">
        <f t="shared" si="44"/>
        <v>0.66728624535315983</v>
      </c>
      <c r="F550" s="1227">
        <f t="shared" si="40"/>
        <v>0.43243193861510604</v>
      </c>
      <c r="G550" s="1227">
        <f t="shared" si="41"/>
        <v>3.912023005428146</v>
      </c>
      <c r="H550" s="1227">
        <f t="shared" si="42"/>
        <v>0</v>
      </c>
      <c r="I550" s="1227">
        <f t="shared" si="43"/>
        <v>-3.7235650121018264</v>
      </c>
      <c r="J550" s="27"/>
    </row>
    <row r="551" spans="1:10">
      <c r="A551" s="27">
        <v>540</v>
      </c>
      <c r="B551" s="1227">
        <v>50</v>
      </c>
      <c r="C551" s="1227">
        <v>1</v>
      </c>
      <c r="D551" s="1227">
        <v>2.4857954545454544E-2</v>
      </c>
      <c r="E551" s="1227">
        <f t="shared" si="44"/>
        <v>0.66852540272614625</v>
      </c>
      <c r="F551" s="1227">
        <f t="shared" si="40"/>
        <v>0.4358449965423995</v>
      </c>
      <c r="G551" s="1227">
        <f t="shared" si="41"/>
        <v>3.912023005428146</v>
      </c>
      <c r="H551" s="1227">
        <f t="shared" si="42"/>
        <v>0</v>
      </c>
      <c r="I551" s="1227">
        <f t="shared" si="43"/>
        <v>-3.694577475228574</v>
      </c>
      <c r="J551" s="27"/>
    </row>
    <row r="552" spans="1:10">
      <c r="A552" s="27">
        <v>541</v>
      </c>
      <c r="B552" s="1227">
        <v>50</v>
      </c>
      <c r="C552" s="1227">
        <v>1</v>
      </c>
      <c r="D552" s="1227">
        <v>2.5142045454545455E-2</v>
      </c>
      <c r="E552" s="1227">
        <f t="shared" si="44"/>
        <v>0.66976456009913254</v>
      </c>
      <c r="F552" s="1227">
        <f t="shared" si="40"/>
        <v>0.43926313919216836</v>
      </c>
      <c r="G552" s="1227">
        <f t="shared" si="41"/>
        <v>3.912023005428146</v>
      </c>
      <c r="H552" s="1227">
        <f t="shared" si="42"/>
        <v>0</v>
      </c>
      <c r="I552" s="1227">
        <f t="shared" si="43"/>
        <v>-3.6832137165782588</v>
      </c>
      <c r="J552" s="27"/>
    </row>
    <row r="553" spans="1:10">
      <c r="A553" s="27">
        <v>542</v>
      </c>
      <c r="B553" s="1227">
        <v>50</v>
      </c>
      <c r="C553" s="1227">
        <v>1</v>
      </c>
      <c r="D553" s="1227">
        <v>2.5568181818181816E-2</v>
      </c>
      <c r="E553" s="1227">
        <f t="shared" si="44"/>
        <v>0.67100371747211895</v>
      </c>
      <c r="F553" s="1227">
        <f t="shared" si="40"/>
        <v>0.44268642179377005</v>
      </c>
      <c r="G553" s="1227">
        <f t="shared" si="41"/>
        <v>3.912023005428146</v>
      </c>
      <c r="H553" s="1227">
        <f t="shared" si="42"/>
        <v>0</v>
      </c>
      <c r="I553" s="1227">
        <f t="shared" si="43"/>
        <v>-3.6664065982618776</v>
      </c>
      <c r="J553" s="27"/>
    </row>
    <row r="554" spans="1:10">
      <c r="A554" s="27">
        <v>543</v>
      </c>
      <c r="B554" s="1227">
        <v>50</v>
      </c>
      <c r="C554" s="1227">
        <v>1</v>
      </c>
      <c r="D554" s="1227">
        <v>2.5568181818181816E-2</v>
      </c>
      <c r="E554" s="1227">
        <f t="shared" si="44"/>
        <v>0.67224287484510536</v>
      </c>
      <c r="F554" s="1227">
        <f t="shared" si="40"/>
        <v>0.44611490006721516</v>
      </c>
      <c r="G554" s="1227">
        <f t="shared" si="41"/>
        <v>3.912023005428146</v>
      </c>
      <c r="H554" s="1227">
        <f t="shared" si="42"/>
        <v>0</v>
      </c>
      <c r="I554" s="1227">
        <f t="shared" si="43"/>
        <v>-3.6664065982618776</v>
      </c>
      <c r="J554" s="27"/>
    </row>
    <row r="555" spans="1:10">
      <c r="A555" s="27">
        <v>544</v>
      </c>
      <c r="B555" s="1227">
        <v>50</v>
      </c>
      <c r="C555" s="1227">
        <v>1</v>
      </c>
      <c r="D555" s="1227">
        <v>2.5568181818181816E-2</v>
      </c>
      <c r="E555" s="1227">
        <f t="shared" si="44"/>
        <v>0.67348203221809166</v>
      </c>
      <c r="F555" s="1227">
        <f t="shared" si="40"/>
        <v>0.44954863023109171</v>
      </c>
      <c r="G555" s="1227">
        <f t="shared" si="41"/>
        <v>3.912023005428146</v>
      </c>
      <c r="H555" s="1227">
        <f t="shared" si="42"/>
        <v>0</v>
      </c>
      <c r="I555" s="1227">
        <f t="shared" si="43"/>
        <v>-3.6664065982618776</v>
      </c>
      <c r="J555" s="27"/>
    </row>
    <row r="556" spans="1:10">
      <c r="A556" s="27">
        <v>545</v>
      </c>
      <c r="B556" s="1227">
        <v>50</v>
      </c>
      <c r="C556" s="1227">
        <v>1</v>
      </c>
      <c r="D556" s="1227">
        <v>2.5568181818181816E-2</v>
      </c>
      <c r="E556" s="1227">
        <f t="shared" si="44"/>
        <v>0.67472118959107807</v>
      </c>
      <c r="F556" s="1227">
        <f t="shared" si="40"/>
        <v>0.45298766901062815</v>
      </c>
      <c r="G556" s="1227">
        <f t="shared" si="41"/>
        <v>3.912023005428146</v>
      </c>
      <c r="H556" s="1227">
        <f t="shared" si="42"/>
        <v>0</v>
      </c>
      <c r="I556" s="1227">
        <f t="shared" si="43"/>
        <v>-3.6664065982618776</v>
      </c>
      <c r="J556" s="27"/>
    </row>
    <row r="557" spans="1:10">
      <c r="A557" s="27">
        <v>546</v>
      </c>
      <c r="B557" s="1227">
        <v>50</v>
      </c>
      <c r="C557" s="1227">
        <v>1</v>
      </c>
      <c r="D557" s="1227">
        <v>2.5852272727272727E-2</v>
      </c>
      <c r="E557" s="1227">
        <f t="shared" si="44"/>
        <v>0.67596034696406448</v>
      </c>
      <c r="F557" s="1227">
        <f t="shared" si="40"/>
        <v>0.45643207364590022</v>
      </c>
      <c r="G557" s="1227">
        <f t="shared" si="41"/>
        <v>3.912023005428146</v>
      </c>
      <c r="H557" s="1227">
        <f t="shared" si="42"/>
        <v>0</v>
      </c>
      <c r="I557" s="1227">
        <f t="shared" si="43"/>
        <v>-3.6553567620752929</v>
      </c>
      <c r="J557" s="27"/>
    </row>
    <row r="558" spans="1:10">
      <c r="A558" s="27">
        <v>547</v>
      </c>
      <c r="B558" s="1227">
        <v>50</v>
      </c>
      <c r="C558" s="1227">
        <v>1</v>
      </c>
      <c r="D558" s="1227">
        <v>2.6249999999999999E-2</v>
      </c>
      <c r="E558" s="1227">
        <f t="shared" si="44"/>
        <v>0.67719950433705078</v>
      </c>
      <c r="F558" s="1227">
        <f t="shared" si="40"/>
        <v>0.45988190190018269</v>
      </c>
      <c r="G558" s="1227">
        <f t="shared" si="41"/>
        <v>3.912023005428146</v>
      </c>
      <c r="H558" s="1227">
        <f t="shared" si="42"/>
        <v>0</v>
      </c>
      <c r="I558" s="1227">
        <f t="shared" si="43"/>
        <v>-3.6400892899445045</v>
      </c>
      <c r="J558" s="27"/>
    </row>
    <row r="559" spans="1:10">
      <c r="A559" s="27">
        <v>548</v>
      </c>
      <c r="B559" s="1227">
        <v>50</v>
      </c>
      <c r="C559" s="1227">
        <v>1</v>
      </c>
      <c r="D559" s="1227">
        <v>2.784090909090909E-2</v>
      </c>
      <c r="E559" s="1227">
        <f t="shared" si="44"/>
        <v>0.67843866171003719</v>
      </c>
      <c r="F559" s="1227">
        <f t="shared" si="40"/>
        <v>0.46333721206845424</v>
      </c>
      <c r="G559" s="1227">
        <f t="shared" si="41"/>
        <v>3.912023005428146</v>
      </c>
      <c r="H559" s="1227">
        <f t="shared" si="42"/>
        <v>0</v>
      </c>
      <c r="I559" s="1227">
        <f t="shared" si="43"/>
        <v>-3.5812487899215708</v>
      </c>
      <c r="J559" s="27"/>
    </row>
    <row r="560" spans="1:10">
      <c r="A560" s="27">
        <v>549</v>
      </c>
      <c r="B560" s="1227">
        <v>50</v>
      </c>
      <c r="C560" s="1227">
        <v>1</v>
      </c>
      <c r="D560" s="1227">
        <v>2.8124999999999997E-2</v>
      </c>
      <c r="E560" s="1227">
        <f t="shared" si="44"/>
        <v>0.67967781908302349</v>
      </c>
      <c r="F560" s="1227">
        <f t="shared" si="40"/>
        <v>0.46679806298605175</v>
      </c>
      <c r="G560" s="1227">
        <f t="shared" si="41"/>
        <v>3.912023005428146</v>
      </c>
      <c r="H560" s="1227">
        <f t="shared" si="42"/>
        <v>0</v>
      </c>
      <c r="I560" s="1227">
        <f t="shared" si="43"/>
        <v>-3.5710964184575529</v>
      </c>
      <c r="J560" s="27"/>
    </row>
    <row r="561" spans="1:10">
      <c r="A561" s="27">
        <v>550</v>
      </c>
      <c r="B561" s="1227">
        <v>50</v>
      </c>
      <c r="C561" s="1227">
        <v>1</v>
      </c>
      <c r="D561" s="1227">
        <v>2.8409090909090908E-2</v>
      </c>
      <c r="E561" s="1227">
        <f t="shared" si="44"/>
        <v>0.6809169764560099</v>
      </c>
      <c r="F561" s="1227">
        <f t="shared" si="40"/>
        <v>0.47026451403748454</v>
      </c>
      <c r="G561" s="1227">
        <f t="shared" si="41"/>
        <v>3.912023005428146</v>
      </c>
      <c r="H561" s="1227">
        <f t="shared" si="42"/>
        <v>0</v>
      </c>
      <c r="I561" s="1227">
        <f t="shared" si="43"/>
        <v>-3.5610460826040513</v>
      </c>
      <c r="J561" s="27"/>
    </row>
    <row r="562" spans="1:10">
      <c r="A562" s="27">
        <v>551</v>
      </c>
      <c r="B562" s="1227">
        <v>50</v>
      </c>
      <c r="C562" s="1227">
        <v>1</v>
      </c>
      <c r="D562" s="1227">
        <v>2.8409090909090908E-2</v>
      </c>
      <c r="E562" s="1227">
        <f t="shared" si="44"/>
        <v>0.68215613382899631</v>
      </c>
      <c r="F562" s="1227">
        <f t="shared" si="40"/>
        <v>0.47373662516540604</v>
      </c>
      <c r="G562" s="1227">
        <f t="shared" si="41"/>
        <v>3.912023005428146</v>
      </c>
      <c r="H562" s="1227">
        <f t="shared" si="42"/>
        <v>0</v>
      </c>
      <c r="I562" s="1227">
        <f t="shared" si="43"/>
        <v>-3.5610460826040513</v>
      </c>
      <c r="J562" s="27"/>
    </row>
    <row r="563" spans="1:10">
      <c r="A563" s="27">
        <v>552</v>
      </c>
      <c r="B563" s="1227">
        <v>50</v>
      </c>
      <c r="C563" s="1227">
        <v>1</v>
      </c>
      <c r="D563" s="1227">
        <v>2.8409090909090908E-2</v>
      </c>
      <c r="E563" s="1227">
        <f t="shared" si="44"/>
        <v>0.68339529120198261</v>
      </c>
      <c r="F563" s="1227">
        <f t="shared" si="40"/>
        <v>0.47721445687975261</v>
      </c>
      <c r="G563" s="1227">
        <f t="shared" si="41"/>
        <v>3.912023005428146</v>
      </c>
      <c r="H563" s="1227">
        <f t="shared" si="42"/>
        <v>0</v>
      </c>
      <c r="I563" s="1227">
        <f t="shared" si="43"/>
        <v>-3.5610460826040513</v>
      </c>
      <c r="J563" s="27"/>
    </row>
    <row r="564" spans="1:10">
      <c r="A564" s="27">
        <v>553</v>
      </c>
      <c r="B564" s="1227">
        <v>50</v>
      </c>
      <c r="C564" s="1227">
        <v>1</v>
      </c>
      <c r="D564" s="1227">
        <v>2.8409090909090908E-2</v>
      </c>
      <c r="E564" s="1227">
        <f t="shared" si="44"/>
        <v>0.68463444857496902</v>
      </c>
      <c r="F564" s="1227">
        <f t="shared" si="40"/>
        <v>0.48069807026704975</v>
      </c>
      <c r="G564" s="1227">
        <f t="shared" si="41"/>
        <v>3.912023005428146</v>
      </c>
      <c r="H564" s="1227">
        <f t="shared" si="42"/>
        <v>0</v>
      </c>
      <c r="I564" s="1227">
        <f t="shared" si="43"/>
        <v>-3.5610460826040513</v>
      </c>
      <c r="J564" s="27"/>
    </row>
    <row r="565" spans="1:10">
      <c r="A565" s="27">
        <v>554</v>
      </c>
      <c r="B565" s="1227">
        <v>50</v>
      </c>
      <c r="C565" s="1227">
        <v>1</v>
      </c>
      <c r="D565" s="1227">
        <v>2.8409090909090908E-2</v>
      </c>
      <c r="E565" s="1227">
        <f t="shared" si="44"/>
        <v>0.68587360594795543</v>
      </c>
      <c r="F565" s="1227">
        <f t="shared" si="40"/>
        <v>0.48418752699988815</v>
      </c>
      <c r="G565" s="1227">
        <f t="shared" si="41"/>
        <v>3.912023005428146</v>
      </c>
      <c r="H565" s="1227">
        <f t="shared" si="42"/>
        <v>0</v>
      </c>
      <c r="I565" s="1227">
        <f t="shared" si="43"/>
        <v>-3.5610460826040513</v>
      </c>
      <c r="J565" s="27"/>
    </row>
    <row r="566" spans="1:10">
      <c r="A566" s="27">
        <v>555</v>
      </c>
      <c r="B566" s="1227">
        <v>50</v>
      </c>
      <c r="C566" s="1227">
        <v>1</v>
      </c>
      <c r="D566" s="1227">
        <v>2.8409090909090908E-2</v>
      </c>
      <c r="E566" s="1227">
        <f t="shared" si="44"/>
        <v>0.68711276332094173</v>
      </c>
      <c r="F566" s="1227">
        <f t="shared" si="40"/>
        <v>0.4876828893465785</v>
      </c>
      <c r="G566" s="1227">
        <f t="shared" si="41"/>
        <v>3.912023005428146</v>
      </c>
      <c r="H566" s="1227">
        <f t="shared" si="42"/>
        <v>0</v>
      </c>
      <c r="I566" s="1227">
        <f t="shared" si="43"/>
        <v>-3.5610460826040513</v>
      </c>
      <c r="J566" s="27"/>
    </row>
    <row r="567" spans="1:10">
      <c r="A567" s="27">
        <v>556</v>
      </c>
      <c r="B567" s="1227">
        <v>50</v>
      </c>
      <c r="C567" s="1227">
        <v>1</v>
      </c>
      <c r="D567" s="1227">
        <v>2.8409090909090908E-2</v>
      </c>
      <c r="E567" s="1227">
        <f t="shared" si="44"/>
        <v>0.68835192069392814</v>
      </c>
      <c r="F567" s="1227">
        <f t="shared" si="40"/>
        <v>0.49118422018098601</v>
      </c>
      <c r="G567" s="1227">
        <f t="shared" si="41"/>
        <v>3.912023005428146</v>
      </c>
      <c r="H567" s="1227">
        <f t="shared" si="42"/>
        <v>0</v>
      </c>
      <c r="I567" s="1227">
        <f t="shared" si="43"/>
        <v>-3.5610460826040513</v>
      </c>
      <c r="J567" s="27"/>
    </row>
    <row r="568" spans="1:10">
      <c r="A568" s="27">
        <v>557</v>
      </c>
      <c r="B568" s="1227">
        <v>50</v>
      </c>
      <c r="C568" s="1227">
        <v>1</v>
      </c>
      <c r="D568" s="1227">
        <v>2.8409090909090908E-2</v>
      </c>
      <c r="E568" s="1227">
        <f t="shared" si="44"/>
        <v>0.68959107806691455</v>
      </c>
      <c r="F568" s="1227">
        <f t="shared" si="40"/>
        <v>0.49469158299254795</v>
      </c>
      <c r="G568" s="1227">
        <f t="shared" si="41"/>
        <v>3.912023005428146</v>
      </c>
      <c r="H568" s="1227">
        <f t="shared" si="42"/>
        <v>0</v>
      </c>
      <c r="I568" s="1227">
        <f t="shared" si="43"/>
        <v>-3.5610460826040513</v>
      </c>
      <c r="J568" s="27"/>
    </row>
    <row r="569" spans="1:10">
      <c r="A569" s="27">
        <v>558</v>
      </c>
      <c r="B569" s="1227">
        <v>50</v>
      </c>
      <c r="C569" s="1227">
        <v>1</v>
      </c>
      <c r="D569" s="1227">
        <v>2.8409090909090908E-2</v>
      </c>
      <c r="E569" s="1227">
        <f t="shared" si="44"/>
        <v>0.69083023543990085</v>
      </c>
      <c r="F569" s="1227">
        <f t="shared" si="40"/>
        <v>0.49820504189648129</v>
      </c>
      <c r="G569" s="1227">
        <f t="shared" si="41"/>
        <v>3.912023005428146</v>
      </c>
      <c r="H569" s="1227">
        <f t="shared" si="42"/>
        <v>0</v>
      </c>
      <c r="I569" s="1227">
        <f t="shared" si="43"/>
        <v>-3.5610460826040513</v>
      </c>
      <c r="J569" s="27"/>
    </row>
    <row r="570" spans="1:10">
      <c r="A570" s="27">
        <v>559</v>
      </c>
      <c r="B570" s="1227">
        <v>50</v>
      </c>
      <c r="C570" s="1227">
        <v>1</v>
      </c>
      <c r="D570" s="1227">
        <v>2.8409090909090908E-2</v>
      </c>
      <c r="E570" s="1227">
        <f t="shared" si="44"/>
        <v>0.69206939281288726</v>
      </c>
      <c r="F570" s="1227">
        <f t="shared" si="40"/>
        <v>0.50172466164418483</v>
      </c>
      <c r="G570" s="1227">
        <f t="shared" si="41"/>
        <v>3.912023005428146</v>
      </c>
      <c r="H570" s="1227">
        <f t="shared" si="42"/>
        <v>0</v>
      </c>
      <c r="I570" s="1227">
        <f t="shared" si="43"/>
        <v>-3.5610460826040513</v>
      </c>
      <c r="J570" s="27"/>
    </row>
    <row r="571" spans="1:10">
      <c r="A571" s="27">
        <v>560</v>
      </c>
      <c r="B571" s="1227">
        <v>50</v>
      </c>
      <c r="C571" s="1227">
        <v>1</v>
      </c>
      <c r="D571" s="1227">
        <v>2.8409090909090908E-2</v>
      </c>
      <c r="E571" s="1227">
        <f t="shared" si="44"/>
        <v>0.69330855018587356</v>
      </c>
      <c r="F571" s="1227">
        <f t="shared" si="40"/>
        <v>0.50525050763383683</v>
      </c>
      <c r="G571" s="1227">
        <f t="shared" si="41"/>
        <v>3.912023005428146</v>
      </c>
      <c r="H571" s="1227">
        <f t="shared" si="42"/>
        <v>0</v>
      </c>
      <c r="I571" s="1227">
        <f t="shared" si="43"/>
        <v>-3.5610460826040513</v>
      </c>
      <c r="J571" s="27"/>
    </row>
    <row r="572" spans="1:10">
      <c r="A572" s="27">
        <v>561</v>
      </c>
      <c r="B572" s="1227">
        <v>50</v>
      </c>
      <c r="C572" s="1227">
        <v>1</v>
      </c>
      <c r="D572" s="1227">
        <v>2.8409090909090908E-2</v>
      </c>
      <c r="E572" s="1227">
        <f t="shared" si="44"/>
        <v>0.69454770755885997</v>
      </c>
      <c r="F572" s="1227">
        <f t="shared" si="40"/>
        <v>0.50878264592119848</v>
      </c>
      <c r="G572" s="1227">
        <f t="shared" si="41"/>
        <v>3.912023005428146</v>
      </c>
      <c r="H572" s="1227">
        <f t="shared" si="42"/>
        <v>0</v>
      </c>
      <c r="I572" s="1227">
        <f t="shared" si="43"/>
        <v>-3.5610460826040513</v>
      </c>
      <c r="J572" s="27"/>
    </row>
    <row r="573" spans="1:10">
      <c r="A573" s="27">
        <v>562</v>
      </c>
      <c r="B573" s="1227">
        <v>50</v>
      </c>
      <c r="C573" s="1227">
        <v>1</v>
      </c>
      <c r="D573" s="1227">
        <v>2.8409090909090908E-2</v>
      </c>
      <c r="E573" s="1227">
        <f t="shared" si="44"/>
        <v>0.69578686493184638</v>
      </c>
      <c r="F573" s="1227">
        <f t="shared" si="40"/>
        <v>0.51232114323062217</v>
      </c>
      <c r="G573" s="1227">
        <f t="shared" si="41"/>
        <v>3.912023005428146</v>
      </c>
      <c r="H573" s="1227">
        <f t="shared" si="42"/>
        <v>0</v>
      </c>
      <c r="I573" s="1227">
        <f t="shared" si="43"/>
        <v>-3.5610460826040513</v>
      </c>
      <c r="J573" s="27"/>
    </row>
    <row r="574" spans="1:10">
      <c r="A574" s="27">
        <v>563</v>
      </c>
      <c r="B574" s="1227">
        <v>50</v>
      </c>
      <c r="C574" s="1227">
        <v>1</v>
      </c>
      <c r="D574" s="1227">
        <v>2.8409090909090908E-2</v>
      </c>
      <c r="E574" s="1227">
        <f t="shared" si="44"/>
        <v>0.69702602230483268</v>
      </c>
      <c r="F574" s="1227">
        <f t="shared" si="40"/>
        <v>0.51586606696627435</v>
      </c>
      <c r="G574" s="1227">
        <f t="shared" si="41"/>
        <v>3.912023005428146</v>
      </c>
      <c r="H574" s="1227">
        <f t="shared" si="42"/>
        <v>0</v>
      </c>
      <c r="I574" s="1227">
        <f t="shared" si="43"/>
        <v>-3.5610460826040513</v>
      </c>
      <c r="J574" s="27"/>
    </row>
    <row r="575" spans="1:10">
      <c r="A575" s="27">
        <v>564</v>
      </c>
      <c r="B575" s="1227">
        <v>50</v>
      </c>
      <c r="C575" s="1227">
        <v>1</v>
      </c>
      <c r="D575" s="1227">
        <v>2.8409090909090908E-2</v>
      </c>
      <c r="E575" s="1227">
        <f t="shared" si="44"/>
        <v>0.69826517967781909</v>
      </c>
      <c r="F575" s="1227">
        <f t="shared" si="40"/>
        <v>0.51941748522357756</v>
      </c>
      <c r="G575" s="1227">
        <f t="shared" si="41"/>
        <v>3.912023005428146</v>
      </c>
      <c r="H575" s="1227">
        <f t="shared" si="42"/>
        <v>0</v>
      </c>
      <c r="I575" s="1227">
        <f t="shared" si="43"/>
        <v>-3.5610460826040513</v>
      </c>
      <c r="J575" s="27"/>
    </row>
    <row r="576" spans="1:10">
      <c r="A576" s="27">
        <v>565</v>
      </c>
      <c r="B576" s="1227">
        <v>50</v>
      </c>
      <c r="C576" s="1227">
        <v>1</v>
      </c>
      <c r="D576" s="1227">
        <v>2.8409090909090908E-2</v>
      </c>
      <c r="E576" s="1227">
        <f t="shared" si="44"/>
        <v>0.6995043370508055</v>
      </c>
      <c r="F576" s="1227">
        <f t="shared" si="40"/>
        <v>0.52297546680087259</v>
      </c>
      <c r="G576" s="1227">
        <f t="shared" si="41"/>
        <v>3.912023005428146</v>
      </c>
      <c r="H576" s="1227">
        <f t="shared" si="42"/>
        <v>0</v>
      </c>
      <c r="I576" s="1227">
        <f t="shared" si="43"/>
        <v>-3.5610460826040513</v>
      </c>
      <c r="J576" s="27"/>
    </row>
    <row r="577" spans="1:10">
      <c r="A577" s="27">
        <v>566</v>
      </c>
      <c r="B577" s="1227">
        <v>50</v>
      </c>
      <c r="C577" s="1227">
        <v>1</v>
      </c>
      <c r="D577" s="1227">
        <v>2.8409090909090908E-2</v>
      </c>
      <c r="E577" s="1227">
        <f t="shared" si="44"/>
        <v>0.7007434944237918</v>
      </c>
      <c r="F577" s="1227">
        <f t="shared" si="40"/>
        <v>0.52654008121131124</v>
      </c>
      <c r="G577" s="1227">
        <f t="shared" si="41"/>
        <v>3.912023005428146</v>
      </c>
      <c r="H577" s="1227">
        <f t="shared" si="42"/>
        <v>0</v>
      </c>
      <c r="I577" s="1227">
        <f t="shared" si="43"/>
        <v>-3.5610460826040513</v>
      </c>
      <c r="J577" s="27"/>
    </row>
    <row r="578" spans="1:10">
      <c r="A578" s="27">
        <v>567</v>
      </c>
      <c r="B578" s="1227">
        <v>50</v>
      </c>
      <c r="C578" s="1227">
        <v>1</v>
      </c>
      <c r="D578" s="1227">
        <v>2.8409090909090908E-2</v>
      </c>
      <c r="E578" s="1227">
        <f t="shared" si="44"/>
        <v>0.70198265179677821</v>
      </c>
      <c r="F578" s="1227">
        <f t="shared" si="40"/>
        <v>0.5301113986949858</v>
      </c>
      <c r="G578" s="1227">
        <f t="shared" si="41"/>
        <v>3.912023005428146</v>
      </c>
      <c r="H578" s="1227">
        <f t="shared" si="42"/>
        <v>0</v>
      </c>
      <c r="I578" s="1227">
        <f t="shared" si="43"/>
        <v>-3.5610460826040513</v>
      </c>
      <c r="J578" s="27"/>
    </row>
    <row r="579" spans="1:10">
      <c r="A579" s="27">
        <v>568</v>
      </c>
      <c r="B579" s="1227">
        <v>50</v>
      </c>
      <c r="C579" s="1227">
        <v>1</v>
      </c>
      <c r="D579" s="1227">
        <v>2.8409090909090908E-2</v>
      </c>
      <c r="E579" s="1227">
        <f t="shared" si="44"/>
        <v>0.70322180916976451</v>
      </c>
      <c r="F579" s="1227">
        <f t="shared" si="40"/>
        <v>0.53368949023129275</v>
      </c>
      <c r="G579" s="1227">
        <f t="shared" si="41"/>
        <v>3.912023005428146</v>
      </c>
      <c r="H579" s="1227">
        <f t="shared" si="42"/>
        <v>0</v>
      </c>
      <c r="I579" s="1227">
        <f t="shared" si="43"/>
        <v>-3.5610460826040513</v>
      </c>
      <c r="J579" s="27"/>
    </row>
    <row r="580" spans="1:10">
      <c r="A580" s="27">
        <v>569</v>
      </c>
      <c r="B580" s="1227">
        <v>50</v>
      </c>
      <c r="C580" s="1227">
        <v>1</v>
      </c>
      <c r="D580" s="1227">
        <v>2.8409090909090908E-2</v>
      </c>
      <c r="E580" s="1227">
        <f t="shared" si="44"/>
        <v>0.70446096654275092</v>
      </c>
      <c r="F580" s="1227">
        <f t="shared" si="40"/>
        <v>0.53727442755154975</v>
      </c>
      <c r="G580" s="1227">
        <f t="shared" si="41"/>
        <v>3.912023005428146</v>
      </c>
      <c r="H580" s="1227">
        <f t="shared" si="42"/>
        <v>0</v>
      </c>
      <c r="I580" s="1227">
        <f t="shared" si="43"/>
        <v>-3.5610460826040513</v>
      </c>
      <c r="J580" s="27"/>
    </row>
    <row r="581" spans="1:10">
      <c r="A581" s="27">
        <v>570</v>
      </c>
      <c r="B581" s="1227">
        <v>50</v>
      </c>
      <c r="C581" s="1227">
        <v>1</v>
      </c>
      <c r="D581" s="1227">
        <v>2.8409090909090908E-2</v>
      </c>
      <c r="E581" s="1227">
        <f t="shared" si="44"/>
        <v>0.70570012391573733</v>
      </c>
      <c r="F581" s="1227">
        <f t="shared" si="40"/>
        <v>0.54086628315185969</v>
      </c>
      <c r="G581" s="1227">
        <f t="shared" si="41"/>
        <v>3.912023005428146</v>
      </c>
      <c r="H581" s="1227">
        <f t="shared" si="42"/>
        <v>0</v>
      </c>
      <c r="I581" s="1227">
        <f t="shared" si="43"/>
        <v>-3.5610460826040513</v>
      </c>
      <c r="J581" s="27"/>
    </row>
    <row r="582" spans="1:10">
      <c r="A582" s="27">
        <v>571</v>
      </c>
      <c r="B582" s="1227">
        <v>50</v>
      </c>
      <c r="C582" s="1227">
        <v>1</v>
      </c>
      <c r="D582" s="1227">
        <v>2.8409090909090908E-2</v>
      </c>
      <c r="E582" s="1227">
        <f t="shared" si="44"/>
        <v>0.70693928128872363</v>
      </c>
      <c r="F582" s="1227">
        <f t="shared" si="40"/>
        <v>0.544465130306235</v>
      </c>
      <c r="G582" s="1227">
        <f t="shared" si="41"/>
        <v>3.912023005428146</v>
      </c>
      <c r="H582" s="1227">
        <f t="shared" si="42"/>
        <v>0</v>
      </c>
      <c r="I582" s="1227">
        <f t="shared" si="43"/>
        <v>-3.5610460826040513</v>
      </c>
      <c r="J582" s="27"/>
    </row>
    <row r="583" spans="1:10">
      <c r="A583" s="27">
        <v>572</v>
      </c>
      <c r="B583" s="1227">
        <v>50</v>
      </c>
      <c r="C583" s="1227">
        <v>1</v>
      </c>
      <c r="D583" s="1227">
        <v>2.8409090909090908E-2</v>
      </c>
      <c r="E583" s="1227">
        <f t="shared" si="44"/>
        <v>0.70817843866171004</v>
      </c>
      <c r="F583" s="1227">
        <f t="shared" si="40"/>
        <v>0.54807104307998966</v>
      </c>
      <c r="G583" s="1227">
        <f t="shared" si="41"/>
        <v>3.912023005428146</v>
      </c>
      <c r="H583" s="1227">
        <f t="shared" si="42"/>
        <v>0</v>
      </c>
      <c r="I583" s="1227">
        <f t="shared" si="43"/>
        <v>-3.5610460826040513</v>
      </c>
      <c r="J583" s="27"/>
    </row>
    <row r="584" spans="1:10">
      <c r="A584" s="27">
        <v>573</v>
      </c>
      <c r="B584" s="1227">
        <v>50</v>
      </c>
      <c r="C584" s="1227">
        <v>1</v>
      </c>
      <c r="D584" s="1227">
        <v>2.8409090909090908E-2</v>
      </c>
      <c r="E584" s="1227">
        <f t="shared" si="44"/>
        <v>0.70941759603469645</v>
      </c>
      <c r="F584" s="1227">
        <f t="shared" si="40"/>
        <v>0.55168409634339799</v>
      </c>
      <c r="G584" s="1227">
        <f t="shared" si="41"/>
        <v>3.912023005428146</v>
      </c>
      <c r="H584" s="1227">
        <f t="shared" si="42"/>
        <v>0</v>
      </c>
      <c r="I584" s="1227">
        <f t="shared" si="43"/>
        <v>-3.5610460826040513</v>
      </c>
      <c r="J584" s="27"/>
    </row>
    <row r="585" spans="1:10">
      <c r="A585" s="27">
        <v>574</v>
      </c>
      <c r="B585" s="1227">
        <v>50</v>
      </c>
      <c r="C585" s="1227">
        <v>1</v>
      </c>
      <c r="D585" s="1227">
        <v>2.8409090909090908E-2</v>
      </c>
      <c r="E585" s="1227">
        <f t="shared" si="44"/>
        <v>0.71065675340768275</v>
      </c>
      <c r="F585" s="1227">
        <f t="shared" si="40"/>
        <v>0.55530436578563602</v>
      </c>
      <c r="G585" s="1227">
        <f t="shared" si="41"/>
        <v>3.912023005428146</v>
      </c>
      <c r="H585" s="1227">
        <f t="shared" si="42"/>
        <v>0</v>
      </c>
      <c r="I585" s="1227">
        <f t="shared" si="43"/>
        <v>-3.5610460826040513</v>
      </c>
      <c r="J585" s="27"/>
    </row>
    <row r="586" spans="1:10">
      <c r="A586" s="27">
        <v>575</v>
      </c>
      <c r="B586" s="1227">
        <v>50</v>
      </c>
      <c r="C586" s="1227">
        <v>1</v>
      </c>
      <c r="D586" s="1227">
        <v>2.8409090909090908E-2</v>
      </c>
      <c r="E586" s="1227">
        <f t="shared" si="44"/>
        <v>0.71189591078066916</v>
      </c>
      <c r="F586" s="1227">
        <f t="shared" si="40"/>
        <v>0.5589319279290087</v>
      </c>
      <c r="G586" s="1227">
        <f t="shared" si="41"/>
        <v>3.912023005428146</v>
      </c>
      <c r="H586" s="1227">
        <f t="shared" si="42"/>
        <v>0</v>
      </c>
      <c r="I586" s="1227">
        <f t="shared" si="43"/>
        <v>-3.5610460826040513</v>
      </c>
      <c r="J586" s="27"/>
    </row>
    <row r="587" spans="1:10">
      <c r="A587" s="27">
        <v>576</v>
      </c>
      <c r="B587" s="1227">
        <v>50</v>
      </c>
      <c r="C587" s="1227">
        <v>1</v>
      </c>
      <c r="D587" s="1227">
        <v>2.8977272727272727E-2</v>
      </c>
      <c r="E587" s="1227">
        <f t="shared" si="44"/>
        <v>0.71313506815365546</v>
      </c>
      <c r="F587" s="1227">
        <f t="shared" si="40"/>
        <v>0.56256686014346657</v>
      </c>
      <c r="G587" s="1227">
        <f t="shared" si="41"/>
        <v>3.912023005428146</v>
      </c>
      <c r="H587" s="1227">
        <f t="shared" si="42"/>
        <v>0</v>
      </c>
      <c r="I587" s="1227">
        <f t="shared" si="43"/>
        <v>-3.5412434553078715</v>
      </c>
      <c r="J587" s="27"/>
    </row>
    <row r="588" spans="1:10">
      <c r="A588" s="27">
        <v>577</v>
      </c>
      <c r="B588" s="1227">
        <v>50</v>
      </c>
      <c r="C588" s="1227">
        <v>1</v>
      </c>
      <c r="D588" s="1227">
        <v>2.9034090909090909E-2</v>
      </c>
      <c r="E588" s="1227">
        <f t="shared" si="44"/>
        <v>0.71437422552664187</v>
      </c>
      <c r="F588" s="1227">
        <f t="shared" ref="F588:F651" si="45">NORMSINV(E588)</f>
        <v>0.56620924066142819</v>
      </c>
      <c r="G588" s="1227">
        <f t="shared" ref="G588:G651" si="46">LN(B588)</f>
        <v>3.912023005428146</v>
      </c>
      <c r="H588" s="1227">
        <f t="shared" ref="H588:H651" si="47">LN(C588)</f>
        <v>0</v>
      </c>
      <c r="I588" s="1227">
        <f t="shared" ref="I588:I651" si="48">LN(D588)</f>
        <v>-3.5392845908225388</v>
      </c>
      <c r="J588" s="27"/>
    </row>
    <row r="589" spans="1:10">
      <c r="A589" s="27">
        <v>578</v>
      </c>
      <c r="B589" s="1227">
        <v>50</v>
      </c>
      <c r="C589" s="1227">
        <v>1</v>
      </c>
      <c r="D589" s="1227">
        <v>2.9119318181818177E-2</v>
      </c>
      <c r="E589" s="1227">
        <f t="shared" ref="E589:E652" si="49">(A589-0.5)/807</f>
        <v>0.71561338289962828</v>
      </c>
      <c r="F589" s="1227">
        <f t="shared" si="45"/>
        <v>0.56985914859290532</v>
      </c>
      <c r="G589" s="1227">
        <f t="shared" si="46"/>
        <v>3.912023005428146</v>
      </c>
      <c r="H589" s="1227">
        <f t="shared" si="47"/>
        <v>0</v>
      </c>
      <c r="I589" s="1227">
        <f t="shared" si="48"/>
        <v>-3.5363534700136801</v>
      </c>
      <c r="J589" s="27"/>
    </row>
    <row r="590" spans="1:10">
      <c r="A590" s="27">
        <v>579</v>
      </c>
      <c r="B590" s="1227">
        <v>50</v>
      </c>
      <c r="C590" s="1227">
        <v>1</v>
      </c>
      <c r="D590" s="1227">
        <v>2.9545454545454545E-2</v>
      </c>
      <c r="E590" s="1227">
        <f t="shared" si="49"/>
        <v>0.71685254027261458</v>
      </c>
      <c r="F590" s="1227">
        <f t="shared" si="45"/>
        <v>0.5735166639409488</v>
      </c>
      <c r="G590" s="1227">
        <f t="shared" si="46"/>
        <v>3.912023005428146</v>
      </c>
      <c r="H590" s="1227">
        <f t="shared" si="47"/>
        <v>0</v>
      </c>
      <c r="I590" s="1227">
        <f t="shared" si="48"/>
        <v>-3.5218253694507702</v>
      </c>
      <c r="J590" s="27"/>
    </row>
    <row r="591" spans="1:10">
      <c r="A591" s="27">
        <v>580</v>
      </c>
      <c r="B591" s="1227">
        <v>50</v>
      </c>
      <c r="C591" s="1227">
        <v>1</v>
      </c>
      <c r="D591" s="1227">
        <v>2.9829545454545456E-2</v>
      </c>
      <c r="E591" s="1227">
        <f t="shared" si="49"/>
        <v>0.71809169764560099</v>
      </c>
      <c r="F591" s="1227">
        <f t="shared" si="45"/>
        <v>0.57718186761741808</v>
      </c>
      <c r="G591" s="1227">
        <f t="shared" si="46"/>
        <v>3.912023005428146</v>
      </c>
      <c r="H591" s="1227">
        <f t="shared" si="47"/>
        <v>0</v>
      </c>
      <c r="I591" s="1227">
        <f t="shared" si="48"/>
        <v>-3.5122559184346192</v>
      </c>
      <c r="J591" s="27"/>
    </row>
    <row r="592" spans="1:10">
      <c r="A592" s="27">
        <v>581</v>
      </c>
      <c r="B592" s="1227">
        <v>50</v>
      </c>
      <c r="C592" s="1227">
        <v>1</v>
      </c>
      <c r="D592" s="1227">
        <v>3.0113636363636363E-2</v>
      </c>
      <c r="E592" s="1227">
        <f t="shared" si="49"/>
        <v>0.7193308550185874</v>
      </c>
      <c r="F592" s="1227">
        <f t="shared" si="45"/>
        <v>0.58085484145908051</v>
      </c>
      <c r="G592" s="1227">
        <f t="shared" si="46"/>
        <v>3.912023005428146</v>
      </c>
      <c r="H592" s="1227">
        <f t="shared" si="47"/>
        <v>0</v>
      </c>
      <c r="I592" s="1227">
        <f t="shared" si="48"/>
        <v>-3.5027771744800758</v>
      </c>
      <c r="J592" s="27"/>
    </row>
    <row r="593" spans="1:10">
      <c r="A593" s="27">
        <v>582</v>
      </c>
      <c r="B593" s="1227">
        <v>50</v>
      </c>
      <c r="C593" s="1227">
        <v>1</v>
      </c>
      <c r="D593" s="1227">
        <v>3.0397727272727274E-2</v>
      </c>
      <c r="E593" s="1227">
        <f t="shared" si="49"/>
        <v>0.7205700123915737</v>
      </c>
      <c r="F593" s="1227">
        <f t="shared" si="45"/>
        <v>0.58453566824405578</v>
      </c>
      <c r="G593" s="1227">
        <f t="shared" si="46"/>
        <v>3.912023005428146</v>
      </c>
      <c r="H593" s="1227">
        <f t="shared" si="47"/>
        <v>0</v>
      </c>
      <c r="I593" s="1227">
        <f t="shared" si="48"/>
        <v>-3.4933874341302364</v>
      </c>
      <c r="J593" s="27"/>
    </row>
    <row r="594" spans="1:10">
      <c r="A594" s="27">
        <v>583</v>
      </c>
      <c r="B594" s="1227">
        <v>50</v>
      </c>
      <c r="C594" s="1227">
        <v>1</v>
      </c>
      <c r="D594" s="1227">
        <v>3.0681818181818182E-2</v>
      </c>
      <c r="E594" s="1227">
        <f t="shared" si="49"/>
        <v>0.72180916976456011</v>
      </c>
      <c r="F594" s="1227">
        <f t="shared" si="45"/>
        <v>0.58822443170861116</v>
      </c>
      <c r="G594" s="1227">
        <f t="shared" si="46"/>
        <v>3.912023005428146</v>
      </c>
      <c r="H594" s="1227">
        <f t="shared" si="47"/>
        <v>0</v>
      </c>
      <c r="I594" s="1227">
        <f t="shared" si="48"/>
        <v>-3.4840850414679232</v>
      </c>
      <c r="J594" s="27"/>
    </row>
    <row r="595" spans="1:10">
      <c r="A595" s="27">
        <v>584</v>
      </c>
      <c r="B595" s="1227">
        <v>50</v>
      </c>
      <c r="C595" s="1227">
        <v>1</v>
      </c>
      <c r="D595" s="1227">
        <v>3.0965909090909093E-2</v>
      </c>
      <c r="E595" s="1227">
        <f t="shared" si="49"/>
        <v>0.72304832713754652</v>
      </c>
      <c r="F595" s="1227">
        <f t="shared" si="45"/>
        <v>0.59192121656431218</v>
      </c>
      <c r="G595" s="1227">
        <f t="shared" si="46"/>
        <v>3.912023005428146</v>
      </c>
      <c r="H595" s="1227">
        <f t="shared" si="47"/>
        <v>0</v>
      </c>
      <c r="I595" s="1227">
        <f t="shared" si="48"/>
        <v>-3.4748683863629992</v>
      </c>
      <c r="J595" s="27"/>
    </row>
    <row r="596" spans="1:10">
      <c r="A596" s="27">
        <v>585</v>
      </c>
      <c r="B596" s="1227">
        <v>50</v>
      </c>
      <c r="C596" s="1227">
        <v>1</v>
      </c>
      <c r="D596" s="1227">
        <v>3.1363636363636364E-2</v>
      </c>
      <c r="E596" s="1227">
        <f t="shared" si="49"/>
        <v>0.72428748451053282</v>
      </c>
      <c r="F596" s="1227">
        <f t="shared" si="45"/>
        <v>0.59562610851554787</v>
      </c>
      <c r="G596" s="1227">
        <f t="shared" si="46"/>
        <v>3.912023005428146</v>
      </c>
      <c r="H596" s="1227">
        <f t="shared" si="47"/>
        <v>0</v>
      </c>
      <c r="I596" s="1227">
        <f t="shared" si="48"/>
        <v>-3.4621061347491477</v>
      </c>
      <c r="J596" s="27"/>
    </row>
    <row r="597" spans="1:10">
      <c r="A597" s="27">
        <v>586</v>
      </c>
      <c r="B597" s="1227">
        <v>50</v>
      </c>
      <c r="C597" s="1227">
        <v>1</v>
      </c>
      <c r="D597" s="1227">
        <v>3.1534090909090907E-2</v>
      </c>
      <c r="E597" s="1227">
        <f t="shared" si="49"/>
        <v>0.72552664188351923</v>
      </c>
      <c r="F597" s="1227">
        <f t="shared" si="45"/>
        <v>0.59933919427743332</v>
      </c>
      <c r="G597" s="1227">
        <f t="shared" si="46"/>
        <v>3.912023005428146</v>
      </c>
      <c r="H597" s="1227">
        <f t="shared" si="47"/>
        <v>0</v>
      </c>
      <c r="I597" s="1227">
        <f t="shared" si="48"/>
        <v>-3.4566860672798088</v>
      </c>
      <c r="J597" s="27"/>
    </row>
    <row r="598" spans="1:10">
      <c r="A598" s="27">
        <v>587</v>
      </c>
      <c r="B598" s="1227">
        <v>50</v>
      </c>
      <c r="C598" s="1227">
        <v>1</v>
      </c>
      <c r="D598" s="1227">
        <v>3.1818181818181822E-2</v>
      </c>
      <c r="E598" s="1227">
        <f t="shared" si="49"/>
        <v>0.72676579925650553</v>
      </c>
      <c r="F598" s="1227">
        <f t="shared" si="45"/>
        <v>0.60306056159409882</v>
      </c>
      <c r="G598" s="1227">
        <f t="shared" si="46"/>
        <v>3.912023005428146</v>
      </c>
      <c r="H598" s="1227">
        <f t="shared" si="47"/>
        <v>0</v>
      </c>
      <c r="I598" s="1227">
        <f t="shared" si="48"/>
        <v>-3.4477173972970481</v>
      </c>
      <c r="J598" s="27"/>
    </row>
    <row r="599" spans="1:10">
      <c r="A599" s="27">
        <v>588</v>
      </c>
      <c r="B599" s="1227">
        <v>50</v>
      </c>
      <c r="C599" s="1227">
        <v>1</v>
      </c>
      <c r="D599" s="1227">
        <v>3.1818181818181822E-2</v>
      </c>
      <c r="E599" s="1227">
        <f t="shared" si="49"/>
        <v>0.72800495662949194</v>
      </c>
      <c r="F599" s="1227">
        <f t="shared" si="45"/>
        <v>0.60679029925738348</v>
      </c>
      <c r="G599" s="1227">
        <f t="shared" si="46"/>
        <v>3.912023005428146</v>
      </c>
      <c r="H599" s="1227">
        <f t="shared" si="47"/>
        <v>0</v>
      </c>
      <c r="I599" s="1227">
        <f t="shared" si="48"/>
        <v>-3.4477173972970481</v>
      </c>
      <c r="J599" s="27"/>
    </row>
    <row r="600" spans="1:10">
      <c r="A600" s="27">
        <v>589</v>
      </c>
      <c r="B600" s="1227">
        <v>50</v>
      </c>
      <c r="C600" s="1227">
        <v>1</v>
      </c>
      <c r="D600" s="1229">
        <v>3.238636363636363E-2</v>
      </c>
      <c r="E600" s="1227">
        <f t="shared" si="49"/>
        <v>0.72924411400247835</v>
      </c>
      <c r="F600" s="1227">
        <f t="shared" si="45"/>
        <v>0.61052849712593593</v>
      </c>
      <c r="G600" s="1227">
        <f t="shared" si="46"/>
        <v>3.912023005428146</v>
      </c>
      <c r="H600" s="1227">
        <f t="shared" si="47"/>
        <v>0</v>
      </c>
      <c r="I600" s="1227">
        <f t="shared" si="48"/>
        <v>-3.4300178201976474</v>
      </c>
      <c r="J600" s="27"/>
    </row>
    <row r="601" spans="1:10">
      <c r="A601" s="27">
        <v>590</v>
      </c>
      <c r="B601" s="1227">
        <v>50</v>
      </c>
      <c r="C601" s="1227">
        <v>1</v>
      </c>
      <c r="D601" s="1227">
        <v>3.4090909090909088E-2</v>
      </c>
      <c r="E601" s="1227">
        <f t="shared" si="49"/>
        <v>0.73048327137546465</v>
      </c>
      <c r="F601" s="1227">
        <f t="shared" si="45"/>
        <v>0.61427524614473794</v>
      </c>
      <c r="G601" s="1227">
        <f t="shared" si="46"/>
        <v>3.912023005428146</v>
      </c>
      <c r="H601" s="1227">
        <f t="shared" si="47"/>
        <v>0</v>
      </c>
      <c r="I601" s="1227">
        <f t="shared" si="48"/>
        <v>-3.3787245258100969</v>
      </c>
      <c r="J601" s="27"/>
    </row>
    <row r="602" spans="1:10">
      <c r="A602" s="27">
        <v>591</v>
      </c>
      <c r="B602" s="1227">
        <v>50</v>
      </c>
      <c r="C602" s="1227">
        <v>1</v>
      </c>
      <c r="D602" s="1227">
        <v>3.4090909090909088E-2</v>
      </c>
      <c r="E602" s="1227">
        <f t="shared" si="49"/>
        <v>0.73172242874845106</v>
      </c>
      <c r="F602" s="1227">
        <f t="shared" si="45"/>
        <v>0.61803063836506167</v>
      </c>
      <c r="G602" s="1227">
        <f t="shared" si="46"/>
        <v>3.912023005428146</v>
      </c>
      <c r="H602" s="1227">
        <f t="shared" si="47"/>
        <v>0</v>
      </c>
      <c r="I602" s="1227">
        <f t="shared" si="48"/>
        <v>-3.3787245258100969</v>
      </c>
      <c r="J602" s="27"/>
    </row>
    <row r="603" spans="1:10">
      <c r="A603" s="27">
        <v>592</v>
      </c>
      <c r="B603" s="1227">
        <v>50</v>
      </c>
      <c r="C603" s="1227">
        <v>1</v>
      </c>
      <c r="D603" s="1227">
        <v>3.4090909090909088E-2</v>
      </c>
      <c r="E603" s="1227">
        <f t="shared" si="49"/>
        <v>0.73296158612143747</v>
      </c>
      <c r="F603" s="1227">
        <f t="shared" si="45"/>
        <v>0.62179476696487035</v>
      </c>
      <c r="G603" s="1227">
        <f t="shared" si="46"/>
        <v>3.912023005428146</v>
      </c>
      <c r="H603" s="1227">
        <f t="shared" si="47"/>
        <v>0</v>
      </c>
      <c r="I603" s="1227">
        <f t="shared" si="48"/>
        <v>-3.3787245258100969</v>
      </c>
      <c r="J603" s="27"/>
    </row>
    <row r="604" spans="1:10">
      <c r="A604" s="27">
        <v>593</v>
      </c>
      <c r="B604" s="1227">
        <v>50</v>
      </c>
      <c r="C604" s="1227">
        <v>1</v>
      </c>
      <c r="D604" s="1227">
        <v>3.4090909090909088E-2</v>
      </c>
      <c r="E604" s="1227">
        <f t="shared" si="49"/>
        <v>0.73420074349442377</v>
      </c>
      <c r="F604" s="1227">
        <f t="shared" si="45"/>
        <v>0.62556772626967638</v>
      </c>
      <c r="G604" s="1227">
        <f t="shared" si="46"/>
        <v>3.912023005428146</v>
      </c>
      <c r="H604" s="1227">
        <f t="shared" si="47"/>
        <v>0</v>
      </c>
      <c r="I604" s="1227">
        <f t="shared" si="48"/>
        <v>-3.3787245258100969</v>
      </c>
      <c r="J604" s="27"/>
    </row>
    <row r="605" spans="1:10">
      <c r="A605" s="27">
        <v>594</v>
      </c>
      <c r="B605" s="1227">
        <v>50</v>
      </c>
      <c r="C605" s="1227">
        <v>1</v>
      </c>
      <c r="D605" s="1227">
        <v>3.4090909090909088E-2</v>
      </c>
      <c r="E605" s="1227">
        <f t="shared" si="49"/>
        <v>0.73543990086741018</v>
      </c>
      <c r="F605" s="1227">
        <f t="shared" si="45"/>
        <v>0.62934961177387116</v>
      </c>
      <c r="G605" s="1227">
        <f t="shared" si="46"/>
        <v>3.912023005428146</v>
      </c>
      <c r="H605" s="1227">
        <f t="shared" si="47"/>
        <v>0</v>
      </c>
      <c r="I605" s="1227">
        <f t="shared" si="48"/>
        <v>-3.3787245258100969</v>
      </c>
      <c r="J605" s="27"/>
    </row>
    <row r="606" spans="1:10">
      <c r="A606" s="27">
        <v>595</v>
      </c>
      <c r="B606" s="1227">
        <v>50</v>
      </c>
      <c r="C606" s="1227">
        <v>1</v>
      </c>
      <c r="D606" s="1227">
        <v>3.4090909090909088E-2</v>
      </c>
      <c r="E606" s="1227">
        <f t="shared" si="49"/>
        <v>0.73667905824039648</v>
      </c>
      <c r="F606" s="1227">
        <f t="shared" si="45"/>
        <v>0.63314052016253586</v>
      </c>
      <c r="G606" s="1227">
        <f t="shared" si="46"/>
        <v>3.912023005428146</v>
      </c>
      <c r="H606" s="1227">
        <f t="shared" si="47"/>
        <v>0</v>
      </c>
      <c r="I606" s="1227">
        <f t="shared" si="48"/>
        <v>-3.3787245258100969</v>
      </c>
      <c r="J606" s="27"/>
    </row>
    <row r="607" spans="1:10">
      <c r="A607" s="27">
        <v>596</v>
      </c>
      <c r="B607" s="1227">
        <v>50</v>
      </c>
      <c r="C607" s="1227">
        <v>1</v>
      </c>
      <c r="D607" s="1227">
        <v>3.4090909090909088E-2</v>
      </c>
      <c r="E607" s="1227">
        <f t="shared" si="49"/>
        <v>0.73791821561338289</v>
      </c>
      <c r="F607" s="1227">
        <f t="shared" si="45"/>
        <v>0.636940549333748</v>
      </c>
      <c r="G607" s="1227">
        <f t="shared" si="46"/>
        <v>3.912023005428146</v>
      </c>
      <c r="H607" s="1227">
        <f t="shared" si="47"/>
        <v>0</v>
      </c>
      <c r="I607" s="1227">
        <f t="shared" si="48"/>
        <v>-3.3787245258100969</v>
      </c>
      <c r="J607" s="27"/>
    </row>
    <row r="608" spans="1:10">
      <c r="A608" s="27">
        <v>597</v>
      </c>
      <c r="B608" s="1227">
        <v>50</v>
      </c>
      <c r="C608" s="1227">
        <v>1</v>
      </c>
      <c r="D608" s="1227">
        <v>3.4090909090909088E-2</v>
      </c>
      <c r="E608" s="1227">
        <f t="shared" si="49"/>
        <v>0.7391573729863693</v>
      </c>
      <c r="F608" s="1227">
        <f t="shared" si="45"/>
        <v>0.64074979842139901</v>
      </c>
      <c r="G608" s="1227">
        <f t="shared" si="46"/>
        <v>3.912023005428146</v>
      </c>
      <c r="H608" s="1227">
        <f t="shared" si="47"/>
        <v>0</v>
      </c>
      <c r="I608" s="1227">
        <f t="shared" si="48"/>
        <v>-3.3787245258100969</v>
      </c>
      <c r="J608" s="27"/>
    </row>
    <row r="609" spans="1:10">
      <c r="A609" s="27">
        <v>598</v>
      </c>
      <c r="B609" s="1227">
        <v>50</v>
      </c>
      <c r="C609" s="1227">
        <v>1</v>
      </c>
      <c r="D609" s="1227">
        <v>3.4090909090909088E-2</v>
      </c>
      <c r="E609" s="1227">
        <f t="shared" si="49"/>
        <v>0.7403965303593556</v>
      </c>
      <c r="F609" s="1227">
        <f t="shared" si="45"/>
        <v>0.64456836781853499</v>
      </c>
      <c r="G609" s="1227">
        <f t="shared" si="46"/>
        <v>3.912023005428146</v>
      </c>
      <c r="H609" s="1227">
        <f t="shared" si="47"/>
        <v>0</v>
      </c>
      <c r="I609" s="1227">
        <f t="shared" si="48"/>
        <v>-3.3787245258100969</v>
      </c>
      <c r="J609" s="27"/>
    </row>
    <row r="610" spans="1:10">
      <c r="A610" s="27">
        <v>599</v>
      </c>
      <c r="B610" s="1227">
        <v>50</v>
      </c>
      <c r="C610" s="1227">
        <v>1</v>
      </c>
      <c r="D610" s="1227">
        <v>3.4090909090909088E-2</v>
      </c>
      <c r="E610" s="1227">
        <f t="shared" si="49"/>
        <v>0.74163568773234201</v>
      </c>
      <c r="F610" s="1227">
        <f t="shared" si="45"/>
        <v>0.64839635920124028</v>
      </c>
      <c r="G610" s="1227">
        <f t="shared" si="46"/>
        <v>3.912023005428146</v>
      </c>
      <c r="H610" s="1227">
        <f t="shared" si="47"/>
        <v>0</v>
      </c>
      <c r="I610" s="1227">
        <f t="shared" si="48"/>
        <v>-3.3787245258100969</v>
      </c>
      <c r="J610" s="27"/>
    </row>
    <row r="611" spans="1:10">
      <c r="A611" s="27">
        <v>600</v>
      </c>
      <c r="B611" s="1227">
        <v>50</v>
      </c>
      <c r="C611" s="1227">
        <v>1.01</v>
      </c>
      <c r="D611" s="1227">
        <v>3.4090909090909088E-2</v>
      </c>
      <c r="E611" s="1227">
        <f t="shared" si="49"/>
        <v>0.74287484510532842</v>
      </c>
      <c r="F611" s="1227">
        <f t="shared" si="45"/>
        <v>0.65223387555306978</v>
      </c>
      <c r="G611" s="1227">
        <f t="shared" si="46"/>
        <v>3.912023005428146</v>
      </c>
      <c r="H611" s="1227">
        <f t="shared" si="47"/>
        <v>9.950330853168092E-3</v>
      </c>
      <c r="I611" s="1227">
        <f t="shared" si="48"/>
        <v>-3.3787245258100969</v>
      </c>
      <c r="J611" s="27"/>
    </row>
    <row r="612" spans="1:10">
      <c r="A612" s="27">
        <v>601</v>
      </c>
      <c r="B612" s="1227">
        <v>50</v>
      </c>
      <c r="C612" s="1227">
        <v>1.05</v>
      </c>
      <c r="D612" s="1228">
        <v>3.4090909090909088E-2</v>
      </c>
      <c r="E612" s="1227">
        <f t="shared" si="49"/>
        <v>0.74411400247831472</v>
      </c>
      <c r="F612" s="1227">
        <f t="shared" si="45"/>
        <v>0.65608102119005429</v>
      </c>
      <c r="G612" s="1227">
        <f t="shared" si="46"/>
        <v>3.912023005428146</v>
      </c>
      <c r="H612" s="1227">
        <f t="shared" si="47"/>
        <v>4.8790164169432049E-2</v>
      </c>
      <c r="I612" s="1227">
        <f t="shared" si="48"/>
        <v>-3.3787245258100969</v>
      </c>
      <c r="J612" s="27"/>
    </row>
    <row r="613" spans="1:10">
      <c r="A613" s="27">
        <v>602</v>
      </c>
      <c r="B613" s="1227">
        <v>50</v>
      </c>
      <c r="C613" s="1227">
        <v>1.06</v>
      </c>
      <c r="D613" s="1231">
        <v>3.4090909090909088E-2</v>
      </c>
      <c r="E613" s="1227">
        <f t="shared" si="49"/>
        <v>0.74535315985130113</v>
      </c>
      <c r="F613" s="1227">
        <f t="shared" si="45"/>
        <v>0.65993790178629375</v>
      </c>
      <c r="G613" s="1227">
        <f t="shared" si="46"/>
        <v>3.912023005428146</v>
      </c>
      <c r="H613" s="1227">
        <f t="shared" si="47"/>
        <v>5.8268908123975824E-2</v>
      </c>
      <c r="I613" s="1227">
        <f t="shared" si="48"/>
        <v>-3.3787245258100969</v>
      </c>
      <c r="J613" s="27"/>
    </row>
    <row r="614" spans="1:10">
      <c r="A614" s="27">
        <v>603</v>
      </c>
      <c r="B614" s="1227">
        <v>50</v>
      </c>
      <c r="C614" s="1227">
        <v>1.06</v>
      </c>
      <c r="D614" s="1227">
        <v>3.4943181818181818E-2</v>
      </c>
      <c r="E614" s="1227">
        <f t="shared" si="49"/>
        <v>0.74659231722428754</v>
      </c>
      <c r="F614" s="1227">
        <f t="shared" si="45"/>
        <v>0.66380462440015164</v>
      </c>
      <c r="G614" s="1227">
        <f t="shared" si="46"/>
        <v>3.912023005428146</v>
      </c>
      <c r="H614" s="1227">
        <f t="shared" si="47"/>
        <v>5.8268908123975824E-2</v>
      </c>
      <c r="I614" s="1227">
        <f t="shared" si="48"/>
        <v>-3.3540319132197252</v>
      </c>
      <c r="J614" s="27"/>
    </row>
    <row r="615" spans="1:10">
      <c r="A615" s="27">
        <v>604</v>
      </c>
      <c r="B615" s="1227">
        <v>50</v>
      </c>
      <c r="C615" s="1227">
        <v>1.07</v>
      </c>
      <c r="D615" s="1227">
        <v>3.5511363636363633E-2</v>
      </c>
      <c r="E615" s="1227">
        <f t="shared" si="49"/>
        <v>0.74783147459727384</v>
      </c>
      <c r="F615" s="1227">
        <f t="shared" si="45"/>
        <v>0.66768129750106964</v>
      </c>
      <c r="G615" s="1227">
        <f t="shared" si="46"/>
        <v>3.912023005428146</v>
      </c>
      <c r="H615" s="1227">
        <f t="shared" si="47"/>
        <v>6.7658648473814864E-2</v>
      </c>
      <c r="I615" s="1227">
        <f t="shared" si="48"/>
        <v>-3.3379025312898416</v>
      </c>
      <c r="J615" s="27"/>
    </row>
    <row r="616" spans="1:10">
      <c r="A616" s="27">
        <v>605</v>
      </c>
      <c r="B616" s="1227">
        <v>50</v>
      </c>
      <c r="C616" s="1227">
        <v>1.0900000000000001</v>
      </c>
      <c r="D616" s="1227">
        <v>3.565340909090909E-2</v>
      </c>
      <c r="E616" s="1227">
        <f t="shared" si="49"/>
        <v>0.74907063197026025</v>
      </c>
      <c r="F616" s="1227">
        <f t="shared" si="45"/>
        <v>0.67156803099702567</v>
      </c>
      <c r="G616" s="1227">
        <f t="shared" si="46"/>
        <v>3.912023005428146</v>
      </c>
      <c r="H616" s="1227">
        <f t="shared" si="47"/>
        <v>8.6177696241052412E-2</v>
      </c>
      <c r="I616" s="1227">
        <f t="shared" si="48"/>
        <v>-3.3339105100203041</v>
      </c>
      <c r="J616" s="27"/>
    </row>
    <row r="617" spans="1:10">
      <c r="A617" s="27">
        <v>606</v>
      </c>
      <c r="B617" s="1227">
        <v>50</v>
      </c>
      <c r="C617" s="1227">
        <v>1.1000000000000001</v>
      </c>
      <c r="D617" s="1227">
        <v>3.6363636363636362E-2</v>
      </c>
      <c r="E617" s="1227">
        <f t="shared" si="49"/>
        <v>0.75030978934324655</v>
      </c>
      <c r="F617" s="1227">
        <f t="shared" si="45"/>
        <v>0.67546493626264092</v>
      </c>
      <c r="G617" s="1227">
        <f t="shared" si="46"/>
        <v>3.912023005428146</v>
      </c>
      <c r="H617" s="1227">
        <f t="shared" si="47"/>
        <v>9.5310179804324935E-2</v>
      </c>
      <c r="I617" s="1227">
        <f t="shared" si="48"/>
        <v>-3.3141860046725258</v>
      </c>
      <c r="J617" s="27"/>
    </row>
    <row r="618" spans="1:10">
      <c r="A618" s="27">
        <v>607</v>
      </c>
      <c r="B618" s="1227">
        <v>50</v>
      </c>
      <c r="C618" s="1227">
        <v>1.1000000000000001</v>
      </c>
      <c r="D618" s="1227">
        <v>3.6363636363636369E-2</v>
      </c>
      <c r="E618" s="1227">
        <f t="shared" si="49"/>
        <v>0.75154894671623296</v>
      </c>
      <c r="F618" s="1227">
        <f t="shared" si="45"/>
        <v>0.67937212616797271</v>
      </c>
      <c r="G618" s="1227">
        <f t="shared" si="46"/>
        <v>3.912023005428146</v>
      </c>
      <c r="H618" s="1227">
        <f t="shared" si="47"/>
        <v>9.5310179804324935E-2</v>
      </c>
      <c r="I618" s="1227">
        <f t="shared" si="48"/>
        <v>-3.3141860046725253</v>
      </c>
      <c r="J618" s="27"/>
    </row>
    <row r="619" spans="1:10">
      <c r="A619" s="27">
        <v>608</v>
      </c>
      <c r="B619" s="1227">
        <v>50</v>
      </c>
      <c r="C619" s="1227">
        <v>1.1200000000000001</v>
      </c>
      <c r="D619" s="1227">
        <v>3.7499999999999999E-2</v>
      </c>
      <c r="E619" s="1227">
        <f t="shared" si="49"/>
        <v>0.75278810408921937</v>
      </c>
      <c r="F619" s="1227">
        <f t="shared" si="45"/>
        <v>0.68328971510799696</v>
      </c>
      <c r="G619" s="1227">
        <f t="shared" si="46"/>
        <v>3.912023005428146</v>
      </c>
      <c r="H619" s="1227">
        <f t="shared" si="47"/>
        <v>0.11332868530700327</v>
      </c>
      <c r="I619" s="1227">
        <f t="shared" si="48"/>
        <v>-3.2834143460057721</v>
      </c>
      <c r="J619" s="27"/>
    </row>
    <row r="620" spans="1:10">
      <c r="A620" s="27">
        <v>609</v>
      </c>
      <c r="B620" s="1233">
        <v>50</v>
      </c>
      <c r="C620" s="1227">
        <v>1.1200000000000001</v>
      </c>
      <c r="D620" s="1227">
        <v>3.7499999999999999E-2</v>
      </c>
      <c r="E620" s="1227">
        <f t="shared" si="49"/>
        <v>0.75402726146220567</v>
      </c>
      <c r="F620" s="1227">
        <f t="shared" si="45"/>
        <v>0.68721781903280976</v>
      </c>
      <c r="G620" s="1227">
        <f t="shared" si="46"/>
        <v>3.912023005428146</v>
      </c>
      <c r="H620" s="1227">
        <f t="shared" si="47"/>
        <v>0.11332868530700327</v>
      </c>
      <c r="I620" s="1227">
        <f t="shared" si="48"/>
        <v>-3.2834143460057721</v>
      </c>
      <c r="J620" s="27"/>
    </row>
    <row r="621" spans="1:10">
      <c r="A621" s="27">
        <v>610</v>
      </c>
      <c r="B621" s="1233">
        <v>50</v>
      </c>
      <c r="C621" s="1227">
        <v>1.1399999999999999</v>
      </c>
      <c r="D621" s="1227">
        <v>3.7499999999999999E-2</v>
      </c>
      <c r="E621" s="1227">
        <f t="shared" si="49"/>
        <v>0.75526641883519208</v>
      </c>
      <c r="F621" s="1227">
        <f t="shared" si="45"/>
        <v>0.69115655547857413</v>
      </c>
      <c r="G621" s="1227">
        <f t="shared" si="46"/>
        <v>3.912023005428146</v>
      </c>
      <c r="H621" s="1227">
        <f t="shared" si="47"/>
        <v>0.131028262406404</v>
      </c>
      <c r="I621" s="1227">
        <f t="shared" si="48"/>
        <v>-3.2834143460057721</v>
      </c>
      <c r="J621" s="27"/>
    </row>
    <row r="622" spans="1:10">
      <c r="A622" s="27">
        <v>611</v>
      </c>
      <c r="B622" s="1234">
        <v>50</v>
      </c>
      <c r="C622" s="1227">
        <v>1.17</v>
      </c>
      <c r="D622" s="1227">
        <v>3.7499999999999999E-2</v>
      </c>
      <c r="E622" s="1227">
        <f t="shared" si="49"/>
        <v>0.75650557620817849</v>
      </c>
      <c r="F622" s="1227">
        <f t="shared" si="45"/>
        <v>0.69510604359921124</v>
      </c>
      <c r="G622" s="1227">
        <f t="shared" si="46"/>
        <v>3.912023005428146</v>
      </c>
      <c r="H622" s="1227">
        <f t="shared" si="47"/>
        <v>0.15700374880966469</v>
      </c>
      <c r="I622" s="1227">
        <f t="shared" si="48"/>
        <v>-3.2834143460057721</v>
      </c>
      <c r="J622" s="27"/>
    </row>
    <row r="623" spans="1:10">
      <c r="A623" s="27">
        <v>612</v>
      </c>
      <c r="B623" s="1234">
        <v>50</v>
      </c>
      <c r="C623" s="1227">
        <v>1.2</v>
      </c>
      <c r="D623" s="1227">
        <v>3.806818181818182E-2</v>
      </c>
      <c r="E623" s="1227">
        <f t="shared" si="49"/>
        <v>0.75774473358116479</v>
      </c>
      <c r="F623" s="1227">
        <f t="shared" si="45"/>
        <v>0.69906640419889454</v>
      </c>
      <c r="G623" s="1227">
        <f t="shared" si="46"/>
        <v>3.912023005428146</v>
      </c>
      <c r="H623" s="1227">
        <f t="shared" si="47"/>
        <v>0.18232155679395459</v>
      </c>
      <c r="I623" s="1227">
        <f t="shared" si="48"/>
        <v>-3.2683764686412315</v>
      </c>
      <c r="J623" s="27"/>
    </row>
    <row r="624" spans="1:10">
      <c r="A624" s="27">
        <v>613</v>
      </c>
      <c r="B624" s="1234">
        <v>50</v>
      </c>
      <c r="C624" s="1227">
        <v>1.2</v>
      </c>
      <c r="D624" s="1227">
        <v>3.806818181818182E-2</v>
      </c>
      <c r="E624" s="1227">
        <f t="shared" si="49"/>
        <v>0.7589838909541512</v>
      </c>
      <c r="F624" s="1227">
        <f t="shared" si="45"/>
        <v>0.70303775976533733</v>
      </c>
      <c r="G624" s="1227">
        <f t="shared" si="46"/>
        <v>3.912023005428146</v>
      </c>
      <c r="H624" s="1227">
        <f t="shared" si="47"/>
        <v>0.18232155679395459</v>
      </c>
      <c r="I624" s="1227">
        <f t="shared" si="48"/>
        <v>-3.2683764686412315</v>
      </c>
      <c r="J624" s="27"/>
    </row>
    <row r="625" spans="1:12">
      <c r="A625" s="27">
        <v>614</v>
      </c>
      <c r="B625" s="1234">
        <v>50</v>
      </c>
      <c r="C625" s="1227">
        <v>1.2</v>
      </c>
      <c r="D625" s="1227">
        <v>3.9630681818181815E-2</v>
      </c>
      <c r="E625" s="1227">
        <f t="shared" si="49"/>
        <v>0.7602230483271375</v>
      </c>
      <c r="F625" s="1227">
        <f t="shared" si="45"/>
        <v>0.7070202345039136</v>
      </c>
      <c r="G625" s="1227">
        <f t="shared" si="46"/>
        <v>3.912023005428146</v>
      </c>
      <c r="H625" s="1227">
        <f t="shared" si="47"/>
        <v>0.18232155679395459</v>
      </c>
      <c r="I625" s="1227">
        <f t="shared" si="48"/>
        <v>-3.2281516673307227</v>
      </c>
      <c r="J625" s="27"/>
    </row>
    <row r="626" spans="1:12">
      <c r="A626" s="27">
        <v>615</v>
      </c>
      <c r="B626" s="1227">
        <v>50</v>
      </c>
      <c r="C626" s="1227">
        <v>1.2</v>
      </c>
      <c r="D626" s="1227">
        <v>3.988636363636363E-2</v>
      </c>
      <c r="E626" s="1227">
        <f t="shared" si="49"/>
        <v>0.76146220570012391</v>
      </c>
      <c r="F626" s="1227">
        <f t="shared" si="45"/>
        <v>0.71101395437264392</v>
      </c>
      <c r="G626" s="1227">
        <f t="shared" si="46"/>
        <v>3.912023005428146</v>
      </c>
      <c r="H626" s="1227">
        <f t="shared" si="47"/>
        <v>0.18232155679395459</v>
      </c>
      <c r="I626" s="1227">
        <f t="shared" si="48"/>
        <v>-3.2217207770004324</v>
      </c>
      <c r="J626" s="27"/>
      <c r="L626" s="27"/>
    </row>
    <row r="627" spans="1:12">
      <c r="A627" s="27">
        <v>616</v>
      </c>
      <c r="B627" s="1227">
        <v>50</v>
      </c>
      <c r="C627" s="1227">
        <v>1.2</v>
      </c>
      <c r="D627" s="1227">
        <v>4.0909090909090902E-2</v>
      </c>
      <c r="E627" s="1227">
        <f t="shared" si="49"/>
        <v>0.76270136307311032</v>
      </c>
      <c r="F627" s="1227">
        <f t="shared" si="45"/>
        <v>0.71501904711805409</v>
      </c>
      <c r="G627" s="1227">
        <f t="shared" si="46"/>
        <v>3.912023005428146</v>
      </c>
      <c r="H627" s="1227">
        <f t="shared" si="47"/>
        <v>0.18232155679395459</v>
      </c>
      <c r="I627" s="1227">
        <f t="shared" si="48"/>
        <v>-3.1964029690161424</v>
      </c>
      <c r="J627" s="27"/>
      <c r="L627" s="27"/>
    </row>
    <row r="628" spans="1:12">
      <c r="A628" s="27">
        <v>617</v>
      </c>
      <c r="B628" s="1227">
        <v>50</v>
      </c>
      <c r="C628" s="1226">
        <v>1.2</v>
      </c>
      <c r="D628" s="1227">
        <v>4.0909090909090902E-2</v>
      </c>
      <c r="E628" s="1227">
        <f t="shared" si="49"/>
        <v>0.76394052044609662</v>
      </c>
      <c r="F628" s="1227">
        <f t="shared" si="45"/>
        <v>0.71903564231194905</v>
      </c>
      <c r="G628" s="1227">
        <f t="shared" si="46"/>
        <v>3.912023005428146</v>
      </c>
      <c r="H628" s="1227">
        <f t="shared" si="47"/>
        <v>0.18232155679395459</v>
      </c>
      <c r="I628" s="1227">
        <f t="shared" si="48"/>
        <v>-3.1964029690161424</v>
      </c>
      <c r="J628" s="27"/>
    </row>
    <row r="629" spans="1:12">
      <c r="A629" s="27">
        <v>618</v>
      </c>
      <c r="B629" s="1227">
        <v>50</v>
      </c>
      <c r="C629" s="1227">
        <v>1.22</v>
      </c>
      <c r="D629" s="1227">
        <v>4.1420454545454545E-2</v>
      </c>
      <c r="E629" s="1227">
        <f t="shared" si="49"/>
        <v>0.76517967781908303</v>
      </c>
      <c r="F629" s="1227">
        <f t="shared" si="45"/>
        <v>0.7230638713891282</v>
      </c>
      <c r="G629" s="1227">
        <f t="shared" si="46"/>
        <v>3.912023005428146</v>
      </c>
      <c r="H629" s="1227">
        <f t="shared" si="47"/>
        <v>0.19885085874516517</v>
      </c>
      <c r="I629" s="1227">
        <f t="shared" si="48"/>
        <v>-3.1839804490175849</v>
      </c>
      <c r="J629" s="27"/>
    </row>
    <row r="630" spans="1:12">
      <c r="A630" s="27">
        <v>619</v>
      </c>
      <c r="B630" s="1227">
        <v>50</v>
      </c>
      <c r="C630" s="1227">
        <v>1.23</v>
      </c>
      <c r="D630" s="1227">
        <v>4.1420454545454545E-2</v>
      </c>
      <c r="E630" s="1227">
        <f t="shared" si="49"/>
        <v>0.76641883519206944</v>
      </c>
      <c r="F630" s="1227">
        <f t="shared" si="45"/>
        <v>0.72710386768606206</v>
      </c>
      <c r="G630" s="1227">
        <f t="shared" si="46"/>
        <v>3.912023005428146</v>
      </c>
      <c r="H630" s="1227">
        <f t="shared" si="47"/>
        <v>0.20701416938432612</v>
      </c>
      <c r="I630" s="1227">
        <f t="shared" si="48"/>
        <v>-3.1839804490175849</v>
      </c>
      <c r="J630" s="27"/>
    </row>
    <row r="631" spans="1:12">
      <c r="A631" s="27">
        <v>620</v>
      </c>
      <c r="B631" s="1227">
        <v>50</v>
      </c>
      <c r="C631" s="1227">
        <v>1.26</v>
      </c>
      <c r="D631" s="1227">
        <v>4.2329545454545453E-2</v>
      </c>
      <c r="E631" s="1227">
        <f t="shared" si="49"/>
        <v>0.76765799256505574</v>
      </c>
      <c r="F631" s="1227">
        <f t="shared" si="45"/>
        <v>0.73115576648057046</v>
      </c>
      <c r="G631" s="1227">
        <f t="shared" si="46"/>
        <v>3.912023005428146</v>
      </c>
      <c r="H631" s="1227">
        <f t="shared" si="47"/>
        <v>0.23111172096338664</v>
      </c>
      <c r="I631" s="1227">
        <f t="shared" si="48"/>
        <v>-3.1622699626466835</v>
      </c>
      <c r="J631" s="27"/>
    </row>
    <row r="632" spans="1:12">
      <c r="A632" s="27">
        <v>621</v>
      </c>
      <c r="B632" s="1227">
        <v>50</v>
      </c>
      <c r="C632" s="1227">
        <v>1.28</v>
      </c>
      <c r="D632" s="1227">
        <v>4.261363636363636E-2</v>
      </c>
      <c r="E632" s="1227">
        <f t="shared" si="49"/>
        <v>0.76889714993804215</v>
      </c>
      <c r="F632" s="1227">
        <f t="shared" si="45"/>
        <v>0.73521970503253264</v>
      </c>
      <c r="G632" s="1227">
        <f t="shared" si="46"/>
        <v>3.912023005428146</v>
      </c>
      <c r="H632" s="1227">
        <f t="shared" si="47"/>
        <v>0.24686007793152581</v>
      </c>
      <c r="I632" s="1227">
        <f t="shared" si="48"/>
        <v>-3.1555809744958871</v>
      </c>
      <c r="J632" s="27"/>
    </row>
    <row r="633" spans="1:12">
      <c r="A633" s="27">
        <v>622</v>
      </c>
      <c r="B633" s="1227">
        <v>50</v>
      </c>
      <c r="C633" s="1227">
        <v>1.29</v>
      </c>
      <c r="D633" s="1227">
        <v>4.261363636363636E-2</v>
      </c>
      <c r="E633" s="1227">
        <f t="shared" si="49"/>
        <v>0.77013630731102845</v>
      </c>
      <c r="F633" s="1227">
        <f t="shared" si="45"/>
        <v>0.73929582262565396</v>
      </c>
      <c r="G633" s="1227">
        <f t="shared" si="46"/>
        <v>3.912023005428146</v>
      </c>
      <c r="H633" s="1227">
        <f t="shared" si="47"/>
        <v>0.25464221837358075</v>
      </c>
      <c r="I633" s="1227">
        <f t="shared" si="48"/>
        <v>-3.1555809744958871</v>
      </c>
      <c r="J633" s="27"/>
    </row>
    <row r="634" spans="1:12">
      <c r="A634" s="27">
        <v>623</v>
      </c>
      <c r="B634" s="1227">
        <v>50</v>
      </c>
      <c r="C634" s="1227">
        <v>1.29</v>
      </c>
      <c r="D634" s="1227">
        <v>4.261363636363636E-2</v>
      </c>
      <c r="E634" s="1227">
        <f t="shared" si="49"/>
        <v>0.77137546468401486</v>
      </c>
      <c r="F634" s="1227">
        <f t="shared" si="45"/>
        <v>0.74338426061033158</v>
      </c>
      <c r="G634" s="1227">
        <f t="shared" si="46"/>
        <v>3.912023005428146</v>
      </c>
      <c r="H634" s="1227">
        <f t="shared" si="47"/>
        <v>0.25464221837358075</v>
      </c>
      <c r="I634" s="1227">
        <f t="shared" si="48"/>
        <v>-3.1555809744958871</v>
      </c>
      <c r="J634" s="27"/>
    </row>
    <row r="635" spans="1:12">
      <c r="A635" s="27">
        <v>624</v>
      </c>
      <c r="B635" s="1227">
        <v>50</v>
      </c>
      <c r="C635" s="1227">
        <v>1.3</v>
      </c>
      <c r="D635" s="1227">
        <v>4.261363636363636E-2</v>
      </c>
      <c r="E635" s="1227">
        <f t="shared" si="49"/>
        <v>0.77261462205700127</v>
      </c>
      <c r="F635" s="1227">
        <f t="shared" si="45"/>
        <v>0.74748516244764973</v>
      </c>
      <c r="G635" s="1227">
        <f t="shared" si="46"/>
        <v>3.912023005428146</v>
      </c>
      <c r="H635" s="1227">
        <f t="shared" si="47"/>
        <v>0.26236426446749106</v>
      </c>
      <c r="I635" s="1227">
        <f t="shared" si="48"/>
        <v>-3.1555809744958871</v>
      </c>
      <c r="J635" s="27"/>
    </row>
    <row r="636" spans="1:12">
      <c r="A636" s="27">
        <v>625</v>
      </c>
      <c r="B636" s="1227">
        <v>50</v>
      </c>
      <c r="C636" s="1227">
        <v>1.3</v>
      </c>
      <c r="D636" s="1227">
        <v>4.261363636363636E-2</v>
      </c>
      <c r="E636" s="1227">
        <f t="shared" si="49"/>
        <v>0.77385377942998756</v>
      </c>
      <c r="F636" s="1227">
        <f t="shared" si="45"/>
        <v>0.75159867375454548</v>
      </c>
      <c r="G636" s="1227">
        <f t="shared" si="46"/>
        <v>3.912023005428146</v>
      </c>
      <c r="H636" s="1227">
        <f t="shared" si="47"/>
        <v>0.26236426446749106</v>
      </c>
      <c r="I636" s="1227">
        <f t="shared" si="48"/>
        <v>-3.1555809744958871</v>
      </c>
      <c r="J636" s="27"/>
    </row>
    <row r="637" spans="1:12">
      <c r="A637" s="27">
        <v>626</v>
      </c>
      <c r="B637" s="1227">
        <v>50</v>
      </c>
      <c r="C637" s="1227">
        <v>1.34</v>
      </c>
      <c r="D637" s="1227">
        <v>4.261363636363636E-2</v>
      </c>
      <c r="E637" s="1227">
        <f t="shared" si="49"/>
        <v>0.77509293680297398</v>
      </c>
      <c r="F637" s="1227">
        <f t="shared" si="45"/>
        <v>0.75572494235017407</v>
      </c>
      <c r="G637" s="1227">
        <f t="shared" si="46"/>
        <v>3.912023005428146</v>
      </c>
      <c r="H637" s="1227">
        <f t="shared" si="47"/>
        <v>0.29266961396282004</v>
      </c>
      <c r="I637" s="1227">
        <f t="shared" si="48"/>
        <v>-3.1555809744958871</v>
      </c>
      <c r="J637" s="27"/>
    </row>
    <row r="638" spans="1:12">
      <c r="A638" s="27">
        <v>627</v>
      </c>
      <c r="B638" s="1227">
        <v>50</v>
      </c>
      <c r="C638" s="1227">
        <v>1.34</v>
      </c>
      <c r="D638" s="1227">
        <v>4.261363636363636E-2</v>
      </c>
      <c r="E638" s="1227">
        <f t="shared" si="49"/>
        <v>0.77633209417596039</v>
      </c>
      <c r="F638" s="1227">
        <f t="shared" si="45"/>
        <v>0.75986411830352263</v>
      </c>
      <c r="G638" s="1227">
        <f t="shared" si="46"/>
        <v>3.912023005428146</v>
      </c>
      <c r="H638" s="1227">
        <f t="shared" si="47"/>
        <v>0.29266961396282004</v>
      </c>
      <c r="I638" s="1227">
        <f t="shared" si="48"/>
        <v>-3.1555809744958871</v>
      </c>
      <c r="J638" s="27"/>
    </row>
    <row r="639" spans="1:12">
      <c r="A639" s="27">
        <v>628</v>
      </c>
      <c r="B639" s="1227">
        <v>50</v>
      </c>
      <c r="C639" s="1227">
        <v>1.34</v>
      </c>
      <c r="D639" s="1227">
        <v>4.2897727272727275E-2</v>
      </c>
      <c r="E639" s="1227">
        <f t="shared" si="49"/>
        <v>0.77757125154894668</v>
      </c>
      <c r="F639" s="1227">
        <f t="shared" si="45"/>
        <v>0.76401635398230361</v>
      </c>
      <c r="G639" s="1227">
        <f t="shared" si="46"/>
        <v>3.912023005428146</v>
      </c>
      <c r="H639" s="1227">
        <f t="shared" si="47"/>
        <v>0.29266961396282004</v>
      </c>
      <c r="I639" s="1227">
        <f t="shared" si="48"/>
        <v>-3.1489364317772184</v>
      </c>
      <c r="J639" s="27"/>
    </row>
    <row r="640" spans="1:12">
      <c r="A640" s="27">
        <v>629</v>
      </c>
      <c r="B640" s="1227">
        <v>50</v>
      </c>
      <c r="C640" s="1227">
        <v>1.38</v>
      </c>
      <c r="D640" s="1227">
        <v>4.360795454545454E-2</v>
      </c>
      <c r="E640" s="1227">
        <f t="shared" si="49"/>
        <v>0.77881040892193309</v>
      </c>
      <c r="F640" s="1227">
        <f t="shared" si="45"/>
        <v>0.76818180410318582</v>
      </c>
      <c r="G640" s="1227">
        <f t="shared" si="46"/>
        <v>3.912023005428146</v>
      </c>
      <c r="H640" s="1227">
        <f t="shared" si="47"/>
        <v>0.32208349916911322</v>
      </c>
      <c r="I640" s="1227">
        <f t="shared" si="48"/>
        <v>-3.1325157015648912</v>
      </c>
      <c r="J640" s="27"/>
    </row>
    <row r="641" spans="1:10">
      <c r="A641" s="27">
        <v>630</v>
      </c>
      <c r="B641" s="1227">
        <v>50</v>
      </c>
      <c r="C641" s="1227">
        <v>1.38</v>
      </c>
      <c r="D641" s="1227">
        <v>4.3750000000000004E-2</v>
      </c>
      <c r="E641" s="1227">
        <f t="shared" si="49"/>
        <v>0.78004956629491951</v>
      </c>
      <c r="F641" s="1227">
        <f t="shared" si="45"/>
        <v>0.77236062578338138</v>
      </c>
      <c r="G641" s="1227">
        <f t="shared" si="46"/>
        <v>3.912023005428146</v>
      </c>
      <c r="H641" s="1227">
        <f t="shared" si="47"/>
        <v>0.32208349916911322</v>
      </c>
      <c r="I641" s="1227">
        <f t="shared" si="48"/>
        <v>-3.1292636661785136</v>
      </c>
      <c r="J641" s="27"/>
    </row>
    <row r="642" spans="1:10">
      <c r="A642" s="27">
        <v>631</v>
      </c>
      <c r="B642" s="1227">
        <v>50</v>
      </c>
      <c r="C642" s="1233">
        <v>1.39</v>
      </c>
      <c r="D642" s="1227">
        <v>4.4318181818181819E-2</v>
      </c>
      <c r="E642" s="1227">
        <f t="shared" si="49"/>
        <v>0.7812887236679058</v>
      </c>
      <c r="F642" s="1227">
        <f t="shared" si="45"/>
        <v>0.77655297859365702</v>
      </c>
      <c r="G642" s="1227">
        <f t="shared" si="46"/>
        <v>3.912023005428146</v>
      </c>
      <c r="H642" s="1227">
        <f t="shared" si="47"/>
        <v>0.3293037471426003</v>
      </c>
      <c r="I642" s="1227">
        <f t="shared" si="48"/>
        <v>-3.1163602613426056</v>
      </c>
      <c r="J642" s="27"/>
    </row>
    <row r="643" spans="1:10">
      <c r="A643" s="27">
        <v>632</v>
      </c>
      <c r="B643" s="1227">
        <v>50</v>
      </c>
      <c r="C643" s="1227">
        <v>1.4</v>
      </c>
      <c r="D643" s="1227">
        <v>4.4886363636363634E-2</v>
      </c>
      <c r="E643" s="1227">
        <f t="shared" si="49"/>
        <v>0.78252788104089221</v>
      </c>
      <c r="F643" s="1227">
        <f t="shared" si="45"/>
        <v>0.78075902461281554</v>
      </c>
      <c r="G643" s="1227">
        <f t="shared" si="46"/>
        <v>3.912023005428146</v>
      </c>
      <c r="H643" s="1227">
        <f t="shared" si="47"/>
        <v>0.33647223662121289</v>
      </c>
      <c r="I643" s="1227">
        <f t="shared" si="48"/>
        <v>-3.1036212355651762</v>
      </c>
      <c r="J643" s="27"/>
    </row>
    <row r="644" spans="1:10">
      <c r="A644" s="27">
        <v>633</v>
      </c>
      <c r="B644" s="1227">
        <v>50</v>
      </c>
      <c r="C644" s="1227">
        <v>1.4</v>
      </c>
      <c r="D644" s="1227">
        <v>4.5454545454545456E-2</v>
      </c>
      <c r="E644" s="1227">
        <f t="shared" si="49"/>
        <v>0.78376703841387851</v>
      </c>
      <c r="F644" s="1227">
        <f t="shared" si="45"/>
        <v>0.78497892848367534</v>
      </c>
      <c r="G644" s="1227">
        <f t="shared" si="46"/>
        <v>3.912023005428146</v>
      </c>
      <c r="H644" s="1227">
        <f t="shared" si="47"/>
        <v>0.33647223662121289</v>
      </c>
      <c r="I644" s="1227">
        <f t="shared" si="48"/>
        <v>-3.0910424533583156</v>
      </c>
      <c r="J644" s="27"/>
    </row>
    <row r="645" spans="1:10">
      <c r="A645" s="27">
        <v>634</v>
      </c>
      <c r="B645" s="1227">
        <v>50</v>
      </c>
      <c r="C645" s="1227">
        <v>1.48</v>
      </c>
      <c r="D645" s="1227">
        <v>4.5454545454545456E-2</v>
      </c>
      <c r="E645" s="1227">
        <f t="shared" si="49"/>
        <v>0.78500619578686492</v>
      </c>
      <c r="F645" s="1227">
        <f t="shared" si="45"/>
        <v>0.78921285747062497</v>
      </c>
      <c r="G645" s="1227">
        <f t="shared" si="46"/>
        <v>3.912023005428146</v>
      </c>
      <c r="H645" s="1227">
        <f t="shared" si="47"/>
        <v>0.39204208777602367</v>
      </c>
      <c r="I645" s="1227">
        <f t="shared" si="48"/>
        <v>-3.0910424533583156</v>
      </c>
      <c r="J645" s="27"/>
    </row>
    <row r="646" spans="1:10">
      <c r="A646" s="27">
        <v>635</v>
      </c>
      <c r="B646" s="1226">
        <v>50</v>
      </c>
      <c r="C646" s="1227">
        <v>1.49</v>
      </c>
      <c r="D646" s="1227">
        <v>4.5625000000000006E-2</v>
      </c>
      <c r="E646" s="1227">
        <f t="shared" si="49"/>
        <v>0.78624535315985133</v>
      </c>
      <c r="F646" s="1227">
        <f t="shared" si="45"/>
        <v>0.79346098151879274</v>
      </c>
      <c r="G646" s="1227">
        <f t="shared" si="46"/>
        <v>3.912023005428146</v>
      </c>
      <c r="H646" s="1227">
        <f t="shared" si="47"/>
        <v>0.39877611995736778</v>
      </c>
      <c r="I646" s="1227">
        <f t="shared" si="48"/>
        <v>-3.0872994670794816</v>
      </c>
      <c r="J646" s="27"/>
    </row>
    <row r="647" spans="1:10">
      <c r="A647" s="27">
        <v>636</v>
      </c>
      <c r="B647" s="1226">
        <v>50</v>
      </c>
      <c r="C647" s="1227">
        <v>1.5</v>
      </c>
      <c r="D647" s="1227">
        <v>4.6590909090909086E-2</v>
      </c>
      <c r="E647" s="1227">
        <f t="shared" si="49"/>
        <v>0.78748451053283763</v>
      </c>
      <c r="F647" s="1227">
        <f t="shared" si="45"/>
        <v>0.79772347331488291</v>
      </c>
      <c r="G647" s="1227">
        <f t="shared" si="46"/>
        <v>3.912023005428146</v>
      </c>
      <c r="H647" s="1227">
        <f t="shared" si="47"/>
        <v>0.40546510810816438</v>
      </c>
      <c r="I647" s="1227">
        <f t="shared" si="48"/>
        <v>-3.0663498407679444</v>
      </c>
      <c r="J647" s="27"/>
    </row>
    <row r="648" spans="1:10">
      <c r="A648" s="27">
        <v>637</v>
      </c>
      <c r="B648" s="1227">
        <v>60</v>
      </c>
      <c r="C648" s="1227">
        <v>1.5</v>
      </c>
      <c r="D648" s="1227">
        <v>4.6590909090909086E-2</v>
      </c>
      <c r="E648" s="1227">
        <f t="shared" si="49"/>
        <v>0.78872366790582404</v>
      </c>
      <c r="F648" s="1227">
        <f t="shared" si="45"/>
        <v>0.80200050834975056</v>
      </c>
      <c r="G648" s="1227">
        <f t="shared" si="46"/>
        <v>4.0943445622221004</v>
      </c>
      <c r="H648" s="1227">
        <f t="shared" si="47"/>
        <v>0.40546510810816438</v>
      </c>
      <c r="I648" s="1227">
        <f t="shared" si="48"/>
        <v>-3.0663498407679444</v>
      </c>
      <c r="J648" s="27"/>
    </row>
    <row r="649" spans="1:10">
      <c r="A649" s="27">
        <v>638</v>
      </c>
      <c r="B649" s="1227">
        <v>60</v>
      </c>
      <c r="C649" s="1227">
        <v>1.5</v>
      </c>
      <c r="D649" s="1227">
        <v>4.7159090909090907E-2</v>
      </c>
      <c r="E649" s="1227">
        <f t="shared" si="49"/>
        <v>0.78996282527881045</v>
      </c>
      <c r="F649" s="1227">
        <f t="shared" si="45"/>
        <v>0.80629226498276318</v>
      </c>
      <c r="G649" s="1227">
        <f t="shared" si="46"/>
        <v>4.0943445622221004</v>
      </c>
      <c r="H649" s="1227">
        <f t="shared" si="47"/>
        <v>0.40546510810816438</v>
      </c>
      <c r="I649" s="1227">
        <f t="shared" si="48"/>
        <v>-3.0542284802355995</v>
      </c>
      <c r="J649" s="27"/>
    </row>
    <row r="650" spans="1:10">
      <c r="A650" s="27">
        <v>639</v>
      </c>
      <c r="B650" s="1227">
        <v>60</v>
      </c>
      <c r="C650" s="1227">
        <v>1.5</v>
      </c>
      <c r="D650" s="1227">
        <v>4.8409090909090902E-2</v>
      </c>
      <c r="E650" s="1227">
        <f t="shared" si="49"/>
        <v>0.79120198265179675</v>
      </c>
      <c r="F650" s="1227">
        <f t="shared" si="45"/>
        <v>0.81059892450800952</v>
      </c>
      <c r="G650" s="1227">
        <f t="shared" si="46"/>
        <v>4.0943445622221004</v>
      </c>
      <c r="H650" s="1227">
        <f t="shared" si="47"/>
        <v>0.40546510810816438</v>
      </c>
      <c r="I650" s="1227">
        <f t="shared" si="48"/>
        <v>-3.0280676541969274</v>
      </c>
      <c r="J650" s="27"/>
    </row>
    <row r="651" spans="1:10">
      <c r="A651" s="27">
        <v>640</v>
      </c>
      <c r="B651" s="1227">
        <v>60</v>
      </c>
      <c r="C651" s="1227">
        <v>1.5</v>
      </c>
      <c r="D651" s="1227">
        <v>4.9147727272727273E-2</v>
      </c>
      <c r="E651" s="1227">
        <f t="shared" si="49"/>
        <v>0.79244114002478316</v>
      </c>
      <c r="F651" s="1227">
        <f t="shared" si="45"/>
        <v>0.81492067122242973</v>
      </c>
      <c r="G651" s="1227">
        <f t="shared" si="46"/>
        <v>4.0943445622221004</v>
      </c>
      <c r="H651" s="1227">
        <f t="shared" si="47"/>
        <v>0.40546510810816438</v>
      </c>
      <c r="I651" s="1227">
        <f t="shared" si="48"/>
        <v>-3.0129246740943638</v>
      </c>
      <c r="J651" s="27"/>
    </row>
    <row r="652" spans="1:10">
      <c r="A652" s="27">
        <v>641</v>
      </c>
      <c r="B652" s="1227">
        <v>60</v>
      </c>
      <c r="C652" s="1227">
        <v>1.5</v>
      </c>
      <c r="D652" s="1227">
        <v>5.1136363636363633E-2</v>
      </c>
      <c r="E652" s="1227">
        <f t="shared" si="49"/>
        <v>0.79368029739776946</v>
      </c>
      <c r="F652" s="1227">
        <f t="shared" ref="F652:F788" si="50">NORMSINV(E652)</f>
        <v>0.81925769249593305</v>
      </c>
      <c r="G652" s="1227">
        <f t="shared" ref="G652:G669" si="51">LN(B652)</f>
        <v>4.0943445622221004</v>
      </c>
      <c r="H652" s="1227">
        <f t="shared" ref="H652:H669" si="52">LN(C652)</f>
        <v>0.40546510810816438</v>
      </c>
      <c r="I652" s="1227">
        <f t="shared" ref="I652:I669" si="53">LN(D652)</f>
        <v>-2.9732594177019327</v>
      </c>
      <c r="J652" s="27"/>
    </row>
    <row r="653" spans="1:10">
      <c r="A653" s="27">
        <v>642</v>
      </c>
      <c r="B653" s="1227">
        <v>60</v>
      </c>
      <c r="C653" s="1227">
        <v>1.5</v>
      </c>
      <c r="D653" s="1227">
        <v>5.1704545454545454E-2</v>
      </c>
      <c r="E653" s="1227">
        <f t="shared" ref="E653:E716" si="54">(A653-0.5)/807</f>
        <v>0.79491945477075587</v>
      </c>
      <c r="F653" s="1227">
        <f t="shared" si="50"/>
        <v>0.82361017884355936</v>
      </c>
      <c r="G653" s="1227">
        <f t="shared" si="51"/>
        <v>4.0943445622221004</v>
      </c>
      <c r="H653" s="1227">
        <f t="shared" si="52"/>
        <v>0.40546510810816438</v>
      </c>
      <c r="I653" s="1227">
        <f t="shared" si="53"/>
        <v>-2.9622095815153475</v>
      </c>
      <c r="J653" s="27"/>
    </row>
    <row r="654" spans="1:10">
      <c r="A654" s="27">
        <v>643</v>
      </c>
      <c r="B654" s="1227">
        <v>60</v>
      </c>
      <c r="C654" s="1227">
        <v>1.5</v>
      </c>
      <c r="D654" s="1227">
        <v>5.1988636363636362E-2</v>
      </c>
      <c r="E654" s="1227">
        <f t="shared" si="54"/>
        <v>0.79615861214374228</v>
      </c>
      <c r="F654" s="1227">
        <f t="shared" si="50"/>
        <v>0.82797832399978744</v>
      </c>
      <c r="G654" s="1227">
        <f t="shared" si="51"/>
        <v>4.0943445622221004</v>
      </c>
      <c r="H654" s="1227">
        <f t="shared" si="52"/>
        <v>0.40546510810816438</v>
      </c>
      <c r="I654" s="1227">
        <f t="shared" si="53"/>
        <v>-2.9567301157507218</v>
      </c>
      <c r="J654" s="27"/>
    </row>
    <row r="655" spans="1:10">
      <c r="A655" s="27">
        <v>644</v>
      </c>
      <c r="B655" s="1227">
        <v>60</v>
      </c>
      <c r="C655" s="1227">
        <v>1.5</v>
      </c>
      <c r="D655" s="1227">
        <v>5.4545454545454543E-2</v>
      </c>
      <c r="E655" s="1227">
        <f t="shared" si="54"/>
        <v>0.79739776951672858</v>
      </c>
      <c r="F655" s="1227">
        <f t="shared" si="50"/>
        <v>0.83236232499502116</v>
      </c>
      <c r="G655" s="1227">
        <f t="shared" si="51"/>
        <v>4.0943445622221004</v>
      </c>
      <c r="H655" s="1227">
        <f t="shared" si="52"/>
        <v>0.40546510810816438</v>
      </c>
      <c r="I655" s="1227">
        <f t="shared" si="53"/>
        <v>-2.9087208965643612</v>
      </c>
      <c r="J655" s="27"/>
    </row>
    <row r="656" spans="1:10">
      <c r="A656" s="27">
        <v>645</v>
      </c>
      <c r="B656" s="1227">
        <v>60</v>
      </c>
      <c r="C656" s="1227">
        <v>1.5</v>
      </c>
      <c r="D656" s="1227">
        <v>5.4545454545454543E-2</v>
      </c>
      <c r="E656" s="1227">
        <f t="shared" si="54"/>
        <v>0.79863692688971499</v>
      </c>
      <c r="F656" s="1227">
        <f t="shared" si="50"/>
        <v>0.83676238223438926</v>
      </c>
      <c r="G656" s="1227">
        <f t="shared" si="51"/>
        <v>4.0943445622221004</v>
      </c>
      <c r="H656" s="1227">
        <f t="shared" si="52"/>
        <v>0.40546510810816438</v>
      </c>
      <c r="I656" s="1227">
        <f t="shared" si="53"/>
        <v>-2.9087208965643612</v>
      </c>
      <c r="J656" s="27"/>
    </row>
    <row r="657" spans="1:10">
      <c r="A657" s="27">
        <v>646</v>
      </c>
      <c r="B657" s="1227">
        <v>60</v>
      </c>
      <c r="C657" s="1227">
        <v>1.5</v>
      </c>
      <c r="D657" s="1227">
        <v>5.482954545454545E-2</v>
      </c>
      <c r="E657" s="1227">
        <f t="shared" si="54"/>
        <v>0.7998760842627014</v>
      </c>
      <c r="F657" s="1227">
        <f t="shared" si="50"/>
        <v>0.84117869957888414</v>
      </c>
      <c r="G657" s="1227">
        <f t="shared" si="51"/>
        <v>4.0943445622221004</v>
      </c>
      <c r="H657" s="1227">
        <f t="shared" si="52"/>
        <v>0.40546510810816438</v>
      </c>
      <c r="I657" s="1227">
        <f t="shared" si="53"/>
        <v>-2.9035260796872575</v>
      </c>
      <c r="J657" s="27"/>
    </row>
    <row r="658" spans="1:10">
      <c r="A658" s="27">
        <v>647</v>
      </c>
      <c r="B658" s="1227">
        <v>60</v>
      </c>
      <c r="C658" s="1227">
        <v>1.5</v>
      </c>
      <c r="D658" s="1227">
        <v>5.6818181818181816E-2</v>
      </c>
      <c r="E658" s="1227">
        <f t="shared" si="54"/>
        <v>0.8011152416356877</v>
      </c>
      <c r="F658" s="1227">
        <f t="shared" si="50"/>
        <v>0.84561148442897183</v>
      </c>
      <c r="G658" s="1227">
        <f t="shared" si="51"/>
        <v>4.0943445622221004</v>
      </c>
      <c r="H658" s="1227">
        <f t="shared" si="52"/>
        <v>0.40546510810816438</v>
      </c>
      <c r="I658" s="1227">
        <f t="shared" si="53"/>
        <v>-2.8678989020441059</v>
      </c>
      <c r="J658" s="27"/>
    </row>
    <row r="659" spans="1:10">
      <c r="A659" s="27">
        <v>648</v>
      </c>
      <c r="B659" s="1227">
        <v>60</v>
      </c>
      <c r="C659" s="1227">
        <v>1.51</v>
      </c>
      <c r="D659" s="1227">
        <v>5.6818181818181816E-2</v>
      </c>
      <c r="E659" s="1227">
        <f t="shared" si="54"/>
        <v>0.80235439900867411</v>
      </c>
      <c r="F659" s="1227">
        <f t="shared" si="50"/>
        <v>0.85006094781074393</v>
      </c>
      <c r="G659" s="1227">
        <f t="shared" si="51"/>
        <v>4.0943445622221004</v>
      </c>
      <c r="H659" s="1227">
        <f t="shared" si="52"/>
        <v>0.41210965082683298</v>
      </c>
      <c r="I659" s="1227">
        <f t="shared" si="53"/>
        <v>-2.8678989020441059</v>
      </c>
    </row>
    <row r="660" spans="1:10">
      <c r="A660" s="27">
        <v>649</v>
      </c>
      <c r="B660" s="1227">
        <v>60</v>
      </c>
      <c r="C660" s="1227">
        <v>1.53</v>
      </c>
      <c r="D660" s="1227">
        <v>5.6818181818181816E-2</v>
      </c>
      <c r="E660" s="1227">
        <f t="shared" si="54"/>
        <v>0.80359355638166052</v>
      </c>
      <c r="F660" s="1227">
        <f t="shared" si="50"/>
        <v>0.85452730446469527</v>
      </c>
      <c r="G660" s="1227">
        <f t="shared" si="51"/>
        <v>4.0943445622221004</v>
      </c>
      <c r="H660" s="1227">
        <f t="shared" si="52"/>
        <v>0.42526773540434409</v>
      </c>
      <c r="I660" s="1227">
        <f t="shared" si="53"/>
        <v>-2.8678989020441059</v>
      </c>
    </row>
    <row r="661" spans="1:10">
      <c r="A661" s="27">
        <v>650</v>
      </c>
      <c r="B661" s="1227">
        <v>60</v>
      </c>
      <c r="C661" s="1227">
        <v>1.58</v>
      </c>
      <c r="D661" s="1227">
        <v>5.6818181818181816E-2</v>
      </c>
      <c r="E661" s="1227">
        <f t="shared" si="54"/>
        <v>0.80483271375464682</v>
      </c>
      <c r="F661" s="1227">
        <f t="shared" si="50"/>
        <v>0.85901077293724848</v>
      </c>
      <c r="G661" s="1227">
        <f t="shared" si="51"/>
        <v>4.0943445622221004</v>
      </c>
      <c r="H661" s="1227">
        <f t="shared" si="52"/>
        <v>0.45742484703887548</v>
      </c>
      <c r="I661" s="1227">
        <f t="shared" si="53"/>
        <v>-2.8678989020441059</v>
      </c>
    </row>
    <row r="662" spans="1:10">
      <c r="A662" s="27">
        <v>651</v>
      </c>
      <c r="B662" s="1227">
        <v>60</v>
      </c>
      <c r="C662" s="1227">
        <v>1.65</v>
      </c>
      <c r="D662" s="1227">
        <v>5.6818181818181816E-2</v>
      </c>
      <c r="E662" s="1227">
        <f t="shared" si="54"/>
        <v>0.80607187112763323</v>
      </c>
      <c r="F662" s="1227">
        <f t="shared" si="50"/>
        <v>0.86351157567511283</v>
      </c>
      <c r="G662" s="1227">
        <f t="shared" si="51"/>
        <v>4.0943445622221004</v>
      </c>
      <c r="H662" s="1227">
        <f t="shared" si="52"/>
        <v>0.50077528791248915</v>
      </c>
      <c r="I662" s="1227">
        <f t="shared" si="53"/>
        <v>-2.8678989020441059</v>
      </c>
    </row>
    <row r="663" spans="1:10">
      <c r="A663" s="27">
        <v>652</v>
      </c>
      <c r="B663" s="1227">
        <v>60</v>
      </c>
      <c r="C663" s="1227">
        <v>1.66</v>
      </c>
      <c r="D663" s="1227">
        <v>5.6818181818181816E-2</v>
      </c>
      <c r="E663" s="1227">
        <f t="shared" si="54"/>
        <v>0.80731102850061953</v>
      </c>
      <c r="F663" s="1227">
        <f t="shared" si="50"/>
        <v>0.86802993912258619</v>
      </c>
      <c r="G663" s="1227">
        <f t="shared" si="51"/>
        <v>4.0943445622221004</v>
      </c>
      <c r="H663" s="1227">
        <f t="shared" si="52"/>
        <v>0.50681760236845186</v>
      </c>
      <c r="I663" s="1227">
        <f t="shared" si="53"/>
        <v>-2.8678989020441059</v>
      </c>
    </row>
    <row r="664" spans="1:10">
      <c r="A664" s="27">
        <v>653</v>
      </c>
      <c r="B664" s="1227">
        <v>60</v>
      </c>
      <c r="C664" s="1227">
        <v>1.66</v>
      </c>
      <c r="D664" s="1227">
        <v>5.6818181818181816E-2</v>
      </c>
      <c r="E664" s="1227">
        <f t="shared" si="54"/>
        <v>0.80855018587360594</v>
      </c>
      <c r="F664" s="1227">
        <f t="shared" si="50"/>
        <v>0.87256609382191841</v>
      </c>
      <c r="G664" s="1227">
        <f t="shared" si="51"/>
        <v>4.0943445622221004</v>
      </c>
      <c r="H664" s="1227">
        <f t="shared" si="52"/>
        <v>0.50681760236845186</v>
      </c>
      <c r="I664" s="1227">
        <f t="shared" si="53"/>
        <v>-2.8678989020441059</v>
      </c>
    </row>
    <row r="665" spans="1:10">
      <c r="A665" s="27">
        <v>654</v>
      </c>
      <c r="B665" s="1227">
        <v>67</v>
      </c>
      <c r="C665" s="1227">
        <v>1.7</v>
      </c>
      <c r="D665" s="1227">
        <v>5.6818181818181816E-2</v>
      </c>
      <c r="E665" s="1227">
        <f t="shared" si="54"/>
        <v>0.80978934324659235</v>
      </c>
      <c r="F665" s="1227">
        <f t="shared" si="50"/>
        <v>0.87712027451684371</v>
      </c>
      <c r="G665" s="1227">
        <f t="shared" si="51"/>
        <v>4.2046926193909657</v>
      </c>
      <c r="H665" s="1227">
        <f t="shared" si="52"/>
        <v>0.53062825106217038</v>
      </c>
      <c r="I665" s="1227">
        <f t="shared" si="53"/>
        <v>-2.8678989020441059</v>
      </c>
    </row>
    <row r="666" spans="1:10">
      <c r="A666" s="27">
        <v>655</v>
      </c>
      <c r="B666" s="1227">
        <v>67</v>
      </c>
      <c r="C666" s="1227">
        <v>1.73</v>
      </c>
      <c r="D666" s="1227">
        <v>5.6818181818181816E-2</v>
      </c>
      <c r="E666" s="1227">
        <f t="shared" si="54"/>
        <v>0.81102850061957865</v>
      </c>
      <c r="F666" s="1227">
        <f t="shared" si="50"/>
        <v>0.88169272025940548</v>
      </c>
      <c r="G666" s="1227">
        <f t="shared" si="51"/>
        <v>4.2046926193909657</v>
      </c>
      <c r="H666" s="1227">
        <f t="shared" si="52"/>
        <v>0.5481214085096876</v>
      </c>
      <c r="I666" s="1227">
        <f t="shared" si="53"/>
        <v>-2.8678989020441059</v>
      </c>
    </row>
    <row r="667" spans="1:10">
      <c r="A667" s="27">
        <v>656</v>
      </c>
      <c r="B667" s="1227">
        <v>67</v>
      </c>
      <c r="C667" s="1227">
        <v>1.75</v>
      </c>
      <c r="D667" s="1227">
        <v>5.6818181818181816E-2</v>
      </c>
      <c r="E667" s="1227">
        <f t="shared" si="54"/>
        <v>0.81226765799256506</v>
      </c>
      <c r="F667" s="1227">
        <f t="shared" si="50"/>
        <v>0.88628367452021983</v>
      </c>
      <c r="G667" s="1227">
        <f t="shared" si="51"/>
        <v>4.2046926193909657</v>
      </c>
      <c r="H667" s="1227">
        <f t="shared" si="52"/>
        <v>0.55961578793542266</v>
      </c>
      <c r="I667" s="1227">
        <f t="shared" si="53"/>
        <v>-2.8678989020441059</v>
      </c>
    </row>
    <row r="668" spans="1:10">
      <c r="A668" s="27">
        <v>657</v>
      </c>
      <c r="B668" s="1227">
        <v>67</v>
      </c>
      <c r="C668" s="1227">
        <v>1.75</v>
      </c>
      <c r="D668" s="1227">
        <v>5.6818181818181816E-2</v>
      </c>
      <c r="E668" s="1227">
        <f t="shared" si="54"/>
        <v>0.81350681536555147</v>
      </c>
      <c r="F668" s="1227">
        <f t="shared" si="50"/>
        <v>0.89089338530226825</v>
      </c>
      <c r="G668" s="1227">
        <f t="shared" si="51"/>
        <v>4.2046926193909657</v>
      </c>
      <c r="H668" s="1227">
        <f t="shared" si="52"/>
        <v>0.55961578793542266</v>
      </c>
      <c r="I668" s="1227">
        <f t="shared" si="53"/>
        <v>-2.8678989020441059</v>
      </c>
    </row>
    <row r="669" spans="1:10">
      <c r="A669" s="27">
        <v>658</v>
      </c>
      <c r="B669" s="1227">
        <v>70</v>
      </c>
      <c r="C669" s="1227">
        <v>1.77</v>
      </c>
      <c r="D669" s="1227">
        <v>5.6818181818181816E-2</v>
      </c>
      <c r="E669" s="1227">
        <f t="shared" si="54"/>
        <v>0.81474597273853777</v>
      </c>
      <c r="F669" s="1227">
        <f t="shared" si="50"/>
        <v>0.89552210525841913</v>
      </c>
      <c r="G669" s="1227">
        <f t="shared" si="51"/>
        <v>4.2484952420493594</v>
      </c>
      <c r="H669" s="1227">
        <f t="shared" si="52"/>
        <v>0.5709795465857378</v>
      </c>
      <c r="I669" s="1227">
        <f t="shared" si="53"/>
        <v>-2.8678989020441059</v>
      </c>
    </row>
    <row r="670" spans="1:10">
      <c r="A670" s="27">
        <v>659</v>
      </c>
      <c r="B670" s="1227">
        <v>70</v>
      </c>
      <c r="C670" s="1227">
        <v>1.77</v>
      </c>
      <c r="D670" s="1227">
        <v>5.6818181818181816E-2</v>
      </c>
      <c r="E670" s="1227">
        <f t="shared" si="54"/>
        <v>0.81598513011152418</v>
      </c>
      <c r="F670" s="1211">
        <f t="shared" si="50"/>
        <v>0.90017009181275498</v>
      </c>
      <c r="G670" s="1227">
        <f t="shared" ref="G670:G676" si="55">LN(B670)</f>
        <v>4.2484952420493594</v>
      </c>
      <c r="H670" s="1227">
        <f t="shared" ref="H670:H676" si="56">LN(C670)</f>
        <v>0.5709795465857378</v>
      </c>
      <c r="I670" s="1227">
        <f t="shared" ref="I670:I676" si="57">LN(D670)</f>
        <v>-2.8678989020441059</v>
      </c>
    </row>
    <row r="671" spans="1:10">
      <c r="A671" s="27">
        <v>660</v>
      </c>
      <c r="B671" s="1227">
        <v>70</v>
      </c>
      <c r="C671" s="1227">
        <v>1.8</v>
      </c>
      <c r="D671" s="1227">
        <v>5.6818181818181816E-2</v>
      </c>
      <c r="E671" s="1227">
        <f t="shared" si="54"/>
        <v>0.81722428748451048</v>
      </c>
      <c r="F671" s="1211">
        <f t="shared" si="50"/>
        <v>0.90483760728592699</v>
      </c>
      <c r="G671" s="1227">
        <f t="shared" si="55"/>
        <v>4.2484952420493594</v>
      </c>
      <c r="H671" s="1227">
        <f t="shared" si="56"/>
        <v>0.58778666490211906</v>
      </c>
      <c r="I671" s="1227">
        <f t="shared" si="57"/>
        <v>-2.8678989020441059</v>
      </c>
    </row>
    <row r="672" spans="1:10">
      <c r="A672" s="27">
        <v>661</v>
      </c>
      <c r="B672" s="1227">
        <v>70</v>
      </c>
      <c r="C672" s="1227">
        <v>1.82</v>
      </c>
      <c r="D672" s="1227">
        <v>5.6818181818181816E-2</v>
      </c>
      <c r="E672" s="1227">
        <f t="shared" si="54"/>
        <v>0.81846344485749689</v>
      </c>
      <c r="F672" s="1211">
        <f t="shared" si="50"/>
        <v>0.90952491902464438</v>
      </c>
      <c r="G672" s="1227">
        <f t="shared" si="55"/>
        <v>4.2484952420493594</v>
      </c>
      <c r="H672" s="1227">
        <f t="shared" si="56"/>
        <v>0.59883650108870401</v>
      </c>
      <c r="I672" s="1227">
        <f t="shared" si="57"/>
        <v>-2.8678989020441059</v>
      </c>
    </row>
    <row r="673" spans="1:9">
      <c r="A673" s="27">
        <v>662</v>
      </c>
      <c r="B673" s="1227">
        <v>70</v>
      </c>
      <c r="C673" s="1227">
        <v>1.83</v>
      </c>
      <c r="D673" s="1227">
        <v>5.6818181818181816E-2</v>
      </c>
      <c r="E673" s="1227">
        <f t="shared" si="54"/>
        <v>0.8197026022304833</v>
      </c>
      <c r="F673" s="1211">
        <f t="shared" si="50"/>
        <v>0.91423229953548146</v>
      </c>
      <c r="G673" s="1227">
        <f t="shared" si="55"/>
        <v>4.2484952420493594</v>
      </c>
      <c r="H673" s="1227">
        <f t="shared" si="56"/>
        <v>0.60431596685332956</v>
      </c>
      <c r="I673" s="1227">
        <f t="shared" si="57"/>
        <v>-2.8678989020441059</v>
      </c>
    </row>
    <row r="674" spans="1:9">
      <c r="A674" s="27">
        <v>663</v>
      </c>
      <c r="B674" s="1227">
        <v>70</v>
      </c>
      <c r="C674" s="1227">
        <v>1.9</v>
      </c>
      <c r="D674" s="1227">
        <v>5.6818181818181816E-2</v>
      </c>
      <c r="E674" s="1227">
        <f t="shared" si="54"/>
        <v>0.8209417596034696</v>
      </c>
      <c r="F674" s="1211">
        <f t="shared" si="50"/>
        <v>0.91896002662320075</v>
      </c>
      <c r="G674" s="1227">
        <f t="shared" si="55"/>
        <v>4.2484952420493594</v>
      </c>
      <c r="H674" s="1227">
        <f t="shared" si="56"/>
        <v>0.64185388617239469</v>
      </c>
      <c r="I674" s="1227">
        <f t="shared" si="57"/>
        <v>-2.8678989020441059</v>
      </c>
    </row>
    <row r="675" spans="1:9">
      <c r="A675" s="27">
        <v>664</v>
      </c>
      <c r="B675" s="1227">
        <v>70</v>
      </c>
      <c r="C675" s="1227">
        <v>1.9</v>
      </c>
      <c r="D675" s="1227">
        <v>5.6818181818181816E-2</v>
      </c>
      <c r="E675" s="1227">
        <f t="shared" si="54"/>
        <v>0.82218091697645601</v>
      </c>
      <c r="F675" s="1211">
        <f t="shared" si="50"/>
        <v>0.92370838353373652</v>
      </c>
      <c r="G675" s="1227">
        <f t="shared" si="55"/>
        <v>4.2484952420493594</v>
      </c>
      <c r="H675" s="1227">
        <f t="shared" si="56"/>
        <v>0.64185388617239469</v>
      </c>
      <c r="I675" s="1227">
        <f t="shared" si="57"/>
        <v>-2.8678989020441059</v>
      </c>
    </row>
    <row r="676" spans="1:9">
      <c r="A676" s="27">
        <v>665</v>
      </c>
      <c r="B676" s="1227">
        <v>70</v>
      </c>
      <c r="C676" s="1227">
        <v>1.92</v>
      </c>
      <c r="D676" s="1227">
        <v>5.6818181818181816E-2</v>
      </c>
      <c r="E676" s="1227">
        <f t="shared" si="54"/>
        <v>0.82342007434944242</v>
      </c>
      <c r="F676" s="1211">
        <f t="shared" si="50"/>
        <v>0.92847765910206115</v>
      </c>
      <c r="G676" s="1227">
        <f t="shared" si="55"/>
        <v>4.2484952420493594</v>
      </c>
      <c r="H676" s="1227">
        <f t="shared" si="56"/>
        <v>0.65232518603969014</v>
      </c>
      <c r="I676" s="1227">
        <f t="shared" si="57"/>
        <v>-2.8678989020441059</v>
      </c>
    </row>
    <row r="677" spans="1:9">
      <c r="A677" s="27">
        <v>666</v>
      </c>
      <c r="B677" s="1227">
        <v>70</v>
      </c>
      <c r="C677" s="1227">
        <v>1.93</v>
      </c>
      <c r="D677" s="1227">
        <v>5.7386363636363638E-2</v>
      </c>
      <c r="E677" s="1227">
        <f t="shared" si="54"/>
        <v>0.82465923172242872</v>
      </c>
      <c r="F677" s="1211">
        <f t="shared" si="50"/>
        <v>0.93326814790512536</v>
      </c>
      <c r="G677" s="1227">
        <f t="shared" ref="G677:G685" si="58">LN(B677)</f>
        <v>4.2484952420493594</v>
      </c>
      <c r="H677" s="1227">
        <f t="shared" ref="H677:H685" si="59">LN(C677)</f>
        <v>0.65752000291679413</v>
      </c>
      <c r="I677" s="1227">
        <f t="shared" ref="I677:I685" si="60">LN(D677)</f>
        <v>-2.857948571190938</v>
      </c>
    </row>
    <row r="678" spans="1:9">
      <c r="A678" s="27">
        <v>667</v>
      </c>
      <c r="B678" s="1227">
        <v>70</v>
      </c>
      <c r="C678" s="1227">
        <v>1.93</v>
      </c>
      <c r="D678" s="1227">
        <v>5.7954545454545453E-2</v>
      </c>
      <c r="E678" s="1227">
        <f t="shared" si="54"/>
        <v>0.82589838909541513</v>
      </c>
      <c r="F678" s="1211">
        <f t="shared" si="50"/>
        <v>0.93808015042007897</v>
      </c>
      <c r="G678" s="1227">
        <f t="shared" si="58"/>
        <v>4.2484952420493594</v>
      </c>
      <c r="H678" s="1227">
        <f t="shared" si="59"/>
        <v>0.65752000291679413</v>
      </c>
      <c r="I678" s="1227">
        <f t="shared" si="60"/>
        <v>-2.8480962747479266</v>
      </c>
    </row>
    <row r="679" spans="1:9">
      <c r="A679" s="27">
        <v>668</v>
      </c>
      <c r="B679" s="1227">
        <v>70</v>
      </c>
      <c r="C679" s="1227">
        <v>1.97</v>
      </c>
      <c r="D679" s="1227">
        <v>5.909090909090909E-2</v>
      </c>
      <c r="E679" s="1227">
        <f t="shared" si="54"/>
        <v>0.82713754646840154</v>
      </c>
      <c r="F679" s="1211">
        <f t="shared" si="50"/>
        <v>0.94291397318801373</v>
      </c>
      <c r="G679" s="1227">
        <f t="shared" si="58"/>
        <v>4.2484952420493594</v>
      </c>
      <c r="H679" s="1227">
        <f t="shared" si="59"/>
        <v>0.67803354274989713</v>
      </c>
      <c r="I679" s="1227">
        <f t="shared" si="60"/>
        <v>-2.8286781888908248</v>
      </c>
    </row>
    <row r="680" spans="1:9">
      <c r="A680" s="27">
        <v>669</v>
      </c>
      <c r="B680" s="1227">
        <v>70</v>
      </c>
      <c r="C680" s="1227">
        <v>2</v>
      </c>
      <c r="D680" s="1229">
        <v>5.9659090909090912E-2</v>
      </c>
      <c r="E680" s="1227">
        <f t="shared" si="54"/>
        <v>0.82837670384138784</v>
      </c>
      <c r="F680" s="1211">
        <f t="shared" si="50"/>
        <v>0.94776992898341883</v>
      </c>
      <c r="G680" s="1227">
        <f t="shared" si="58"/>
        <v>4.2484952420493594</v>
      </c>
      <c r="H680" s="1227">
        <f t="shared" si="59"/>
        <v>0.69314718055994529</v>
      </c>
      <c r="I680" s="1227">
        <f t="shared" si="60"/>
        <v>-2.8191087378746742</v>
      </c>
    </row>
    <row r="681" spans="1:9">
      <c r="A681" s="27">
        <v>670</v>
      </c>
      <c r="B681" s="1227">
        <v>73</v>
      </c>
      <c r="C681" s="1227">
        <v>2</v>
      </c>
      <c r="D681" s="1227">
        <v>6.2215909090909099E-2</v>
      </c>
      <c r="E681" s="1227">
        <f t="shared" si="54"/>
        <v>0.82961586121437425</v>
      </c>
      <c r="F681" s="1211">
        <f t="shared" si="50"/>
        <v>0.95264833698965778</v>
      </c>
      <c r="G681" s="1227">
        <f t="shared" si="58"/>
        <v>4.290459441148391</v>
      </c>
      <c r="H681" s="1227">
        <f t="shared" si="59"/>
        <v>0.69314718055994529</v>
      </c>
      <c r="I681" s="1227">
        <f t="shared" si="60"/>
        <v>-2.7771445387756417</v>
      </c>
    </row>
    <row r="682" spans="1:9">
      <c r="A682" s="522">
        <v>671</v>
      </c>
      <c r="B682" s="1227">
        <v>73</v>
      </c>
      <c r="C682" s="1227">
        <v>2</v>
      </c>
      <c r="D682" s="1227">
        <v>6.363636363636363E-2</v>
      </c>
      <c r="E682" s="1227">
        <f t="shared" si="54"/>
        <v>0.83085501858736055</v>
      </c>
      <c r="F682" s="1211">
        <f t="shared" si="50"/>
        <v>0.95754952298067086</v>
      </c>
      <c r="G682" s="1227">
        <f t="shared" si="58"/>
        <v>4.290459441148391</v>
      </c>
      <c r="H682" s="1227">
        <f t="shared" si="59"/>
        <v>0.69314718055994529</v>
      </c>
      <c r="I682" s="1227">
        <f t="shared" si="60"/>
        <v>-2.7545702167371031</v>
      </c>
    </row>
    <row r="683" spans="1:9">
      <c r="A683" s="27">
        <v>672</v>
      </c>
      <c r="B683" s="1227">
        <v>73</v>
      </c>
      <c r="C683" s="1227">
        <v>2</v>
      </c>
      <c r="D683" s="1227">
        <v>6.3636363636363644E-2</v>
      </c>
      <c r="E683" s="1227">
        <f t="shared" si="54"/>
        <v>0.83209417596034696</v>
      </c>
      <c r="F683" s="1211">
        <f t="shared" si="50"/>
        <v>0.96247381950917721</v>
      </c>
      <c r="G683" s="1227">
        <f t="shared" si="58"/>
        <v>4.290459441148391</v>
      </c>
      <c r="H683" s="1227">
        <f t="shared" si="59"/>
        <v>0.69314718055994529</v>
      </c>
      <c r="I683" s="1227">
        <f t="shared" si="60"/>
        <v>-2.7545702167371027</v>
      </c>
    </row>
    <row r="684" spans="1:9">
      <c r="A684" s="27">
        <v>673</v>
      </c>
      <c r="B684" s="1227">
        <v>75</v>
      </c>
      <c r="C684" s="1227">
        <v>2</v>
      </c>
      <c r="D684" s="1227">
        <v>6.3920454545454544E-2</v>
      </c>
      <c r="E684" s="1227">
        <f t="shared" si="54"/>
        <v>0.83333333333333337</v>
      </c>
      <c r="F684" s="1211">
        <f t="shared" si="50"/>
        <v>0.96742156610170071</v>
      </c>
      <c r="G684" s="1227">
        <f t="shared" si="58"/>
        <v>4.3174881135363101</v>
      </c>
      <c r="H684" s="1227">
        <f t="shared" si="59"/>
        <v>0.69314718055994529</v>
      </c>
      <c r="I684" s="1227">
        <f t="shared" si="60"/>
        <v>-2.7501158663877225</v>
      </c>
    </row>
    <row r="685" spans="1:9">
      <c r="A685" s="27">
        <v>674</v>
      </c>
      <c r="B685" s="1227">
        <v>75</v>
      </c>
      <c r="C685" s="1227">
        <v>2</v>
      </c>
      <c r="D685" s="1227">
        <v>6.3920454545454544E-2</v>
      </c>
      <c r="E685" s="1227">
        <f t="shared" si="54"/>
        <v>0.83457249070631967</v>
      </c>
      <c r="F685" s="1211">
        <f t="shared" si="50"/>
        <v>0.97239310946067403</v>
      </c>
      <c r="G685" s="1227">
        <f t="shared" si="58"/>
        <v>4.3174881135363101</v>
      </c>
      <c r="H685" s="1227">
        <f t="shared" si="59"/>
        <v>0.69314718055994529</v>
      </c>
      <c r="I685" s="1227">
        <f t="shared" si="60"/>
        <v>-2.7501158663877225</v>
      </c>
    </row>
    <row r="686" spans="1:9">
      <c r="A686" s="27">
        <v>675</v>
      </c>
      <c r="B686" s="1227">
        <v>75</v>
      </c>
      <c r="C686" s="1227">
        <v>2</v>
      </c>
      <c r="D686" s="1227">
        <v>6.477272727272726E-2</v>
      </c>
      <c r="E686" s="1227">
        <f t="shared" si="54"/>
        <v>0.83581164807930608</v>
      </c>
      <c r="F686" s="1211">
        <f t="shared" si="50"/>
        <v>0.97738880367395276</v>
      </c>
      <c r="G686" s="1227">
        <f t="shared" ref="G686:G708" si="61">LN(B686)</f>
        <v>4.3174881135363101</v>
      </c>
      <c r="H686" s="1227">
        <f t="shared" ref="H686:H708" si="62">LN(C686)</f>
        <v>0.69314718055994529</v>
      </c>
      <c r="I686" s="1227">
        <f t="shared" ref="I686:I708" si="63">LN(D686)</f>
        <v>-2.7368706396377021</v>
      </c>
    </row>
    <row r="687" spans="1:9">
      <c r="A687" s="27">
        <v>676</v>
      </c>
      <c r="B687" s="1227">
        <v>75</v>
      </c>
      <c r="C687" s="1227">
        <v>2</v>
      </c>
      <c r="D687" s="1227">
        <v>6.477272727272726E-2</v>
      </c>
      <c r="E687" s="1227">
        <f t="shared" si="54"/>
        <v>0.83705080545229249</v>
      </c>
      <c r="F687" s="1211">
        <f t="shared" si="50"/>
        <v>0.9824090104320693</v>
      </c>
      <c r="G687" s="1227">
        <f t="shared" si="61"/>
        <v>4.3174881135363101</v>
      </c>
      <c r="H687" s="1227">
        <f t="shared" si="62"/>
        <v>0.69314718055994529</v>
      </c>
      <c r="I687" s="1227">
        <f t="shared" si="63"/>
        <v>-2.7368706396377021</v>
      </c>
    </row>
    <row r="688" spans="1:9">
      <c r="A688" s="27">
        <v>677</v>
      </c>
      <c r="B688" s="1227">
        <v>75</v>
      </c>
      <c r="C688" s="1227">
        <v>2</v>
      </c>
      <c r="D688" s="1227">
        <v>6.5624999999999989E-2</v>
      </c>
      <c r="E688" s="1227">
        <f t="shared" si="54"/>
        <v>0.83828996282527879</v>
      </c>
      <c r="F688" s="1211">
        <f t="shared" si="50"/>
        <v>0.98745409925358074</v>
      </c>
      <c r="G688" s="1227">
        <f t="shared" si="61"/>
        <v>4.3174881135363101</v>
      </c>
      <c r="H688" s="1227">
        <f t="shared" si="62"/>
        <v>0.69314718055994529</v>
      </c>
      <c r="I688" s="1227">
        <f t="shared" si="63"/>
        <v>-2.7237985580703494</v>
      </c>
    </row>
    <row r="689" spans="1:9">
      <c r="A689" s="27">
        <v>678</v>
      </c>
      <c r="B689" s="1227">
        <v>75</v>
      </c>
      <c r="C689" s="1227">
        <v>2</v>
      </c>
      <c r="D689" s="1227">
        <v>6.7500000000000004E-2</v>
      </c>
      <c r="E689" s="1227">
        <f t="shared" si="54"/>
        <v>0.8395291201982652</v>
      </c>
      <c r="F689" s="1211">
        <f t="shared" si="50"/>
        <v>0.99252444771886239</v>
      </c>
      <c r="G689" s="1227">
        <f t="shared" si="61"/>
        <v>4.3174881135363101</v>
      </c>
      <c r="H689" s="1227">
        <f t="shared" si="62"/>
        <v>0.69314718055994529</v>
      </c>
      <c r="I689" s="1227">
        <f t="shared" si="63"/>
        <v>-2.695627681103653</v>
      </c>
    </row>
    <row r="690" spans="1:9">
      <c r="A690" s="27">
        <v>679</v>
      </c>
      <c r="B690" s="1227">
        <v>75</v>
      </c>
      <c r="C690" s="1227">
        <v>2</v>
      </c>
      <c r="D690" s="1227">
        <v>6.8181818181818177E-2</v>
      </c>
      <c r="E690" s="1227">
        <f t="shared" si="54"/>
        <v>0.8407682775712515</v>
      </c>
      <c r="F690" s="1211">
        <f t="shared" si="50"/>
        <v>0.9976204417127269</v>
      </c>
      <c r="G690" s="1227">
        <f t="shared" si="61"/>
        <v>4.3174881135363101</v>
      </c>
      <c r="H690" s="1227">
        <f t="shared" si="62"/>
        <v>0.69314718055994529</v>
      </c>
      <c r="I690" s="1227">
        <f t="shared" si="63"/>
        <v>-2.6855773452501515</v>
      </c>
    </row>
    <row r="691" spans="1:9">
      <c r="A691" s="27">
        <v>680</v>
      </c>
      <c r="B691" s="1227">
        <v>75</v>
      </c>
      <c r="C691" s="1227">
        <v>2</v>
      </c>
      <c r="D691" s="1227">
        <v>6.931818181818182E-2</v>
      </c>
      <c r="E691" s="1227">
        <f t="shared" si="54"/>
        <v>0.84200743494423791</v>
      </c>
      <c r="F691" s="1211">
        <f t="shared" si="50"/>
        <v>1.0027424756763177</v>
      </c>
      <c r="G691" s="1227">
        <f t="shared" si="61"/>
        <v>4.3174881135363101</v>
      </c>
      <c r="H691" s="1227">
        <f t="shared" si="62"/>
        <v>0.69314718055994529</v>
      </c>
      <c r="I691" s="1227">
        <f t="shared" si="63"/>
        <v>-2.669048043298941</v>
      </c>
    </row>
    <row r="692" spans="1:9">
      <c r="A692" s="27">
        <v>681</v>
      </c>
      <c r="B692" s="1227">
        <v>75</v>
      </c>
      <c r="C692" s="1227">
        <v>2</v>
      </c>
      <c r="D692" s="1227">
        <v>6.9602272727272735E-2</v>
      </c>
      <c r="E692" s="1227">
        <f t="shared" si="54"/>
        <v>0.84324659231722432</v>
      </c>
      <c r="F692" s="1211">
        <f t="shared" si="50"/>
        <v>1.0078909528686477</v>
      </c>
      <c r="G692" s="1227">
        <f t="shared" si="61"/>
        <v>4.3174881135363101</v>
      </c>
      <c r="H692" s="1227">
        <f t="shared" si="62"/>
        <v>0.69314718055994529</v>
      </c>
      <c r="I692" s="1227">
        <f t="shared" si="63"/>
        <v>-2.6649580580474157</v>
      </c>
    </row>
    <row r="693" spans="1:9">
      <c r="A693" s="27">
        <v>682</v>
      </c>
      <c r="B693" s="1227">
        <v>75</v>
      </c>
      <c r="C693" s="1227">
        <v>2</v>
      </c>
      <c r="D693" s="1227">
        <v>7.1590909090909094E-2</v>
      </c>
      <c r="E693" s="1227">
        <f t="shared" si="54"/>
        <v>0.84448574969021062</v>
      </c>
      <c r="F693" s="1211">
        <f t="shared" si="50"/>
        <v>1.0130662856382573</v>
      </c>
      <c r="G693" s="1227">
        <f t="shared" si="61"/>
        <v>4.3174881135363101</v>
      </c>
      <c r="H693" s="1227">
        <f t="shared" si="62"/>
        <v>0.69314718055994529</v>
      </c>
      <c r="I693" s="1227">
        <f t="shared" si="63"/>
        <v>-2.6367871810807193</v>
      </c>
    </row>
    <row r="694" spans="1:9">
      <c r="A694" s="27">
        <v>683</v>
      </c>
      <c r="B694" s="1227">
        <v>75</v>
      </c>
      <c r="C694" s="1227">
        <v>2</v>
      </c>
      <c r="D694" s="1227">
        <v>7.2585227272727273E-2</v>
      </c>
      <c r="E694" s="1227">
        <f t="shared" si="54"/>
        <v>0.84572490706319703</v>
      </c>
      <c r="F694" s="1211">
        <f t="shared" si="50"/>
        <v>1.0182688957055219</v>
      </c>
      <c r="G694" s="1227">
        <f t="shared" si="61"/>
        <v>4.3174881135363101</v>
      </c>
      <c r="H694" s="1227">
        <f t="shared" si="62"/>
        <v>0.69314718055994529</v>
      </c>
      <c r="I694" s="1227">
        <f t="shared" si="63"/>
        <v>-2.6229938589483837</v>
      </c>
    </row>
    <row r="695" spans="1:9">
      <c r="A695" s="27">
        <v>684</v>
      </c>
      <c r="B695" s="1227">
        <v>75</v>
      </c>
      <c r="C695" s="1227">
        <v>2</v>
      </c>
      <c r="D695" s="1227">
        <v>7.6136363636363641E-2</v>
      </c>
      <c r="E695" s="1227">
        <f t="shared" si="54"/>
        <v>0.84696406443618344</v>
      </c>
      <c r="F695" s="1211">
        <f t="shared" si="50"/>
        <v>1.0234992144559798</v>
      </c>
      <c r="G695" s="1227">
        <f t="shared" si="61"/>
        <v>4.3174881135363101</v>
      </c>
      <c r="H695" s="1227">
        <f t="shared" si="62"/>
        <v>0.69314718055994529</v>
      </c>
      <c r="I695" s="1227">
        <f t="shared" si="63"/>
        <v>-2.5752292880812861</v>
      </c>
    </row>
    <row r="696" spans="1:9">
      <c r="A696" s="27">
        <v>685</v>
      </c>
      <c r="B696" s="1227">
        <v>75</v>
      </c>
      <c r="C696" s="1227">
        <v>2</v>
      </c>
      <c r="D696" s="1227">
        <v>7.6704545454545442E-2</v>
      </c>
      <c r="E696" s="1227">
        <f t="shared" si="54"/>
        <v>0.84820322180916974</v>
      </c>
      <c r="F696" s="1211">
        <f t="shared" si="50"/>
        <v>1.0287576832453833</v>
      </c>
      <c r="G696" s="1227">
        <f t="shared" si="61"/>
        <v>4.3174881135363101</v>
      </c>
      <c r="H696" s="1227">
        <f t="shared" si="62"/>
        <v>0.69314718055994529</v>
      </c>
      <c r="I696" s="1227">
        <f t="shared" si="63"/>
        <v>-2.5677943095937681</v>
      </c>
    </row>
    <row r="697" spans="1:9">
      <c r="A697" s="27">
        <v>686</v>
      </c>
      <c r="B697" s="1227">
        <v>75</v>
      </c>
      <c r="C697" s="1227">
        <v>2</v>
      </c>
      <c r="D697" s="1227">
        <v>7.6704545454545456E-2</v>
      </c>
      <c r="E697" s="1227">
        <f t="shared" si="54"/>
        <v>0.84944237918215615</v>
      </c>
      <c r="F697" s="1211">
        <f t="shared" si="50"/>
        <v>1.0340447537168658</v>
      </c>
      <c r="G697" s="1227">
        <f t="shared" si="61"/>
        <v>4.3174881135363101</v>
      </c>
      <c r="H697" s="1227">
        <f t="shared" si="62"/>
        <v>0.69314718055994529</v>
      </c>
      <c r="I697" s="1227">
        <f t="shared" si="63"/>
        <v>-2.5677943095937681</v>
      </c>
    </row>
    <row r="698" spans="1:9">
      <c r="A698" s="27">
        <v>687</v>
      </c>
      <c r="B698" s="1227">
        <v>75</v>
      </c>
      <c r="C698" s="1227">
        <v>2</v>
      </c>
      <c r="D698" s="1227">
        <v>7.6704545454545456E-2</v>
      </c>
      <c r="E698" s="1227">
        <f t="shared" si="54"/>
        <v>0.85068153655514245</v>
      </c>
      <c r="F698" s="1211">
        <f t="shared" si="50"/>
        <v>1.0393608881309517</v>
      </c>
      <c r="G698" s="1227">
        <f t="shared" si="61"/>
        <v>4.3174881135363101</v>
      </c>
      <c r="H698" s="1227">
        <f t="shared" si="62"/>
        <v>0.69314718055994529</v>
      </c>
      <c r="I698" s="1227">
        <f t="shared" si="63"/>
        <v>-2.5677943095937681</v>
      </c>
    </row>
    <row r="699" spans="1:9">
      <c r="A699" s="27">
        <v>688</v>
      </c>
      <c r="B699" s="1227">
        <v>75</v>
      </c>
      <c r="C699" s="1227">
        <v>2</v>
      </c>
      <c r="D699" s="1227">
        <v>7.6704545454545456E-2</v>
      </c>
      <c r="E699" s="1227">
        <f t="shared" si="54"/>
        <v>0.85192069392812886</v>
      </c>
      <c r="F699" s="1211">
        <f t="shared" si="50"/>
        <v>1.0447065597089622</v>
      </c>
      <c r="G699" s="1227">
        <f t="shared" si="61"/>
        <v>4.3174881135363101</v>
      </c>
      <c r="H699" s="1227">
        <f t="shared" si="62"/>
        <v>0.69314718055994529</v>
      </c>
      <c r="I699" s="1227">
        <f t="shared" si="63"/>
        <v>-2.5677943095937681</v>
      </c>
    </row>
    <row r="700" spans="1:9">
      <c r="A700" s="27">
        <v>689</v>
      </c>
      <c r="B700" s="1227">
        <v>75</v>
      </c>
      <c r="C700" s="1227">
        <v>2</v>
      </c>
      <c r="D700" s="1227">
        <v>8.1534090909090903E-2</v>
      </c>
      <c r="E700" s="1227">
        <f t="shared" si="54"/>
        <v>0.85315985130111527</v>
      </c>
      <c r="F700" s="1211">
        <f t="shared" si="50"/>
        <v>1.0500822529904894</v>
      </c>
      <c r="G700" s="1227">
        <f t="shared" si="61"/>
        <v>4.3174881135363101</v>
      </c>
      <c r="H700" s="1227">
        <f t="shared" si="62"/>
        <v>0.69314718055994529</v>
      </c>
      <c r="I700" s="1227">
        <f t="shared" si="63"/>
        <v>-2.5067340528325217</v>
      </c>
    </row>
    <row r="701" spans="1:9">
      <c r="A701" s="27">
        <v>690</v>
      </c>
      <c r="B701" s="1227">
        <v>75</v>
      </c>
      <c r="C701" s="1227">
        <v>2</v>
      </c>
      <c r="D701" s="1227">
        <v>8.1818181818181818E-2</v>
      </c>
      <c r="E701" s="1227">
        <f t="shared" si="54"/>
        <v>0.85439900867410157</v>
      </c>
      <c r="F701" s="1211">
        <f t="shared" si="50"/>
        <v>1.0554884642056612</v>
      </c>
      <c r="G701" s="1227">
        <f t="shared" si="61"/>
        <v>4.3174881135363101</v>
      </c>
      <c r="H701" s="1227">
        <f t="shared" si="62"/>
        <v>0.69314718055994529</v>
      </c>
      <c r="I701" s="1227">
        <f t="shared" si="63"/>
        <v>-2.503255788456197</v>
      </c>
    </row>
    <row r="702" spans="1:9">
      <c r="A702" s="27">
        <v>691</v>
      </c>
      <c r="B702" s="1227">
        <v>75</v>
      </c>
      <c r="C702" s="1227">
        <v>2</v>
      </c>
      <c r="D702" s="1227">
        <v>8.4374999999999992E-2</v>
      </c>
      <c r="E702" s="1227">
        <f t="shared" si="54"/>
        <v>0.85563816604708798</v>
      </c>
      <c r="F702" s="1211">
        <f t="shared" si="50"/>
        <v>1.060925701662939</v>
      </c>
      <c r="G702" s="1227">
        <f t="shared" si="61"/>
        <v>4.3174881135363101</v>
      </c>
      <c r="H702" s="1227">
        <f t="shared" si="62"/>
        <v>0.69314718055994529</v>
      </c>
      <c r="I702" s="1227">
        <f t="shared" si="63"/>
        <v>-2.4724841297894433</v>
      </c>
    </row>
    <row r="703" spans="1:9">
      <c r="A703" s="27">
        <v>692</v>
      </c>
      <c r="B703" s="1227">
        <v>77</v>
      </c>
      <c r="C703" s="1227">
        <v>2</v>
      </c>
      <c r="D703" s="1227">
        <v>8.5227272727272721E-2</v>
      </c>
      <c r="E703" s="1227">
        <f t="shared" si="54"/>
        <v>0.85687732342007439</v>
      </c>
      <c r="F703" s="1211">
        <f t="shared" si="50"/>
        <v>1.0663944861531984</v>
      </c>
      <c r="G703" s="1227">
        <f t="shared" si="61"/>
        <v>4.3438054218536841</v>
      </c>
      <c r="H703" s="1227">
        <f t="shared" si="62"/>
        <v>0.69314718055994529</v>
      </c>
      <c r="I703" s="1227">
        <f t="shared" si="63"/>
        <v>-2.4624337939359418</v>
      </c>
    </row>
    <row r="704" spans="1:9">
      <c r="A704" s="27">
        <v>693</v>
      </c>
      <c r="B704" s="1227">
        <v>80</v>
      </c>
      <c r="C704" s="1227">
        <v>2</v>
      </c>
      <c r="D704" s="1227">
        <v>8.5227272727272721E-2</v>
      </c>
      <c r="E704" s="1227">
        <f t="shared" si="54"/>
        <v>0.85811648079306069</v>
      </c>
      <c r="F704" s="1211">
        <f t="shared" si="50"/>
        <v>1.0718953513709781</v>
      </c>
      <c r="G704" s="1227">
        <f t="shared" si="61"/>
        <v>4.3820266346738812</v>
      </c>
      <c r="H704" s="1227">
        <f t="shared" si="62"/>
        <v>0.69314718055994529</v>
      </c>
      <c r="I704" s="1227">
        <f t="shared" si="63"/>
        <v>-2.4624337939359418</v>
      </c>
    </row>
    <row r="705" spans="1:9">
      <c r="A705" s="27">
        <v>694</v>
      </c>
      <c r="B705" s="1227">
        <v>80</v>
      </c>
      <c r="C705" s="1227">
        <v>2</v>
      </c>
      <c r="D705" s="1227">
        <v>8.5227272727272721E-2</v>
      </c>
      <c r="E705" s="1227">
        <f t="shared" si="54"/>
        <v>0.8593556381660471</v>
      </c>
      <c r="F705" s="1211">
        <f t="shared" si="50"/>
        <v>1.0774288443537556</v>
      </c>
      <c r="G705" s="1227">
        <f t="shared" si="61"/>
        <v>4.3820266346738812</v>
      </c>
      <c r="H705" s="1227">
        <f t="shared" si="62"/>
        <v>0.69314718055994529</v>
      </c>
      <c r="I705" s="1227">
        <f t="shared" si="63"/>
        <v>-2.4624337939359418</v>
      </c>
    </row>
    <row r="706" spans="1:9">
      <c r="A706" s="27">
        <v>695</v>
      </c>
      <c r="B706" s="1227">
        <v>80</v>
      </c>
      <c r="C706" s="1227">
        <v>2</v>
      </c>
      <c r="D706" s="1227">
        <v>8.5227272727272721E-2</v>
      </c>
      <c r="E706" s="1227">
        <f t="shared" si="54"/>
        <v>0.86059479553903351</v>
      </c>
      <c r="F706" s="1211">
        <f t="shared" si="50"/>
        <v>1.0829955259401778</v>
      </c>
      <c r="G706" s="1227">
        <f t="shared" si="61"/>
        <v>4.3820266346738812</v>
      </c>
      <c r="H706" s="1227">
        <f t="shared" si="62"/>
        <v>0.69314718055994529</v>
      </c>
      <c r="I706" s="1227">
        <f t="shared" si="63"/>
        <v>-2.4624337939359418</v>
      </c>
    </row>
    <row r="707" spans="1:9">
      <c r="A707" s="27">
        <v>696</v>
      </c>
      <c r="B707" s="1227">
        <v>80</v>
      </c>
      <c r="C707" s="1227">
        <v>2</v>
      </c>
      <c r="D707" s="1227">
        <v>8.5227272727272721E-2</v>
      </c>
      <c r="E707" s="1227">
        <f t="shared" si="54"/>
        <v>0.86183395291201981</v>
      </c>
      <c r="F707" s="1211">
        <f t="shared" si="50"/>
        <v>1.0885959712482742</v>
      </c>
      <c r="G707" s="1227">
        <f t="shared" si="61"/>
        <v>4.3820266346738812</v>
      </c>
      <c r="H707" s="1227">
        <f t="shared" si="62"/>
        <v>0.69314718055994529</v>
      </c>
      <c r="I707" s="1227">
        <f t="shared" si="63"/>
        <v>-2.4624337939359418</v>
      </c>
    </row>
    <row r="708" spans="1:9">
      <c r="A708" s="27">
        <v>697</v>
      </c>
      <c r="B708" s="1227">
        <v>80</v>
      </c>
      <c r="C708" s="1227">
        <v>2</v>
      </c>
      <c r="D708" s="1227">
        <v>8.5227272727272721E-2</v>
      </c>
      <c r="E708" s="1227">
        <f t="shared" si="54"/>
        <v>0.86307311028500622</v>
      </c>
      <c r="F708" s="1211">
        <f t="shared" si="50"/>
        <v>1.0942307701746825</v>
      </c>
      <c r="G708" s="1227">
        <f t="shared" si="61"/>
        <v>4.3820266346738812</v>
      </c>
      <c r="H708" s="1227">
        <f t="shared" si="62"/>
        <v>0.69314718055994529</v>
      </c>
      <c r="I708" s="1227">
        <f t="shared" si="63"/>
        <v>-2.4624337939359418</v>
      </c>
    </row>
    <row r="709" spans="1:9">
      <c r="A709" s="27">
        <v>698</v>
      </c>
      <c r="B709" s="1227">
        <v>80</v>
      </c>
      <c r="C709" s="1227">
        <v>2</v>
      </c>
      <c r="D709" s="1227">
        <v>8.5227272727272721E-2</v>
      </c>
      <c r="E709" s="1227">
        <f t="shared" si="54"/>
        <v>0.86431226765799252</v>
      </c>
      <c r="F709" s="1211">
        <f t="shared" si="50"/>
        <v>1.0999005279160257</v>
      </c>
      <c r="G709" s="1227">
        <f t="shared" ref="G709:G729" si="64">LN(B709)</f>
        <v>4.3820266346738812</v>
      </c>
      <c r="H709" s="1227">
        <f t="shared" ref="H709:H729" si="65">LN(C709)</f>
        <v>0.69314718055994529</v>
      </c>
      <c r="I709" s="1227">
        <f t="shared" ref="I709:I729" si="66">LN(D709)</f>
        <v>-2.4624337939359418</v>
      </c>
    </row>
    <row r="710" spans="1:9">
      <c r="A710" s="27">
        <v>699</v>
      </c>
      <c r="B710" s="1227">
        <v>80</v>
      </c>
      <c r="C710" s="1227">
        <v>2</v>
      </c>
      <c r="D710" s="1227">
        <v>8.6249999999999993E-2</v>
      </c>
      <c r="E710" s="1227">
        <f t="shared" si="54"/>
        <v>0.86555142503097893</v>
      </c>
      <c r="F710" s="1211">
        <f t="shared" si="50"/>
        <v>1.1056058655136347</v>
      </c>
      <c r="G710" s="1227">
        <f t="shared" si="64"/>
        <v>4.3820266346738812</v>
      </c>
      <c r="H710" s="1227">
        <f t="shared" si="65"/>
        <v>0.69314718055994529</v>
      </c>
      <c r="I710" s="1227">
        <f t="shared" si="66"/>
        <v>-2.4505052230706679</v>
      </c>
    </row>
    <row r="711" spans="1:9">
      <c r="A711" s="27">
        <v>700</v>
      </c>
      <c r="B711" s="1227">
        <v>90</v>
      </c>
      <c r="C711" s="1227">
        <v>2</v>
      </c>
      <c r="D711" s="1227">
        <v>8.693181818181818E-2</v>
      </c>
      <c r="E711" s="1227">
        <f t="shared" si="54"/>
        <v>0.86679058240396534</v>
      </c>
      <c r="F711" s="1211">
        <f t="shared" si="50"/>
        <v>1.1113474204228826</v>
      </c>
      <c r="G711" s="1227">
        <f t="shared" si="64"/>
        <v>4.499809670330265</v>
      </c>
      <c r="H711" s="1227">
        <f t="shared" si="65"/>
        <v>0.69314718055994529</v>
      </c>
      <c r="I711" s="1227">
        <f t="shared" si="66"/>
        <v>-2.442631166639762</v>
      </c>
    </row>
    <row r="712" spans="1:9">
      <c r="A712" s="27">
        <v>701</v>
      </c>
      <c r="B712" s="1227">
        <v>90</v>
      </c>
      <c r="C712" s="1227">
        <v>2</v>
      </c>
      <c r="D712" s="1227">
        <v>9.0909090909090912E-2</v>
      </c>
      <c r="E712" s="1227">
        <f t="shared" si="54"/>
        <v>0.86802973977695164</v>
      </c>
      <c r="F712" s="1211">
        <f t="shared" si="50"/>
        <v>1.1171258471084931</v>
      </c>
      <c r="G712" s="1227">
        <f t="shared" si="64"/>
        <v>4.499809670330265</v>
      </c>
      <c r="H712" s="1227">
        <f t="shared" si="65"/>
        <v>0.69314718055994529</v>
      </c>
      <c r="I712" s="1227">
        <f t="shared" si="66"/>
        <v>-2.3978952727983707</v>
      </c>
    </row>
    <row r="713" spans="1:9">
      <c r="A713" s="27">
        <v>702</v>
      </c>
      <c r="B713" s="1227">
        <v>90</v>
      </c>
      <c r="C713" s="1227">
        <v>2</v>
      </c>
      <c r="D713" s="1227">
        <v>9.1193181818181812E-2</v>
      </c>
      <c r="E713" s="1227">
        <f t="shared" si="54"/>
        <v>0.86926889714993805</v>
      </c>
      <c r="F713" s="1211">
        <f t="shared" si="50"/>
        <v>1.1229418176672605</v>
      </c>
      <c r="G713" s="1227">
        <f t="shared" si="64"/>
        <v>4.499809670330265</v>
      </c>
      <c r="H713" s="1227">
        <f t="shared" si="65"/>
        <v>0.69314718055994529</v>
      </c>
      <c r="I713" s="1227">
        <f t="shared" si="66"/>
        <v>-2.3947751454621269</v>
      </c>
    </row>
    <row r="714" spans="1:9">
      <c r="A714" s="27">
        <v>703</v>
      </c>
      <c r="B714" s="1227">
        <v>90</v>
      </c>
      <c r="C714" s="1227">
        <v>2</v>
      </c>
      <c r="D714" s="1227">
        <v>9.3579545454545457E-2</v>
      </c>
      <c r="E714" s="1227">
        <f t="shared" si="54"/>
        <v>0.87050805452292446</v>
      </c>
      <c r="F714" s="1211">
        <f t="shared" si="50"/>
        <v>1.1287960224797102</v>
      </c>
      <c r="G714" s="1227">
        <f t="shared" si="64"/>
        <v>4.499809670330265</v>
      </c>
      <c r="H714" s="1227">
        <f t="shared" si="65"/>
        <v>0.69314718055994529</v>
      </c>
      <c r="I714" s="1227">
        <f t="shared" si="66"/>
        <v>-2.3689434508486027</v>
      </c>
    </row>
    <row r="715" spans="1:9">
      <c r="A715" s="27">
        <v>704</v>
      </c>
      <c r="B715" s="1227">
        <v>100</v>
      </c>
      <c r="C715" s="1227">
        <v>2</v>
      </c>
      <c r="D715" s="1227">
        <v>9.3863636363636357E-2</v>
      </c>
      <c r="E715" s="1227">
        <f t="shared" si="54"/>
        <v>0.87174721189591076</v>
      </c>
      <c r="F715" s="1211">
        <f t="shared" si="50"/>
        <v>1.1346891708923552</v>
      </c>
      <c r="G715" s="1227">
        <f t="shared" si="64"/>
        <v>4.6051701859880918</v>
      </c>
      <c r="H715" s="1227">
        <f t="shared" si="65"/>
        <v>0.69314718055994529</v>
      </c>
      <c r="I715" s="1227">
        <f t="shared" si="66"/>
        <v>-2.3659122269453197</v>
      </c>
    </row>
    <row r="716" spans="1:9">
      <c r="A716" s="27">
        <v>705</v>
      </c>
      <c r="B716" s="1227">
        <v>100</v>
      </c>
      <c r="C716" s="1227">
        <v>2.0099999999999998</v>
      </c>
      <c r="D716" s="1227">
        <v>9.5454545454545445E-2</v>
      </c>
      <c r="E716" s="1227">
        <f t="shared" si="54"/>
        <v>0.87298636926889717</v>
      </c>
      <c r="F716" s="1211">
        <f t="shared" si="50"/>
        <v>1.1406219919322809</v>
      </c>
      <c r="G716" s="1227">
        <f t="shared" si="64"/>
        <v>4.6051701859880918</v>
      </c>
      <c r="H716" s="1227">
        <f t="shared" si="65"/>
        <v>0.69813472207098426</v>
      </c>
      <c r="I716" s="1227">
        <f t="shared" si="66"/>
        <v>-2.3491051086289385</v>
      </c>
    </row>
    <row r="717" spans="1:9">
      <c r="A717" s="27">
        <v>706</v>
      </c>
      <c r="B717" s="1227">
        <v>100</v>
      </c>
      <c r="C717" s="1227">
        <v>2.0499999999999998</v>
      </c>
      <c r="D717" s="1227">
        <v>9.5624999999999988E-2</v>
      </c>
      <c r="E717" s="1227">
        <f t="shared" ref="E717:E780" si="67">(A717-0.5)/807</f>
        <v>0.87422552664188347</v>
      </c>
      <c r="F717" s="1211">
        <f t="shared" si="50"/>
        <v>1.1465952350559254</v>
      </c>
      <c r="G717" s="1227">
        <f t="shared" si="64"/>
        <v>4.6051701859880918</v>
      </c>
      <c r="H717" s="1227">
        <f t="shared" si="65"/>
        <v>0.71783979315031676</v>
      </c>
      <c r="I717" s="1227">
        <f t="shared" si="66"/>
        <v>-2.3473209868354372</v>
      </c>
    </row>
    <row r="718" spans="1:9">
      <c r="A718" s="27">
        <v>707</v>
      </c>
      <c r="B718" s="1227">
        <v>100</v>
      </c>
      <c r="C718" s="1227">
        <v>2.06</v>
      </c>
      <c r="D718" s="1227">
        <v>9.9715909090909077E-2</v>
      </c>
      <c r="E718" s="1227">
        <f t="shared" si="67"/>
        <v>0.87546468401486988</v>
      </c>
      <c r="F718" s="1211">
        <f t="shared" si="50"/>
        <v>1.1526096709340612</v>
      </c>
      <c r="G718" s="1227">
        <f t="shared" si="64"/>
        <v>4.6051701859880918</v>
      </c>
      <c r="H718" s="1227">
        <f t="shared" si="65"/>
        <v>0.72270598280148979</v>
      </c>
      <c r="I718" s="1227">
        <f t="shared" si="66"/>
        <v>-2.3054300451262772</v>
      </c>
    </row>
    <row r="719" spans="1:9">
      <c r="A719" s="27">
        <v>708</v>
      </c>
      <c r="B719" s="1227">
        <v>100</v>
      </c>
      <c r="C719" s="1227">
        <v>2.08</v>
      </c>
      <c r="D719" s="1227">
        <v>9.9715909090909077E-2</v>
      </c>
      <c r="E719" s="1227">
        <f t="shared" si="67"/>
        <v>0.87670384138785629</v>
      </c>
      <c r="F719" s="1211">
        <f t="shared" si="50"/>
        <v>1.1586660922750927</v>
      </c>
      <c r="G719" s="1227">
        <f t="shared" si="64"/>
        <v>4.6051701859880918</v>
      </c>
      <c r="H719" s="1227">
        <f t="shared" si="65"/>
        <v>0.73236789371322664</v>
      </c>
      <c r="I719" s="1227">
        <f t="shared" si="66"/>
        <v>-2.3054300451262772</v>
      </c>
    </row>
    <row r="720" spans="1:9">
      <c r="A720" s="27">
        <v>709</v>
      </c>
      <c r="B720" s="1227">
        <v>100</v>
      </c>
      <c r="C720" s="1227">
        <v>2.08</v>
      </c>
      <c r="D720" s="1227">
        <v>0.10056818181818182</v>
      </c>
      <c r="E720" s="1227">
        <f t="shared" si="67"/>
        <v>0.87794299876084259</v>
      </c>
      <c r="F720" s="1211">
        <f t="shared" si="50"/>
        <v>1.1647653146889521</v>
      </c>
      <c r="G720" s="1227">
        <f t="shared" si="64"/>
        <v>4.6051701859880918</v>
      </c>
      <c r="H720" s="1227">
        <f t="shared" si="65"/>
        <v>0.73236789371322664</v>
      </c>
      <c r="I720" s="1227">
        <f t="shared" si="66"/>
        <v>-2.2969193554583685</v>
      </c>
    </row>
    <row r="721" spans="1:9">
      <c r="A721" s="27">
        <v>710</v>
      </c>
      <c r="B721" s="1227">
        <v>100</v>
      </c>
      <c r="C721" s="1227">
        <v>2.1</v>
      </c>
      <c r="D721" s="1227">
        <v>0.10085227272727272</v>
      </c>
      <c r="E721" s="1227">
        <f t="shared" si="67"/>
        <v>0.879182156133829</v>
      </c>
      <c r="F721" s="1211">
        <f t="shared" si="50"/>
        <v>1.1709081775940402</v>
      </c>
      <c r="G721" s="1227">
        <f t="shared" si="64"/>
        <v>4.6051701859880918</v>
      </c>
      <c r="H721" s="1227">
        <f t="shared" si="65"/>
        <v>0.74193734472937733</v>
      </c>
      <c r="I721" s="1227">
        <f t="shared" si="66"/>
        <v>-2.2940984791167272</v>
      </c>
    </row>
    <row r="722" spans="1:9">
      <c r="A722" s="27">
        <v>711</v>
      </c>
      <c r="B722" s="1227">
        <v>100</v>
      </c>
      <c r="C722" s="1227">
        <v>2.14</v>
      </c>
      <c r="D722" s="1227">
        <v>0.10227272727272727</v>
      </c>
      <c r="E722" s="1227">
        <f t="shared" si="67"/>
        <v>0.88042131350681541</v>
      </c>
      <c r="F722" s="1211">
        <f t="shared" si="50"/>
        <v>1.1770955451698173</v>
      </c>
      <c r="G722" s="1227">
        <f t="shared" si="64"/>
        <v>4.6051701859880918</v>
      </c>
      <c r="H722" s="1227">
        <f t="shared" si="65"/>
        <v>0.76080582903376015</v>
      </c>
      <c r="I722" s="1227">
        <f t="shared" si="66"/>
        <v>-2.2801122371419873</v>
      </c>
    </row>
    <row r="723" spans="1:9">
      <c r="A723" s="27">
        <v>712</v>
      </c>
      <c r="B723" s="1227">
        <v>100</v>
      </c>
      <c r="C723" s="1227">
        <v>2.2200000000000002</v>
      </c>
      <c r="D723" s="1229">
        <v>0.10340909090909091</v>
      </c>
      <c r="E723" s="1227">
        <f t="shared" si="67"/>
        <v>0.88166047087980171</v>
      </c>
      <c r="F723" s="1211">
        <f t="shared" si="50"/>
        <v>1.1833283073578369</v>
      </c>
      <c r="G723" s="1227">
        <f t="shared" si="64"/>
        <v>4.6051701859880918</v>
      </c>
      <c r="H723" s="1227">
        <f t="shared" si="65"/>
        <v>0.79750719588418817</v>
      </c>
      <c r="I723" s="1227">
        <f t="shared" si="66"/>
        <v>-2.2690624009554021</v>
      </c>
    </row>
    <row r="724" spans="1:9">
      <c r="A724" s="27">
        <v>713</v>
      </c>
      <c r="B724" s="1227">
        <v>100</v>
      </c>
      <c r="C724" s="1227">
        <v>2.2400000000000002</v>
      </c>
      <c r="D724" s="1227">
        <v>0.1065340909090909</v>
      </c>
      <c r="E724" s="1227">
        <f t="shared" si="67"/>
        <v>0.88289962825278812</v>
      </c>
      <c r="F724" s="1211">
        <f t="shared" si="50"/>
        <v>1.1896073809142442</v>
      </c>
      <c r="G724" s="1227">
        <f t="shared" si="64"/>
        <v>4.6051701859880918</v>
      </c>
      <c r="H724" s="1227">
        <f t="shared" si="65"/>
        <v>0.80647586586694853</v>
      </c>
      <c r="I724" s="1227">
        <f t="shared" si="66"/>
        <v>-2.239290242621732</v>
      </c>
    </row>
    <row r="725" spans="1:9">
      <c r="A725" s="27">
        <v>714</v>
      </c>
      <c r="B725" s="1227">
        <v>100</v>
      </c>
      <c r="C725" s="1227">
        <v>2.25</v>
      </c>
      <c r="D725" s="1227">
        <v>0.106875</v>
      </c>
      <c r="E725" s="1227">
        <f t="shared" si="67"/>
        <v>0.88413878562577453</v>
      </c>
      <c r="F725" s="1211">
        <f t="shared" si="50"/>
        <v>1.1959337105169316</v>
      </c>
      <c r="G725" s="1227">
        <f t="shared" si="64"/>
        <v>4.6051701859880918</v>
      </c>
      <c r="H725" s="1227">
        <f t="shared" si="65"/>
        <v>0.81093021621632877</v>
      </c>
      <c r="I725" s="1227">
        <f t="shared" si="66"/>
        <v>-2.2360953517252127</v>
      </c>
    </row>
    <row r="726" spans="1:9">
      <c r="A726" s="27">
        <v>715</v>
      </c>
      <c r="B726" s="1227">
        <v>100</v>
      </c>
      <c r="C726" s="1233">
        <v>2.2599999999999998</v>
      </c>
      <c r="D726" s="1227">
        <v>0.106875</v>
      </c>
      <c r="E726" s="1227">
        <f t="shared" si="67"/>
        <v>0.88537794299876083</v>
      </c>
      <c r="F726" s="1211">
        <f t="shared" si="50"/>
        <v>1.2023082699308456</v>
      </c>
      <c r="G726" s="1227">
        <f t="shared" si="64"/>
        <v>4.6051701859880918</v>
      </c>
      <c r="H726" s="1227">
        <f t="shared" si="65"/>
        <v>0.81536481328419441</v>
      </c>
      <c r="I726" s="1227">
        <f t="shared" si="66"/>
        <v>-2.2360953517252127</v>
      </c>
    </row>
    <row r="727" spans="1:9">
      <c r="A727" s="27">
        <v>716</v>
      </c>
      <c r="B727" s="1227">
        <v>100</v>
      </c>
      <c r="C727" s="1227">
        <v>2.34</v>
      </c>
      <c r="D727" s="1229">
        <v>0.10738636363636363</v>
      </c>
      <c r="E727" s="1227">
        <f t="shared" si="67"/>
        <v>0.88661710037174724</v>
      </c>
      <c r="F727" s="1211">
        <f t="shared" si="50"/>
        <v>1.2087320632351395</v>
      </c>
      <c r="G727" s="1227">
        <f t="shared" si="64"/>
        <v>4.6051701859880918</v>
      </c>
      <c r="H727" s="1227">
        <f t="shared" si="65"/>
        <v>0.85015092936961001</v>
      </c>
      <c r="I727" s="1227">
        <f t="shared" si="66"/>
        <v>-2.2313220729725551</v>
      </c>
    </row>
    <row r="728" spans="1:9">
      <c r="A728" s="27">
        <v>717</v>
      </c>
      <c r="B728" s="1227">
        <v>100</v>
      </c>
      <c r="C728" s="1227">
        <v>2.34</v>
      </c>
      <c r="D728" s="1227">
        <v>0.10795454545454544</v>
      </c>
      <c r="E728" s="1227">
        <f t="shared" si="67"/>
        <v>0.88785625774473353</v>
      </c>
      <c r="F728" s="1211">
        <f t="shared" si="50"/>
        <v>1.2152061261161777</v>
      </c>
      <c r="G728" s="1227">
        <f t="shared" si="64"/>
        <v>4.6051701859880918</v>
      </c>
      <c r="H728" s="1227">
        <f t="shared" si="65"/>
        <v>0.85015092936961001</v>
      </c>
      <c r="I728" s="1227">
        <f t="shared" si="66"/>
        <v>-2.2260450158717116</v>
      </c>
    </row>
    <row r="729" spans="1:9">
      <c r="A729" s="27">
        <v>718</v>
      </c>
      <c r="B729" s="1227">
        <v>100</v>
      </c>
      <c r="C729" s="1227">
        <v>2.4300000000000002</v>
      </c>
      <c r="D729" s="1227">
        <v>0.11363636363636363</v>
      </c>
      <c r="E729" s="1227">
        <f t="shared" si="67"/>
        <v>0.88909541511771994</v>
      </c>
      <c r="F729" s="1211">
        <f t="shared" si="50"/>
        <v>1.2217315272307172</v>
      </c>
      <c r="G729" s="1227">
        <f t="shared" si="64"/>
        <v>4.6051701859880918</v>
      </c>
      <c r="H729" s="1227">
        <f t="shared" si="65"/>
        <v>0.88789125735245711</v>
      </c>
      <c r="I729" s="1227">
        <f t="shared" si="66"/>
        <v>-2.174751721484161</v>
      </c>
    </row>
    <row r="730" spans="1:9">
      <c r="A730" s="27">
        <v>719</v>
      </c>
      <c r="B730" s="1227">
        <v>100</v>
      </c>
      <c r="C730" s="1227">
        <v>2.4500000000000002</v>
      </c>
      <c r="D730" s="1227">
        <v>0.11363636363636363</v>
      </c>
      <c r="E730" s="1227">
        <f t="shared" si="67"/>
        <v>0.89033457249070636</v>
      </c>
      <c r="F730" s="1227">
        <f t="shared" si="50"/>
        <v>1.2283093696438865</v>
      </c>
      <c r="G730" s="1227">
        <f t="shared" ref="G730:G738" si="68">LN(B730)</f>
        <v>4.6051701859880918</v>
      </c>
      <c r="H730" s="1227">
        <f t="shared" ref="H730:H738" si="69">LN(C730)</f>
        <v>0.89608802455663572</v>
      </c>
      <c r="I730" s="1227">
        <f t="shared" ref="I730:I738" si="70">LN(D730)</f>
        <v>-2.174751721484161</v>
      </c>
    </row>
    <row r="731" spans="1:9">
      <c r="A731" s="27">
        <v>720</v>
      </c>
      <c r="B731" s="1227">
        <v>100</v>
      </c>
      <c r="C731" s="1227">
        <v>2.46</v>
      </c>
      <c r="D731" s="1227">
        <v>0.11363636363636363</v>
      </c>
      <c r="E731" s="1227">
        <f t="shared" si="67"/>
        <v>0.89157372986369265</v>
      </c>
      <c r="F731" s="1227">
        <f t="shared" si="50"/>
        <v>1.2349407923469664</v>
      </c>
      <c r="G731" s="1227">
        <f t="shared" si="68"/>
        <v>4.6051701859880918</v>
      </c>
      <c r="H731" s="1227">
        <f t="shared" si="69"/>
        <v>0.90016134994427144</v>
      </c>
      <c r="I731" s="1227">
        <f t="shared" si="70"/>
        <v>-2.174751721484161</v>
      </c>
    </row>
    <row r="732" spans="1:9">
      <c r="A732" s="27">
        <v>721</v>
      </c>
      <c r="B732" s="1227">
        <v>100</v>
      </c>
      <c r="C732" s="1227">
        <v>2.5</v>
      </c>
      <c r="D732" s="1227">
        <v>0.11363636363636363</v>
      </c>
      <c r="E732" s="1227">
        <f t="shared" si="67"/>
        <v>0.89281288723667906</v>
      </c>
      <c r="F732" s="1227">
        <f t="shared" si="50"/>
        <v>1.2416269718604036</v>
      </c>
      <c r="G732" s="1227">
        <f t="shared" si="68"/>
        <v>4.6051701859880918</v>
      </c>
      <c r="H732" s="1227">
        <f t="shared" si="69"/>
        <v>0.91629073187415511</v>
      </c>
      <c r="I732" s="1227">
        <f t="shared" si="70"/>
        <v>-2.174751721484161</v>
      </c>
    </row>
    <row r="733" spans="1:9">
      <c r="A733" s="27">
        <v>722</v>
      </c>
      <c r="B733" s="1227">
        <v>100</v>
      </c>
      <c r="C733" s="1227">
        <v>2.5</v>
      </c>
      <c r="D733" s="1227">
        <v>0.11363636363636363</v>
      </c>
      <c r="E733" s="1227">
        <f t="shared" si="67"/>
        <v>0.89405204460966547</v>
      </c>
      <c r="F733" s="1227">
        <f t="shared" si="50"/>
        <v>1.2483691239278443</v>
      </c>
      <c r="G733" s="1227">
        <f t="shared" si="68"/>
        <v>4.6051701859880918</v>
      </c>
      <c r="H733" s="1227">
        <f t="shared" si="69"/>
        <v>0.91629073187415511</v>
      </c>
      <c r="I733" s="1227">
        <f t="shared" si="70"/>
        <v>-2.174751721484161</v>
      </c>
    </row>
    <row r="734" spans="1:9">
      <c r="A734" s="27">
        <v>723</v>
      </c>
      <c r="B734" s="1227">
        <v>100</v>
      </c>
      <c r="C734" s="1227">
        <v>2.5</v>
      </c>
      <c r="D734" s="1227">
        <v>0.11363636363636363</v>
      </c>
      <c r="E734" s="1227">
        <f t="shared" si="67"/>
        <v>0.89529120198265177</v>
      </c>
      <c r="F734" s="1227">
        <f t="shared" si="50"/>
        <v>1.2551685053075385</v>
      </c>
      <c r="G734" s="1227">
        <f t="shared" si="68"/>
        <v>4.6051701859880918</v>
      </c>
      <c r="H734" s="1227">
        <f t="shared" si="69"/>
        <v>0.91629073187415511</v>
      </c>
      <c r="I734" s="1227">
        <f t="shared" si="70"/>
        <v>-2.174751721484161</v>
      </c>
    </row>
    <row r="735" spans="1:9">
      <c r="A735" s="27">
        <v>724</v>
      </c>
      <c r="B735" s="1227">
        <v>100</v>
      </c>
      <c r="C735" s="1227">
        <v>2.5</v>
      </c>
      <c r="D735" s="1227">
        <v>0.11363636363636363</v>
      </c>
      <c r="E735" s="1227">
        <f t="shared" si="67"/>
        <v>0.89653035935563818</v>
      </c>
      <c r="F735" s="1227">
        <f t="shared" si="50"/>
        <v>1.2620264156679111</v>
      </c>
      <c r="G735" s="1227">
        <f t="shared" si="68"/>
        <v>4.6051701859880918</v>
      </c>
      <c r="H735" s="1227">
        <f t="shared" si="69"/>
        <v>0.91629073187415511</v>
      </c>
      <c r="I735" s="1227">
        <f t="shared" si="70"/>
        <v>-2.174751721484161</v>
      </c>
    </row>
    <row r="736" spans="1:9">
      <c r="A736" s="27">
        <v>725</v>
      </c>
      <c r="B736" s="1227">
        <v>100</v>
      </c>
      <c r="C736" s="1227">
        <v>2.5099999999999998</v>
      </c>
      <c r="D736" s="1227">
        <v>0.11363636363636363</v>
      </c>
      <c r="E736" s="1227">
        <f t="shared" si="67"/>
        <v>0.89776951672862448</v>
      </c>
      <c r="F736" s="1227">
        <f t="shared" si="50"/>
        <v>1.2689441995946948</v>
      </c>
      <c r="G736" s="1227">
        <f t="shared" si="68"/>
        <v>4.6051701859880918</v>
      </c>
      <c r="H736" s="1227">
        <f t="shared" si="69"/>
        <v>0.92028275314369246</v>
      </c>
      <c r="I736" s="1227">
        <f t="shared" si="70"/>
        <v>-2.174751721484161</v>
      </c>
    </row>
    <row r="737" spans="1:9">
      <c r="A737" s="27">
        <v>726</v>
      </c>
      <c r="B737" s="1227">
        <v>100</v>
      </c>
      <c r="C737" s="1227">
        <v>2.5499999999999998</v>
      </c>
      <c r="D737" s="1227">
        <v>0.11420454545454543</v>
      </c>
      <c r="E737" s="1227">
        <f t="shared" si="67"/>
        <v>0.89900867410161089</v>
      </c>
      <c r="F737" s="1227">
        <f t="shared" si="50"/>
        <v>1.2759232487176544</v>
      </c>
      <c r="G737" s="1227">
        <f t="shared" si="68"/>
        <v>4.6051701859880918</v>
      </c>
      <c r="H737" s="1227">
        <f t="shared" si="69"/>
        <v>0.93609335917033476</v>
      </c>
      <c r="I737" s="1227">
        <f t="shared" si="70"/>
        <v>-2.169764179973122</v>
      </c>
    </row>
    <row r="738" spans="1:9">
      <c r="A738" s="27">
        <v>727</v>
      </c>
      <c r="B738" s="1227">
        <v>100</v>
      </c>
      <c r="C738" s="1227">
        <v>2.7</v>
      </c>
      <c r="D738" s="1227">
        <v>0.11960227272727272</v>
      </c>
      <c r="E738" s="1227">
        <f t="shared" si="67"/>
        <v>0.9002478314745973</v>
      </c>
      <c r="F738" s="1227">
        <f t="shared" si="50"/>
        <v>1.2829650039655704</v>
      </c>
      <c r="G738" s="1227">
        <f t="shared" si="68"/>
        <v>4.6051701859880918</v>
      </c>
      <c r="H738" s="1227">
        <f t="shared" si="69"/>
        <v>0.99325177301028345</v>
      </c>
      <c r="I738" s="1227">
        <f t="shared" si="70"/>
        <v>-2.1235834349097615</v>
      </c>
    </row>
    <row r="739" spans="1:9">
      <c r="A739" s="27">
        <v>728</v>
      </c>
      <c r="B739" s="1235">
        <v>100</v>
      </c>
      <c r="C739" s="1227">
        <v>2.78</v>
      </c>
      <c r="D739" s="1227">
        <v>0.12045454545454545</v>
      </c>
      <c r="E739" s="1227">
        <f t="shared" si="67"/>
        <v>0.9014869888475836</v>
      </c>
      <c r="F739" s="1211">
        <f t="shared" si="50"/>
        <v>1.290070957958934</v>
      </c>
      <c r="G739" s="1227">
        <f t="shared" ref="G739:G746" si="71">LN(B739)</f>
        <v>4.6051701859880918</v>
      </c>
      <c r="H739" s="1227">
        <f t="shared" ref="H739:H746" si="72">LN(C739)</f>
        <v>1.0224509277025455</v>
      </c>
      <c r="I739" s="1227">
        <f t="shared" ref="I739:I746" si="73">LN(D739)</f>
        <v>-2.116482813360185</v>
      </c>
    </row>
    <row r="740" spans="1:9">
      <c r="A740" s="27">
        <v>729</v>
      </c>
      <c r="B740" s="1235">
        <v>100</v>
      </c>
      <c r="C740" s="1227">
        <v>2.79</v>
      </c>
      <c r="D740" s="1227">
        <v>0.1221590909090909</v>
      </c>
      <c r="E740" s="1227">
        <f t="shared" si="67"/>
        <v>0.90272614622057001</v>
      </c>
      <c r="F740" s="1211">
        <f t="shared" si="50"/>
        <v>1.2972426575506355</v>
      </c>
      <c r="G740" s="1227">
        <f t="shared" si="71"/>
        <v>4.6051701859880918</v>
      </c>
      <c r="H740" s="1227">
        <f t="shared" si="72"/>
        <v>1.0260415958332743</v>
      </c>
      <c r="I740" s="1227">
        <f t="shared" si="73"/>
        <v>-2.1024310599045348</v>
      </c>
    </row>
    <row r="741" spans="1:9">
      <c r="A741" s="27">
        <v>730</v>
      </c>
      <c r="B741" s="1235">
        <v>100</v>
      </c>
      <c r="C741" s="1227">
        <v>2.8</v>
      </c>
      <c r="D741" s="1227">
        <v>0.12272727272727273</v>
      </c>
      <c r="E741" s="1227">
        <f t="shared" si="67"/>
        <v>0.90396530359355642</v>
      </c>
      <c r="F741" s="1211">
        <f t="shared" si="50"/>
        <v>1.3044817065257872</v>
      </c>
      <c r="G741" s="1227">
        <f t="shared" si="71"/>
        <v>4.6051701859880918</v>
      </c>
      <c r="H741" s="1227">
        <f t="shared" si="72"/>
        <v>1.0296194171811581</v>
      </c>
      <c r="I741" s="1227">
        <f t="shared" si="73"/>
        <v>-2.0977906803480324</v>
      </c>
    </row>
    <row r="742" spans="1:9">
      <c r="A742" s="27">
        <v>731</v>
      </c>
      <c r="B742" s="1235">
        <v>100</v>
      </c>
      <c r="C742" s="1227">
        <v>2.84</v>
      </c>
      <c r="D742" s="1227">
        <v>0.12428977272727273</v>
      </c>
      <c r="E742" s="1227">
        <f t="shared" si="67"/>
        <v>0.90520446096654272</v>
      </c>
      <c r="F742" s="1211">
        <f t="shared" si="50"/>
        <v>1.3117897684728792</v>
      </c>
      <c r="G742" s="1227">
        <f t="shared" si="71"/>
        <v>4.6051701859880918</v>
      </c>
      <c r="H742" s="1227">
        <f t="shared" si="72"/>
        <v>1.0438040521731147</v>
      </c>
      <c r="I742" s="1227">
        <f t="shared" si="73"/>
        <v>-2.0851395627944735</v>
      </c>
    </row>
    <row r="743" spans="1:9">
      <c r="A743" s="27">
        <v>732</v>
      </c>
      <c r="B743" s="1235">
        <v>100</v>
      </c>
      <c r="C743" s="1227">
        <v>2.87</v>
      </c>
      <c r="D743" s="1227">
        <v>0.12443181818181817</v>
      </c>
      <c r="E743" s="1227">
        <f t="shared" si="67"/>
        <v>0.90644361833952913</v>
      </c>
      <c r="F743" s="1211">
        <f t="shared" si="50"/>
        <v>1.3191685698395292</v>
      </c>
      <c r="G743" s="1227">
        <f t="shared" si="71"/>
        <v>4.6051701859880918</v>
      </c>
      <c r="H743" s="1227">
        <f t="shared" si="72"/>
        <v>1.0543120297715298</v>
      </c>
      <c r="I743" s="1227">
        <f t="shared" si="73"/>
        <v>-2.0839973582156968</v>
      </c>
    </row>
    <row r="744" spans="1:9">
      <c r="A744" s="27">
        <v>733</v>
      </c>
      <c r="B744" s="1235">
        <v>100</v>
      </c>
      <c r="C744" s="1227">
        <v>2.88</v>
      </c>
      <c r="D744" s="1227">
        <v>0.1275</v>
      </c>
      <c r="E744" s="1227">
        <f t="shared" si="67"/>
        <v>0.90768277571251554</v>
      </c>
      <c r="F744" s="1211">
        <f t="shared" si="50"/>
        <v>1.3266199031873385</v>
      </c>
      <c r="G744" s="1227">
        <f t="shared" si="71"/>
        <v>4.6051701859880918</v>
      </c>
      <c r="H744" s="1227">
        <f t="shared" si="72"/>
        <v>1.0577902941478545</v>
      </c>
      <c r="I744" s="1227">
        <f t="shared" si="73"/>
        <v>-2.059638914383656</v>
      </c>
    </row>
    <row r="745" spans="1:9">
      <c r="A745" s="27">
        <v>734</v>
      </c>
      <c r="B745" s="1235">
        <v>100</v>
      </c>
      <c r="C745" s="1227">
        <v>3</v>
      </c>
      <c r="D745" s="1227">
        <v>0.12784090909090909</v>
      </c>
      <c r="E745" s="1227">
        <f t="shared" si="67"/>
        <v>0.90892193308550184</v>
      </c>
      <c r="F745" s="1211">
        <f t="shared" si="50"/>
        <v>1.3341456306616806</v>
      </c>
      <c r="G745" s="1227">
        <f t="shared" si="71"/>
        <v>4.6051701859880918</v>
      </c>
      <c r="H745" s="1227">
        <f t="shared" si="72"/>
        <v>1.0986122886681098</v>
      </c>
      <c r="I745" s="1227">
        <f t="shared" si="73"/>
        <v>-2.0569686858277771</v>
      </c>
    </row>
    <row r="746" spans="1:9">
      <c r="A746" s="27">
        <v>735</v>
      </c>
      <c r="B746" s="1235">
        <v>100</v>
      </c>
      <c r="C746" s="1227">
        <v>3</v>
      </c>
      <c r="D746" s="1227">
        <v>0.13380681818181817</v>
      </c>
      <c r="E746" s="1227">
        <f t="shared" si="67"/>
        <v>0.91016109045848825</v>
      </c>
      <c r="F746" s="1211">
        <f t="shared" si="50"/>
        <v>1.3417476876937868</v>
      </c>
      <c r="G746" s="1227">
        <f t="shared" si="71"/>
        <v>4.6051701859880918</v>
      </c>
      <c r="H746" s="1227">
        <f t="shared" si="72"/>
        <v>1.0986122886681098</v>
      </c>
      <c r="I746" s="1227">
        <f t="shared" si="73"/>
        <v>-2.011358174575725</v>
      </c>
    </row>
    <row r="747" spans="1:9">
      <c r="A747" s="27">
        <v>736</v>
      </c>
      <c r="B747" s="1236">
        <v>100</v>
      </c>
      <c r="C747" s="1227">
        <v>3</v>
      </c>
      <c r="D747" s="1227">
        <v>0.13977272727272727</v>
      </c>
      <c r="E747" s="1227">
        <f t="shared" si="67"/>
        <v>0.91140024783147455</v>
      </c>
      <c r="F747" s="1211">
        <f t="shared" si="50"/>
        <v>1.3494280869541075</v>
      </c>
      <c r="G747" s="1227">
        <f t="shared" ref="G747:G780" si="74">LN(B747)</f>
        <v>4.6051701859880918</v>
      </c>
      <c r="H747" s="1227">
        <f t="shared" ref="H747:H780" si="75">LN(C747)</f>
        <v>1.0986122886681098</v>
      </c>
      <c r="I747" s="1227">
        <f t="shared" ref="I747:I780" si="76">LN(D747)</f>
        <v>-1.9677375520998346</v>
      </c>
    </row>
    <row r="748" spans="1:9">
      <c r="A748" s="27">
        <v>737</v>
      </c>
      <c r="B748" s="1236">
        <v>100</v>
      </c>
      <c r="C748" s="1227">
        <v>3</v>
      </c>
      <c r="D748" s="1229">
        <v>0.14488636363636362</v>
      </c>
      <c r="E748" s="1227">
        <f t="shared" si="67"/>
        <v>0.91263940520446096</v>
      </c>
      <c r="F748" s="1211">
        <f t="shared" si="50"/>
        <v>1.3571889225778233</v>
      </c>
      <c r="G748" s="1227">
        <f t="shared" si="74"/>
        <v>4.6051701859880918</v>
      </c>
      <c r="H748" s="1227">
        <f t="shared" si="75"/>
        <v>1.0986122886681098</v>
      </c>
      <c r="I748" s="1227">
        <f t="shared" si="76"/>
        <v>-1.9318055428737715</v>
      </c>
    </row>
    <row r="749" spans="1:9">
      <c r="A749" s="27">
        <v>738</v>
      </c>
      <c r="B749" s="1227">
        <v>100</v>
      </c>
      <c r="C749" s="1227">
        <v>3</v>
      </c>
      <c r="D749" s="1227">
        <v>0.15312499999999998</v>
      </c>
      <c r="E749" s="1227">
        <f t="shared" si="67"/>
        <v>0.91387856257744737</v>
      </c>
      <c r="F749" s="1211">
        <f t="shared" si="50"/>
        <v>1.3650323746853854</v>
      </c>
      <c r="G749" s="1227">
        <f t="shared" si="74"/>
        <v>4.6051701859880918</v>
      </c>
      <c r="H749" s="1227">
        <f t="shared" si="75"/>
        <v>1.0986122886681098</v>
      </c>
      <c r="I749" s="1227">
        <f t="shared" si="76"/>
        <v>-1.8765006976831458</v>
      </c>
    </row>
    <row r="750" spans="1:9">
      <c r="A750" s="27">
        <v>739</v>
      </c>
      <c r="B750" s="1227">
        <v>100</v>
      </c>
      <c r="C750" s="1227">
        <v>3</v>
      </c>
      <c r="D750" s="1227">
        <v>0.15340909090909091</v>
      </c>
      <c r="E750" s="1227">
        <f t="shared" si="67"/>
        <v>0.91511771995043367</v>
      </c>
      <c r="F750" s="1211">
        <f t="shared" si="50"/>
        <v>1.3729607142232811</v>
      </c>
      <c r="G750" s="1227">
        <f t="shared" si="74"/>
        <v>4.6051701859880918</v>
      </c>
      <c r="H750" s="1227">
        <f t="shared" si="75"/>
        <v>1.0986122886681098</v>
      </c>
      <c r="I750" s="1227">
        <f t="shared" si="76"/>
        <v>-1.8746471290338227</v>
      </c>
    </row>
    <row r="751" spans="1:9">
      <c r="A751" s="27">
        <v>740</v>
      </c>
      <c r="B751" s="1227">
        <v>100</v>
      </c>
      <c r="C751" s="1227">
        <v>3</v>
      </c>
      <c r="D751" s="1227">
        <v>0.15625</v>
      </c>
      <c r="E751" s="1227">
        <f t="shared" si="67"/>
        <v>0.91635687732342008</v>
      </c>
      <c r="F751" s="1211">
        <f t="shared" si="50"/>
        <v>1.3809763081527771</v>
      </c>
      <c r="G751" s="1227">
        <f t="shared" si="74"/>
        <v>4.6051701859880918</v>
      </c>
      <c r="H751" s="1227">
        <f t="shared" si="75"/>
        <v>1.0986122886681098</v>
      </c>
      <c r="I751" s="1227">
        <f t="shared" si="76"/>
        <v>-1.8562979903656263</v>
      </c>
    </row>
    <row r="752" spans="1:9">
      <c r="A752" s="27">
        <v>741</v>
      </c>
      <c r="B752" s="1227">
        <v>100</v>
      </c>
      <c r="C752" s="1227">
        <v>3</v>
      </c>
      <c r="D752" s="1227">
        <v>0.1575</v>
      </c>
      <c r="E752" s="1227">
        <f t="shared" si="67"/>
        <v>0.91759603469640649</v>
      </c>
      <c r="F752" s="1211">
        <f t="shared" si="50"/>
        <v>1.3890816250172116</v>
      </c>
      <c r="G752" s="1227">
        <f t="shared" si="74"/>
        <v>4.6051701859880918</v>
      </c>
      <c r="H752" s="1227">
        <f t="shared" si="75"/>
        <v>1.0986122886681098</v>
      </c>
      <c r="I752" s="1227">
        <f t="shared" si="76"/>
        <v>-1.8483298207164494</v>
      </c>
    </row>
    <row r="753" spans="1:9">
      <c r="A753" s="27">
        <v>742</v>
      </c>
      <c r="B753" s="1227">
        <v>100</v>
      </c>
      <c r="C753" s="1227">
        <v>3</v>
      </c>
      <c r="D753" s="1227">
        <v>0.15795454545454543</v>
      </c>
      <c r="E753" s="1227">
        <f t="shared" si="67"/>
        <v>0.91883519206939279</v>
      </c>
      <c r="F753" s="1211">
        <f t="shared" si="50"/>
        <v>1.3972792409216594</v>
      </c>
      <c r="G753" s="1227">
        <f t="shared" si="74"/>
        <v>4.6051701859880918</v>
      </c>
      <c r="H753" s="1227">
        <f t="shared" si="75"/>
        <v>1.0986122886681098</v>
      </c>
      <c r="I753" s="1227">
        <f t="shared" si="76"/>
        <v>-1.8454479743415606</v>
      </c>
    </row>
    <row r="754" spans="1:9">
      <c r="A754" s="27">
        <v>743</v>
      </c>
      <c r="B754" s="1227">
        <v>100</v>
      </c>
      <c r="C754" s="1227">
        <v>3</v>
      </c>
      <c r="D754" s="1227">
        <v>0.16249999999999998</v>
      </c>
      <c r="E754" s="1227">
        <f t="shared" si="67"/>
        <v>0.9200743494423792</v>
      </c>
      <c r="F754" s="1211">
        <f t="shared" si="50"/>
        <v>1.4055718459622997</v>
      </c>
      <c r="G754" s="1227">
        <f t="shared" si="74"/>
        <v>4.6051701859880918</v>
      </c>
      <c r="H754" s="1227">
        <f t="shared" si="75"/>
        <v>1.0986122886681098</v>
      </c>
      <c r="I754" s="1227">
        <f t="shared" si="76"/>
        <v>-1.8170772772123449</v>
      </c>
    </row>
    <row r="755" spans="1:9">
      <c r="A755" s="27">
        <v>744</v>
      </c>
      <c r="B755" s="1227">
        <v>100</v>
      </c>
      <c r="C755" s="1227">
        <v>3</v>
      </c>
      <c r="D755" s="1227">
        <v>0.16818181818181818</v>
      </c>
      <c r="E755" s="1227">
        <f t="shared" si="67"/>
        <v>0.9213135068153655</v>
      </c>
      <c r="F755" s="1211">
        <f t="shared" si="50"/>
        <v>1.4139622511469585</v>
      </c>
      <c r="G755" s="1227">
        <f t="shared" si="74"/>
        <v>4.6051701859880918</v>
      </c>
      <c r="H755" s="1227">
        <f t="shared" si="75"/>
        <v>1.0986122886681098</v>
      </c>
      <c r="I755" s="1227">
        <f t="shared" si="76"/>
        <v>-1.7827096337081372</v>
      </c>
    </row>
    <row r="756" spans="1:9">
      <c r="A756" s="27">
        <v>745</v>
      </c>
      <c r="B756" s="1227">
        <v>100</v>
      </c>
      <c r="C756" s="1227">
        <v>3.06</v>
      </c>
      <c r="D756" s="1227">
        <v>0.16874999999999998</v>
      </c>
      <c r="E756" s="1227">
        <f t="shared" si="67"/>
        <v>0.92255266418835191</v>
      </c>
      <c r="F756" s="1211">
        <f t="shared" si="50"/>
        <v>1.4224533958526753</v>
      </c>
      <c r="G756" s="1227">
        <f t="shared" si="74"/>
        <v>4.6051701859880918</v>
      </c>
      <c r="H756" s="1227">
        <f t="shared" si="75"/>
        <v>1.1184149159642893</v>
      </c>
      <c r="I756" s="1227">
        <f t="shared" si="76"/>
        <v>-1.7793369492294979</v>
      </c>
    </row>
    <row r="757" spans="1:9">
      <c r="A757" s="27">
        <v>746</v>
      </c>
      <c r="B757" s="1227">
        <v>100</v>
      </c>
      <c r="C757" s="1227">
        <v>3.07</v>
      </c>
      <c r="D757" s="1227">
        <v>0.17045454545454544</v>
      </c>
      <c r="E757" s="1227">
        <f t="shared" si="67"/>
        <v>0.92379182156133832</v>
      </c>
      <c r="F757" s="1211">
        <f t="shared" si="50"/>
        <v>1.4310483558713887</v>
      </c>
      <c r="G757" s="1227">
        <f t="shared" si="74"/>
        <v>4.6051701859880918</v>
      </c>
      <c r="H757" s="1227">
        <f t="shared" si="75"/>
        <v>1.1216775615991057</v>
      </c>
      <c r="I757" s="1227">
        <f t="shared" si="76"/>
        <v>-1.7692866133759966</v>
      </c>
    </row>
    <row r="758" spans="1:9">
      <c r="A758" s="27">
        <v>747</v>
      </c>
      <c r="B758" s="1227">
        <v>100</v>
      </c>
      <c r="C758" s="1227">
        <v>3.07</v>
      </c>
      <c r="D758" s="1227">
        <v>0.17045454545454544</v>
      </c>
      <c r="E758" s="1227">
        <f t="shared" si="67"/>
        <v>0.92503097893432462</v>
      </c>
      <c r="F758" s="1211">
        <f t="shared" si="50"/>
        <v>1.4397503521005519</v>
      </c>
      <c r="G758" s="1227">
        <f t="shared" si="74"/>
        <v>4.6051701859880918</v>
      </c>
      <c r="H758" s="1227">
        <f t="shared" si="75"/>
        <v>1.1216775615991057</v>
      </c>
      <c r="I758" s="1227">
        <f t="shared" si="76"/>
        <v>-1.7692866133759966</v>
      </c>
    </row>
    <row r="759" spans="1:9">
      <c r="A759" s="27">
        <v>749</v>
      </c>
      <c r="B759" s="1227">
        <v>100</v>
      </c>
      <c r="C759" s="1233">
        <v>3.1</v>
      </c>
      <c r="D759" s="1227">
        <v>0.17045454545454544</v>
      </c>
      <c r="E759" s="1227">
        <f t="shared" si="67"/>
        <v>0.92750929368029744</v>
      </c>
      <c r="F759" s="1211">
        <f t="shared" si="50"/>
        <v>1.4574891194796675</v>
      </c>
      <c r="G759" s="1227">
        <f t="shared" si="74"/>
        <v>4.6051701859880918</v>
      </c>
      <c r="H759" s="1227">
        <f t="shared" si="75"/>
        <v>1.1314021114911006</v>
      </c>
      <c r="I759" s="1227">
        <f t="shared" si="76"/>
        <v>-1.7692866133759966</v>
      </c>
    </row>
    <row r="760" spans="1:9">
      <c r="A760" s="27">
        <v>749</v>
      </c>
      <c r="B760" s="1227">
        <v>100</v>
      </c>
      <c r="C760" s="1227">
        <v>3.11</v>
      </c>
      <c r="D760" s="1227">
        <v>0.17045454545454544</v>
      </c>
      <c r="E760" s="1227">
        <f t="shared" si="67"/>
        <v>0.92750929368029744</v>
      </c>
      <c r="F760" s="1211">
        <f t="shared" si="50"/>
        <v>1.4574891194796675</v>
      </c>
      <c r="G760" s="1227">
        <f t="shared" si="74"/>
        <v>4.6051701859880918</v>
      </c>
      <c r="H760" s="1227">
        <f t="shared" si="75"/>
        <v>1.1346227261911428</v>
      </c>
      <c r="I760" s="1227">
        <f t="shared" si="76"/>
        <v>-1.7692866133759966</v>
      </c>
    </row>
    <row r="761" spans="1:9">
      <c r="A761" s="27">
        <v>750</v>
      </c>
      <c r="B761" s="1227">
        <v>100</v>
      </c>
      <c r="C761" s="1227">
        <v>3.2</v>
      </c>
      <c r="D761" s="1227">
        <v>0.17386363636363636</v>
      </c>
      <c r="E761" s="1227">
        <f t="shared" si="67"/>
        <v>0.92874845105328374</v>
      </c>
      <c r="F761" s="1211">
        <f t="shared" si="50"/>
        <v>1.4665331465158105</v>
      </c>
      <c r="G761" s="1227">
        <f t="shared" si="74"/>
        <v>4.6051701859880918</v>
      </c>
      <c r="H761" s="1227">
        <f t="shared" si="75"/>
        <v>1.1631508098056809</v>
      </c>
      <c r="I761" s="1227">
        <f t="shared" si="76"/>
        <v>-1.7494839860798168</v>
      </c>
    </row>
    <row r="762" spans="1:9">
      <c r="A762" s="27">
        <v>751</v>
      </c>
      <c r="B762" s="1227">
        <v>100</v>
      </c>
      <c r="C762" s="1227">
        <v>3.28</v>
      </c>
      <c r="D762" s="1227">
        <v>0.17443181818181816</v>
      </c>
      <c r="E762" s="1227">
        <f t="shared" si="67"/>
        <v>0.92998760842627015</v>
      </c>
      <c r="F762" s="1211">
        <f t="shared" si="50"/>
        <v>1.4756987445536025</v>
      </c>
      <c r="G762" s="1227">
        <f t="shared" si="74"/>
        <v>4.6051701859880918</v>
      </c>
      <c r="H762" s="1227">
        <f t="shared" si="75"/>
        <v>1.1878434223960523</v>
      </c>
      <c r="I762" s="1227">
        <f t="shared" si="76"/>
        <v>-1.7462213404450004</v>
      </c>
    </row>
    <row r="763" spans="1:9">
      <c r="A763" s="27">
        <v>752</v>
      </c>
      <c r="B763" s="1227">
        <v>100</v>
      </c>
      <c r="C763" s="1227">
        <v>3.55</v>
      </c>
      <c r="D763" s="1227">
        <v>0.17556818181818182</v>
      </c>
      <c r="E763" s="1227">
        <f t="shared" si="67"/>
        <v>0.93122676579925645</v>
      </c>
      <c r="F763" s="1211">
        <f t="shared" si="50"/>
        <v>1.484990017826596</v>
      </c>
      <c r="G763" s="1227">
        <f t="shared" si="74"/>
        <v>4.6051701859880918</v>
      </c>
      <c r="H763" s="1227">
        <f t="shared" si="75"/>
        <v>1.2669476034873244</v>
      </c>
      <c r="I763" s="1227">
        <f t="shared" si="76"/>
        <v>-1.7397278111344521</v>
      </c>
    </row>
    <row r="764" spans="1:9">
      <c r="A764" s="27">
        <v>753</v>
      </c>
      <c r="B764" s="1227">
        <v>100</v>
      </c>
      <c r="C764" s="1227">
        <v>3.6</v>
      </c>
      <c r="D764" s="1227">
        <v>0.19048295454545452</v>
      </c>
      <c r="E764" s="1227">
        <f t="shared" si="67"/>
        <v>0.93246592317224286</v>
      </c>
      <c r="F764" s="1211">
        <f t="shared" si="50"/>
        <v>1.4944112854866951</v>
      </c>
      <c r="G764" s="1227">
        <f t="shared" si="74"/>
        <v>4.6051701859880918</v>
      </c>
      <c r="H764" s="1227">
        <f t="shared" si="75"/>
        <v>1.2809338454620642</v>
      </c>
      <c r="I764" s="1227">
        <f t="shared" si="76"/>
        <v>-1.6581925658704098</v>
      </c>
    </row>
    <row r="765" spans="1:9">
      <c r="A765" s="27">
        <v>754</v>
      </c>
      <c r="B765" s="1227">
        <v>100</v>
      </c>
      <c r="C765" s="1227">
        <v>3.6</v>
      </c>
      <c r="D765" s="1227">
        <v>0.19568181818181818</v>
      </c>
      <c r="E765" s="1227">
        <f t="shared" si="67"/>
        <v>0.93370508054522927</v>
      </c>
      <c r="F765" s="1211">
        <f t="shared" si="50"/>
        <v>1.503967097077253</v>
      </c>
      <c r="G765" s="1227">
        <f t="shared" si="74"/>
        <v>4.6051701859880918</v>
      </c>
      <c r="H765" s="1227">
        <f t="shared" si="75"/>
        <v>1.2809338454620642</v>
      </c>
      <c r="I765" s="1227">
        <f t="shared" si="76"/>
        <v>-1.6312653154786216</v>
      </c>
    </row>
    <row r="766" spans="1:9">
      <c r="A766" s="27">
        <v>755</v>
      </c>
      <c r="B766" s="1227">
        <v>100</v>
      </c>
      <c r="C766" s="1227">
        <v>3.66</v>
      </c>
      <c r="D766" s="1227">
        <v>0.19636363636363638</v>
      </c>
      <c r="E766" s="1227">
        <f t="shared" si="67"/>
        <v>0.93494423791821557</v>
      </c>
      <c r="F766" s="1211">
        <f t="shared" si="50"/>
        <v>1.5136622494342076</v>
      </c>
      <c r="G766" s="1227">
        <f t="shared" si="74"/>
        <v>4.6051701859880918</v>
      </c>
      <c r="H766" s="1227">
        <f t="shared" si="75"/>
        <v>1.297463147413275</v>
      </c>
      <c r="I766" s="1227">
        <f t="shared" si="76"/>
        <v>-1.6277870511022969</v>
      </c>
    </row>
    <row r="767" spans="1:9">
      <c r="A767" s="27">
        <v>756</v>
      </c>
      <c r="B767" s="1227">
        <v>100</v>
      </c>
      <c r="C767" s="1227">
        <v>4</v>
      </c>
      <c r="D767" s="1230">
        <f>+(B767/1760)*C767</f>
        <v>0.22727272727272727</v>
      </c>
      <c r="E767" s="1227">
        <f t="shared" si="67"/>
        <v>0.93618339529120198</v>
      </c>
      <c r="F767" s="1211">
        <f t="shared" si="50"/>
        <v>1.5235018051771141</v>
      </c>
      <c r="G767" s="1227">
        <f t="shared" si="74"/>
        <v>4.6051701859880918</v>
      </c>
      <c r="H767" s="1227">
        <f t="shared" si="75"/>
        <v>1.3862943611198906</v>
      </c>
      <c r="I767" s="1227">
        <f t="shared" si="76"/>
        <v>-1.4816045409242156</v>
      </c>
    </row>
    <row r="768" spans="1:9">
      <c r="A768" s="27">
        <v>757</v>
      </c>
      <c r="B768" s="1227">
        <v>100</v>
      </c>
      <c r="C768" s="1227">
        <v>4</v>
      </c>
      <c r="D768" s="1227">
        <v>0.20795454545454542</v>
      </c>
      <c r="E768" s="1227">
        <f t="shared" si="67"/>
        <v>0.93742255266418839</v>
      </c>
      <c r="F768" s="1211">
        <f t="shared" si="50"/>
        <v>1.5334911129738322</v>
      </c>
      <c r="G768" s="1227">
        <f t="shared" si="74"/>
        <v>4.6051701859880918</v>
      </c>
      <c r="H768" s="1227">
        <f t="shared" si="75"/>
        <v>1.3862943611198906</v>
      </c>
      <c r="I768" s="1227">
        <f t="shared" si="76"/>
        <v>-1.5704357546308314</v>
      </c>
    </row>
    <row r="769" spans="1:9">
      <c r="A769" s="27">
        <v>758</v>
      </c>
      <c r="B769" s="1227">
        <v>100</v>
      </c>
      <c r="C769" s="1227">
        <v>4</v>
      </c>
      <c r="D769" s="1230">
        <f>+(B769/1760)*C769</f>
        <v>0.22727272727272727</v>
      </c>
      <c r="E769" s="1227">
        <f t="shared" si="67"/>
        <v>0.93866171003717469</v>
      </c>
      <c r="F769" s="1211">
        <f t="shared" si="50"/>
        <v>1.5436358297879897</v>
      </c>
      <c r="G769" s="1227">
        <f t="shared" si="74"/>
        <v>4.6051701859880918</v>
      </c>
      <c r="H769" s="1227">
        <f t="shared" si="75"/>
        <v>1.3862943611198906</v>
      </c>
      <c r="I769" s="1227">
        <f t="shared" si="76"/>
        <v>-1.4816045409242156</v>
      </c>
    </row>
    <row r="770" spans="1:9">
      <c r="A770" s="27">
        <v>759</v>
      </c>
      <c r="B770" s="1234">
        <v>100</v>
      </c>
      <c r="C770" s="1227">
        <v>4.01</v>
      </c>
      <c r="D770" s="1227">
        <v>0.20795454545454545</v>
      </c>
      <c r="E770" s="1227">
        <f t="shared" si="67"/>
        <v>0.9399008674101611</v>
      </c>
      <c r="F770" s="1211">
        <f t="shared" si="50"/>
        <v>1.5539419453477636</v>
      </c>
      <c r="G770" s="1227">
        <f t="shared" si="74"/>
        <v>4.6051701859880918</v>
      </c>
      <c r="H770" s="1227">
        <f t="shared" si="75"/>
        <v>1.3887912413184778</v>
      </c>
      <c r="I770" s="1227">
        <f t="shared" si="76"/>
        <v>-1.5704357546308312</v>
      </c>
    </row>
    <row r="771" spans="1:9">
      <c r="A771" s="27">
        <v>760</v>
      </c>
      <c r="B771" s="1227">
        <v>100</v>
      </c>
      <c r="C771" s="1227">
        <v>4.08</v>
      </c>
      <c r="D771" s="1227">
        <v>0.22159090909090909</v>
      </c>
      <c r="E771" s="1227">
        <f t="shared" si="67"/>
        <v>0.94114002478314751</v>
      </c>
      <c r="F771" s="1211">
        <f t="shared" si="50"/>
        <v>1.5644158091087821</v>
      </c>
      <c r="G771" s="1227">
        <f t="shared" si="74"/>
        <v>4.6051701859880918</v>
      </c>
      <c r="H771" s="1227">
        <f t="shared" si="75"/>
        <v>1.4060969884160703</v>
      </c>
      <c r="I771" s="1227">
        <f t="shared" si="76"/>
        <v>-1.5069223489085053</v>
      </c>
    </row>
    <row r="772" spans="1:9">
      <c r="A772" s="27">
        <v>761</v>
      </c>
      <c r="B772" s="1227">
        <v>100</v>
      </c>
      <c r="C772" s="1227">
        <v>4.13</v>
      </c>
      <c r="D772" s="1227">
        <v>0.22627840909090904</v>
      </c>
      <c r="E772" s="1227">
        <f t="shared" si="67"/>
        <v>0.94237918215613381</v>
      </c>
      <c r="F772" s="1211">
        <f t="shared" si="50"/>
        <v>1.5750641600240294</v>
      </c>
      <c r="G772" s="1227">
        <f t="shared" si="74"/>
        <v>4.6051701859880918</v>
      </c>
      <c r="H772" s="1227">
        <f t="shared" si="75"/>
        <v>1.4182774069729414</v>
      </c>
      <c r="I772" s="1227">
        <f t="shared" si="76"/>
        <v>-1.4859891392420397</v>
      </c>
    </row>
    <row r="773" spans="1:9">
      <c r="A773" s="27">
        <v>762</v>
      </c>
      <c r="B773" s="1227">
        <v>100</v>
      </c>
      <c r="C773" s="1227">
        <v>4.21</v>
      </c>
      <c r="D773" s="1230">
        <f>+(B773/1760)*C773</f>
        <v>0.23920454545454545</v>
      </c>
      <c r="E773" s="1227">
        <f t="shared" si="67"/>
        <v>0.94361833952912022</v>
      </c>
      <c r="F773" s="1211">
        <f t="shared" si="50"/>
        <v>1.5858941594805218</v>
      </c>
      <c r="G773" s="1227">
        <f t="shared" si="74"/>
        <v>4.6051701859880918</v>
      </c>
      <c r="H773" s="1227">
        <f t="shared" si="75"/>
        <v>1.43746264769429</v>
      </c>
      <c r="I773" s="1227">
        <f t="shared" si="76"/>
        <v>-1.4304362543498161</v>
      </c>
    </row>
    <row r="774" spans="1:9">
      <c r="A774" s="27">
        <v>763</v>
      </c>
      <c r="B774" s="1227">
        <v>100</v>
      </c>
      <c r="C774" s="1227">
        <v>4.22</v>
      </c>
      <c r="D774" s="1230">
        <f>+(B774/1760)*C774</f>
        <v>0.23977272727272725</v>
      </c>
      <c r="E774" s="1227">
        <f t="shared" si="67"/>
        <v>0.94485749690210652</v>
      </c>
      <c r="F774" s="1211">
        <f t="shared" si="50"/>
        <v>1.5969134278176618</v>
      </c>
      <c r="G774" s="1227">
        <f t="shared" si="74"/>
        <v>4.6051701859880918</v>
      </c>
      <c r="H774" s="1227">
        <f t="shared" si="75"/>
        <v>1.4398351280479205</v>
      </c>
      <c r="I774" s="1227">
        <f t="shared" si="76"/>
        <v>-1.4280637739961857</v>
      </c>
    </row>
    <row r="775" spans="1:9">
      <c r="A775" s="27">
        <v>764</v>
      </c>
      <c r="B775" s="1227">
        <v>100</v>
      </c>
      <c r="C775" s="1227">
        <v>4.24</v>
      </c>
      <c r="D775" s="1227">
        <v>0.22727272727272727</v>
      </c>
      <c r="E775" s="1227">
        <f t="shared" si="67"/>
        <v>0.94609665427509293</v>
      </c>
      <c r="F775" s="1211">
        <f t="shared" si="50"/>
        <v>1.6081300849072808</v>
      </c>
      <c r="G775" s="1227">
        <f t="shared" si="74"/>
        <v>4.6051701859880918</v>
      </c>
      <c r="H775" s="1227">
        <f t="shared" si="75"/>
        <v>1.4445632692438664</v>
      </c>
      <c r="I775" s="1227">
        <f t="shared" si="76"/>
        <v>-1.4816045409242156</v>
      </c>
    </row>
    <row r="776" spans="1:9">
      <c r="A776" s="27">
        <v>765</v>
      </c>
      <c r="B776" s="1227">
        <v>100</v>
      </c>
      <c r="C776" s="1227">
        <v>4.3</v>
      </c>
      <c r="D776" s="1227">
        <v>0.23636363636363636</v>
      </c>
      <c r="E776" s="1227">
        <f t="shared" si="67"/>
        <v>0.94733581164807934</v>
      </c>
      <c r="F776" s="1211">
        <f t="shared" si="50"/>
        <v>1.619552795352317</v>
      </c>
      <c r="G776" s="1227">
        <f t="shared" si="74"/>
        <v>4.6051701859880918</v>
      </c>
      <c r="H776" s="1227">
        <f t="shared" si="75"/>
        <v>1.4586150226995167</v>
      </c>
      <c r="I776" s="1227">
        <f t="shared" si="76"/>
        <v>-1.4423838277709342</v>
      </c>
    </row>
    <row r="777" spans="1:9">
      <c r="A777" s="27">
        <v>766</v>
      </c>
      <c r="B777" s="1227">
        <v>110</v>
      </c>
      <c r="C777" s="1227">
        <v>4.38</v>
      </c>
      <c r="D777" s="1230">
        <f>+(B777/1760)*C777</f>
        <v>0.27374999999999999</v>
      </c>
      <c r="E777" s="1227">
        <f t="shared" si="67"/>
        <v>0.94857496902106564</v>
      </c>
      <c r="F777" s="1211">
        <f t="shared" si="50"/>
        <v>1.6311908189526314</v>
      </c>
      <c r="G777" s="1227">
        <f t="shared" si="74"/>
        <v>4.7004803657924166</v>
      </c>
      <c r="H777" s="1227">
        <f t="shared" si="75"/>
        <v>1.4770487243883548</v>
      </c>
      <c r="I777" s="1227">
        <f t="shared" si="76"/>
        <v>-1.2955399978514266</v>
      </c>
    </row>
    <row r="778" spans="1:9">
      <c r="A778" s="27">
        <v>767</v>
      </c>
      <c r="B778" s="1227">
        <v>117</v>
      </c>
      <c r="C778" s="1227">
        <v>4.47</v>
      </c>
      <c r="D778" s="1227">
        <v>0.23977272727272725</v>
      </c>
      <c r="E778" s="1227">
        <f t="shared" si="67"/>
        <v>0.94981412639405205</v>
      </c>
      <c r="F778" s="1211">
        <f t="shared" si="50"/>
        <v>1.6430540671955431</v>
      </c>
      <c r="G778" s="1227">
        <f t="shared" si="74"/>
        <v>4.7621739347977563</v>
      </c>
      <c r="H778" s="1227">
        <f t="shared" si="75"/>
        <v>1.4973884086254774</v>
      </c>
      <c r="I778" s="1227">
        <f t="shared" si="76"/>
        <v>-1.4280637739961857</v>
      </c>
    </row>
    <row r="779" spans="1:9">
      <c r="A779" s="27">
        <v>768</v>
      </c>
      <c r="B779" s="1227">
        <v>120</v>
      </c>
      <c r="C779" s="1227">
        <v>4.47</v>
      </c>
      <c r="D779" s="1227">
        <v>0.25</v>
      </c>
      <c r="E779" s="1227">
        <f t="shared" si="67"/>
        <v>0.95105328376703846</v>
      </c>
      <c r="F779" s="1211">
        <f t="shared" si="50"/>
        <v>1.6551531666593431</v>
      </c>
      <c r="G779" s="1227">
        <f t="shared" si="74"/>
        <v>4.7874917427820458</v>
      </c>
      <c r="H779" s="1227">
        <f t="shared" si="75"/>
        <v>1.4973884086254774</v>
      </c>
      <c r="I779" s="1227">
        <f t="shared" si="76"/>
        <v>-1.3862943611198906</v>
      </c>
    </row>
    <row r="780" spans="1:9">
      <c r="A780" s="27">
        <v>769</v>
      </c>
      <c r="B780" s="1227">
        <v>125</v>
      </c>
      <c r="C780" s="1227">
        <v>4.5</v>
      </c>
      <c r="D780" s="1227">
        <v>0.25</v>
      </c>
      <c r="E780" s="1227">
        <f t="shared" si="67"/>
        <v>0.95229244114002476</v>
      </c>
      <c r="F780" s="1211">
        <f t="shared" si="50"/>
        <v>1.6674995303752354</v>
      </c>
      <c r="G780" s="1227">
        <f t="shared" si="74"/>
        <v>4.8283137373023015</v>
      </c>
      <c r="H780" s="1227">
        <f t="shared" si="75"/>
        <v>1.5040773967762742</v>
      </c>
      <c r="I780" s="1227">
        <f t="shared" si="76"/>
        <v>-1.3862943611198906</v>
      </c>
    </row>
    <row r="781" spans="1:9">
      <c r="A781" s="27">
        <v>770</v>
      </c>
      <c r="B781" s="1227">
        <v>150</v>
      </c>
      <c r="C781" s="1227">
        <v>4.5</v>
      </c>
      <c r="D781" s="1227">
        <v>0.25397727272727272</v>
      </c>
      <c r="E781" s="1227">
        <f t="shared" ref="E781:E818" si="77">(A781-0.5)/807</f>
        <v>0.95353159851301117</v>
      </c>
      <c r="F781" s="1211">
        <f t="shared" si="50"/>
        <v>1.6801054383829324</v>
      </c>
      <c r="G781" s="1227">
        <f t="shared" ref="G781" si="78">LN(B781)</f>
        <v>5.0106352940962555</v>
      </c>
      <c r="H781" s="1227">
        <f t="shared" ref="H781" si="79">LN(C781)</f>
        <v>1.5040773967762742</v>
      </c>
      <c r="I781" s="1227">
        <f t="shared" ref="I781" si="80">LN(D781)</f>
        <v>-1.3705104934186287</v>
      </c>
    </row>
    <row r="782" spans="1:9">
      <c r="A782" s="27">
        <v>771</v>
      </c>
      <c r="B782" s="1227">
        <v>150</v>
      </c>
      <c r="C782" s="1227">
        <v>4.5</v>
      </c>
      <c r="D782" s="1227">
        <v>0.26647727272727273</v>
      </c>
      <c r="E782" s="1227">
        <f t="shared" si="77"/>
        <v>0.95477075588599747</v>
      </c>
      <c r="F782" s="1211">
        <f t="shared" si="50"/>
        <v>1.6929841289455296</v>
      </c>
      <c r="G782" s="1227">
        <f t="shared" ref="G782:G788" si="81">LN(B782)</f>
        <v>5.0106352940962555</v>
      </c>
      <c r="H782" s="1227">
        <f t="shared" ref="H782:H788" si="82">LN(C782)</f>
        <v>1.5040773967762742</v>
      </c>
      <c r="I782" s="1227">
        <f t="shared" ref="I782:I788" si="83">LN(D782)</f>
        <v>-1.3224663195859181</v>
      </c>
    </row>
    <row r="783" spans="1:9">
      <c r="A783" s="27">
        <v>772</v>
      </c>
      <c r="B783" s="1227">
        <v>150</v>
      </c>
      <c r="C783" s="1227">
        <v>4.5999999999999996</v>
      </c>
      <c r="D783" s="1230">
        <f>+(B783/1760)*C783</f>
        <v>0.39204545454545447</v>
      </c>
      <c r="E783" s="1227">
        <f t="shared" si="77"/>
        <v>0.95600991325898388</v>
      </c>
      <c r="F783" s="1211">
        <f t="shared" si="50"/>
        <v>1.706149902170248</v>
      </c>
      <c r="G783" s="1227">
        <f t="shared" si="81"/>
        <v>5.0106352940962555</v>
      </c>
      <c r="H783" s="1227">
        <f t="shared" si="82"/>
        <v>1.5260563034950492</v>
      </c>
      <c r="I783" s="1227">
        <f t="shared" si="83"/>
        <v>-0.93637749044089258</v>
      </c>
    </row>
    <row r="784" spans="1:9">
      <c r="A784" s="27">
        <v>773</v>
      </c>
      <c r="B784" s="1227">
        <v>150</v>
      </c>
      <c r="C784" s="1227">
        <v>4.6100000000000003</v>
      </c>
      <c r="D784" s="1227">
        <v>0.28409090909090906</v>
      </c>
      <c r="E784" s="1227">
        <f t="shared" si="77"/>
        <v>0.95724907063197029</v>
      </c>
      <c r="F784" s="1211">
        <f t="shared" si="50"/>
        <v>1.7196182381259377</v>
      </c>
      <c r="G784" s="1227">
        <f t="shared" si="81"/>
        <v>5.0106352940962555</v>
      </c>
      <c r="H784" s="1227">
        <f t="shared" si="82"/>
        <v>1.5282278570085572</v>
      </c>
      <c r="I784" s="1227">
        <f t="shared" si="83"/>
        <v>-1.2584609896100059</v>
      </c>
    </row>
    <row r="785" spans="1:9">
      <c r="A785" s="27">
        <v>774</v>
      </c>
      <c r="B785" s="1227">
        <v>150</v>
      </c>
      <c r="C785" s="1227">
        <v>4.6900000000000004</v>
      </c>
      <c r="D785" s="1227">
        <v>0.28409090909090906</v>
      </c>
      <c r="E785" s="1227">
        <f t="shared" si="77"/>
        <v>0.95848822800495659</v>
      </c>
      <c r="F785" s="1211">
        <f t="shared" si="50"/>
        <v>1.7334059319727599</v>
      </c>
      <c r="G785" s="1227">
        <f t="shared" si="81"/>
        <v>5.0106352940962555</v>
      </c>
      <c r="H785" s="1227">
        <f t="shared" si="82"/>
        <v>1.545432582458188</v>
      </c>
      <c r="I785" s="1227">
        <f t="shared" si="83"/>
        <v>-1.2584609896100059</v>
      </c>
    </row>
    <row r="786" spans="1:9">
      <c r="A786" s="27">
        <v>775</v>
      </c>
      <c r="B786" s="1227">
        <v>150</v>
      </c>
      <c r="C786" s="1227">
        <v>4.92</v>
      </c>
      <c r="D786" s="1227">
        <v>0.28409090909090912</v>
      </c>
      <c r="E786" s="1227">
        <f t="shared" si="77"/>
        <v>0.959727385377943</v>
      </c>
      <c r="F786" s="1211">
        <f t="shared" si="50"/>
        <v>1.7475312491454524</v>
      </c>
      <c r="G786" s="1227">
        <f t="shared" si="81"/>
        <v>5.0106352940962555</v>
      </c>
      <c r="H786" s="1227">
        <f t="shared" si="82"/>
        <v>1.5933085305042167</v>
      </c>
      <c r="I786" s="1227">
        <f t="shared" si="83"/>
        <v>-1.2584609896100056</v>
      </c>
    </row>
    <row r="787" spans="1:9">
      <c r="A787" s="27">
        <v>776</v>
      </c>
      <c r="B787" s="1227">
        <v>150</v>
      </c>
      <c r="C787" s="1227">
        <v>5</v>
      </c>
      <c r="D787" s="1227">
        <v>0.29772727272727273</v>
      </c>
      <c r="E787" s="1227">
        <f t="shared" si="77"/>
        <v>0.96096654275092941</v>
      </c>
      <c r="F787" s="1211">
        <f t="shared" si="50"/>
        <v>1.7620141042876341</v>
      </c>
      <c r="G787" s="1227">
        <f t="shared" si="81"/>
        <v>5.0106352940962555</v>
      </c>
      <c r="H787" s="1227">
        <f t="shared" si="82"/>
        <v>1.6094379124341003</v>
      </c>
      <c r="I787" s="1227">
        <f t="shared" si="83"/>
        <v>-1.2115774037111553</v>
      </c>
    </row>
    <row r="788" spans="1:9">
      <c r="A788" s="27">
        <v>777</v>
      </c>
      <c r="B788" s="1227">
        <v>150</v>
      </c>
      <c r="C788" s="1227">
        <v>5</v>
      </c>
      <c r="D788" s="1227">
        <v>0.30553977272727273</v>
      </c>
      <c r="E788" s="1227">
        <f t="shared" si="77"/>
        <v>0.96220570012391571</v>
      </c>
      <c r="F788" s="1211">
        <f t="shared" si="50"/>
        <v>1.7768762684579016</v>
      </c>
      <c r="G788" s="1227">
        <f t="shared" si="81"/>
        <v>5.0106352940962555</v>
      </c>
      <c r="H788" s="1227">
        <f t="shared" si="82"/>
        <v>1.6094379124341003</v>
      </c>
      <c r="I788" s="1227">
        <f t="shared" si="83"/>
        <v>-1.1856753198843579</v>
      </c>
    </row>
    <row r="789" spans="1:9">
      <c r="A789" s="27">
        <f>+A788+1</f>
        <v>778</v>
      </c>
      <c r="B789" s="1227">
        <v>150</v>
      </c>
      <c r="C789" s="1227">
        <v>5</v>
      </c>
      <c r="D789" s="1227">
        <v>0.30681818181818177</v>
      </c>
      <c r="E789" s="1227">
        <f t="shared" si="77"/>
        <v>0.96344485749690212</v>
      </c>
      <c r="F789" s="1211">
        <f t="shared" ref="F789:F812" si="84">NORMSINV(E789)</f>
        <v>1.7921416101686585</v>
      </c>
      <c r="G789" s="1227">
        <f t="shared" ref="G789:G812" si="85">LN(B789)</f>
        <v>5.0106352940962555</v>
      </c>
      <c r="H789" s="1227">
        <f t="shared" ref="H789:H812" si="86">LN(C789)</f>
        <v>1.6094379124341003</v>
      </c>
      <c r="I789" s="1227">
        <f t="shared" ref="I789:I812" si="87">LN(D789)</f>
        <v>-1.1814999484738775</v>
      </c>
    </row>
    <row r="790" spans="1:9">
      <c r="A790" s="27">
        <f t="shared" ref="A790:A812" si="88">+A789+1</f>
        <v>779</v>
      </c>
      <c r="B790" s="1227">
        <v>150</v>
      </c>
      <c r="C790" s="1227">
        <v>5.0999999999999996</v>
      </c>
      <c r="D790" s="1227">
        <v>0.34090909090909088</v>
      </c>
      <c r="E790" s="1227">
        <f t="shared" si="77"/>
        <v>0.96468401486988853</v>
      </c>
      <c r="F790" s="1211">
        <f t="shared" si="84"/>
        <v>1.8078363771423696</v>
      </c>
      <c r="G790" s="1227">
        <f t="shared" si="85"/>
        <v>5.0106352940962555</v>
      </c>
      <c r="H790" s="1227">
        <f t="shared" si="86"/>
        <v>1.62924053973028</v>
      </c>
      <c r="I790" s="1227">
        <f t="shared" si="87"/>
        <v>-1.0761394328160512</v>
      </c>
    </row>
    <row r="791" spans="1:9">
      <c r="A791" s="27">
        <f t="shared" si="88"/>
        <v>780</v>
      </c>
      <c r="B791" s="1227">
        <v>167</v>
      </c>
      <c r="C791" s="1227">
        <v>5.1100000000000003</v>
      </c>
      <c r="D791" s="1227">
        <v>0.34090909090909088</v>
      </c>
      <c r="E791" s="1227">
        <f t="shared" si="77"/>
        <v>0.96592317224287483</v>
      </c>
      <c r="F791" s="1211">
        <f t="shared" si="84"/>
        <v>1.8239895273675018</v>
      </c>
      <c r="G791" s="1227">
        <f t="shared" si="85"/>
        <v>5.1179938124167554</v>
      </c>
      <c r="H791" s="1227">
        <f t="shared" si="86"/>
        <v>1.631199404215613</v>
      </c>
      <c r="I791" s="1227">
        <f t="shared" si="87"/>
        <v>-1.0761394328160512</v>
      </c>
    </row>
    <row r="792" spans="1:9">
      <c r="A792" s="27">
        <f t="shared" si="88"/>
        <v>781</v>
      </c>
      <c r="B792" s="1227">
        <v>180</v>
      </c>
      <c r="C792" s="1227">
        <v>5.2</v>
      </c>
      <c r="D792" s="1229">
        <v>0.34090909090909088</v>
      </c>
      <c r="E792" s="1227">
        <f t="shared" si="77"/>
        <v>0.96716232961586124</v>
      </c>
      <c r="F792" s="1211">
        <f t="shared" si="84"/>
        <v>1.8406331202309794</v>
      </c>
      <c r="G792" s="1227">
        <f t="shared" si="85"/>
        <v>5.1929568508902104</v>
      </c>
      <c r="H792" s="1227">
        <f t="shared" si="86"/>
        <v>1.6486586255873816</v>
      </c>
      <c r="I792" s="1227">
        <f t="shared" si="87"/>
        <v>-1.0761394328160512</v>
      </c>
    </row>
    <row r="793" spans="1:9">
      <c r="A793" s="27">
        <f t="shared" si="88"/>
        <v>782</v>
      </c>
      <c r="B793" s="1227">
        <v>200</v>
      </c>
      <c r="C793" s="1227">
        <v>5.24</v>
      </c>
      <c r="D793" s="1227">
        <v>0.34499999999999997</v>
      </c>
      <c r="E793" s="1227">
        <f t="shared" si="77"/>
        <v>0.96840148698884754</v>
      </c>
      <c r="F793" s="1211">
        <f t="shared" si="84"/>
        <v>1.8578027813659412</v>
      </c>
      <c r="G793" s="1227">
        <f t="shared" si="85"/>
        <v>5.2983173665480363</v>
      </c>
      <c r="H793" s="1227">
        <f t="shared" si="86"/>
        <v>1.6563214983329508</v>
      </c>
      <c r="I793" s="1227">
        <f t="shared" si="87"/>
        <v>-1.0642108619507773</v>
      </c>
    </row>
    <row r="794" spans="1:9">
      <c r="A794" s="27">
        <f t="shared" si="88"/>
        <v>783</v>
      </c>
      <c r="B794" s="1227">
        <v>200</v>
      </c>
      <c r="C794" s="1227">
        <v>5.31</v>
      </c>
      <c r="D794" s="1227">
        <v>0.375</v>
      </c>
      <c r="E794" s="1227">
        <f t="shared" si="77"/>
        <v>0.96964064436183395</v>
      </c>
      <c r="F794" s="1211">
        <f t="shared" si="84"/>
        <v>1.8755382586208733</v>
      </c>
      <c r="G794" s="1227">
        <f t="shared" si="85"/>
        <v>5.2983173665480363</v>
      </c>
      <c r="H794" s="1227">
        <f t="shared" si="86"/>
        <v>1.6695918352538475</v>
      </c>
      <c r="I794" s="1227">
        <f t="shared" si="87"/>
        <v>-0.98082925301172619</v>
      </c>
    </row>
    <row r="795" spans="1:9">
      <c r="A795" s="27">
        <f t="shared" si="88"/>
        <v>784</v>
      </c>
      <c r="B795" s="1227">
        <v>200</v>
      </c>
      <c r="C795" s="1227">
        <v>5.39</v>
      </c>
      <c r="D795" s="1227">
        <v>0.38181818181818183</v>
      </c>
      <c r="E795" s="1227">
        <f t="shared" si="77"/>
        <v>0.97087980173482036</v>
      </c>
      <c r="F795" s="1211">
        <f t="shared" si="84"/>
        <v>1.8938840915645974</v>
      </c>
      <c r="G795" s="1227">
        <f t="shared" si="85"/>
        <v>5.2983173665480363</v>
      </c>
      <c r="H795" s="1227">
        <f t="shared" si="86"/>
        <v>1.6845453849209058</v>
      </c>
      <c r="I795" s="1227">
        <f t="shared" si="87"/>
        <v>-0.96281074750904783</v>
      </c>
    </row>
    <row r="796" spans="1:9">
      <c r="A796" s="27">
        <f t="shared" si="88"/>
        <v>785</v>
      </c>
      <c r="B796" s="1227">
        <v>200</v>
      </c>
      <c r="C796" s="1227">
        <v>5.49</v>
      </c>
      <c r="D796" s="1227">
        <v>0.3852272727272727</v>
      </c>
      <c r="E796" s="1227">
        <f t="shared" si="77"/>
        <v>0.97211895910780666</v>
      </c>
      <c r="F796" s="1211">
        <f t="shared" si="84"/>
        <v>1.9128904236723947</v>
      </c>
      <c r="G796" s="1227">
        <f t="shared" si="85"/>
        <v>5.2983173665480363</v>
      </c>
      <c r="H796" s="1227">
        <f t="shared" si="86"/>
        <v>1.7029282555214393</v>
      </c>
      <c r="I796" s="1227">
        <f t="shared" si="87"/>
        <v>-0.95392180009180194</v>
      </c>
    </row>
    <row r="797" spans="1:9">
      <c r="A797" s="27">
        <f t="shared" si="88"/>
        <v>786</v>
      </c>
      <c r="B797" s="1227">
        <v>200</v>
      </c>
      <c r="C797" s="1227">
        <v>5.7</v>
      </c>
      <c r="D797" s="1227">
        <v>0.39289772727272726</v>
      </c>
      <c r="E797" s="1227">
        <f t="shared" si="77"/>
        <v>0.97335811648079307</v>
      </c>
      <c r="F797" s="1211">
        <f t="shared" si="84"/>
        <v>1.9326139954890176</v>
      </c>
      <c r="G797" s="1227">
        <f t="shared" si="85"/>
        <v>5.2983173665480363</v>
      </c>
      <c r="H797" s="1227">
        <f t="shared" si="86"/>
        <v>1.7404661748405046</v>
      </c>
      <c r="I797" s="1227">
        <f t="shared" si="87"/>
        <v>-0.93420593692738463</v>
      </c>
    </row>
    <row r="798" spans="1:9">
      <c r="A798" s="27">
        <f t="shared" si="88"/>
        <v>787</v>
      </c>
      <c r="B798" s="1227">
        <v>200</v>
      </c>
      <c r="C798" s="1227">
        <v>5.7</v>
      </c>
      <c r="D798" s="1227">
        <v>0.39914772727272729</v>
      </c>
      <c r="E798" s="1227">
        <f t="shared" si="77"/>
        <v>0.97459727385377948</v>
      </c>
      <c r="F798" s="1211">
        <f t="shared" si="84"/>
        <v>1.9531193696617146</v>
      </c>
      <c r="G798" s="1227">
        <f t="shared" si="85"/>
        <v>5.2983173665480363</v>
      </c>
      <c r="H798" s="1227">
        <f t="shared" si="86"/>
        <v>1.7404661748405046</v>
      </c>
      <c r="I798" s="1227">
        <f t="shared" si="87"/>
        <v>-0.91842368682429654</v>
      </c>
    </row>
    <row r="799" spans="1:9">
      <c r="A799" s="27">
        <f t="shared" si="88"/>
        <v>788</v>
      </c>
      <c r="B799" s="1227">
        <v>200</v>
      </c>
      <c r="C799" s="1227">
        <v>5.72</v>
      </c>
      <c r="D799" s="1227">
        <v>0.56818181818181812</v>
      </c>
      <c r="E799" s="1227">
        <f t="shared" si="77"/>
        <v>0.97583643122676578</v>
      </c>
      <c r="F799" s="1211">
        <f t="shared" si="84"/>
        <v>1.9744804563168556</v>
      </c>
      <c r="G799" s="1227">
        <f t="shared" si="85"/>
        <v>5.2983173665480363</v>
      </c>
      <c r="H799" s="1227">
        <f t="shared" si="86"/>
        <v>1.7439688053917064</v>
      </c>
      <c r="I799" s="1227">
        <f t="shared" si="87"/>
        <v>-0.56531380905006057</v>
      </c>
    </row>
    <row r="800" spans="1:9">
      <c r="A800" s="27">
        <f t="shared" si="88"/>
        <v>789</v>
      </c>
      <c r="B800" s="1227">
        <v>200</v>
      </c>
      <c r="C800" s="1227">
        <v>6</v>
      </c>
      <c r="D800" s="1230">
        <f>+(B800/1760)*C800</f>
        <v>0.68181818181818177</v>
      </c>
      <c r="E800" s="1227">
        <f t="shared" si="77"/>
        <v>0.97707558859975219</v>
      </c>
      <c r="F800" s="1211">
        <f t="shared" si="84"/>
        <v>1.9967824321552787</v>
      </c>
      <c r="G800" s="1227">
        <f t="shared" si="85"/>
        <v>5.2983173665480363</v>
      </c>
      <c r="H800" s="1227">
        <f t="shared" si="86"/>
        <v>1.791759469228055</v>
      </c>
      <c r="I800" s="1227">
        <f t="shared" si="87"/>
        <v>-0.38299225225610584</v>
      </c>
    </row>
    <row r="801" spans="1:9">
      <c r="A801" s="27">
        <f t="shared" si="88"/>
        <v>790</v>
      </c>
      <c r="B801" s="1227">
        <v>300</v>
      </c>
      <c r="C801" s="1227">
        <v>6.1</v>
      </c>
      <c r="D801" s="1230">
        <f>+(B801/1760)*C801</f>
        <v>1.0397727272727271</v>
      </c>
      <c r="E801" s="1227">
        <f t="shared" si="77"/>
        <v>0.97831474597273849</v>
      </c>
      <c r="F801" s="1211">
        <f t="shared" si="84"/>
        <v>2.020124182490826</v>
      </c>
      <c r="G801" s="1227">
        <f t="shared" si="85"/>
        <v>5.7037824746562009</v>
      </c>
      <c r="H801" s="1227">
        <f t="shared" si="86"/>
        <v>1.8082887711792655</v>
      </c>
      <c r="I801" s="1227">
        <f t="shared" si="87"/>
        <v>3.9002157803268961E-2</v>
      </c>
    </row>
    <row r="802" spans="1:9">
      <c r="A802" s="27">
        <f t="shared" si="88"/>
        <v>791</v>
      </c>
      <c r="B802" s="1227">
        <v>300</v>
      </c>
      <c r="C802" s="1227">
        <v>6.4</v>
      </c>
      <c r="D802" s="1227">
        <v>0.65284090909090908</v>
      </c>
      <c r="E802" s="1227">
        <f t="shared" si="77"/>
        <v>0.9795539033457249</v>
      </c>
      <c r="F802" s="1211">
        <f t="shared" si="84"/>
        <v>2.0446214479968488</v>
      </c>
      <c r="G802" s="1227">
        <f t="shared" si="85"/>
        <v>5.7037824746562009</v>
      </c>
      <c r="H802" s="1227">
        <f t="shared" si="86"/>
        <v>1.8562979903656263</v>
      </c>
      <c r="I802" s="1227">
        <f t="shared" si="87"/>
        <v>-0.42642181018344177</v>
      </c>
    </row>
    <row r="803" spans="1:9">
      <c r="A803" s="27">
        <f t="shared" si="88"/>
        <v>792</v>
      </c>
      <c r="B803" s="1227">
        <v>400</v>
      </c>
      <c r="C803" s="1227">
        <v>6.5</v>
      </c>
      <c r="D803" s="1227">
        <v>0.68181818181818177</v>
      </c>
      <c r="E803" s="1227">
        <f t="shared" si="77"/>
        <v>0.98079306071871131</v>
      </c>
      <c r="F803" s="1211">
        <f t="shared" si="84"/>
        <v>2.0704109364617698</v>
      </c>
      <c r="G803" s="1227">
        <f t="shared" si="85"/>
        <v>5.9914645471079817</v>
      </c>
      <c r="H803" s="1227">
        <f t="shared" si="86"/>
        <v>1.8718021769015913</v>
      </c>
      <c r="I803" s="1227">
        <f t="shared" si="87"/>
        <v>-0.38299225225610584</v>
      </c>
    </row>
    <row r="804" spans="1:9">
      <c r="A804" s="27">
        <f t="shared" si="88"/>
        <v>793</v>
      </c>
      <c r="B804" s="1227">
        <v>400</v>
      </c>
      <c r="C804" s="1227">
        <v>6.8</v>
      </c>
      <c r="D804" s="1227">
        <v>0.69886363636363635</v>
      </c>
      <c r="E804" s="1227">
        <f t="shared" si="77"/>
        <v>0.98203221809169761</v>
      </c>
      <c r="F804" s="1211">
        <f t="shared" si="84"/>
        <v>2.0976557798505118</v>
      </c>
      <c r="G804" s="1227">
        <f t="shared" si="85"/>
        <v>5.9914645471079817</v>
      </c>
      <c r="H804" s="1227">
        <f t="shared" si="86"/>
        <v>1.9169226121820611</v>
      </c>
      <c r="I804" s="1227">
        <f t="shared" si="87"/>
        <v>-0.3582996396657343</v>
      </c>
    </row>
    <row r="805" spans="1:9">
      <c r="A805" s="27">
        <f t="shared" si="88"/>
        <v>794</v>
      </c>
      <c r="B805" s="1227">
        <v>440</v>
      </c>
      <c r="C805" s="1227">
        <v>7.17</v>
      </c>
      <c r="D805" s="1227">
        <v>0.69886363636363635</v>
      </c>
      <c r="E805" s="1227">
        <f t="shared" si="77"/>
        <v>0.98327137546468402</v>
      </c>
      <c r="F805" s="1211">
        <f t="shared" si="84"/>
        <v>2.1265529048537464</v>
      </c>
      <c r="G805" s="1227">
        <f t="shared" si="85"/>
        <v>6.0867747269123065</v>
      </c>
      <c r="H805" s="1227">
        <f t="shared" si="86"/>
        <v>1.969905654611529</v>
      </c>
      <c r="I805" s="1227">
        <f t="shared" si="87"/>
        <v>-0.3582996396657343</v>
      </c>
    </row>
    <row r="806" spans="1:9">
      <c r="A806" s="27">
        <f t="shared" si="88"/>
        <v>795</v>
      </c>
      <c r="B806" s="1227">
        <v>440</v>
      </c>
      <c r="C806" s="1227">
        <v>7.97</v>
      </c>
      <c r="D806" s="1227">
        <v>0.7</v>
      </c>
      <c r="E806" s="1227">
        <f t="shared" si="77"/>
        <v>0.98451053283767043</v>
      </c>
      <c r="F806" s="1211">
        <f t="shared" si="84"/>
        <v>2.1573431875081339</v>
      </c>
      <c r="G806" s="1227">
        <f t="shared" si="85"/>
        <v>6.0867747269123065</v>
      </c>
      <c r="H806" s="1227">
        <f t="shared" si="86"/>
        <v>2.0756844928021239</v>
      </c>
      <c r="I806" s="1227">
        <f t="shared" si="87"/>
        <v>-0.35667494393873245</v>
      </c>
    </row>
    <row r="807" spans="1:9">
      <c r="A807" s="27">
        <f t="shared" si="88"/>
        <v>796</v>
      </c>
      <c r="B807" s="1227">
        <v>440</v>
      </c>
      <c r="C807" s="1227">
        <v>8.4</v>
      </c>
      <c r="D807" s="1227">
        <v>0.77556818181818177</v>
      </c>
      <c r="E807" s="1227">
        <f t="shared" si="77"/>
        <v>0.98574969021065673</v>
      </c>
      <c r="F807" s="1211">
        <f t="shared" si="84"/>
        <v>2.1903257646302356</v>
      </c>
      <c r="G807" s="1227">
        <f t="shared" si="85"/>
        <v>6.0867747269123065</v>
      </c>
      <c r="H807" s="1227">
        <f t="shared" si="86"/>
        <v>2.1282317058492679</v>
      </c>
      <c r="I807" s="1227">
        <f t="shared" si="87"/>
        <v>-0.2541593804131374</v>
      </c>
    </row>
    <row r="808" spans="1:9">
      <c r="A808" s="27">
        <f t="shared" si="88"/>
        <v>797</v>
      </c>
      <c r="B808" s="1227">
        <v>440</v>
      </c>
      <c r="C808" s="1227">
        <v>9</v>
      </c>
      <c r="D808" s="1227">
        <v>0.94318181818181823</v>
      </c>
      <c r="E808" s="1227">
        <f t="shared" si="77"/>
        <v>0.98698884758364314</v>
      </c>
      <c r="F808" s="1211">
        <f t="shared" si="84"/>
        <v>2.2258787390295116</v>
      </c>
      <c r="G808" s="1227">
        <f t="shared" si="85"/>
        <v>6.0867747269123065</v>
      </c>
      <c r="H808" s="1227">
        <f t="shared" si="86"/>
        <v>2.1972245773362196</v>
      </c>
      <c r="I808" s="1227">
        <f t="shared" si="87"/>
        <v>-5.8496206681608494E-2</v>
      </c>
    </row>
    <row r="809" spans="1:9">
      <c r="A809" s="27">
        <f t="shared" si="88"/>
        <v>798</v>
      </c>
      <c r="B809" s="1227">
        <v>440</v>
      </c>
      <c r="C809" s="1227">
        <v>9.42</v>
      </c>
      <c r="D809" s="1227">
        <v>1</v>
      </c>
      <c r="E809" s="1227">
        <f t="shared" si="77"/>
        <v>0.98822800495662955</v>
      </c>
      <c r="F809" s="1211">
        <f t="shared" si="84"/>
        <v>2.2644900655881894</v>
      </c>
      <c r="G809" s="1227">
        <f t="shared" si="85"/>
        <v>6.0867747269123065</v>
      </c>
      <c r="H809" s="1227">
        <f t="shared" si="86"/>
        <v>2.2428350885882717</v>
      </c>
      <c r="I809" s="1227">
        <f t="shared" si="87"/>
        <v>0</v>
      </c>
    </row>
    <row r="810" spans="1:9">
      <c r="A810" s="27">
        <f t="shared" si="88"/>
        <v>799</v>
      </c>
      <c r="B810" s="1227">
        <v>500</v>
      </c>
      <c r="C810" s="1227">
        <v>11.3</v>
      </c>
      <c r="D810" s="1227">
        <v>1.0024999999999999</v>
      </c>
      <c r="E810" s="1227">
        <f t="shared" si="77"/>
        <v>0.98946716232961585</v>
      </c>
      <c r="F810" s="1211">
        <f t="shared" si="84"/>
        <v>2.3068053236275237</v>
      </c>
      <c r="G810" s="1227">
        <f t="shared" si="85"/>
        <v>6.2146080984221914</v>
      </c>
      <c r="H810" s="1227">
        <f t="shared" si="86"/>
        <v>2.4248027257182949</v>
      </c>
      <c r="I810" s="1227">
        <f t="shared" si="87"/>
        <v>2.4968801985871458E-3</v>
      </c>
    </row>
    <row r="811" spans="1:9">
      <c r="A811" s="27">
        <f t="shared" si="88"/>
        <v>800</v>
      </c>
      <c r="B811" s="1227">
        <v>500</v>
      </c>
      <c r="C811" s="1227">
        <v>11.3</v>
      </c>
      <c r="D811" s="1230">
        <f>+(B811/1760)*C811</f>
        <v>3.2102272727272734</v>
      </c>
      <c r="E811" s="1227">
        <f t="shared" si="77"/>
        <v>0.99070631970260226</v>
      </c>
      <c r="F811" s="1211">
        <f t="shared" si="84"/>
        <v>2.3537049007249546</v>
      </c>
      <c r="G811" s="1227">
        <f t="shared" si="85"/>
        <v>6.2146080984221914</v>
      </c>
      <c r="H811" s="1227">
        <f t="shared" si="86"/>
        <v>2.4248027257182949</v>
      </c>
      <c r="I811" s="1227">
        <f t="shared" si="87"/>
        <v>1.1663417361082893</v>
      </c>
    </row>
    <row r="812" spans="1:9">
      <c r="A812" s="27">
        <f t="shared" si="88"/>
        <v>801</v>
      </c>
      <c r="B812" s="1227">
        <v>500</v>
      </c>
      <c r="C812" s="1227">
        <v>11.49</v>
      </c>
      <c r="D812" s="1227">
        <v>1.2045454545454548</v>
      </c>
      <c r="E812" s="1227">
        <f t="shared" si="77"/>
        <v>0.99194547707558856</v>
      </c>
      <c r="F812" s="1211">
        <f t="shared" si="84"/>
        <v>2.4064355570006657</v>
      </c>
      <c r="G812" s="1227">
        <f t="shared" si="85"/>
        <v>6.2146080984221914</v>
      </c>
      <c r="H812" s="1227">
        <f t="shared" si="86"/>
        <v>2.4414770918606643</v>
      </c>
      <c r="I812" s="1227">
        <f t="shared" si="87"/>
        <v>0.18610227963386089</v>
      </c>
    </row>
    <row r="813" spans="1:9">
      <c r="A813" s="27">
        <v>802</v>
      </c>
      <c r="B813" s="1227">
        <v>600</v>
      </c>
      <c r="C813" s="1227">
        <v>12.3</v>
      </c>
      <c r="D813" s="1227">
        <v>1.4136363636363636</v>
      </c>
      <c r="E813" s="1227">
        <f t="shared" si="77"/>
        <v>0.99318463444857497</v>
      </c>
      <c r="F813" s="1211">
        <f t="shared" ref="F813:F815" si="89">NORMSINV(E813)</f>
        <v>2.466850349828011</v>
      </c>
      <c r="G813" s="1227">
        <f t="shared" ref="G813:G815" si="90">LN(B813)</f>
        <v>6.3969296552161463</v>
      </c>
      <c r="H813" s="1227">
        <f t="shared" ref="H813:H815" si="91">LN(C813)</f>
        <v>2.5095992623783721</v>
      </c>
      <c r="I813" s="1227">
        <f t="shared" ref="I813:I815" si="92">LN(D813)</f>
        <v>0.34616536582687257</v>
      </c>
    </row>
    <row r="814" spans="1:9">
      <c r="A814" s="27">
        <v>803</v>
      </c>
      <c r="B814" s="1227">
        <v>700</v>
      </c>
      <c r="C814" s="1227">
        <v>12.3</v>
      </c>
      <c r="D814" s="1227">
        <v>1.4772727272727273</v>
      </c>
      <c r="E814" s="1227">
        <f t="shared" si="77"/>
        <v>0.99442379182156138</v>
      </c>
      <c r="F814" s="1211">
        <f t="shared" si="89"/>
        <v>2.5378864473628493</v>
      </c>
      <c r="G814" s="1227">
        <f t="shared" si="90"/>
        <v>6.5510803350434044</v>
      </c>
      <c r="H814" s="1227">
        <f t="shared" si="91"/>
        <v>2.5095992623783721</v>
      </c>
      <c r="I814" s="1227">
        <f t="shared" si="92"/>
        <v>0.39019763597737595</v>
      </c>
    </row>
    <row r="815" spans="1:9">
      <c r="A815" s="27">
        <v>804</v>
      </c>
      <c r="B815" s="1227">
        <v>800</v>
      </c>
      <c r="C815" s="1227">
        <v>14.05</v>
      </c>
      <c r="D815" s="1227">
        <v>1.4992045454545455</v>
      </c>
      <c r="E815" s="1227">
        <f t="shared" si="77"/>
        <v>0.99566294919454768</v>
      </c>
      <c r="F815" s="1211">
        <f t="shared" si="89"/>
        <v>2.6246384632745547</v>
      </c>
      <c r="G815" s="1227">
        <f t="shared" si="90"/>
        <v>6.6846117276679271</v>
      </c>
      <c r="H815" s="1227">
        <f t="shared" si="91"/>
        <v>2.642622395779755</v>
      </c>
      <c r="I815" s="1227">
        <f t="shared" si="92"/>
        <v>0.40493466441747877</v>
      </c>
    </row>
    <row r="816" spans="1:9">
      <c r="A816" s="1227">
        <v>805</v>
      </c>
      <c r="B816" s="1227">
        <v>880</v>
      </c>
      <c r="C816" s="1227">
        <v>15.8</v>
      </c>
      <c r="D816" s="1227">
        <v>1.8181818181818183</v>
      </c>
      <c r="E816" s="1227">
        <f t="shared" si="77"/>
        <v>0.99690210656753409</v>
      </c>
      <c r="F816" s="1211">
        <f t="shared" ref="F816:F818" si="93">NORMSINV(E816)</f>
        <v>2.7372357806755607</v>
      </c>
      <c r="G816" s="1227">
        <f t="shared" ref="G816" si="94">LN(B816)</f>
        <v>6.7799219074722519</v>
      </c>
      <c r="H816" s="1227">
        <f t="shared" ref="H816" si="95">LN(C816)</f>
        <v>2.760009940032921</v>
      </c>
      <c r="I816" s="1227">
        <f t="shared" ref="I816" si="96">LN(D816)</f>
        <v>0.59783700075562052</v>
      </c>
    </row>
    <row r="817" spans="1:9">
      <c r="A817" s="1227">
        <v>806</v>
      </c>
      <c r="B817" s="1213">
        <v>1000</v>
      </c>
      <c r="C817" s="1213">
        <v>20</v>
      </c>
      <c r="D817" s="1232">
        <v>3.1698863636363632</v>
      </c>
      <c r="E817" s="1227">
        <f t="shared" si="77"/>
        <v>0.9981412639405205</v>
      </c>
      <c r="F817" s="1211">
        <f t="shared" si="93"/>
        <v>2.9011910009329744</v>
      </c>
      <c r="G817" s="1227">
        <f t="shared" ref="G817:G818" si="97">LN(B817)</f>
        <v>6.9077552789821368</v>
      </c>
      <c r="H817" s="1227">
        <f t="shared" ref="H817:H818" si="98">LN(C817)</f>
        <v>2.9957322735539909</v>
      </c>
      <c r="I817" s="1227">
        <f t="shared" ref="I817:I818" si="99">LN(D817)</f>
        <v>1.1536957398133307</v>
      </c>
    </row>
    <row r="818" spans="1:9">
      <c r="A818" s="1227">
        <v>807</v>
      </c>
      <c r="B818" s="1213">
        <v>1000</v>
      </c>
      <c r="C818" s="1213">
        <v>27.3</v>
      </c>
      <c r="D818" s="1232">
        <v>6.4204545454545467</v>
      </c>
      <c r="E818" s="1227">
        <f t="shared" si="77"/>
        <v>0.99938042131350679</v>
      </c>
      <c r="F818" s="1211">
        <f t="shared" si="93"/>
        <v>3.229710237366715</v>
      </c>
      <c r="G818" s="1227">
        <f t="shared" si="97"/>
        <v>6.9077552789821368</v>
      </c>
      <c r="H818" s="1227">
        <f t="shared" si="98"/>
        <v>3.3068867021909143</v>
      </c>
      <c r="I818" s="1227">
        <f t="shared" si="99"/>
        <v>1.8594889166682347</v>
      </c>
    </row>
    <row r="819" spans="1:9">
      <c r="A819" s="671"/>
      <c r="B819" s="671"/>
      <c r="C819" s="671"/>
      <c r="D819" s="671"/>
      <c r="E819" s="258"/>
      <c r="F819" s="258"/>
      <c r="G819" s="258"/>
      <c r="H819" s="258"/>
      <c r="I819" s="258"/>
    </row>
    <row r="820" spans="1:9">
      <c r="A820" s="671"/>
      <c r="B820" s="671"/>
      <c r="C820" s="671"/>
      <c r="D820" s="671"/>
      <c r="E820" s="258"/>
      <c r="F820" s="258"/>
      <c r="G820" s="258"/>
      <c r="H820" s="258"/>
      <c r="I820" s="258"/>
    </row>
    <row r="821" spans="1:9">
      <c r="A821" s="671"/>
      <c r="B821" s="671"/>
      <c r="C821" s="671"/>
      <c r="D821" s="671"/>
      <c r="E821" s="258"/>
      <c r="F821" s="258"/>
      <c r="G821" s="258"/>
      <c r="H821" s="258"/>
      <c r="I821" s="258"/>
    </row>
    <row r="822" spans="1:9">
      <c r="A822" s="671"/>
      <c r="B822" s="671"/>
      <c r="C822" s="671"/>
      <c r="D822" s="671"/>
      <c r="E822" s="258"/>
      <c r="F822" s="258"/>
      <c r="G822" s="258"/>
      <c r="H822" s="258"/>
      <c r="I822" s="258"/>
    </row>
    <row r="823" spans="1:9">
      <c r="A823" s="671"/>
      <c r="B823" s="671"/>
      <c r="C823" s="671"/>
      <c r="D823" s="671"/>
      <c r="E823" s="258"/>
      <c r="F823" s="258"/>
      <c r="G823" s="258"/>
      <c r="H823" s="258"/>
      <c r="I823" s="258"/>
    </row>
    <row r="824" spans="1:9">
      <c r="A824" s="671"/>
      <c r="B824" s="671"/>
      <c r="C824" s="671"/>
      <c r="D824" s="671"/>
      <c r="E824" s="258"/>
      <c r="F824" s="258"/>
      <c r="G824" s="258"/>
      <c r="H824" s="258"/>
      <c r="I824" s="258"/>
    </row>
    <row r="825" spans="1:9">
      <c r="A825" s="671"/>
      <c r="B825" s="671"/>
      <c r="C825" s="671"/>
      <c r="D825" s="671"/>
      <c r="E825" s="258"/>
      <c r="F825" s="258"/>
      <c r="G825" s="258"/>
      <c r="H825" s="258"/>
      <c r="I825" s="258"/>
    </row>
    <row r="826" spans="1:9">
      <c r="A826" s="671"/>
      <c r="B826" s="671"/>
      <c r="C826" s="671"/>
      <c r="D826" s="671"/>
      <c r="E826" s="258"/>
      <c r="F826" s="258"/>
      <c r="G826" s="258"/>
      <c r="H826" s="258"/>
      <c r="I826" s="258"/>
    </row>
    <row r="827" spans="1:9">
      <c r="A827" s="671"/>
      <c r="B827" s="671"/>
      <c r="C827" s="671"/>
      <c r="D827" s="671"/>
      <c r="E827" s="258"/>
      <c r="F827" s="258"/>
      <c r="G827" s="258"/>
      <c r="H827" s="258"/>
      <c r="I827" s="258"/>
    </row>
    <row r="828" spans="1:9">
      <c r="A828" s="671"/>
      <c r="B828" s="671"/>
      <c r="C828" s="671"/>
      <c r="D828" s="671"/>
      <c r="E828" s="258"/>
      <c r="F828" s="258"/>
      <c r="G828" s="258"/>
      <c r="H828" s="258"/>
      <c r="I828" s="258"/>
    </row>
    <row r="829" spans="1:9">
      <c r="A829" s="671"/>
      <c r="B829" s="671"/>
      <c r="C829" s="671"/>
      <c r="D829" s="671"/>
      <c r="E829" s="258"/>
      <c r="F829" s="258"/>
      <c r="G829" s="258"/>
      <c r="H829" s="258"/>
      <c r="I829" s="258"/>
    </row>
    <row r="830" spans="1:9">
      <c r="A830" s="671"/>
      <c r="B830" s="671"/>
      <c r="C830" s="671"/>
      <c r="D830" s="671"/>
      <c r="E830" s="258"/>
      <c r="F830" s="258"/>
      <c r="G830" s="258"/>
      <c r="H830" s="258"/>
      <c r="I830" s="258"/>
    </row>
    <row r="831" spans="1:9">
      <c r="A831" s="671"/>
      <c r="B831" s="671"/>
      <c r="C831" s="671"/>
      <c r="D831" s="671"/>
      <c r="E831" s="258"/>
      <c r="F831" s="258"/>
      <c r="G831" s="258"/>
      <c r="H831" s="258"/>
      <c r="I831" s="258"/>
    </row>
    <row r="832" spans="1:9">
      <c r="A832" s="671"/>
      <c r="B832" s="671"/>
      <c r="C832" s="671"/>
      <c r="D832" s="671"/>
      <c r="E832" s="258"/>
      <c r="F832" s="258"/>
      <c r="G832" s="258"/>
      <c r="H832" s="258"/>
      <c r="I832" s="258"/>
    </row>
    <row r="833" spans="1:9">
      <c r="A833" s="671"/>
      <c r="B833" s="671"/>
      <c r="C833" s="671"/>
      <c r="D833" s="671"/>
      <c r="E833" s="258"/>
      <c r="F833" s="258"/>
      <c r="G833" s="258"/>
      <c r="H833" s="258"/>
      <c r="I833" s="258"/>
    </row>
    <row r="834" spans="1:9">
      <c r="A834" s="671"/>
      <c r="B834" s="671"/>
      <c r="C834" s="671"/>
      <c r="D834" s="671"/>
      <c r="E834" s="258"/>
      <c r="F834" s="258"/>
      <c r="G834" s="258"/>
      <c r="H834" s="258"/>
      <c r="I834" s="258"/>
    </row>
    <row r="835" spans="1:9">
      <c r="A835" s="671"/>
      <c r="B835" s="671"/>
      <c r="C835" s="671"/>
      <c r="D835" s="671"/>
      <c r="E835" s="258"/>
      <c r="F835" s="258"/>
      <c r="G835" s="258"/>
      <c r="H835" s="258"/>
      <c r="I835" s="258"/>
    </row>
    <row r="836" spans="1:9">
      <c r="A836" s="671"/>
      <c r="B836" s="671"/>
      <c r="C836" s="671"/>
      <c r="D836" s="671"/>
      <c r="E836" s="258"/>
      <c r="F836" s="258"/>
      <c r="G836" s="258"/>
      <c r="H836" s="258"/>
      <c r="I836" s="258"/>
    </row>
    <row r="837" spans="1:9">
      <c r="A837" s="671"/>
      <c r="B837" s="671"/>
      <c r="C837" s="671"/>
      <c r="D837" s="671"/>
      <c r="E837" s="258"/>
      <c r="F837" s="258"/>
      <c r="G837" s="258"/>
      <c r="H837" s="258"/>
      <c r="I837" s="258"/>
    </row>
    <row r="838" spans="1:9">
      <c r="A838" s="671"/>
      <c r="B838" s="671"/>
      <c r="C838" s="671"/>
      <c r="D838" s="671"/>
      <c r="E838" s="258"/>
      <c r="F838" s="258"/>
      <c r="G838" s="258"/>
      <c r="H838" s="258"/>
      <c r="I838" s="258"/>
    </row>
    <row r="839" spans="1:9">
      <c r="A839" s="671"/>
      <c r="B839" s="671"/>
      <c r="C839" s="671"/>
      <c r="D839" s="671"/>
      <c r="E839" s="258"/>
      <c r="F839" s="258"/>
      <c r="G839" s="258"/>
      <c r="H839" s="258"/>
      <c r="I839" s="258"/>
    </row>
    <row r="840" spans="1:9">
      <c r="A840" s="671"/>
      <c r="B840" s="671"/>
      <c r="C840" s="671"/>
      <c r="D840" s="671"/>
      <c r="E840" s="258"/>
      <c r="F840" s="258"/>
      <c r="G840" s="258"/>
      <c r="H840" s="258"/>
      <c r="I840" s="258"/>
    </row>
    <row r="841" spans="1:9">
      <c r="A841" s="671"/>
      <c r="B841" s="671"/>
      <c r="C841" s="671"/>
      <c r="D841" s="671"/>
      <c r="E841" s="258"/>
      <c r="F841" s="258"/>
      <c r="G841" s="258"/>
      <c r="H841" s="258"/>
      <c r="I841" s="258"/>
    </row>
    <row r="842" spans="1:9">
      <c r="A842" s="671"/>
      <c r="B842" s="671"/>
      <c r="C842" s="671"/>
      <c r="D842" s="671"/>
      <c r="E842" s="258"/>
      <c r="F842" s="258"/>
      <c r="G842" s="258"/>
      <c r="H842" s="258"/>
      <c r="I842" s="258"/>
    </row>
    <row r="843" spans="1:9">
      <c r="A843" s="671"/>
      <c r="B843" s="671"/>
      <c r="C843" s="671"/>
      <c r="D843" s="671"/>
      <c r="E843" s="258"/>
      <c r="F843" s="258"/>
      <c r="G843" s="258"/>
      <c r="H843" s="258"/>
      <c r="I843" s="258"/>
    </row>
    <row r="844" spans="1:9">
      <c r="A844" s="671"/>
      <c r="B844" s="671"/>
      <c r="C844" s="671"/>
      <c r="D844" s="671"/>
      <c r="E844" s="258"/>
      <c r="F844" s="258"/>
      <c r="G844" s="258"/>
      <c r="H844" s="258"/>
      <c r="I844" s="258"/>
    </row>
    <row r="845" spans="1:9">
      <c r="A845" s="671"/>
      <c r="B845" s="671"/>
      <c r="C845" s="671"/>
      <c r="D845" s="671"/>
      <c r="E845" s="258"/>
      <c r="F845" s="258"/>
      <c r="G845" s="258"/>
      <c r="H845" s="258"/>
      <c r="I845" s="258"/>
    </row>
    <row r="846" spans="1:9">
      <c r="A846" s="671"/>
      <c r="B846" s="671"/>
      <c r="C846" s="671"/>
      <c r="D846" s="671"/>
      <c r="E846" s="258"/>
      <c r="F846" s="258"/>
      <c r="G846" s="258"/>
      <c r="H846" s="258"/>
      <c r="I846" s="258"/>
    </row>
    <row r="847" spans="1:9">
      <c r="A847" s="671"/>
      <c r="B847" s="671"/>
      <c r="C847" s="671"/>
      <c r="D847" s="671"/>
      <c r="E847" s="258"/>
      <c r="F847" s="258"/>
      <c r="G847" s="258"/>
      <c r="H847" s="258"/>
      <c r="I847" s="258"/>
    </row>
    <row r="848" spans="1:9">
      <c r="A848" s="671"/>
      <c r="B848" s="671"/>
      <c r="C848" s="671"/>
      <c r="D848" s="671"/>
      <c r="E848" s="258"/>
      <c r="F848" s="258"/>
      <c r="G848" s="258"/>
      <c r="H848" s="258"/>
      <c r="I848" s="258"/>
    </row>
    <row r="849" spans="1:9">
      <c r="A849" s="671"/>
      <c r="B849" s="671"/>
      <c r="C849" s="671"/>
      <c r="D849" s="671"/>
      <c r="E849" s="258"/>
      <c r="F849" s="258"/>
      <c r="G849" s="258"/>
      <c r="H849" s="258"/>
      <c r="I849" s="258"/>
    </row>
    <row r="850" spans="1:9">
      <c r="A850" s="671"/>
      <c r="B850" s="671"/>
      <c r="C850" s="671"/>
      <c r="D850" s="671"/>
      <c r="E850" s="258"/>
      <c r="F850" s="258"/>
      <c r="G850" s="258"/>
      <c r="H850" s="258"/>
      <c r="I850" s="258"/>
    </row>
    <row r="851" spans="1:9">
      <c r="A851" s="671"/>
      <c r="B851" s="671"/>
      <c r="C851" s="671"/>
      <c r="D851" s="671"/>
      <c r="E851" s="258"/>
      <c r="F851" s="258"/>
      <c r="G851" s="258"/>
      <c r="H851" s="258"/>
      <c r="I851" s="258"/>
    </row>
    <row r="852" spans="1:9">
      <c r="A852" s="671"/>
      <c r="B852" s="671"/>
      <c r="C852" s="671"/>
      <c r="D852" s="671"/>
      <c r="E852" s="258"/>
      <c r="F852" s="258"/>
      <c r="G852" s="258"/>
      <c r="H852" s="258"/>
      <c r="I852" s="258"/>
    </row>
    <row r="853" spans="1:9">
      <c r="A853" s="671"/>
      <c r="B853" s="671"/>
      <c r="C853" s="671"/>
      <c r="D853" s="671"/>
      <c r="E853" s="258"/>
      <c r="F853" s="258"/>
      <c r="G853" s="258"/>
      <c r="H853" s="258"/>
      <c r="I853" s="258"/>
    </row>
    <row r="854" spans="1:9">
      <c r="A854" s="671"/>
      <c r="B854" s="671"/>
      <c r="C854" s="671"/>
      <c r="D854" s="671"/>
      <c r="E854" s="258"/>
      <c r="F854" s="258"/>
      <c r="G854" s="258"/>
      <c r="H854" s="258"/>
      <c r="I854" s="258"/>
    </row>
    <row r="855" spans="1:9">
      <c r="A855" s="671"/>
      <c r="B855" s="671"/>
      <c r="C855" s="671"/>
      <c r="D855" s="671"/>
      <c r="E855" s="258"/>
      <c r="F855" s="258"/>
      <c r="G855" s="258"/>
      <c r="H855" s="258"/>
      <c r="I855" s="258"/>
    </row>
    <row r="856" spans="1:9">
      <c r="A856" s="671"/>
      <c r="B856" s="671"/>
      <c r="C856" s="671"/>
      <c r="D856" s="671"/>
      <c r="E856" s="258"/>
      <c r="F856" s="258"/>
      <c r="G856" s="258"/>
      <c r="H856" s="258"/>
      <c r="I856" s="258"/>
    </row>
    <row r="857" spans="1:9">
      <c r="A857" s="671"/>
      <c r="B857" s="671"/>
      <c r="C857" s="671"/>
      <c r="D857" s="671"/>
      <c r="E857" s="258"/>
      <c r="F857" s="258"/>
      <c r="G857" s="258"/>
      <c r="H857" s="258"/>
      <c r="I857" s="258"/>
    </row>
    <row r="858" spans="1:9">
      <c r="A858" s="671"/>
      <c r="B858" s="671"/>
      <c r="C858" s="671"/>
      <c r="D858" s="671"/>
      <c r="E858" s="258"/>
      <c r="F858" s="258"/>
      <c r="G858" s="258"/>
      <c r="H858" s="258"/>
      <c r="I858" s="258"/>
    </row>
    <row r="859" spans="1:9">
      <c r="A859" s="671"/>
      <c r="B859" s="671"/>
      <c r="C859" s="671"/>
      <c r="D859" s="671"/>
      <c r="E859" s="258"/>
      <c r="F859" s="258"/>
      <c r="G859" s="258"/>
      <c r="H859" s="258"/>
      <c r="I859" s="258"/>
    </row>
    <row r="860" spans="1:9">
      <c r="A860" s="671"/>
      <c r="B860" s="671"/>
      <c r="C860" s="671"/>
      <c r="D860" s="671"/>
      <c r="E860" s="258"/>
      <c r="F860" s="258"/>
      <c r="G860" s="258"/>
      <c r="H860" s="258"/>
      <c r="I860" s="258"/>
    </row>
    <row r="861" spans="1:9">
      <c r="A861" s="671"/>
      <c r="B861" s="671"/>
      <c r="C861" s="671"/>
      <c r="D861" s="671"/>
      <c r="E861" s="258"/>
      <c r="F861" s="258"/>
      <c r="G861" s="258"/>
      <c r="H861" s="258"/>
      <c r="I861" s="258"/>
    </row>
    <row r="862" spans="1:9">
      <c r="A862" s="671"/>
      <c r="B862" s="671"/>
      <c r="C862" s="671"/>
      <c r="D862" s="671"/>
      <c r="E862" s="258"/>
      <c r="F862" s="258"/>
      <c r="G862" s="258"/>
      <c r="H862" s="258"/>
      <c r="I862" s="258"/>
    </row>
    <row r="863" spans="1:9">
      <c r="A863" s="671"/>
      <c r="B863" s="671"/>
      <c r="C863" s="671"/>
      <c r="D863" s="671"/>
      <c r="E863" s="258"/>
      <c r="F863" s="258"/>
      <c r="G863" s="258"/>
      <c r="H863" s="258"/>
      <c r="I863" s="258"/>
    </row>
    <row r="864" spans="1:9">
      <c r="A864" s="671"/>
      <c r="B864" s="671"/>
      <c r="C864" s="671"/>
      <c r="D864" s="671"/>
      <c r="E864" s="258"/>
      <c r="F864" s="258"/>
      <c r="G864" s="258"/>
      <c r="H864" s="258"/>
      <c r="I864" s="258"/>
    </row>
    <row r="865" spans="1:9">
      <c r="A865" s="671"/>
      <c r="B865" s="671"/>
      <c r="C865" s="671"/>
      <c r="D865" s="671"/>
      <c r="E865" s="258"/>
      <c r="F865" s="258"/>
      <c r="G865" s="258"/>
      <c r="H865" s="258"/>
      <c r="I865" s="258"/>
    </row>
    <row r="866" spans="1:9">
      <c r="A866" s="671"/>
      <c r="B866" s="671"/>
      <c r="C866" s="671"/>
      <c r="D866" s="671"/>
      <c r="E866" s="258"/>
      <c r="F866" s="258"/>
      <c r="G866" s="258"/>
      <c r="H866" s="258"/>
      <c r="I866" s="258"/>
    </row>
    <row r="867" spans="1:9">
      <c r="A867" s="671"/>
      <c r="B867" s="671"/>
      <c r="C867" s="671"/>
      <c r="D867" s="671"/>
      <c r="E867" s="258"/>
      <c r="F867" s="258"/>
      <c r="G867" s="258"/>
      <c r="H867" s="258"/>
      <c r="I867" s="258"/>
    </row>
    <row r="868" spans="1:9">
      <c r="A868" s="671"/>
      <c r="B868" s="671"/>
      <c r="C868" s="671"/>
      <c r="D868" s="671"/>
      <c r="E868" s="258"/>
      <c r="F868" s="258"/>
      <c r="G868" s="258"/>
      <c r="H868" s="258"/>
      <c r="I868" s="258"/>
    </row>
    <row r="869" spans="1:9">
      <c r="A869" s="671"/>
      <c r="B869" s="671"/>
      <c r="C869" s="671"/>
      <c r="D869" s="671"/>
      <c r="E869" s="258"/>
      <c r="F869" s="258"/>
      <c r="G869" s="258"/>
      <c r="H869" s="258"/>
      <c r="I869" s="258"/>
    </row>
    <row r="870" spans="1:9">
      <c r="A870" s="671"/>
      <c r="B870" s="671"/>
      <c r="C870" s="671"/>
      <c r="D870" s="671"/>
      <c r="E870" s="258"/>
      <c r="F870" s="258"/>
      <c r="G870" s="258"/>
      <c r="H870" s="258"/>
      <c r="I870" s="258"/>
    </row>
    <row r="871" spans="1:9">
      <c r="A871" s="671"/>
      <c r="B871" s="671"/>
      <c r="C871" s="671"/>
      <c r="D871" s="671"/>
      <c r="E871" s="258"/>
      <c r="F871" s="258"/>
      <c r="G871" s="258"/>
      <c r="H871" s="258"/>
      <c r="I871" s="258"/>
    </row>
    <row r="872" spans="1:9">
      <c r="A872" s="671"/>
      <c r="B872" s="671"/>
      <c r="C872" s="671"/>
      <c r="D872" s="671"/>
      <c r="E872" s="258"/>
      <c r="F872" s="258"/>
      <c r="G872" s="258"/>
      <c r="H872" s="258"/>
      <c r="I872" s="258"/>
    </row>
    <row r="873" spans="1:9">
      <c r="A873" s="671"/>
      <c r="B873" s="671"/>
      <c r="C873" s="671"/>
      <c r="D873" s="671"/>
      <c r="E873" s="258"/>
      <c r="F873" s="258"/>
      <c r="G873" s="258"/>
      <c r="H873" s="258"/>
      <c r="I873" s="258"/>
    </row>
    <row r="874" spans="1:9">
      <c r="A874" s="671"/>
      <c r="B874" s="671"/>
      <c r="C874" s="671"/>
      <c r="D874" s="671"/>
      <c r="E874" s="258"/>
      <c r="F874" s="258"/>
      <c r="G874" s="258"/>
      <c r="H874" s="258"/>
      <c r="I874" s="258"/>
    </row>
    <row r="875" spans="1:9">
      <c r="A875" s="671"/>
      <c r="B875" s="671"/>
      <c r="C875" s="671"/>
      <c r="D875" s="671"/>
      <c r="E875" s="258"/>
      <c r="F875" s="258"/>
      <c r="G875" s="258"/>
      <c r="H875" s="258"/>
      <c r="I875" s="258"/>
    </row>
    <row r="876" spans="1:9">
      <c r="A876" s="671"/>
      <c r="B876" s="671"/>
      <c r="C876" s="671"/>
      <c r="D876" s="671"/>
      <c r="E876" s="258"/>
      <c r="F876" s="258"/>
      <c r="G876" s="258"/>
      <c r="H876" s="258"/>
      <c r="I876" s="258"/>
    </row>
    <row r="877" spans="1:9">
      <c r="A877" s="671"/>
      <c r="B877" s="671"/>
      <c r="C877" s="671"/>
      <c r="D877" s="671"/>
      <c r="E877" s="258"/>
      <c r="F877" s="258"/>
      <c r="G877" s="258"/>
      <c r="H877" s="258"/>
      <c r="I877" s="258"/>
    </row>
    <row r="878" spans="1:9">
      <c r="A878" s="671"/>
      <c r="B878" s="671"/>
      <c r="C878" s="671"/>
      <c r="D878" s="671"/>
      <c r="E878" s="258"/>
      <c r="F878" s="258"/>
      <c r="G878" s="258"/>
      <c r="H878" s="258"/>
      <c r="I878" s="258"/>
    </row>
    <row r="879" spans="1:9">
      <c r="A879" s="671"/>
      <c r="B879" s="671"/>
      <c r="C879" s="671"/>
      <c r="D879" s="671"/>
      <c r="E879" s="258"/>
      <c r="F879" s="258"/>
      <c r="G879" s="258"/>
      <c r="H879" s="258"/>
      <c r="I879" s="258"/>
    </row>
    <row r="880" spans="1:9">
      <c r="A880" s="671"/>
      <c r="B880" s="671"/>
      <c r="C880" s="671"/>
      <c r="D880" s="671"/>
      <c r="E880" s="258"/>
      <c r="F880" s="258"/>
      <c r="G880" s="258"/>
      <c r="H880" s="258"/>
      <c r="I880" s="258"/>
    </row>
    <row r="881" spans="1:9">
      <c r="A881" s="671"/>
      <c r="B881" s="671"/>
      <c r="C881" s="671"/>
      <c r="D881" s="671"/>
      <c r="E881" s="258"/>
      <c r="F881" s="258"/>
      <c r="G881" s="258"/>
      <c r="H881" s="258"/>
      <c r="I881" s="258"/>
    </row>
    <row r="882" spans="1:9">
      <c r="A882" s="671"/>
      <c r="B882" s="671"/>
      <c r="C882" s="671"/>
      <c r="D882" s="671"/>
      <c r="E882" s="258"/>
      <c r="F882" s="258"/>
      <c r="G882" s="258"/>
      <c r="H882" s="258"/>
      <c r="I882" s="258"/>
    </row>
    <row r="883" spans="1:9">
      <c r="A883" s="671"/>
      <c r="B883" s="671"/>
      <c r="C883" s="671"/>
      <c r="D883" s="671"/>
      <c r="E883" s="258"/>
      <c r="F883" s="258"/>
      <c r="G883" s="258"/>
      <c r="H883" s="258"/>
      <c r="I883" s="258"/>
    </row>
    <row r="884" spans="1:9">
      <c r="A884" s="671"/>
      <c r="B884" s="671"/>
      <c r="C884" s="671"/>
      <c r="D884" s="671"/>
      <c r="E884" s="258"/>
      <c r="F884" s="258"/>
      <c r="G884" s="258"/>
      <c r="H884" s="258"/>
      <c r="I884" s="258"/>
    </row>
    <row r="885" spans="1:9">
      <c r="A885" s="671"/>
      <c r="B885" s="671"/>
      <c r="C885" s="671"/>
      <c r="D885" s="671"/>
      <c r="E885" s="258"/>
      <c r="F885" s="258"/>
      <c r="G885" s="258"/>
      <c r="H885" s="258"/>
      <c r="I885" s="258"/>
    </row>
    <row r="886" spans="1:9">
      <c r="A886" s="671"/>
      <c r="B886" s="671"/>
      <c r="C886" s="671"/>
      <c r="D886" s="671"/>
      <c r="E886" s="258"/>
      <c r="F886" s="258"/>
      <c r="G886" s="258"/>
      <c r="H886" s="258"/>
      <c r="I886" s="258"/>
    </row>
    <row r="887" spans="1:9">
      <c r="A887" s="671"/>
      <c r="B887" s="671"/>
      <c r="C887" s="671"/>
      <c r="D887" s="671"/>
      <c r="E887" s="258"/>
      <c r="F887" s="258"/>
      <c r="G887" s="258"/>
      <c r="H887" s="258"/>
      <c r="I887" s="258"/>
    </row>
    <row r="888" spans="1:9">
      <c r="A888" s="671"/>
      <c r="B888" s="671"/>
      <c r="C888" s="671"/>
      <c r="D888" s="671"/>
      <c r="E888" s="258"/>
      <c r="F888" s="258"/>
      <c r="G888" s="258"/>
      <c r="H888" s="258"/>
      <c r="I888" s="258"/>
    </row>
    <row r="889" spans="1:9">
      <c r="A889" s="671"/>
      <c r="B889" s="671"/>
      <c r="C889" s="671"/>
      <c r="D889" s="671"/>
      <c r="E889" s="258"/>
      <c r="F889" s="258"/>
      <c r="G889" s="258"/>
      <c r="H889" s="258"/>
      <c r="I889" s="258"/>
    </row>
    <row r="890" spans="1:9">
      <c r="A890" s="671"/>
      <c r="B890" s="671"/>
      <c r="C890" s="671"/>
      <c r="D890" s="671"/>
      <c r="E890" s="258"/>
      <c r="F890" s="258"/>
      <c r="G890" s="258"/>
      <c r="H890" s="258"/>
      <c r="I890" s="258"/>
    </row>
    <row r="891" spans="1:9">
      <c r="A891" s="671"/>
      <c r="B891" s="671"/>
      <c r="C891" s="671"/>
      <c r="D891" s="671"/>
      <c r="E891" s="258"/>
      <c r="F891" s="258"/>
      <c r="G891" s="258"/>
      <c r="H891" s="258"/>
      <c r="I891" s="258"/>
    </row>
    <row r="892" spans="1:9">
      <c r="A892" s="671"/>
      <c r="B892" s="671"/>
      <c r="C892" s="671"/>
      <c r="D892" s="671"/>
      <c r="E892" s="258"/>
      <c r="F892" s="258"/>
      <c r="G892" s="258"/>
      <c r="H892" s="258"/>
      <c r="I892" s="258"/>
    </row>
    <row r="893" spans="1:9">
      <c r="A893" s="671"/>
      <c r="B893" s="671"/>
      <c r="C893" s="671"/>
      <c r="D893" s="671"/>
      <c r="E893" s="258"/>
      <c r="F893" s="258"/>
      <c r="G893" s="258"/>
      <c r="H893" s="258"/>
      <c r="I893" s="258"/>
    </row>
    <row r="894" spans="1:9">
      <c r="A894" s="671"/>
      <c r="B894" s="671"/>
      <c r="C894" s="671"/>
      <c r="D894" s="671"/>
      <c r="E894" s="258"/>
      <c r="F894" s="258"/>
      <c r="G894" s="258"/>
      <c r="H894" s="258"/>
      <c r="I894" s="258"/>
    </row>
    <row r="895" spans="1:9">
      <c r="A895" s="671"/>
      <c r="B895" s="671"/>
      <c r="C895" s="671"/>
      <c r="D895" s="671"/>
      <c r="E895" s="258"/>
      <c r="F895" s="258"/>
      <c r="G895" s="258"/>
      <c r="H895" s="258"/>
      <c r="I895" s="258"/>
    </row>
    <row r="896" spans="1:9">
      <c r="A896" s="671"/>
      <c r="B896" s="671"/>
      <c r="C896" s="671"/>
      <c r="D896" s="671"/>
      <c r="E896" s="258"/>
      <c r="F896" s="258"/>
      <c r="G896" s="258"/>
      <c r="H896" s="258"/>
      <c r="I896" s="258"/>
    </row>
    <row r="897" spans="1:9">
      <c r="A897" s="671"/>
      <c r="B897" s="671"/>
      <c r="C897" s="671"/>
      <c r="D897" s="671"/>
      <c r="E897" s="258"/>
      <c r="F897" s="258"/>
      <c r="G897" s="258"/>
      <c r="H897" s="258"/>
      <c r="I897" s="258"/>
    </row>
    <row r="898" spans="1:9">
      <c r="A898" s="671"/>
      <c r="B898" s="671"/>
      <c r="C898" s="671"/>
      <c r="D898" s="671"/>
      <c r="E898" s="258"/>
      <c r="F898" s="258"/>
      <c r="G898" s="258"/>
      <c r="H898" s="258"/>
      <c r="I898" s="258"/>
    </row>
    <row r="899" spans="1:9">
      <c r="A899" s="671"/>
      <c r="B899" s="671"/>
      <c r="C899" s="671"/>
      <c r="D899" s="671"/>
      <c r="E899" s="258"/>
      <c r="F899" s="258"/>
      <c r="G899" s="258"/>
      <c r="H899" s="258"/>
      <c r="I899" s="258"/>
    </row>
    <row r="900" spans="1:9">
      <c r="A900" s="671"/>
      <c r="B900" s="671"/>
      <c r="C900" s="671"/>
      <c r="D900" s="671"/>
      <c r="E900" s="258"/>
      <c r="F900" s="258"/>
      <c r="G900" s="258"/>
      <c r="H900" s="258"/>
      <c r="I900" s="258"/>
    </row>
    <row r="901" spans="1:9">
      <c r="A901" s="671"/>
      <c r="B901" s="671"/>
      <c r="C901" s="671"/>
      <c r="D901" s="671"/>
      <c r="E901" s="258"/>
      <c r="F901" s="258"/>
      <c r="G901" s="258"/>
      <c r="H901" s="258"/>
      <c r="I901" s="258"/>
    </row>
    <row r="902" spans="1:9">
      <c r="A902" s="671"/>
      <c r="B902" s="671"/>
      <c r="C902" s="671"/>
      <c r="D902" s="671"/>
      <c r="E902" s="258"/>
      <c r="F902" s="258"/>
      <c r="G902" s="258"/>
      <c r="H902" s="258"/>
      <c r="I902" s="258"/>
    </row>
    <row r="903" spans="1:9">
      <c r="A903" s="671"/>
      <c r="B903" s="671"/>
      <c r="C903" s="671"/>
      <c r="D903" s="671"/>
      <c r="E903" s="258"/>
      <c r="F903" s="258"/>
      <c r="G903" s="258"/>
      <c r="H903" s="258"/>
      <c r="I903" s="258"/>
    </row>
    <row r="904" spans="1:9">
      <c r="A904" s="671"/>
      <c r="B904" s="671"/>
      <c r="C904" s="671"/>
      <c r="D904" s="671"/>
      <c r="E904" s="258"/>
      <c r="F904" s="258"/>
      <c r="G904" s="258"/>
      <c r="H904" s="258"/>
      <c r="I904" s="258"/>
    </row>
    <row r="905" spans="1:9">
      <c r="A905" s="671"/>
      <c r="B905" s="671"/>
      <c r="C905" s="671"/>
      <c r="D905" s="671"/>
      <c r="E905" s="258"/>
      <c r="F905" s="258"/>
      <c r="G905" s="258"/>
      <c r="H905" s="258"/>
      <c r="I905" s="258"/>
    </row>
    <row r="906" spans="1:9">
      <c r="A906" s="671"/>
      <c r="B906" s="671"/>
      <c r="C906" s="671"/>
      <c r="D906" s="671"/>
      <c r="E906" s="258"/>
      <c r="F906" s="258"/>
      <c r="G906" s="258"/>
      <c r="H906" s="258"/>
      <c r="I906" s="258"/>
    </row>
    <row r="907" spans="1:9">
      <c r="A907" s="671"/>
      <c r="B907" s="671"/>
      <c r="C907" s="671"/>
      <c r="D907" s="671"/>
      <c r="E907" s="258"/>
      <c r="F907" s="258"/>
      <c r="G907" s="258"/>
      <c r="H907" s="258"/>
      <c r="I907" s="258"/>
    </row>
    <row r="908" spans="1:9">
      <c r="A908" s="671"/>
      <c r="B908" s="671"/>
      <c r="C908" s="671"/>
      <c r="D908" s="671"/>
      <c r="E908" s="258"/>
      <c r="F908" s="258"/>
      <c r="G908" s="258"/>
      <c r="H908" s="258"/>
      <c r="I908" s="258"/>
    </row>
    <row r="909" spans="1:9">
      <c r="A909" s="671"/>
      <c r="B909" s="671"/>
      <c r="C909" s="671"/>
      <c r="D909" s="671"/>
      <c r="E909" s="258"/>
      <c r="F909" s="258"/>
      <c r="G909" s="258"/>
      <c r="H909" s="258"/>
      <c r="I909" s="258"/>
    </row>
    <row r="910" spans="1:9">
      <c r="A910" s="671"/>
      <c r="B910" s="671"/>
      <c r="C910" s="671"/>
      <c r="D910" s="671"/>
      <c r="E910" s="258"/>
      <c r="F910" s="258"/>
      <c r="G910" s="258"/>
      <c r="H910" s="258"/>
      <c r="I910" s="258"/>
    </row>
    <row r="911" spans="1:9">
      <c r="A911" s="671"/>
      <c r="B911" s="671"/>
      <c r="C911" s="671"/>
      <c r="D911" s="671"/>
      <c r="E911" s="258"/>
      <c r="F911" s="258"/>
      <c r="G911" s="258"/>
      <c r="H911" s="258"/>
      <c r="I911" s="258"/>
    </row>
    <row r="912" spans="1:9">
      <c r="A912" s="671"/>
      <c r="B912" s="671"/>
      <c r="C912" s="671"/>
      <c r="D912" s="671"/>
      <c r="E912" s="258"/>
      <c r="F912" s="258"/>
      <c r="G912" s="258"/>
      <c r="H912" s="258"/>
      <c r="I912" s="258"/>
    </row>
    <row r="913" spans="1:9">
      <c r="A913" s="671"/>
      <c r="B913" s="671"/>
      <c r="C913" s="671"/>
      <c r="D913" s="671"/>
      <c r="E913" s="258"/>
      <c r="F913" s="258"/>
      <c r="G913" s="258"/>
      <c r="H913" s="258"/>
      <c r="I913" s="258"/>
    </row>
    <row r="914" spans="1:9">
      <c r="A914" s="671"/>
      <c r="B914" s="671"/>
      <c r="C914" s="671"/>
      <c r="D914" s="671"/>
      <c r="E914" s="258"/>
      <c r="F914" s="258"/>
      <c r="G914" s="258"/>
      <c r="H914" s="258"/>
      <c r="I914" s="258"/>
    </row>
    <row r="915" spans="1:9">
      <c r="A915" s="671"/>
      <c r="B915" s="671"/>
      <c r="C915" s="671"/>
      <c r="D915" s="671"/>
      <c r="E915" s="258"/>
      <c r="F915" s="258"/>
      <c r="G915" s="258"/>
      <c r="H915" s="258"/>
      <c r="I915" s="258"/>
    </row>
    <row r="916" spans="1:9">
      <c r="A916" s="671"/>
      <c r="B916" s="671"/>
      <c r="C916" s="671"/>
      <c r="D916" s="671"/>
      <c r="E916" s="258"/>
      <c r="F916" s="258"/>
      <c r="G916" s="258"/>
      <c r="H916" s="258"/>
      <c r="I916" s="258"/>
    </row>
    <row r="917" spans="1:9">
      <c r="A917" s="671"/>
      <c r="B917" s="671"/>
      <c r="C917" s="671"/>
      <c r="D917" s="671"/>
      <c r="E917" s="258"/>
      <c r="F917" s="258"/>
      <c r="G917" s="258"/>
      <c r="H917" s="258"/>
      <c r="I917" s="258"/>
    </row>
    <row r="918" spans="1:9">
      <c r="A918" s="671"/>
      <c r="B918" s="671"/>
      <c r="C918" s="671"/>
      <c r="D918" s="671"/>
      <c r="E918" s="258"/>
      <c r="F918" s="258"/>
      <c r="G918" s="258"/>
      <c r="H918" s="258"/>
      <c r="I918" s="258"/>
    </row>
    <row r="919" spans="1:9">
      <c r="A919" s="671"/>
      <c r="B919" s="671"/>
      <c r="C919" s="671"/>
      <c r="D919" s="671"/>
      <c r="E919" s="258"/>
      <c r="F919" s="258"/>
      <c r="G919" s="258"/>
      <c r="H919" s="258"/>
      <c r="I919" s="258"/>
    </row>
    <row r="920" spans="1:9">
      <c r="A920" s="671"/>
      <c r="B920" s="671"/>
      <c r="C920" s="671"/>
      <c r="D920" s="671"/>
      <c r="E920" s="258"/>
      <c r="F920" s="258"/>
      <c r="G920" s="258"/>
      <c r="H920" s="258"/>
      <c r="I920" s="258"/>
    </row>
    <row r="921" spans="1:9">
      <c r="A921" s="671"/>
      <c r="B921" s="671"/>
      <c r="C921" s="671"/>
      <c r="D921" s="671"/>
      <c r="E921" s="258"/>
      <c r="F921" s="258"/>
      <c r="G921" s="258"/>
      <c r="H921" s="258"/>
      <c r="I921" s="258"/>
    </row>
    <row r="922" spans="1:9">
      <c r="A922" s="671"/>
      <c r="B922" s="671"/>
      <c r="C922" s="671"/>
      <c r="D922" s="671"/>
      <c r="E922" s="258"/>
      <c r="F922" s="258"/>
      <c r="G922" s="258"/>
      <c r="H922" s="258"/>
      <c r="I922" s="258"/>
    </row>
    <row r="923" spans="1:9">
      <c r="A923" s="671"/>
      <c r="B923" s="671"/>
      <c r="C923" s="671"/>
      <c r="D923" s="671"/>
      <c r="E923" s="258"/>
      <c r="F923" s="258"/>
      <c r="G923" s="258"/>
      <c r="H923" s="258"/>
      <c r="I923" s="258"/>
    </row>
    <row r="924" spans="1:9">
      <c r="A924" s="671"/>
      <c r="B924" s="671"/>
      <c r="C924" s="671"/>
      <c r="D924" s="671"/>
      <c r="E924" s="258"/>
      <c r="F924" s="258"/>
      <c r="G924" s="258"/>
      <c r="H924" s="258"/>
      <c r="I924" s="258"/>
    </row>
    <row r="925" spans="1:9">
      <c r="A925" s="671"/>
      <c r="B925" s="671"/>
      <c r="C925" s="671"/>
      <c r="D925" s="671"/>
      <c r="E925" s="258"/>
      <c r="F925" s="258"/>
      <c r="G925" s="258"/>
      <c r="H925" s="258"/>
      <c r="I925" s="258"/>
    </row>
    <row r="926" spans="1:9">
      <c r="A926" s="671"/>
      <c r="B926" s="671"/>
      <c r="C926" s="671"/>
      <c r="D926" s="671"/>
      <c r="E926" s="258"/>
      <c r="F926" s="258"/>
      <c r="G926" s="258"/>
      <c r="H926" s="258"/>
      <c r="I926" s="258"/>
    </row>
    <row r="927" spans="1:9">
      <c r="A927" s="671"/>
      <c r="B927" s="671"/>
      <c r="C927" s="671"/>
      <c r="D927" s="671"/>
      <c r="E927" s="258"/>
      <c r="F927" s="258"/>
      <c r="G927" s="258"/>
      <c r="H927" s="258"/>
      <c r="I927" s="258"/>
    </row>
    <row r="928" spans="1:9">
      <c r="A928" s="671"/>
      <c r="B928" s="671"/>
      <c r="C928" s="671"/>
      <c r="D928" s="671"/>
      <c r="E928" s="258"/>
      <c r="F928" s="258"/>
      <c r="G928" s="258"/>
      <c r="H928" s="258"/>
      <c r="I928" s="258"/>
    </row>
    <row r="929" spans="1:9">
      <c r="A929" s="671"/>
      <c r="B929" s="671"/>
      <c r="C929" s="671"/>
      <c r="D929" s="671"/>
      <c r="E929" s="258"/>
      <c r="F929" s="258"/>
      <c r="G929" s="258"/>
      <c r="H929" s="258"/>
      <c r="I929" s="258"/>
    </row>
    <row r="930" spans="1:9">
      <c r="A930" s="671"/>
      <c r="B930" s="671"/>
      <c r="C930" s="671"/>
      <c r="D930" s="671"/>
      <c r="E930" s="258"/>
      <c r="F930" s="258"/>
      <c r="G930" s="258"/>
      <c r="H930" s="258"/>
      <c r="I930" s="258"/>
    </row>
    <row r="931" spans="1:9">
      <c r="A931" s="671"/>
      <c r="B931" s="671"/>
      <c r="C931" s="671"/>
      <c r="D931" s="671"/>
      <c r="E931" s="258"/>
      <c r="F931" s="258"/>
      <c r="G931" s="258"/>
      <c r="H931" s="258"/>
      <c r="I931" s="258"/>
    </row>
    <row r="932" spans="1:9">
      <c r="A932" s="671"/>
      <c r="B932" s="671"/>
      <c r="C932" s="671"/>
      <c r="D932" s="671"/>
      <c r="E932" s="258"/>
      <c r="F932" s="258"/>
      <c r="G932" s="258"/>
      <c r="H932" s="258"/>
      <c r="I932" s="258"/>
    </row>
    <row r="933" spans="1:9">
      <c r="A933" s="671"/>
      <c r="B933" s="671"/>
      <c r="C933" s="671"/>
      <c r="D933" s="671"/>
      <c r="E933" s="258"/>
      <c r="F933" s="258"/>
      <c r="G933" s="258"/>
      <c r="H933" s="258"/>
      <c r="I933" s="258"/>
    </row>
    <row r="934" spans="1:9">
      <c r="A934" s="671"/>
      <c r="B934" s="671"/>
      <c r="C934" s="671"/>
      <c r="D934" s="671"/>
      <c r="E934" s="258"/>
      <c r="F934" s="258"/>
      <c r="G934" s="258"/>
      <c r="H934" s="258"/>
      <c r="I934" s="258"/>
    </row>
    <row r="935" spans="1:9">
      <c r="A935" s="671"/>
      <c r="B935" s="671"/>
      <c r="C935" s="671"/>
      <c r="D935" s="671"/>
      <c r="E935" s="258"/>
      <c r="F935" s="258"/>
      <c r="G935" s="258"/>
      <c r="H935" s="258"/>
      <c r="I935" s="258"/>
    </row>
    <row r="936" spans="1:9">
      <c r="A936" s="671"/>
      <c r="B936" s="671"/>
      <c r="C936" s="671"/>
      <c r="D936" s="671"/>
      <c r="E936" s="258"/>
      <c r="F936" s="258"/>
      <c r="G936" s="258"/>
      <c r="H936" s="258"/>
      <c r="I936" s="258"/>
    </row>
    <row r="937" spans="1:9">
      <c r="A937" s="671"/>
      <c r="B937" s="671"/>
      <c r="C937" s="671"/>
      <c r="D937" s="671"/>
      <c r="E937" s="258"/>
      <c r="F937" s="258"/>
      <c r="G937" s="258"/>
      <c r="H937" s="258"/>
      <c r="I937" s="258"/>
    </row>
    <row r="938" spans="1:9">
      <c r="A938" s="671"/>
      <c r="B938" s="671"/>
      <c r="C938" s="671"/>
      <c r="D938" s="671"/>
      <c r="E938" s="258"/>
      <c r="F938" s="258"/>
      <c r="G938" s="258"/>
      <c r="H938" s="258"/>
      <c r="I938" s="258"/>
    </row>
    <row r="939" spans="1:9">
      <c r="A939" s="671"/>
      <c r="B939" s="671"/>
      <c r="C939" s="671"/>
      <c r="D939" s="671"/>
      <c r="E939" s="258"/>
      <c r="F939" s="258"/>
      <c r="G939" s="258"/>
      <c r="H939" s="258"/>
      <c r="I939" s="258"/>
    </row>
    <row r="940" spans="1:9">
      <c r="A940" s="671"/>
      <c r="B940" s="671"/>
      <c r="C940" s="671"/>
      <c r="D940" s="671"/>
      <c r="E940" s="258"/>
      <c r="F940" s="258"/>
      <c r="G940" s="258"/>
      <c r="H940" s="258"/>
      <c r="I940" s="258"/>
    </row>
    <row r="941" spans="1:9">
      <c r="A941" s="671"/>
      <c r="B941" s="671"/>
      <c r="C941" s="671"/>
      <c r="D941" s="671"/>
      <c r="E941" s="258"/>
      <c r="F941" s="258"/>
      <c r="G941" s="258"/>
      <c r="H941" s="258"/>
      <c r="I941" s="258"/>
    </row>
    <row r="942" spans="1:9">
      <c r="A942" s="671"/>
      <c r="B942" s="671"/>
      <c r="C942" s="671"/>
      <c r="D942" s="671"/>
      <c r="E942" s="258"/>
      <c r="F942" s="258"/>
      <c r="G942" s="258"/>
      <c r="H942" s="258"/>
      <c r="I942" s="258"/>
    </row>
    <row r="943" spans="1:9">
      <c r="A943" s="671"/>
      <c r="B943" s="671"/>
      <c r="C943" s="671"/>
      <c r="D943" s="671"/>
      <c r="E943" s="258"/>
      <c r="F943" s="258"/>
      <c r="G943" s="258"/>
      <c r="H943" s="258"/>
      <c r="I943" s="258"/>
    </row>
    <row r="944" spans="1:9">
      <c r="A944" s="671"/>
      <c r="B944" s="671"/>
      <c r="C944" s="671"/>
      <c r="D944" s="671"/>
      <c r="E944" s="258"/>
      <c r="F944" s="258"/>
      <c r="G944" s="258"/>
      <c r="H944" s="258"/>
      <c r="I944" s="258"/>
    </row>
    <row r="945" spans="1:9">
      <c r="A945" s="671"/>
      <c r="B945" s="671"/>
      <c r="C945" s="671"/>
      <c r="D945" s="671"/>
      <c r="E945" s="258"/>
      <c r="F945" s="258"/>
      <c r="G945" s="258"/>
      <c r="H945" s="258"/>
      <c r="I945" s="258"/>
    </row>
    <row r="946" spans="1:9">
      <c r="A946" s="671"/>
      <c r="B946" s="671"/>
      <c r="C946" s="671"/>
      <c r="D946" s="671"/>
      <c r="E946" s="258"/>
      <c r="F946" s="258"/>
      <c r="G946" s="258"/>
      <c r="H946" s="258"/>
      <c r="I946" s="258"/>
    </row>
    <row r="947" spans="1:9">
      <c r="A947" s="671"/>
      <c r="B947" s="671"/>
      <c r="C947" s="671"/>
      <c r="D947" s="671"/>
      <c r="E947" s="258"/>
      <c r="F947" s="258"/>
      <c r="G947" s="258"/>
      <c r="H947" s="258"/>
      <c r="I947" s="258"/>
    </row>
    <row r="948" spans="1:9">
      <c r="A948" s="671"/>
      <c r="B948" s="671"/>
      <c r="C948" s="671"/>
      <c r="D948" s="671"/>
      <c r="E948" s="258"/>
      <c r="F948" s="258"/>
      <c r="G948" s="258"/>
      <c r="H948" s="258"/>
      <c r="I948" s="258"/>
    </row>
    <row r="949" spans="1:9">
      <c r="A949" s="671"/>
      <c r="B949" s="671"/>
      <c r="C949" s="671"/>
      <c r="D949" s="671"/>
      <c r="E949" s="258"/>
      <c r="F949" s="258"/>
      <c r="G949" s="258"/>
      <c r="H949" s="258"/>
      <c r="I949" s="258"/>
    </row>
    <row r="950" spans="1:9">
      <c r="A950" s="671"/>
      <c r="B950" s="671"/>
      <c r="C950" s="671"/>
      <c r="D950" s="671"/>
      <c r="E950" s="258"/>
      <c r="F950" s="258"/>
      <c r="G950" s="258"/>
      <c r="H950" s="258"/>
      <c r="I950" s="258"/>
    </row>
    <row r="951" spans="1:9">
      <c r="A951" s="671"/>
      <c r="B951" s="671"/>
      <c r="C951" s="671"/>
      <c r="D951" s="671"/>
      <c r="E951" s="258"/>
      <c r="F951" s="258"/>
      <c r="G951" s="258"/>
      <c r="H951" s="258"/>
      <c r="I951" s="258"/>
    </row>
    <row r="952" spans="1:9">
      <c r="A952" s="671"/>
      <c r="B952" s="671"/>
      <c r="C952" s="671"/>
      <c r="D952" s="671"/>
      <c r="E952" s="258"/>
      <c r="F952" s="258"/>
      <c r="G952" s="258"/>
      <c r="H952" s="258"/>
      <c r="I952" s="258"/>
    </row>
    <row r="953" spans="1:9">
      <c r="A953" s="671"/>
      <c r="B953" s="671"/>
      <c r="C953" s="671"/>
      <c r="D953" s="671"/>
      <c r="E953" s="258"/>
      <c r="F953" s="258"/>
      <c r="G953" s="258"/>
      <c r="H953" s="258"/>
      <c r="I953" s="258"/>
    </row>
    <row r="954" spans="1:9">
      <c r="A954" s="671"/>
      <c r="B954" s="671"/>
      <c r="C954" s="671"/>
      <c r="D954" s="671"/>
      <c r="E954" s="258"/>
      <c r="F954" s="258"/>
      <c r="G954" s="258"/>
      <c r="H954" s="258"/>
      <c r="I954" s="258"/>
    </row>
    <row r="955" spans="1:9">
      <c r="A955" s="671"/>
      <c r="B955" s="671"/>
      <c r="C955" s="671"/>
      <c r="D955" s="671"/>
      <c r="E955" s="258"/>
      <c r="F955" s="258"/>
      <c r="G955" s="258"/>
      <c r="H955" s="258"/>
      <c r="I955" s="258"/>
    </row>
    <row r="956" spans="1:9">
      <c r="A956" s="671"/>
      <c r="B956" s="671"/>
      <c r="C956" s="671"/>
      <c r="D956" s="671"/>
      <c r="E956" s="258"/>
      <c r="F956" s="258"/>
      <c r="G956" s="258"/>
      <c r="H956" s="258"/>
      <c r="I956" s="258"/>
    </row>
    <row r="957" spans="1:9">
      <c r="A957" s="671"/>
      <c r="B957" s="671"/>
      <c r="C957" s="671"/>
      <c r="D957" s="671"/>
      <c r="E957" s="258"/>
      <c r="F957" s="258"/>
      <c r="G957" s="258"/>
      <c r="H957" s="258"/>
      <c r="I957" s="258"/>
    </row>
    <row r="958" spans="1:9">
      <c r="A958" s="671"/>
      <c r="B958" s="671"/>
      <c r="C958" s="671"/>
      <c r="D958" s="671"/>
      <c r="E958" s="258"/>
      <c r="F958" s="258"/>
      <c r="G958" s="258"/>
      <c r="H958" s="258"/>
      <c r="I958" s="258"/>
    </row>
    <row r="959" spans="1:9">
      <c r="A959" s="671"/>
      <c r="B959" s="671"/>
      <c r="C959" s="671"/>
      <c r="D959" s="671"/>
      <c r="E959" s="258"/>
      <c r="F959" s="258"/>
      <c r="G959" s="258"/>
      <c r="H959" s="258"/>
      <c r="I959" s="258"/>
    </row>
    <row r="960" spans="1:9">
      <c r="A960" s="671"/>
      <c r="B960" s="671"/>
      <c r="C960" s="671"/>
      <c r="D960" s="671"/>
      <c r="E960" s="258"/>
      <c r="F960" s="258"/>
      <c r="G960" s="258"/>
      <c r="H960" s="258"/>
      <c r="I960" s="258"/>
    </row>
    <row r="961" spans="1:9">
      <c r="A961" s="671"/>
      <c r="B961" s="671"/>
      <c r="C961" s="671"/>
      <c r="D961" s="671"/>
      <c r="E961" s="258"/>
      <c r="F961" s="258"/>
      <c r="G961" s="258"/>
      <c r="H961" s="258"/>
      <c r="I961" s="258"/>
    </row>
    <row r="962" spans="1:9">
      <c r="A962" s="671"/>
      <c r="B962" s="671"/>
      <c r="C962" s="671"/>
      <c r="D962" s="671"/>
      <c r="E962" s="258"/>
      <c r="F962" s="258"/>
      <c r="G962" s="258"/>
      <c r="H962" s="258"/>
      <c r="I962" s="258"/>
    </row>
    <row r="963" spans="1:9">
      <c r="A963" s="671"/>
      <c r="B963" s="671"/>
      <c r="C963" s="671"/>
      <c r="D963" s="671"/>
      <c r="E963" s="258"/>
      <c r="F963" s="258"/>
      <c r="G963" s="258"/>
      <c r="H963" s="258"/>
      <c r="I963" s="258"/>
    </row>
    <row r="964" spans="1:9">
      <c r="A964" s="671"/>
      <c r="B964" s="671"/>
      <c r="C964" s="671"/>
      <c r="D964" s="671"/>
      <c r="E964" s="258"/>
      <c r="F964" s="258"/>
      <c r="G964" s="258"/>
      <c r="H964" s="258"/>
      <c r="I964" s="258"/>
    </row>
    <row r="965" spans="1:9">
      <c r="A965" s="671"/>
      <c r="B965" s="671"/>
      <c r="C965" s="671"/>
      <c r="D965" s="671"/>
      <c r="E965" s="258"/>
      <c r="F965" s="258"/>
      <c r="G965" s="258"/>
      <c r="H965" s="258"/>
      <c r="I965" s="258"/>
    </row>
    <row r="966" spans="1:9">
      <c r="A966" s="671"/>
      <c r="B966" s="671"/>
      <c r="C966" s="671"/>
      <c r="D966" s="671"/>
      <c r="E966" s="258"/>
      <c r="F966" s="258"/>
      <c r="G966" s="258"/>
      <c r="H966" s="258"/>
      <c r="I966" s="258"/>
    </row>
    <row r="967" spans="1:9">
      <c r="A967" s="671"/>
      <c r="B967" s="671"/>
      <c r="C967" s="671"/>
      <c r="D967" s="671"/>
      <c r="E967" s="258"/>
      <c r="F967" s="258"/>
      <c r="G967" s="258"/>
      <c r="H967" s="258"/>
      <c r="I967" s="258"/>
    </row>
    <row r="968" spans="1:9">
      <c r="A968" s="671"/>
      <c r="B968" s="671"/>
      <c r="C968" s="671"/>
      <c r="D968" s="671"/>
      <c r="E968" s="258"/>
      <c r="F968" s="258"/>
      <c r="G968" s="258"/>
      <c r="H968" s="258"/>
      <c r="I968" s="258"/>
    </row>
    <row r="969" spans="1:9">
      <c r="A969" s="671"/>
      <c r="B969" s="671"/>
      <c r="C969" s="671"/>
      <c r="D969" s="671"/>
      <c r="E969" s="258"/>
      <c r="F969" s="258"/>
      <c r="G969" s="258"/>
      <c r="H969" s="258"/>
      <c r="I969" s="258"/>
    </row>
    <row r="970" spans="1:9">
      <c r="A970" s="671"/>
      <c r="B970" s="671"/>
      <c r="C970" s="671"/>
      <c r="D970" s="671"/>
      <c r="E970" s="258"/>
      <c r="F970" s="258"/>
      <c r="G970" s="258"/>
      <c r="H970" s="258"/>
      <c r="I970" s="258"/>
    </row>
    <row r="971" spans="1:9">
      <c r="A971" s="671"/>
      <c r="B971" s="671"/>
      <c r="C971" s="671"/>
      <c r="D971" s="671"/>
      <c r="E971" s="258"/>
      <c r="F971" s="258"/>
      <c r="G971" s="258"/>
      <c r="H971" s="258"/>
      <c r="I971" s="258"/>
    </row>
    <row r="972" spans="1:9">
      <c r="A972" s="671"/>
      <c r="B972" s="671"/>
      <c r="C972" s="671"/>
      <c r="D972" s="671"/>
      <c r="E972" s="258"/>
      <c r="F972" s="258"/>
      <c r="G972" s="258"/>
      <c r="H972" s="258"/>
      <c r="I972" s="258"/>
    </row>
    <row r="973" spans="1:9">
      <c r="A973" s="671"/>
      <c r="B973" s="671"/>
      <c r="C973" s="671"/>
      <c r="D973" s="671"/>
      <c r="E973" s="258"/>
      <c r="F973" s="258"/>
      <c r="G973" s="258"/>
      <c r="H973" s="258"/>
      <c r="I973" s="258"/>
    </row>
    <row r="974" spans="1:9">
      <c r="A974" s="671"/>
      <c r="B974" s="671"/>
      <c r="C974" s="671"/>
      <c r="D974" s="671"/>
      <c r="E974" s="258"/>
      <c r="F974" s="258"/>
      <c r="G974" s="258"/>
      <c r="H974" s="258"/>
      <c r="I974" s="258"/>
    </row>
    <row r="975" spans="1:9">
      <c r="A975" s="671"/>
      <c r="B975" s="671"/>
      <c r="C975" s="671"/>
      <c r="D975" s="671"/>
      <c r="E975" s="258"/>
      <c r="F975" s="258"/>
      <c r="G975" s="258"/>
      <c r="H975" s="258"/>
      <c r="I975" s="258"/>
    </row>
    <row r="976" spans="1:9">
      <c r="A976" s="671"/>
      <c r="B976" s="671"/>
      <c r="C976" s="671"/>
      <c r="D976" s="671"/>
      <c r="E976" s="258"/>
      <c r="F976" s="258"/>
      <c r="G976" s="258"/>
      <c r="H976" s="258"/>
      <c r="I976" s="258"/>
    </row>
    <row r="977" spans="1:9">
      <c r="A977" s="671"/>
      <c r="B977" s="671"/>
      <c r="C977" s="671"/>
      <c r="D977" s="671"/>
      <c r="E977" s="258"/>
      <c r="F977" s="258"/>
      <c r="G977" s="258"/>
      <c r="H977" s="258"/>
      <c r="I977" s="258"/>
    </row>
    <row r="978" spans="1:9">
      <c r="A978" s="671"/>
      <c r="B978" s="671"/>
      <c r="C978" s="671"/>
      <c r="D978" s="671"/>
      <c r="E978" s="258"/>
      <c r="F978" s="258"/>
      <c r="G978" s="258"/>
      <c r="H978" s="258"/>
      <c r="I978" s="258"/>
    </row>
    <row r="979" spans="1:9">
      <c r="A979" s="671"/>
      <c r="B979" s="671"/>
      <c r="C979" s="671"/>
      <c r="D979" s="671"/>
      <c r="E979" s="258"/>
      <c r="F979" s="258"/>
      <c r="G979" s="258"/>
      <c r="H979" s="258"/>
      <c r="I979" s="258"/>
    </row>
    <row r="980" spans="1:9">
      <c r="A980" s="671"/>
      <c r="B980" s="671"/>
      <c r="C980" s="671"/>
      <c r="D980" s="671"/>
      <c r="E980" s="258"/>
      <c r="F980" s="258"/>
      <c r="G980" s="258"/>
      <c r="H980" s="258"/>
      <c r="I980" s="258"/>
    </row>
    <row r="981" spans="1:9">
      <c r="A981" s="671"/>
      <c r="B981" s="671"/>
      <c r="C981" s="671"/>
      <c r="D981" s="671"/>
      <c r="E981" s="258"/>
      <c r="F981" s="258"/>
      <c r="G981" s="258"/>
      <c r="H981" s="258"/>
      <c r="I981" s="258"/>
    </row>
    <row r="982" spans="1:9">
      <c r="A982" s="671"/>
      <c r="B982" s="671"/>
      <c r="C982" s="671"/>
      <c r="D982" s="671"/>
      <c r="E982" s="258"/>
      <c r="F982" s="258"/>
      <c r="G982" s="258"/>
      <c r="H982" s="258"/>
      <c r="I982" s="258"/>
    </row>
    <row r="983" spans="1:9">
      <c r="A983" s="671"/>
      <c r="B983" s="671"/>
      <c r="C983" s="671"/>
      <c r="D983" s="671"/>
      <c r="E983" s="258"/>
      <c r="F983" s="258"/>
      <c r="G983" s="258"/>
      <c r="H983" s="258"/>
      <c r="I983" s="258"/>
    </row>
    <row r="984" spans="1:9">
      <c r="A984" s="671"/>
      <c r="B984" s="671"/>
      <c r="C984" s="671"/>
      <c r="D984" s="671"/>
      <c r="E984" s="258"/>
      <c r="F984" s="258"/>
      <c r="G984" s="258"/>
      <c r="H984" s="258"/>
      <c r="I984" s="258"/>
    </row>
    <row r="985" spans="1:9">
      <c r="A985" s="671"/>
      <c r="B985" s="671"/>
      <c r="C985" s="671"/>
      <c r="D985" s="671"/>
      <c r="E985" s="258"/>
      <c r="F985" s="258"/>
      <c r="G985" s="258"/>
      <c r="H985" s="258"/>
      <c r="I985" s="258"/>
    </row>
    <row r="986" spans="1:9">
      <c r="A986" s="671"/>
      <c r="B986" s="671"/>
      <c r="C986" s="671"/>
      <c r="D986" s="671"/>
      <c r="E986" s="258"/>
      <c r="F986" s="258"/>
      <c r="G986" s="258"/>
      <c r="H986" s="258"/>
      <c r="I986" s="258"/>
    </row>
    <row r="987" spans="1:9">
      <c r="A987" s="671"/>
      <c r="B987" s="671"/>
      <c r="C987" s="671"/>
      <c r="D987" s="671"/>
      <c r="E987" s="258"/>
      <c r="F987" s="258"/>
      <c r="G987" s="258"/>
      <c r="H987" s="258"/>
      <c r="I987" s="258"/>
    </row>
    <row r="988" spans="1:9">
      <c r="A988" s="671"/>
      <c r="B988" s="671"/>
      <c r="C988" s="671"/>
      <c r="D988" s="671"/>
      <c r="E988" s="258"/>
      <c r="F988" s="258"/>
      <c r="G988" s="258"/>
      <c r="H988" s="258"/>
      <c r="I988" s="258"/>
    </row>
    <row r="989" spans="1:9">
      <c r="A989" s="671"/>
      <c r="B989" s="671"/>
      <c r="C989" s="671"/>
      <c r="D989" s="671"/>
      <c r="E989" s="258"/>
      <c r="F989" s="258"/>
      <c r="G989" s="258"/>
      <c r="H989" s="258"/>
      <c r="I989" s="258"/>
    </row>
    <row r="990" spans="1:9">
      <c r="A990" s="671"/>
      <c r="B990" s="671"/>
      <c r="C990" s="671"/>
      <c r="D990" s="671"/>
      <c r="E990" s="258"/>
      <c r="F990" s="258"/>
      <c r="G990" s="258"/>
      <c r="H990" s="258"/>
      <c r="I990" s="258"/>
    </row>
    <row r="991" spans="1:9">
      <c r="A991" s="671"/>
      <c r="B991" s="671"/>
      <c r="C991" s="671"/>
      <c r="D991" s="671"/>
      <c r="E991" s="258"/>
      <c r="F991" s="258"/>
      <c r="G991" s="258"/>
      <c r="H991" s="258"/>
      <c r="I991" s="258"/>
    </row>
    <row r="992" spans="1:9">
      <c r="A992" s="671"/>
      <c r="B992" s="671"/>
      <c r="C992" s="671"/>
      <c r="D992" s="671"/>
      <c r="E992" s="258"/>
      <c r="F992" s="258"/>
      <c r="G992" s="258"/>
      <c r="H992" s="258"/>
      <c r="I992" s="258"/>
    </row>
    <row r="993" spans="1:9">
      <c r="A993" s="671"/>
      <c r="B993" s="671"/>
      <c r="C993" s="671"/>
      <c r="D993" s="671"/>
      <c r="E993" s="258"/>
      <c r="F993" s="258"/>
      <c r="G993" s="258"/>
      <c r="H993" s="258"/>
      <c r="I993" s="258"/>
    </row>
    <row r="994" spans="1:9">
      <c r="A994" s="671"/>
      <c r="B994" s="671"/>
      <c r="C994" s="671"/>
      <c r="D994" s="671"/>
      <c r="E994" s="258"/>
      <c r="F994" s="258"/>
      <c r="G994" s="258"/>
      <c r="H994" s="258"/>
      <c r="I994" s="258"/>
    </row>
    <row r="995" spans="1:9">
      <c r="A995" s="671"/>
      <c r="B995" s="671"/>
      <c r="C995" s="671"/>
      <c r="D995" s="671"/>
      <c r="E995" s="258"/>
      <c r="F995" s="258"/>
      <c r="G995" s="258"/>
      <c r="H995" s="258"/>
      <c r="I995" s="258"/>
    </row>
    <row r="996" spans="1:9">
      <c r="A996" s="671"/>
      <c r="B996" s="671"/>
      <c r="C996" s="671"/>
      <c r="D996" s="671"/>
      <c r="E996" s="258"/>
      <c r="F996" s="258"/>
      <c r="G996" s="258"/>
      <c r="H996" s="258"/>
      <c r="I996" s="258"/>
    </row>
    <row r="997" spans="1:9">
      <c r="A997" s="671"/>
      <c r="B997" s="671"/>
      <c r="C997" s="671"/>
      <c r="D997" s="671"/>
      <c r="E997" s="258"/>
      <c r="F997" s="258"/>
      <c r="G997" s="258"/>
      <c r="H997" s="258"/>
      <c r="I997" s="258"/>
    </row>
    <row r="998" spans="1:9">
      <c r="A998" s="671"/>
      <c r="B998" s="671"/>
      <c r="C998" s="671"/>
      <c r="D998" s="671"/>
      <c r="E998" s="258"/>
      <c r="F998" s="258"/>
      <c r="G998" s="258"/>
      <c r="H998" s="258"/>
      <c r="I998" s="258"/>
    </row>
    <row r="999" spans="1:9">
      <c r="A999" s="671"/>
      <c r="B999" s="671"/>
      <c r="C999" s="671"/>
      <c r="D999" s="671"/>
      <c r="E999" s="258"/>
      <c r="F999" s="258"/>
      <c r="G999" s="258"/>
      <c r="H999" s="258"/>
      <c r="I999" s="258"/>
    </row>
    <row r="1000" spans="1:9">
      <c r="A1000" s="671"/>
      <c r="B1000" s="671"/>
      <c r="C1000" s="671"/>
      <c r="D1000" s="671"/>
      <c r="E1000" s="258"/>
      <c r="F1000" s="258"/>
      <c r="G1000" s="258"/>
      <c r="H1000" s="258"/>
      <c r="I1000" s="258"/>
    </row>
  </sheetData>
  <sortState ref="D12:D818">
    <sortCondition ref="D12"/>
  </sortState>
  <mergeCells count="1">
    <mergeCell ref="A1:I1"/>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0"/>
  <sheetViews>
    <sheetView zoomScaleNormal="100" workbookViewId="0">
      <pane ySplit="6" topLeftCell="A260" activePane="bottomLeft" state="frozen"/>
      <selection activeCell="C1" sqref="C1"/>
      <selection pane="bottomLeft" activeCell="F264" sqref="F264:H268"/>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24" t="s">
        <v>847</v>
      </c>
      <c r="B1" s="1025"/>
      <c r="C1" s="1025"/>
      <c r="D1" s="1025"/>
      <c r="E1" s="1025"/>
      <c r="F1" s="1025"/>
      <c r="G1" s="1025"/>
      <c r="H1" s="1188"/>
      <c r="I1" s="253"/>
      <c r="J1" s="253"/>
      <c r="K1" s="411" t="s">
        <v>761</v>
      </c>
      <c r="L1" s="252">
        <f>SUM(G7:G344)</f>
        <v>880.59000000000037</v>
      </c>
      <c r="M1" s="253" t="s">
        <v>87</v>
      </c>
    </row>
    <row r="2" spans="1:26" ht="18">
      <c r="A2" s="1027"/>
      <c r="B2" s="1028"/>
      <c r="C2" s="1028"/>
      <c r="D2" s="1028"/>
      <c r="E2" s="1028"/>
      <c r="F2" s="1028"/>
      <c r="G2" s="1028"/>
      <c r="H2" s="1189"/>
      <c r="J2" s="253"/>
      <c r="K2" s="412" t="s">
        <v>654</v>
      </c>
      <c r="L2" s="252">
        <f>SUM(H7:H344)</f>
        <v>117.67210227272719</v>
      </c>
      <c r="M2" s="253" t="s">
        <v>607</v>
      </c>
    </row>
    <row r="3" spans="1:26" ht="16.5" thickBot="1">
      <c r="A3" s="1030"/>
      <c r="B3" s="1031"/>
      <c r="C3" s="1031"/>
      <c r="D3" s="1031"/>
      <c r="E3" s="1031"/>
      <c r="F3" s="1031"/>
      <c r="G3" s="1031"/>
      <c r="H3" s="1190"/>
      <c r="I3" s="16"/>
      <c r="L3" s="7"/>
      <c r="M3" s="7"/>
      <c r="N3" s="7"/>
      <c r="O3" s="7"/>
      <c r="P3" s="7"/>
      <c r="Q3" s="7"/>
      <c r="R3" s="7"/>
      <c r="S3" s="7"/>
      <c r="T3" s="7"/>
      <c r="U3" s="7"/>
      <c r="V3" s="7"/>
      <c r="W3" s="7"/>
      <c r="X3" s="7"/>
      <c r="Y3" s="7"/>
      <c r="Z3" s="7"/>
    </row>
    <row r="4" spans="1:26" ht="15.75" customHeight="1">
      <c r="A4" s="43"/>
      <c r="B4" s="45"/>
      <c r="C4" s="44" t="s">
        <v>204</v>
      </c>
      <c r="D4" s="45"/>
      <c r="E4" s="46"/>
      <c r="F4" s="44"/>
      <c r="G4" s="45"/>
      <c r="H4" s="206"/>
      <c r="I4" s="4" t="s">
        <v>604</v>
      </c>
      <c r="J4" s="4" t="s">
        <v>604</v>
      </c>
      <c r="K4" s="4" t="s">
        <v>604</v>
      </c>
      <c r="L4" s="81"/>
      <c r="O4" s="80"/>
    </row>
    <row r="5" spans="1:26" ht="15.75">
      <c r="A5" s="47" t="s">
        <v>180</v>
      </c>
      <c r="B5" s="48"/>
      <c r="C5" s="48" t="s">
        <v>137</v>
      </c>
      <c r="D5" s="48"/>
      <c r="E5" s="48"/>
      <c r="F5" s="48" t="s">
        <v>183</v>
      </c>
      <c r="G5" s="48" t="s">
        <v>184</v>
      </c>
      <c r="H5" s="207" t="s">
        <v>540</v>
      </c>
      <c r="I5" s="4" t="s">
        <v>605</v>
      </c>
      <c r="J5" s="4" t="s">
        <v>605</v>
      </c>
      <c r="K5" s="4" t="s">
        <v>605</v>
      </c>
      <c r="L5" s="81"/>
      <c r="M5" s="250"/>
      <c r="O5" s="80"/>
      <c r="Q5" s="250"/>
      <c r="U5" s="80"/>
      <c r="Y5" s="80"/>
    </row>
    <row r="6" spans="1:26" ht="16.5" thickBot="1">
      <c r="A6" s="49" t="s">
        <v>181</v>
      </c>
      <c r="B6" s="50" t="s">
        <v>136</v>
      </c>
      <c r="C6" s="51" t="s">
        <v>138</v>
      </c>
      <c r="D6" s="50" t="s">
        <v>139</v>
      </c>
      <c r="E6" s="50" t="s">
        <v>140</v>
      </c>
      <c r="F6" s="51" t="s">
        <v>141</v>
      </c>
      <c r="G6" s="51" t="s">
        <v>142</v>
      </c>
      <c r="H6" s="208" t="s">
        <v>587</v>
      </c>
      <c r="I6" s="4" t="s">
        <v>602</v>
      </c>
      <c r="J6" s="249" t="s">
        <v>603</v>
      </c>
      <c r="K6" s="249" t="s">
        <v>651</v>
      </c>
      <c r="L6" s="81"/>
      <c r="O6" s="80"/>
      <c r="P6" s="1"/>
      <c r="Q6" s="32"/>
      <c r="R6" s="1"/>
      <c r="X6" s="1"/>
      <c r="Y6" s="32"/>
      <c r="Z6" s="1"/>
    </row>
    <row r="7" spans="1:26" ht="15.75" thickTop="1">
      <c r="A7" s="469">
        <v>1</v>
      </c>
      <c r="B7" s="606">
        <v>18394</v>
      </c>
      <c r="C7" s="607">
        <v>0.77083333333333337</v>
      </c>
      <c r="D7" s="470" t="s">
        <v>101</v>
      </c>
      <c r="E7" s="608" t="s">
        <v>123</v>
      </c>
      <c r="F7" s="609">
        <v>77</v>
      </c>
      <c r="G7" s="609">
        <v>0.5</v>
      </c>
      <c r="H7" s="614">
        <f>+(F7/1760)*G7</f>
        <v>2.1874999999999999E-2</v>
      </c>
      <c r="I7" s="1">
        <f>LN(F7)</f>
        <v>4.3438054218536841</v>
      </c>
      <c r="J7" s="1">
        <f>LN(G7)</f>
        <v>-0.69314718055994529</v>
      </c>
      <c r="K7" s="1">
        <f>LN(H7)</f>
        <v>-3.822410846738459</v>
      </c>
    </row>
    <row r="8" spans="1:26">
      <c r="A8" s="483">
        <f>+A7+1</f>
        <v>2</v>
      </c>
      <c r="B8" s="485">
        <v>18537</v>
      </c>
      <c r="C8" s="473">
        <v>0.875</v>
      </c>
      <c r="D8" s="484" t="s">
        <v>99</v>
      </c>
      <c r="E8" s="472" t="s">
        <v>123</v>
      </c>
      <c r="F8" s="486">
        <v>33</v>
      </c>
      <c r="G8" s="486">
        <v>15.8</v>
      </c>
      <c r="H8" s="614">
        <f>+(F8/1760)*G8</f>
        <v>0.29625000000000001</v>
      </c>
      <c r="I8" s="1">
        <f t="shared" ref="I8:J71" si="0">LN(F8)</f>
        <v>3.4965075614664802</v>
      </c>
      <c r="J8" s="1">
        <f t="shared" si="0"/>
        <v>2.760009940032921</v>
      </c>
      <c r="K8" s="1">
        <f t="shared" ref="K8:K71" si="1">LN(H8)</f>
        <v>-1.216551586532796</v>
      </c>
    </row>
    <row r="9" spans="1:26">
      <c r="A9" s="483">
        <f t="shared" ref="A9:A72" si="2">+A8+1</f>
        <v>3</v>
      </c>
      <c r="B9" s="485">
        <v>18744</v>
      </c>
      <c r="C9" s="473">
        <v>0.80208333333333337</v>
      </c>
      <c r="D9" s="484" t="s">
        <v>101</v>
      </c>
      <c r="E9" s="472" t="s">
        <v>123</v>
      </c>
      <c r="F9" s="486">
        <v>10</v>
      </c>
      <c r="G9" s="486">
        <v>0.1</v>
      </c>
      <c r="H9" s="614">
        <f t="shared" ref="H9:H72" si="3">+(F9/1760)*G9</f>
        <v>5.6818181818181826E-4</v>
      </c>
      <c r="I9" s="1">
        <f t="shared" si="0"/>
        <v>2.3025850929940459</v>
      </c>
      <c r="J9" s="1">
        <f t="shared" si="0"/>
        <v>-2.3025850929940455</v>
      </c>
      <c r="K9" s="1">
        <f t="shared" si="1"/>
        <v>-7.4730690880321973</v>
      </c>
    </row>
    <row r="10" spans="1:26">
      <c r="A10" s="483">
        <f t="shared" si="2"/>
        <v>4</v>
      </c>
      <c r="B10" s="485">
        <v>18779</v>
      </c>
      <c r="C10" s="473">
        <v>0.66666666666666663</v>
      </c>
      <c r="D10" s="484" t="s">
        <v>109</v>
      </c>
      <c r="E10" s="472" t="s">
        <v>123</v>
      </c>
      <c r="F10" s="486">
        <v>17</v>
      </c>
      <c r="G10" s="486">
        <v>0.5</v>
      </c>
      <c r="H10" s="614">
        <f t="shared" si="3"/>
        <v>4.8295454545454544E-3</v>
      </c>
      <c r="I10" s="1">
        <f t="shared" si="0"/>
        <v>2.8332133440562162</v>
      </c>
      <c r="J10" s="1">
        <f t="shared" si="0"/>
        <v>-0.69314718055994529</v>
      </c>
      <c r="K10" s="1">
        <f t="shared" si="1"/>
        <v>-5.3330029245359265</v>
      </c>
    </row>
    <row r="11" spans="1:26">
      <c r="A11" s="483">
        <f t="shared" si="2"/>
        <v>5</v>
      </c>
      <c r="B11" s="485">
        <v>18785</v>
      </c>
      <c r="C11" s="473">
        <v>0.76388888888888884</v>
      </c>
      <c r="D11" s="484" t="s">
        <v>113</v>
      </c>
      <c r="E11" s="472" t="s">
        <v>123</v>
      </c>
      <c r="F11" s="486">
        <v>10</v>
      </c>
      <c r="G11" s="486">
        <v>0.1</v>
      </c>
      <c r="H11" s="614">
        <f t="shared" si="3"/>
        <v>5.6818181818181826E-4</v>
      </c>
      <c r="I11" s="1">
        <f t="shared" si="0"/>
        <v>2.3025850929940459</v>
      </c>
      <c r="J11" s="1">
        <f t="shared" si="0"/>
        <v>-2.3025850929940455</v>
      </c>
      <c r="K11" s="1">
        <f t="shared" si="1"/>
        <v>-7.4730690880321973</v>
      </c>
    </row>
    <row r="12" spans="1:26">
      <c r="A12" s="483">
        <f t="shared" si="2"/>
        <v>6</v>
      </c>
      <c r="B12" s="485">
        <v>18785</v>
      </c>
      <c r="C12" s="473">
        <v>0.78472222222222221</v>
      </c>
      <c r="D12" s="484" t="s">
        <v>114</v>
      </c>
      <c r="E12" s="472" t="s">
        <v>123</v>
      </c>
      <c r="F12" s="486">
        <v>10</v>
      </c>
      <c r="G12" s="486">
        <v>0.1</v>
      </c>
      <c r="H12" s="614">
        <f t="shared" si="3"/>
        <v>5.6818181818181826E-4</v>
      </c>
      <c r="I12" s="1">
        <f t="shared" si="0"/>
        <v>2.3025850929940459</v>
      </c>
      <c r="J12" s="1">
        <f t="shared" si="0"/>
        <v>-2.3025850929940455</v>
      </c>
      <c r="K12" s="1">
        <f t="shared" si="1"/>
        <v>-7.4730690880321973</v>
      </c>
    </row>
    <row r="13" spans="1:26">
      <c r="A13" s="483">
        <f t="shared" si="2"/>
        <v>7</v>
      </c>
      <c r="B13" s="485">
        <v>18800</v>
      </c>
      <c r="C13" s="473">
        <v>0.70833333333333337</v>
      </c>
      <c r="D13" s="484" t="s">
        <v>99</v>
      </c>
      <c r="E13" s="472" t="s">
        <v>123</v>
      </c>
      <c r="F13" s="486">
        <v>33</v>
      </c>
      <c r="G13" s="486">
        <v>4.3</v>
      </c>
      <c r="H13" s="614">
        <f t="shared" si="3"/>
        <v>8.0624999999999988E-2</v>
      </c>
      <c r="I13" s="1">
        <f t="shared" si="0"/>
        <v>3.4965075614664802</v>
      </c>
      <c r="J13" s="1">
        <f t="shared" si="0"/>
        <v>1.4586150226995167</v>
      </c>
      <c r="K13" s="1">
        <f t="shared" si="1"/>
        <v>-2.5179465038662006</v>
      </c>
    </row>
    <row r="14" spans="1:26">
      <c r="A14" s="483">
        <f t="shared" si="2"/>
        <v>8</v>
      </c>
      <c r="B14" s="485">
        <v>19191</v>
      </c>
      <c r="C14" s="473">
        <v>0.72916666666666663</v>
      </c>
      <c r="D14" s="484" t="s">
        <v>101</v>
      </c>
      <c r="E14" s="472" t="s">
        <v>123</v>
      </c>
      <c r="F14" s="486">
        <v>30</v>
      </c>
      <c r="G14" s="486">
        <v>0.1</v>
      </c>
      <c r="H14" s="614">
        <f t="shared" si="3"/>
        <v>1.7045454545454545E-3</v>
      </c>
      <c r="I14" s="1">
        <f t="shared" si="0"/>
        <v>3.4011973816621555</v>
      </c>
      <c r="J14" s="1">
        <f t="shared" si="0"/>
        <v>-2.3025850929940455</v>
      </c>
      <c r="K14" s="1">
        <f t="shared" si="1"/>
        <v>-6.3744567993640882</v>
      </c>
    </row>
    <row r="15" spans="1:26">
      <c r="A15" s="483">
        <f t="shared" si="2"/>
        <v>9</v>
      </c>
      <c r="B15" s="485">
        <v>19532</v>
      </c>
      <c r="C15" s="473">
        <v>0.91666666666666663</v>
      </c>
      <c r="D15" s="484" t="s">
        <v>101</v>
      </c>
      <c r="E15" s="472" t="s">
        <v>123</v>
      </c>
      <c r="F15" s="486">
        <v>300</v>
      </c>
      <c r="G15" s="486">
        <v>1</v>
      </c>
      <c r="H15" s="614">
        <f t="shared" si="3"/>
        <v>0.17045454545454544</v>
      </c>
      <c r="I15" s="1">
        <f t="shared" si="0"/>
        <v>5.7037824746562009</v>
      </c>
      <c r="J15" s="1">
        <f t="shared" si="0"/>
        <v>0</v>
      </c>
      <c r="K15" s="1">
        <f t="shared" si="1"/>
        <v>-1.7692866133759966</v>
      </c>
    </row>
    <row r="16" spans="1:26">
      <c r="A16" s="483">
        <f t="shared" si="2"/>
        <v>10</v>
      </c>
      <c r="B16" s="485">
        <v>19866</v>
      </c>
      <c r="C16" s="473">
        <v>0.875</v>
      </c>
      <c r="D16" s="484" t="s">
        <v>111</v>
      </c>
      <c r="E16" s="472" t="s">
        <v>123</v>
      </c>
      <c r="F16" s="486">
        <v>10</v>
      </c>
      <c r="G16" s="486">
        <v>0.1</v>
      </c>
      <c r="H16" s="614">
        <f t="shared" si="3"/>
        <v>5.6818181818181826E-4</v>
      </c>
      <c r="I16" s="1">
        <f t="shared" si="0"/>
        <v>2.3025850929940459</v>
      </c>
      <c r="J16" s="1">
        <f t="shared" si="0"/>
        <v>-2.3025850929940455</v>
      </c>
      <c r="K16" s="1">
        <f t="shared" si="1"/>
        <v>-7.4730690880321973</v>
      </c>
    </row>
    <row r="17" spans="1:11">
      <c r="A17" s="483">
        <f t="shared" si="2"/>
        <v>11</v>
      </c>
      <c r="B17" s="485">
        <v>20256</v>
      </c>
      <c r="C17" s="473">
        <v>0.64583333333333337</v>
      </c>
      <c r="D17" s="484" t="s">
        <v>114</v>
      </c>
      <c r="E17" s="472" t="s">
        <v>123</v>
      </c>
      <c r="F17" s="486">
        <v>17</v>
      </c>
      <c r="G17" s="486">
        <v>1</v>
      </c>
      <c r="H17" s="614">
        <f t="shared" si="3"/>
        <v>9.6590909090909088E-3</v>
      </c>
      <c r="I17" s="1">
        <f t="shared" si="0"/>
        <v>2.8332133440562162</v>
      </c>
      <c r="J17" s="1">
        <f t="shared" si="0"/>
        <v>0</v>
      </c>
      <c r="K17" s="1">
        <f t="shared" si="1"/>
        <v>-4.6398557439759811</v>
      </c>
    </row>
    <row r="18" spans="1:11">
      <c r="A18" s="483">
        <f t="shared" si="2"/>
        <v>12</v>
      </c>
      <c r="B18" s="485">
        <v>20256</v>
      </c>
      <c r="C18" s="473">
        <v>0.70833333333333337</v>
      </c>
      <c r="D18" s="484" t="s">
        <v>111</v>
      </c>
      <c r="E18" s="472" t="s">
        <v>123</v>
      </c>
      <c r="F18" s="486">
        <v>1320</v>
      </c>
      <c r="G18" s="486">
        <v>3.8</v>
      </c>
      <c r="H18" s="614">
        <f t="shared" si="3"/>
        <v>2.8499999999999996</v>
      </c>
      <c r="I18" s="1">
        <f t="shared" si="0"/>
        <v>7.1853870155804165</v>
      </c>
      <c r="J18" s="1">
        <f t="shared" si="0"/>
        <v>1.33500106673234</v>
      </c>
      <c r="K18" s="1">
        <f t="shared" si="1"/>
        <v>1.047318994280559</v>
      </c>
    </row>
    <row r="19" spans="1:11">
      <c r="A19" s="483">
        <f t="shared" si="2"/>
        <v>13</v>
      </c>
      <c r="B19" s="485">
        <v>20629</v>
      </c>
      <c r="C19" s="473">
        <v>0.83333333333333337</v>
      </c>
      <c r="D19" s="484" t="s">
        <v>100</v>
      </c>
      <c r="E19" s="472" t="s">
        <v>123</v>
      </c>
      <c r="F19" s="486">
        <v>50</v>
      </c>
      <c r="G19" s="486">
        <v>2</v>
      </c>
      <c r="H19" s="614">
        <f t="shared" si="3"/>
        <v>5.6818181818181816E-2</v>
      </c>
      <c r="I19" s="1">
        <f t="shared" si="0"/>
        <v>3.912023005428146</v>
      </c>
      <c r="J19" s="1">
        <f t="shared" si="0"/>
        <v>0.69314718055994529</v>
      </c>
      <c r="K19" s="1">
        <f t="shared" si="1"/>
        <v>-2.8678989020441059</v>
      </c>
    </row>
    <row r="20" spans="1:11">
      <c r="A20" s="483">
        <f t="shared" si="2"/>
        <v>14</v>
      </c>
      <c r="B20" s="485">
        <v>20951</v>
      </c>
      <c r="C20" s="473">
        <v>0.71875</v>
      </c>
      <c r="D20" s="484" t="s">
        <v>107</v>
      </c>
      <c r="E20" s="472" t="s">
        <v>123</v>
      </c>
      <c r="F20" s="486">
        <v>33</v>
      </c>
      <c r="G20" s="486">
        <v>7.4</v>
      </c>
      <c r="H20" s="614">
        <f t="shared" si="3"/>
        <v>0.13875000000000001</v>
      </c>
      <c r="I20" s="1">
        <f t="shared" si="0"/>
        <v>3.4965075614664802</v>
      </c>
      <c r="J20" s="1">
        <f t="shared" si="0"/>
        <v>2.0014800002101243</v>
      </c>
      <c r="K20" s="1">
        <f t="shared" si="1"/>
        <v>-1.975081526355593</v>
      </c>
    </row>
    <row r="21" spans="1:11">
      <c r="A21" s="483">
        <f t="shared" si="2"/>
        <v>15</v>
      </c>
      <c r="B21" s="485">
        <v>20955</v>
      </c>
      <c r="C21" s="473">
        <v>0.64583333333333337</v>
      </c>
      <c r="D21" s="484" t="s">
        <v>115</v>
      </c>
      <c r="E21" s="472" t="s">
        <v>123</v>
      </c>
      <c r="F21" s="486">
        <v>33</v>
      </c>
      <c r="G21" s="486">
        <v>8</v>
      </c>
      <c r="H21" s="614">
        <f t="shared" si="3"/>
        <v>0.15</v>
      </c>
      <c r="I21" s="1">
        <f t="shared" si="0"/>
        <v>3.4965075614664802</v>
      </c>
      <c r="J21" s="1">
        <f t="shared" si="0"/>
        <v>2.0794415416798357</v>
      </c>
      <c r="K21" s="1">
        <f t="shared" si="1"/>
        <v>-1.8971199848858813</v>
      </c>
    </row>
    <row r="22" spans="1:11">
      <c r="A22" s="483">
        <f t="shared" si="2"/>
        <v>16</v>
      </c>
      <c r="B22" s="485">
        <v>20955</v>
      </c>
      <c r="C22" s="473">
        <v>0.72222222222222221</v>
      </c>
      <c r="D22" s="484" t="s">
        <v>115</v>
      </c>
      <c r="E22" s="472" t="s">
        <v>123</v>
      </c>
      <c r="F22" s="486">
        <v>10</v>
      </c>
      <c r="G22" s="486">
        <v>0.1</v>
      </c>
      <c r="H22" s="614">
        <f t="shared" si="3"/>
        <v>5.6818181818181826E-4</v>
      </c>
      <c r="I22" s="1">
        <f t="shared" si="0"/>
        <v>2.3025850929940459</v>
      </c>
      <c r="J22" s="1">
        <f t="shared" si="0"/>
        <v>-2.3025850929940455</v>
      </c>
      <c r="K22" s="1">
        <f t="shared" si="1"/>
        <v>-7.4730690880321973</v>
      </c>
    </row>
    <row r="23" spans="1:11">
      <c r="A23" s="483">
        <f t="shared" si="2"/>
        <v>17</v>
      </c>
      <c r="B23" s="485">
        <v>21352</v>
      </c>
      <c r="C23" s="473">
        <v>0.73958333333333337</v>
      </c>
      <c r="D23" s="484" t="s">
        <v>117</v>
      </c>
      <c r="E23" s="472" t="s">
        <v>123</v>
      </c>
      <c r="F23" s="486">
        <v>50</v>
      </c>
      <c r="G23" s="486">
        <v>3.3</v>
      </c>
      <c r="H23" s="614">
        <f t="shared" si="3"/>
        <v>9.3749999999999986E-2</v>
      </c>
      <c r="I23" s="1">
        <f t="shared" si="0"/>
        <v>3.912023005428146</v>
      </c>
      <c r="J23" s="1">
        <f t="shared" si="0"/>
        <v>1.1939224684724346</v>
      </c>
      <c r="K23" s="1">
        <f t="shared" si="1"/>
        <v>-2.367123614131617</v>
      </c>
    </row>
    <row r="24" spans="1:11">
      <c r="A24" s="483">
        <f t="shared" si="2"/>
        <v>18</v>
      </c>
      <c r="B24" s="485">
        <v>21356</v>
      </c>
      <c r="C24" s="473">
        <v>5.2083333333333336E-2</v>
      </c>
      <c r="D24" s="484" t="s">
        <v>109</v>
      </c>
      <c r="E24" s="472" t="s">
        <v>123</v>
      </c>
      <c r="F24" s="486">
        <v>150</v>
      </c>
      <c r="G24" s="486">
        <v>0.3</v>
      </c>
      <c r="H24" s="614">
        <f t="shared" si="3"/>
        <v>2.5568181818181816E-2</v>
      </c>
      <c r="I24" s="1">
        <f t="shared" si="0"/>
        <v>5.0106352940962555</v>
      </c>
      <c r="J24" s="1">
        <f t="shared" si="0"/>
        <v>-1.2039728043259361</v>
      </c>
      <c r="K24" s="1">
        <f t="shared" si="1"/>
        <v>-3.6664065982618776</v>
      </c>
    </row>
    <row r="25" spans="1:11">
      <c r="A25" s="483">
        <f t="shared" si="2"/>
        <v>19</v>
      </c>
      <c r="B25" s="485">
        <v>21359</v>
      </c>
      <c r="C25" s="473">
        <v>0.29166666666666669</v>
      </c>
      <c r="D25" s="484" t="s">
        <v>115</v>
      </c>
      <c r="E25" s="472" t="s">
        <v>123</v>
      </c>
      <c r="F25" s="486">
        <v>17</v>
      </c>
      <c r="G25" s="486">
        <v>1</v>
      </c>
      <c r="H25" s="614">
        <f t="shared" si="3"/>
        <v>9.6590909090909088E-3</v>
      </c>
      <c r="I25" s="1">
        <f t="shared" si="0"/>
        <v>2.8332133440562162</v>
      </c>
      <c r="J25" s="1">
        <f t="shared" si="0"/>
        <v>0</v>
      </c>
      <c r="K25" s="1">
        <f t="shared" si="1"/>
        <v>-4.6398557439759811</v>
      </c>
    </row>
    <row r="26" spans="1:11">
      <c r="A26" s="483">
        <f t="shared" si="2"/>
        <v>20</v>
      </c>
      <c r="B26" s="485">
        <v>21367</v>
      </c>
      <c r="C26" s="473">
        <v>0.70833333333333337</v>
      </c>
      <c r="D26" s="484" t="s">
        <v>100</v>
      </c>
      <c r="E26" s="472" t="s">
        <v>123</v>
      </c>
      <c r="F26" s="486">
        <v>440</v>
      </c>
      <c r="G26" s="486">
        <v>4.9000000000000004</v>
      </c>
      <c r="H26" s="614">
        <f t="shared" si="3"/>
        <v>1.2250000000000001</v>
      </c>
      <c r="I26" s="1">
        <f t="shared" si="0"/>
        <v>6.0867747269123065</v>
      </c>
      <c r="J26" s="1">
        <f t="shared" si="0"/>
        <v>1.589235205116581</v>
      </c>
      <c r="K26" s="1">
        <f t="shared" si="1"/>
        <v>0.20294084399669038</v>
      </c>
    </row>
    <row r="27" spans="1:11">
      <c r="A27" s="483">
        <f t="shared" si="2"/>
        <v>21</v>
      </c>
      <c r="B27" s="485">
        <v>21388</v>
      </c>
      <c r="C27" s="473">
        <v>0.77083333333333337</v>
      </c>
      <c r="D27" s="484" t="s">
        <v>100</v>
      </c>
      <c r="E27" s="472" t="s">
        <v>123</v>
      </c>
      <c r="F27" s="486">
        <v>10</v>
      </c>
      <c r="G27" s="486">
        <v>0.1</v>
      </c>
      <c r="H27" s="614">
        <f t="shared" si="3"/>
        <v>5.6818181818181826E-4</v>
      </c>
      <c r="I27" s="1">
        <f t="shared" si="0"/>
        <v>2.3025850929940459</v>
      </c>
      <c r="J27" s="1">
        <f t="shared" si="0"/>
        <v>-2.3025850929940455</v>
      </c>
      <c r="K27" s="1">
        <f t="shared" si="1"/>
        <v>-7.4730690880321973</v>
      </c>
    </row>
    <row r="28" spans="1:11">
      <c r="A28" s="483">
        <f t="shared" si="2"/>
        <v>22</v>
      </c>
      <c r="B28" s="485">
        <v>21391</v>
      </c>
      <c r="C28" s="473">
        <v>6.9444444444444434E-2</v>
      </c>
      <c r="D28" s="484" t="s">
        <v>107</v>
      </c>
      <c r="E28" s="472" t="s">
        <v>123</v>
      </c>
      <c r="F28" s="486">
        <v>10</v>
      </c>
      <c r="G28" s="486">
        <v>0.1</v>
      </c>
      <c r="H28" s="614">
        <f t="shared" si="3"/>
        <v>5.6818181818181826E-4</v>
      </c>
      <c r="I28" s="1">
        <f t="shared" si="0"/>
        <v>2.3025850929940459</v>
      </c>
      <c r="J28" s="1">
        <f t="shared" si="0"/>
        <v>-2.3025850929940455</v>
      </c>
      <c r="K28" s="1">
        <f t="shared" si="1"/>
        <v>-7.4730690880321973</v>
      </c>
    </row>
    <row r="29" spans="1:11">
      <c r="A29" s="483">
        <f t="shared" si="2"/>
        <v>23</v>
      </c>
      <c r="B29" s="485">
        <v>21435</v>
      </c>
      <c r="C29" s="473">
        <v>0.66666666666666663</v>
      </c>
      <c r="D29" s="484" t="s">
        <v>100</v>
      </c>
      <c r="E29" s="472" t="s">
        <v>123</v>
      </c>
      <c r="F29" s="486">
        <v>100</v>
      </c>
      <c r="G29" s="486">
        <v>3.6</v>
      </c>
      <c r="H29" s="614">
        <f t="shared" si="3"/>
        <v>0.20454545454545453</v>
      </c>
      <c r="I29" s="1">
        <f t="shared" si="0"/>
        <v>4.6051701859880918</v>
      </c>
      <c r="J29" s="1">
        <f t="shared" si="0"/>
        <v>1.2809338454620642</v>
      </c>
      <c r="K29" s="1">
        <f t="shared" si="1"/>
        <v>-1.5869650565820419</v>
      </c>
    </row>
    <row r="30" spans="1:11">
      <c r="A30" s="483">
        <f t="shared" si="2"/>
        <v>24</v>
      </c>
      <c r="B30" s="485">
        <v>21678</v>
      </c>
      <c r="C30" s="473">
        <v>0.66666666666666663</v>
      </c>
      <c r="D30" s="484" t="s">
        <v>109</v>
      </c>
      <c r="E30" s="472" t="s">
        <v>123</v>
      </c>
      <c r="F30" s="486">
        <v>13</v>
      </c>
      <c r="G30" s="486">
        <v>0.2</v>
      </c>
      <c r="H30" s="614">
        <f t="shared" si="3"/>
        <v>1.4772727272727272E-3</v>
      </c>
      <c r="I30" s="1">
        <f t="shared" si="0"/>
        <v>2.5649493574615367</v>
      </c>
      <c r="J30" s="1">
        <f t="shared" si="0"/>
        <v>-1.6094379124341003</v>
      </c>
      <c r="K30" s="1">
        <f t="shared" si="1"/>
        <v>-6.5175576430047615</v>
      </c>
    </row>
    <row r="31" spans="1:11">
      <c r="A31" s="483">
        <f t="shared" si="2"/>
        <v>25</v>
      </c>
      <c r="B31" s="485">
        <v>21687</v>
      </c>
      <c r="C31" s="473">
        <v>0.67291666666666661</v>
      </c>
      <c r="D31" s="484" t="s">
        <v>109</v>
      </c>
      <c r="E31" s="472" t="s">
        <v>123</v>
      </c>
      <c r="F31" s="486">
        <v>100</v>
      </c>
      <c r="G31" s="486">
        <v>0.1</v>
      </c>
      <c r="H31" s="614">
        <f t="shared" si="3"/>
        <v>5.681818181818182E-3</v>
      </c>
      <c r="I31" s="1">
        <f t="shared" si="0"/>
        <v>4.6051701859880918</v>
      </c>
      <c r="J31" s="1">
        <f t="shared" si="0"/>
        <v>-2.3025850929940455</v>
      </c>
      <c r="K31" s="1">
        <f t="shared" si="1"/>
        <v>-5.1704839950381514</v>
      </c>
    </row>
    <row r="32" spans="1:11">
      <c r="A32" s="483">
        <f t="shared" si="2"/>
        <v>26</v>
      </c>
      <c r="B32" s="485">
        <v>21741</v>
      </c>
      <c r="C32" s="473">
        <v>0.72916666666666663</v>
      </c>
      <c r="D32" s="484" t="s">
        <v>109</v>
      </c>
      <c r="E32" s="472" t="s">
        <v>123</v>
      </c>
      <c r="F32" s="486">
        <v>33</v>
      </c>
      <c r="G32" s="486">
        <v>0.5</v>
      </c>
      <c r="H32" s="614">
        <f t="shared" si="3"/>
        <v>9.3749999999999997E-3</v>
      </c>
      <c r="I32" s="1">
        <f t="shared" si="0"/>
        <v>3.4965075614664802</v>
      </c>
      <c r="J32" s="1">
        <f t="shared" si="0"/>
        <v>-0.69314718055994529</v>
      </c>
      <c r="K32" s="1">
        <f t="shared" si="1"/>
        <v>-4.6697087071256629</v>
      </c>
    </row>
    <row r="33" spans="1:11">
      <c r="A33" s="483">
        <f t="shared" si="2"/>
        <v>27</v>
      </c>
      <c r="B33" s="485">
        <v>21745</v>
      </c>
      <c r="C33" s="473">
        <v>0.80208333333333337</v>
      </c>
      <c r="D33" s="484" t="s">
        <v>108</v>
      </c>
      <c r="E33" s="472" t="s">
        <v>123</v>
      </c>
      <c r="F33" s="486">
        <v>500</v>
      </c>
      <c r="G33" s="486">
        <v>10.9</v>
      </c>
      <c r="H33" s="614">
        <f t="shared" si="3"/>
        <v>3.0965909090909096</v>
      </c>
      <c r="I33" s="1">
        <f t="shared" si="0"/>
        <v>6.2146080984221914</v>
      </c>
      <c r="J33" s="1">
        <f t="shared" si="0"/>
        <v>2.388762789235098</v>
      </c>
      <c r="K33" s="1">
        <f t="shared" si="1"/>
        <v>1.1303017996250924</v>
      </c>
    </row>
    <row r="34" spans="1:11">
      <c r="A34" s="483">
        <f t="shared" si="2"/>
        <v>28</v>
      </c>
      <c r="B34" s="485">
        <v>22018</v>
      </c>
      <c r="C34" s="473">
        <v>0.77083333333333337</v>
      </c>
      <c r="D34" s="484" t="s">
        <v>99</v>
      </c>
      <c r="E34" s="472" t="s">
        <v>123</v>
      </c>
      <c r="F34" s="486">
        <v>300</v>
      </c>
      <c r="G34" s="486">
        <v>0.2</v>
      </c>
      <c r="H34" s="614">
        <f t="shared" si="3"/>
        <v>3.4090909090909088E-2</v>
      </c>
      <c r="I34" s="1">
        <f t="shared" si="0"/>
        <v>5.7037824746562009</v>
      </c>
      <c r="J34" s="1">
        <f t="shared" si="0"/>
        <v>-1.6094379124341003</v>
      </c>
      <c r="K34" s="1">
        <f t="shared" si="1"/>
        <v>-3.3787245258100969</v>
      </c>
    </row>
    <row r="35" spans="1:11">
      <c r="A35" s="483">
        <f t="shared" si="2"/>
        <v>29</v>
      </c>
      <c r="B35" s="485">
        <v>22064</v>
      </c>
      <c r="C35" s="473">
        <v>0.67013888888888884</v>
      </c>
      <c r="D35" s="484" t="s">
        <v>118</v>
      </c>
      <c r="E35" s="472" t="s">
        <v>123</v>
      </c>
      <c r="F35" s="486">
        <v>33</v>
      </c>
      <c r="G35" s="486">
        <v>1.3</v>
      </c>
      <c r="H35" s="614">
        <f t="shared" si="3"/>
        <v>2.4375000000000001E-2</v>
      </c>
      <c r="I35" s="1">
        <f t="shared" si="0"/>
        <v>3.4965075614664802</v>
      </c>
      <c r="J35" s="1">
        <f t="shared" si="0"/>
        <v>0.26236426446749106</v>
      </c>
      <c r="K35" s="1">
        <f t="shared" si="1"/>
        <v>-3.7141972620982262</v>
      </c>
    </row>
    <row r="36" spans="1:11">
      <c r="A36" s="483">
        <f t="shared" si="2"/>
        <v>30</v>
      </c>
      <c r="B36" s="485">
        <v>22076</v>
      </c>
      <c r="C36" s="473">
        <v>0.81597222222222221</v>
      </c>
      <c r="D36" s="484" t="s">
        <v>113</v>
      </c>
      <c r="E36" s="472" t="s">
        <v>123</v>
      </c>
      <c r="F36" s="486">
        <v>33</v>
      </c>
      <c r="G36" s="486">
        <v>1</v>
      </c>
      <c r="H36" s="614">
        <f t="shared" si="3"/>
        <v>1.8749999999999999E-2</v>
      </c>
      <c r="I36" s="1">
        <f t="shared" si="0"/>
        <v>3.4965075614664802</v>
      </c>
      <c r="J36" s="1">
        <f t="shared" si="0"/>
        <v>0</v>
      </c>
      <c r="K36" s="1">
        <f t="shared" si="1"/>
        <v>-3.9765615265657175</v>
      </c>
    </row>
    <row r="37" spans="1:11">
      <c r="A37" s="483">
        <f t="shared" si="2"/>
        <v>31</v>
      </c>
      <c r="B37" s="485">
        <v>22082</v>
      </c>
      <c r="C37" s="473">
        <v>4.1666666666666664E-2</v>
      </c>
      <c r="D37" s="484" t="s">
        <v>101</v>
      </c>
      <c r="E37" s="472" t="s">
        <v>123</v>
      </c>
      <c r="F37" s="486">
        <v>10</v>
      </c>
      <c r="G37" s="486">
        <v>0.1</v>
      </c>
      <c r="H37" s="614">
        <f t="shared" si="3"/>
        <v>5.6818181818181826E-4</v>
      </c>
      <c r="I37" s="1">
        <f t="shared" si="0"/>
        <v>2.3025850929940459</v>
      </c>
      <c r="J37" s="1">
        <f t="shared" si="0"/>
        <v>-2.3025850929940455</v>
      </c>
      <c r="K37" s="1">
        <f t="shared" si="1"/>
        <v>-7.4730690880321973</v>
      </c>
    </row>
    <row r="38" spans="1:11">
      <c r="A38" s="483">
        <f t="shared" si="2"/>
        <v>32</v>
      </c>
      <c r="B38" s="485">
        <v>22082</v>
      </c>
      <c r="C38" s="473">
        <v>0.74305555555555547</v>
      </c>
      <c r="D38" s="484" t="s">
        <v>105</v>
      </c>
      <c r="E38" s="472" t="s">
        <v>123</v>
      </c>
      <c r="F38" s="486">
        <v>23</v>
      </c>
      <c r="G38" s="486">
        <v>0.4</v>
      </c>
      <c r="H38" s="614">
        <f t="shared" si="3"/>
        <v>5.2272727272727271E-3</v>
      </c>
      <c r="I38" s="1">
        <f t="shared" si="0"/>
        <v>3.1354942159291497</v>
      </c>
      <c r="J38" s="1">
        <f t="shared" si="0"/>
        <v>-0.916290731874155</v>
      </c>
      <c r="K38" s="1">
        <f t="shared" si="1"/>
        <v>-5.2538656039772027</v>
      </c>
    </row>
    <row r="39" spans="1:11">
      <c r="A39" s="483">
        <f t="shared" si="2"/>
        <v>33</v>
      </c>
      <c r="B39" s="485">
        <v>22082</v>
      </c>
      <c r="C39" s="473">
        <v>0.75</v>
      </c>
      <c r="D39" s="484" t="s">
        <v>105</v>
      </c>
      <c r="E39" s="472" t="s">
        <v>123</v>
      </c>
      <c r="F39" s="486">
        <v>27</v>
      </c>
      <c r="G39" s="486">
        <v>0.7</v>
      </c>
      <c r="H39" s="614">
        <f t="shared" si="3"/>
        <v>1.0738636363636363E-2</v>
      </c>
      <c r="I39" s="1">
        <f t="shared" si="0"/>
        <v>3.2958368660043291</v>
      </c>
      <c r="J39" s="1">
        <f t="shared" si="0"/>
        <v>-0.35667494393873245</v>
      </c>
      <c r="K39" s="1">
        <f t="shared" si="1"/>
        <v>-4.5339071659666006</v>
      </c>
    </row>
    <row r="40" spans="1:11">
      <c r="A40" s="483">
        <f t="shared" si="2"/>
        <v>34</v>
      </c>
      <c r="B40" s="485">
        <v>22437</v>
      </c>
      <c r="C40" s="473">
        <v>0.625</v>
      </c>
      <c r="D40" s="484" t="s">
        <v>102</v>
      </c>
      <c r="E40" s="472" t="s">
        <v>123</v>
      </c>
      <c r="F40" s="486">
        <v>500</v>
      </c>
      <c r="G40" s="486">
        <v>23.9</v>
      </c>
      <c r="H40" s="614">
        <f t="shared" si="3"/>
        <v>6.7897727272727275</v>
      </c>
      <c r="I40" s="1">
        <f t="shared" si="0"/>
        <v>6.2146080984221914</v>
      </c>
      <c r="J40" s="1">
        <f t="shared" si="0"/>
        <v>3.1738784589374651</v>
      </c>
      <c r="K40" s="1">
        <f t="shared" si="1"/>
        <v>1.9154174693274593</v>
      </c>
    </row>
    <row r="41" spans="1:11">
      <c r="A41" s="483">
        <f t="shared" si="2"/>
        <v>35</v>
      </c>
      <c r="B41" s="485">
        <v>22437</v>
      </c>
      <c r="C41" s="473">
        <v>0.625</v>
      </c>
      <c r="D41" s="484" t="s">
        <v>102</v>
      </c>
      <c r="E41" s="472" t="s">
        <v>123</v>
      </c>
      <c r="F41" s="486">
        <v>150</v>
      </c>
      <c r="G41" s="486">
        <v>20</v>
      </c>
      <c r="H41" s="614">
        <f t="shared" si="3"/>
        <v>1.7045454545454544</v>
      </c>
      <c r="I41" s="1">
        <f t="shared" si="0"/>
        <v>5.0106352940962555</v>
      </c>
      <c r="J41" s="1">
        <f t="shared" si="0"/>
        <v>2.9957322735539909</v>
      </c>
      <c r="K41" s="1">
        <f t="shared" si="1"/>
        <v>0.53329847961804921</v>
      </c>
    </row>
    <row r="42" spans="1:11">
      <c r="A42" s="483">
        <f t="shared" si="2"/>
        <v>36</v>
      </c>
      <c r="B42" s="485">
        <v>22437</v>
      </c>
      <c r="C42" s="473">
        <v>0.625</v>
      </c>
      <c r="D42" s="484" t="s">
        <v>102</v>
      </c>
      <c r="E42" s="472" t="s">
        <v>123</v>
      </c>
      <c r="F42" s="486">
        <v>33</v>
      </c>
      <c r="G42" s="486">
        <v>12</v>
      </c>
      <c r="H42" s="614">
        <f t="shared" si="3"/>
        <v>0.22499999999999998</v>
      </c>
      <c r="I42" s="1">
        <f t="shared" si="0"/>
        <v>3.4965075614664802</v>
      </c>
      <c r="J42" s="1">
        <f t="shared" si="0"/>
        <v>2.4849066497880004</v>
      </c>
      <c r="K42" s="1">
        <f t="shared" si="1"/>
        <v>-1.4916548767777169</v>
      </c>
    </row>
    <row r="43" spans="1:11">
      <c r="A43" s="483">
        <f t="shared" si="2"/>
        <v>37</v>
      </c>
      <c r="B43" s="485">
        <v>22437</v>
      </c>
      <c r="C43" s="473">
        <v>0.625</v>
      </c>
      <c r="D43" s="484" t="s">
        <v>102</v>
      </c>
      <c r="E43" s="472" t="s">
        <v>123</v>
      </c>
      <c r="F43" s="486">
        <v>333</v>
      </c>
      <c r="G43" s="486">
        <v>21.8</v>
      </c>
      <c r="H43" s="614">
        <f t="shared" si="3"/>
        <v>4.1246590909090912</v>
      </c>
      <c r="I43" s="1">
        <f t="shared" si="0"/>
        <v>5.8081424899804439</v>
      </c>
      <c r="J43" s="1">
        <f t="shared" si="0"/>
        <v>3.0819099697950434</v>
      </c>
      <c r="K43" s="1">
        <f t="shared" si="1"/>
        <v>1.4169833717432898</v>
      </c>
    </row>
    <row r="44" spans="1:11">
      <c r="A44" s="483">
        <f t="shared" si="2"/>
        <v>38</v>
      </c>
      <c r="B44" s="485">
        <v>22476</v>
      </c>
      <c r="C44" s="473">
        <v>0.83333333333333337</v>
      </c>
      <c r="D44" s="484" t="s">
        <v>120</v>
      </c>
      <c r="E44" s="472" t="s">
        <v>123</v>
      </c>
      <c r="F44" s="486">
        <v>33</v>
      </c>
      <c r="G44" s="486">
        <v>0.5</v>
      </c>
      <c r="H44" s="614">
        <f t="shared" si="3"/>
        <v>9.3749999999999997E-3</v>
      </c>
      <c r="I44" s="1">
        <f t="shared" si="0"/>
        <v>3.4965075614664802</v>
      </c>
      <c r="J44" s="1">
        <f t="shared" si="0"/>
        <v>-0.69314718055994529</v>
      </c>
      <c r="K44" s="1">
        <f t="shared" si="1"/>
        <v>-4.6697087071256629</v>
      </c>
    </row>
    <row r="45" spans="1:11">
      <c r="A45" s="483">
        <f t="shared" si="2"/>
        <v>39</v>
      </c>
      <c r="B45" s="485">
        <v>22793</v>
      </c>
      <c r="C45" s="473">
        <v>0.6875</v>
      </c>
      <c r="D45" s="484" t="s">
        <v>104</v>
      </c>
      <c r="E45" s="472" t="s">
        <v>123</v>
      </c>
      <c r="F45" s="486">
        <v>50</v>
      </c>
      <c r="G45" s="486">
        <v>4.5</v>
      </c>
      <c r="H45" s="614">
        <f t="shared" si="3"/>
        <v>0.12784090909090909</v>
      </c>
      <c r="I45" s="1">
        <f t="shared" si="0"/>
        <v>3.912023005428146</v>
      </c>
      <c r="J45" s="1">
        <f t="shared" si="0"/>
        <v>1.5040773967762742</v>
      </c>
      <c r="K45" s="1">
        <f t="shared" si="1"/>
        <v>-2.0569686858277771</v>
      </c>
    </row>
    <row r="46" spans="1:11">
      <c r="A46" s="483">
        <f t="shared" si="2"/>
        <v>40</v>
      </c>
      <c r="B46" s="485">
        <v>22793</v>
      </c>
      <c r="C46" s="473">
        <v>0.6875</v>
      </c>
      <c r="D46" s="484" t="s">
        <v>106</v>
      </c>
      <c r="E46" s="472" t="s">
        <v>123</v>
      </c>
      <c r="F46" s="486">
        <v>10</v>
      </c>
      <c r="G46" s="486">
        <v>0.1</v>
      </c>
      <c r="H46" s="614">
        <f t="shared" si="3"/>
        <v>5.6818181818181826E-4</v>
      </c>
      <c r="I46" s="1">
        <f t="shared" si="0"/>
        <v>2.3025850929940459</v>
      </c>
      <c r="J46" s="1">
        <f t="shared" si="0"/>
        <v>-2.3025850929940455</v>
      </c>
      <c r="K46" s="1">
        <f t="shared" si="1"/>
        <v>-7.4730690880321973</v>
      </c>
    </row>
    <row r="47" spans="1:11">
      <c r="A47" s="483">
        <f t="shared" si="2"/>
        <v>41</v>
      </c>
      <c r="B47" s="485">
        <v>22793</v>
      </c>
      <c r="C47" s="473">
        <v>0.72916666666666663</v>
      </c>
      <c r="D47" s="484" t="s">
        <v>105</v>
      </c>
      <c r="E47" s="472" t="s">
        <v>123</v>
      </c>
      <c r="F47" s="486">
        <v>50</v>
      </c>
      <c r="G47" s="486">
        <v>1.5</v>
      </c>
      <c r="H47" s="614">
        <f t="shared" si="3"/>
        <v>4.261363636363636E-2</v>
      </c>
      <c r="I47" s="1">
        <f t="shared" si="0"/>
        <v>3.912023005428146</v>
      </c>
      <c r="J47" s="1">
        <f t="shared" si="0"/>
        <v>0.40546510810816438</v>
      </c>
      <c r="K47" s="1">
        <f t="shared" si="1"/>
        <v>-3.1555809744958871</v>
      </c>
    </row>
    <row r="48" spans="1:11">
      <c r="A48" s="483">
        <f t="shared" si="2"/>
        <v>42</v>
      </c>
      <c r="B48" s="485">
        <v>22800</v>
      </c>
      <c r="C48" s="473">
        <v>0.66666666666666663</v>
      </c>
      <c r="D48" s="484" t="s">
        <v>105</v>
      </c>
      <c r="E48" s="472" t="s">
        <v>123</v>
      </c>
      <c r="F48" s="486">
        <v>10</v>
      </c>
      <c r="G48" s="486">
        <v>0.1</v>
      </c>
      <c r="H48" s="614">
        <f t="shared" si="3"/>
        <v>5.6818181818181826E-4</v>
      </c>
      <c r="I48" s="1">
        <f t="shared" si="0"/>
        <v>2.3025850929940459</v>
      </c>
      <c r="J48" s="1">
        <f t="shared" si="0"/>
        <v>-2.3025850929940455</v>
      </c>
      <c r="K48" s="1">
        <f t="shared" si="1"/>
        <v>-7.4730690880321973</v>
      </c>
    </row>
    <row r="49" spans="1:11">
      <c r="A49" s="483">
        <f t="shared" si="2"/>
        <v>43</v>
      </c>
      <c r="B49" s="485">
        <v>22803</v>
      </c>
      <c r="C49" s="473">
        <v>0.70833333333333337</v>
      </c>
      <c r="D49" s="484" t="s">
        <v>104</v>
      </c>
      <c r="E49" s="472" t="s">
        <v>123</v>
      </c>
      <c r="F49" s="486">
        <v>1320</v>
      </c>
      <c r="G49" s="486">
        <v>2.5</v>
      </c>
      <c r="H49" s="614">
        <f t="shared" si="3"/>
        <v>1.875</v>
      </c>
      <c r="I49" s="1">
        <f t="shared" si="0"/>
        <v>7.1853870155804165</v>
      </c>
      <c r="J49" s="1">
        <f t="shared" si="0"/>
        <v>0.91629073187415511</v>
      </c>
      <c r="K49" s="1">
        <f t="shared" si="1"/>
        <v>0.62860865942237409</v>
      </c>
    </row>
    <row r="50" spans="1:11">
      <c r="A50" s="483">
        <f t="shared" si="2"/>
        <v>44</v>
      </c>
      <c r="B50" s="485">
        <v>22805</v>
      </c>
      <c r="C50" s="473">
        <v>0.77083333333333337</v>
      </c>
      <c r="D50" s="484" t="s">
        <v>100</v>
      </c>
      <c r="E50" s="472" t="s">
        <v>123</v>
      </c>
      <c r="F50" s="486">
        <v>10</v>
      </c>
      <c r="G50" s="486">
        <v>0.1</v>
      </c>
      <c r="H50" s="614">
        <f t="shared" si="3"/>
        <v>5.6818181818181826E-4</v>
      </c>
      <c r="I50" s="1">
        <f t="shared" si="0"/>
        <v>2.3025850929940459</v>
      </c>
      <c r="J50" s="1">
        <f t="shared" si="0"/>
        <v>-2.3025850929940455</v>
      </c>
      <c r="K50" s="1">
        <f t="shared" si="1"/>
        <v>-7.4730690880321973</v>
      </c>
    </row>
    <row r="51" spans="1:11">
      <c r="A51" s="483">
        <f t="shared" si="2"/>
        <v>45</v>
      </c>
      <c r="B51" s="485">
        <v>22805</v>
      </c>
      <c r="C51" s="473">
        <v>0.84027777777777779</v>
      </c>
      <c r="D51" s="484" t="s">
        <v>101</v>
      </c>
      <c r="E51" s="472" t="s">
        <v>123</v>
      </c>
      <c r="F51" s="486">
        <v>10</v>
      </c>
      <c r="G51" s="486">
        <v>0.1</v>
      </c>
      <c r="H51" s="614">
        <f t="shared" si="3"/>
        <v>5.6818181818181826E-4</v>
      </c>
      <c r="I51" s="1">
        <f t="shared" si="0"/>
        <v>2.3025850929940459</v>
      </c>
      <c r="J51" s="1">
        <f t="shared" si="0"/>
        <v>-2.3025850929940455</v>
      </c>
      <c r="K51" s="1">
        <f t="shared" si="1"/>
        <v>-7.4730690880321973</v>
      </c>
    </row>
    <row r="52" spans="1:11">
      <c r="A52" s="483">
        <f t="shared" si="2"/>
        <v>46</v>
      </c>
      <c r="B52" s="485">
        <v>22805</v>
      </c>
      <c r="C52" s="473">
        <v>0.84375</v>
      </c>
      <c r="D52" s="484" t="s">
        <v>101</v>
      </c>
      <c r="E52" s="472" t="s">
        <v>123</v>
      </c>
      <c r="F52" s="486">
        <v>10</v>
      </c>
      <c r="G52" s="486">
        <v>0.1</v>
      </c>
      <c r="H52" s="614">
        <f t="shared" si="3"/>
        <v>5.6818181818181826E-4</v>
      </c>
      <c r="I52" s="1">
        <f t="shared" si="0"/>
        <v>2.3025850929940459</v>
      </c>
      <c r="J52" s="1">
        <f t="shared" si="0"/>
        <v>-2.3025850929940455</v>
      </c>
      <c r="K52" s="1">
        <f t="shared" si="1"/>
        <v>-7.4730690880321973</v>
      </c>
    </row>
    <row r="53" spans="1:11">
      <c r="A53" s="483">
        <f t="shared" si="2"/>
        <v>47</v>
      </c>
      <c r="B53" s="485">
        <v>22811</v>
      </c>
      <c r="C53" s="473">
        <v>0.81944444444444453</v>
      </c>
      <c r="D53" s="484" t="s">
        <v>118</v>
      </c>
      <c r="E53" s="472" t="s">
        <v>123</v>
      </c>
      <c r="F53" s="486">
        <v>13</v>
      </c>
      <c r="G53" s="486">
        <v>4.7</v>
      </c>
      <c r="H53" s="614">
        <f t="shared" si="3"/>
        <v>3.4715909090909089E-2</v>
      </c>
      <c r="I53" s="1">
        <f t="shared" si="0"/>
        <v>2.5649493574615367</v>
      </c>
      <c r="J53" s="1">
        <f t="shared" si="0"/>
        <v>1.547562508716013</v>
      </c>
      <c r="K53" s="1">
        <f t="shared" si="1"/>
        <v>-3.360557221854648</v>
      </c>
    </row>
    <row r="54" spans="1:11">
      <c r="A54" s="483">
        <f t="shared" si="2"/>
        <v>48</v>
      </c>
      <c r="B54" s="485">
        <v>22811</v>
      </c>
      <c r="C54" s="473">
        <v>0.83125000000000004</v>
      </c>
      <c r="D54" s="484" t="s">
        <v>118</v>
      </c>
      <c r="E54" s="472" t="s">
        <v>123</v>
      </c>
      <c r="F54" s="486">
        <v>27</v>
      </c>
      <c r="G54" s="486">
        <v>2</v>
      </c>
      <c r="H54" s="614">
        <f t="shared" si="3"/>
        <v>3.0681818181818182E-2</v>
      </c>
      <c r="I54" s="1">
        <f t="shared" si="0"/>
        <v>3.2958368660043291</v>
      </c>
      <c r="J54" s="1">
        <f t="shared" si="0"/>
        <v>0.69314718055994529</v>
      </c>
      <c r="K54" s="1">
        <f t="shared" si="1"/>
        <v>-3.4840850414679232</v>
      </c>
    </row>
    <row r="55" spans="1:11">
      <c r="A55" s="483">
        <f t="shared" si="2"/>
        <v>49</v>
      </c>
      <c r="B55" s="485">
        <v>22811</v>
      </c>
      <c r="C55" s="473">
        <v>0.875</v>
      </c>
      <c r="D55" s="484" t="s">
        <v>113</v>
      </c>
      <c r="E55" s="472" t="s">
        <v>123</v>
      </c>
      <c r="F55" s="486">
        <v>33</v>
      </c>
      <c r="G55" s="486">
        <v>0.5</v>
      </c>
      <c r="H55" s="614">
        <f t="shared" si="3"/>
        <v>9.3749999999999997E-3</v>
      </c>
      <c r="I55" s="1">
        <f t="shared" si="0"/>
        <v>3.4965075614664802</v>
      </c>
      <c r="J55" s="1">
        <f t="shared" si="0"/>
        <v>-0.69314718055994529</v>
      </c>
      <c r="K55" s="1">
        <f t="shared" si="1"/>
        <v>-4.6697087071256629</v>
      </c>
    </row>
    <row r="56" spans="1:11">
      <c r="A56" s="483">
        <f t="shared" si="2"/>
        <v>50</v>
      </c>
      <c r="B56" s="485">
        <v>22888</v>
      </c>
      <c r="C56" s="473">
        <v>0.79166666666666663</v>
      </c>
      <c r="D56" s="484" t="s">
        <v>99</v>
      </c>
      <c r="E56" s="472" t="s">
        <v>123</v>
      </c>
      <c r="F56" s="486">
        <v>10</v>
      </c>
      <c r="G56" s="486">
        <v>0.1</v>
      </c>
      <c r="H56" s="614">
        <f t="shared" si="3"/>
        <v>5.6818181818181826E-4</v>
      </c>
      <c r="I56" s="1">
        <f t="shared" si="0"/>
        <v>2.3025850929940459</v>
      </c>
      <c r="J56" s="1">
        <f t="shared" si="0"/>
        <v>-2.3025850929940455</v>
      </c>
      <c r="K56" s="1">
        <f t="shared" si="1"/>
        <v>-7.4730690880321973</v>
      </c>
    </row>
    <row r="57" spans="1:11">
      <c r="A57" s="483">
        <f t="shared" si="2"/>
        <v>51</v>
      </c>
      <c r="B57" s="485">
        <v>23177</v>
      </c>
      <c r="C57" s="473">
        <v>0.97916666666666663</v>
      </c>
      <c r="D57" s="484" t="s">
        <v>100</v>
      </c>
      <c r="E57" s="472" t="s">
        <v>123</v>
      </c>
      <c r="F57" s="486">
        <v>10</v>
      </c>
      <c r="G57" s="486">
        <v>0.1</v>
      </c>
      <c r="H57" s="614">
        <f t="shared" si="3"/>
        <v>5.6818181818181826E-4</v>
      </c>
      <c r="I57" s="1">
        <f t="shared" si="0"/>
        <v>2.3025850929940459</v>
      </c>
      <c r="J57" s="1">
        <f t="shared" si="0"/>
        <v>-2.3025850929940455</v>
      </c>
      <c r="K57" s="1">
        <f t="shared" si="1"/>
        <v>-7.4730690880321973</v>
      </c>
    </row>
    <row r="58" spans="1:11">
      <c r="A58" s="483">
        <f t="shared" si="2"/>
        <v>52</v>
      </c>
      <c r="B58" s="485">
        <v>24272</v>
      </c>
      <c r="C58" s="473">
        <v>0.66666666666666663</v>
      </c>
      <c r="D58" s="484" t="s">
        <v>108</v>
      </c>
      <c r="E58" s="472" t="s">
        <v>123</v>
      </c>
      <c r="F58" s="486">
        <v>17</v>
      </c>
      <c r="G58" s="486">
        <v>1</v>
      </c>
      <c r="H58" s="614">
        <f t="shared" si="3"/>
        <v>9.6590909090909088E-3</v>
      </c>
      <c r="I58" s="1">
        <f t="shared" si="0"/>
        <v>2.8332133440562162</v>
      </c>
      <c r="J58" s="1">
        <f t="shared" si="0"/>
        <v>0</v>
      </c>
      <c r="K58" s="1">
        <f t="shared" si="1"/>
        <v>-4.6398557439759811</v>
      </c>
    </row>
    <row r="59" spans="1:11">
      <c r="A59" s="483">
        <f t="shared" si="2"/>
        <v>53</v>
      </c>
      <c r="B59" s="485">
        <v>24337</v>
      </c>
      <c r="C59" s="473">
        <v>0.66666666666666663</v>
      </c>
      <c r="D59" s="484" t="s">
        <v>121</v>
      </c>
      <c r="E59" s="472" t="s">
        <v>123</v>
      </c>
      <c r="F59" s="486">
        <v>33</v>
      </c>
      <c r="G59" s="486">
        <v>2</v>
      </c>
      <c r="H59" s="614">
        <f t="shared" si="3"/>
        <v>3.7499999999999999E-2</v>
      </c>
      <c r="I59" s="1">
        <f t="shared" si="0"/>
        <v>3.4965075614664802</v>
      </c>
      <c r="J59" s="1">
        <f t="shared" si="0"/>
        <v>0.69314718055994529</v>
      </c>
      <c r="K59" s="1">
        <f t="shared" si="1"/>
        <v>-3.2834143460057721</v>
      </c>
    </row>
    <row r="60" spans="1:11">
      <c r="A60" s="483">
        <f t="shared" si="2"/>
        <v>54</v>
      </c>
      <c r="B60" s="485">
        <v>24367</v>
      </c>
      <c r="C60" s="473">
        <v>0.53125</v>
      </c>
      <c r="D60" s="484" t="s">
        <v>113</v>
      </c>
      <c r="E60" s="472" t="s">
        <v>123</v>
      </c>
      <c r="F60" s="486">
        <v>13</v>
      </c>
      <c r="G60" s="486">
        <v>1</v>
      </c>
      <c r="H60" s="614">
        <f t="shared" si="3"/>
        <v>7.3863636363636362E-3</v>
      </c>
      <c r="I60" s="1">
        <f t="shared" si="0"/>
        <v>2.5649493574615367</v>
      </c>
      <c r="J60" s="1">
        <f t="shared" si="0"/>
        <v>0</v>
      </c>
      <c r="K60" s="1">
        <f t="shared" si="1"/>
        <v>-4.908119730570661</v>
      </c>
    </row>
    <row r="61" spans="1:11">
      <c r="A61" s="483">
        <f t="shared" si="2"/>
        <v>55</v>
      </c>
      <c r="B61" s="485">
        <v>24582</v>
      </c>
      <c r="C61" s="473">
        <v>0.78125</v>
      </c>
      <c r="D61" s="484" t="s">
        <v>105</v>
      </c>
      <c r="E61" s="472" t="s">
        <v>123</v>
      </c>
      <c r="F61" s="486">
        <v>100</v>
      </c>
      <c r="G61" s="486">
        <v>0.3</v>
      </c>
      <c r="H61" s="614">
        <f t="shared" si="3"/>
        <v>1.7045454545454544E-2</v>
      </c>
      <c r="I61" s="1">
        <f t="shared" si="0"/>
        <v>4.6051701859880918</v>
      </c>
      <c r="J61" s="1">
        <f t="shared" si="0"/>
        <v>-1.2039728043259361</v>
      </c>
      <c r="K61" s="1">
        <f t="shared" si="1"/>
        <v>-4.0718717063700423</v>
      </c>
    </row>
    <row r="62" spans="1:11">
      <c r="A62" s="483">
        <f t="shared" si="2"/>
        <v>56</v>
      </c>
      <c r="B62" s="485">
        <v>24597</v>
      </c>
      <c r="C62" s="473">
        <v>0.69791666666666663</v>
      </c>
      <c r="D62" s="484" t="s">
        <v>115</v>
      </c>
      <c r="E62" s="472" t="s">
        <v>123</v>
      </c>
      <c r="F62" s="486">
        <v>33</v>
      </c>
      <c r="G62" s="486">
        <v>0.1</v>
      </c>
      <c r="H62" s="614">
        <f t="shared" si="3"/>
        <v>1.8749999999999999E-3</v>
      </c>
      <c r="I62" s="1">
        <f t="shared" si="0"/>
        <v>3.4965075614664802</v>
      </c>
      <c r="J62" s="1">
        <f t="shared" si="0"/>
        <v>-2.3025850929940455</v>
      </c>
      <c r="K62" s="1">
        <f t="shared" si="1"/>
        <v>-6.2791466195597634</v>
      </c>
    </row>
    <row r="63" spans="1:11">
      <c r="A63" s="483">
        <f t="shared" si="2"/>
        <v>57</v>
      </c>
      <c r="B63" s="485">
        <v>24623</v>
      </c>
      <c r="C63" s="473">
        <v>0.88194444444444453</v>
      </c>
      <c r="D63" s="484" t="s">
        <v>101</v>
      </c>
      <c r="E63" s="472" t="s">
        <v>123</v>
      </c>
      <c r="F63" s="486">
        <v>440</v>
      </c>
      <c r="G63" s="486">
        <v>0.8</v>
      </c>
      <c r="H63" s="614">
        <f t="shared" si="3"/>
        <v>0.2</v>
      </c>
      <c r="I63" s="1">
        <f t="shared" si="0"/>
        <v>6.0867747269123065</v>
      </c>
      <c r="J63" s="1">
        <f t="shared" si="0"/>
        <v>-0.22314355131420971</v>
      </c>
      <c r="K63" s="1">
        <f t="shared" si="1"/>
        <v>-1.6094379124341003</v>
      </c>
    </row>
    <row r="64" spans="1:11">
      <c r="A64" s="483">
        <f t="shared" si="2"/>
        <v>58</v>
      </c>
      <c r="B64" s="485">
        <v>24632</v>
      </c>
      <c r="C64" s="473">
        <v>0.70833333333333337</v>
      </c>
      <c r="D64" s="484" t="s">
        <v>106</v>
      </c>
      <c r="E64" s="472" t="s">
        <v>123</v>
      </c>
      <c r="F64" s="486">
        <v>37</v>
      </c>
      <c r="G64" s="486">
        <v>2</v>
      </c>
      <c r="H64" s="614">
        <f t="shared" si="3"/>
        <v>4.2045454545454546E-2</v>
      </c>
      <c r="I64" s="1">
        <f t="shared" si="0"/>
        <v>3.6109179126442243</v>
      </c>
      <c r="J64" s="1">
        <f t="shared" si="0"/>
        <v>0.69314718055994529</v>
      </c>
      <c r="K64" s="1">
        <f t="shared" si="1"/>
        <v>-3.1690039948280275</v>
      </c>
    </row>
    <row r="65" spans="1:11">
      <c r="A65" s="483">
        <f t="shared" si="2"/>
        <v>59</v>
      </c>
      <c r="B65" s="485">
        <v>24638</v>
      </c>
      <c r="C65" s="473">
        <v>0.34375</v>
      </c>
      <c r="D65" s="484" t="s">
        <v>108</v>
      </c>
      <c r="E65" s="472" t="s">
        <v>123</v>
      </c>
      <c r="F65" s="486">
        <v>33</v>
      </c>
      <c r="G65" s="486">
        <v>43.2</v>
      </c>
      <c r="H65" s="614">
        <f t="shared" si="3"/>
        <v>0.81</v>
      </c>
      <c r="I65" s="1">
        <f t="shared" si="0"/>
        <v>3.4965075614664802</v>
      </c>
      <c r="J65" s="1">
        <f t="shared" si="0"/>
        <v>3.7658404952500648</v>
      </c>
      <c r="K65" s="1">
        <f t="shared" si="1"/>
        <v>-0.21072103131565253</v>
      </c>
    </row>
    <row r="66" spans="1:11">
      <c r="A66" s="483">
        <f t="shared" si="2"/>
        <v>60</v>
      </c>
      <c r="B66" s="485">
        <v>24651</v>
      </c>
      <c r="C66" s="473">
        <v>0.66666666666666663</v>
      </c>
      <c r="D66" s="484" t="s">
        <v>104</v>
      </c>
      <c r="E66" s="472" t="s">
        <v>123</v>
      </c>
      <c r="F66" s="486">
        <v>100</v>
      </c>
      <c r="G66" s="486">
        <v>1</v>
      </c>
      <c r="H66" s="614">
        <f t="shared" si="3"/>
        <v>5.6818181818181816E-2</v>
      </c>
      <c r="I66" s="1">
        <f t="shared" si="0"/>
        <v>4.6051701859880918</v>
      </c>
      <c r="J66" s="1">
        <f t="shared" si="0"/>
        <v>0</v>
      </c>
      <c r="K66" s="1">
        <f t="shared" si="1"/>
        <v>-2.8678989020441059</v>
      </c>
    </row>
    <row r="67" spans="1:11">
      <c r="A67" s="483">
        <f t="shared" si="2"/>
        <v>61</v>
      </c>
      <c r="B67" s="485">
        <v>24998</v>
      </c>
      <c r="C67" s="473">
        <v>0.5625</v>
      </c>
      <c r="D67" s="484" t="s">
        <v>111</v>
      </c>
      <c r="E67" s="472" t="s">
        <v>123</v>
      </c>
      <c r="F67" s="486">
        <v>100</v>
      </c>
      <c r="G67" s="486">
        <v>0.1</v>
      </c>
      <c r="H67" s="614">
        <f t="shared" si="3"/>
        <v>5.681818181818182E-3</v>
      </c>
      <c r="I67" s="1">
        <f t="shared" si="0"/>
        <v>4.6051701859880918</v>
      </c>
      <c r="J67" s="1">
        <f t="shared" si="0"/>
        <v>-2.3025850929940455</v>
      </c>
      <c r="K67" s="1">
        <f t="shared" si="1"/>
        <v>-5.1704839950381514</v>
      </c>
    </row>
    <row r="68" spans="1:11">
      <c r="A68" s="483">
        <f t="shared" si="2"/>
        <v>62</v>
      </c>
      <c r="B68" s="485">
        <v>25064</v>
      </c>
      <c r="C68" s="473">
        <v>0.58333333333333337</v>
      </c>
      <c r="D68" s="484" t="s">
        <v>107</v>
      </c>
      <c r="E68" s="472" t="s">
        <v>123</v>
      </c>
      <c r="F68" s="486">
        <v>17</v>
      </c>
      <c r="G68" s="486">
        <v>1</v>
      </c>
      <c r="H68" s="614">
        <f t="shared" si="3"/>
        <v>9.6590909090909088E-3</v>
      </c>
      <c r="I68" s="1">
        <f t="shared" si="0"/>
        <v>2.8332133440562162</v>
      </c>
      <c r="J68" s="1">
        <f t="shared" si="0"/>
        <v>0</v>
      </c>
      <c r="K68" s="1">
        <f t="shared" si="1"/>
        <v>-4.6398557439759811</v>
      </c>
    </row>
    <row r="69" spans="1:11">
      <c r="A69" s="483">
        <f t="shared" si="2"/>
        <v>63</v>
      </c>
      <c r="B69" s="485">
        <v>25719</v>
      </c>
      <c r="C69" s="473">
        <v>0.64236111111111105</v>
      </c>
      <c r="D69" s="484" t="s">
        <v>118</v>
      </c>
      <c r="E69" s="472" t="s">
        <v>123</v>
      </c>
      <c r="F69" s="486">
        <v>67</v>
      </c>
      <c r="G69" s="486">
        <v>17.2</v>
      </c>
      <c r="H69" s="614">
        <f t="shared" si="3"/>
        <v>0.65477272727272728</v>
      </c>
      <c r="I69" s="1">
        <f t="shared" si="0"/>
        <v>4.2046926193909657</v>
      </c>
      <c r="J69" s="1">
        <f t="shared" si="0"/>
        <v>2.8449093838194073</v>
      </c>
      <c r="K69" s="1">
        <f t="shared" si="1"/>
        <v>-0.42346708482182405</v>
      </c>
    </row>
    <row r="70" spans="1:11">
      <c r="A70" s="483">
        <f t="shared" si="2"/>
        <v>64</v>
      </c>
      <c r="B70" s="485">
        <v>26038</v>
      </c>
      <c r="C70" s="473">
        <v>0.75</v>
      </c>
      <c r="D70" s="484" t="s">
        <v>103</v>
      </c>
      <c r="E70" s="472" t="s">
        <v>123</v>
      </c>
      <c r="F70" s="486">
        <v>100</v>
      </c>
      <c r="G70" s="486">
        <v>0.3</v>
      </c>
      <c r="H70" s="614">
        <f t="shared" si="3"/>
        <v>1.7045454545454544E-2</v>
      </c>
      <c r="I70" s="1">
        <f t="shared" si="0"/>
        <v>4.6051701859880918</v>
      </c>
      <c r="J70" s="1">
        <f t="shared" si="0"/>
        <v>-1.2039728043259361</v>
      </c>
      <c r="K70" s="1">
        <f t="shared" si="1"/>
        <v>-4.0718717063700423</v>
      </c>
    </row>
    <row r="71" spans="1:11">
      <c r="A71" s="483">
        <f t="shared" si="2"/>
        <v>65</v>
      </c>
      <c r="B71" s="485">
        <v>26042</v>
      </c>
      <c r="C71" s="473">
        <v>4.1666666666666664E-2</v>
      </c>
      <c r="D71" s="484" t="s">
        <v>99</v>
      </c>
      <c r="E71" s="472" t="s">
        <v>123</v>
      </c>
      <c r="F71" s="486">
        <v>10</v>
      </c>
      <c r="G71" s="486">
        <v>0.1</v>
      </c>
      <c r="H71" s="614">
        <f t="shared" si="3"/>
        <v>5.6818181818181826E-4</v>
      </c>
      <c r="I71" s="1">
        <f t="shared" si="0"/>
        <v>2.3025850929940459</v>
      </c>
      <c r="J71" s="1">
        <f t="shared" si="0"/>
        <v>-2.3025850929940455</v>
      </c>
      <c r="K71" s="1">
        <f t="shared" si="1"/>
        <v>-7.4730690880321973</v>
      </c>
    </row>
    <row r="72" spans="1:11">
      <c r="A72" s="483">
        <f t="shared" si="2"/>
        <v>66</v>
      </c>
      <c r="B72" s="485">
        <v>26042</v>
      </c>
      <c r="C72" s="473">
        <v>4.7916666666666663E-2</v>
      </c>
      <c r="D72" s="484" t="s">
        <v>118</v>
      </c>
      <c r="E72" s="472" t="s">
        <v>123</v>
      </c>
      <c r="F72" s="486">
        <v>20</v>
      </c>
      <c r="G72" s="486">
        <v>0.3</v>
      </c>
      <c r="H72" s="614">
        <f t="shared" si="3"/>
        <v>3.4090909090909089E-3</v>
      </c>
      <c r="I72" s="1">
        <f t="shared" ref="I72:J135" si="4">LN(F72)</f>
        <v>2.9957322735539909</v>
      </c>
      <c r="J72" s="1">
        <f t="shared" si="4"/>
        <v>-1.2039728043259361</v>
      </c>
      <c r="K72" s="1">
        <f t="shared" ref="K72:K135" si="5">LN(H72)</f>
        <v>-5.6813096188041428</v>
      </c>
    </row>
    <row r="73" spans="1:11">
      <c r="A73" s="483">
        <f t="shared" ref="A73:A136" si="6">+A72+1</f>
        <v>67</v>
      </c>
      <c r="B73" s="485">
        <v>26042</v>
      </c>
      <c r="C73" s="473">
        <v>0.25</v>
      </c>
      <c r="D73" s="484" t="s">
        <v>117</v>
      </c>
      <c r="E73" s="472" t="s">
        <v>123</v>
      </c>
      <c r="F73" s="486">
        <v>20</v>
      </c>
      <c r="G73" s="486">
        <v>0.3</v>
      </c>
      <c r="H73" s="614">
        <f t="shared" ref="H73:H136" si="7">+(F73/1760)*G73</f>
        <v>3.4090909090909089E-3</v>
      </c>
      <c r="I73" s="1">
        <f t="shared" si="4"/>
        <v>2.9957322735539909</v>
      </c>
      <c r="J73" s="1">
        <f t="shared" si="4"/>
        <v>-1.2039728043259361</v>
      </c>
      <c r="K73" s="1">
        <f t="shared" si="5"/>
        <v>-5.6813096188041428</v>
      </c>
    </row>
    <row r="74" spans="1:11">
      <c r="A74" s="483">
        <f t="shared" si="6"/>
        <v>68</v>
      </c>
      <c r="B74" s="485">
        <v>26093</v>
      </c>
      <c r="C74" s="473">
        <v>0.86458333333333337</v>
      </c>
      <c r="D74" s="484" t="s">
        <v>101</v>
      </c>
      <c r="E74" s="472" t="s">
        <v>123</v>
      </c>
      <c r="F74" s="486">
        <v>10</v>
      </c>
      <c r="G74" s="486">
        <v>0.1</v>
      </c>
      <c r="H74" s="614">
        <f t="shared" si="7"/>
        <v>5.6818181818181826E-4</v>
      </c>
      <c r="I74" s="1">
        <f t="shared" si="4"/>
        <v>2.3025850929940459</v>
      </c>
      <c r="J74" s="1">
        <f t="shared" si="4"/>
        <v>-2.3025850929940455</v>
      </c>
      <c r="K74" s="1">
        <f t="shared" si="5"/>
        <v>-7.4730690880321973</v>
      </c>
    </row>
    <row r="75" spans="1:11">
      <c r="A75" s="483">
        <f t="shared" si="6"/>
        <v>69</v>
      </c>
      <c r="B75" s="485">
        <v>26095</v>
      </c>
      <c r="C75" s="473">
        <v>0.66666666666666663</v>
      </c>
      <c r="D75" s="484" t="s">
        <v>112</v>
      </c>
      <c r="E75" s="472" t="s">
        <v>123</v>
      </c>
      <c r="F75" s="486">
        <v>20</v>
      </c>
      <c r="G75" s="486">
        <v>0.1</v>
      </c>
      <c r="H75" s="614">
        <f t="shared" si="7"/>
        <v>1.1363636363636365E-3</v>
      </c>
      <c r="I75" s="1">
        <f t="shared" si="4"/>
        <v>2.9957322735539909</v>
      </c>
      <c r="J75" s="1">
        <f t="shared" si="4"/>
        <v>-2.3025850929940455</v>
      </c>
      <c r="K75" s="1">
        <f t="shared" si="5"/>
        <v>-6.7799219074722519</v>
      </c>
    </row>
    <row r="76" spans="1:11">
      <c r="A76" s="483">
        <f t="shared" si="6"/>
        <v>70</v>
      </c>
      <c r="B76" s="485">
        <v>26095</v>
      </c>
      <c r="C76" s="473">
        <v>0.79166666666666663</v>
      </c>
      <c r="D76" s="484" t="s">
        <v>109</v>
      </c>
      <c r="E76" s="472" t="s">
        <v>123</v>
      </c>
      <c r="F76" s="486">
        <v>6</v>
      </c>
      <c r="G76" s="486">
        <v>0.1</v>
      </c>
      <c r="H76" s="614">
        <f t="shared" si="7"/>
        <v>3.4090909090909094E-4</v>
      </c>
      <c r="I76" s="1">
        <f t="shared" si="4"/>
        <v>1.791759469228055</v>
      </c>
      <c r="J76" s="1">
        <f t="shared" si="4"/>
        <v>-2.3025850929940455</v>
      </c>
      <c r="K76" s="1">
        <f t="shared" si="5"/>
        <v>-7.9838947117981878</v>
      </c>
    </row>
    <row r="77" spans="1:11">
      <c r="A77" s="483">
        <f t="shared" si="6"/>
        <v>71</v>
      </c>
      <c r="B77" s="485">
        <v>26097</v>
      </c>
      <c r="C77" s="473">
        <v>0.6875</v>
      </c>
      <c r="D77" s="484" t="s">
        <v>109</v>
      </c>
      <c r="E77" s="472" t="s">
        <v>123</v>
      </c>
      <c r="F77" s="486">
        <v>20</v>
      </c>
      <c r="G77" s="486">
        <v>1</v>
      </c>
      <c r="H77" s="614">
        <f t="shared" si="7"/>
        <v>1.1363636363636364E-2</v>
      </c>
      <c r="I77" s="1">
        <f t="shared" si="4"/>
        <v>2.9957322735539909</v>
      </c>
      <c r="J77" s="1">
        <f t="shared" si="4"/>
        <v>0</v>
      </c>
      <c r="K77" s="1">
        <f t="shared" si="5"/>
        <v>-4.4773368144782069</v>
      </c>
    </row>
    <row r="78" spans="1:11">
      <c r="A78" s="483">
        <f t="shared" si="6"/>
        <v>72</v>
      </c>
      <c r="B78" s="485">
        <v>26151</v>
      </c>
      <c r="C78" s="473">
        <v>0.6875</v>
      </c>
      <c r="D78" s="484" t="s">
        <v>114</v>
      </c>
      <c r="E78" s="472" t="s">
        <v>123</v>
      </c>
      <c r="F78" s="486">
        <v>50</v>
      </c>
      <c r="G78" s="486">
        <v>2</v>
      </c>
      <c r="H78" s="614">
        <f t="shared" si="7"/>
        <v>5.6818181818181816E-2</v>
      </c>
      <c r="I78" s="1">
        <f t="shared" si="4"/>
        <v>3.912023005428146</v>
      </c>
      <c r="J78" s="1">
        <f t="shared" si="4"/>
        <v>0.69314718055994529</v>
      </c>
      <c r="K78" s="1">
        <f t="shared" si="5"/>
        <v>-2.8678989020441059</v>
      </c>
    </row>
    <row r="79" spans="1:11">
      <c r="A79" s="483">
        <f t="shared" si="6"/>
        <v>73</v>
      </c>
      <c r="B79" s="485">
        <v>26223</v>
      </c>
      <c r="C79" s="473">
        <v>0.70833333333333337</v>
      </c>
      <c r="D79" s="484" t="s">
        <v>114</v>
      </c>
      <c r="E79" s="472" t="s">
        <v>123</v>
      </c>
      <c r="F79" s="486">
        <v>50</v>
      </c>
      <c r="G79" s="486">
        <v>0.3</v>
      </c>
      <c r="H79" s="614">
        <f t="shared" si="7"/>
        <v>8.5227272727272721E-3</v>
      </c>
      <c r="I79" s="1">
        <f t="shared" si="4"/>
        <v>3.912023005428146</v>
      </c>
      <c r="J79" s="1">
        <f t="shared" si="4"/>
        <v>-1.2039728043259361</v>
      </c>
      <c r="K79" s="1">
        <f t="shared" si="5"/>
        <v>-4.7650188869299877</v>
      </c>
    </row>
    <row r="80" spans="1:11">
      <c r="A80" s="483">
        <f t="shared" si="6"/>
        <v>74</v>
      </c>
      <c r="B80" s="485">
        <v>26223</v>
      </c>
      <c r="C80" s="473">
        <v>0.77083333333333337</v>
      </c>
      <c r="D80" s="484" t="s">
        <v>104</v>
      </c>
      <c r="E80" s="472" t="s">
        <v>123</v>
      </c>
      <c r="F80" s="486">
        <v>17</v>
      </c>
      <c r="G80" s="486">
        <v>0.1</v>
      </c>
      <c r="H80" s="614">
        <f t="shared" si="7"/>
        <v>9.6590909090909095E-4</v>
      </c>
      <c r="I80" s="1">
        <f t="shared" si="4"/>
        <v>2.8332133440562162</v>
      </c>
      <c r="J80" s="1">
        <f t="shared" si="4"/>
        <v>-2.3025850929940455</v>
      </c>
      <c r="K80" s="1">
        <f t="shared" si="5"/>
        <v>-6.942440836970027</v>
      </c>
    </row>
    <row r="81" spans="1:11">
      <c r="A81" s="483">
        <f t="shared" si="6"/>
        <v>75</v>
      </c>
      <c r="B81" s="485">
        <v>26223</v>
      </c>
      <c r="C81" s="473">
        <v>0.79166666666666663</v>
      </c>
      <c r="D81" s="484" t="s">
        <v>110</v>
      </c>
      <c r="E81" s="472" t="s">
        <v>123</v>
      </c>
      <c r="F81" s="486">
        <v>20</v>
      </c>
      <c r="G81" s="486">
        <v>0.5</v>
      </c>
      <c r="H81" s="614">
        <f t="shared" si="7"/>
        <v>5.681818181818182E-3</v>
      </c>
      <c r="I81" s="1">
        <f t="shared" si="4"/>
        <v>2.9957322735539909</v>
      </c>
      <c r="J81" s="1">
        <f t="shared" si="4"/>
        <v>-0.69314718055994529</v>
      </c>
      <c r="K81" s="1">
        <f t="shared" si="5"/>
        <v>-5.1704839950381514</v>
      </c>
    </row>
    <row r="82" spans="1:11">
      <c r="A82" s="483">
        <f t="shared" si="6"/>
        <v>76</v>
      </c>
      <c r="B82" s="485">
        <v>26223</v>
      </c>
      <c r="C82" s="473">
        <v>0.79166666666666663</v>
      </c>
      <c r="D82" s="484" t="s">
        <v>110</v>
      </c>
      <c r="E82" s="472" t="s">
        <v>123</v>
      </c>
      <c r="F82" s="486">
        <v>20</v>
      </c>
      <c r="G82" s="486">
        <v>0.5</v>
      </c>
      <c r="H82" s="614">
        <f t="shared" si="7"/>
        <v>5.681818181818182E-3</v>
      </c>
      <c r="I82" s="1">
        <f t="shared" si="4"/>
        <v>2.9957322735539909</v>
      </c>
      <c r="J82" s="1">
        <f t="shared" si="4"/>
        <v>-0.69314718055994529</v>
      </c>
      <c r="K82" s="1">
        <f t="shared" si="5"/>
        <v>-5.1704839950381514</v>
      </c>
    </row>
    <row r="83" spans="1:11">
      <c r="A83" s="483">
        <f t="shared" si="6"/>
        <v>77</v>
      </c>
      <c r="B83" s="485">
        <v>26414</v>
      </c>
      <c r="C83" s="473">
        <v>0.88541666666666663</v>
      </c>
      <c r="D83" s="484" t="s">
        <v>103</v>
      </c>
      <c r="E83" s="472" t="s">
        <v>123</v>
      </c>
      <c r="F83" s="486">
        <v>10</v>
      </c>
      <c r="G83" s="486">
        <v>0.5</v>
      </c>
      <c r="H83" s="614">
        <f t="shared" si="7"/>
        <v>2.840909090909091E-3</v>
      </c>
      <c r="I83" s="1">
        <f t="shared" si="4"/>
        <v>2.3025850929940459</v>
      </c>
      <c r="J83" s="1">
        <f t="shared" si="4"/>
        <v>-0.69314718055994529</v>
      </c>
      <c r="K83" s="1">
        <f t="shared" si="5"/>
        <v>-5.8636311755980968</v>
      </c>
    </row>
    <row r="84" spans="1:11">
      <c r="A84" s="483">
        <f t="shared" si="6"/>
        <v>78</v>
      </c>
      <c r="B84" s="485">
        <v>26414</v>
      </c>
      <c r="C84" s="473">
        <v>0.98958333333333337</v>
      </c>
      <c r="D84" s="484" t="s">
        <v>101</v>
      </c>
      <c r="E84" s="472" t="s">
        <v>123</v>
      </c>
      <c r="F84" s="486">
        <v>17</v>
      </c>
      <c r="G84" s="486">
        <v>0.1</v>
      </c>
      <c r="H84" s="614">
        <f t="shared" si="7"/>
        <v>9.6590909090909095E-4</v>
      </c>
      <c r="I84" s="1">
        <f t="shared" si="4"/>
        <v>2.8332133440562162</v>
      </c>
      <c r="J84" s="1">
        <f t="shared" si="4"/>
        <v>-2.3025850929940455</v>
      </c>
      <c r="K84" s="1">
        <f t="shared" si="5"/>
        <v>-6.942440836970027</v>
      </c>
    </row>
    <row r="85" spans="1:11">
      <c r="A85" s="483">
        <f t="shared" si="6"/>
        <v>79</v>
      </c>
      <c r="B85" s="485">
        <v>26418</v>
      </c>
      <c r="C85" s="473">
        <v>0.69097222222222221</v>
      </c>
      <c r="D85" s="484" t="s">
        <v>110</v>
      </c>
      <c r="E85" s="472" t="s">
        <v>123</v>
      </c>
      <c r="F85" s="486">
        <v>50</v>
      </c>
      <c r="G85" s="486">
        <v>0.1</v>
      </c>
      <c r="H85" s="614">
        <f t="shared" si="7"/>
        <v>2.840909090909091E-3</v>
      </c>
      <c r="I85" s="1">
        <f t="shared" si="4"/>
        <v>3.912023005428146</v>
      </c>
      <c r="J85" s="1">
        <f t="shared" si="4"/>
        <v>-2.3025850929940455</v>
      </c>
      <c r="K85" s="1">
        <f t="shared" si="5"/>
        <v>-5.8636311755980968</v>
      </c>
    </row>
    <row r="86" spans="1:11">
      <c r="A86" s="483">
        <f t="shared" si="6"/>
        <v>80</v>
      </c>
      <c r="B86" s="485">
        <v>26418</v>
      </c>
      <c r="C86" s="473">
        <v>0.8125</v>
      </c>
      <c r="D86" s="484" t="s">
        <v>121</v>
      </c>
      <c r="E86" s="472" t="s">
        <v>123</v>
      </c>
      <c r="F86" s="486">
        <v>880</v>
      </c>
      <c r="G86" s="486">
        <v>11.1</v>
      </c>
      <c r="H86" s="614">
        <f t="shared" si="7"/>
        <v>5.55</v>
      </c>
      <c r="I86" s="1">
        <f t="shared" si="4"/>
        <v>6.7799219074722519</v>
      </c>
      <c r="J86" s="1">
        <f t="shared" si="4"/>
        <v>2.4069451083182885</v>
      </c>
      <c r="K86" s="1">
        <f t="shared" si="5"/>
        <v>1.7137979277583431</v>
      </c>
    </row>
    <row r="87" spans="1:11">
      <c r="A87" s="483">
        <f t="shared" si="6"/>
        <v>81</v>
      </c>
      <c r="B87" s="485">
        <v>26423</v>
      </c>
      <c r="C87" s="473">
        <v>0.67708333333333337</v>
      </c>
      <c r="D87" s="484" t="s">
        <v>121</v>
      </c>
      <c r="E87" s="472" t="s">
        <v>123</v>
      </c>
      <c r="F87" s="486">
        <v>50</v>
      </c>
      <c r="G87" s="486">
        <v>0.5</v>
      </c>
      <c r="H87" s="614">
        <f t="shared" si="7"/>
        <v>1.4204545454545454E-2</v>
      </c>
      <c r="I87" s="1">
        <f t="shared" si="4"/>
        <v>3.912023005428146</v>
      </c>
      <c r="J87" s="1">
        <f t="shared" si="4"/>
        <v>-0.69314718055994529</v>
      </c>
      <c r="K87" s="1">
        <f t="shared" si="5"/>
        <v>-4.2541932631639972</v>
      </c>
    </row>
    <row r="88" spans="1:11">
      <c r="A88" s="483">
        <f t="shared" si="6"/>
        <v>82</v>
      </c>
      <c r="B88" s="485">
        <v>26428</v>
      </c>
      <c r="C88" s="473">
        <v>0.83611111111111114</v>
      </c>
      <c r="D88" s="484" t="s">
        <v>118</v>
      </c>
      <c r="E88" s="472" t="s">
        <v>123</v>
      </c>
      <c r="F88" s="486">
        <v>20</v>
      </c>
      <c r="G88" s="486">
        <v>0.5</v>
      </c>
      <c r="H88" s="614">
        <f t="shared" si="7"/>
        <v>5.681818181818182E-3</v>
      </c>
      <c r="I88" s="1">
        <f t="shared" si="4"/>
        <v>2.9957322735539909</v>
      </c>
      <c r="J88" s="1">
        <f t="shared" si="4"/>
        <v>-0.69314718055994529</v>
      </c>
      <c r="K88" s="1">
        <f t="shared" si="5"/>
        <v>-5.1704839950381514</v>
      </c>
    </row>
    <row r="89" spans="1:11">
      <c r="A89" s="483">
        <f t="shared" si="6"/>
        <v>83</v>
      </c>
      <c r="B89" s="485">
        <v>26429</v>
      </c>
      <c r="C89" s="473">
        <v>0.68402777777777779</v>
      </c>
      <c r="D89" s="484" t="s">
        <v>107</v>
      </c>
      <c r="E89" s="472" t="s">
        <v>123</v>
      </c>
      <c r="F89" s="486">
        <v>10</v>
      </c>
      <c r="G89" s="486">
        <v>0.1</v>
      </c>
      <c r="H89" s="614">
        <f t="shared" si="7"/>
        <v>5.6818181818181826E-4</v>
      </c>
      <c r="I89" s="1">
        <f t="shared" si="4"/>
        <v>2.3025850929940459</v>
      </c>
      <c r="J89" s="1">
        <f t="shared" si="4"/>
        <v>-2.3025850929940455</v>
      </c>
      <c r="K89" s="1">
        <f t="shared" si="5"/>
        <v>-7.4730690880321973</v>
      </c>
    </row>
    <row r="90" spans="1:11">
      <c r="A90" s="483">
        <f t="shared" si="6"/>
        <v>84</v>
      </c>
      <c r="B90" s="485">
        <v>26429</v>
      </c>
      <c r="C90" s="473">
        <v>0.68402777777777779</v>
      </c>
      <c r="D90" s="484" t="s">
        <v>107</v>
      </c>
      <c r="E90" s="472" t="s">
        <v>123</v>
      </c>
      <c r="F90" s="486">
        <v>10</v>
      </c>
      <c r="G90" s="486">
        <v>0.1</v>
      </c>
      <c r="H90" s="614">
        <f t="shared" si="7"/>
        <v>5.6818181818181826E-4</v>
      </c>
      <c r="I90" s="1">
        <f t="shared" si="4"/>
        <v>2.3025850929940459</v>
      </c>
      <c r="J90" s="1">
        <f t="shared" si="4"/>
        <v>-2.3025850929940455</v>
      </c>
      <c r="K90" s="1">
        <f t="shared" si="5"/>
        <v>-7.4730690880321973</v>
      </c>
    </row>
    <row r="91" spans="1:11">
      <c r="A91" s="483">
        <f t="shared" si="6"/>
        <v>85</v>
      </c>
      <c r="B91" s="485">
        <v>26432</v>
      </c>
      <c r="C91" s="473">
        <v>0.51041666666666663</v>
      </c>
      <c r="D91" s="484" t="s">
        <v>103</v>
      </c>
      <c r="E91" s="472" t="s">
        <v>123</v>
      </c>
      <c r="F91" s="486">
        <v>100</v>
      </c>
      <c r="G91" s="486">
        <v>0.5</v>
      </c>
      <c r="H91" s="614">
        <f t="shared" si="7"/>
        <v>2.8409090909090908E-2</v>
      </c>
      <c r="I91" s="1">
        <f t="shared" si="4"/>
        <v>4.6051701859880918</v>
      </c>
      <c r="J91" s="1">
        <f t="shared" si="4"/>
        <v>-0.69314718055994529</v>
      </c>
      <c r="K91" s="1">
        <f t="shared" si="5"/>
        <v>-3.5610460826040513</v>
      </c>
    </row>
    <row r="92" spans="1:11">
      <c r="A92" s="483">
        <f t="shared" si="6"/>
        <v>86</v>
      </c>
      <c r="B92" s="485">
        <v>26443</v>
      </c>
      <c r="C92" s="473">
        <v>0.6875</v>
      </c>
      <c r="D92" s="484" t="s">
        <v>105</v>
      </c>
      <c r="E92" s="472" t="s">
        <v>123</v>
      </c>
      <c r="F92" s="486">
        <v>440</v>
      </c>
      <c r="G92" s="486">
        <v>4.3</v>
      </c>
      <c r="H92" s="614">
        <f t="shared" si="7"/>
        <v>1.075</v>
      </c>
      <c r="I92" s="1">
        <f t="shared" si="4"/>
        <v>6.0867747269123065</v>
      </c>
      <c r="J92" s="1">
        <f t="shared" si="4"/>
        <v>1.4586150226995167</v>
      </c>
      <c r="K92" s="1">
        <f t="shared" si="5"/>
        <v>7.2320661579626078E-2</v>
      </c>
    </row>
    <row r="93" spans="1:11">
      <c r="A93" s="483">
        <f t="shared" si="6"/>
        <v>87</v>
      </c>
      <c r="B93" s="485">
        <v>26465</v>
      </c>
      <c r="C93" s="473">
        <v>0.69097222222222221</v>
      </c>
      <c r="D93" s="484" t="s">
        <v>104</v>
      </c>
      <c r="E93" s="472" t="s">
        <v>123</v>
      </c>
      <c r="F93" s="486">
        <v>20</v>
      </c>
      <c r="G93" s="486">
        <v>3.6</v>
      </c>
      <c r="H93" s="614">
        <f t="shared" si="7"/>
        <v>4.0909090909090909E-2</v>
      </c>
      <c r="I93" s="1">
        <f t="shared" si="4"/>
        <v>2.9957322735539909</v>
      </c>
      <c r="J93" s="1">
        <f t="shared" si="4"/>
        <v>1.2809338454620642</v>
      </c>
      <c r="K93" s="1">
        <f t="shared" si="5"/>
        <v>-3.196402969016142</v>
      </c>
    </row>
    <row r="94" spans="1:11">
      <c r="A94" s="483">
        <f t="shared" si="6"/>
        <v>88</v>
      </c>
      <c r="B94" s="485">
        <v>26471</v>
      </c>
      <c r="C94" s="473">
        <v>0.86458333333333337</v>
      </c>
      <c r="D94" s="484" t="s">
        <v>117</v>
      </c>
      <c r="E94" s="472" t="s">
        <v>123</v>
      </c>
      <c r="F94" s="486">
        <v>20</v>
      </c>
      <c r="G94" s="486">
        <v>5.9</v>
      </c>
      <c r="H94" s="614">
        <f t="shared" si="7"/>
        <v>6.7045454545454547E-2</v>
      </c>
      <c r="I94" s="1">
        <f t="shared" si="4"/>
        <v>2.9957322735539909</v>
      </c>
      <c r="J94" s="1">
        <f t="shared" si="4"/>
        <v>1.7749523509116738</v>
      </c>
      <c r="K94" s="1">
        <f t="shared" si="5"/>
        <v>-2.7023844635665326</v>
      </c>
    </row>
    <row r="95" spans="1:11">
      <c r="A95" s="483">
        <f t="shared" si="6"/>
        <v>89</v>
      </c>
      <c r="B95" s="485">
        <v>26471</v>
      </c>
      <c r="C95" s="473">
        <v>0.86458333333333337</v>
      </c>
      <c r="D95" s="484" t="s">
        <v>117</v>
      </c>
      <c r="E95" s="472" t="s">
        <v>123</v>
      </c>
      <c r="F95" s="486">
        <v>20</v>
      </c>
      <c r="G95" s="486">
        <v>1</v>
      </c>
      <c r="H95" s="614">
        <f t="shared" si="7"/>
        <v>1.1363636363636364E-2</v>
      </c>
      <c r="I95" s="1">
        <f t="shared" si="4"/>
        <v>2.9957322735539909</v>
      </c>
      <c r="J95" s="1">
        <f t="shared" si="4"/>
        <v>0</v>
      </c>
      <c r="K95" s="1">
        <f t="shared" si="5"/>
        <v>-4.4773368144782069</v>
      </c>
    </row>
    <row r="96" spans="1:11">
      <c r="A96" s="483">
        <f t="shared" si="6"/>
        <v>90</v>
      </c>
      <c r="B96" s="485">
        <v>26482</v>
      </c>
      <c r="C96" s="473">
        <v>0.85416666666666663</v>
      </c>
      <c r="D96" s="484" t="s">
        <v>117</v>
      </c>
      <c r="E96" s="472" t="s">
        <v>123</v>
      </c>
      <c r="F96" s="486">
        <v>50</v>
      </c>
      <c r="G96" s="486">
        <v>0.3</v>
      </c>
      <c r="H96" s="614">
        <f t="shared" si="7"/>
        <v>8.5227272727272721E-3</v>
      </c>
      <c r="I96" s="1">
        <f t="shared" si="4"/>
        <v>3.912023005428146</v>
      </c>
      <c r="J96" s="1">
        <f t="shared" si="4"/>
        <v>-1.2039728043259361</v>
      </c>
      <c r="K96" s="1">
        <f t="shared" si="5"/>
        <v>-4.7650188869299877</v>
      </c>
    </row>
    <row r="97" spans="1:11">
      <c r="A97" s="483">
        <f t="shared" si="6"/>
        <v>91</v>
      </c>
      <c r="B97" s="485">
        <v>26497</v>
      </c>
      <c r="C97" s="473">
        <v>0.59375</v>
      </c>
      <c r="D97" s="484" t="s">
        <v>100</v>
      </c>
      <c r="E97" s="472" t="s">
        <v>123</v>
      </c>
      <c r="F97" s="486">
        <v>20</v>
      </c>
      <c r="G97" s="486">
        <v>0.1</v>
      </c>
      <c r="H97" s="614">
        <f t="shared" si="7"/>
        <v>1.1363636363636365E-3</v>
      </c>
      <c r="I97" s="1">
        <f t="shared" si="4"/>
        <v>2.9957322735539909</v>
      </c>
      <c r="J97" s="1">
        <f t="shared" si="4"/>
        <v>-2.3025850929940455</v>
      </c>
      <c r="K97" s="1">
        <f t="shared" si="5"/>
        <v>-6.7799219074722519</v>
      </c>
    </row>
    <row r="98" spans="1:11">
      <c r="A98" s="483">
        <f t="shared" si="6"/>
        <v>92</v>
      </c>
      <c r="B98" s="485">
        <v>26767</v>
      </c>
      <c r="C98" s="473">
        <v>0.74861111111111101</v>
      </c>
      <c r="D98" s="484" t="s">
        <v>113</v>
      </c>
      <c r="E98" s="472" t="s">
        <v>123</v>
      </c>
      <c r="F98" s="486">
        <v>17</v>
      </c>
      <c r="G98" s="486">
        <v>1</v>
      </c>
      <c r="H98" s="614">
        <f t="shared" si="7"/>
        <v>9.6590909090909088E-3</v>
      </c>
      <c r="I98" s="1">
        <f t="shared" si="4"/>
        <v>2.8332133440562162</v>
      </c>
      <c r="J98" s="1">
        <f t="shared" si="4"/>
        <v>0</v>
      </c>
      <c r="K98" s="1">
        <f t="shared" si="5"/>
        <v>-4.6398557439759811</v>
      </c>
    </row>
    <row r="99" spans="1:11">
      <c r="A99" s="483">
        <f t="shared" si="6"/>
        <v>93</v>
      </c>
      <c r="B99" s="485">
        <v>26806</v>
      </c>
      <c r="C99" s="473">
        <v>0.71527777777777779</v>
      </c>
      <c r="D99" s="484" t="s">
        <v>118</v>
      </c>
      <c r="E99" s="472" t="s">
        <v>123</v>
      </c>
      <c r="F99" s="486">
        <v>20</v>
      </c>
      <c r="G99" s="486">
        <v>0.3</v>
      </c>
      <c r="H99" s="614">
        <f t="shared" si="7"/>
        <v>3.4090909090909089E-3</v>
      </c>
      <c r="I99" s="1">
        <f t="shared" si="4"/>
        <v>2.9957322735539909</v>
      </c>
      <c r="J99" s="1">
        <f t="shared" si="4"/>
        <v>-1.2039728043259361</v>
      </c>
      <c r="K99" s="1">
        <f t="shared" si="5"/>
        <v>-5.6813096188041428</v>
      </c>
    </row>
    <row r="100" spans="1:11">
      <c r="A100" s="483">
        <f t="shared" si="6"/>
        <v>94</v>
      </c>
      <c r="B100" s="485">
        <v>26884</v>
      </c>
      <c r="C100" s="473">
        <v>0.70625000000000004</v>
      </c>
      <c r="D100" s="484" t="s">
        <v>109</v>
      </c>
      <c r="E100" s="472" t="s">
        <v>123</v>
      </c>
      <c r="F100" s="486">
        <v>10</v>
      </c>
      <c r="G100" s="486">
        <v>0.1</v>
      </c>
      <c r="H100" s="614">
        <f t="shared" si="7"/>
        <v>5.6818181818181826E-4</v>
      </c>
      <c r="I100" s="1">
        <f t="shared" si="4"/>
        <v>2.3025850929940459</v>
      </c>
      <c r="J100" s="1">
        <f t="shared" si="4"/>
        <v>-2.3025850929940455</v>
      </c>
      <c r="K100" s="1">
        <f t="shared" si="5"/>
        <v>-7.4730690880321973</v>
      </c>
    </row>
    <row r="101" spans="1:11">
      <c r="A101" s="483">
        <f t="shared" si="6"/>
        <v>95</v>
      </c>
      <c r="B101" s="485">
        <v>27097</v>
      </c>
      <c r="C101" s="473">
        <v>0.55694444444444446</v>
      </c>
      <c r="D101" s="484" t="s">
        <v>118</v>
      </c>
      <c r="E101" s="472" t="s">
        <v>123</v>
      </c>
      <c r="F101" s="486">
        <v>20</v>
      </c>
      <c r="G101" s="486">
        <v>3</v>
      </c>
      <c r="H101" s="614">
        <f t="shared" si="7"/>
        <v>3.4090909090909088E-2</v>
      </c>
      <c r="I101" s="1">
        <f t="shared" si="4"/>
        <v>2.9957322735539909</v>
      </c>
      <c r="J101" s="1">
        <f t="shared" si="4"/>
        <v>1.0986122886681098</v>
      </c>
      <c r="K101" s="1">
        <f t="shared" si="5"/>
        <v>-3.3787245258100969</v>
      </c>
    </row>
    <row r="102" spans="1:11">
      <c r="A102" s="483">
        <f t="shared" si="6"/>
        <v>96</v>
      </c>
      <c r="B102" s="485">
        <v>27129</v>
      </c>
      <c r="C102" s="473">
        <v>0.88194444444444453</v>
      </c>
      <c r="D102" s="484" t="s">
        <v>121</v>
      </c>
      <c r="E102" s="472" t="s">
        <v>123</v>
      </c>
      <c r="F102" s="486">
        <v>33</v>
      </c>
      <c r="G102" s="486">
        <v>2</v>
      </c>
      <c r="H102" s="614">
        <f t="shared" si="7"/>
        <v>3.7499999999999999E-2</v>
      </c>
      <c r="I102" s="1">
        <f t="shared" si="4"/>
        <v>3.4965075614664802</v>
      </c>
      <c r="J102" s="1">
        <f t="shared" si="4"/>
        <v>0.69314718055994529</v>
      </c>
      <c r="K102" s="1">
        <f t="shared" si="5"/>
        <v>-3.2834143460057721</v>
      </c>
    </row>
    <row r="103" spans="1:11">
      <c r="A103" s="483">
        <f t="shared" si="6"/>
        <v>97</v>
      </c>
      <c r="B103" s="485">
        <v>27138</v>
      </c>
      <c r="C103" s="473">
        <v>0.64930555555555558</v>
      </c>
      <c r="D103" s="484" t="s">
        <v>114</v>
      </c>
      <c r="E103" s="472" t="s">
        <v>123</v>
      </c>
      <c r="F103" s="486">
        <v>20</v>
      </c>
      <c r="G103" s="486">
        <v>1.9</v>
      </c>
      <c r="H103" s="614">
        <f t="shared" si="7"/>
        <v>2.1590909090909091E-2</v>
      </c>
      <c r="I103" s="1">
        <f t="shared" si="4"/>
        <v>2.9957322735539909</v>
      </c>
      <c r="J103" s="1">
        <f t="shared" si="4"/>
        <v>0.64185388617239469</v>
      </c>
      <c r="K103" s="1">
        <f t="shared" si="5"/>
        <v>-3.8354829283058116</v>
      </c>
    </row>
    <row r="104" spans="1:11">
      <c r="A104" s="483">
        <f t="shared" si="6"/>
        <v>98</v>
      </c>
      <c r="B104" s="485">
        <v>27147</v>
      </c>
      <c r="C104" s="473">
        <v>0.93055555555555547</v>
      </c>
      <c r="D104" s="484" t="s">
        <v>121</v>
      </c>
      <c r="E104" s="472" t="s">
        <v>123</v>
      </c>
      <c r="F104" s="486">
        <v>20</v>
      </c>
      <c r="G104" s="486">
        <v>1</v>
      </c>
      <c r="H104" s="614">
        <f t="shared" si="7"/>
        <v>1.1363636363636364E-2</v>
      </c>
      <c r="I104" s="1">
        <f t="shared" si="4"/>
        <v>2.9957322735539909</v>
      </c>
      <c r="J104" s="1">
        <f t="shared" si="4"/>
        <v>0</v>
      </c>
      <c r="K104" s="1">
        <f t="shared" si="5"/>
        <v>-4.4773368144782069</v>
      </c>
    </row>
    <row r="105" spans="1:11">
      <c r="A105" s="483">
        <f t="shared" si="6"/>
        <v>99</v>
      </c>
      <c r="B105" s="485">
        <v>27173</v>
      </c>
      <c r="C105" s="473">
        <v>0.87152777777777779</v>
      </c>
      <c r="D105" s="484" t="s">
        <v>117</v>
      </c>
      <c r="E105" s="472" t="s">
        <v>123</v>
      </c>
      <c r="F105" s="486">
        <v>30</v>
      </c>
      <c r="G105" s="486">
        <v>3</v>
      </c>
      <c r="H105" s="614">
        <f t="shared" si="7"/>
        <v>5.1136363636363633E-2</v>
      </c>
      <c r="I105" s="1">
        <f t="shared" si="4"/>
        <v>3.4011973816621555</v>
      </c>
      <c r="J105" s="1">
        <f t="shared" si="4"/>
        <v>1.0986122886681098</v>
      </c>
      <c r="K105" s="1">
        <f t="shared" si="5"/>
        <v>-2.9732594177019327</v>
      </c>
    </row>
    <row r="106" spans="1:11">
      <c r="A106" s="483">
        <f t="shared" si="6"/>
        <v>100</v>
      </c>
      <c r="B106" s="485">
        <v>27187</v>
      </c>
      <c r="C106" s="473">
        <v>0.78472222222222221</v>
      </c>
      <c r="D106" s="484" t="s">
        <v>113</v>
      </c>
      <c r="E106" s="472" t="s">
        <v>123</v>
      </c>
      <c r="F106" s="486">
        <v>200</v>
      </c>
      <c r="G106" s="486">
        <v>4.7</v>
      </c>
      <c r="H106" s="614">
        <f t="shared" si="7"/>
        <v>0.53409090909090906</v>
      </c>
      <c r="I106" s="1">
        <f t="shared" si="4"/>
        <v>5.2983173665480363</v>
      </c>
      <c r="J106" s="1">
        <f t="shared" si="4"/>
        <v>1.547562508716013</v>
      </c>
      <c r="K106" s="1">
        <f t="shared" si="5"/>
        <v>-0.62718921276814799</v>
      </c>
    </row>
    <row r="107" spans="1:11">
      <c r="A107" s="483">
        <f t="shared" si="6"/>
        <v>101</v>
      </c>
      <c r="B107" s="485">
        <v>27480</v>
      </c>
      <c r="C107" s="473">
        <v>6.9444444444444447E-4</v>
      </c>
      <c r="D107" s="484" t="s">
        <v>115</v>
      </c>
      <c r="E107" s="472" t="s">
        <v>123</v>
      </c>
      <c r="F107" s="486">
        <v>17</v>
      </c>
      <c r="G107" s="486">
        <v>0.3</v>
      </c>
      <c r="H107" s="614">
        <f t="shared" si="7"/>
        <v>2.8977272727272727E-3</v>
      </c>
      <c r="I107" s="1">
        <f t="shared" si="4"/>
        <v>2.8332133440562162</v>
      </c>
      <c r="J107" s="1">
        <f t="shared" si="4"/>
        <v>-1.2039728043259361</v>
      </c>
      <c r="K107" s="1">
        <f t="shared" si="5"/>
        <v>-5.843828548301917</v>
      </c>
    </row>
    <row r="108" spans="1:11">
      <c r="A108" s="483">
        <f t="shared" si="6"/>
        <v>102</v>
      </c>
      <c r="B108" s="485">
        <v>27480</v>
      </c>
      <c r="C108" s="473">
        <v>4.1666666666666664E-2</v>
      </c>
      <c r="D108" s="484" t="s">
        <v>106</v>
      </c>
      <c r="E108" s="472" t="s">
        <v>123</v>
      </c>
      <c r="F108" s="486">
        <v>20</v>
      </c>
      <c r="G108" s="486">
        <v>0.1</v>
      </c>
      <c r="H108" s="614">
        <f t="shared" si="7"/>
        <v>1.1363636363636365E-3</v>
      </c>
      <c r="I108" s="1">
        <f t="shared" si="4"/>
        <v>2.9957322735539909</v>
      </c>
      <c r="J108" s="1">
        <f t="shared" si="4"/>
        <v>-2.3025850929940455</v>
      </c>
      <c r="K108" s="1">
        <f t="shared" si="5"/>
        <v>-6.7799219074722519</v>
      </c>
    </row>
    <row r="109" spans="1:11">
      <c r="A109" s="483">
        <f t="shared" si="6"/>
        <v>103</v>
      </c>
      <c r="B109" s="485">
        <v>27571</v>
      </c>
      <c r="C109" s="473">
        <v>0.72916666666666663</v>
      </c>
      <c r="D109" s="484" t="s">
        <v>104</v>
      </c>
      <c r="E109" s="472" t="s">
        <v>123</v>
      </c>
      <c r="F109" s="486">
        <v>40</v>
      </c>
      <c r="G109" s="486">
        <v>1</v>
      </c>
      <c r="H109" s="614">
        <f t="shared" si="7"/>
        <v>2.2727272727272728E-2</v>
      </c>
      <c r="I109" s="1">
        <f t="shared" si="4"/>
        <v>3.6888794541139363</v>
      </c>
      <c r="J109" s="1">
        <f t="shared" si="4"/>
        <v>0</v>
      </c>
      <c r="K109" s="1">
        <f t="shared" si="5"/>
        <v>-3.784189633918261</v>
      </c>
    </row>
    <row r="110" spans="1:11">
      <c r="A110" s="483">
        <f t="shared" si="6"/>
        <v>104</v>
      </c>
      <c r="B110" s="485">
        <v>27585</v>
      </c>
      <c r="C110" s="473">
        <v>0.67708333333333337</v>
      </c>
      <c r="D110" s="484" t="s">
        <v>100</v>
      </c>
      <c r="E110" s="472" t="s">
        <v>123</v>
      </c>
      <c r="F110" s="486">
        <v>60</v>
      </c>
      <c r="G110" s="486">
        <v>2</v>
      </c>
      <c r="H110" s="614">
        <f t="shared" si="7"/>
        <v>6.8181818181818177E-2</v>
      </c>
      <c r="I110" s="1">
        <f t="shared" si="4"/>
        <v>4.0943445622221004</v>
      </c>
      <c r="J110" s="1">
        <f t="shared" si="4"/>
        <v>0.69314718055994529</v>
      </c>
      <c r="K110" s="1">
        <f t="shared" si="5"/>
        <v>-2.6855773452501515</v>
      </c>
    </row>
    <row r="111" spans="1:11">
      <c r="A111" s="483">
        <f t="shared" si="6"/>
        <v>105</v>
      </c>
      <c r="B111" s="485">
        <v>27865</v>
      </c>
      <c r="C111" s="473">
        <v>0.51736111111111105</v>
      </c>
      <c r="D111" s="484" t="s">
        <v>117</v>
      </c>
      <c r="E111" s="472" t="s">
        <v>123</v>
      </c>
      <c r="F111" s="486">
        <v>30</v>
      </c>
      <c r="G111" s="486">
        <v>0.5</v>
      </c>
      <c r="H111" s="614">
        <f t="shared" si="7"/>
        <v>8.5227272727272721E-3</v>
      </c>
      <c r="I111" s="1">
        <f t="shared" si="4"/>
        <v>3.4011973816621555</v>
      </c>
      <c r="J111" s="1">
        <f t="shared" si="4"/>
        <v>-0.69314718055994529</v>
      </c>
      <c r="K111" s="1">
        <f t="shared" si="5"/>
        <v>-4.7650188869299877</v>
      </c>
    </row>
    <row r="112" spans="1:11">
      <c r="A112" s="483">
        <f t="shared" si="6"/>
        <v>106</v>
      </c>
      <c r="B112" s="485">
        <v>28259</v>
      </c>
      <c r="C112" s="473">
        <v>0.25069444444444444</v>
      </c>
      <c r="D112" s="484" t="s">
        <v>102</v>
      </c>
      <c r="E112" s="472" t="s">
        <v>123</v>
      </c>
      <c r="F112" s="486">
        <v>20</v>
      </c>
      <c r="G112" s="486">
        <v>1</v>
      </c>
      <c r="H112" s="614">
        <f t="shared" si="7"/>
        <v>1.1363636363636364E-2</v>
      </c>
      <c r="I112" s="1">
        <f t="shared" si="4"/>
        <v>2.9957322735539909</v>
      </c>
      <c r="J112" s="1">
        <f t="shared" si="4"/>
        <v>0</v>
      </c>
      <c r="K112" s="1">
        <f t="shared" si="5"/>
        <v>-4.4773368144782069</v>
      </c>
    </row>
    <row r="113" spans="1:11">
      <c r="A113" s="483">
        <f t="shared" si="6"/>
        <v>107</v>
      </c>
      <c r="B113" s="485">
        <v>28259</v>
      </c>
      <c r="C113" s="473">
        <v>0.60069444444444442</v>
      </c>
      <c r="D113" s="484" t="s">
        <v>114</v>
      </c>
      <c r="E113" s="472" t="s">
        <v>123</v>
      </c>
      <c r="F113" s="486">
        <v>20</v>
      </c>
      <c r="G113" s="486">
        <v>1</v>
      </c>
      <c r="H113" s="614">
        <f t="shared" si="7"/>
        <v>1.1363636363636364E-2</v>
      </c>
      <c r="I113" s="1">
        <f t="shared" si="4"/>
        <v>2.9957322735539909</v>
      </c>
      <c r="J113" s="1">
        <f t="shared" si="4"/>
        <v>0</v>
      </c>
      <c r="K113" s="1">
        <f t="shared" si="5"/>
        <v>-4.4773368144782069</v>
      </c>
    </row>
    <row r="114" spans="1:11">
      <c r="A114" s="483">
        <f t="shared" si="6"/>
        <v>108</v>
      </c>
      <c r="B114" s="485">
        <v>28262</v>
      </c>
      <c r="C114" s="473">
        <v>0.79166666666666663</v>
      </c>
      <c r="D114" s="484" t="s">
        <v>109</v>
      </c>
      <c r="E114" s="472" t="s">
        <v>123</v>
      </c>
      <c r="F114" s="486">
        <v>20</v>
      </c>
      <c r="G114" s="486">
        <v>1</v>
      </c>
      <c r="H114" s="614">
        <f t="shared" si="7"/>
        <v>1.1363636363636364E-2</v>
      </c>
      <c r="I114" s="1">
        <f t="shared" si="4"/>
        <v>2.9957322735539909</v>
      </c>
      <c r="J114" s="1">
        <f t="shared" si="4"/>
        <v>0</v>
      </c>
      <c r="K114" s="1">
        <f t="shared" si="5"/>
        <v>-4.4773368144782069</v>
      </c>
    </row>
    <row r="115" spans="1:11">
      <c r="A115" s="483">
        <f t="shared" si="6"/>
        <v>109</v>
      </c>
      <c r="B115" s="485">
        <v>28262</v>
      </c>
      <c r="C115" s="473">
        <v>0.81041666666666667</v>
      </c>
      <c r="D115" s="484" t="s">
        <v>119</v>
      </c>
      <c r="E115" s="472" t="s">
        <v>123</v>
      </c>
      <c r="F115" s="486">
        <v>20</v>
      </c>
      <c r="G115" s="486">
        <v>6.4</v>
      </c>
      <c r="H115" s="614">
        <f t="shared" si="7"/>
        <v>7.2727272727272738E-2</v>
      </c>
      <c r="I115" s="1">
        <f t="shared" si="4"/>
        <v>2.9957322735539909</v>
      </c>
      <c r="J115" s="1">
        <f t="shared" si="4"/>
        <v>1.8562979903656263</v>
      </c>
      <c r="K115" s="1">
        <f t="shared" si="5"/>
        <v>-2.6210388241125804</v>
      </c>
    </row>
    <row r="116" spans="1:11">
      <c r="A116" s="483">
        <f t="shared" si="6"/>
        <v>110</v>
      </c>
      <c r="B116" s="485">
        <v>28262</v>
      </c>
      <c r="C116" s="473">
        <v>0.82638888888888884</v>
      </c>
      <c r="D116" s="484" t="s">
        <v>114</v>
      </c>
      <c r="E116" s="472" t="s">
        <v>123</v>
      </c>
      <c r="F116" s="486">
        <v>20</v>
      </c>
      <c r="G116" s="486">
        <v>1</v>
      </c>
      <c r="H116" s="614">
        <f t="shared" si="7"/>
        <v>1.1363636363636364E-2</v>
      </c>
      <c r="I116" s="1">
        <f t="shared" si="4"/>
        <v>2.9957322735539909</v>
      </c>
      <c r="J116" s="1">
        <f t="shared" si="4"/>
        <v>0</v>
      </c>
      <c r="K116" s="1">
        <f t="shared" si="5"/>
        <v>-4.4773368144782069</v>
      </c>
    </row>
    <row r="117" spans="1:11">
      <c r="A117" s="483">
        <f t="shared" si="6"/>
        <v>111</v>
      </c>
      <c r="B117" s="485">
        <v>28262</v>
      </c>
      <c r="C117" s="473">
        <v>0.86111111111111116</v>
      </c>
      <c r="D117" s="484" t="s">
        <v>119</v>
      </c>
      <c r="E117" s="472" t="s">
        <v>123</v>
      </c>
      <c r="F117" s="486">
        <v>20</v>
      </c>
      <c r="G117" s="486">
        <v>1</v>
      </c>
      <c r="H117" s="614">
        <f t="shared" si="7"/>
        <v>1.1363636363636364E-2</v>
      </c>
      <c r="I117" s="1">
        <f t="shared" si="4"/>
        <v>2.9957322735539909</v>
      </c>
      <c r="J117" s="1">
        <f t="shared" si="4"/>
        <v>0</v>
      </c>
      <c r="K117" s="1">
        <f t="shared" si="5"/>
        <v>-4.4773368144782069</v>
      </c>
    </row>
    <row r="118" spans="1:11">
      <c r="A118" s="483">
        <f t="shared" si="6"/>
        <v>112</v>
      </c>
      <c r="B118" s="485">
        <v>28265</v>
      </c>
      <c r="C118" s="473">
        <v>0.64444444444444449</v>
      </c>
      <c r="D118" s="484" t="s">
        <v>120</v>
      </c>
      <c r="E118" s="472" t="s">
        <v>123</v>
      </c>
      <c r="F118" s="486">
        <v>30</v>
      </c>
      <c r="G118" s="486">
        <v>2</v>
      </c>
      <c r="H118" s="614">
        <f t="shared" si="7"/>
        <v>3.4090909090909088E-2</v>
      </c>
      <c r="I118" s="1">
        <f t="shared" si="4"/>
        <v>3.4011973816621555</v>
      </c>
      <c r="J118" s="1">
        <f t="shared" si="4"/>
        <v>0.69314718055994529</v>
      </c>
      <c r="K118" s="1">
        <f t="shared" si="5"/>
        <v>-3.3787245258100969</v>
      </c>
    </row>
    <row r="119" spans="1:11">
      <c r="A119" s="483">
        <f t="shared" si="6"/>
        <v>113</v>
      </c>
      <c r="B119" s="485">
        <v>28267</v>
      </c>
      <c r="C119" s="473">
        <v>0.76597222222222217</v>
      </c>
      <c r="D119" s="484" t="s">
        <v>106</v>
      </c>
      <c r="E119" s="472" t="s">
        <v>123</v>
      </c>
      <c r="F119" s="486">
        <v>30</v>
      </c>
      <c r="G119" s="486">
        <v>2</v>
      </c>
      <c r="H119" s="614">
        <f t="shared" si="7"/>
        <v>3.4090909090909088E-2</v>
      </c>
      <c r="I119" s="1">
        <f t="shared" si="4"/>
        <v>3.4011973816621555</v>
      </c>
      <c r="J119" s="1">
        <f t="shared" si="4"/>
        <v>0.69314718055994529</v>
      </c>
      <c r="K119" s="1">
        <f t="shared" si="5"/>
        <v>-3.3787245258100969</v>
      </c>
    </row>
    <row r="120" spans="1:11">
      <c r="A120" s="483">
        <f t="shared" si="6"/>
        <v>114</v>
      </c>
      <c r="B120" s="485">
        <v>28331</v>
      </c>
      <c r="C120" s="473">
        <v>0.9590277777777777</v>
      </c>
      <c r="D120" s="484" t="s">
        <v>103</v>
      </c>
      <c r="E120" s="472" t="s">
        <v>123</v>
      </c>
      <c r="F120" s="486">
        <v>20</v>
      </c>
      <c r="G120" s="486">
        <v>0.5</v>
      </c>
      <c r="H120" s="614">
        <f t="shared" si="7"/>
        <v>5.681818181818182E-3</v>
      </c>
      <c r="I120" s="1">
        <f t="shared" si="4"/>
        <v>2.9957322735539909</v>
      </c>
      <c r="J120" s="1">
        <f t="shared" si="4"/>
        <v>-0.69314718055994529</v>
      </c>
      <c r="K120" s="1">
        <f t="shared" si="5"/>
        <v>-5.1704839950381514</v>
      </c>
    </row>
    <row r="121" spans="1:11">
      <c r="A121" s="483">
        <f t="shared" si="6"/>
        <v>115</v>
      </c>
      <c r="B121" s="485">
        <v>28932</v>
      </c>
      <c r="C121" s="473">
        <v>0.13194444444444445</v>
      </c>
      <c r="D121" s="484" t="s">
        <v>121</v>
      </c>
      <c r="E121" s="472" t="s">
        <v>123</v>
      </c>
      <c r="F121" s="486">
        <v>500</v>
      </c>
      <c r="G121" s="486">
        <v>13.3</v>
      </c>
      <c r="H121" s="614">
        <f t="shared" si="7"/>
        <v>3.7784090909090913</v>
      </c>
      <c r="I121" s="1">
        <f t="shared" si="4"/>
        <v>6.2146080984221914</v>
      </c>
      <c r="J121" s="1">
        <f t="shared" si="4"/>
        <v>2.5877640352277083</v>
      </c>
      <c r="K121" s="1">
        <f t="shared" si="5"/>
        <v>1.3293030456177024</v>
      </c>
    </row>
    <row r="122" spans="1:11">
      <c r="A122" s="483">
        <f t="shared" si="6"/>
        <v>116</v>
      </c>
      <c r="B122" s="485">
        <v>29368</v>
      </c>
      <c r="C122" s="473">
        <v>0.59375</v>
      </c>
      <c r="D122" s="484" t="s">
        <v>108</v>
      </c>
      <c r="E122" s="472" t="s">
        <v>123</v>
      </c>
      <c r="F122" s="486">
        <v>10</v>
      </c>
      <c r="G122" s="486">
        <v>0.1</v>
      </c>
      <c r="H122" s="614">
        <f t="shared" si="7"/>
        <v>5.6818181818181826E-4</v>
      </c>
      <c r="I122" s="1">
        <f t="shared" si="4"/>
        <v>2.3025850929940459</v>
      </c>
      <c r="J122" s="1">
        <f t="shared" si="4"/>
        <v>-2.3025850929940455</v>
      </c>
      <c r="K122" s="1">
        <f t="shared" si="5"/>
        <v>-7.4730690880321973</v>
      </c>
    </row>
    <row r="123" spans="1:11">
      <c r="A123" s="483">
        <f t="shared" si="6"/>
        <v>117</v>
      </c>
      <c r="B123" s="485">
        <v>29376</v>
      </c>
      <c r="C123" s="473">
        <v>0.73611111111111116</v>
      </c>
      <c r="D123" s="484" t="s">
        <v>104</v>
      </c>
      <c r="E123" s="472" t="s">
        <v>123</v>
      </c>
      <c r="F123" s="486">
        <v>60</v>
      </c>
      <c r="G123" s="486">
        <v>2.5</v>
      </c>
      <c r="H123" s="614">
        <f t="shared" si="7"/>
        <v>8.5227272727272721E-2</v>
      </c>
      <c r="I123" s="1">
        <f t="shared" si="4"/>
        <v>4.0943445622221004</v>
      </c>
      <c r="J123" s="1">
        <f t="shared" si="4"/>
        <v>0.91629073187415511</v>
      </c>
      <c r="K123" s="1">
        <f t="shared" si="5"/>
        <v>-2.4624337939359418</v>
      </c>
    </row>
    <row r="124" spans="1:11">
      <c r="A124" s="483">
        <f t="shared" si="6"/>
        <v>118</v>
      </c>
      <c r="B124" s="485">
        <v>29438</v>
      </c>
      <c r="C124" s="473">
        <v>0.66666666666666663</v>
      </c>
      <c r="D124" s="484" t="s">
        <v>100</v>
      </c>
      <c r="E124" s="472" t="s">
        <v>123</v>
      </c>
      <c r="F124" s="486">
        <v>100</v>
      </c>
      <c r="G124" s="486">
        <v>0.6</v>
      </c>
      <c r="H124" s="614">
        <f t="shared" si="7"/>
        <v>3.4090909090909088E-2</v>
      </c>
      <c r="I124" s="1">
        <f t="shared" si="4"/>
        <v>4.6051701859880918</v>
      </c>
      <c r="J124" s="1">
        <f t="shared" si="4"/>
        <v>-0.51082562376599072</v>
      </c>
      <c r="K124" s="1">
        <f t="shared" si="5"/>
        <v>-3.3787245258100969</v>
      </c>
    </row>
    <row r="125" spans="1:11">
      <c r="A125" s="483">
        <f t="shared" si="6"/>
        <v>119</v>
      </c>
      <c r="B125" s="485">
        <v>29438</v>
      </c>
      <c r="C125" s="473">
        <v>0.69444444444444453</v>
      </c>
      <c r="D125" s="484" t="s">
        <v>100</v>
      </c>
      <c r="E125" s="472" t="s">
        <v>123</v>
      </c>
      <c r="F125" s="486">
        <v>100</v>
      </c>
      <c r="G125" s="486">
        <v>3.6</v>
      </c>
      <c r="H125" s="614">
        <f t="shared" si="7"/>
        <v>0.20454545454545453</v>
      </c>
      <c r="I125" s="1">
        <f t="shared" si="4"/>
        <v>4.6051701859880918</v>
      </c>
      <c r="J125" s="1">
        <f t="shared" si="4"/>
        <v>1.2809338454620642</v>
      </c>
      <c r="K125" s="1">
        <f t="shared" si="5"/>
        <v>-1.5869650565820419</v>
      </c>
    </row>
    <row r="126" spans="1:11">
      <c r="A126" s="483">
        <f t="shared" si="6"/>
        <v>120</v>
      </c>
      <c r="B126" s="485">
        <v>29714</v>
      </c>
      <c r="C126" s="473">
        <v>0.9375</v>
      </c>
      <c r="D126" s="484" t="s">
        <v>111</v>
      </c>
      <c r="E126" s="472" t="s">
        <v>123</v>
      </c>
      <c r="F126" s="486">
        <v>30</v>
      </c>
      <c r="G126" s="486">
        <v>1</v>
      </c>
      <c r="H126" s="614">
        <f t="shared" si="7"/>
        <v>1.7045454545454544E-2</v>
      </c>
      <c r="I126" s="1">
        <f t="shared" si="4"/>
        <v>3.4011973816621555</v>
      </c>
      <c r="J126" s="1">
        <f t="shared" si="4"/>
        <v>0</v>
      </c>
      <c r="K126" s="1">
        <f t="shared" si="5"/>
        <v>-4.0718717063700423</v>
      </c>
    </row>
    <row r="127" spans="1:11">
      <c r="A127" s="483">
        <f t="shared" si="6"/>
        <v>121</v>
      </c>
      <c r="B127" s="485">
        <v>29739</v>
      </c>
      <c r="C127" s="473">
        <v>0.875</v>
      </c>
      <c r="D127" s="484" t="s">
        <v>121</v>
      </c>
      <c r="E127" s="472" t="s">
        <v>123</v>
      </c>
      <c r="F127" s="486">
        <v>40</v>
      </c>
      <c r="G127" s="486">
        <v>1</v>
      </c>
      <c r="H127" s="614">
        <f t="shared" si="7"/>
        <v>2.2727272727272728E-2</v>
      </c>
      <c r="I127" s="1">
        <f t="shared" si="4"/>
        <v>3.6888794541139363</v>
      </c>
      <c r="J127" s="1">
        <f t="shared" si="4"/>
        <v>0</v>
      </c>
      <c r="K127" s="1">
        <f t="shared" si="5"/>
        <v>-3.784189633918261</v>
      </c>
    </row>
    <row r="128" spans="1:11">
      <c r="A128" s="483">
        <f t="shared" si="6"/>
        <v>122</v>
      </c>
      <c r="B128" s="485">
        <v>29774</v>
      </c>
      <c r="C128" s="473">
        <v>0.96875</v>
      </c>
      <c r="D128" s="484" t="s">
        <v>117</v>
      </c>
      <c r="E128" s="472" t="s">
        <v>123</v>
      </c>
      <c r="F128" s="486">
        <v>10</v>
      </c>
      <c r="G128" s="486">
        <v>0.3</v>
      </c>
      <c r="H128" s="614">
        <f t="shared" si="7"/>
        <v>1.7045454545454545E-3</v>
      </c>
      <c r="I128" s="1">
        <f t="shared" si="4"/>
        <v>2.3025850929940459</v>
      </c>
      <c r="J128" s="1">
        <f t="shared" si="4"/>
        <v>-1.2039728043259361</v>
      </c>
      <c r="K128" s="1">
        <f t="shared" si="5"/>
        <v>-6.3744567993640882</v>
      </c>
    </row>
    <row r="129" spans="1:11">
      <c r="A129" s="483">
        <f t="shared" si="6"/>
        <v>123</v>
      </c>
      <c r="B129" s="485">
        <v>30080</v>
      </c>
      <c r="C129" s="473">
        <v>0.83333333333333337</v>
      </c>
      <c r="D129" s="484" t="s">
        <v>113</v>
      </c>
      <c r="E129" s="472" t="s">
        <v>123</v>
      </c>
      <c r="F129" s="486">
        <v>10</v>
      </c>
      <c r="G129" s="486">
        <v>0.1</v>
      </c>
      <c r="H129" s="614">
        <f t="shared" si="7"/>
        <v>5.6818181818181826E-4</v>
      </c>
      <c r="I129" s="1">
        <f t="shared" si="4"/>
        <v>2.3025850929940459</v>
      </c>
      <c r="J129" s="1">
        <f t="shared" si="4"/>
        <v>-2.3025850929940455</v>
      </c>
      <c r="K129" s="1">
        <f t="shared" si="5"/>
        <v>-7.4730690880321973</v>
      </c>
    </row>
    <row r="130" spans="1:11">
      <c r="A130" s="483">
        <f t="shared" si="6"/>
        <v>124</v>
      </c>
      <c r="B130" s="485">
        <v>30083</v>
      </c>
      <c r="C130" s="473">
        <v>0.61111111111111105</v>
      </c>
      <c r="D130" s="484" t="s">
        <v>114</v>
      </c>
      <c r="E130" s="472" t="s">
        <v>123</v>
      </c>
      <c r="F130" s="486">
        <v>30</v>
      </c>
      <c r="G130" s="486">
        <v>0.6</v>
      </c>
      <c r="H130" s="614">
        <f t="shared" si="7"/>
        <v>1.0227272727272725E-2</v>
      </c>
      <c r="I130" s="1">
        <f t="shared" si="4"/>
        <v>3.4011973816621555</v>
      </c>
      <c r="J130" s="1">
        <f t="shared" si="4"/>
        <v>-0.51082562376599072</v>
      </c>
      <c r="K130" s="1">
        <f t="shared" si="5"/>
        <v>-4.5826973301360328</v>
      </c>
    </row>
    <row r="131" spans="1:11">
      <c r="A131" s="483">
        <f t="shared" si="6"/>
        <v>125</v>
      </c>
      <c r="B131" s="485">
        <v>30090</v>
      </c>
      <c r="C131" s="473">
        <v>0.81597222222222221</v>
      </c>
      <c r="D131" s="484" t="s">
        <v>111</v>
      </c>
      <c r="E131" s="472" t="s">
        <v>123</v>
      </c>
      <c r="F131" s="486">
        <v>10</v>
      </c>
      <c r="G131" s="486">
        <v>0.4</v>
      </c>
      <c r="H131" s="614">
        <f t="shared" si="7"/>
        <v>2.2727272727272731E-3</v>
      </c>
      <c r="I131" s="1">
        <f t="shared" si="4"/>
        <v>2.3025850929940459</v>
      </c>
      <c r="J131" s="1">
        <f t="shared" si="4"/>
        <v>-0.916290731874155</v>
      </c>
      <c r="K131" s="1">
        <f t="shared" si="5"/>
        <v>-6.0867747269123065</v>
      </c>
    </row>
    <row r="132" spans="1:11">
      <c r="A132" s="483">
        <f t="shared" si="6"/>
        <v>126</v>
      </c>
      <c r="B132" s="485">
        <v>30090</v>
      </c>
      <c r="C132" s="473">
        <v>0.81597222222222221</v>
      </c>
      <c r="D132" s="484" t="s">
        <v>110</v>
      </c>
      <c r="E132" s="472" t="s">
        <v>123</v>
      </c>
      <c r="F132" s="486">
        <v>10</v>
      </c>
      <c r="G132" s="486">
        <v>0.2</v>
      </c>
      <c r="H132" s="614">
        <f t="shared" si="7"/>
        <v>1.1363636363636365E-3</v>
      </c>
      <c r="I132" s="1">
        <f t="shared" si="4"/>
        <v>2.3025850929940459</v>
      </c>
      <c r="J132" s="1">
        <f t="shared" si="4"/>
        <v>-1.6094379124341003</v>
      </c>
      <c r="K132" s="1">
        <f t="shared" si="5"/>
        <v>-6.7799219074722519</v>
      </c>
    </row>
    <row r="133" spans="1:11">
      <c r="A133" s="483">
        <f t="shared" si="6"/>
        <v>127</v>
      </c>
      <c r="B133" s="485">
        <v>30101</v>
      </c>
      <c r="C133" s="473">
        <v>0.77083333333333337</v>
      </c>
      <c r="D133" s="484" t="s">
        <v>105</v>
      </c>
      <c r="E133" s="472" t="s">
        <v>123</v>
      </c>
      <c r="F133" s="486">
        <v>50</v>
      </c>
      <c r="G133" s="486">
        <v>0.4</v>
      </c>
      <c r="H133" s="614">
        <f t="shared" si="7"/>
        <v>1.1363636363636364E-2</v>
      </c>
      <c r="I133" s="1">
        <f t="shared" si="4"/>
        <v>3.912023005428146</v>
      </c>
      <c r="J133" s="1">
        <f t="shared" si="4"/>
        <v>-0.916290731874155</v>
      </c>
      <c r="K133" s="1">
        <f t="shared" si="5"/>
        <v>-4.4773368144782069</v>
      </c>
    </row>
    <row r="134" spans="1:11">
      <c r="A134" s="483">
        <f t="shared" si="6"/>
        <v>128</v>
      </c>
      <c r="B134" s="485">
        <v>30126</v>
      </c>
      <c r="C134" s="473">
        <v>0.79513888888888884</v>
      </c>
      <c r="D134" s="484" t="s">
        <v>115</v>
      </c>
      <c r="E134" s="472" t="s">
        <v>123</v>
      </c>
      <c r="F134" s="486">
        <v>3</v>
      </c>
      <c r="G134" s="486">
        <v>0.1</v>
      </c>
      <c r="H134" s="614">
        <f t="shared" si="7"/>
        <v>1.7045454545454547E-4</v>
      </c>
      <c r="I134" s="1">
        <f t="shared" si="4"/>
        <v>1.0986122886681098</v>
      </c>
      <c r="J134" s="1">
        <f t="shared" si="4"/>
        <v>-2.3025850929940455</v>
      </c>
      <c r="K134" s="1">
        <f t="shared" si="5"/>
        <v>-8.6770418923581332</v>
      </c>
    </row>
    <row r="135" spans="1:11">
      <c r="A135" s="483">
        <f t="shared" si="6"/>
        <v>129</v>
      </c>
      <c r="B135" s="485">
        <v>30178</v>
      </c>
      <c r="C135" s="473">
        <v>0.70833333333333337</v>
      </c>
      <c r="D135" s="484" t="s">
        <v>100</v>
      </c>
      <c r="E135" s="472" t="s">
        <v>123</v>
      </c>
      <c r="F135" s="486">
        <v>10</v>
      </c>
      <c r="G135" s="486">
        <v>0.1</v>
      </c>
      <c r="H135" s="614">
        <f t="shared" si="7"/>
        <v>5.6818181818181826E-4</v>
      </c>
      <c r="I135" s="1">
        <f t="shared" si="4"/>
        <v>2.3025850929940459</v>
      </c>
      <c r="J135" s="1">
        <f t="shared" si="4"/>
        <v>-2.3025850929940455</v>
      </c>
      <c r="K135" s="1">
        <f t="shared" si="5"/>
        <v>-7.4730690880321973</v>
      </c>
    </row>
    <row r="136" spans="1:11">
      <c r="A136" s="483">
        <f t="shared" si="6"/>
        <v>130</v>
      </c>
      <c r="B136" s="485">
        <v>30460</v>
      </c>
      <c r="C136" s="473">
        <v>0.83333333333333337</v>
      </c>
      <c r="D136" s="484" t="s">
        <v>111</v>
      </c>
      <c r="E136" s="472" t="s">
        <v>123</v>
      </c>
      <c r="F136" s="486">
        <v>60</v>
      </c>
      <c r="G136" s="486">
        <v>0.3</v>
      </c>
      <c r="H136" s="614">
        <f t="shared" si="7"/>
        <v>1.0227272727272725E-2</v>
      </c>
      <c r="I136" s="1">
        <f t="shared" ref="I136:J199" si="8">LN(F136)</f>
        <v>4.0943445622221004</v>
      </c>
      <c r="J136" s="1">
        <f t="shared" si="8"/>
        <v>-1.2039728043259361</v>
      </c>
      <c r="K136" s="1">
        <f t="shared" ref="K136:K199" si="9">LN(H136)</f>
        <v>-4.5826973301360328</v>
      </c>
    </row>
    <row r="137" spans="1:11">
      <c r="A137" s="483">
        <f t="shared" ref="A137:A200" si="10">+A136+1</f>
        <v>131</v>
      </c>
      <c r="B137" s="485">
        <v>30476</v>
      </c>
      <c r="C137" s="473">
        <v>0.94791666666666663</v>
      </c>
      <c r="D137" s="484" t="s">
        <v>109</v>
      </c>
      <c r="E137" s="472" t="s">
        <v>123</v>
      </c>
      <c r="F137" s="486">
        <v>17</v>
      </c>
      <c r="G137" s="486">
        <v>0.1</v>
      </c>
      <c r="H137" s="614">
        <f t="shared" ref="H137:H200" si="11">+(F137/1760)*G137</f>
        <v>9.6590909090909095E-4</v>
      </c>
      <c r="I137" s="1">
        <f t="shared" si="8"/>
        <v>2.8332133440562162</v>
      </c>
      <c r="J137" s="1">
        <f t="shared" si="8"/>
        <v>-2.3025850929940455</v>
      </c>
      <c r="K137" s="1">
        <f t="shared" si="9"/>
        <v>-6.942440836970027</v>
      </c>
    </row>
    <row r="138" spans="1:11">
      <c r="A138" s="483">
        <f t="shared" si="10"/>
        <v>132</v>
      </c>
      <c r="B138" s="485">
        <v>30476</v>
      </c>
      <c r="C138" s="473">
        <v>0.95833333333333337</v>
      </c>
      <c r="D138" s="484" t="s">
        <v>109</v>
      </c>
      <c r="E138" s="472" t="s">
        <v>123</v>
      </c>
      <c r="F138" s="486">
        <v>17</v>
      </c>
      <c r="G138" s="486">
        <v>0.1</v>
      </c>
      <c r="H138" s="614">
        <f t="shared" si="11"/>
        <v>9.6590909090909095E-4</v>
      </c>
      <c r="I138" s="1">
        <f t="shared" si="8"/>
        <v>2.8332133440562162</v>
      </c>
      <c r="J138" s="1">
        <f t="shared" si="8"/>
        <v>-2.3025850929940455</v>
      </c>
      <c r="K138" s="1">
        <f t="shared" si="9"/>
        <v>-6.942440836970027</v>
      </c>
    </row>
    <row r="139" spans="1:11">
      <c r="A139" s="483">
        <f t="shared" si="10"/>
        <v>133</v>
      </c>
      <c r="B139" s="485">
        <v>30478</v>
      </c>
      <c r="C139" s="473">
        <v>6.9444444444444441E-3</v>
      </c>
      <c r="D139" s="484" t="s">
        <v>110</v>
      </c>
      <c r="E139" s="472" t="s">
        <v>123</v>
      </c>
      <c r="F139" s="486">
        <v>17</v>
      </c>
      <c r="G139" s="486">
        <v>0.1</v>
      </c>
      <c r="H139" s="614">
        <f t="shared" si="11"/>
        <v>9.6590909090909095E-4</v>
      </c>
      <c r="I139" s="1">
        <f t="shared" si="8"/>
        <v>2.8332133440562162</v>
      </c>
      <c r="J139" s="1">
        <f t="shared" si="8"/>
        <v>-2.3025850929940455</v>
      </c>
      <c r="K139" s="1">
        <f t="shared" si="9"/>
        <v>-6.942440836970027</v>
      </c>
    </row>
    <row r="140" spans="1:11">
      <c r="A140" s="483">
        <f t="shared" si="10"/>
        <v>134</v>
      </c>
      <c r="B140" s="485">
        <v>30843</v>
      </c>
      <c r="C140" s="473">
        <v>0.68055555555555547</v>
      </c>
      <c r="D140" s="484" t="s">
        <v>119</v>
      </c>
      <c r="E140" s="472" t="s">
        <v>123</v>
      </c>
      <c r="F140" s="486">
        <v>20</v>
      </c>
      <c r="G140" s="486">
        <v>0.1</v>
      </c>
      <c r="H140" s="614">
        <f t="shared" si="11"/>
        <v>1.1363636363636365E-3</v>
      </c>
      <c r="I140" s="1">
        <f t="shared" si="8"/>
        <v>2.9957322735539909</v>
      </c>
      <c r="J140" s="1">
        <f t="shared" si="8"/>
        <v>-2.3025850929940455</v>
      </c>
      <c r="K140" s="1">
        <f t="shared" si="9"/>
        <v>-6.7799219074722519</v>
      </c>
    </row>
    <row r="141" spans="1:11">
      <c r="A141" s="483">
        <f t="shared" si="10"/>
        <v>135</v>
      </c>
      <c r="B141" s="485">
        <v>30843</v>
      </c>
      <c r="C141" s="473">
        <v>0.70138888888888884</v>
      </c>
      <c r="D141" s="484" t="s">
        <v>119</v>
      </c>
      <c r="E141" s="472" t="s">
        <v>123</v>
      </c>
      <c r="F141" s="486">
        <v>20</v>
      </c>
      <c r="G141" s="486">
        <v>0.1</v>
      </c>
      <c r="H141" s="614">
        <f t="shared" si="11"/>
        <v>1.1363636363636365E-3</v>
      </c>
      <c r="I141" s="1">
        <f t="shared" si="8"/>
        <v>2.9957322735539909</v>
      </c>
      <c r="J141" s="1">
        <f t="shared" si="8"/>
        <v>-2.3025850929940455</v>
      </c>
      <c r="K141" s="1">
        <f t="shared" si="9"/>
        <v>-6.7799219074722519</v>
      </c>
    </row>
    <row r="142" spans="1:11">
      <c r="A142" s="483">
        <f t="shared" si="10"/>
        <v>136</v>
      </c>
      <c r="B142" s="485">
        <v>31922</v>
      </c>
      <c r="C142" s="473">
        <v>0.68055555555555547</v>
      </c>
      <c r="D142" s="484" t="s">
        <v>104</v>
      </c>
      <c r="E142" s="472" t="s">
        <v>123</v>
      </c>
      <c r="F142" s="486">
        <v>100</v>
      </c>
      <c r="G142" s="486">
        <v>2</v>
      </c>
      <c r="H142" s="614">
        <f t="shared" si="11"/>
        <v>0.11363636363636363</v>
      </c>
      <c r="I142" s="1">
        <f t="shared" si="8"/>
        <v>4.6051701859880918</v>
      </c>
      <c r="J142" s="1">
        <f t="shared" si="8"/>
        <v>0.69314718055994529</v>
      </c>
      <c r="K142" s="1">
        <f t="shared" si="9"/>
        <v>-2.174751721484161</v>
      </c>
    </row>
    <row r="143" spans="1:11">
      <c r="A143" s="483">
        <f t="shared" si="10"/>
        <v>137</v>
      </c>
      <c r="B143" s="485">
        <v>31922</v>
      </c>
      <c r="C143" s="473">
        <v>0.81597222222222221</v>
      </c>
      <c r="D143" s="484" t="s">
        <v>105</v>
      </c>
      <c r="E143" s="472" t="s">
        <v>123</v>
      </c>
      <c r="F143" s="486">
        <v>80</v>
      </c>
      <c r="G143" s="486">
        <v>10</v>
      </c>
      <c r="H143" s="614">
        <f t="shared" si="11"/>
        <v>0.45454545454545459</v>
      </c>
      <c r="I143" s="1">
        <f t="shared" si="8"/>
        <v>4.3820266346738812</v>
      </c>
      <c r="J143" s="1">
        <f t="shared" si="8"/>
        <v>2.3025850929940459</v>
      </c>
      <c r="K143" s="1">
        <f t="shared" si="9"/>
        <v>-0.78845736036427005</v>
      </c>
    </row>
    <row r="144" spans="1:11">
      <c r="A144" s="483">
        <f t="shared" si="10"/>
        <v>138</v>
      </c>
      <c r="B144" s="485">
        <v>31927</v>
      </c>
      <c r="C144" s="473">
        <v>0.84513888888888899</v>
      </c>
      <c r="D144" s="484" t="s">
        <v>104</v>
      </c>
      <c r="E144" s="472" t="s">
        <v>123</v>
      </c>
      <c r="F144" s="486">
        <v>70</v>
      </c>
      <c r="G144" s="486">
        <v>4</v>
      </c>
      <c r="H144" s="614">
        <f t="shared" si="11"/>
        <v>0.15909090909090909</v>
      </c>
      <c r="I144" s="1">
        <f t="shared" si="8"/>
        <v>4.2484952420493594</v>
      </c>
      <c r="J144" s="1">
        <f t="shared" si="8"/>
        <v>1.3862943611198906</v>
      </c>
      <c r="K144" s="1">
        <f t="shared" si="9"/>
        <v>-1.8382794848629478</v>
      </c>
    </row>
    <row r="145" spans="1:11">
      <c r="A145" s="483">
        <f t="shared" si="10"/>
        <v>139</v>
      </c>
      <c r="B145" s="485">
        <v>31930</v>
      </c>
      <c r="C145" s="473">
        <v>0.77777777777777779</v>
      </c>
      <c r="D145" s="484" t="s">
        <v>113</v>
      </c>
      <c r="E145" s="472" t="s">
        <v>123</v>
      </c>
      <c r="F145" s="486">
        <v>100</v>
      </c>
      <c r="G145" s="486">
        <v>3</v>
      </c>
      <c r="H145" s="614">
        <f t="shared" si="11"/>
        <v>0.17045454545454544</v>
      </c>
      <c r="I145" s="1">
        <f t="shared" si="8"/>
        <v>4.6051701859880918</v>
      </c>
      <c r="J145" s="1">
        <f t="shared" si="8"/>
        <v>1.0986122886681098</v>
      </c>
      <c r="K145" s="1">
        <f t="shared" si="9"/>
        <v>-1.7692866133759966</v>
      </c>
    </row>
    <row r="146" spans="1:11">
      <c r="A146" s="483">
        <f t="shared" si="10"/>
        <v>140</v>
      </c>
      <c r="B146" s="485">
        <v>31939</v>
      </c>
      <c r="C146" s="473">
        <v>0.72222222222222221</v>
      </c>
      <c r="D146" s="484" t="s">
        <v>105</v>
      </c>
      <c r="E146" s="472" t="s">
        <v>123</v>
      </c>
      <c r="F146" s="486">
        <v>60</v>
      </c>
      <c r="G146" s="486">
        <v>1.5</v>
      </c>
      <c r="H146" s="614">
        <f t="shared" si="11"/>
        <v>5.1136363636363633E-2</v>
      </c>
      <c r="I146" s="1">
        <f t="shared" si="8"/>
        <v>4.0943445622221004</v>
      </c>
      <c r="J146" s="1">
        <f t="shared" si="8"/>
        <v>0.40546510810816438</v>
      </c>
      <c r="K146" s="1">
        <f t="shared" si="9"/>
        <v>-2.9732594177019327</v>
      </c>
    </row>
    <row r="147" spans="1:11">
      <c r="A147" s="483">
        <f t="shared" si="10"/>
        <v>141</v>
      </c>
      <c r="B147" s="485">
        <v>31959</v>
      </c>
      <c r="C147" s="473">
        <v>0.79513888888888884</v>
      </c>
      <c r="D147" s="484" t="s">
        <v>109</v>
      </c>
      <c r="E147" s="472" t="s">
        <v>123</v>
      </c>
      <c r="F147" s="486">
        <v>80</v>
      </c>
      <c r="G147" s="486">
        <v>3</v>
      </c>
      <c r="H147" s="614">
        <f t="shared" si="11"/>
        <v>0.13636363636363635</v>
      </c>
      <c r="I147" s="1">
        <f t="shared" si="8"/>
        <v>4.3820266346738812</v>
      </c>
      <c r="J147" s="1">
        <f t="shared" si="8"/>
        <v>1.0986122886681098</v>
      </c>
      <c r="K147" s="1">
        <f t="shared" si="9"/>
        <v>-1.9924301646902063</v>
      </c>
    </row>
    <row r="148" spans="1:11">
      <c r="A148" s="483">
        <f t="shared" si="10"/>
        <v>142</v>
      </c>
      <c r="B148" s="485">
        <v>31965</v>
      </c>
      <c r="C148" s="473">
        <v>0.77777777777777779</v>
      </c>
      <c r="D148" s="484" t="s">
        <v>103</v>
      </c>
      <c r="E148" s="472" t="s">
        <v>123</v>
      </c>
      <c r="F148" s="486">
        <v>40</v>
      </c>
      <c r="G148" s="486">
        <v>0.5</v>
      </c>
      <c r="H148" s="614">
        <f t="shared" si="11"/>
        <v>1.1363636363636364E-2</v>
      </c>
      <c r="I148" s="1">
        <f t="shared" si="8"/>
        <v>3.6888794541139363</v>
      </c>
      <c r="J148" s="1">
        <f t="shared" si="8"/>
        <v>-0.69314718055994529</v>
      </c>
      <c r="K148" s="1">
        <f t="shared" si="9"/>
        <v>-4.4773368144782069</v>
      </c>
    </row>
    <row r="149" spans="1:11">
      <c r="A149" s="483">
        <f t="shared" si="10"/>
        <v>143</v>
      </c>
      <c r="B149" s="485">
        <v>31972</v>
      </c>
      <c r="C149" s="473">
        <v>0.66319444444444442</v>
      </c>
      <c r="D149" s="484" t="s">
        <v>105</v>
      </c>
      <c r="E149" s="472" t="s">
        <v>123</v>
      </c>
      <c r="F149" s="486">
        <v>90</v>
      </c>
      <c r="G149" s="486">
        <v>2</v>
      </c>
      <c r="H149" s="614">
        <f t="shared" si="11"/>
        <v>0.10227272727272728</v>
      </c>
      <c r="I149" s="1">
        <f t="shared" si="8"/>
        <v>4.499809670330265</v>
      </c>
      <c r="J149" s="1">
        <f t="shared" si="8"/>
        <v>0.69314718055994529</v>
      </c>
      <c r="K149" s="1">
        <f t="shared" si="9"/>
        <v>-2.2801122371419869</v>
      </c>
    </row>
    <row r="150" spans="1:11">
      <c r="A150" s="483">
        <f t="shared" si="10"/>
        <v>144</v>
      </c>
      <c r="B150" s="485">
        <v>32293</v>
      </c>
      <c r="C150" s="473">
        <v>0.76041666666666663</v>
      </c>
      <c r="D150" s="484" t="s">
        <v>99</v>
      </c>
      <c r="E150" s="472" t="s">
        <v>123</v>
      </c>
      <c r="F150" s="486">
        <v>73</v>
      </c>
      <c r="G150" s="486">
        <v>10</v>
      </c>
      <c r="H150" s="614">
        <f t="shared" si="11"/>
        <v>0.41477272727272729</v>
      </c>
      <c r="I150" s="1">
        <f t="shared" si="8"/>
        <v>4.290459441148391</v>
      </c>
      <c r="J150" s="1">
        <f t="shared" si="8"/>
        <v>2.3025850929940459</v>
      </c>
      <c r="K150" s="1">
        <f t="shared" si="9"/>
        <v>-0.88002455388976064</v>
      </c>
    </row>
    <row r="151" spans="1:11">
      <c r="A151" s="483">
        <f t="shared" si="10"/>
        <v>145</v>
      </c>
      <c r="B151" s="485">
        <v>32643</v>
      </c>
      <c r="C151" s="473">
        <v>0.78125</v>
      </c>
      <c r="D151" s="484" t="s">
        <v>112</v>
      </c>
      <c r="E151" s="472" t="s">
        <v>123</v>
      </c>
      <c r="F151" s="486">
        <v>210</v>
      </c>
      <c r="G151" s="486">
        <v>4</v>
      </c>
      <c r="H151" s="614">
        <f t="shared" si="11"/>
        <v>0.47727272727272729</v>
      </c>
      <c r="I151" s="1">
        <f t="shared" si="8"/>
        <v>5.3471075307174685</v>
      </c>
      <c r="J151" s="1">
        <f t="shared" si="8"/>
        <v>1.3862943611198906</v>
      </c>
      <c r="K151" s="1">
        <f t="shared" si="9"/>
        <v>-0.73966719619483812</v>
      </c>
    </row>
    <row r="152" spans="1:11">
      <c r="A152" s="483">
        <f t="shared" si="10"/>
        <v>146</v>
      </c>
      <c r="B152" s="485">
        <v>32644</v>
      </c>
      <c r="C152" s="473">
        <v>0.57986111111111105</v>
      </c>
      <c r="D152" s="484" t="s">
        <v>112</v>
      </c>
      <c r="E152" s="472" t="s">
        <v>123</v>
      </c>
      <c r="F152" s="486">
        <v>80</v>
      </c>
      <c r="G152" s="486">
        <v>3</v>
      </c>
      <c r="H152" s="614">
        <f t="shared" si="11"/>
        <v>0.13636363636363635</v>
      </c>
      <c r="I152" s="1">
        <f t="shared" si="8"/>
        <v>4.3820266346738812</v>
      </c>
      <c r="J152" s="1">
        <f t="shared" si="8"/>
        <v>1.0986122886681098</v>
      </c>
      <c r="K152" s="1">
        <f t="shared" si="9"/>
        <v>-1.9924301646902063</v>
      </c>
    </row>
    <row r="153" spans="1:11">
      <c r="A153" s="483">
        <f t="shared" si="10"/>
        <v>147</v>
      </c>
      <c r="B153" s="485">
        <v>32644</v>
      </c>
      <c r="C153" s="473">
        <v>0.72430555555555554</v>
      </c>
      <c r="D153" s="484" t="s">
        <v>113</v>
      </c>
      <c r="E153" s="472" t="s">
        <v>123</v>
      </c>
      <c r="F153" s="486">
        <v>110</v>
      </c>
      <c r="G153" s="486">
        <v>0.2</v>
      </c>
      <c r="H153" s="614">
        <f t="shared" si="11"/>
        <v>1.2500000000000001E-2</v>
      </c>
      <c r="I153" s="1">
        <f t="shared" si="8"/>
        <v>4.7004803657924166</v>
      </c>
      <c r="J153" s="1">
        <f t="shared" si="8"/>
        <v>-1.6094379124341003</v>
      </c>
      <c r="K153" s="1">
        <f t="shared" si="9"/>
        <v>-4.3820266346738812</v>
      </c>
    </row>
    <row r="154" spans="1:11">
      <c r="A154" s="483">
        <f t="shared" si="10"/>
        <v>148</v>
      </c>
      <c r="B154" s="485">
        <v>32665</v>
      </c>
      <c r="C154" s="473">
        <v>0.84236111111111101</v>
      </c>
      <c r="D154" s="484" t="s">
        <v>106</v>
      </c>
      <c r="E154" s="472" t="s">
        <v>123</v>
      </c>
      <c r="F154" s="486">
        <v>60</v>
      </c>
      <c r="G154" s="486">
        <v>1</v>
      </c>
      <c r="H154" s="614">
        <f t="shared" si="11"/>
        <v>3.4090909090909088E-2</v>
      </c>
      <c r="I154" s="1">
        <f t="shared" si="8"/>
        <v>4.0943445622221004</v>
      </c>
      <c r="J154" s="1">
        <f t="shared" si="8"/>
        <v>0</v>
      </c>
      <c r="K154" s="1">
        <f t="shared" si="9"/>
        <v>-3.3787245258100969</v>
      </c>
    </row>
    <row r="155" spans="1:11">
      <c r="A155" s="483">
        <f t="shared" si="10"/>
        <v>149</v>
      </c>
      <c r="B155" s="485">
        <v>32665</v>
      </c>
      <c r="C155" s="473">
        <v>0.85624999999999996</v>
      </c>
      <c r="D155" s="484" t="s">
        <v>106</v>
      </c>
      <c r="E155" s="472" t="s">
        <v>123</v>
      </c>
      <c r="F155" s="486">
        <v>40</v>
      </c>
      <c r="G155" s="486">
        <v>1</v>
      </c>
      <c r="H155" s="614">
        <f t="shared" si="11"/>
        <v>2.2727272727272728E-2</v>
      </c>
      <c r="I155" s="1">
        <f t="shared" si="8"/>
        <v>3.6888794541139363</v>
      </c>
      <c r="J155" s="1">
        <f t="shared" si="8"/>
        <v>0</v>
      </c>
      <c r="K155" s="1">
        <f t="shared" si="9"/>
        <v>-3.784189633918261</v>
      </c>
    </row>
    <row r="156" spans="1:11">
      <c r="A156" s="483">
        <f t="shared" si="10"/>
        <v>150</v>
      </c>
      <c r="B156" s="485">
        <v>32670</v>
      </c>
      <c r="C156" s="473">
        <v>0.91319444444444453</v>
      </c>
      <c r="D156" s="484" t="s">
        <v>114</v>
      </c>
      <c r="E156" s="472" t="s">
        <v>123</v>
      </c>
      <c r="F156" s="486">
        <v>150</v>
      </c>
      <c r="G156" s="486">
        <v>4</v>
      </c>
      <c r="H156" s="614">
        <f t="shared" si="11"/>
        <v>0.34090909090909088</v>
      </c>
      <c r="I156" s="1">
        <f t="shared" si="8"/>
        <v>5.0106352940962555</v>
      </c>
      <c r="J156" s="1">
        <f t="shared" si="8"/>
        <v>1.3862943611198906</v>
      </c>
      <c r="K156" s="1">
        <f t="shared" si="9"/>
        <v>-1.0761394328160512</v>
      </c>
    </row>
    <row r="157" spans="1:11">
      <c r="A157" s="483">
        <f t="shared" si="10"/>
        <v>151</v>
      </c>
      <c r="B157" s="485">
        <v>32671</v>
      </c>
      <c r="C157" s="473">
        <v>0.78472222222222221</v>
      </c>
      <c r="D157" s="484" t="s">
        <v>109</v>
      </c>
      <c r="E157" s="472" t="s">
        <v>123</v>
      </c>
      <c r="F157" s="486">
        <v>100</v>
      </c>
      <c r="G157" s="486">
        <v>1</v>
      </c>
      <c r="H157" s="614">
        <f t="shared" si="11"/>
        <v>5.6818181818181816E-2</v>
      </c>
      <c r="I157" s="1">
        <f t="shared" si="8"/>
        <v>4.6051701859880918</v>
      </c>
      <c r="J157" s="1">
        <f t="shared" si="8"/>
        <v>0</v>
      </c>
      <c r="K157" s="1">
        <f t="shared" si="9"/>
        <v>-2.8678989020441059</v>
      </c>
    </row>
    <row r="158" spans="1:11">
      <c r="A158" s="483">
        <f t="shared" si="10"/>
        <v>152</v>
      </c>
      <c r="B158" s="485">
        <v>32987</v>
      </c>
      <c r="C158" s="473">
        <v>0.84375</v>
      </c>
      <c r="D158" s="484" t="s">
        <v>111</v>
      </c>
      <c r="E158" s="472" t="s">
        <v>123</v>
      </c>
      <c r="F158" s="486">
        <v>130</v>
      </c>
      <c r="G158" s="486">
        <v>3</v>
      </c>
      <c r="H158" s="614">
        <f t="shared" si="11"/>
        <v>0.22159090909090912</v>
      </c>
      <c r="I158" s="1">
        <f t="shared" si="8"/>
        <v>4.8675344504555822</v>
      </c>
      <c r="J158" s="1">
        <f t="shared" si="8"/>
        <v>1.0986122886681098</v>
      </c>
      <c r="K158" s="1">
        <f t="shared" si="9"/>
        <v>-1.5069223489085053</v>
      </c>
    </row>
    <row r="159" spans="1:11">
      <c r="A159" s="483">
        <f t="shared" si="10"/>
        <v>153</v>
      </c>
      <c r="B159" s="485">
        <v>32987</v>
      </c>
      <c r="C159" s="473">
        <v>0.87291666666666667</v>
      </c>
      <c r="D159" s="484" t="s">
        <v>106</v>
      </c>
      <c r="E159" s="472" t="s">
        <v>123</v>
      </c>
      <c r="F159" s="486">
        <v>110</v>
      </c>
      <c r="G159" s="486">
        <v>2.5</v>
      </c>
      <c r="H159" s="614">
        <f t="shared" si="11"/>
        <v>0.15625</v>
      </c>
      <c r="I159" s="1">
        <f t="shared" si="8"/>
        <v>4.7004803657924166</v>
      </c>
      <c r="J159" s="1">
        <f t="shared" si="8"/>
        <v>0.91629073187415511</v>
      </c>
      <c r="K159" s="1">
        <f t="shared" si="9"/>
        <v>-1.8562979903656263</v>
      </c>
    </row>
    <row r="160" spans="1:11">
      <c r="A160" s="483">
        <f t="shared" si="10"/>
        <v>154</v>
      </c>
      <c r="B160" s="485">
        <v>32987</v>
      </c>
      <c r="C160" s="473">
        <v>0.9375</v>
      </c>
      <c r="D160" s="484" t="s">
        <v>116</v>
      </c>
      <c r="E160" s="472" t="s">
        <v>123</v>
      </c>
      <c r="F160" s="486">
        <v>140</v>
      </c>
      <c r="G160" s="486">
        <v>3.5</v>
      </c>
      <c r="H160" s="614">
        <f t="shared" si="11"/>
        <v>0.27840909090909088</v>
      </c>
      <c r="I160" s="1">
        <f t="shared" si="8"/>
        <v>4.9416424226093039</v>
      </c>
      <c r="J160" s="1">
        <f t="shared" si="8"/>
        <v>1.2527629684953681</v>
      </c>
      <c r="K160" s="1">
        <f t="shared" si="9"/>
        <v>-1.2786636969275254</v>
      </c>
    </row>
    <row r="161" spans="1:11">
      <c r="A161" s="483">
        <f t="shared" si="10"/>
        <v>155</v>
      </c>
      <c r="B161" s="485">
        <v>32987</v>
      </c>
      <c r="C161" s="473">
        <v>0.97013888888888899</v>
      </c>
      <c r="D161" s="484" t="s">
        <v>116</v>
      </c>
      <c r="E161" s="472" t="s">
        <v>123</v>
      </c>
      <c r="F161" s="486">
        <v>250</v>
      </c>
      <c r="G161" s="486">
        <v>4</v>
      </c>
      <c r="H161" s="614">
        <f t="shared" si="11"/>
        <v>0.56818181818181823</v>
      </c>
      <c r="I161" s="1">
        <f t="shared" si="8"/>
        <v>5.521460917862246</v>
      </c>
      <c r="J161" s="1">
        <f t="shared" si="8"/>
        <v>1.3862943611198906</v>
      </c>
      <c r="K161" s="1">
        <f t="shared" si="9"/>
        <v>-0.56531380905006035</v>
      </c>
    </row>
    <row r="162" spans="1:11">
      <c r="A162" s="483">
        <f t="shared" si="10"/>
        <v>156</v>
      </c>
      <c r="B162" s="485">
        <v>32988</v>
      </c>
      <c r="C162" s="473">
        <v>3.4722222222222224E-2</v>
      </c>
      <c r="D162" s="484" t="s">
        <v>100</v>
      </c>
      <c r="E162" s="472" t="s">
        <v>123</v>
      </c>
      <c r="F162" s="486">
        <v>50</v>
      </c>
      <c r="G162" s="486">
        <v>2</v>
      </c>
      <c r="H162" s="614">
        <f t="shared" si="11"/>
        <v>5.6818181818181816E-2</v>
      </c>
      <c r="I162" s="1">
        <f t="shared" si="8"/>
        <v>3.912023005428146</v>
      </c>
      <c r="J162" s="1">
        <f t="shared" si="8"/>
        <v>0.69314718055994529</v>
      </c>
      <c r="K162" s="1">
        <f t="shared" si="9"/>
        <v>-2.8678989020441059</v>
      </c>
    </row>
    <row r="163" spans="1:11">
      <c r="A163" s="483">
        <f t="shared" si="10"/>
        <v>157</v>
      </c>
      <c r="B163" s="485">
        <v>33024</v>
      </c>
      <c r="C163" s="473">
        <v>0.64583333333333337</v>
      </c>
      <c r="D163" s="484" t="s">
        <v>105</v>
      </c>
      <c r="E163" s="472" t="s">
        <v>123</v>
      </c>
      <c r="F163" s="486">
        <v>177</v>
      </c>
      <c r="G163" s="486">
        <v>7</v>
      </c>
      <c r="H163" s="614">
        <f t="shared" si="11"/>
        <v>0.70397727272727273</v>
      </c>
      <c r="I163" s="1">
        <f t="shared" si="8"/>
        <v>5.1761497325738288</v>
      </c>
      <c r="J163" s="1">
        <f t="shared" si="8"/>
        <v>1.9459101490553132</v>
      </c>
      <c r="K163" s="1">
        <f t="shared" si="9"/>
        <v>-0.351009206403055</v>
      </c>
    </row>
    <row r="164" spans="1:11">
      <c r="A164" s="483">
        <f t="shared" si="10"/>
        <v>158</v>
      </c>
      <c r="B164" s="485">
        <v>33024</v>
      </c>
      <c r="C164" s="473">
        <v>0.95694444444444438</v>
      </c>
      <c r="D164" s="484" t="s">
        <v>111</v>
      </c>
      <c r="E164" s="472" t="s">
        <v>123</v>
      </c>
      <c r="F164" s="486">
        <v>90</v>
      </c>
      <c r="G164" s="486">
        <v>1.1000000000000001</v>
      </c>
      <c r="H164" s="614">
        <f t="shared" si="11"/>
        <v>5.6250000000000008E-2</v>
      </c>
      <c r="I164" s="1">
        <f t="shared" si="8"/>
        <v>4.499809670330265</v>
      </c>
      <c r="J164" s="1">
        <f t="shared" si="8"/>
        <v>9.5310179804324935E-2</v>
      </c>
      <c r="K164" s="1">
        <f t="shared" si="9"/>
        <v>-2.8779492378976075</v>
      </c>
    </row>
    <row r="165" spans="1:11">
      <c r="A165" s="483">
        <f t="shared" si="10"/>
        <v>159</v>
      </c>
      <c r="B165" s="485">
        <v>33032</v>
      </c>
      <c r="C165" s="473">
        <v>0.73263888888888884</v>
      </c>
      <c r="D165" s="484" t="s">
        <v>115</v>
      </c>
      <c r="E165" s="472" t="s">
        <v>123</v>
      </c>
      <c r="F165" s="486">
        <v>90</v>
      </c>
      <c r="G165" s="486">
        <v>1.4</v>
      </c>
      <c r="H165" s="614">
        <f t="shared" si="11"/>
        <v>7.1590909090909094E-2</v>
      </c>
      <c r="I165" s="1">
        <f t="shared" si="8"/>
        <v>4.499809670330265</v>
      </c>
      <c r="J165" s="1">
        <f t="shared" si="8"/>
        <v>0.33647223662121289</v>
      </c>
      <c r="K165" s="1">
        <f t="shared" si="9"/>
        <v>-2.6367871810807193</v>
      </c>
    </row>
    <row r="166" spans="1:11">
      <c r="A166" s="483">
        <f t="shared" si="10"/>
        <v>160</v>
      </c>
      <c r="B166" s="485">
        <v>33032</v>
      </c>
      <c r="C166" s="473">
        <v>0.82986111111111116</v>
      </c>
      <c r="D166" s="484" t="s">
        <v>116</v>
      </c>
      <c r="E166" s="472" t="s">
        <v>123</v>
      </c>
      <c r="F166" s="486">
        <v>110</v>
      </c>
      <c r="G166" s="486">
        <v>2.2000000000000002</v>
      </c>
      <c r="H166" s="614">
        <f t="shared" si="11"/>
        <v>0.13750000000000001</v>
      </c>
      <c r="I166" s="1">
        <f t="shared" si="8"/>
        <v>4.7004803657924166</v>
      </c>
      <c r="J166" s="1">
        <f t="shared" si="8"/>
        <v>0.78845736036427028</v>
      </c>
      <c r="K166" s="1">
        <f t="shared" si="9"/>
        <v>-1.984131361875511</v>
      </c>
    </row>
    <row r="167" spans="1:11">
      <c r="A167" s="483">
        <f t="shared" si="10"/>
        <v>161</v>
      </c>
      <c r="B167" s="485">
        <v>33368</v>
      </c>
      <c r="C167" s="473">
        <v>0.80555555555555547</v>
      </c>
      <c r="D167" s="484" t="s">
        <v>102</v>
      </c>
      <c r="E167" s="472" t="s">
        <v>123</v>
      </c>
      <c r="F167" s="486">
        <v>160</v>
      </c>
      <c r="G167" s="486">
        <v>7</v>
      </c>
      <c r="H167" s="614">
        <f t="shared" si="11"/>
        <v>0.63636363636363635</v>
      </c>
      <c r="I167" s="1">
        <f t="shared" si="8"/>
        <v>5.0751738152338266</v>
      </c>
      <c r="J167" s="1">
        <f t="shared" si="8"/>
        <v>1.9459101490553132</v>
      </c>
      <c r="K167" s="1">
        <f t="shared" si="9"/>
        <v>-0.45198512374305727</v>
      </c>
    </row>
    <row r="168" spans="1:11">
      <c r="A168" s="483">
        <f t="shared" si="10"/>
        <v>162</v>
      </c>
      <c r="B168" s="485">
        <v>33710</v>
      </c>
      <c r="C168" s="473">
        <v>0.7090277777777777</v>
      </c>
      <c r="D168" s="484" t="s">
        <v>109</v>
      </c>
      <c r="E168" s="472" t="s">
        <v>123</v>
      </c>
      <c r="F168" s="486">
        <v>50</v>
      </c>
      <c r="G168" s="486">
        <v>3</v>
      </c>
      <c r="H168" s="614">
        <f t="shared" si="11"/>
        <v>8.5227272727272721E-2</v>
      </c>
      <c r="I168" s="1">
        <f t="shared" si="8"/>
        <v>3.912023005428146</v>
      </c>
      <c r="J168" s="1">
        <f t="shared" si="8"/>
        <v>1.0986122886681098</v>
      </c>
      <c r="K168" s="1">
        <f t="shared" si="9"/>
        <v>-2.4624337939359418</v>
      </c>
    </row>
    <row r="169" spans="1:11">
      <c r="A169" s="483">
        <f t="shared" si="10"/>
        <v>163</v>
      </c>
      <c r="B169" s="485">
        <v>33774</v>
      </c>
      <c r="C169" s="473">
        <v>0.84027777777777779</v>
      </c>
      <c r="D169" s="484" t="s">
        <v>99</v>
      </c>
      <c r="E169" s="472" t="s">
        <v>123</v>
      </c>
      <c r="F169" s="486">
        <v>23</v>
      </c>
      <c r="G169" s="486">
        <v>2</v>
      </c>
      <c r="H169" s="614">
        <f t="shared" si="11"/>
        <v>2.6136363636363635E-2</v>
      </c>
      <c r="I169" s="1">
        <f t="shared" si="8"/>
        <v>3.1354942159291497</v>
      </c>
      <c r="J169" s="1">
        <f t="shared" si="8"/>
        <v>0.69314718055994529</v>
      </c>
      <c r="K169" s="1">
        <f t="shared" si="9"/>
        <v>-3.6444276915431026</v>
      </c>
    </row>
    <row r="170" spans="1:11">
      <c r="A170" s="483">
        <f t="shared" si="10"/>
        <v>164</v>
      </c>
      <c r="B170" s="485">
        <v>33782</v>
      </c>
      <c r="C170" s="473">
        <v>0.79236111111111107</v>
      </c>
      <c r="D170" s="484" t="s">
        <v>108</v>
      </c>
      <c r="E170" s="472" t="s">
        <v>123</v>
      </c>
      <c r="F170" s="486">
        <v>55</v>
      </c>
      <c r="G170" s="486">
        <v>1</v>
      </c>
      <c r="H170" s="614">
        <f t="shared" si="11"/>
        <v>3.125E-2</v>
      </c>
      <c r="I170" s="1">
        <f t="shared" si="8"/>
        <v>4.0073331852324712</v>
      </c>
      <c r="J170" s="1">
        <f t="shared" si="8"/>
        <v>0</v>
      </c>
      <c r="K170" s="1">
        <f t="shared" si="9"/>
        <v>-3.4657359027997265</v>
      </c>
    </row>
    <row r="171" spans="1:11">
      <c r="A171" s="483">
        <f t="shared" si="10"/>
        <v>165</v>
      </c>
      <c r="B171" s="485">
        <v>33782</v>
      </c>
      <c r="C171" s="473">
        <v>0.7944444444444444</v>
      </c>
      <c r="D171" s="484" t="s">
        <v>109</v>
      </c>
      <c r="E171" s="472" t="s">
        <v>123</v>
      </c>
      <c r="F171" s="486">
        <v>55</v>
      </c>
      <c r="G171" s="486">
        <v>1</v>
      </c>
      <c r="H171" s="614">
        <f t="shared" si="11"/>
        <v>3.125E-2</v>
      </c>
      <c r="I171" s="1">
        <f t="shared" si="8"/>
        <v>4.0073331852324712</v>
      </c>
      <c r="J171" s="1">
        <f t="shared" si="8"/>
        <v>0</v>
      </c>
      <c r="K171" s="1">
        <f t="shared" si="9"/>
        <v>-3.4657359027997265</v>
      </c>
    </row>
    <row r="172" spans="1:11">
      <c r="A172" s="483">
        <f t="shared" si="10"/>
        <v>166</v>
      </c>
      <c r="B172" s="485">
        <v>34087</v>
      </c>
      <c r="C172" s="473">
        <v>0.78263888888888899</v>
      </c>
      <c r="D172" s="484" t="s">
        <v>114</v>
      </c>
      <c r="E172" s="472" t="s">
        <v>123</v>
      </c>
      <c r="F172" s="486">
        <v>100</v>
      </c>
      <c r="G172" s="486">
        <v>2.5</v>
      </c>
      <c r="H172" s="614">
        <f t="shared" si="11"/>
        <v>0.14204545454545453</v>
      </c>
      <c r="I172" s="1">
        <f t="shared" si="8"/>
        <v>4.6051701859880918</v>
      </c>
      <c r="J172" s="1">
        <f t="shared" si="8"/>
        <v>0.91629073187415511</v>
      </c>
      <c r="K172" s="1">
        <f t="shared" si="9"/>
        <v>-1.951608170169951</v>
      </c>
    </row>
    <row r="173" spans="1:11">
      <c r="A173" s="483">
        <f t="shared" si="10"/>
        <v>167</v>
      </c>
      <c r="B173" s="485">
        <v>34094</v>
      </c>
      <c r="C173" s="473">
        <v>0.75694444444444453</v>
      </c>
      <c r="D173" s="484" t="s">
        <v>100</v>
      </c>
      <c r="E173" s="472" t="s">
        <v>123</v>
      </c>
      <c r="F173" s="486">
        <v>275</v>
      </c>
      <c r="G173" s="486">
        <v>2</v>
      </c>
      <c r="H173" s="614">
        <f t="shared" si="11"/>
        <v>0.3125</v>
      </c>
      <c r="I173" s="1">
        <f t="shared" si="8"/>
        <v>5.6167710976665717</v>
      </c>
      <c r="J173" s="1">
        <f t="shared" si="8"/>
        <v>0.69314718055994529</v>
      </c>
      <c r="K173" s="1">
        <f t="shared" si="9"/>
        <v>-1.1631508098056809</v>
      </c>
    </row>
    <row r="174" spans="1:11">
      <c r="A174" s="483">
        <f t="shared" si="10"/>
        <v>168</v>
      </c>
      <c r="B174" s="485">
        <v>34106</v>
      </c>
      <c r="C174" s="473">
        <v>0.77361111111111114</v>
      </c>
      <c r="D174" s="484" t="s">
        <v>116</v>
      </c>
      <c r="E174" s="472" t="s">
        <v>123</v>
      </c>
      <c r="F174" s="486">
        <v>150</v>
      </c>
      <c r="G174" s="486">
        <v>2.5</v>
      </c>
      <c r="H174" s="614">
        <f t="shared" si="11"/>
        <v>0.2130681818181818</v>
      </c>
      <c r="I174" s="1">
        <f t="shared" si="8"/>
        <v>5.0106352940962555</v>
      </c>
      <c r="J174" s="1">
        <f t="shared" si="8"/>
        <v>0.91629073187415511</v>
      </c>
      <c r="K174" s="1">
        <f t="shared" si="9"/>
        <v>-1.5461430620617869</v>
      </c>
    </row>
    <row r="175" spans="1:11">
      <c r="A175" s="483">
        <f t="shared" si="10"/>
        <v>169</v>
      </c>
      <c r="B175" s="485">
        <v>34254</v>
      </c>
      <c r="C175" s="473">
        <v>0.73958333333333337</v>
      </c>
      <c r="D175" s="484" t="s">
        <v>115</v>
      </c>
      <c r="E175" s="472" t="s">
        <v>123</v>
      </c>
      <c r="F175" s="486">
        <v>75</v>
      </c>
      <c r="G175" s="486">
        <v>2</v>
      </c>
      <c r="H175" s="614">
        <f t="shared" si="11"/>
        <v>8.5227272727272721E-2</v>
      </c>
      <c r="I175" s="1">
        <f t="shared" si="8"/>
        <v>4.3174881135363101</v>
      </c>
      <c r="J175" s="1">
        <f t="shared" si="8"/>
        <v>0.69314718055994529</v>
      </c>
      <c r="K175" s="1">
        <f t="shared" si="9"/>
        <v>-2.4624337939359418</v>
      </c>
    </row>
    <row r="176" spans="1:11">
      <c r="A176" s="483">
        <f t="shared" si="10"/>
        <v>170</v>
      </c>
      <c r="B176" s="485">
        <v>34463</v>
      </c>
      <c r="C176" s="473">
        <v>0.69444444444444453</v>
      </c>
      <c r="D176" s="484" t="s">
        <v>102</v>
      </c>
      <c r="E176" s="472" t="s">
        <v>123</v>
      </c>
      <c r="F176" s="486">
        <v>100</v>
      </c>
      <c r="G176" s="486">
        <v>2</v>
      </c>
      <c r="H176" s="614">
        <f t="shared" si="11"/>
        <v>0.11363636363636363</v>
      </c>
      <c r="I176" s="1">
        <f t="shared" si="8"/>
        <v>4.6051701859880918</v>
      </c>
      <c r="J176" s="1">
        <f t="shared" si="8"/>
        <v>0.69314718055994529</v>
      </c>
      <c r="K176" s="1">
        <f t="shared" si="9"/>
        <v>-2.174751721484161</v>
      </c>
    </row>
    <row r="177" spans="1:11">
      <c r="A177" s="483">
        <f t="shared" si="10"/>
        <v>171</v>
      </c>
      <c r="B177" s="485">
        <v>34482</v>
      </c>
      <c r="C177" s="473">
        <v>0.7944444444444444</v>
      </c>
      <c r="D177" s="484" t="s">
        <v>110</v>
      </c>
      <c r="E177" s="472" t="s">
        <v>123</v>
      </c>
      <c r="F177" s="486">
        <v>350</v>
      </c>
      <c r="G177" s="486">
        <v>4</v>
      </c>
      <c r="H177" s="614">
        <f t="shared" si="11"/>
        <v>0.79545454545454541</v>
      </c>
      <c r="I177" s="1">
        <f t="shared" si="8"/>
        <v>5.857933154483459</v>
      </c>
      <c r="J177" s="1">
        <f t="shared" si="8"/>
        <v>1.3862943611198906</v>
      </c>
      <c r="K177" s="1">
        <f t="shared" si="9"/>
        <v>-0.22884157242884753</v>
      </c>
    </row>
    <row r="178" spans="1:11">
      <c r="A178" s="483">
        <f t="shared" si="10"/>
        <v>172</v>
      </c>
      <c r="B178" s="485">
        <v>34783</v>
      </c>
      <c r="C178" s="473">
        <v>0.64236111111111105</v>
      </c>
      <c r="D178" s="484" t="s">
        <v>101</v>
      </c>
      <c r="E178" s="472" t="s">
        <v>123</v>
      </c>
      <c r="F178" s="486">
        <v>100</v>
      </c>
      <c r="G178" s="486">
        <v>3</v>
      </c>
      <c r="H178" s="614">
        <f t="shared" si="11"/>
        <v>0.17045454545454544</v>
      </c>
      <c r="I178" s="1">
        <f t="shared" si="8"/>
        <v>4.6051701859880918</v>
      </c>
      <c r="J178" s="1">
        <f t="shared" si="8"/>
        <v>1.0986122886681098</v>
      </c>
      <c r="K178" s="1">
        <f t="shared" si="9"/>
        <v>-1.7692866133759966</v>
      </c>
    </row>
    <row r="179" spans="1:11">
      <c r="A179" s="483">
        <f t="shared" si="10"/>
        <v>173</v>
      </c>
      <c r="B179" s="485">
        <v>34783</v>
      </c>
      <c r="C179" s="473">
        <v>0.73750000000000004</v>
      </c>
      <c r="D179" s="484" t="s">
        <v>106</v>
      </c>
      <c r="E179" s="472" t="s">
        <v>123</v>
      </c>
      <c r="F179" s="486">
        <v>200</v>
      </c>
      <c r="G179" s="486">
        <v>5</v>
      </c>
      <c r="H179" s="614">
        <f t="shared" si="11"/>
        <v>0.56818181818181812</v>
      </c>
      <c r="I179" s="1">
        <f t="shared" si="8"/>
        <v>5.2983173665480363</v>
      </c>
      <c r="J179" s="1">
        <f t="shared" si="8"/>
        <v>1.6094379124341003</v>
      </c>
      <c r="K179" s="1">
        <f t="shared" si="9"/>
        <v>-0.56531380905006057</v>
      </c>
    </row>
    <row r="180" spans="1:11">
      <c r="A180" s="483">
        <f t="shared" si="10"/>
        <v>174</v>
      </c>
      <c r="B180" s="485">
        <v>34841</v>
      </c>
      <c r="C180" s="473">
        <v>0.63472222222222219</v>
      </c>
      <c r="D180" s="484" t="s">
        <v>109</v>
      </c>
      <c r="E180" s="472" t="s">
        <v>123</v>
      </c>
      <c r="F180" s="486">
        <v>200</v>
      </c>
      <c r="G180" s="486">
        <v>2</v>
      </c>
      <c r="H180" s="614">
        <f t="shared" si="11"/>
        <v>0.22727272727272727</v>
      </c>
      <c r="I180" s="1">
        <f t="shared" si="8"/>
        <v>5.2983173665480363</v>
      </c>
      <c r="J180" s="1">
        <f t="shared" si="8"/>
        <v>0.69314718055994529</v>
      </c>
      <c r="K180" s="1">
        <f t="shared" si="9"/>
        <v>-1.4816045409242156</v>
      </c>
    </row>
    <row r="181" spans="1:11">
      <c r="A181" s="483">
        <f t="shared" si="10"/>
        <v>175</v>
      </c>
      <c r="B181" s="485">
        <v>34852</v>
      </c>
      <c r="C181" s="473">
        <v>0.72569444444444453</v>
      </c>
      <c r="D181" s="484" t="s">
        <v>107</v>
      </c>
      <c r="E181" s="472" t="s">
        <v>123</v>
      </c>
      <c r="F181" s="486">
        <v>150</v>
      </c>
      <c r="G181" s="486">
        <v>11</v>
      </c>
      <c r="H181" s="614">
        <f t="shared" si="11"/>
        <v>0.93749999999999989</v>
      </c>
      <c r="I181" s="1">
        <f t="shared" si="8"/>
        <v>5.0106352940962555</v>
      </c>
      <c r="J181" s="1">
        <f t="shared" si="8"/>
        <v>2.3978952727983707</v>
      </c>
      <c r="K181" s="1">
        <f t="shared" si="9"/>
        <v>-6.4538521137571289E-2</v>
      </c>
    </row>
    <row r="182" spans="1:11">
      <c r="A182" s="483">
        <f t="shared" si="10"/>
        <v>176</v>
      </c>
      <c r="B182" s="485">
        <v>34858</v>
      </c>
      <c r="C182" s="473">
        <v>0.66319444444444442</v>
      </c>
      <c r="D182" s="484" t="s">
        <v>110</v>
      </c>
      <c r="E182" s="472" t="s">
        <v>123</v>
      </c>
      <c r="F182" s="486">
        <v>200</v>
      </c>
      <c r="G182" s="486">
        <v>3</v>
      </c>
      <c r="H182" s="614">
        <f t="shared" si="11"/>
        <v>0.34090909090909088</v>
      </c>
      <c r="I182" s="1">
        <f t="shared" si="8"/>
        <v>5.2983173665480363</v>
      </c>
      <c r="J182" s="1">
        <f t="shared" si="8"/>
        <v>1.0986122886681098</v>
      </c>
      <c r="K182" s="1">
        <f t="shared" si="9"/>
        <v>-1.0761394328160512</v>
      </c>
    </row>
    <row r="183" spans="1:11">
      <c r="A183" s="483">
        <f t="shared" si="10"/>
        <v>177</v>
      </c>
      <c r="B183" s="485">
        <v>34858</v>
      </c>
      <c r="C183" s="473">
        <v>0.66666666666666663</v>
      </c>
      <c r="D183" s="484" t="s">
        <v>115</v>
      </c>
      <c r="E183" s="472" t="s">
        <v>123</v>
      </c>
      <c r="F183" s="486">
        <v>250</v>
      </c>
      <c r="G183" s="486">
        <v>2</v>
      </c>
      <c r="H183" s="614">
        <f t="shared" si="11"/>
        <v>0.28409090909090912</v>
      </c>
      <c r="I183" s="1">
        <f t="shared" si="8"/>
        <v>5.521460917862246</v>
      </c>
      <c r="J183" s="1">
        <f t="shared" si="8"/>
        <v>0.69314718055994529</v>
      </c>
      <c r="K183" s="1">
        <f t="shared" si="9"/>
        <v>-1.2584609896100056</v>
      </c>
    </row>
    <row r="184" spans="1:11">
      <c r="A184" s="483">
        <f t="shared" si="10"/>
        <v>178</v>
      </c>
      <c r="B184" s="485">
        <v>34858</v>
      </c>
      <c r="C184" s="473">
        <v>0.69097222222222221</v>
      </c>
      <c r="D184" s="484" t="s">
        <v>110</v>
      </c>
      <c r="E184" s="472" t="s">
        <v>123</v>
      </c>
      <c r="F184" s="486">
        <v>250</v>
      </c>
      <c r="G184" s="486">
        <v>10</v>
      </c>
      <c r="H184" s="614">
        <f t="shared" si="11"/>
        <v>1.4204545454545456</v>
      </c>
      <c r="I184" s="1">
        <f t="shared" si="8"/>
        <v>5.521460917862246</v>
      </c>
      <c r="J184" s="1">
        <f t="shared" si="8"/>
        <v>2.3025850929940459</v>
      </c>
      <c r="K184" s="1">
        <f t="shared" si="9"/>
        <v>0.35097692282409476</v>
      </c>
    </row>
    <row r="185" spans="1:11">
      <c r="A185" s="483">
        <f t="shared" si="10"/>
        <v>179</v>
      </c>
      <c r="B185" s="485">
        <v>34903</v>
      </c>
      <c r="C185" s="473">
        <v>0.79305555555555562</v>
      </c>
      <c r="D185" s="484" t="s">
        <v>119</v>
      </c>
      <c r="E185" s="472" t="s">
        <v>123</v>
      </c>
      <c r="F185" s="486">
        <v>150</v>
      </c>
      <c r="G185" s="486">
        <v>4</v>
      </c>
      <c r="H185" s="614">
        <f t="shared" si="11"/>
        <v>0.34090909090909088</v>
      </c>
      <c r="I185" s="1">
        <f t="shared" si="8"/>
        <v>5.0106352940962555</v>
      </c>
      <c r="J185" s="1">
        <f t="shared" si="8"/>
        <v>1.3862943611198906</v>
      </c>
      <c r="K185" s="1">
        <f t="shared" si="9"/>
        <v>-1.0761394328160512</v>
      </c>
    </row>
    <row r="186" spans="1:11">
      <c r="A186" s="483">
        <f t="shared" si="10"/>
        <v>180</v>
      </c>
      <c r="B186" s="485">
        <v>35210</v>
      </c>
      <c r="C186" s="473">
        <v>0.72569444444444453</v>
      </c>
      <c r="D186" s="484" t="s">
        <v>99</v>
      </c>
      <c r="E186" s="472" t="s">
        <v>123</v>
      </c>
      <c r="F186" s="486">
        <v>100</v>
      </c>
      <c r="G186" s="486">
        <v>1</v>
      </c>
      <c r="H186" s="614">
        <f t="shared" si="11"/>
        <v>5.6818181818181816E-2</v>
      </c>
      <c r="I186" s="1">
        <f t="shared" si="8"/>
        <v>4.6051701859880918</v>
      </c>
      <c r="J186" s="1">
        <f t="shared" si="8"/>
        <v>0</v>
      </c>
      <c r="K186" s="1">
        <f t="shared" si="9"/>
        <v>-2.8678989020441059</v>
      </c>
    </row>
    <row r="187" spans="1:11">
      <c r="A187" s="483">
        <f t="shared" si="10"/>
        <v>181</v>
      </c>
      <c r="B187" s="485">
        <v>35210</v>
      </c>
      <c r="C187" s="473">
        <v>0.73541666666666661</v>
      </c>
      <c r="D187" s="484" t="s">
        <v>102</v>
      </c>
      <c r="E187" s="472" t="s">
        <v>123</v>
      </c>
      <c r="F187" s="486">
        <v>200</v>
      </c>
      <c r="G187" s="486">
        <v>4</v>
      </c>
      <c r="H187" s="614">
        <f t="shared" si="11"/>
        <v>0.45454545454545453</v>
      </c>
      <c r="I187" s="1">
        <f t="shared" si="8"/>
        <v>5.2983173665480363</v>
      </c>
      <c r="J187" s="1">
        <f t="shared" si="8"/>
        <v>1.3862943611198906</v>
      </c>
      <c r="K187" s="1">
        <f t="shared" si="9"/>
        <v>-0.78845736036427017</v>
      </c>
    </row>
    <row r="188" spans="1:11">
      <c r="A188" s="483">
        <f t="shared" si="10"/>
        <v>182</v>
      </c>
      <c r="B188" s="485">
        <v>35592</v>
      </c>
      <c r="C188" s="473">
        <v>0.72222222222222221</v>
      </c>
      <c r="D188" s="484" t="s">
        <v>116</v>
      </c>
      <c r="E188" s="472" t="s">
        <v>123</v>
      </c>
      <c r="F188" s="486">
        <v>100</v>
      </c>
      <c r="G188" s="486">
        <v>2</v>
      </c>
      <c r="H188" s="614">
        <f t="shared" si="11"/>
        <v>0.11363636363636363</v>
      </c>
      <c r="I188" s="1">
        <f t="shared" si="8"/>
        <v>4.6051701859880918</v>
      </c>
      <c r="J188" s="1">
        <f t="shared" si="8"/>
        <v>0.69314718055994529</v>
      </c>
      <c r="K188" s="1">
        <f t="shared" si="9"/>
        <v>-2.174751721484161</v>
      </c>
    </row>
    <row r="189" spans="1:11">
      <c r="A189" s="483">
        <f t="shared" si="10"/>
        <v>183</v>
      </c>
      <c r="B189" s="485">
        <v>35592</v>
      </c>
      <c r="C189" s="473">
        <v>0.78402777777777777</v>
      </c>
      <c r="D189" s="484" t="s">
        <v>121</v>
      </c>
      <c r="E189" s="472" t="s">
        <v>123</v>
      </c>
      <c r="F189" s="486">
        <v>200</v>
      </c>
      <c r="G189" s="486">
        <v>0.5</v>
      </c>
      <c r="H189" s="614">
        <f t="shared" si="11"/>
        <v>5.6818181818181816E-2</v>
      </c>
      <c r="I189" s="1">
        <f t="shared" si="8"/>
        <v>5.2983173665480363</v>
      </c>
      <c r="J189" s="1">
        <f t="shared" si="8"/>
        <v>-0.69314718055994529</v>
      </c>
      <c r="K189" s="1">
        <f t="shared" si="9"/>
        <v>-2.8678989020441059</v>
      </c>
    </row>
    <row r="190" spans="1:11">
      <c r="A190" s="483">
        <f t="shared" si="10"/>
        <v>184</v>
      </c>
      <c r="B190" s="485">
        <v>35592</v>
      </c>
      <c r="C190" s="473">
        <v>0.82430555555555562</v>
      </c>
      <c r="D190" s="484" t="s">
        <v>115</v>
      </c>
      <c r="E190" s="472" t="s">
        <v>123</v>
      </c>
      <c r="F190" s="486">
        <v>200</v>
      </c>
      <c r="G190" s="486">
        <v>4</v>
      </c>
      <c r="H190" s="614">
        <f t="shared" si="11"/>
        <v>0.45454545454545453</v>
      </c>
      <c r="I190" s="1">
        <f t="shared" si="8"/>
        <v>5.2983173665480363</v>
      </c>
      <c r="J190" s="1">
        <f t="shared" si="8"/>
        <v>1.3862943611198906</v>
      </c>
      <c r="K190" s="1">
        <f t="shared" si="9"/>
        <v>-0.78845736036427017</v>
      </c>
    </row>
    <row r="191" spans="1:11">
      <c r="A191" s="483">
        <f t="shared" si="10"/>
        <v>185</v>
      </c>
      <c r="B191" s="485">
        <v>35592</v>
      </c>
      <c r="C191" s="473">
        <v>0.83194444444444438</v>
      </c>
      <c r="D191" s="484" t="s">
        <v>120</v>
      </c>
      <c r="E191" s="472" t="s">
        <v>123</v>
      </c>
      <c r="F191" s="486">
        <v>200</v>
      </c>
      <c r="G191" s="486">
        <v>1</v>
      </c>
      <c r="H191" s="614">
        <f t="shared" si="11"/>
        <v>0.11363636363636363</v>
      </c>
      <c r="I191" s="1">
        <f t="shared" si="8"/>
        <v>5.2983173665480363</v>
      </c>
      <c r="J191" s="1">
        <f t="shared" si="8"/>
        <v>0</v>
      </c>
      <c r="K191" s="1">
        <f t="shared" si="9"/>
        <v>-2.174751721484161</v>
      </c>
    </row>
    <row r="192" spans="1:11">
      <c r="A192" s="483">
        <f t="shared" si="10"/>
        <v>186</v>
      </c>
      <c r="B192" s="485">
        <v>35592</v>
      </c>
      <c r="C192" s="473">
        <v>0.88194444444444453</v>
      </c>
      <c r="D192" s="484" t="s">
        <v>121</v>
      </c>
      <c r="E192" s="472" t="s">
        <v>123</v>
      </c>
      <c r="F192" s="486">
        <v>100</v>
      </c>
      <c r="G192" s="486">
        <v>9</v>
      </c>
      <c r="H192" s="614">
        <f t="shared" si="11"/>
        <v>0.51136363636363635</v>
      </c>
      <c r="I192" s="1">
        <f t="shared" si="8"/>
        <v>4.6051701859880918</v>
      </c>
      <c r="J192" s="1">
        <f t="shared" si="8"/>
        <v>2.1972245773362196</v>
      </c>
      <c r="K192" s="1">
        <f t="shared" si="9"/>
        <v>-0.67067432470788668</v>
      </c>
    </row>
    <row r="193" spans="1:11">
      <c r="A193" s="483">
        <f t="shared" si="10"/>
        <v>187</v>
      </c>
      <c r="B193" s="485">
        <v>35596</v>
      </c>
      <c r="C193" s="473">
        <v>0.75694444444444453</v>
      </c>
      <c r="D193" s="484" t="s">
        <v>101</v>
      </c>
      <c r="E193" s="472" t="s">
        <v>123</v>
      </c>
      <c r="F193" s="486">
        <v>100</v>
      </c>
      <c r="G193" s="486">
        <v>0.5</v>
      </c>
      <c r="H193" s="614">
        <f t="shared" si="11"/>
        <v>2.8409090909090908E-2</v>
      </c>
      <c r="I193" s="1">
        <f t="shared" si="8"/>
        <v>4.6051701859880918</v>
      </c>
      <c r="J193" s="1">
        <f t="shared" si="8"/>
        <v>-0.69314718055994529</v>
      </c>
      <c r="K193" s="1">
        <f t="shared" si="9"/>
        <v>-3.5610460826040513</v>
      </c>
    </row>
    <row r="194" spans="1:11">
      <c r="A194" s="483">
        <f t="shared" si="10"/>
        <v>188</v>
      </c>
      <c r="B194" s="485">
        <v>36095</v>
      </c>
      <c r="C194" s="473">
        <v>0.80208333333333337</v>
      </c>
      <c r="D194" s="484" t="s">
        <v>118</v>
      </c>
      <c r="E194" s="472" t="s">
        <v>123</v>
      </c>
      <c r="F194" s="486">
        <v>300</v>
      </c>
      <c r="G194" s="486">
        <v>1</v>
      </c>
      <c r="H194" s="614">
        <f t="shared" si="11"/>
        <v>0.17045454545454544</v>
      </c>
      <c r="I194" s="1">
        <f t="shared" si="8"/>
        <v>5.7037824746562009</v>
      </c>
      <c r="J194" s="1">
        <f t="shared" si="8"/>
        <v>0</v>
      </c>
      <c r="K194" s="1">
        <f t="shared" si="9"/>
        <v>-1.7692866133759966</v>
      </c>
    </row>
    <row r="195" spans="1:11">
      <c r="A195" s="483">
        <f t="shared" si="10"/>
        <v>189</v>
      </c>
      <c r="B195" s="499">
        <v>36580</v>
      </c>
      <c r="C195" s="473">
        <v>0.84236111111111101</v>
      </c>
      <c r="D195" s="484" t="s">
        <v>106</v>
      </c>
      <c r="E195" s="472" t="s">
        <v>123</v>
      </c>
      <c r="F195" s="486">
        <v>150</v>
      </c>
      <c r="G195" s="486">
        <v>14</v>
      </c>
      <c r="H195" s="614">
        <f t="shared" si="11"/>
        <v>1.1931818181818181</v>
      </c>
      <c r="I195" s="1">
        <f t="shared" si="8"/>
        <v>5.0106352940962555</v>
      </c>
      <c r="J195" s="1">
        <f t="shared" si="8"/>
        <v>2.6390573296152584</v>
      </c>
      <c r="K195" s="1">
        <f t="shared" si="9"/>
        <v>0.17662353567931685</v>
      </c>
    </row>
    <row r="196" spans="1:11">
      <c r="A196" s="483">
        <f t="shared" si="10"/>
        <v>190</v>
      </c>
      <c r="B196" s="485">
        <v>36987</v>
      </c>
      <c r="C196" s="473">
        <v>0.70833333333333337</v>
      </c>
      <c r="D196" s="484" t="s">
        <v>105</v>
      </c>
      <c r="E196" s="472" t="s">
        <v>123</v>
      </c>
      <c r="F196" s="486">
        <v>100</v>
      </c>
      <c r="G196" s="486">
        <v>10</v>
      </c>
      <c r="H196" s="614">
        <f t="shared" si="11"/>
        <v>0.56818181818181812</v>
      </c>
      <c r="I196" s="1">
        <f t="shared" si="8"/>
        <v>4.6051701859880918</v>
      </c>
      <c r="J196" s="1">
        <f t="shared" si="8"/>
        <v>2.3025850929940459</v>
      </c>
      <c r="K196" s="1">
        <f t="shared" si="9"/>
        <v>-0.56531380905006057</v>
      </c>
    </row>
    <row r="197" spans="1:11">
      <c r="A197" s="483">
        <f t="shared" si="10"/>
        <v>191</v>
      </c>
      <c r="B197" s="485">
        <v>36991</v>
      </c>
      <c r="C197" s="473">
        <v>0.89027777777777783</v>
      </c>
      <c r="D197" s="484" t="s">
        <v>114</v>
      </c>
      <c r="E197" s="472" t="s">
        <v>123</v>
      </c>
      <c r="F197" s="486">
        <v>100</v>
      </c>
      <c r="G197" s="486">
        <v>1.5</v>
      </c>
      <c r="H197" s="614">
        <f t="shared" si="11"/>
        <v>8.5227272727272721E-2</v>
      </c>
      <c r="I197" s="1">
        <f t="shared" si="8"/>
        <v>4.6051701859880918</v>
      </c>
      <c r="J197" s="1">
        <f t="shared" si="8"/>
        <v>0.40546510810816438</v>
      </c>
      <c r="K197" s="1">
        <f t="shared" si="9"/>
        <v>-2.4624337939359418</v>
      </c>
    </row>
    <row r="198" spans="1:11">
      <c r="A198" s="483">
        <f t="shared" si="10"/>
        <v>192</v>
      </c>
      <c r="B198" s="485">
        <v>36991</v>
      </c>
      <c r="C198" s="473">
        <v>0.89236111111111116</v>
      </c>
      <c r="D198" s="484" t="s">
        <v>109</v>
      </c>
      <c r="E198" s="472" t="s">
        <v>123</v>
      </c>
      <c r="F198" s="486">
        <v>100</v>
      </c>
      <c r="G198" s="486">
        <v>0.5</v>
      </c>
      <c r="H198" s="614">
        <f t="shared" si="11"/>
        <v>2.8409090909090908E-2</v>
      </c>
      <c r="I198" s="1">
        <f t="shared" si="8"/>
        <v>4.6051701859880918</v>
      </c>
      <c r="J198" s="1">
        <f t="shared" si="8"/>
        <v>-0.69314718055994529</v>
      </c>
      <c r="K198" s="1">
        <f t="shared" si="9"/>
        <v>-3.5610460826040513</v>
      </c>
    </row>
    <row r="199" spans="1:11">
      <c r="A199" s="483">
        <f t="shared" si="10"/>
        <v>193</v>
      </c>
      <c r="B199" s="485">
        <v>36991</v>
      </c>
      <c r="C199" s="473">
        <v>0.95833333333333337</v>
      </c>
      <c r="D199" s="484" t="s">
        <v>101</v>
      </c>
      <c r="E199" s="472" t="s">
        <v>123</v>
      </c>
      <c r="F199" s="486">
        <v>100</v>
      </c>
      <c r="G199" s="486">
        <v>6</v>
      </c>
      <c r="H199" s="614">
        <f t="shared" si="11"/>
        <v>0.34090909090909088</v>
      </c>
      <c r="I199" s="1">
        <f t="shared" si="8"/>
        <v>4.6051701859880918</v>
      </c>
      <c r="J199" s="1">
        <f t="shared" si="8"/>
        <v>1.791759469228055</v>
      </c>
      <c r="K199" s="1">
        <f t="shared" si="9"/>
        <v>-1.0761394328160512</v>
      </c>
    </row>
    <row r="200" spans="1:11">
      <c r="A200" s="483">
        <f t="shared" si="10"/>
        <v>194</v>
      </c>
      <c r="B200" s="485">
        <v>37392</v>
      </c>
      <c r="C200" s="473">
        <v>0.82638888888888884</v>
      </c>
      <c r="D200" s="484" t="s">
        <v>109</v>
      </c>
      <c r="E200" s="472" t="s">
        <v>123</v>
      </c>
      <c r="F200" s="486">
        <v>100</v>
      </c>
      <c r="G200" s="486">
        <v>0.1</v>
      </c>
      <c r="H200" s="614">
        <f t="shared" si="11"/>
        <v>5.681818181818182E-3</v>
      </c>
      <c r="I200" s="1">
        <f t="shared" ref="I200:J263" si="12">LN(F200)</f>
        <v>4.6051701859880918</v>
      </c>
      <c r="J200" s="1">
        <f t="shared" si="12"/>
        <v>-2.3025850929940455</v>
      </c>
      <c r="K200" s="1">
        <f t="shared" ref="K200:K263" si="13">LN(H200)</f>
        <v>-5.1704839950381514</v>
      </c>
    </row>
    <row r="201" spans="1:11">
      <c r="A201" s="483">
        <f t="shared" ref="A201:A264" si="14">+A200+1</f>
        <v>195</v>
      </c>
      <c r="B201" s="485">
        <v>37399</v>
      </c>
      <c r="C201" s="473">
        <v>0.93402777777777779</v>
      </c>
      <c r="D201" s="484" t="s">
        <v>110</v>
      </c>
      <c r="E201" s="472" t="s">
        <v>123</v>
      </c>
      <c r="F201" s="486">
        <v>100</v>
      </c>
      <c r="G201" s="486">
        <v>6</v>
      </c>
      <c r="H201" s="614">
        <f t="shared" ref="H201:H264" si="15">+(F201/1760)*G201</f>
        <v>0.34090909090909088</v>
      </c>
      <c r="I201" s="1">
        <f t="shared" si="12"/>
        <v>4.6051701859880918</v>
      </c>
      <c r="J201" s="1">
        <f t="shared" si="12"/>
        <v>1.791759469228055</v>
      </c>
      <c r="K201" s="1">
        <f t="shared" si="13"/>
        <v>-1.0761394328160512</v>
      </c>
    </row>
    <row r="202" spans="1:11">
      <c r="A202" s="483">
        <f t="shared" si="14"/>
        <v>196</v>
      </c>
      <c r="B202" s="485">
        <v>37734</v>
      </c>
      <c r="C202" s="473">
        <v>0.4694444444444445</v>
      </c>
      <c r="D202" s="484" t="s">
        <v>120</v>
      </c>
      <c r="E202" s="472" t="s">
        <v>123</v>
      </c>
      <c r="F202" s="486">
        <v>25</v>
      </c>
      <c r="G202" s="486">
        <v>0.1</v>
      </c>
      <c r="H202" s="614">
        <f t="shared" si="15"/>
        <v>1.4204545454545455E-3</v>
      </c>
      <c r="I202" s="1">
        <f t="shared" si="12"/>
        <v>3.2188758248682006</v>
      </c>
      <c r="J202" s="1">
        <f t="shared" si="12"/>
        <v>-2.3025850929940455</v>
      </c>
      <c r="K202" s="1">
        <f t="shared" si="13"/>
        <v>-6.5567783561580422</v>
      </c>
    </row>
    <row r="203" spans="1:11">
      <c r="A203" s="483">
        <f t="shared" si="14"/>
        <v>197</v>
      </c>
      <c r="B203" s="485">
        <v>37756</v>
      </c>
      <c r="C203" s="473">
        <v>0.64236111111111105</v>
      </c>
      <c r="D203" s="484" t="s">
        <v>99</v>
      </c>
      <c r="E203" s="472" t="s">
        <v>123</v>
      </c>
      <c r="F203" s="486">
        <v>200</v>
      </c>
      <c r="G203" s="486">
        <v>5</v>
      </c>
      <c r="H203" s="614">
        <f t="shared" si="15"/>
        <v>0.56818181818181812</v>
      </c>
      <c r="I203" s="1">
        <f t="shared" si="12"/>
        <v>5.2983173665480363</v>
      </c>
      <c r="J203" s="1">
        <f t="shared" si="12"/>
        <v>1.6094379124341003</v>
      </c>
      <c r="K203" s="1">
        <f t="shared" si="13"/>
        <v>-0.56531380905006057</v>
      </c>
    </row>
    <row r="204" spans="1:11">
      <c r="A204" s="483">
        <f t="shared" si="14"/>
        <v>198</v>
      </c>
      <c r="B204" s="485">
        <v>37756</v>
      </c>
      <c r="C204" s="473">
        <v>0.69166666666666676</v>
      </c>
      <c r="D204" s="484" t="s">
        <v>102</v>
      </c>
      <c r="E204" s="472" t="s">
        <v>123</v>
      </c>
      <c r="F204" s="486">
        <v>1320</v>
      </c>
      <c r="G204" s="486">
        <v>10</v>
      </c>
      <c r="H204" s="614">
        <f t="shared" si="15"/>
        <v>7.5</v>
      </c>
      <c r="I204" s="1">
        <f t="shared" si="12"/>
        <v>7.1853870155804165</v>
      </c>
      <c r="J204" s="1">
        <f t="shared" si="12"/>
        <v>2.3025850929940459</v>
      </c>
      <c r="K204" s="1">
        <f t="shared" si="13"/>
        <v>2.0149030205422647</v>
      </c>
    </row>
    <row r="205" spans="1:11">
      <c r="A205" s="483">
        <f t="shared" si="14"/>
        <v>199</v>
      </c>
      <c r="B205" s="485">
        <v>37756</v>
      </c>
      <c r="C205" s="473">
        <v>0.81458333333333333</v>
      </c>
      <c r="D205" s="484" t="s">
        <v>100</v>
      </c>
      <c r="E205" s="472" t="s">
        <v>123</v>
      </c>
      <c r="F205" s="486">
        <v>30</v>
      </c>
      <c r="G205" s="486">
        <v>2</v>
      </c>
      <c r="H205" s="614">
        <f t="shared" si="15"/>
        <v>3.4090909090909088E-2</v>
      </c>
      <c r="I205" s="1">
        <f t="shared" si="12"/>
        <v>3.4011973816621555</v>
      </c>
      <c r="J205" s="1">
        <f t="shared" si="12"/>
        <v>0.69314718055994529</v>
      </c>
      <c r="K205" s="1">
        <f t="shared" si="13"/>
        <v>-3.3787245258100969</v>
      </c>
    </row>
    <row r="206" spans="1:11">
      <c r="A206" s="483">
        <f t="shared" si="14"/>
        <v>200</v>
      </c>
      <c r="B206" s="485">
        <v>37756</v>
      </c>
      <c r="C206" s="473">
        <v>0.87916666666666676</v>
      </c>
      <c r="D206" s="484" t="s">
        <v>116</v>
      </c>
      <c r="E206" s="472" t="s">
        <v>123</v>
      </c>
      <c r="F206" s="486">
        <v>100</v>
      </c>
      <c r="G206" s="486">
        <v>11.5</v>
      </c>
      <c r="H206" s="614">
        <f t="shared" si="15"/>
        <v>0.65340909090909094</v>
      </c>
      <c r="I206" s="1">
        <f t="shared" si="12"/>
        <v>4.6051701859880918</v>
      </c>
      <c r="J206" s="1">
        <f t="shared" si="12"/>
        <v>2.4423470353692043</v>
      </c>
      <c r="K206" s="1">
        <f t="shared" si="13"/>
        <v>-0.42555186667490169</v>
      </c>
    </row>
    <row r="207" spans="1:11">
      <c r="A207" s="483">
        <f t="shared" si="14"/>
        <v>201</v>
      </c>
      <c r="B207" s="485">
        <v>38159</v>
      </c>
      <c r="C207" s="473">
        <v>0.80347222222222225</v>
      </c>
      <c r="D207" s="484" t="s">
        <v>118</v>
      </c>
      <c r="E207" s="472" t="s">
        <v>123</v>
      </c>
      <c r="F207" s="486">
        <v>50</v>
      </c>
      <c r="G207" s="486">
        <v>0.4</v>
      </c>
      <c r="H207" s="614">
        <f t="shared" si="15"/>
        <v>1.1363636363636364E-2</v>
      </c>
      <c r="I207" s="1">
        <f t="shared" si="12"/>
        <v>3.912023005428146</v>
      </c>
      <c r="J207" s="1">
        <f t="shared" si="12"/>
        <v>-0.916290731874155</v>
      </c>
      <c r="K207" s="1">
        <f t="shared" si="13"/>
        <v>-4.4773368144782069</v>
      </c>
    </row>
    <row r="208" spans="1:11">
      <c r="A208" s="483">
        <f t="shared" si="14"/>
        <v>202</v>
      </c>
      <c r="B208" s="485">
        <v>38889</v>
      </c>
      <c r="C208" s="473">
        <v>0.7402777777777777</v>
      </c>
      <c r="D208" s="484" t="s">
        <v>100</v>
      </c>
      <c r="E208" s="472" t="s">
        <v>123</v>
      </c>
      <c r="F208" s="486">
        <v>300</v>
      </c>
      <c r="G208" s="486">
        <v>2</v>
      </c>
      <c r="H208" s="614">
        <f t="shared" si="15"/>
        <v>0.34090909090909088</v>
      </c>
      <c r="I208" s="1">
        <f t="shared" si="12"/>
        <v>5.7037824746562009</v>
      </c>
      <c r="J208" s="1">
        <f t="shared" si="12"/>
        <v>0.69314718055994529</v>
      </c>
      <c r="K208" s="1">
        <f t="shared" si="13"/>
        <v>-1.0761394328160512</v>
      </c>
    </row>
    <row r="209" spans="1:11">
      <c r="A209" s="483">
        <f t="shared" si="14"/>
        <v>203</v>
      </c>
      <c r="B209" s="485">
        <v>39165</v>
      </c>
      <c r="C209" s="473">
        <v>0.12430555555555556</v>
      </c>
      <c r="D209" s="484" t="s">
        <v>115</v>
      </c>
      <c r="E209" s="472" t="s">
        <v>162</v>
      </c>
      <c r="F209" s="486">
        <v>50</v>
      </c>
      <c r="G209" s="486">
        <v>2</v>
      </c>
      <c r="H209" s="614">
        <f t="shared" si="15"/>
        <v>5.6818181818181816E-2</v>
      </c>
      <c r="I209" s="1">
        <f t="shared" si="12"/>
        <v>3.912023005428146</v>
      </c>
      <c r="J209" s="1">
        <f t="shared" si="12"/>
        <v>0.69314718055994529</v>
      </c>
      <c r="K209" s="1">
        <f t="shared" si="13"/>
        <v>-2.8678989020441059</v>
      </c>
    </row>
    <row r="210" spans="1:11">
      <c r="A210" s="483">
        <f t="shared" si="14"/>
        <v>204</v>
      </c>
      <c r="B210" s="485">
        <v>39169</v>
      </c>
      <c r="C210" s="473">
        <v>0.74652777777777779</v>
      </c>
      <c r="D210" s="484" t="s">
        <v>120</v>
      </c>
      <c r="E210" s="472" t="s">
        <v>162</v>
      </c>
      <c r="F210" s="486">
        <v>150</v>
      </c>
      <c r="G210" s="486">
        <v>7.27</v>
      </c>
      <c r="H210" s="614">
        <f t="shared" si="15"/>
        <v>0.61960227272727264</v>
      </c>
      <c r="I210" s="1">
        <f t="shared" si="12"/>
        <v>5.0106352940962555</v>
      </c>
      <c r="J210" s="1">
        <f t="shared" si="12"/>
        <v>1.9837562915454279</v>
      </c>
      <c r="K210" s="1">
        <f t="shared" si="13"/>
        <v>-0.47867750239051388</v>
      </c>
    </row>
    <row r="211" spans="1:11">
      <c r="A211" s="483">
        <f t="shared" si="14"/>
        <v>205</v>
      </c>
      <c r="B211" s="485">
        <v>39169</v>
      </c>
      <c r="C211" s="473">
        <v>0.81666666666666676</v>
      </c>
      <c r="D211" s="484" t="s">
        <v>115</v>
      </c>
      <c r="E211" s="472" t="s">
        <v>162</v>
      </c>
      <c r="F211" s="486">
        <v>50</v>
      </c>
      <c r="G211" s="486">
        <v>0.25</v>
      </c>
      <c r="H211" s="614">
        <f t="shared" si="15"/>
        <v>7.102272727272727E-3</v>
      </c>
      <c r="I211" s="1">
        <f t="shared" si="12"/>
        <v>3.912023005428146</v>
      </c>
      <c r="J211" s="1">
        <f t="shared" si="12"/>
        <v>-1.3862943611198906</v>
      </c>
      <c r="K211" s="1">
        <f t="shared" si="13"/>
        <v>-4.9473404437239417</v>
      </c>
    </row>
    <row r="212" spans="1:11">
      <c r="A212" s="483">
        <f t="shared" si="14"/>
        <v>206</v>
      </c>
      <c r="B212" s="485">
        <v>39193</v>
      </c>
      <c r="C212" s="473">
        <v>0.74375000000000002</v>
      </c>
      <c r="D212" s="484" t="s">
        <v>112</v>
      </c>
      <c r="E212" s="472" t="s">
        <v>162</v>
      </c>
      <c r="F212" s="486">
        <v>880</v>
      </c>
      <c r="G212" s="486">
        <v>3.57</v>
      </c>
      <c r="H212" s="614">
        <f t="shared" si="15"/>
        <v>1.7849999999999999</v>
      </c>
      <c r="I212" s="1">
        <f t="shared" si="12"/>
        <v>6.7799219074722519</v>
      </c>
      <c r="J212" s="1">
        <f t="shared" si="12"/>
        <v>1.2725655957915476</v>
      </c>
      <c r="K212" s="1">
        <f t="shared" si="13"/>
        <v>0.57941841523160231</v>
      </c>
    </row>
    <row r="213" spans="1:11">
      <c r="A213" s="483">
        <f t="shared" si="14"/>
        <v>207</v>
      </c>
      <c r="B213" s="485">
        <v>39193</v>
      </c>
      <c r="C213" s="473">
        <v>0.74930555555555556</v>
      </c>
      <c r="D213" s="484" t="s">
        <v>107</v>
      </c>
      <c r="E213" s="472" t="s">
        <v>162</v>
      </c>
      <c r="F213" s="486">
        <v>880</v>
      </c>
      <c r="G213" s="486">
        <v>13.56</v>
      </c>
      <c r="H213" s="614">
        <f t="shared" si="15"/>
        <v>6.78</v>
      </c>
      <c r="I213" s="1">
        <f t="shared" si="12"/>
        <v>6.7799219074722519</v>
      </c>
      <c r="J213" s="1">
        <f t="shared" si="12"/>
        <v>2.6071242825122494</v>
      </c>
      <c r="K213" s="1">
        <f t="shared" si="13"/>
        <v>1.9139771019523042</v>
      </c>
    </row>
    <row r="214" spans="1:11">
      <c r="A214" s="483">
        <f t="shared" si="14"/>
        <v>208</v>
      </c>
      <c r="B214" s="485">
        <v>39193</v>
      </c>
      <c r="C214" s="473">
        <v>0.81666666666666676</v>
      </c>
      <c r="D214" s="484" t="s">
        <v>108</v>
      </c>
      <c r="E214" s="472" t="s">
        <v>162</v>
      </c>
      <c r="F214" s="486">
        <v>1320</v>
      </c>
      <c r="G214" s="486">
        <v>2.0099999999999998</v>
      </c>
      <c r="H214" s="614">
        <f t="shared" si="15"/>
        <v>1.5074999999999998</v>
      </c>
      <c r="I214" s="1">
        <f t="shared" si="12"/>
        <v>7.1853870155804165</v>
      </c>
      <c r="J214" s="1">
        <f t="shared" si="12"/>
        <v>0.69813472207098426</v>
      </c>
      <c r="K214" s="1">
        <f t="shared" si="13"/>
        <v>0.41045264961920336</v>
      </c>
    </row>
    <row r="215" spans="1:11">
      <c r="A215" s="483">
        <f t="shared" si="14"/>
        <v>209</v>
      </c>
      <c r="B215" s="485">
        <v>39193</v>
      </c>
      <c r="C215" s="473">
        <v>0.81874999999999998</v>
      </c>
      <c r="D215" s="484" t="s">
        <v>103</v>
      </c>
      <c r="E215" s="472" t="s">
        <v>162</v>
      </c>
      <c r="F215" s="486">
        <v>1320</v>
      </c>
      <c r="G215" s="486">
        <v>7.3</v>
      </c>
      <c r="H215" s="614">
        <f t="shared" si="15"/>
        <v>5.4749999999999996</v>
      </c>
      <c r="I215" s="1">
        <f t="shared" si="12"/>
        <v>7.1853870155804165</v>
      </c>
      <c r="J215" s="1">
        <f t="shared" si="12"/>
        <v>1.9878743481543455</v>
      </c>
      <c r="K215" s="1">
        <f t="shared" si="13"/>
        <v>1.7001922757025645</v>
      </c>
    </row>
    <row r="216" spans="1:11">
      <c r="A216" s="483">
        <f t="shared" si="14"/>
        <v>210</v>
      </c>
      <c r="B216" s="485">
        <v>39193</v>
      </c>
      <c r="C216" s="473">
        <v>0.82291666666666663</v>
      </c>
      <c r="D216" s="484" t="s">
        <v>119</v>
      </c>
      <c r="E216" s="472" t="s">
        <v>162</v>
      </c>
      <c r="F216" s="486">
        <v>440</v>
      </c>
      <c r="G216" s="486">
        <v>3.33</v>
      </c>
      <c r="H216" s="614">
        <f t="shared" si="15"/>
        <v>0.83250000000000002</v>
      </c>
      <c r="I216" s="1">
        <f t="shared" si="12"/>
        <v>6.0867747269123065</v>
      </c>
      <c r="J216" s="1">
        <f t="shared" si="12"/>
        <v>1.2029723039923526</v>
      </c>
      <c r="K216" s="1">
        <f t="shared" si="13"/>
        <v>-0.18332205712753813</v>
      </c>
    </row>
    <row r="217" spans="1:11">
      <c r="A217" s="483">
        <f t="shared" si="14"/>
        <v>211</v>
      </c>
      <c r="B217" s="485">
        <v>39193</v>
      </c>
      <c r="C217" s="473">
        <v>0.82291666666666663</v>
      </c>
      <c r="D217" s="484" t="s">
        <v>108</v>
      </c>
      <c r="E217" s="472" t="s">
        <v>162</v>
      </c>
      <c r="F217" s="486">
        <v>440</v>
      </c>
      <c r="G217" s="486">
        <v>12.23</v>
      </c>
      <c r="H217" s="614">
        <f t="shared" si="15"/>
        <v>3.0575000000000001</v>
      </c>
      <c r="I217" s="1">
        <f t="shared" si="12"/>
        <v>6.0867747269123065</v>
      </c>
      <c r="J217" s="1">
        <f t="shared" si="12"/>
        <v>2.503891949699081</v>
      </c>
      <c r="K217" s="1">
        <f t="shared" si="13"/>
        <v>1.1175975885791904</v>
      </c>
    </row>
    <row r="218" spans="1:11">
      <c r="A218" s="483">
        <f t="shared" si="14"/>
        <v>212</v>
      </c>
      <c r="B218" s="485">
        <v>39193</v>
      </c>
      <c r="C218" s="473">
        <v>0.83263888888888893</v>
      </c>
      <c r="D218" s="484" t="s">
        <v>108</v>
      </c>
      <c r="E218" s="472" t="s">
        <v>162</v>
      </c>
      <c r="F218" s="486">
        <v>704</v>
      </c>
      <c r="G218" s="486">
        <v>2</v>
      </c>
      <c r="H218" s="614">
        <f t="shared" si="15"/>
        <v>0.8</v>
      </c>
      <c r="I218" s="1">
        <f t="shared" si="12"/>
        <v>6.5567783561580422</v>
      </c>
      <c r="J218" s="1">
        <f t="shared" si="12"/>
        <v>0.69314718055994529</v>
      </c>
      <c r="K218" s="1">
        <f t="shared" si="13"/>
        <v>-0.22314355131420971</v>
      </c>
    </row>
    <row r="219" spans="1:11">
      <c r="A219" s="483">
        <f t="shared" si="14"/>
        <v>213</v>
      </c>
      <c r="B219" s="485">
        <v>39193</v>
      </c>
      <c r="C219" s="473">
        <v>0.83333333333333337</v>
      </c>
      <c r="D219" s="484" t="s">
        <v>118</v>
      </c>
      <c r="E219" s="472" t="s">
        <v>162</v>
      </c>
      <c r="F219" s="486">
        <v>880</v>
      </c>
      <c r="G219" s="486">
        <v>10.7</v>
      </c>
      <c r="H219" s="614">
        <f t="shared" si="15"/>
        <v>5.35</v>
      </c>
      <c r="I219" s="1">
        <f t="shared" si="12"/>
        <v>6.7799219074722519</v>
      </c>
      <c r="J219" s="1">
        <f t="shared" si="12"/>
        <v>2.3702437414678603</v>
      </c>
      <c r="K219" s="1">
        <f t="shared" si="13"/>
        <v>1.6770965609079151</v>
      </c>
    </row>
    <row r="220" spans="1:11">
      <c r="A220" s="483">
        <f t="shared" si="14"/>
        <v>214</v>
      </c>
      <c r="B220" s="485">
        <v>39193</v>
      </c>
      <c r="C220" s="473">
        <v>0.86805555555555547</v>
      </c>
      <c r="D220" s="484" t="s">
        <v>115</v>
      </c>
      <c r="E220" s="472" t="s">
        <v>162</v>
      </c>
      <c r="F220" s="486">
        <v>50</v>
      </c>
      <c r="G220" s="486">
        <v>12.7</v>
      </c>
      <c r="H220" s="614">
        <f t="shared" si="15"/>
        <v>0.36079545454545453</v>
      </c>
      <c r="I220" s="1">
        <f t="shared" si="12"/>
        <v>3.912023005428146</v>
      </c>
      <c r="J220" s="1">
        <f t="shared" si="12"/>
        <v>2.5416019934645457</v>
      </c>
      <c r="K220" s="1">
        <f t="shared" si="13"/>
        <v>-1.0194440891395058</v>
      </c>
    </row>
    <row r="221" spans="1:11">
      <c r="A221" s="483">
        <f t="shared" si="14"/>
        <v>215</v>
      </c>
      <c r="B221" s="501">
        <v>39207</v>
      </c>
      <c r="C221" s="473">
        <v>0.76875000000000004</v>
      </c>
      <c r="D221" s="484" t="s">
        <v>121</v>
      </c>
      <c r="E221" s="472" t="s">
        <v>162</v>
      </c>
      <c r="F221" s="486">
        <v>200</v>
      </c>
      <c r="G221" s="486">
        <v>0.74</v>
      </c>
      <c r="H221" s="614">
        <f t="shared" si="15"/>
        <v>8.4090909090909091E-2</v>
      </c>
      <c r="I221" s="1">
        <f t="shared" si="12"/>
        <v>5.2983173665480363</v>
      </c>
      <c r="J221" s="1">
        <f t="shared" si="12"/>
        <v>-0.30110509278392161</v>
      </c>
      <c r="K221" s="1">
        <f t="shared" si="13"/>
        <v>-2.4758568142680826</v>
      </c>
    </row>
    <row r="222" spans="1:11">
      <c r="A222" s="483">
        <f t="shared" si="14"/>
        <v>216</v>
      </c>
      <c r="B222" s="501">
        <v>39207</v>
      </c>
      <c r="C222" s="473">
        <v>0.76944444444444438</v>
      </c>
      <c r="D222" s="484" t="s">
        <v>116</v>
      </c>
      <c r="E222" s="472" t="s">
        <v>162</v>
      </c>
      <c r="F222" s="486">
        <v>200</v>
      </c>
      <c r="G222" s="486">
        <v>6.25</v>
      </c>
      <c r="H222" s="614">
        <f t="shared" si="15"/>
        <v>0.71022727272727271</v>
      </c>
      <c r="I222" s="1">
        <f t="shared" si="12"/>
        <v>5.2983173665480363</v>
      </c>
      <c r="J222" s="1">
        <f t="shared" si="12"/>
        <v>1.8325814637483102</v>
      </c>
      <c r="K222" s="1">
        <f t="shared" si="13"/>
        <v>-0.34217025773585069</v>
      </c>
    </row>
    <row r="223" spans="1:11">
      <c r="A223" s="483">
        <f t="shared" si="14"/>
        <v>217</v>
      </c>
      <c r="B223" s="485">
        <v>39225</v>
      </c>
      <c r="C223" s="473">
        <v>0.86319444444444438</v>
      </c>
      <c r="D223" s="484" t="s">
        <v>105</v>
      </c>
      <c r="E223" s="472" t="s">
        <v>162</v>
      </c>
      <c r="F223" s="486">
        <v>880</v>
      </c>
      <c r="G223" s="486">
        <v>3</v>
      </c>
      <c r="H223" s="614">
        <f t="shared" si="15"/>
        <v>1.5</v>
      </c>
      <c r="I223" s="1">
        <f t="shared" si="12"/>
        <v>6.7799219074722519</v>
      </c>
      <c r="J223" s="1">
        <f t="shared" si="12"/>
        <v>1.0986122886681098</v>
      </c>
      <c r="K223" s="1">
        <f t="shared" si="13"/>
        <v>0.40546510810816438</v>
      </c>
    </row>
    <row r="224" spans="1:11">
      <c r="A224" s="483">
        <f t="shared" si="14"/>
        <v>218</v>
      </c>
      <c r="B224" s="485">
        <v>39225</v>
      </c>
      <c r="C224" s="473">
        <v>0.91319444444444453</v>
      </c>
      <c r="D224" s="484" t="s">
        <v>106</v>
      </c>
      <c r="E224" s="472" t="s">
        <v>162</v>
      </c>
      <c r="F224" s="486">
        <v>150</v>
      </c>
      <c r="G224" s="486">
        <v>4</v>
      </c>
      <c r="H224" s="614">
        <f t="shared" si="15"/>
        <v>0.34090909090909088</v>
      </c>
      <c r="I224" s="1">
        <f t="shared" si="12"/>
        <v>5.0106352940962555</v>
      </c>
      <c r="J224" s="1">
        <f t="shared" si="12"/>
        <v>1.3862943611198906</v>
      </c>
      <c r="K224" s="1">
        <f t="shared" si="13"/>
        <v>-1.0761394328160512</v>
      </c>
    </row>
    <row r="225" spans="1:11">
      <c r="A225" s="483">
        <f t="shared" si="14"/>
        <v>219</v>
      </c>
      <c r="B225" s="485">
        <v>39233</v>
      </c>
      <c r="C225" s="473">
        <v>0.79583333333333339</v>
      </c>
      <c r="D225" s="484" t="s">
        <v>100</v>
      </c>
      <c r="E225" s="472" t="s">
        <v>162</v>
      </c>
      <c r="F225" s="486">
        <v>300</v>
      </c>
      <c r="G225" s="486">
        <v>5.27</v>
      </c>
      <c r="H225" s="614">
        <f t="shared" si="15"/>
        <v>0.89829545454545445</v>
      </c>
      <c r="I225" s="1">
        <f t="shared" si="12"/>
        <v>5.7037824746562009</v>
      </c>
      <c r="J225" s="1">
        <f t="shared" si="12"/>
        <v>1.6620303625532709</v>
      </c>
      <c r="K225" s="1">
        <f t="shared" si="13"/>
        <v>-0.10725625082272555</v>
      </c>
    </row>
    <row r="226" spans="1:11">
      <c r="A226" s="483">
        <f t="shared" si="14"/>
        <v>220</v>
      </c>
      <c r="B226" s="485">
        <v>39372</v>
      </c>
      <c r="C226" s="473">
        <v>0.96944444444444444</v>
      </c>
      <c r="D226" s="484" t="s">
        <v>118</v>
      </c>
      <c r="E226" s="472" t="s">
        <v>162</v>
      </c>
      <c r="F226" s="486">
        <v>300</v>
      </c>
      <c r="G226" s="486">
        <v>11.46</v>
      </c>
      <c r="H226" s="614">
        <f t="shared" si="15"/>
        <v>1.9534090909090909</v>
      </c>
      <c r="I226" s="1">
        <f t="shared" si="12"/>
        <v>5.7037824746562009</v>
      </c>
      <c r="J226" s="1">
        <f t="shared" si="12"/>
        <v>2.4388627112865935</v>
      </c>
      <c r="K226" s="1">
        <f t="shared" si="13"/>
        <v>0.66957609791059713</v>
      </c>
    </row>
    <row r="227" spans="1:11">
      <c r="A227" s="483">
        <f t="shared" si="14"/>
        <v>221</v>
      </c>
      <c r="B227" s="485">
        <v>39932</v>
      </c>
      <c r="C227" s="473">
        <v>0.72916666666666663</v>
      </c>
      <c r="D227" s="484" t="s">
        <v>114</v>
      </c>
      <c r="E227" s="472" t="s">
        <v>162</v>
      </c>
      <c r="F227" s="486">
        <v>25</v>
      </c>
      <c r="G227" s="486">
        <v>0.9</v>
      </c>
      <c r="H227" s="614">
        <f t="shared" si="15"/>
        <v>1.2784090909090908E-2</v>
      </c>
      <c r="I227" s="1">
        <f t="shared" si="12"/>
        <v>3.2188758248682006</v>
      </c>
      <c r="J227" s="1">
        <f t="shared" si="12"/>
        <v>-0.10536051565782628</v>
      </c>
      <c r="K227" s="1">
        <f t="shared" si="13"/>
        <v>-4.359553778821823</v>
      </c>
    </row>
    <row r="228" spans="1:11">
      <c r="A228" s="483">
        <f t="shared" si="14"/>
        <v>222</v>
      </c>
      <c r="B228" s="485">
        <v>39948</v>
      </c>
      <c r="C228" s="473">
        <v>0.68402777777777779</v>
      </c>
      <c r="D228" s="484" t="s">
        <v>115</v>
      </c>
      <c r="E228" s="472" t="s">
        <v>162</v>
      </c>
      <c r="F228" s="486">
        <v>440</v>
      </c>
      <c r="G228" s="486">
        <v>6</v>
      </c>
      <c r="H228" s="614">
        <f t="shared" si="15"/>
        <v>1.5</v>
      </c>
      <c r="I228" s="1">
        <f t="shared" si="12"/>
        <v>6.0867747269123065</v>
      </c>
      <c r="J228" s="1">
        <f t="shared" si="12"/>
        <v>1.791759469228055</v>
      </c>
      <c r="K228" s="1">
        <f t="shared" si="13"/>
        <v>0.40546510810816438</v>
      </c>
    </row>
    <row r="229" spans="1:11">
      <c r="A229" s="483">
        <f t="shared" si="14"/>
        <v>223</v>
      </c>
      <c r="B229" s="485">
        <v>40290</v>
      </c>
      <c r="C229" s="504">
        <v>0.68055555555555547</v>
      </c>
      <c r="D229" s="563" t="s">
        <v>119</v>
      </c>
      <c r="E229" s="472" t="s">
        <v>162</v>
      </c>
      <c r="F229" s="563">
        <v>100</v>
      </c>
      <c r="G229" s="563">
        <v>10.34</v>
      </c>
      <c r="H229" s="614">
        <f t="shared" si="15"/>
        <v>0.58750000000000002</v>
      </c>
      <c r="I229" s="1">
        <f t="shared" si="12"/>
        <v>4.6051701859880918</v>
      </c>
      <c r="J229" s="1">
        <f t="shared" si="12"/>
        <v>2.3360198690802831</v>
      </c>
      <c r="K229" s="1">
        <f t="shared" si="13"/>
        <v>-0.531879032963823</v>
      </c>
    </row>
    <row r="230" spans="1:11">
      <c r="A230" s="483">
        <f t="shared" si="14"/>
        <v>224</v>
      </c>
      <c r="B230" s="485">
        <v>40317</v>
      </c>
      <c r="C230" s="473">
        <v>3.888888888888889E-2</v>
      </c>
      <c r="D230" s="484" t="s">
        <v>109</v>
      </c>
      <c r="E230" s="472" t="s">
        <v>162</v>
      </c>
      <c r="F230" s="486">
        <v>100</v>
      </c>
      <c r="G230" s="486">
        <v>0.44</v>
      </c>
      <c r="H230" s="614">
        <f t="shared" si="15"/>
        <v>2.4999999999999998E-2</v>
      </c>
      <c r="I230" s="1">
        <f t="shared" si="12"/>
        <v>4.6051701859880918</v>
      </c>
      <c r="J230" s="1">
        <f t="shared" si="12"/>
        <v>-0.82098055206983023</v>
      </c>
      <c r="K230" s="1">
        <f t="shared" si="13"/>
        <v>-3.6888794541139363</v>
      </c>
    </row>
    <row r="231" spans="1:11">
      <c r="A231" s="483">
        <f t="shared" si="14"/>
        <v>225</v>
      </c>
      <c r="B231" s="485">
        <v>40321</v>
      </c>
      <c r="C231" s="473">
        <v>0.85763888888888884</v>
      </c>
      <c r="D231" s="484" t="s">
        <v>99</v>
      </c>
      <c r="E231" s="472" t="s">
        <v>162</v>
      </c>
      <c r="F231" s="486">
        <v>440</v>
      </c>
      <c r="G231" s="486">
        <v>6.01</v>
      </c>
      <c r="H231" s="614">
        <f t="shared" si="15"/>
        <v>1.5024999999999999</v>
      </c>
      <c r="I231" s="1">
        <f t="shared" si="12"/>
        <v>6.0867747269123065</v>
      </c>
      <c r="J231" s="1">
        <f t="shared" si="12"/>
        <v>1.7934247485471162</v>
      </c>
      <c r="K231" s="1">
        <f t="shared" si="13"/>
        <v>0.40713038742722557</v>
      </c>
    </row>
    <row r="232" spans="1:11">
      <c r="A232" s="654">
        <f t="shared" si="14"/>
        <v>226</v>
      </c>
      <c r="B232" s="656">
        <v>40942</v>
      </c>
      <c r="C232" s="659">
        <v>2.9166666666666664E-2</v>
      </c>
      <c r="D232" s="666" t="s">
        <v>115</v>
      </c>
      <c r="E232" s="658" t="s">
        <v>162</v>
      </c>
      <c r="F232" s="655">
        <v>100</v>
      </c>
      <c r="G232" s="655">
        <v>8.3000000000000007</v>
      </c>
      <c r="H232" s="614">
        <f t="shared" si="15"/>
        <v>0.47159090909090912</v>
      </c>
      <c r="I232" s="1">
        <f t="shared" si="12"/>
        <v>4.6051701859880918</v>
      </c>
      <c r="J232" s="1">
        <f t="shared" si="12"/>
        <v>2.1162555148025524</v>
      </c>
      <c r="K232" s="1">
        <f t="shared" si="13"/>
        <v>-0.75164338724155377</v>
      </c>
    </row>
    <row r="233" spans="1:11">
      <c r="A233" s="483">
        <f t="shared" si="14"/>
        <v>227</v>
      </c>
      <c r="B233" s="485">
        <v>41812</v>
      </c>
      <c r="C233" s="473">
        <v>0.7104166666666667</v>
      </c>
      <c r="D233" s="707" t="s">
        <v>101</v>
      </c>
      <c r="E233" s="472" t="s">
        <v>162</v>
      </c>
      <c r="F233" s="563">
        <v>150</v>
      </c>
      <c r="G233" s="563">
        <v>3.77</v>
      </c>
      <c r="H233" s="614">
        <f t="shared" si="15"/>
        <v>0.32130681818181817</v>
      </c>
      <c r="I233" s="1">
        <f t="shared" si="12"/>
        <v>5.0106352940962555</v>
      </c>
      <c r="J233" s="1">
        <f t="shared" si="12"/>
        <v>1.3270750014599193</v>
      </c>
      <c r="K233" s="1">
        <f t="shared" si="13"/>
        <v>-1.1353587924760224</v>
      </c>
    </row>
    <row r="234" spans="1:11">
      <c r="A234" s="483">
        <f t="shared" si="14"/>
        <v>228</v>
      </c>
      <c r="B234" s="485">
        <v>41812</v>
      </c>
      <c r="C234" s="473">
        <v>0.86805555555555547</v>
      </c>
      <c r="D234" s="707" t="s">
        <v>111</v>
      </c>
      <c r="E234" s="472" t="s">
        <v>162</v>
      </c>
      <c r="F234" s="563">
        <v>100</v>
      </c>
      <c r="G234" s="563">
        <v>0.86</v>
      </c>
      <c r="H234" s="614">
        <f t="shared" si="15"/>
        <v>4.8863636363636359E-2</v>
      </c>
      <c r="I234" s="1">
        <f t="shared" si="12"/>
        <v>4.6051701859880918</v>
      </c>
      <c r="J234" s="1">
        <f t="shared" si="12"/>
        <v>-0.15082288973458366</v>
      </c>
      <c r="K234" s="1">
        <f t="shared" si="13"/>
        <v>-3.0187217917786899</v>
      </c>
    </row>
    <row r="235" spans="1:11">
      <c r="A235" s="483">
        <f t="shared" si="14"/>
        <v>229</v>
      </c>
      <c r="B235" s="485">
        <v>41812</v>
      </c>
      <c r="C235" s="473">
        <v>0.86944444444444446</v>
      </c>
      <c r="D235" s="707" t="s">
        <v>110</v>
      </c>
      <c r="E235" s="472" t="s">
        <v>162</v>
      </c>
      <c r="F235" s="563">
        <v>100</v>
      </c>
      <c r="G235" s="563">
        <v>1</v>
      </c>
      <c r="H235" s="614">
        <f t="shared" si="15"/>
        <v>5.6818181818181816E-2</v>
      </c>
      <c r="I235" s="1">
        <f t="shared" si="12"/>
        <v>4.6051701859880918</v>
      </c>
      <c r="J235" s="1">
        <f t="shared" si="12"/>
        <v>0</v>
      </c>
      <c r="K235" s="1">
        <f t="shared" si="13"/>
        <v>-2.8678989020441059</v>
      </c>
    </row>
    <row r="236" spans="1:11">
      <c r="A236" s="483">
        <f t="shared" si="14"/>
        <v>230</v>
      </c>
      <c r="B236" s="485">
        <v>41921</v>
      </c>
      <c r="C236" s="473">
        <v>0.84027777777777779</v>
      </c>
      <c r="D236" s="707" t="s">
        <v>115</v>
      </c>
      <c r="E236" s="472" t="s">
        <v>162</v>
      </c>
      <c r="F236" s="563">
        <v>125</v>
      </c>
      <c r="G236" s="563">
        <v>7.03</v>
      </c>
      <c r="H236" s="614">
        <f t="shared" si="15"/>
        <v>0.49928977272727276</v>
      </c>
      <c r="I236" s="1">
        <f t="shared" si="12"/>
        <v>4.8283137373023015</v>
      </c>
      <c r="J236" s="1">
        <f t="shared" si="12"/>
        <v>1.9501867058225735</v>
      </c>
      <c r="K236" s="1">
        <f t="shared" si="13"/>
        <v>-0.69456864490732273</v>
      </c>
    </row>
    <row r="237" spans="1:11">
      <c r="A237" s="483">
        <f t="shared" si="14"/>
        <v>231</v>
      </c>
      <c r="B237" s="694">
        <v>42140</v>
      </c>
      <c r="C237" s="504">
        <v>0.55555555555555558</v>
      </c>
      <c r="D237" s="563" t="s">
        <v>120</v>
      </c>
      <c r="E237" s="472" t="s">
        <v>162</v>
      </c>
      <c r="F237" s="563">
        <v>150</v>
      </c>
      <c r="G237" s="563">
        <v>8.59</v>
      </c>
      <c r="H237" s="614">
        <f t="shared" si="15"/>
        <v>0.73210227272727268</v>
      </c>
      <c r="I237" s="1">
        <f t="shared" si="12"/>
        <v>5.0106352940962555</v>
      </c>
      <c r="J237" s="1">
        <f t="shared" si="12"/>
        <v>2.150598735996164</v>
      </c>
      <c r="K237" s="1">
        <f t="shared" si="13"/>
        <v>-0.31183505793977778</v>
      </c>
    </row>
    <row r="238" spans="1:11">
      <c r="A238" s="483">
        <f t="shared" si="14"/>
        <v>232</v>
      </c>
      <c r="B238" s="694">
        <v>42140</v>
      </c>
      <c r="C238" s="504">
        <v>0.56944444444444442</v>
      </c>
      <c r="D238" s="563" t="s">
        <v>120</v>
      </c>
      <c r="E238" s="472" t="s">
        <v>162</v>
      </c>
      <c r="F238" s="563">
        <v>100</v>
      </c>
      <c r="G238" s="563">
        <v>6</v>
      </c>
      <c r="H238" s="614">
        <f t="shared" si="15"/>
        <v>0.34090909090909088</v>
      </c>
      <c r="I238" s="1">
        <f t="shared" si="12"/>
        <v>4.6051701859880918</v>
      </c>
      <c r="J238" s="1">
        <f t="shared" si="12"/>
        <v>1.791759469228055</v>
      </c>
      <c r="K238" s="1">
        <f t="shared" si="13"/>
        <v>-1.0761394328160512</v>
      </c>
    </row>
    <row r="239" spans="1:11">
      <c r="A239" s="483">
        <f t="shared" si="14"/>
        <v>233</v>
      </c>
      <c r="B239" s="694">
        <v>42140</v>
      </c>
      <c r="C239" s="504">
        <v>0.57430555555555551</v>
      </c>
      <c r="D239" s="563" t="s">
        <v>121</v>
      </c>
      <c r="E239" s="472" t="s">
        <v>162</v>
      </c>
      <c r="F239" s="563">
        <v>100</v>
      </c>
      <c r="G239" s="563">
        <v>16.48</v>
      </c>
      <c r="H239" s="614">
        <f t="shared" si="15"/>
        <v>0.9363636363636364</v>
      </c>
      <c r="I239" s="1">
        <f t="shared" si="12"/>
        <v>4.6051701859880918</v>
      </c>
      <c r="J239" s="1">
        <f t="shared" si="12"/>
        <v>2.8021475244813256</v>
      </c>
      <c r="K239" s="1">
        <f t="shared" si="13"/>
        <v>-6.5751377562780419E-2</v>
      </c>
    </row>
    <row r="240" spans="1:11">
      <c r="A240" s="483">
        <f t="shared" si="14"/>
        <v>234</v>
      </c>
      <c r="B240" s="485">
        <v>42151</v>
      </c>
      <c r="C240" s="473">
        <v>0.70972222222222225</v>
      </c>
      <c r="D240" s="563" t="s">
        <v>111</v>
      </c>
      <c r="E240" s="472" t="s">
        <v>162</v>
      </c>
      <c r="F240" s="763">
        <v>600</v>
      </c>
      <c r="G240" s="763">
        <v>1.1200000000000001</v>
      </c>
      <c r="H240" s="614">
        <f t="shared" si="15"/>
        <v>0.38181818181818183</v>
      </c>
      <c r="I240" s="1">
        <f t="shared" si="12"/>
        <v>6.3969296552161463</v>
      </c>
      <c r="J240" s="1">
        <f t="shared" si="12"/>
        <v>0.11332868530700327</v>
      </c>
      <c r="K240" s="1">
        <f t="shared" si="13"/>
        <v>-0.96281074750904783</v>
      </c>
    </row>
    <row r="241" spans="1:11">
      <c r="A241" s="483">
        <f t="shared" si="14"/>
        <v>235</v>
      </c>
      <c r="B241" s="485">
        <v>42324</v>
      </c>
      <c r="C241" s="473">
        <v>0.78611111111111109</v>
      </c>
      <c r="D241" s="563" t="s">
        <v>105</v>
      </c>
      <c r="E241" s="472" t="s">
        <v>162</v>
      </c>
      <c r="F241" s="763">
        <v>200</v>
      </c>
      <c r="G241" s="763">
        <v>5.78</v>
      </c>
      <c r="H241" s="614">
        <f t="shared" si="15"/>
        <v>0.65681818181818186</v>
      </c>
      <c r="I241" s="1">
        <f t="shared" si="12"/>
        <v>5.2983173665480363</v>
      </c>
      <c r="J241" s="1">
        <f t="shared" si="12"/>
        <v>1.7544036826842861</v>
      </c>
      <c r="K241" s="1">
        <f t="shared" si="13"/>
        <v>-0.42034803879987465</v>
      </c>
    </row>
    <row r="242" spans="1:11">
      <c r="A242" s="483">
        <f t="shared" si="14"/>
        <v>236</v>
      </c>
      <c r="B242" s="485">
        <v>42324</v>
      </c>
      <c r="C242" s="473">
        <v>0.79166666666666663</v>
      </c>
      <c r="D242" s="563" t="s">
        <v>105</v>
      </c>
      <c r="E242" s="472" t="s">
        <v>162</v>
      </c>
      <c r="F242" s="763">
        <v>400</v>
      </c>
      <c r="G242" s="763">
        <v>4.17</v>
      </c>
      <c r="H242" s="614">
        <f t="shared" si="15"/>
        <v>0.94772727272727264</v>
      </c>
      <c r="I242" s="1">
        <f t="shared" si="12"/>
        <v>5.9914645471079817</v>
      </c>
      <c r="J242" s="1">
        <f t="shared" si="12"/>
        <v>1.4279160358107101</v>
      </c>
      <c r="K242" s="1">
        <f t="shared" si="13"/>
        <v>-5.3688505113505487E-2</v>
      </c>
    </row>
    <row r="243" spans="1:11">
      <c r="A243" s="483">
        <f t="shared" si="14"/>
        <v>237</v>
      </c>
      <c r="B243" s="485">
        <v>42324</v>
      </c>
      <c r="C243" s="473">
        <v>0.79652777777777783</v>
      </c>
      <c r="D243" s="563" t="s">
        <v>101</v>
      </c>
      <c r="E243" s="472" t="s">
        <v>162</v>
      </c>
      <c r="F243" s="763">
        <v>400</v>
      </c>
      <c r="G243" s="763">
        <v>1.01</v>
      </c>
      <c r="H243" s="614">
        <f t="shared" si="15"/>
        <v>0.22954545454545455</v>
      </c>
      <c r="I243" s="1">
        <f t="shared" si="12"/>
        <v>5.9914645471079817</v>
      </c>
      <c r="J243" s="1">
        <f t="shared" si="12"/>
        <v>9.950330853168092E-3</v>
      </c>
      <c r="K243" s="1">
        <f t="shared" si="13"/>
        <v>-1.4716542100710475</v>
      </c>
    </row>
    <row r="244" spans="1:11">
      <c r="A244" s="483">
        <f t="shared" si="14"/>
        <v>238</v>
      </c>
      <c r="B244" s="485">
        <v>42324</v>
      </c>
      <c r="C244" s="473">
        <v>0.80694444444444446</v>
      </c>
      <c r="D244" s="563" t="s">
        <v>115</v>
      </c>
      <c r="E244" s="472" t="s">
        <v>162</v>
      </c>
      <c r="F244" s="763">
        <v>300</v>
      </c>
      <c r="G244" s="763">
        <v>2.66</v>
      </c>
      <c r="H244" s="614">
        <f t="shared" si="15"/>
        <v>0.45340909090909087</v>
      </c>
      <c r="I244" s="1">
        <f t="shared" si="12"/>
        <v>5.7037824746562009</v>
      </c>
      <c r="J244" s="1">
        <f t="shared" si="12"/>
        <v>0.97832612279360776</v>
      </c>
      <c r="K244" s="1">
        <f t="shared" si="13"/>
        <v>-0.79096049058238882</v>
      </c>
    </row>
    <row r="245" spans="1:11">
      <c r="A245" s="483">
        <f t="shared" si="14"/>
        <v>239</v>
      </c>
      <c r="B245" s="485">
        <v>42324</v>
      </c>
      <c r="C245" s="473">
        <v>0.81111111111111101</v>
      </c>
      <c r="D245" s="563" t="s">
        <v>110</v>
      </c>
      <c r="E245" s="472" t="s">
        <v>162</v>
      </c>
      <c r="F245" s="763">
        <v>300</v>
      </c>
      <c r="G245" s="763">
        <v>13.34</v>
      </c>
      <c r="H245" s="614">
        <f t="shared" si="15"/>
        <v>2.273863636363636</v>
      </c>
      <c r="I245" s="1">
        <f t="shared" si="12"/>
        <v>5.7037824746562009</v>
      </c>
      <c r="J245" s="1">
        <f t="shared" si="12"/>
        <v>2.5907670404874779</v>
      </c>
      <c r="K245" s="1">
        <f t="shared" si="13"/>
        <v>0.82148042711148106</v>
      </c>
    </row>
    <row r="246" spans="1:11">
      <c r="A246" s="483">
        <f t="shared" si="14"/>
        <v>240</v>
      </c>
      <c r="B246" s="485">
        <v>42324</v>
      </c>
      <c r="C246" s="764">
        <v>0.84722222222222221</v>
      </c>
      <c r="D246" s="763" t="s">
        <v>111</v>
      </c>
      <c r="E246" s="472" t="s">
        <v>162</v>
      </c>
      <c r="F246" s="763">
        <v>50</v>
      </c>
      <c r="G246" s="763">
        <v>2.76</v>
      </c>
      <c r="H246" s="614">
        <f t="shared" si="15"/>
        <v>7.8409090909090901E-2</v>
      </c>
      <c r="I246" s="1">
        <f t="shared" si="12"/>
        <v>3.912023005428146</v>
      </c>
      <c r="J246" s="1">
        <f t="shared" si="12"/>
        <v>1.0152306797290584</v>
      </c>
      <c r="K246" s="1">
        <f t="shared" si="13"/>
        <v>-2.5458154028749931</v>
      </c>
    </row>
    <row r="247" spans="1:11">
      <c r="A247" s="483">
        <f t="shared" si="14"/>
        <v>241</v>
      </c>
      <c r="B247" s="485">
        <v>42324</v>
      </c>
      <c r="C247" s="764">
        <v>0.85138888888888886</v>
      </c>
      <c r="D247" s="763" t="s">
        <v>106</v>
      </c>
      <c r="E247" s="472" t="s">
        <v>162</v>
      </c>
      <c r="F247" s="763">
        <v>50</v>
      </c>
      <c r="G247" s="763">
        <v>23.27</v>
      </c>
      <c r="H247" s="614">
        <f t="shared" si="15"/>
        <v>0.66107954545454539</v>
      </c>
      <c r="I247" s="1">
        <f t="shared" si="12"/>
        <v>3.912023005428146</v>
      </c>
      <c r="J247" s="1">
        <f t="shared" si="12"/>
        <v>3.1471649773142003</v>
      </c>
      <c r="K247" s="1">
        <f t="shared" si="13"/>
        <v>-0.41388110528985111</v>
      </c>
    </row>
    <row r="248" spans="1:11">
      <c r="A248" s="483">
        <f t="shared" si="14"/>
        <v>242</v>
      </c>
      <c r="B248" s="485">
        <v>42324</v>
      </c>
      <c r="C248" s="764">
        <v>0.85138888888888886</v>
      </c>
      <c r="D248" s="763" t="s">
        <v>105</v>
      </c>
      <c r="E248" s="472" t="s">
        <v>162</v>
      </c>
      <c r="F248" s="763">
        <v>70</v>
      </c>
      <c r="G248" s="763">
        <v>14.59</v>
      </c>
      <c r="H248" s="614">
        <f t="shared" si="15"/>
        <v>0.58028409090909094</v>
      </c>
      <c r="I248" s="1">
        <f t="shared" si="12"/>
        <v>4.2484952420493594</v>
      </c>
      <c r="J248" s="1">
        <f t="shared" si="12"/>
        <v>2.6803363625346943</v>
      </c>
      <c r="K248" s="1">
        <f t="shared" si="13"/>
        <v>-0.54423748344814415</v>
      </c>
    </row>
    <row r="249" spans="1:11">
      <c r="A249" s="483">
        <f t="shared" si="14"/>
        <v>243</v>
      </c>
      <c r="B249" s="485">
        <v>42324</v>
      </c>
      <c r="C249" s="473">
        <v>0.89166666666666661</v>
      </c>
      <c r="D249" s="563" t="s">
        <v>101</v>
      </c>
      <c r="E249" s="472" t="s">
        <v>162</v>
      </c>
      <c r="F249" s="563">
        <v>500</v>
      </c>
      <c r="G249" s="563">
        <v>8.93</v>
      </c>
      <c r="H249" s="614">
        <f t="shared" si="15"/>
        <v>2.5369318181818183</v>
      </c>
      <c r="I249" s="1">
        <f t="shared" si="12"/>
        <v>6.2146080984221914</v>
      </c>
      <c r="J249" s="1">
        <f t="shared" si="12"/>
        <v>2.1894163948884078</v>
      </c>
      <c r="K249" s="1">
        <f t="shared" si="13"/>
        <v>0.93095540527840204</v>
      </c>
    </row>
    <row r="250" spans="1:11">
      <c r="A250" s="483">
        <f t="shared" si="14"/>
        <v>244</v>
      </c>
      <c r="B250" s="694">
        <v>42475</v>
      </c>
      <c r="C250" s="764">
        <v>0.78888888888888886</v>
      </c>
      <c r="D250" s="763" t="s">
        <v>100</v>
      </c>
      <c r="E250" s="658" t="s">
        <v>162</v>
      </c>
      <c r="F250" s="763">
        <v>60</v>
      </c>
      <c r="G250" s="763">
        <v>1.07</v>
      </c>
      <c r="H250" s="614">
        <f t="shared" si="15"/>
        <v>3.6477272727272726E-2</v>
      </c>
      <c r="I250" s="1">
        <f t="shared" si="12"/>
        <v>4.0943445622221004</v>
      </c>
      <c r="J250" s="1">
        <f t="shared" si="12"/>
        <v>6.7658648473814864E-2</v>
      </c>
      <c r="K250" s="1">
        <f t="shared" si="13"/>
        <v>-3.311065877336282</v>
      </c>
    </row>
    <row r="251" spans="1:11">
      <c r="A251" s="483">
        <f t="shared" si="14"/>
        <v>245</v>
      </c>
      <c r="B251" s="694">
        <v>42506</v>
      </c>
      <c r="C251" s="764">
        <v>0.69444444444444453</v>
      </c>
      <c r="D251" s="763" t="s">
        <v>102</v>
      </c>
      <c r="E251" s="658" t="s">
        <v>162</v>
      </c>
      <c r="F251" s="763">
        <v>25</v>
      </c>
      <c r="G251" s="763">
        <v>0.87</v>
      </c>
      <c r="H251" s="614">
        <f t="shared" si="15"/>
        <v>1.2357954545454545E-2</v>
      </c>
      <c r="I251" s="1">
        <f t="shared" si="12"/>
        <v>3.2188758248682006</v>
      </c>
      <c r="J251" s="1">
        <f t="shared" si="12"/>
        <v>-0.13926206733350766</v>
      </c>
      <c r="K251" s="1">
        <f t="shared" si="13"/>
        <v>-4.3934553304975044</v>
      </c>
    </row>
    <row r="252" spans="1:11">
      <c r="A252" s="483">
        <f t="shared" si="14"/>
        <v>246</v>
      </c>
      <c r="B252" s="694">
        <v>42512</v>
      </c>
      <c r="C252" s="764">
        <v>0.69374999999999998</v>
      </c>
      <c r="D252" s="763" t="s">
        <v>120</v>
      </c>
      <c r="E252" s="658" t="s">
        <v>162</v>
      </c>
      <c r="F252" s="763">
        <v>75</v>
      </c>
      <c r="G252" s="763">
        <v>1.05</v>
      </c>
      <c r="H252" s="614">
        <f t="shared" si="15"/>
        <v>4.4744318181818184E-2</v>
      </c>
      <c r="I252" s="1">
        <f t="shared" si="12"/>
        <v>4.3174881135363101</v>
      </c>
      <c r="J252" s="1">
        <f t="shared" si="12"/>
        <v>4.8790164169432049E-2</v>
      </c>
      <c r="K252" s="1">
        <f t="shared" si="13"/>
        <v>-3.106790810326455</v>
      </c>
    </row>
    <row r="253" spans="1:11">
      <c r="A253" s="483">
        <f t="shared" si="14"/>
        <v>247</v>
      </c>
      <c r="B253" s="694">
        <v>42512</v>
      </c>
      <c r="C253" s="764">
        <v>0.74791666666666667</v>
      </c>
      <c r="D253" s="763" t="s">
        <v>105</v>
      </c>
      <c r="E253" s="658" t="s">
        <v>162</v>
      </c>
      <c r="F253" s="763">
        <v>500</v>
      </c>
      <c r="G253" s="763">
        <v>1.5</v>
      </c>
      <c r="H253" s="614">
        <f t="shared" si="15"/>
        <v>0.42613636363636365</v>
      </c>
      <c r="I253" s="1">
        <f t="shared" si="12"/>
        <v>6.2146080984221914</v>
      </c>
      <c r="J253" s="1">
        <f t="shared" si="12"/>
        <v>0.40546510810816438</v>
      </c>
      <c r="K253" s="1">
        <f t="shared" si="13"/>
        <v>-0.85299588150184136</v>
      </c>
    </row>
    <row r="254" spans="1:11">
      <c r="A254" s="483">
        <f t="shared" si="14"/>
        <v>248</v>
      </c>
      <c r="B254" s="694">
        <v>42512</v>
      </c>
      <c r="C254" s="764">
        <v>0.75277777777777777</v>
      </c>
      <c r="D254" s="763" t="s">
        <v>105</v>
      </c>
      <c r="E254" s="658" t="s">
        <v>162</v>
      </c>
      <c r="F254" s="763">
        <v>400</v>
      </c>
      <c r="G254" s="763">
        <v>1.5</v>
      </c>
      <c r="H254" s="614">
        <f t="shared" si="15"/>
        <v>0.34090909090909088</v>
      </c>
      <c r="I254" s="1">
        <f t="shared" si="12"/>
        <v>5.9914645471079817</v>
      </c>
      <c r="J254" s="1">
        <f t="shared" si="12"/>
        <v>0.40546510810816438</v>
      </c>
      <c r="K254" s="1">
        <f t="shared" si="13"/>
        <v>-1.0761394328160512</v>
      </c>
    </row>
    <row r="255" spans="1:11">
      <c r="A255" s="483">
        <f t="shared" si="14"/>
        <v>249</v>
      </c>
      <c r="B255" s="694">
        <v>42512</v>
      </c>
      <c r="C255" s="764">
        <v>0.76041666666666663</v>
      </c>
      <c r="D255" s="763" t="s">
        <v>105</v>
      </c>
      <c r="E255" s="658" t="s">
        <v>162</v>
      </c>
      <c r="F255" s="763">
        <v>75</v>
      </c>
      <c r="G255" s="763">
        <v>2.4</v>
      </c>
      <c r="H255" s="614">
        <f t="shared" si="15"/>
        <v>0.10227272727272727</v>
      </c>
      <c r="I255" s="1">
        <f t="shared" si="12"/>
        <v>4.3174881135363101</v>
      </c>
      <c r="J255" s="1">
        <f t="shared" si="12"/>
        <v>0.87546873735389985</v>
      </c>
      <c r="K255" s="1">
        <f t="shared" si="13"/>
        <v>-2.2801122371419873</v>
      </c>
    </row>
    <row r="256" spans="1:11">
      <c r="A256" s="483">
        <f t="shared" si="14"/>
        <v>250</v>
      </c>
      <c r="B256" s="694">
        <v>42534</v>
      </c>
      <c r="C256" s="764">
        <v>0.80902777777777779</v>
      </c>
      <c r="D256" s="763" t="s">
        <v>113</v>
      </c>
      <c r="E256" s="658" t="s">
        <v>162</v>
      </c>
      <c r="F256" s="763">
        <v>100</v>
      </c>
      <c r="G256" s="763">
        <v>1.24</v>
      </c>
      <c r="H256" s="614">
        <f t="shared" si="15"/>
        <v>7.045454545454545E-2</v>
      </c>
      <c r="I256" s="1">
        <f t="shared" si="12"/>
        <v>4.6051701859880918</v>
      </c>
      <c r="J256" s="1">
        <f t="shared" si="12"/>
        <v>0.21511137961694549</v>
      </c>
      <c r="K256" s="1">
        <f t="shared" si="13"/>
        <v>-2.6527875224271606</v>
      </c>
    </row>
    <row r="257" spans="1:11">
      <c r="A257" s="483">
        <f t="shared" si="14"/>
        <v>251</v>
      </c>
      <c r="B257" s="694">
        <v>42865</v>
      </c>
      <c r="C257" s="764">
        <v>0.10208333333333335</v>
      </c>
      <c r="D257" s="763" t="s">
        <v>119</v>
      </c>
      <c r="E257" s="472" t="s">
        <v>162</v>
      </c>
      <c r="F257" s="763">
        <v>180</v>
      </c>
      <c r="G257" s="763">
        <v>2.8</v>
      </c>
      <c r="H257" s="614">
        <f t="shared" si="15"/>
        <v>0.28636363636363638</v>
      </c>
      <c r="I257" s="1">
        <f t="shared" si="12"/>
        <v>5.1929568508902104</v>
      </c>
      <c r="J257" s="1">
        <f t="shared" si="12"/>
        <v>1.0296194171811581</v>
      </c>
      <c r="K257" s="1">
        <f t="shared" si="13"/>
        <v>-1.2504928199608287</v>
      </c>
    </row>
    <row r="258" spans="1:11">
      <c r="A258" s="483">
        <f t="shared" si="14"/>
        <v>252</v>
      </c>
      <c r="B258" s="694">
        <v>42865</v>
      </c>
      <c r="C258" s="764">
        <v>0.12569444444444444</v>
      </c>
      <c r="D258" s="763" t="s">
        <v>115</v>
      </c>
      <c r="E258" s="472" t="s">
        <v>162</v>
      </c>
      <c r="F258" s="763">
        <v>50</v>
      </c>
      <c r="G258" s="763">
        <v>2.65</v>
      </c>
      <c r="H258" s="614">
        <f t="shared" si="15"/>
        <v>7.5284090909090898E-2</v>
      </c>
      <c r="I258" s="1">
        <f t="shared" si="12"/>
        <v>3.912023005428146</v>
      </c>
      <c r="J258" s="1">
        <f t="shared" si="12"/>
        <v>0.97455963999813078</v>
      </c>
      <c r="K258" s="1">
        <f t="shared" si="13"/>
        <v>-2.5864864426059206</v>
      </c>
    </row>
    <row r="259" spans="1:11">
      <c r="A259" s="483">
        <f t="shared" si="14"/>
        <v>253</v>
      </c>
      <c r="B259" s="694">
        <v>42871</v>
      </c>
      <c r="C259" s="764">
        <v>0.6777777777777777</v>
      </c>
      <c r="D259" s="763" t="s">
        <v>116</v>
      </c>
      <c r="E259" s="472" t="s">
        <v>162</v>
      </c>
      <c r="F259" s="763">
        <v>25</v>
      </c>
      <c r="G259" s="763">
        <v>0.09</v>
      </c>
      <c r="H259" s="614">
        <f t="shared" si="15"/>
        <v>1.2784090909090909E-3</v>
      </c>
      <c r="I259" s="1">
        <f t="shared" si="12"/>
        <v>3.2188758248682006</v>
      </c>
      <c r="J259" s="1">
        <f t="shared" si="12"/>
        <v>-2.4079456086518722</v>
      </c>
      <c r="K259" s="1">
        <f t="shared" si="13"/>
        <v>-6.6621388718158689</v>
      </c>
    </row>
    <row r="260" spans="1:11">
      <c r="A260" s="483">
        <f t="shared" si="14"/>
        <v>254</v>
      </c>
      <c r="B260" s="694">
        <v>43177</v>
      </c>
      <c r="C260" s="473">
        <v>0.84583333333333333</v>
      </c>
      <c r="D260" s="707" t="s">
        <v>106</v>
      </c>
      <c r="E260" s="472" t="s">
        <v>162</v>
      </c>
      <c r="F260" s="563">
        <v>70</v>
      </c>
      <c r="G260" s="563">
        <v>2.88</v>
      </c>
      <c r="H260" s="614">
        <f t="shared" si="15"/>
        <v>0.11454545454545453</v>
      </c>
      <c r="I260" s="1">
        <f t="shared" si="12"/>
        <v>4.2484952420493594</v>
      </c>
      <c r="J260" s="1">
        <f t="shared" si="12"/>
        <v>1.0577902941478545</v>
      </c>
      <c r="K260" s="1">
        <f t="shared" si="13"/>
        <v>-2.1667835518349841</v>
      </c>
    </row>
    <row r="261" spans="1:11">
      <c r="A261" s="483">
        <f t="shared" si="14"/>
        <v>255</v>
      </c>
      <c r="B261" s="694">
        <v>43248</v>
      </c>
      <c r="C261" s="473">
        <v>0.80625000000000002</v>
      </c>
      <c r="D261" s="707" t="s">
        <v>100</v>
      </c>
      <c r="E261" s="472" t="s">
        <v>162</v>
      </c>
      <c r="F261" s="563">
        <v>200</v>
      </c>
      <c r="G261" s="563">
        <v>2.02</v>
      </c>
      <c r="H261" s="614">
        <f t="shared" si="15"/>
        <v>0.22954545454545455</v>
      </c>
      <c r="I261" s="1">
        <f t="shared" si="12"/>
        <v>5.2983173665480363</v>
      </c>
      <c r="J261" s="1">
        <f t="shared" si="12"/>
        <v>0.70309751141311339</v>
      </c>
      <c r="K261" s="1">
        <f t="shared" si="13"/>
        <v>-1.4716542100710475</v>
      </c>
    </row>
    <row r="262" spans="1:11">
      <c r="A262" s="483">
        <f t="shared" si="14"/>
        <v>256</v>
      </c>
      <c r="B262" s="694">
        <v>43608</v>
      </c>
      <c r="C262" s="473">
        <v>0.71805555555555556</v>
      </c>
      <c r="D262" s="563" t="s">
        <v>110</v>
      </c>
      <c r="E262" s="472" t="s">
        <v>162</v>
      </c>
      <c r="F262" s="563">
        <v>50</v>
      </c>
      <c r="G262" s="563">
        <v>9.1</v>
      </c>
      <c r="H262" s="614">
        <f t="shared" si="15"/>
        <v>0.25852272727272724</v>
      </c>
      <c r="I262" s="1">
        <f t="shared" si="12"/>
        <v>3.912023005428146</v>
      </c>
      <c r="J262" s="1">
        <f t="shared" si="12"/>
        <v>2.2082744135228043</v>
      </c>
      <c r="K262" s="1">
        <f t="shared" si="13"/>
        <v>-1.3527716690812472</v>
      </c>
    </row>
    <row r="263" spans="1:11">
      <c r="A263" s="483">
        <f t="shared" si="14"/>
        <v>257</v>
      </c>
      <c r="B263" s="694">
        <v>44059</v>
      </c>
      <c r="C263" s="473">
        <v>0.57361111111111118</v>
      </c>
      <c r="D263" s="563" t="s">
        <v>115</v>
      </c>
      <c r="E263" s="472" t="s">
        <v>162</v>
      </c>
      <c r="F263" s="763">
        <v>200</v>
      </c>
      <c r="G263" s="763">
        <v>1.83</v>
      </c>
      <c r="H263" s="614">
        <f t="shared" si="15"/>
        <v>0.20795454545454545</v>
      </c>
      <c r="I263" s="1">
        <f t="shared" si="12"/>
        <v>5.2983173665480363</v>
      </c>
      <c r="J263" s="1">
        <f t="shared" si="12"/>
        <v>0.60431596685332956</v>
      </c>
      <c r="K263" s="1">
        <f t="shared" si="13"/>
        <v>-1.5704357546308312</v>
      </c>
    </row>
    <row r="264" spans="1:11">
      <c r="A264" s="483">
        <f t="shared" si="14"/>
        <v>258</v>
      </c>
      <c r="B264" s="694">
        <v>44268</v>
      </c>
      <c r="C264" s="764">
        <v>0.64652777777777781</v>
      </c>
      <c r="D264" s="694" t="s">
        <v>118</v>
      </c>
      <c r="E264" s="472" t="s">
        <v>162</v>
      </c>
      <c r="F264" s="763">
        <v>500</v>
      </c>
      <c r="G264" s="763">
        <v>2.5</v>
      </c>
      <c r="H264" s="614">
        <f t="shared" si="15"/>
        <v>0.71022727272727282</v>
      </c>
      <c r="I264" s="1">
        <f t="shared" ref="I264:J296" si="16">LN(F264)</f>
        <v>6.2146080984221914</v>
      </c>
      <c r="J264" s="1">
        <f t="shared" si="16"/>
        <v>0.91629073187415511</v>
      </c>
      <c r="K264" s="1">
        <f t="shared" ref="K264:K296" si="17">LN(H264)</f>
        <v>-0.34217025773585052</v>
      </c>
    </row>
    <row r="265" spans="1:11">
      <c r="A265" s="483">
        <f t="shared" ref="A265:A328" si="18">+A264+1</f>
        <v>259</v>
      </c>
      <c r="B265" s="694">
        <v>44268</v>
      </c>
      <c r="C265" s="764">
        <v>0.65069444444444446</v>
      </c>
      <c r="D265" s="694" t="s">
        <v>118</v>
      </c>
      <c r="E265" s="472" t="s">
        <v>162</v>
      </c>
      <c r="F265" s="763">
        <v>100</v>
      </c>
      <c r="G265" s="763">
        <v>3.54</v>
      </c>
      <c r="H265" s="614">
        <f t="shared" ref="H265:H296" si="19">+(F265/1760)*G265</f>
        <v>0.20113636363636364</v>
      </c>
      <c r="I265" s="1">
        <f t="shared" si="16"/>
        <v>4.6051701859880918</v>
      </c>
      <c r="J265" s="1">
        <f t="shared" si="16"/>
        <v>1.2641267271456831</v>
      </c>
      <c r="K265" s="1">
        <f t="shared" si="17"/>
        <v>-1.6037721748984231</v>
      </c>
    </row>
    <row r="266" spans="1:11">
      <c r="A266" s="483">
        <f t="shared" si="18"/>
        <v>260</v>
      </c>
      <c r="B266" s="694">
        <v>44268</v>
      </c>
      <c r="C266" s="764">
        <v>0.65694444444444444</v>
      </c>
      <c r="D266" s="694" t="s">
        <v>118</v>
      </c>
      <c r="E266" s="472" t="s">
        <v>162</v>
      </c>
      <c r="F266" s="763">
        <v>800</v>
      </c>
      <c r="G266" s="763">
        <v>6.61</v>
      </c>
      <c r="H266" s="614">
        <f t="shared" si="19"/>
        <v>3.0045454545454544</v>
      </c>
      <c r="I266" s="1">
        <f t="shared" si="16"/>
        <v>6.6846117276679271</v>
      </c>
      <c r="J266" s="1">
        <f t="shared" si="16"/>
        <v>1.8885836538635949</v>
      </c>
      <c r="K266" s="1">
        <f t="shared" si="17"/>
        <v>1.1001262934993248</v>
      </c>
    </row>
    <row r="267" spans="1:11">
      <c r="A267" s="483">
        <f t="shared" si="18"/>
        <v>261</v>
      </c>
      <c r="B267" s="694">
        <v>44268</v>
      </c>
      <c r="C267" s="764">
        <v>0.6694444444444444</v>
      </c>
      <c r="D267" s="761" t="s">
        <v>119</v>
      </c>
      <c r="E267" s="472" t="s">
        <v>162</v>
      </c>
      <c r="F267" s="763">
        <v>800</v>
      </c>
      <c r="G267" s="763">
        <v>1.55</v>
      </c>
      <c r="H267" s="614">
        <f t="shared" si="19"/>
        <v>0.70454545454545459</v>
      </c>
      <c r="I267" s="1">
        <f t="shared" si="16"/>
        <v>6.6846117276679271</v>
      </c>
      <c r="J267" s="1">
        <f t="shared" si="16"/>
        <v>0.43825493093115531</v>
      </c>
      <c r="K267" s="1">
        <f t="shared" si="17"/>
        <v>-0.35020242943311486</v>
      </c>
    </row>
    <row r="268" spans="1:11">
      <c r="A268" s="483">
        <f t="shared" si="18"/>
        <v>262</v>
      </c>
      <c r="B268" s="694">
        <v>44372</v>
      </c>
      <c r="C268" s="473">
        <v>0.75069444444444444</v>
      </c>
      <c r="D268" s="563" t="s">
        <v>115</v>
      </c>
      <c r="E268" s="472" t="s">
        <v>162</v>
      </c>
      <c r="F268" s="563">
        <v>40</v>
      </c>
      <c r="G268" s="563">
        <v>2.2000000000000002</v>
      </c>
      <c r="H268" s="614">
        <f t="shared" si="19"/>
        <v>0.05</v>
      </c>
      <c r="I268" s="1">
        <f t="shared" si="16"/>
        <v>3.6888794541139363</v>
      </c>
      <c r="J268" s="1">
        <f t="shared" si="16"/>
        <v>0.78845736036427028</v>
      </c>
      <c r="K268" s="1">
        <f t="shared" si="17"/>
        <v>-2.9957322735539909</v>
      </c>
    </row>
    <row r="269" spans="1:11">
      <c r="A269" s="483">
        <f t="shared" si="18"/>
        <v>263</v>
      </c>
      <c r="B269" s="796"/>
      <c r="C269" s="706"/>
      <c r="D269" s="76"/>
      <c r="E269" s="658" t="s">
        <v>162</v>
      </c>
      <c r="F269" s="76"/>
      <c r="G269" s="76"/>
      <c r="H269" s="904">
        <f t="shared" si="19"/>
        <v>0</v>
      </c>
      <c r="I269" s="1" t="e">
        <f t="shared" si="16"/>
        <v>#NUM!</v>
      </c>
      <c r="J269" s="1" t="e">
        <f t="shared" si="16"/>
        <v>#NUM!</v>
      </c>
      <c r="K269" s="1" t="e">
        <f t="shared" si="17"/>
        <v>#NUM!</v>
      </c>
    </row>
    <row r="270" spans="1:11">
      <c r="A270" s="483">
        <f t="shared" si="18"/>
        <v>264</v>
      </c>
      <c r="B270" s="796"/>
      <c r="C270" s="706"/>
      <c r="D270" s="76"/>
      <c r="E270" s="658" t="s">
        <v>162</v>
      </c>
      <c r="F270" s="76"/>
      <c r="G270" s="76"/>
      <c r="H270" s="904">
        <f t="shared" si="19"/>
        <v>0</v>
      </c>
      <c r="I270" s="1" t="e">
        <f t="shared" si="16"/>
        <v>#NUM!</v>
      </c>
      <c r="J270" s="1" t="e">
        <f t="shared" si="16"/>
        <v>#NUM!</v>
      </c>
      <c r="K270" s="1" t="e">
        <f t="shared" si="17"/>
        <v>#NUM!</v>
      </c>
    </row>
    <row r="271" spans="1:11">
      <c r="A271" s="483">
        <f t="shared" si="18"/>
        <v>265</v>
      </c>
      <c r="B271" s="796"/>
      <c r="C271" s="706"/>
      <c r="D271" s="76"/>
      <c r="E271" s="658" t="s">
        <v>162</v>
      </c>
      <c r="F271" s="76"/>
      <c r="G271" s="76"/>
      <c r="H271" s="904">
        <f t="shared" si="19"/>
        <v>0</v>
      </c>
      <c r="I271" s="1" t="e">
        <f t="shared" si="16"/>
        <v>#NUM!</v>
      </c>
      <c r="J271" s="1" t="e">
        <f t="shared" si="16"/>
        <v>#NUM!</v>
      </c>
      <c r="K271" s="1" t="e">
        <f t="shared" si="17"/>
        <v>#NUM!</v>
      </c>
    </row>
    <row r="272" spans="1:11">
      <c r="A272" s="483">
        <f t="shared" si="18"/>
        <v>266</v>
      </c>
      <c r="B272" s="796"/>
      <c r="C272" s="706"/>
      <c r="D272" s="76"/>
      <c r="E272" s="658" t="s">
        <v>162</v>
      </c>
      <c r="F272" s="76"/>
      <c r="G272" s="76"/>
      <c r="H272" s="904">
        <f t="shared" si="19"/>
        <v>0</v>
      </c>
      <c r="I272" s="1" t="e">
        <f t="shared" si="16"/>
        <v>#NUM!</v>
      </c>
      <c r="J272" s="1" t="e">
        <f t="shared" si="16"/>
        <v>#NUM!</v>
      </c>
      <c r="K272" s="1" t="e">
        <f t="shared" si="17"/>
        <v>#NUM!</v>
      </c>
    </row>
    <row r="273" spans="1:11">
      <c r="A273" s="483">
        <f t="shared" si="18"/>
        <v>267</v>
      </c>
      <c r="B273" s="796"/>
      <c r="C273" s="706"/>
      <c r="D273" s="76"/>
      <c r="E273" s="658" t="s">
        <v>162</v>
      </c>
      <c r="F273" s="76"/>
      <c r="G273" s="76"/>
      <c r="H273" s="904">
        <f t="shared" si="19"/>
        <v>0</v>
      </c>
      <c r="I273" s="1" t="e">
        <f t="shared" si="16"/>
        <v>#NUM!</v>
      </c>
      <c r="J273" s="1" t="e">
        <f t="shared" si="16"/>
        <v>#NUM!</v>
      </c>
      <c r="K273" s="1" t="e">
        <f t="shared" si="17"/>
        <v>#NUM!</v>
      </c>
    </row>
    <row r="274" spans="1:11">
      <c r="A274" s="483">
        <f t="shared" si="18"/>
        <v>268</v>
      </c>
      <c r="B274" s="796"/>
      <c r="C274" s="706"/>
      <c r="D274" s="76"/>
      <c r="E274" s="658" t="s">
        <v>162</v>
      </c>
      <c r="F274" s="76"/>
      <c r="G274" s="76"/>
      <c r="H274" s="904">
        <f t="shared" si="19"/>
        <v>0</v>
      </c>
      <c r="I274" s="1" t="e">
        <f t="shared" si="16"/>
        <v>#NUM!</v>
      </c>
      <c r="J274" s="1" t="e">
        <f t="shared" si="16"/>
        <v>#NUM!</v>
      </c>
      <c r="K274" s="1" t="e">
        <f t="shared" si="17"/>
        <v>#NUM!</v>
      </c>
    </row>
    <row r="275" spans="1:11">
      <c r="A275" s="483">
        <f t="shared" si="18"/>
        <v>269</v>
      </c>
      <c r="B275" s="796"/>
      <c r="C275" s="706"/>
      <c r="D275" s="76"/>
      <c r="E275" s="658" t="s">
        <v>162</v>
      </c>
      <c r="F275" s="76"/>
      <c r="G275" s="76"/>
      <c r="H275" s="904">
        <f t="shared" si="19"/>
        <v>0</v>
      </c>
      <c r="I275" s="1" t="e">
        <f t="shared" si="16"/>
        <v>#NUM!</v>
      </c>
      <c r="J275" s="1" t="e">
        <f t="shared" si="16"/>
        <v>#NUM!</v>
      </c>
      <c r="K275" s="1" t="e">
        <f t="shared" si="17"/>
        <v>#NUM!</v>
      </c>
    </row>
    <row r="276" spans="1:11">
      <c r="A276" s="483">
        <f t="shared" si="18"/>
        <v>270</v>
      </c>
      <c r="B276" s="796"/>
      <c r="C276" s="706"/>
      <c r="D276" s="76"/>
      <c r="E276" s="658" t="s">
        <v>162</v>
      </c>
      <c r="F276" s="76"/>
      <c r="G276" s="76"/>
      <c r="H276" s="904">
        <f t="shared" si="19"/>
        <v>0</v>
      </c>
      <c r="I276" s="1" t="e">
        <f t="shared" si="16"/>
        <v>#NUM!</v>
      </c>
      <c r="J276" s="1" t="e">
        <f t="shared" si="16"/>
        <v>#NUM!</v>
      </c>
      <c r="K276" s="1" t="e">
        <f t="shared" si="17"/>
        <v>#NUM!</v>
      </c>
    </row>
    <row r="277" spans="1:11">
      <c r="A277" s="483">
        <f t="shared" si="18"/>
        <v>271</v>
      </c>
      <c r="B277" s="796"/>
      <c r="C277" s="706"/>
      <c r="D277" s="76"/>
      <c r="E277" s="658" t="s">
        <v>162</v>
      </c>
      <c r="F277" s="76"/>
      <c r="G277" s="76"/>
      <c r="H277" s="904">
        <f t="shared" si="19"/>
        <v>0</v>
      </c>
      <c r="I277" s="1" t="e">
        <f t="shared" si="16"/>
        <v>#NUM!</v>
      </c>
      <c r="J277" s="1" t="e">
        <f t="shared" si="16"/>
        <v>#NUM!</v>
      </c>
      <c r="K277" s="1" t="e">
        <f t="shared" si="17"/>
        <v>#NUM!</v>
      </c>
    </row>
    <row r="278" spans="1:11">
      <c r="A278" s="483">
        <f t="shared" si="18"/>
        <v>272</v>
      </c>
      <c r="B278" s="796"/>
      <c r="C278" s="706"/>
      <c r="D278" s="76"/>
      <c r="E278" s="658" t="s">
        <v>162</v>
      </c>
      <c r="F278" s="76"/>
      <c r="G278" s="76"/>
      <c r="H278" s="904">
        <f t="shared" si="19"/>
        <v>0</v>
      </c>
      <c r="I278" s="1" t="e">
        <f t="shared" si="16"/>
        <v>#NUM!</v>
      </c>
      <c r="J278" s="1" t="e">
        <f t="shared" si="16"/>
        <v>#NUM!</v>
      </c>
      <c r="K278" s="1" t="e">
        <f t="shared" si="17"/>
        <v>#NUM!</v>
      </c>
    </row>
    <row r="279" spans="1:11">
      <c r="A279" s="483">
        <f t="shared" si="18"/>
        <v>273</v>
      </c>
      <c r="B279" s="796"/>
      <c r="C279" s="706"/>
      <c r="D279" s="76"/>
      <c r="E279" s="658" t="s">
        <v>162</v>
      </c>
      <c r="F279" s="76"/>
      <c r="G279" s="76"/>
      <c r="H279" s="904">
        <f t="shared" si="19"/>
        <v>0</v>
      </c>
      <c r="I279" s="1" t="e">
        <f t="shared" si="16"/>
        <v>#NUM!</v>
      </c>
      <c r="J279" s="1" t="e">
        <f t="shared" si="16"/>
        <v>#NUM!</v>
      </c>
      <c r="K279" s="1" t="e">
        <f t="shared" si="17"/>
        <v>#NUM!</v>
      </c>
    </row>
    <row r="280" spans="1:11">
      <c r="A280" s="483">
        <f t="shared" si="18"/>
        <v>274</v>
      </c>
      <c r="B280" s="796"/>
      <c r="C280" s="706"/>
      <c r="D280" s="76"/>
      <c r="E280" s="658" t="s">
        <v>162</v>
      </c>
      <c r="F280" s="76"/>
      <c r="G280" s="76"/>
      <c r="H280" s="904">
        <f t="shared" si="19"/>
        <v>0</v>
      </c>
      <c r="I280" s="1" t="e">
        <f t="shared" si="16"/>
        <v>#NUM!</v>
      </c>
      <c r="J280" s="1" t="e">
        <f t="shared" si="16"/>
        <v>#NUM!</v>
      </c>
      <c r="K280" s="1" t="e">
        <f t="shared" si="17"/>
        <v>#NUM!</v>
      </c>
    </row>
    <row r="281" spans="1:11">
      <c r="A281" s="483">
        <f t="shared" si="18"/>
        <v>275</v>
      </c>
      <c r="B281" s="796"/>
      <c r="C281" s="706"/>
      <c r="D281" s="76"/>
      <c r="E281" s="658" t="s">
        <v>162</v>
      </c>
      <c r="F281" s="76"/>
      <c r="G281" s="76"/>
      <c r="H281" s="904">
        <f t="shared" si="19"/>
        <v>0</v>
      </c>
      <c r="I281" s="1" t="e">
        <f t="shared" si="16"/>
        <v>#NUM!</v>
      </c>
      <c r="J281" s="1" t="e">
        <f t="shared" si="16"/>
        <v>#NUM!</v>
      </c>
      <c r="K281" s="1" t="e">
        <f t="shared" si="17"/>
        <v>#NUM!</v>
      </c>
    </row>
    <row r="282" spans="1:11">
      <c r="A282" s="483">
        <f t="shared" si="18"/>
        <v>276</v>
      </c>
      <c r="B282" s="796"/>
      <c r="C282" s="706"/>
      <c r="D282" s="76"/>
      <c r="E282" s="658" t="s">
        <v>162</v>
      </c>
      <c r="F282" s="76"/>
      <c r="G282" s="76"/>
      <c r="H282" s="904">
        <f t="shared" si="19"/>
        <v>0</v>
      </c>
      <c r="I282" s="1" t="e">
        <f t="shared" si="16"/>
        <v>#NUM!</v>
      </c>
      <c r="J282" s="1" t="e">
        <f t="shared" si="16"/>
        <v>#NUM!</v>
      </c>
      <c r="K282" s="1" t="e">
        <f t="shared" si="17"/>
        <v>#NUM!</v>
      </c>
    </row>
    <row r="283" spans="1:11">
      <c r="A283" s="483">
        <f t="shared" si="18"/>
        <v>277</v>
      </c>
      <c r="B283" s="796"/>
      <c r="C283" s="706"/>
      <c r="D283" s="76"/>
      <c r="E283" s="658" t="s">
        <v>162</v>
      </c>
      <c r="F283" s="76"/>
      <c r="G283" s="76"/>
      <c r="H283" s="904">
        <f t="shared" si="19"/>
        <v>0</v>
      </c>
      <c r="I283" s="1" t="e">
        <f t="shared" si="16"/>
        <v>#NUM!</v>
      </c>
      <c r="J283" s="1" t="e">
        <f t="shared" si="16"/>
        <v>#NUM!</v>
      </c>
      <c r="K283" s="1" t="e">
        <f t="shared" si="17"/>
        <v>#NUM!</v>
      </c>
    </row>
    <row r="284" spans="1:11">
      <c r="A284" s="483">
        <f t="shared" si="18"/>
        <v>278</v>
      </c>
      <c r="B284" s="796"/>
      <c r="C284" s="706"/>
      <c r="D284" s="76"/>
      <c r="E284" s="658" t="s">
        <v>162</v>
      </c>
      <c r="F284" s="76"/>
      <c r="G284" s="76"/>
      <c r="H284" s="904">
        <f t="shared" si="19"/>
        <v>0</v>
      </c>
      <c r="I284" s="1" t="e">
        <f t="shared" si="16"/>
        <v>#NUM!</v>
      </c>
      <c r="J284" s="1" t="e">
        <f t="shared" si="16"/>
        <v>#NUM!</v>
      </c>
      <c r="K284" s="1" t="e">
        <f t="shared" si="17"/>
        <v>#NUM!</v>
      </c>
    </row>
    <row r="285" spans="1:11">
      <c r="A285" s="483">
        <f t="shared" si="18"/>
        <v>279</v>
      </c>
      <c r="B285" s="796"/>
      <c r="C285" s="706"/>
      <c r="D285" s="76"/>
      <c r="E285" s="658" t="s">
        <v>162</v>
      </c>
      <c r="F285" s="76"/>
      <c r="G285" s="76"/>
      <c r="H285" s="904">
        <f t="shared" si="19"/>
        <v>0</v>
      </c>
      <c r="I285" s="1" t="e">
        <f t="shared" si="16"/>
        <v>#NUM!</v>
      </c>
      <c r="J285" s="1" t="e">
        <f t="shared" si="16"/>
        <v>#NUM!</v>
      </c>
      <c r="K285" s="1" t="e">
        <f t="shared" si="17"/>
        <v>#NUM!</v>
      </c>
    </row>
    <row r="286" spans="1:11">
      <c r="A286" s="483">
        <f t="shared" si="18"/>
        <v>280</v>
      </c>
      <c r="B286" s="796"/>
      <c r="C286" s="706"/>
      <c r="D286" s="76"/>
      <c r="E286" s="658" t="s">
        <v>162</v>
      </c>
      <c r="F286" s="76"/>
      <c r="G286" s="76"/>
      <c r="H286" s="904">
        <f t="shared" si="19"/>
        <v>0</v>
      </c>
      <c r="I286" s="1" t="e">
        <f t="shared" si="16"/>
        <v>#NUM!</v>
      </c>
      <c r="J286" s="1" t="e">
        <f t="shared" si="16"/>
        <v>#NUM!</v>
      </c>
      <c r="K286" s="1" t="e">
        <f t="shared" si="17"/>
        <v>#NUM!</v>
      </c>
    </row>
    <row r="287" spans="1:11">
      <c r="A287" s="483">
        <f t="shared" si="18"/>
        <v>281</v>
      </c>
      <c r="B287" s="796"/>
      <c r="C287" s="706"/>
      <c r="D287" s="76"/>
      <c r="E287" s="658" t="s">
        <v>162</v>
      </c>
      <c r="F287" s="76"/>
      <c r="G287" s="76"/>
      <c r="H287" s="904">
        <f t="shared" si="19"/>
        <v>0</v>
      </c>
      <c r="I287" s="1" t="e">
        <f t="shared" si="16"/>
        <v>#NUM!</v>
      </c>
      <c r="J287" s="1" t="e">
        <f t="shared" si="16"/>
        <v>#NUM!</v>
      </c>
      <c r="K287" s="1" t="e">
        <f t="shared" si="17"/>
        <v>#NUM!</v>
      </c>
    </row>
    <row r="288" spans="1:11">
      <c r="A288" s="483">
        <f t="shared" si="18"/>
        <v>282</v>
      </c>
      <c r="B288" s="796"/>
      <c r="C288" s="706"/>
      <c r="D288" s="76"/>
      <c r="E288" s="658" t="s">
        <v>162</v>
      </c>
      <c r="F288" s="76"/>
      <c r="G288" s="76"/>
      <c r="H288" s="904">
        <f t="shared" si="19"/>
        <v>0</v>
      </c>
      <c r="I288" s="1" t="e">
        <f t="shared" si="16"/>
        <v>#NUM!</v>
      </c>
      <c r="J288" s="1" t="e">
        <f t="shared" si="16"/>
        <v>#NUM!</v>
      </c>
      <c r="K288" s="1" t="e">
        <f t="shared" si="17"/>
        <v>#NUM!</v>
      </c>
    </row>
    <row r="289" spans="1:12">
      <c r="A289" s="483">
        <f t="shared" si="18"/>
        <v>283</v>
      </c>
      <c r="B289" s="796"/>
      <c r="C289" s="706"/>
      <c r="D289" s="76"/>
      <c r="E289" s="658" t="s">
        <v>162</v>
      </c>
      <c r="F289" s="76"/>
      <c r="G289" s="76"/>
      <c r="H289" s="904">
        <f t="shared" si="19"/>
        <v>0</v>
      </c>
      <c r="I289" s="1" t="e">
        <f t="shared" si="16"/>
        <v>#NUM!</v>
      </c>
      <c r="J289" s="1" t="e">
        <f t="shared" si="16"/>
        <v>#NUM!</v>
      </c>
      <c r="K289" s="1" t="e">
        <f t="shared" si="17"/>
        <v>#NUM!</v>
      </c>
    </row>
    <row r="290" spans="1:12">
      <c r="A290" s="483">
        <f t="shared" si="18"/>
        <v>284</v>
      </c>
      <c r="B290" s="796"/>
      <c r="C290" s="706"/>
      <c r="D290" s="76"/>
      <c r="E290" s="658" t="s">
        <v>162</v>
      </c>
      <c r="F290" s="76"/>
      <c r="G290" s="76"/>
      <c r="H290" s="904">
        <f t="shared" si="19"/>
        <v>0</v>
      </c>
      <c r="I290" s="1" t="e">
        <f t="shared" si="16"/>
        <v>#NUM!</v>
      </c>
      <c r="J290" s="1" t="e">
        <f t="shared" si="16"/>
        <v>#NUM!</v>
      </c>
      <c r="K290" s="1" t="e">
        <f t="shared" si="17"/>
        <v>#NUM!</v>
      </c>
    </row>
    <row r="291" spans="1:12">
      <c r="A291" s="483">
        <f t="shared" si="18"/>
        <v>285</v>
      </c>
      <c r="B291" s="796"/>
      <c r="C291" s="706"/>
      <c r="D291" s="76"/>
      <c r="E291" s="658" t="s">
        <v>162</v>
      </c>
      <c r="F291" s="76"/>
      <c r="G291" s="76"/>
      <c r="H291" s="904">
        <f t="shared" si="19"/>
        <v>0</v>
      </c>
      <c r="I291" s="1" t="e">
        <f t="shared" si="16"/>
        <v>#NUM!</v>
      </c>
      <c r="J291" s="1" t="e">
        <f t="shared" si="16"/>
        <v>#NUM!</v>
      </c>
      <c r="K291" s="1" t="e">
        <f t="shared" si="17"/>
        <v>#NUM!</v>
      </c>
    </row>
    <row r="292" spans="1:12">
      <c r="A292" s="483">
        <f t="shared" si="18"/>
        <v>286</v>
      </c>
      <c r="B292" s="796"/>
      <c r="C292" s="706"/>
      <c r="D292" s="76"/>
      <c r="E292" s="658" t="s">
        <v>162</v>
      </c>
      <c r="F292" s="76"/>
      <c r="G292" s="76"/>
      <c r="H292" s="904">
        <f t="shared" si="19"/>
        <v>0</v>
      </c>
      <c r="I292" s="1" t="e">
        <f t="shared" si="16"/>
        <v>#NUM!</v>
      </c>
      <c r="J292" s="1" t="e">
        <f t="shared" si="16"/>
        <v>#NUM!</v>
      </c>
      <c r="K292" s="1" t="e">
        <f t="shared" si="17"/>
        <v>#NUM!</v>
      </c>
    </row>
    <row r="293" spans="1:12">
      <c r="A293" s="483">
        <f t="shared" si="18"/>
        <v>287</v>
      </c>
      <c r="B293" s="796"/>
      <c r="C293" s="706"/>
      <c r="D293" s="76"/>
      <c r="E293" s="658" t="s">
        <v>162</v>
      </c>
      <c r="F293" s="76"/>
      <c r="G293" s="76"/>
      <c r="H293" s="904">
        <f t="shared" si="19"/>
        <v>0</v>
      </c>
      <c r="I293" s="1" t="e">
        <f t="shared" si="16"/>
        <v>#NUM!</v>
      </c>
      <c r="J293" s="1" t="e">
        <f t="shared" si="16"/>
        <v>#NUM!</v>
      </c>
      <c r="K293" s="1" t="e">
        <f t="shared" si="17"/>
        <v>#NUM!</v>
      </c>
    </row>
    <row r="294" spans="1:12">
      <c r="A294" s="483">
        <f t="shared" si="18"/>
        <v>288</v>
      </c>
      <c r="B294" s="796"/>
      <c r="C294" s="706"/>
      <c r="D294" s="76"/>
      <c r="E294" s="658" t="s">
        <v>162</v>
      </c>
      <c r="F294" s="76"/>
      <c r="G294" s="76"/>
      <c r="H294" s="904">
        <f t="shared" si="19"/>
        <v>0</v>
      </c>
      <c r="I294" s="1" t="e">
        <f t="shared" si="16"/>
        <v>#NUM!</v>
      </c>
      <c r="J294" s="1" t="e">
        <f t="shared" si="16"/>
        <v>#NUM!</v>
      </c>
      <c r="K294" s="1" t="e">
        <f t="shared" si="17"/>
        <v>#NUM!</v>
      </c>
    </row>
    <row r="295" spans="1:12">
      <c r="A295" s="483">
        <f t="shared" si="18"/>
        <v>289</v>
      </c>
      <c r="B295" s="796"/>
      <c r="C295" s="706"/>
      <c r="D295" s="76"/>
      <c r="E295" s="658" t="s">
        <v>162</v>
      </c>
      <c r="F295" s="76"/>
      <c r="G295" s="76"/>
      <c r="H295" s="904">
        <f t="shared" si="19"/>
        <v>0</v>
      </c>
      <c r="I295" s="1" t="e">
        <f t="shared" si="16"/>
        <v>#NUM!</v>
      </c>
      <c r="J295" s="1" t="e">
        <f t="shared" si="16"/>
        <v>#NUM!</v>
      </c>
      <c r="K295" s="1" t="e">
        <f t="shared" si="17"/>
        <v>#NUM!</v>
      </c>
    </row>
    <row r="296" spans="1:12">
      <c r="A296" s="483">
        <f t="shared" si="18"/>
        <v>290</v>
      </c>
      <c r="B296" s="796"/>
      <c r="C296" s="706"/>
      <c r="D296" s="76"/>
      <c r="E296" s="658" t="s">
        <v>162</v>
      </c>
      <c r="F296" s="76"/>
      <c r="G296" s="76"/>
      <c r="H296" s="904">
        <f t="shared" si="19"/>
        <v>0</v>
      </c>
      <c r="I296" s="1" t="e">
        <f t="shared" si="16"/>
        <v>#NUM!</v>
      </c>
      <c r="J296" s="1" t="e">
        <f t="shared" si="16"/>
        <v>#NUM!</v>
      </c>
      <c r="K296" s="1" t="e">
        <f t="shared" si="17"/>
        <v>#NUM!</v>
      </c>
    </row>
    <row r="297" spans="1:12">
      <c r="A297" s="483">
        <f t="shared" si="18"/>
        <v>291</v>
      </c>
      <c r="B297" s="796"/>
      <c r="C297" s="706"/>
      <c r="D297" s="76"/>
      <c r="E297" s="658" t="s">
        <v>162</v>
      </c>
      <c r="F297" s="76"/>
      <c r="G297" s="76"/>
      <c r="H297" s="904">
        <f>+(F297/1760)*G297</f>
        <v>0</v>
      </c>
      <c r="I297" s="1" t="e">
        <f t="shared" ref="I297:K300" si="20">LN(F297)</f>
        <v>#NUM!</v>
      </c>
      <c r="J297" s="1" t="e">
        <f t="shared" si="20"/>
        <v>#NUM!</v>
      </c>
      <c r="K297" s="1" t="e">
        <f t="shared" si="20"/>
        <v>#NUM!</v>
      </c>
    </row>
    <row r="298" spans="1:12">
      <c r="A298" s="483">
        <f t="shared" si="18"/>
        <v>292</v>
      </c>
      <c r="B298" s="796"/>
      <c r="C298" s="706"/>
      <c r="D298" s="76"/>
      <c r="E298" s="658" t="s">
        <v>162</v>
      </c>
      <c r="F298" s="76"/>
      <c r="G298" s="76"/>
      <c r="H298" s="904">
        <f>+(F298/1760)*G298</f>
        <v>0</v>
      </c>
      <c r="I298" s="1" t="e">
        <f t="shared" si="20"/>
        <v>#NUM!</v>
      </c>
      <c r="J298" s="1" t="e">
        <f t="shared" si="20"/>
        <v>#NUM!</v>
      </c>
      <c r="K298" s="1" t="e">
        <f t="shared" si="20"/>
        <v>#NUM!</v>
      </c>
    </row>
    <row r="299" spans="1:12">
      <c r="A299" s="483">
        <f t="shared" si="18"/>
        <v>293</v>
      </c>
      <c r="B299" s="796"/>
      <c r="C299" s="706"/>
      <c r="D299" s="76"/>
      <c r="E299" s="658" t="s">
        <v>162</v>
      </c>
      <c r="F299" s="76"/>
      <c r="G299" s="76"/>
      <c r="H299" s="904">
        <f>+(F299/1760)*G299</f>
        <v>0</v>
      </c>
      <c r="I299" s="1" t="e">
        <f t="shared" si="20"/>
        <v>#NUM!</v>
      </c>
      <c r="J299" s="1" t="e">
        <f t="shared" si="20"/>
        <v>#NUM!</v>
      </c>
      <c r="K299" s="1" t="e">
        <f t="shared" si="20"/>
        <v>#NUM!</v>
      </c>
    </row>
    <row r="300" spans="1:12">
      <c r="A300" s="483">
        <f t="shared" si="18"/>
        <v>294</v>
      </c>
      <c r="B300" s="796"/>
      <c r="C300" s="706"/>
      <c r="D300" s="76"/>
      <c r="E300" s="658" t="s">
        <v>162</v>
      </c>
      <c r="F300" s="76"/>
      <c r="G300" s="76"/>
      <c r="H300" s="904">
        <f>+(F300/1760)*G300</f>
        <v>0</v>
      </c>
      <c r="I300" s="1" t="e">
        <f t="shared" si="20"/>
        <v>#NUM!</v>
      </c>
      <c r="J300" s="1" t="e">
        <f t="shared" si="20"/>
        <v>#NUM!</v>
      </c>
      <c r="K300" s="1" t="e">
        <f t="shared" si="20"/>
        <v>#NUM!</v>
      </c>
      <c r="L300" s="1"/>
    </row>
    <row r="301" spans="1:12">
      <c r="A301" s="483">
        <f t="shared" si="18"/>
        <v>295</v>
      </c>
      <c r="B301" s="796"/>
      <c r="C301" s="706"/>
      <c r="D301" s="76"/>
      <c r="E301" s="658" t="s">
        <v>162</v>
      </c>
      <c r="F301" s="76"/>
      <c r="G301" s="76"/>
      <c r="H301" s="904">
        <f t="shared" ref="H301:H350" si="21">+(F301/1760)*G301</f>
        <v>0</v>
      </c>
      <c r="I301" s="1" t="e">
        <f t="shared" ref="I301:I350" si="22">LN(F301)</f>
        <v>#NUM!</v>
      </c>
      <c r="J301" s="1" t="e">
        <f t="shared" ref="J301:J350" si="23">LN(G301)</f>
        <v>#NUM!</v>
      </c>
      <c r="K301" s="1" t="e">
        <f t="shared" ref="K301:K350" si="24">LN(H301)</f>
        <v>#NUM!</v>
      </c>
    </row>
    <row r="302" spans="1:12">
      <c r="A302" s="483">
        <f t="shared" si="18"/>
        <v>296</v>
      </c>
      <c r="B302" s="796"/>
      <c r="C302" s="706"/>
      <c r="D302" s="76"/>
      <c r="E302" s="658" t="s">
        <v>162</v>
      </c>
      <c r="F302" s="76"/>
      <c r="G302" s="76"/>
      <c r="H302" s="904">
        <f t="shared" si="21"/>
        <v>0</v>
      </c>
      <c r="I302" s="1" t="e">
        <f t="shared" si="22"/>
        <v>#NUM!</v>
      </c>
      <c r="J302" s="1" t="e">
        <f t="shared" si="23"/>
        <v>#NUM!</v>
      </c>
      <c r="K302" s="1" t="e">
        <f t="shared" si="24"/>
        <v>#NUM!</v>
      </c>
    </row>
    <row r="303" spans="1:12">
      <c r="A303" s="483">
        <f t="shared" si="18"/>
        <v>297</v>
      </c>
      <c r="B303" s="796"/>
      <c r="C303" s="706"/>
      <c r="D303" s="76"/>
      <c r="E303" s="658" t="s">
        <v>162</v>
      </c>
      <c r="F303" s="76"/>
      <c r="G303" s="76"/>
      <c r="H303" s="904">
        <f t="shared" si="21"/>
        <v>0</v>
      </c>
      <c r="I303" s="1" t="e">
        <f t="shared" si="22"/>
        <v>#NUM!</v>
      </c>
      <c r="J303" s="1" t="e">
        <f t="shared" si="23"/>
        <v>#NUM!</v>
      </c>
      <c r="K303" s="1" t="e">
        <f t="shared" si="24"/>
        <v>#NUM!</v>
      </c>
    </row>
    <row r="304" spans="1:12">
      <c r="A304" s="483">
        <f t="shared" si="18"/>
        <v>298</v>
      </c>
      <c r="B304" s="796"/>
      <c r="C304" s="706"/>
      <c r="D304" s="76"/>
      <c r="E304" s="658" t="s">
        <v>162</v>
      </c>
      <c r="F304" s="76"/>
      <c r="G304" s="76"/>
      <c r="H304" s="904">
        <f t="shared" si="21"/>
        <v>0</v>
      </c>
      <c r="I304" s="1" t="e">
        <f t="shared" si="22"/>
        <v>#NUM!</v>
      </c>
      <c r="J304" s="1" t="e">
        <f t="shared" si="23"/>
        <v>#NUM!</v>
      </c>
      <c r="K304" s="1" t="e">
        <f t="shared" si="24"/>
        <v>#NUM!</v>
      </c>
    </row>
    <row r="305" spans="1:11">
      <c r="A305" s="483">
        <f t="shared" si="18"/>
        <v>299</v>
      </c>
      <c r="B305" s="796"/>
      <c r="C305" s="706"/>
      <c r="D305" s="76"/>
      <c r="E305" s="658" t="s">
        <v>162</v>
      </c>
      <c r="F305" s="76"/>
      <c r="G305" s="76"/>
      <c r="H305" s="904">
        <f t="shared" si="21"/>
        <v>0</v>
      </c>
      <c r="I305" s="1" t="e">
        <f t="shared" si="22"/>
        <v>#NUM!</v>
      </c>
      <c r="J305" s="1" t="e">
        <f t="shared" si="23"/>
        <v>#NUM!</v>
      </c>
      <c r="K305" s="1" t="e">
        <f t="shared" si="24"/>
        <v>#NUM!</v>
      </c>
    </row>
    <row r="306" spans="1:11">
      <c r="A306" s="483">
        <f t="shared" si="18"/>
        <v>300</v>
      </c>
      <c r="B306" s="796"/>
      <c r="C306" s="706"/>
      <c r="D306" s="76"/>
      <c r="E306" s="658" t="s">
        <v>162</v>
      </c>
      <c r="F306" s="76"/>
      <c r="G306" s="76"/>
      <c r="H306" s="904">
        <f t="shared" si="21"/>
        <v>0</v>
      </c>
      <c r="I306" s="1" t="e">
        <f t="shared" si="22"/>
        <v>#NUM!</v>
      </c>
      <c r="J306" s="1" t="e">
        <f t="shared" si="23"/>
        <v>#NUM!</v>
      </c>
      <c r="K306" s="1" t="e">
        <f t="shared" si="24"/>
        <v>#NUM!</v>
      </c>
    </row>
    <row r="307" spans="1:11">
      <c r="A307" s="483">
        <f t="shared" si="18"/>
        <v>301</v>
      </c>
      <c r="B307" s="796"/>
      <c r="C307" s="706"/>
      <c r="D307" s="76"/>
      <c r="E307" s="658" t="s">
        <v>162</v>
      </c>
      <c r="F307" s="76"/>
      <c r="G307" s="76"/>
      <c r="H307" s="904">
        <f t="shared" si="21"/>
        <v>0</v>
      </c>
      <c r="I307" s="1" t="e">
        <f t="shared" si="22"/>
        <v>#NUM!</v>
      </c>
      <c r="J307" s="1" t="e">
        <f t="shared" si="23"/>
        <v>#NUM!</v>
      </c>
      <c r="K307" s="1" t="e">
        <f t="shared" si="24"/>
        <v>#NUM!</v>
      </c>
    </row>
    <row r="308" spans="1:11">
      <c r="A308" s="483">
        <f t="shared" si="18"/>
        <v>302</v>
      </c>
      <c r="B308" s="796"/>
      <c r="C308" s="706"/>
      <c r="D308" s="76"/>
      <c r="E308" s="658" t="s">
        <v>162</v>
      </c>
      <c r="F308" s="76"/>
      <c r="G308" s="76"/>
      <c r="H308" s="904">
        <f t="shared" si="21"/>
        <v>0</v>
      </c>
      <c r="I308" s="1" t="e">
        <f t="shared" si="22"/>
        <v>#NUM!</v>
      </c>
      <c r="J308" s="1" t="e">
        <f t="shared" si="23"/>
        <v>#NUM!</v>
      </c>
      <c r="K308" s="1" t="e">
        <f t="shared" si="24"/>
        <v>#NUM!</v>
      </c>
    </row>
    <row r="309" spans="1:11">
      <c r="A309" s="483">
        <f t="shared" si="18"/>
        <v>303</v>
      </c>
      <c r="B309" s="796"/>
      <c r="C309" s="706"/>
      <c r="D309" s="76"/>
      <c r="E309" s="658" t="s">
        <v>162</v>
      </c>
      <c r="F309" s="76"/>
      <c r="G309" s="76"/>
      <c r="H309" s="904">
        <f t="shared" si="21"/>
        <v>0</v>
      </c>
      <c r="I309" s="1" t="e">
        <f t="shared" si="22"/>
        <v>#NUM!</v>
      </c>
      <c r="J309" s="1" t="e">
        <f t="shared" si="23"/>
        <v>#NUM!</v>
      </c>
      <c r="K309" s="1" t="e">
        <f t="shared" si="24"/>
        <v>#NUM!</v>
      </c>
    </row>
    <row r="310" spans="1:11">
      <c r="A310" s="483">
        <f t="shared" si="18"/>
        <v>304</v>
      </c>
      <c r="B310" s="796"/>
      <c r="C310" s="706"/>
      <c r="D310" s="76"/>
      <c r="E310" s="658" t="s">
        <v>162</v>
      </c>
      <c r="F310" s="76"/>
      <c r="G310" s="76"/>
      <c r="H310" s="904">
        <f t="shared" si="21"/>
        <v>0</v>
      </c>
      <c r="I310" s="1" t="e">
        <f t="shared" si="22"/>
        <v>#NUM!</v>
      </c>
      <c r="J310" s="1" t="e">
        <f t="shared" si="23"/>
        <v>#NUM!</v>
      </c>
      <c r="K310" s="1" t="e">
        <f t="shared" si="24"/>
        <v>#NUM!</v>
      </c>
    </row>
    <row r="311" spans="1:11">
      <c r="A311" s="483">
        <f t="shared" si="18"/>
        <v>305</v>
      </c>
      <c r="B311" s="796"/>
      <c r="C311" s="706"/>
      <c r="D311" s="76"/>
      <c r="E311" s="658" t="s">
        <v>162</v>
      </c>
      <c r="F311" s="76"/>
      <c r="G311" s="76"/>
      <c r="H311" s="904">
        <f t="shared" si="21"/>
        <v>0</v>
      </c>
      <c r="I311" s="1" t="e">
        <f t="shared" si="22"/>
        <v>#NUM!</v>
      </c>
      <c r="J311" s="1" t="e">
        <f t="shared" si="23"/>
        <v>#NUM!</v>
      </c>
      <c r="K311" s="1" t="e">
        <f t="shared" si="24"/>
        <v>#NUM!</v>
      </c>
    </row>
    <row r="312" spans="1:11">
      <c r="A312" s="483">
        <f t="shared" si="18"/>
        <v>306</v>
      </c>
      <c r="B312" s="796"/>
      <c r="C312" s="706"/>
      <c r="D312" s="76"/>
      <c r="E312" s="658" t="s">
        <v>162</v>
      </c>
      <c r="F312" s="76"/>
      <c r="G312" s="76"/>
      <c r="H312" s="904">
        <f t="shared" si="21"/>
        <v>0</v>
      </c>
      <c r="I312" s="1" t="e">
        <f t="shared" si="22"/>
        <v>#NUM!</v>
      </c>
      <c r="J312" s="1" t="e">
        <f t="shared" si="23"/>
        <v>#NUM!</v>
      </c>
      <c r="K312" s="1" t="e">
        <f t="shared" si="24"/>
        <v>#NUM!</v>
      </c>
    </row>
    <row r="313" spans="1:11">
      <c r="A313" s="483">
        <f t="shared" si="18"/>
        <v>307</v>
      </c>
      <c r="B313" s="796"/>
      <c r="C313" s="706"/>
      <c r="D313" s="76"/>
      <c r="E313" s="658" t="s">
        <v>162</v>
      </c>
      <c r="F313" s="76"/>
      <c r="G313" s="76"/>
      <c r="H313" s="904">
        <f t="shared" si="21"/>
        <v>0</v>
      </c>
      <c r="I313" s="1" t="e">
        <f t="shared" si="22"/>
        <v>#NUM!</v>
      </c>
      <c r="J313" s="1" t="e">
        <f t="shared" si="23"/>
        <v>#NUM!</v>
      </c>
      <c r="K313" s="1" t="e">
        <f t="shared" si="24"/>
        <v>#NUM!</v>
      </c>
    </row>
    <row r="314" spans="1:11">
      <c r="A314" s="483">
        <f t="shared" si="18"/>
        <v>308</v>
      </c>
      <c r="B314" s="796"/>
      <c r="C314" s="706"/>
      <c r="D314" s="76"/>
      <c r="E314" s="658" t="s">
        <v>162</v>
      </c>
      <c r="F314" s="76"/>
      <c r="G314" s="76"/>
      <c r="H314" s="904">
        <f t="shared" si="21"/>
        <v>0</v>
      </c>
      <c r="I314" s="1" t="e">
        <f t="shared" si="22"/>
        <v>#NUM!</v>
      </c>
      <c r="J314" s="1" t="e">
        <f t="shared" si="23"/>
        <v>#NUM!</v>
      </c>
      <c r="K314" s="1" t="e">
        <f t="shared" si="24"/>
        <v>#NUM!</v>
      </c>
    </row>
    <row r="315" spans="1:11">
      <c r="A315" s="483">
        <f t="shared" si="18"/>
        <v>309</v>
      </c>
      <c r="B315" s="796"/>
      <c r="C315" s="706"/>
      <c r="D315" s="76"/>
      <c r="E315" s="658" t="s">
        <v>162</v>
      </c>
      <c r="F315" s="76"/>
      <c r="G315" s="76"/>
      <c r="H315" s="904">
        <f t="shared" si="21"/>
        <v>0</v>
      </c>
      <c r="I315" s="1" t="e">
        <f t="shared" si="22"/>
        <v>#NUM!</v>
      </c>
      <c r="J315" s="1" t="e">
        <f t="shared" si="23"/>
        <v>#NUM!</v>
      </c>
      <c r="K315" s="1" t="e">
        <f t="shared" si="24"/>
        <v>#NUM!</v>
      </c>
    </row>
    <row r="316" spans="1:11">
      <c r="A316" s="483">
        <f t="shared" si="18"/>
        <v>310</v>
      </c>
      <c r="B316" s="796"/>
      <c r="C316" s="706"/>
      <c r="D316" s="76"/>
      <c r="E316" s="658" t="s">
        <v>162</v>
      </c>
      <c r="F316" s="76"/>
      <c r="G316" s="76"/>
      <c r="H316" s="904">
        <f t="shared" si="21"/>
        <v>0</v>
      </c>
      <c r="I316" s="1" t="e">
        <f t="shared" si="22"/>
        <v>#NUM!</v>
      </c>
      <c r="J316" s="1" t="e">
        <f t="shared" si="23"/>
        <v>#NUM!</v>
      </c>
      <c r="K316" s="1" t="e">
        <f t="shared" si="24"/>
        <v>#NUM!</v>
      </c>
    </row>
    <row r="317" spans="1:11">
      <c r="A317" s="483">
        <f t="shared" si="18"/>
        <v>311</v>
      </c>
      <c r="B317" s="796"/>
      <c r="C317" s="706"/>
      <c r="D317" s="76"/>
      <c r="E317" s="658" t="s">
        <v>162</v>
      </c>
      <c r="F317" s="76"/>
      <c r="G317" s="76"/>
      <c r="H317" s="904">
        <f t="shared" si="21"/>
        <v>0</v>
      </c>
      <c r="I317" s="1" t="e">
        <f t="shared" si="22"/>
        <v>#NUM!</v>
      </c>
      <c r="J317" s="1" t="e">
        <f t="shared" si="23"/>
        <v>#NUM!</v>
      </c>
      <c r="K317" s="1" t="e">
        <f t="shared" si="24"/>
        <v>#NUM!</v>
      </c>
    </row>
    <row r="318" spans="1:11">
      <c r="A318" s="483">
        <f t="shared" si="18"/>
        <v>312</v>
      </c>
      <c r="B318" s="796"/>
      <c r="C318" s="706"/>
      <c r="D318" s="76"/>
      <c r="E318" s="658" t="s">
        <v>162</v>
      </c>
      <c r="F318" s="76"/>
      <c r="G318" s="76"/>
      <c r="H318" s="904">
        <f t="shared" si="21"/>
        <v>0</v>
      </c>
      <c r="I318" s="1" t="e">
        <f t="shared" si="22"/>
        <v>#NUM!</v>
      </c>
      <c r="J318" s="1" t="e">
        <f t="shared" si="23"/>
        <v>#NUM!</v>
      </c>
      <c r="K318" s="1" t="e">
        <f t="shared" si="24"/>
        <v>#NUM!</v>
      </c>
    </row>
    <row r="319" spans="1:11">
      <c r="A319" s="483">
        <f t="shared" si="18"/>
        <v>313</v>
      </c>
      <c r="B319" s="796"/>
      <c r="C319" s="706"/>
      <c r="D319" s="76"/>
      <c r="E319" s="658" t="s">
        <v>162</v>
      </c>
      <c r="F319" s="76"/>
      <c r="G319" s="76"/>
      <c r="H319" s="904">
        <f t="shared" si="21"/>
        <v>0</v>
      </c>
      <c r="I319" s="1" t="e">
        <f t="shared" si="22"/>
        <v>#NUM!</v>
      </c>
      <c r="J319" s="1" t="e">
        <f t="shared" si="23"/>
        <v>#NUM!</v>
      </c>
      <c r="K319" s="1" t="e">
        <f t="shared" si="24"/>
        <v>#NUM!</v>
      </c>
    </row>
    <row r="320" spans="1:11">
      <c r="A320" s="483">
        <f t="shared" si="18"/>
        <v>314</v>
      </c>
      <c r="B320" s="796"/>
      <c r="C320" s="706"/>
      <c r="D320" s="76"/>
      <c r="E320" s="658" t="s">
        <v>162</v>
      </c>
      <c r="F320" s="76"/>
      <c r="G320" s="76"/>
      <c r="H320" s="904">
        <f t="shared" si="21"/>
        <v>0</v>
      </c>
      <c r="I320" s="1" t="e">
        <f t="shared" si="22"/>
        <v>#NUM!</v>
      </c>
      <c r="J320" s="1" t="e">
        <f t="shared" si="23"/>
        <v>#NUM!</v>
      </c>
      <c r="K320" s="1" t="e">
        <f t="shared" si="24"/>
        <v>#NUM!</v>
      </c>
    </row>
    <row r="321" spans="1:11">
      <c r="A321" s="483">
        <f t="shared" si="18"/>
        <v>315</v>
      </c>
      <c r="B321" s="796"/>
      <c r="C321" s="706"/>
      <c r="D321" s="76"/>
      <c r="E321" s="658" t="s">
        <v>162</v>
      </c>
      <c r="F321" s="76"/>
      <c r="G321" s="76"/>
      <c r="H321" s="904">
        <f t="shared" si="21"/>
        <v>0</v>
      </c>
      <c r="I321" s="1" t="e">
        <f t="shared" si="22"/>
        <v>#NUM!</v>
      </c>
      <c r="J321" s="1" t="e">
        <f t="shared" si="23"/>
        <v>#NUM!</v>
      </c>
      <c r="K321" s="1" t="e">
        <f t="shared" si="24"/>
        <v>#NUM!</v>
      </c>
    </row>
    <row r="322" spans="1:11">
      <c r="A322" s="483">
        <f t="shared" si="18"/>
        <v>316</v>
      </c>
      <c r="B322" s="796"/>
      <c r="C322" s="706"/>
      <c r="D322" s="76"/>
      <c r="E322" s="658" t="s">
        <v>162</v>
      </c>
      <c r="F322" s="76"/>
      <c r="G322" s="76"/>
      <c r="H322" s="904">
        <f t="shared" si="21"/>
        <v>0</v>
      </c>
      <c r="I322" s="1" t="e">
        <f t="shared" si="22"/>
        <v>#NUM!</v>
      </c>
      <c r="J322" s="1" t="e">
        <f t="shared" si="23"/>
        <v>#NUM!</v>
      </c>
      <c r="K322" s="1" t="e">
        <f t="shared" si="24"/>
        <v>#NUM!</v>
      </c>
    </row>
    <row r="323" spans="1:11">
      <c r="A323" s="483">
        <f t="shared" si="18"/>
        <v>317</v>
      </c>
      <c r="B323" s="796"/>
      <c r="C323" s="706"/>
      <c r="D323" s="76"/>
      <c r="E323" s="658" t="s">
        <v>162</v>
      </c>
      <c r="F323" s="76"/>
      <c r="G323" s="76"/>
      <c r="H323" s="904">
        <f t="shared" si="21"/>
        <v>0</v>
      </c>
      <c r="I323" s="1" t="e">
        <f t="shared" si="22"/>
        <v>#NUM!</v>
      </c>
      <c r="J323" s="1" t="e">
        <f t="shared" si="23"/>
        <v>#NUM!</v>
      </c>
      <c r="K323" s="1" t="e">
        <f t="shared" si="24"/>
        <v>#NUM!</v>
      </c>
    </row>
    <row r="324" spans="1:11">
      <c r="A324" s="483">
        <f t="shared" si="18"/>
        <v>318</v>
      </c>
      <c r="B324" s="796"/>
      <c r="C324" s="706"/>
      <c r="D324" s="76"/>
      <c r="E324" s="658" t="s">
        <v>162</v>
      </c>
      <c r="F324" s="76"/>
      <c r="G324" s="76"/>
      <c r="H324" s="904">
        <f t="shared" si="21"/>
        <v>0</v>
      </c>
      <c r="I324" s="1" t="e">
        <f t="shared" si="22"/>
        <v>#NUM!</v>
      </c>
      <c r="J324" s="1" t="e">
        <f t="shared" si="23"/>
        <v>#NUM!</v>
      </c>
      <c r="K324" s="1" t="e">
        <f t="shared" si="24"/>
        <v>#NUM!</v>
      </c>
    </row>
    <row r="325" spans="1:11">
      <c r="A325" s="483">
        <f t="shared" si="18"/>
        <v>319</v>
      </c>
      <c r="B325" s="796"/>
      <c r="C325" s="706"/>
      <c r="D325" s="76"/>
      <c r="E325" s="658" t="s">
        <v>162</v>
      </c>
      <c r="F325" s="76"/>
      <c r="G325" s="76"/>
      <c r="H325" s="904">
        <f t="shared" si="21"/>
        <v>0</v>
      </c>
      <c r="I325" s="1" t="e">
        <f t="shared" si="22"/>
        <v>#NUM!</v>
      </c>
      <c r="J325" s="1" t="e">
        <f t="shared" si="23"/>
        <v>#NUM!</v>
      </c>
      <c r="K325" s="1" t="e">
        <f t="shared" si="24"/>
        <v>#NUM!</v>
      </c>
    </row>
    <row r="326" spans="1:11">
      <c r="A326" s="483">
        <f t="shared" si="18"/>
        <v>320</v>
      </c>
      <c r="B326" s="796"/>
      <c r="C326" s="706"/>
      <c r="D326" s="76"/>
      <c r="E326" s="658" t="s">
        <v>162</v>
      </c>
      <c r="F326" s="76"/>
      <c r="G326" s="76"/>
      <c r="H326" s="904">
        <f t="shared" si="21"/>
        <v>0</v>
      </c>
      <c r="I326" s="1" t="e">
        <f t="shared" si="22"/>
        <v>#NUM!</v>
      </c>
      <c r="J326" s="1" t="e">
        <f t="shared" si="23"/>
        <v>#NUM!</v>
      </c>
      <c r="K326" s="1" t="e">
        <f t="shared" si="24"/>
        <v>#NUM!</v>
      </c>
    </row>
    <row r="327" spans="1:11">
      <c r="A327" s="483">
        <f t="shared" si="18"/>
        <v>321</v>
      </c>
      <c r="B327" s="796"/>
      <c r="C327" s="706"/>
      <c r="D327" s="76"/>
      <c r="E327" s="658" t="s">
        <v>162</v>
      </c>
      <c r="F327" s="76"/>
      <c r="G327" s="76"/>
      <c r="H327" s="904">
        <f t="shared" si="21"/>
        <v>0</v>
      </c>
      <c r="I327" s="1" t="e">
        <f t="shared" si="22"/>
        <v>#NUM!</v>
      </c>
      <c r="J327" s="1" t="e">
        <f t="shared" si="23"/>
        <v>#NUM!</v>
      </c>
      <c r="K327" s="1" t="e">
        <f t="shared" si="24"/>
        <v>#NUM!</v>
      </c>
    </row>
    <row r="328" spans="1:11">
      <c r="A328" s="483">
        <f t="shared" si="18"/>
        <v>322</v>
      </c>
      <c r="B328" s="796"/>
      <c r="C328" s="706"/>
      <c r="D328" s="76"/>
      <c r="E328" s="658" t="s">
        <v>162</v>
      </c>
      <c r="F328" s="76"/>
      <c r="G328" s="76"/>
      <c r="H328" s="904">
        <f t="shared" si="21"/>
        <v>0</v>
      </c>
      <c r="I328" s="1" t="e">
        <f t="shared" si="22"/>
        <v>#NUM!</v>
      </c>
      <c r="J328" s="1" t="e">
        <f t="shared" si="23"/>
        <v>#NUM!</v>
      </c>
      <c r="K328" s="1" t="e">
        <f t="shared" si="24"/>
        <v>#NUM!</v>
      </c>
    </row>
    <row r="329" spans="1:11">
      <c r="A329" s="483">
        <f t="shared" ref="A329:A350" si="25">+A328+1</f>
        <v>323</v>
      </c>
      <c r="B329" s="796"/>
      <c r="C329" s="706"/>
      <c r="D329" s="76"/>
      <c r="E329" s="658" t="s">
        <v>162</v>
      </c>
      <c r="F329" s="76"/>
      <c r="G329" s="76"/>
      <c r="H329" s="904">
        <f t="shared" si="21"/>
        <v>0</v>
      </c>
      <c r="I329" s="1" t="e">
        <f t="shared" si="22"/>
        <v>#NUM!</v>
      </c>
      <c r="J329" s="1" t="e">
        <f t="shared" si="23"/>
        <v>#NUM!</v>
      </c>
      <c r="K329" s="1" t="e">
        <f t="shared" si="24"/>
        <v>#NUM!</v>
      </c>
    </row>
    <row r="330" spans="1:11">
      <c r="A330" s="483">
        <f t="shared" si="25"/>
        <v>324</v>
      </c>
      <c r="B330" s="796"/>
      <c r="C330" s="706"/>
      <c r="D330" s="76"/>
      <c r="E330" s="658" t="s">
        <v>162</v>
      </c>
      <c r="F330" s="76"/>
      <c r="G330" s="76"/>
      <c r="H330" s="904">
        <f t="shared" si="21"/>
        <v>0</v>
      </c>
      <c r="I330" s="1" t="e">
        <f t="shared" si="22"/>
        <v>#NUM!</v>
      </c>
      <c r="J330" s="1" t="e">
        <f t="shared" si="23"/>
        <v>#NUM!</v>
      </c>
      <c r="K330" s="1" t="e">
        <f t="shared" si="24"/>
        <v>#NUM!</v>
      </c>
    </row>
    <row r="331" spans="1:11">
      <c r="A331" s="483">
        <f t="shared" si="25"/>
        <v>325</v>
      </c>
      <c r="B331" s="796"/>
      <c r="C331" s="706"/>
      <c r="D331" s="76"/>
      <c r="E331" s="658" t="s">
        <v>162</v>
      </c>
      <c r="F331" s="76"/>
      <c r="G331" s="76"/>
      <c r="H331" s="904">
        <f t="shared" si="21"/>
        <v>0</v>
      </c>
      <c r="I331" s="1" t="e">
        <f t="shared" si="22"/>
        <v>#NUM!</v>
      </c>
      <c r="J331" s="1" t="e">
        <f t="shared" si="23"/>
        <v>#NUM!</v>
      </c>
      <c r="K331" s="1" t="e">
        <f t="shared" si="24"/>
        <v>#NUM!</v>
      </c>
    </row>
    <row r="332" spans="1:11">
      <c r="A332" s="483">
        <f t="shared" si="25"/>
        <v>326</v>
      </c>
      <c r="B332" s="796"/>
      <c r="C332" s="706"/>
      <c r="D332" s="76"/>
      <c r="E332" s="658" t="s">
        <v>162</v>
      </c>
      <c r="F332" s="76"/>
      <c r="G332" s="76"/>
      <c r="H332" s="904">
        <f t="shared" si="21"/>
        <v>0</v>
      </c>
      <c r="I332" s="1" t="e">
        <f t="shared" si="22"/>
        <v>#NUM!</v>
      </c>
      <c r="J332" s="1" t="e">
        <f t="shared" si="23"/>
        <v>#NUM!</v>
      </c>
      <c r="K332" s="1" t="e">
        <f t="shared" si="24"/>
        <v>#NUM!</v>
      </c>
    </row>
    <row r="333" spans="1:11">
      <c r="A333" s="483">
        <f t="shared" si="25"/>
        <v>327</v>
      </c>
      <c r="B333" s="796"/>
      <c r="C333" s="706"/>
      <c r="D333" s="76"/>
      <c r="E333" s="658" t="s">
        <v>162</v>
      </c>
      <c r="F333" s="76"/>
      <c r="G333" s="76"/>
      <c r="H333" s="904">
        <f t="shared" si="21"/>
        <v>0</v>
      </c>
      <c r="I333" s="1" t="e">
        <f t="shared" si="22"/>
        <v>#NUM!</v>
      </c>
      <c r="J333" s="1" t="e">
        <f t="shared" si="23"/>
        <v>#NUM!</v>
      </c>
      <c r="K333" s="1" t="e">
        <f t="shared" si="24"/>
        <v>#NUM!</v>
      </c>
    </row>
    <row r="334" spans="1:11">
      <c r="A334" s="483">
        <f t="shared" si="25"/>
        <v>328</v>
      </c>
      <c r="B334" s="796"/>
      <c r="C334" s="706"/>
      <c r="D334" s="76"/>
      <c r="E334" s="658" t="s">
        <v>162</v>
      </c>
      <c r="F334" s="76"/>
      <c r="G334" s="76"/>
      <c r="H334" s="904">
        <f t="shared" si="21"/>
        <v>0</v>
      </c>
      <c r="I334" s="1" t="e">
        <f t="shared" si="22"/>
        <v>#NUM!</v>
      </c>
      <c r="J334" s="1" t="e">
        <f t="shared" si="23"/>
        <v>#NUM!</v>
      </c>
      <c r="K334" s="1" t="e">
        <f t="shared" si="24"/>
        <v>#NUM!</v>
      </c>
    </row>
    <row r="335" spans="1:11">
      <c r="A335" s="483">
        <f t="shared" si="25"/>
        <v>329</v>
      </c>
      <c r="B335" s="796"/>
      <c r="C335" s="706"/>
      <c r="D335" s="76"/>
      <c r="E335" s="658" t="s">
        <v>162</v>
      </c>
      <c r="F335" s="76"/>
      <c r="G335" s="76"/>
      <c r="H335" s="904">
        <f t="shared" si="21"/>
        <v>0</v>
      </c>
      <c r="I335" s="1" t="e">
        <f t="shared" si="22"/>
        <v>#NUM!</v>
      </c>
      <c r="J335" s="1" t="e">
        <f t="shared" si="23"/>
        <v>#NUM!</v>
      </c>
      <c r="K335" s="1" t="e">
        <f t="shared" si="24"/>
        <v>#NUM!</v>
      </c>
    </row>
    <row r="336" spans="1:11">
      <c r="A336" s="483">
        <f t="shared" si="25"/>
        <v>330</v>
      </c>
      <c r="B336" s="796"/>
      <c r="C336" s="706"/>
      <c r="D336" s="76"/>
      <c r="E336" s="658" t="s">
        <v>162</v>
      </c>
      <c r="F336" s="76"/>
      <c r="G336" s="76"/>
      <c r="H336" s="904">
        <f t="shared" si="21"/>
        <v>0</v>
      </c>
      <c r="I336" s="1" t="e">
        <f t="shared" si="22"/>
        <v>#NUM!</v>
      </c>
      <c r="J336" s="1" t="e">
        <f t="shared" si="23"/>
        <v>#NUM!</v>
      </c>
      <c r="K336" s="1" t="e">
        <f t="shared" si="24"/>
        <v>#NUM!</v>
      </c>
    </row>
    <row r="337" spans="1:11">
      <c r="A337" s="483">
        <f t="shared" si="25"/>
        <v>331</v>
      </c>
      <c r="B337" s="796"/>
      <c r="C337" s="706"/>
      <c r="D337" s="76"/>
      <c r="E337" s="658" t="s">
        <v>162</v>
      </c>
      <c r="F337" s="76"/>
      <c r="G337" s="76"/>
      <c r="H337" s="904">
        <f t="shared" si="21"/>
        <v>0</v>
      </c>
      <c r="I337" s="1" t="e">
        <f t="shared" si="22"/>
        <v>#NUM!</v>
      </c>
      <c r="J337" s="1" t="e">
        <f t="shared" si="23"/>
        <v>#NUM!</v>
      </c>
      <c r="K337" s="1" t="e">
        <f t="shared" si="24"/>
        <v>#NUM!</v>
      </c>
    </row>
    <row r="338" spans="1:11">
      <c r="A338" s="483">
        <f t="shared" si="25"/>
        <v>332</v>
      </c>
      <c r="B338" s="796"/>
      <c r="C338" s="706"/>
      <c r="D338" s="76"/>
      <c r="E338" s="658" t="s">
        <v>162</v>
      </c>
      <c r="F338" s="76"/>
      <c r="G338" s="76"/>
      <c r="H338" s="904">
        <f t="shared" si="21"/>
        <v>0</v>
      </c>
      <c r="I338" s="1" t="e">
        <f t="shared" si="22"/>
        <v>#NUM!</v>
      </c>
      <c r="J338" s="1" t="e">
        <f t="shared" si="23"/>
        <v>#NUM!</v>
      </c>
      <c r="K338" s="1" t="e">
        <f t="shared" si="24"/>
        <v>#NUM!</v>
      </c>
    </row>
    <row r="339" spans="1:11">
      <c r="A339" s="483">
        <f t="shared" si="25"/>
        <v>333</v>
      </c>
      <c r="B339" s="796"/>
      <c r="C339" s="706"/>
      <c r="D339" s="76"/>
      <c r="E339" s="658" t="s">
        <v>162</v>
      </c>
      <c r="F339" s="76"/>
      <c r="G339" s="76"/>
      <c r="H339" s="904">
        <f t="shared" si="21"/>
        <v>0</v>
      </c>
      <c r="I339" s="1" t="e">
        <f t="shared" si="22"/>
        <v>#NUM!</v>
      </c>
      <c r="J339" s="1" t="e">
        <f t="shared" si="23"/>
        <v>#NUM!</v>
      </c>
      <c r="K339" s="1" t="e">
        <f t="shared" si="24"/>
        <v>#NUM!</v>
      </c>
    </row>
    <row r="340" spans="1:11">
      <c r="A340" s="483">
        <f t="shared" si="25"/>
        <v>334</v>
      </c>
      <c r="B340" s="796"/>
      <c r="C340" s="706"/>
      <c r="D340" s="76"/>
      <c r="E340" s="658" t="s">
        <v>162</v>
      </c>
      <c r="F340" s="76"/>
      <c r="G340" s="76"/>
      <c r="H340" s="904">
        <f t="shared" si="21"/>
        <v>0</v>
      </c>
      <c r="I340" s="1" t="e">
        <f t="shared" si="22"/>
        <v>#NUM!</v>
      </c>
      <c r="J340" s="1" t="e">
        <f t="shared" si="23"/>
        <v>#NUM!</v>
      </c>
      <c r="K340" s="1" t="e">
        <f t="shared" si="24"/>
        <v>#NUM!</v>
      </c>
    </row>
    <row r="341" spans="1:11">
      <c r="A341" s="483">
        <f t="shared" si="25"/>
        <v>335</v>
      </c>
      <c r="B341" s="796"/>
      <c r="C341" s="706"/>
      <c r="D341" s="76"/>
      <c r="E341" s="658" t="s">
        <v>162</v>
      </c>
      <c r="F341" s="76"/>
      <c r="G341" s="76"/>
      <c r="H341" s="904">
        <f t="shared" si="21"/>
        <v>0</v>
      </c>
      <c r="I341" s="1" t="e">
        <f t="shared" si="22"/>
        <v>#NUM!</v>
      </c>
      <c r="J341" s="1" t="e">
        <f t="shared" si="23"/>
        <v>#NUM!</v>
      </c>
      <c r="K341" s="1" t="e">
        <f t="shared" si="24"/>
        <v>#NUM!</v>
      </c>
    </row>
    <row r="342" spans="1:11">
      <c r="A342" s="483">
        <f t="shared" si="25"/>
        <v>336</v>
      </c>
      <c r="B342" s="796"/>
      <c r="C342" s="706"/>
      <c r="D342" s="76"/>
      <c r="E342" s="658" t="s">
        <v>162</v>
      </c>
      <c r="F342" s="76"/>
      <c r="G342" s="76"/>
      <c r="H342" s="904">
        <f t="shared" si="21"/>
        <v>0</v>
      </c>
      <c r="I342" s="1" t="e">
        <f t="shared" si="22"/>
        <v>#NUM!</v>
      </c>
      <c r="J342" s="1" t="e">
        <f t="shared" si="23"/>
        <v>#NUM!</v>
      </c>
      <c r="K342" s="1" t="e">
        <f t="shared" si="24"/>
        <v>#NUM!</v>
      </c>
    </row>
    <row r="343" spans="1:11">
      <c r="A343" s="483">
        <f t="shared" si="25"/>
        <v>337</v>
      </c>
      <c r="B343" s="796"/>
      <c r="C343" s="706"/>
      <c r="D343" s="76"/>
      <c r="E343" s="658" t="s">
        <v>162</v>
      </c>
      <c r="F343" s="76"/>
      <c r="G343" s="76"/>
      <c r="H343" s="904">
        <f t="shared" si="21"/>
        <v>0</v>
      </c>
      <c r="I343" s="1" t="e">
        <f t="shared" si="22"/>
        <v>#NUM!</v>
      </c>
      <c r="J343" s="1" t="e">
        <f t="shared" si="23"/>
        <v>#NUM!</v>
      </c>
      <c r="K343" s="1" t="e">
        <f t="shared" si="24"/>
        <v>#NUM!</v>
      </c>
    </row>
    <row r="344" spans="1:11">
      <c r="A344" s="483">
        <f t="shared" si="25"/>
        <v>338</v>
      </c>
      <c r="B344" s="796"/>
      <c r="C344" s="706"/>
      <c r="D344" s="76"/>
      <c r="E344" s="658" t="s">
        <v>162</v>
      </c>
      <c r="F344" s="76"/>
      <c r="G344" s="76"/>
      <c r="H344" s="904">
        <f t="shared" si="21"/>
        <v>0</v>
      </c>
      <c r="I344" s="1" t="e">
        <f t="shared" si="22"/>
        <v>#NUM!</v>
      </c>
      <c r="J344" s="1" t="e">
        <f t="shared" si="23"/>
        <v>#NUM!</v>
      </c>
      <c r="K344" s="1" t="e">
        <f t="shared" si="24"/>
        <v>#NUM!</v>
      </c>
    </row>
    <row r="345" spans="1:11">
      <c r="A345" s="483">
        <f t="shared" si="25"/>
        <v>339</v>
      </c>
      <c r="B345" s="796"/>
      <c r="C345" s="706"/>
      <c r="D345" s="76"/>
      <c r="E345" s="658" t="s">
        <v>162</v>
      </c>
      <c r="F345" s="76"/>
      <c r="G345" s="76"/>
      <c r="H345" s="904">
        <f t="shared" si="21"/>
        <v>0</v>
      </c>
      <c r="I345" s="1" t="e">
        <f t="shared" si="22"/>
        <v>#NUM!</v>
      </c>
      <c r="J345" s="1" t="e">
        <f t="shared" si="23"/>
        <v>#NUM!</v>
      </c>
      <c r="K345" s="1" t="e">
        <f t="shared" si="24"/>
        <v>#NUM!</v>
      </c>
    </row>
    <row r="346" spans="1:11">
      <c r="A346" s="483">
        <f t="shared" si="25"/>
        <v>340</v>
      </c>
      <c r="B346" s="796"/>
      <c r="C346" s="706"/>
      <c r="D346" s="76"/>
      <c r="E346" s="658" t="s">
        <v>162</v>
      </c>
      <c r="F346" s="76"/>
      <c r="G346" s="76"/>
      <c r="H346" s="904">
        <f t="shared" si="21"/>
        <v>0</v>
      </c>
      <c r="I346" s="1" t="e">
        <f t="shared" si="22"/>
        <v>#NUM!</v>
      </c>
      <c r="J346" s="1" t="e">
        <f t="shared" si="23"/>
        <v>#NUM!</v>
      </c>
      <c r="K346" s="1" t="e">
        <f t="shared" si="24"/>
        <v>#NUM!</v>
      </c>
    </row>
    <row r="347" spans="1:11">
      <c r="A347" s="483">
        <f t="shared" si="25"/>
        <v>341</v>
      </c>
      <c r="B347" s="796"/>
      <c r="C347" s="706"/>
      <c r="D347" s="76"/>
      <c r="E347" s="658" t="s">
        <v>162</v>
      </c>
      <c r="F347" s="76"/>
      <c r="G347" s="76"/>
      <c r="H347" s="904">
        <f t="shared" si="21"/>
        <v>0</v>
      </c>
      <c r="I347" s="1" t="e">
        <f t="shared" si="22"/>
        <v>#NUM!</v>
      </c>
      <c r="J347" s="1" t="e">
        <f t="shared" si="23"/>
        <v>#NUM!</v>
      </c>
      <c r="K347" s="1" t="e">
        <f t="shared" si="24"/>
        <v>#NUM!</v>
      </c>
    </row>
    <row r="348" spans="1:11">
      <c r="A348" s="483">
        <f t="shared" si="25"/>
        <v>342</v>
      </c>
      <c r="B348" s="796"/>
      <c r="C348" s="706"/>
      <c r="D348" s="76"/>
      <c r="E348" s="658" t="s">
        <v>162</v>
      </c>
      <c r="F348" s="76"/>
      <c r="G348" s="76"/>
      <c r="H348" s="904">
        <f t="shared" si="21"/>
        <v>0</v>
      </c>
      <c r="I348" s="1" t="e">
        <f t="shared" si="22"/>
        <v>#NUM!</v>
      </c>
      <c r="J348" s="1" t="e">
        <f t="shared" si="23"/>
        <v>#NUM!</v>
      </c>
      <c r="K348" s="1" t="e">
        <f t="shared" si="24"/>
        <v>#NUM!</v>
      </c>
    </row>
    <row r="349" spans="1:11">
      <c r="A349" s="483">
        <f t="shared" si="25"/>
        <v>343</v>
      </c>
      <c r="B349" s="796"/>
      <c r="C349" s="706"/>
      <c r="D349" s="76"/>
      <c r="E349" s="658" t="s">
        <v>162</v>
      </c>
      <c r="F349" s="76"/>
      <c r="G349" s="76"/>
      <c r="H349" s="904">
        <f t="shared" si="21"/>
        <v>0</v>
      </c>
      <c r="I349" s="1" t="e">
        <f t="shared" si="22"/>
        <v>#NUM!</v>
      </c>
      <c r="J349" s="1" t="e">
        <f t="shared" si="23"/>
        <v>#NUM!</v>
      </c>
      <c r="K349" s="1" t="e">
        <f t="shared" si="24"/>
        <v>#NUM!</v>
      </c>
    </row>
    <row r="350" spans="1:11">
      <c r="A350" s="483">
        <f t="shared" si="25"/>
        <v>344</v>
      </c>
      <c r="B350" s="796"/>
      <c r="C350" s="706"/>
      <c r="D350" s="76"/>
      <c r="E350" s="658" t="s">
        <v>162</v>
      </c>
      <c r="F350" s="76"/>
      <c r="G350" s="76"/>
      <c r="H350" s="904">
        <f t="shared" si="21"/>
        <v>0</v>
      </c>
      <c r="I350" s="1" t="e">
        <f t="shared" si="22"/>
        <v>#NUM!</v>
      </c>
      <c r="J350" s="1" t="e">
        <f t="shared" si="23"/>
        <v>#NUM!</v>
      </c>
      <c r="K350" s="1" t="e">
        <f t="shared" si="24"/>
        <v>#NUM!</v>
      </c>
    </row>
  </sheetData>
  <customSheetViews>
    <customSheetView guid="{CFA9FB8A-52FF-44B9-AE70-27339693E196}" scale="90" topLeftCell="C1">
      <pane ySplit="6" topLeftCell="A284" activePane="bottomLeft" state="frozen"/>
      <selection pane="bottomLeft" activeCell="M294" sqref="M294"/>
      <pageMargins left="0.75" right="0.75" top="1" bottom="1" header="0.5" footer="0.5"/>
      <headerFooter alignWithMargins="0"/>
    </customSheetView>
  </customSheetViews>
  <mergeCells count="1">
    <mergeCell ref="A1:H3"/>
  </mergeCells>
  <phoneticPr fontId="18" type="noConversion"/>
  <dataValidations count="1">
    <dataValidation type="list" allowBlank="1" showInputMessage="1" showErrorMessage="1" sqref="D232:D350">
      <formula1>counties</formula1>
    </dataValidation>
  </dataValidations>
  <printOptions horizontalCentered="1"/>
  <pageMargins left="0.75" right="0.75" top="1.25" bottom="0.5" header="0.5" footer="0"/>
  <pageSetup scale="74" firstPageNumber="153" fitToHeight="30" orientation="landscape" useFirstPageNumber="1" r:id="rId1"/>
  <headerFooter scaleWithDoc="0">
    <oddFooter>&amp;CPage &amp;P of 172</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8"/>
  <sheetViews>
    <sheetView workbookViewId="0">
      <pane ySplit="11" topLeftCell="A270" activePane="bottomLeft" state="frozen"/>
      <selection pane="bottomLeft" activeCell="E3" sqref="E3"/>
    </sheetView>
  </sheetViews>
  <sheetFormatPr defaultRowHeight="15"/>
  <cols>
    <col min="5" max="5" width="8.109375" customWidth="1"/>
    <col min="11" max="11" width="7.88671875" bestFit="1" customWidth="1"/>
  </cols>
  <sheetData>
    <row r="1" spans="1:16" ht="30" customHeight="1" thickTop="1" thickBot="1">
      <c r="A1" s="1185" t="s">
        <v>1164</v>
      </c>
      <c r="B1" s="1186"/>
      <c r="C1" s="1186"/>
      <c r="D1" s="1186"/>
      <c r="E1" s="1186"/>
      <c r="F1" s="1186"/>
      <c r="G1" s="1186"/>
      <c r="H1" s="1186"/>
      <c r="I1" s="1187"/>
    </row>
    <row r="2" spans="1:16" ht="16.5" thickTop="1">
      <c r="A2" s="749"/>
      <c r="C2" s="4" t="s">
        <v>183</v>
      </c>
      <c r="D2" s="4" t="s">
        <v>184</v>
      </c>
      <c r="E2" s="4" t="s">
        <v>540</v>
      </c>
      <c r="I2" s="750"/>
    </row>
    <row r="3" spans="1:16">
      <c r="A3" s="749"/>
      <c r="B3" s="27" t="s">
        <v>947</v>
      </c>
      <c r="C3" s="27">
        <f>COUNT(G12:G310)</f>
        <v>262</v>
      </c>
      <c r="D3" s="27">
        <f>COUNT(H12:H310)</f>
        <v>262</v>
      </c>
      <c r="E3" s="27">
        <f>COUNT(I12:I310)</f>
        <v>262</v>
      </c>
      <c r="I3" s="750"/>
    </row>
    <row r="4" spans="1:16">
      <c r="A4" s="749"/>
      <c r="B4" s="27">
        <v>0.05</v>
      </c>
      <c r="C4" s="671">
        <f>EXP(INDEX(G12:G273,C3*$B$4)+(INDEX(G12:G273,C3*$B$4+1)-INDEX(G12:G273,C3*$B$4))*(C3*$B$4-INT(C3*$B$4)))</f>
        <v>10.000000000000002</v>
      </c>
      <c r="D4" s="671">
        <f>EXP(INDEX(H12:H273,D3*$B$4)+(INDEX(H12:H273,D3*$B$4+1)-INDEX(H12:H273,D3*$B$4))*(D3*$B$4-INT(D3*$B$4)))</f>
        <v>0.10000000000000002</v>
      </c>
      <c r="E4" s="671">
        <f>EXP(INDEX(I12:I273,E3*$B$4)+(INDEX(I12:I273,E3*$B$4+1)-INDEX(I12:I273,E3*$B$4))*(E3*$B$4-INT(E3*$B$4)))</f>
        <v>5.6818181818181826E-4</v>
      </c>
      <c r="I4" s="750"/>
    </row>
    <row r="5" spans="1:16">
      <c r="A5" s="749"/>
      <c r="B5" s="27" t="s">
        <v>948</v>
      </c>
      <c r="C5" s="671">
        <f>EXP(MODE(G12:G273))</f>
        <v>100.00000000000004</v>
      </c>
      <c r="D5" s="671">
        <f>EXP(MODE(H12:H273))</f>
        <v>0.10000000000000002</v>
      </c>
      <c r="E5" s="671">
        <f>EXP(MODE(I12:I273))</f>
        <v>5.6818181818181826E-4</v>
      </c>
      <c r="I5" s="750"/>
    </row>
    <row r="6" spans="1:16">
      <c r="A6" s="749"/>
      <c r="B6" s="27" t="s">
        <v>949</v>
      </c>
      <c r="C6" s="671">
        <f>EXP(MEDIAN(G12:G273))</f>
        <v>59.999999999999986</v>
      </c>
      <c r="D6" s="671">
        <f>EXP(MEDIAN(H12:H273))</f>
        <v>1.5247950681976907</v>
      </c>
      <c r="E6" s="671">
        <f>EXP(MEDIAN(I12:I273))</f>
        <v>5.681818181818183E-2</v>
      </c>
      <c r="I6" s="750"/>
    </row>
    <row r="7" spans="1:16">
      <c r="A7" s="749"/>
      <c r="B7" s="27" t="s">
        <v>950</v>
      </c>
      <c r="C7" s="671">
        <f>EXP(AVERAGE(G12:G273))</f>
        <v>65.352331963021641</v>
      </c>
      <c r="D7" s="671">
        <f>EXP(AVERAGE(H12:H273))</f>
        <v>1.2784130917241574</v>
      </c>
      <c r="E7" s="671">
        <f>EXP(AVERAGE(I12:I273))</f>
        <v>5.440894991387539E-2</v>
      </c>
      <c r="I7" s="750"/>
    </row>
    <row r="8" spans="1:16">
      <c r="A8" s="749"/>
      <c r="B8" s="27" t="s">
        <v>131</v>
      </c>
      <c r="C8" s="671">
        <f>AVERAGE(B12:B273)</f>
        <v>150.71374045801528</v>
      </c>
      <c r="D8" s="671">
        <f>AVERAGE(C12:C273)</f>
        <v>3.3610687022900758</v>
      </c>
      <c r="E8" s="671">
        <f>AVERAGE(D12:D273)</f>
        <v>0.90269658657182517</v>
      </c>
      <c r="I8" s="750"/>
    </row>
    <row r="9" spans="1:16">
      <c r="A9" s="749"/>
      <c r="B9" s="27">
        <v>0.95</v>
      </c>
      <c r="C9" s="671">
        <f>EXP(INDEX(G12:G273,C3*$B$9)+(INDEX(G12:G273,C3*$B$9+1)-INDEX(G12:G273,C3*$B$9))*(C3*$B$9-INT(C3*$B$9)))</f>
        <v>589.15982673714529</v>
      </c>
      <c r="D9" s="671">
        <f>EXP(INDEX(H12:H273,D3*$B$9)+(INDEX(H12:H273,D3*$B$9+1)-INDEX(H12:H273,D3*$B$9))*(D3*$B$9-INT(D3*$B$9)))</f>
        <v>12.652198431027482</v>
      </c>
      <c r="E9" s="671">
        <f>EXP(INDEX(I12:I273,E3*$B$9)+(INDEX(I12:I273,E3*$B$9+1)-INDEX(I12:I273,E3*$B$9))*(E3*$B$9-INT(E3*$B$9)))</f>
        <v>5.2126337277071473</v>
      </c>
      <c r="I9" s="750"/>
    </row>
    <row r="10" spans="1:16" ht="15.75" thickBot="1">
      <c r="A10" s="749"/>
      <c r="I10" s="750"/>
    </row>
    <row r="11" spans="1:16" s="7" customFormat="1" ht="17.25" thickTop="1" thickBot="1">
      <c r="A11" s="751" t="s">
        <v>941</v>
      </c>
      <c r="B11" s="751" t="s">
        <v>183</v>
      </c>
      <c r="C11" s="751" t="s">
        <v>184</v>
      </c>
      <c r="D11" s="751" t="s">
        <v>540</v>
      </c>
      <c r="E11" s="752" t="s">
        <v>942</v>
      </c>
      <c r="F11" s="751" t="s">
        <v>943</v>
      </c>
      <c r="G11" s="751" t="s">
        <v>944</v>
      </c>
      <c r="H11" s="751" t="s">
        <v>945</v>
      </c>
      <c r="I11" s="751" t="s">
        <v>946</v>
      </c>
      <c r="J11" s="4"/>
      <c r="K11" s="4"/>
      <c r="O11" s="4"/>
      <c r="P11" s="4"/>
    </row>
    <row r="12" spans="1:16" ht="15.75" thickTop="1">
      <c r="A12" s="27">
        <v>1</v>
      </c>
      <c r="B12" s="27">
        <v>3</v>
      </c>
      <c r="C12" s="522">
        <v>0.09</v>
      </c>
      <c r="D12" s="27">
        <v>1.7045454545454547E-4</v>
      </c>
      <c r="E12" s="27">
        <f>(A12-0.5)/262</f>
        <v>1.9083969465648854E-3</v>
      </c>
      <c r="F12" s="27">
        <f>NORMSINV(E12)</f>
        <v>-2.8929192678734181</v>
      </c>
      <c r="G12" s="27">
        <f>LN(B12)</f>
        <v>1.0986122886681098</v>
      </c>
      <c r="H12" s="27">
        <f>LN(C12)</f>
        <v>-2.4079456086518722</v>
      </c>
      <c r="I12" s="27">
        <f>LN(D12)</f>
        <v>-8.6770418923581332</v>
      </c>
      <c r="J12" s="27"/>
      <c r="O12" s="27"/>
      <c r="P12" s="27"/>
    </row>
    <row r="13" spans="1:16">
      <c r="A13" s="27">
        <v>2</v>
      </c>
      <c r="B13" s="27">
        <v>6</v>
      </c>
      <c r="C13" s="27">
        <v>0.1</v>
      </c>
      <c r="D13" s="27">
        <v>3.4090909090909094E-4</v>
      </c>
      <c r="E13" s="27">
        <f t="shared" ref="E13:E76" si="0">(A13-0.5)/262</f>
        <v>5.7251908396946565E-3</v>
      </c>
      <c r="F13" s="27">
        <f t="shared" ref="F13:F76" si="1">NORMSINV(E13)</f>
        <v>-2.528644881189821</v>
      </c>
      <c r="G13" s="27">
        <f t="shared" ref="G13:I76" si="2">LN(B13)</f>
        <v>1.791759469228055</v>
      </c>
      <c r="H13" s="27">
        <f t="shared" si="2"/>
        <v>-2.3025850929940455</v>
      </c>
      <c r="I13" s="27">
        <f t="shared" si="2"/>
        <v>-7.9838947117981878</v>
      </c>
      <c r="J13" s="27"/>
      <c r="O13" s="27"/>
      <c r="P13" s="27"/>
    </row>
    <row r="14" spans="1:16">
      <c r="A14" s="27">
        <v>3</v>
      </c>
      <c r="B14" s="27">
        <v>10</v>
      </c>
      <c r="C14" s="27">
        <v>0.1</v>
      </c>
      <c r="D14" s="27">
        <v>5.6818181818181826E-4</v>
      </c>
      <c r="E14" s="27">
        <f t="shared" si="0"/>
        <v>9.5419847328244278E-3</v>
      </c>
      <c r="F14" s="27">
        <f t="shared" si="1"/>
        <v>-2.3438866646343475</v>
      </c>
      <c r="G14" s="27">
        <f t="shared" si="2"/>
        <v>2.3025850929940459</v>
      </c>
      <c r="H14" s="27">
        <f t="shared" si="2"/>
        <v>-2.3025850929940455</v>
      </c>
      <c r="I14" s="27">
        <f t="shared" si="2"/>
        <v>-7.4730690880321973</v>
      </c>
      <c r="J14" s="27"/>
      <c r="O14" s="27"/>
      <c r="P14" s="27"/>
    </row>
    <row r="15" spans="1:16">
      <c r="A15" s="27">
        <v>4</v>
      </c>
      <c r="B15" s="27">
        <v>10</v>
      </c>
      <c r="C15" s="27">
        <v>0.1</v>
      </c>
      <c r="D15" s="27">
        <v>5.6818181818181826E-4</v>
      </c>
      <c r="E15" s="27">
        <f t="shared" si="0"/>
        <v>1.3358778625954198E-2</v>
      </c>
      <c r="F15" s="27">
        <f t="shared" si="1"/>
        <v>-2.2156197184696946</v>
      </c>
      <c r="G15" s="27">
        <f t="shared" si="2"/>
        <v>2.3025850929940459</v>
      </c>
      <c r="H15" s="27">
        <f t="shared" si="2"/>
        <v>-2.3025850929940455</v>
      </c>
      <c r="I15" s="27">
        <f t="shared" si="2"/>
        <v>-7.4730690880321973</v>
      </c>
      <c r="J15" s="27"/>
      <c r="O15" s="27"/>
      <c r="P15" s="27"/>
    </row>
    <row r="16" spans="1:16">
      <c r="A16" s="27">
        <v>5</v>
      </c>
      <c r="B16" s="27">
        <v>10</v>
      </c>
      <c r="C16" s="27">
        <v>0.1</v>
      </c>
      <c r="D16" s="27">
        <v>5.6818181818181826E-4</v>
      </c>
      <c r="E16" s="27">
        <f t="shared" si="0"/>
        <v>1.717557251908397E-2</v>
      </c>
      <c r="F16" s="27">
        <f t="shared" si="1"/>
        <v>-2.1159254910219962</v>
      </c>
      <c r="G16" s="27">
        <f t="shared" si="2"/>
        <v>2.3025850929940459</v>
      </c>
      <c r="H16" s="27">
        <f t="shared" si="2"/>
        <v>-2.3025850929940455</v>
      </c>
      <c r="I16" s="27">
        <f t="shared" si="2"/>
        <v>-7.4730690880321973</v>
      </c>
      <c r="J16" s="27"/>
      <c r="O16" s="27"/>
      <c r="P16" s="27"/>
    </row>
    <row r="17" spans="1:16">
      <c r="A17" s="27">
        <v>6</v>
      </c>
      <c r="B17" s="27">
        <v>10</v>
      </c>
      <c r="C17" s="27">
        <v>0.1</v>
      </c>
      <c r="D17" s="27">
        <v>5.6818181818181826E-4</v>
      </c>
      <c r="E17" s="27">
        <f t="shared" si="0"/>
        <v>2.0992366412213741E-2</v>
      </c>
      <c r="F17" s="27">
        <f t="shared" si="1"/>
        <v>-2.0336714474073072</v>
      </c>
      <c r="G17" s="27">
        <f t="shared" si="2"/>
        <v>2.3025850929940459</v>
      </c>
      <c r="H17" s="27">
        <f t="shared" si="2"/>
        <v>-2.3025850929940455</v>
      </c>
      <c r="I17" s="27">
        <f t="shared" si="2"/>
        <v>-7.4730690880321973</v>
      </c>
      <c r="J17" s="27"/>
      <c r="O17" s="27"/>
      <c r="P17" s="27"/>
    </row>
    <row r="18" spans="1:16">
      <c r="A18" s="27">
        <v>7</v>
      </c>
      <c r="B18" s="27">
        <v>10</v>
      </c>
      <c r="C18" s="27">
        <v>0.1</v>
      </c>
      <c r="D18" s="27">
        <v>5.6818181818181826E-4</v>
      </c>
      <c r="E18" s="27">
        <f t="shared" si="0"/>
        <v>2.4809160305343511E-2</v>
      </c>
      <c r="F18" s="27">
        <f t="shared" si="1"/>
        <v>-1.9632397668732706</v>
      </c>
      <c r="G18" s="27">
        <f t="shared" si="2"/>
        <v>2.3025850929940459</v>
      </c>
      <c r="H18" s="27">
        <f t="shared" si="2"/>
        <v>-2.3025850929940455</v>
      </c>
      <c r="I18" s="27">
        <f t="shared" si="2"/>
        <v>-7.4730690880321973</v>
      </c>
      <c r="J18" s="27"/>
      <c r="O18" s="27"/>
      <c r="P18" s="27"/>
    </row>
    <row r="19" spans="1:16">
      <c r="A19" s="27">
        <v>8</v>
      </c>
      <c r="B19" s="27">
        <v>10</v>
      </c>
      <c r="C19" s="27">
        <v>0.1</v>
      </c>
      <c r="D19" s="27">
        <v>5.6818181818181826E-4</v>
      </c>
      <c r="E19" s="27">
        <f t="shared" si="0"/>
        <v>2.8625954198473282E-2</v>
      </c>
      <c r="F19" s="27">
        <f t="shared" si="1"/>
        <v>-1.9013826653257466</v>
      </c>
      <c r="G19" s="27">
        <f t="shared" si="2"/>
        <v>2.3025850929940459</v>
      </c>
      <c r="H19" s="27">
        <f t="shared" si="2"/>
        <v>-2.3025850929940455</v>
      </c>
      <c r="I19" s="27">
        <f t="shared" si="2"/>
        <v>-7.4730690880321973</v>
      </c>
      <c r="J19" s="27"/>
      <c r="M19" s="27"/>
      <c r="N19" s="27"/>
      <c r="O19" s="27"/>
      <c r="P19" s="27"/>
    </row>
    <row r="20" spans="1:16">
      <c r="A20" s="27">
        <v>9</v>
      </c>
      <c r="B20" s="27">
        <v>10</v>
      </c>
      <c r="C20" s="27">
        <v>0.1</v>
      </c>
      <c r="D20" s="27">
        <v>5.6818181818181826E-4</v>
      </c>
      <c r="E20" s="27">
        <f t="shared" si="0"/>
        <v>3.2442748091603052E-2</v>
      </c>
      <c r="F20" s="27">
        <f t="shared" si="1"/>
        <v>-1.8460462092017935</v>
      </c>
      <c r="G20" s="27">
        <f t="shared" si="2"/>
        <v>2.3025850929940459</v>
      </c>
      <c r="H20" s="27">
        <f t="shared" si="2"/>
        <v>-2.3025850929940455</v>
      </c>
      <c r="I20" s="27">
        <f t="shared" si="2"/>
        <v>-7.4730690880321973</v>
      </c>
      <c r="J20" s="27"/>
      <c r="O20" s="27"/>
      <c r="P20" s="27"/>
    </row>
    <row r="21" spans="1:16">
      <c r="A21" s="27">
        <v>10</v>
      </c>
      <c r="B21" s="27">
        <v>10</v>
      </c>
      <c r="C21" s="27">
        <v>0.1</v>
      </c>
      <c r="D21" s="27">
        <v>5.6818181818181826E-4</v>
      </c>
      <c r="E21" s="27">
        <f t="shared" si="0"/>
        <v>3.6259541984732822E-2</v>
      </c>
      <c r="F21" s="27">
        <f t="shared" si="1"/>
        <v>-1.7958455512600473</v>
      </c>
      <c r="G21" s="27">
        <f t="shared" si="2"/>
        <v>2.3025850929940459</v>
      </c>
      <c r="H21" s="27">
        <f t="shared" si="2"/>
        <v>-2.3025850929940455</v>
      </c>
      <c r="I21" s="27">
        <f t="shared" si="2"/>
        <v>-7.4730690880321973</v>
      </c>
      <c r="J21" s="27"/>
      <c r="M21" s="27"/>
      <c r="N21" s="27"/>
      <c r="O21" s="27"/>
      <c r="P21" s="27"/>
    </row>
    <row r="22" spans="1:16">
      <c r="A22" s="27">
        <v>11</v>
      </c>
      <c r="B22" s="27">
        <v>10</v>
      </c>
      <c r="C22" s="27">
        <v>0.1</v>
      </c>
      <c r="D22" s="27">
        <v>5.6818181818181826E-4</v>
      </c>
      <c r="E22" s="27">
        <f t="shared" si="0"/>
        <v>4.0076335877862593E-2</v>
      </c>
      <c r="F22" s="27">
        <f t="shared" si="1"/>
        <v>-1.7498009207740848</v>
      </c>
      <c r="G22" s="27">
        <f t="shared" si="2"/>
        <v>2.3025850929940459</v>
      </c>
      <c r="H22" s="27">
        <f t="shared" si="2"/>
        <v>-2.3025850929940455</v>
      </c>
      <c r="I22" s="27">
        <f t="shared" si="2"/>
        <v>-7.4730690880321973</v>
      </c>
      <c r="J22" s="27"/>
      <c r="M22" s="27"/>
      <c r="N22" s="27"/>
      <c r="O22" s="27"/>
      <c r="P22" s="27"/>
    </row>
    <row r="23" spans="1:16">
      <c r="A23" s="27">
        <v>12</v>
      </c>
      <c r="B23" s="27">
        <v>10</v>
      </c>
      <c r="C23" s="27">
        <v>0.1</v>
      </c>
      <c r="D23" s="27">
        <v>5.6818181818181826E-4</v>
      </c>
      <c r="E23" s="27">
        <f t="shared" si="0"/>
        <v>4.3893129770992363E-2</v>
      </c>
      <c r="F23" s="27">
        <f t="shared" si="1"/>
        <v>-1.7071926025024666</v>
      </c>
      <c r="G23" s="27">
        <f t="shared" si="2"/>
        <v>2.3025850929940459</v>
      </c>
      <c r="H23" s="27">
        <f t="shared" si="2"/>
        <v>-2.3025850929940455</v>
      </c>
      <c r="I23" s="27">
        <f t="shared" si="2"/>
        <v>-7.4730690880321973</v>
      </c>
      <c r="J23" s="27"/>
      <c r="M23" s="27"/>
      <c r="N23" s="27"/>
      <c r="O23" s="27"/>
      <c r="P23" s="27"/>
    </row>
    <row r="24" spans="1:16">
      <c r="A24" s="27">
        <v>13</v>
      </c>
      <c r="B24" s="27">
        <v>10</v>
      </c>
      <c r="C24" s="27">
        <v>0.1</v>
      </c>
      <c r="D24" s="27">
        <v>5.6818181818181826E-4</v>
      </c>
      <c r="E24" s="27">
        <f t="shared" si="0"/>
        <v>4.7709923664122141E-2</v>
      </c>
      <c r="F24" s="27">
        <f t="shared" si="1"/>
        <v>-1.6674757254802024</v>
      </c>
      <c r="G24" s="27">
        <f t="shared" si="2"/>
        <v>2.3025850929940459</v>
      </c>
      <c r="H24" s="27">
        <f t="shared" si="2"/>
        <v>-2.3025850929940455</v>
      </c>
      <c r="I24" s="27">
        <f t="shared" si="2"/>
        <v>-7.4730690880321973</v>
      </c>
      <c r="J24" s="27"/>
      <c r="M24" s="27"/>
      <c r="N24" s="27"/>
      <c r="O24" s="27"/>
      <c r="P24" s="27"/>
    </row>
    <row r="25" spans="1:16">
      <c r="A25" s="27">
        <v>14</v>
      </c>
      <c r="B25" s="27">
        <v>10</v>
      </c>
      <c r="C25" s="27">
        <v>0.1</v>
      </c>
      <c r="D25" s="27">
        <v>5.6818181818181826E-4</v>
      </c>
      <c r="E25" s="27">
        <f t="shared" si="0"/>
        <v>5.1526717557251911E-2</v>
      </c>
      <c r="F25" s="27">
        <f t="shared" si="1"/>
        <v>-1.6302274466655646</v>
      </c>
      <c r="G25" s="27">
        <f t="shared" si="2"/>
        <v>2.3025850929940459</v>
      </c>
      <c r="H25" s="27">
        <f t="shared" si="2"/>
        <v>-2.3025850929940455</v>
      </c>
      <c r="I25" s="27">
        <f t="shared" si="2"/>
        <v>-7.4730690880321973</v>
      </c>
      <c r="J25" s="27"/>
      <c r="M25" s="27"/>
      <c r="N25" s="27"/>
      <c r="O25" s="27"/>
      <c r="P25" s="27"/>
    </row>
    <row r="26" spans="1:16">
      <c r="A26" s="27">
        <v>15</v>
      </c>
      <c r="B26" s="27">
        <v>10</v>
      </c>
      <c r="C26" s="27">
        <v>0.1</v>
      </c>
      <c r="D26" s="27">
        <v>5.6818181818181826E-4</v>
      </c>
      <c r="E26" s="27">
        <f t="shared" si="0"/>
        <v>5.5343511450381681E-2</v>
      </c>
      <c r="F26" s="27">
        <f t="shared" si="1"/>
        <v>-1.5951127585631362</v>
      </c>
      <c r="G26" s="27">
        <f t="shared" si="2"/>
        <v>2.3025850929940459</v>
      </c>
      <c r="H26" s="27">
        <f t="shared" si="2"/>
        <v>-2.3025850929940455</v>
      </c>
      <c r="I26" s="27">
        <f t="shared" si="2"/>
        <v>-7.4730690880321973</v>
      </c>
      <c r="J26" s="27"/>
      <c r="M26" s="27"/>
      <c r="N26" s="27"/>
      <c r="O26" s="27"/>
      <c r="P26" s="27"/>
    </row>
    <row r="27" spans="1:16">
      <c r="A27" s="27">
        <v>16</v>
      </c>
      <c r="B27" s="27">
        <v>10</v>
      </c>
      <c r="C27" s="27">
        <v>0.1</v>
      </c>
      <c r="D27" s="27">
        <v>5.6818181818181826E-4</v>
      </c>
      <c r="E27" s="27">
        <f t="shared" si="0"/>
        <v>5.9160305343511452E-2</v>
      </c>
      <c r="F27" s="27">
        <f t="shared" si="1"/>
        <v>-1.5618615392556825</v>
      </c>
      <c r="G27" s="27">
        <f t="shared" si="2"/>
        <v>2.3025850929940459</v>
      </c>
      <c r="H27" s="27">
        <f t="shared" si="2"/>
        <v>-2.3025850929940455</v>
      </c>
      <c r="I27" s="27">
        <f t="shared" si="2"/>
        <v>-7.4730690880321973</v>
      </c>
      <c r="J27" s="27"/>
      <c r="M27" s="27"/>
      <c r="N27" s="27"/>
      <c r="O27" s="27"/>
      <c r="P27" s="27"/>
    </row>
    <row r="28" spans="1:16">
      <c r="A28" s="27">
        <v>17</v>
      </c>
      <c r="B28" s="27">
        <v>10</v>
      </c>
      <c r="C28" s="27">
        <v>0.1</v>
      </c>
      <c r="D28" s="27">
        <v>5.6818181818181826E-4</v>
      </c>
      <c r="E28" s="27">
        <f t="shared" si="0"/>
        <v>6.2977099236641215E-2</v>
      </c>
      <c r="F28" s="27">
        <f t="shared" si="1"/>
        <v>-1.5302526710293158</v>
      </c>
      <c r="G28" s="27">
        <f t="shared" si="2"/>
        <v>2.3025850929940459</v>
      </c>
      <c r="H28" s="27">
        <f t="shared" si="2"/>
        <v>-2.3025850929940455</v>
      </c>
      <c r="I28" s="27">
        <f t="shared" si="2"/>
        <v>-7.4730690880321973</v>
      </c>
      <c r="J28" s="27"/>
      <c r="M28" s="27"/>
      <c r="N28" s="27"/>
      <c r="O28" s="27"/>
      <c r="P28" s="27"/>
    </row>
    <row r="29" spans="1:16">
      <c r="A29" s="27">
        <v>18</v>
      </c>
      <c r="B29" s="27">
        <v>10</v>
      </c>
      <c r="C29" s="27">
        <v>0.1</v>
      </c>
      <c r="D29" s="27">
        <v>5.6818181818181826E-4</v>
      </c>
      <c r="E29" s="27">
        <f t="shared" si="0"/>
        <v>6.6793893129770993E-2</v>
      </c>
      <c r="F29" s="27">
        <f t="shared" si="1"/>
        <v>-1.5001027595109515</v>
      </c>
      <c r="G29" s="27">
        <f t="shared" si="2"/>
        <v>2.3025850929940459</v>
      </c>
      <c r="H29" s="27">
        <f t="shared" si="2"/>
        <v>-2.3025850929940455</v>
      </c>
      <c r="I29" s="27">
        <f t="shared" si="2"/>
        <v>-7.4730690880321973</v>
      </c>
      <c r="J29" s="27"/>
      <c r="M29" s="27"/>
      <c r="N29" s="27"/>
      <c r="O29" s="27"/>
      <c r="P29" s="27"/>
    </row>
    <row r="30" spans="1:16">
      <c r="A30" s="27">
        <v>19</v>
      </c>
      <c r="B30" s="27">
        <v>10</v>
      </c>
      <c r="C30" s="27">
        <v>0.1</v>
      </c>
      <c r="D30" s="27">
        <v>5.6818181818181826E-4</v>
      </c>
      <c r="E30" s="27">
        <f t="shared" si="0"/>
        <v>7.061068702290077E-2</v>
      </c>
      <c r="F30" s="27">
        <f t="shared" si="1"/>
        <v>-1.4712579371990806</v>
      </c>
      <c r="G30" s="27">
        <f t="shared" si="2"/>
        <v>2.3025850929940459</v>
      </c>
      <c r="H30" s="27">
        <f t="shared" si="2"/>
        <v>-2.3025850929940455</v>
      </c>
      <c r="I30" s="27">
        <f t="shared" si="2"/>
        <v>-7.4730690880321973</v>
      </c>
      <c r="J30" s="27"/>
      <c r="M30" s="27"/>
      <c r="N30" s="27"/>
      <c r="O30" s="27"/>
      <c r="P30" s="27"/>
    </row>
    <row r="31" spans="1:16">
      <c r="A31" s="27">
        <v>20</v>
      </c>
      <c r="B31" s="27">
        <v>10</v>
      </c>
      <c r="C31" s="27">
        <v>0.1</v>
      </c>
      <c r="D31" s="27">
        <v>5.6818181818181826E-4</v>
      </c>
      <c r="E31" s="27">
        <f t="shared" si="0"/>
        <v>7.4427480916030533E-2</v>
      </c>
      <c r="F31" s="27">
        <f t="shared" si="1"/>
        <v>-1.4435877889473323</v>
      </c>
      <c r="G31" s="27">
        <f t="shared" si="2"/>
        <v>2.3025850929940459</v>
      </c>
      <c r="H31" s="27">
        <f t="shared" si="2"/>
        <v>-2.3025850929940455</v>
      </c>
      <c r="I31" s="27">
        <f t="shared" si="2"/>
        <v>-7.4730690880321973</v>
      </c>
      <c r="J31" s="27"/>
    </row>
    <row r="32" spans="1:16">
      <c r="A32" s="27">
        <v>21</v>
      </c>
      <c r="B32" s="27">
        <v>10</v>
      </c>
      <c r="C32" s="27">
        <v>0.1</v>
      </c>
      <c r="D32" s="27">
        <v>5.6818181818181826E-4</v>
      </c>
      <c r="E32" s="27">
        <f t="shared" si="0"/>
        <v>7.8244274809160311E-2</v>
      </c>
      <c r="F32" s="27">
        <f t="shared" si="1"/>
        <v>-1.4169807706927577</v>
      </c>
      <c r="G32" s="27">
        <f t="shared" si="2"/>
        <v>2.3025850929940459</v>
      </c>
      <c r="H32" s="27">
        <f t="shared" si="2"/>
        <v>-2.3025850929940455</v>
      </c>
      <c r="I32" s="27">
        <f t="shared" si="2"/>
        <v>-7.4730690880321973</v>
      </c>
      <c r="J32" s="27"/>
      <c r="M32" s="125"/>
    </row>
    <row r="33" spans="1:16">
      <c r="A33" s="27">
        <v>22</v>
      </c>
      <c r="B33" s="27">
        <v>10</v>
      </c>
      <c r="C33" s="27">
        <v>0.1</v>
      </c>
      <c r="D33" s="27">
        <v>5.6818181818181826E-4</v>
      </c>
      <c r="E33" s="27">
        <f t="shared" si="0"/>
        <v>8.2061068702290074E-2</v>
      </c>
      <c r="F33" s="27">
        <f t="shared" si="1"/>
        <v>-1.3913407002534657</v>
      </c>
      <c r="G33" s="27">
        <f t="shared" si="2"/>
        <v>2.3025850929940459</v>
      </c>
      <c r="H33" s="27">
        <f t="shared" si="2"/>
        <v>-2.3025850929940455</v>
      </c>
      <c r="I33" s="27">
        <f t="shared" si="2"/>
        <v>-7.4730690880321973</v>
      </c>
      <c r="J33" s="27"/>
    </row>
    <row r="34" spans="1:16">
      <c r="A34" s="27">
        <v>23</v>
      </c>
      <c r="B34" s="27">
        <v>10</v>
      </c>
      <c r="C34" s="27">
        <v>0.1</v>
      </c>
      <c r="D34" s="27">
        <v>5.6818181818181826E-4</v>
      </c>
      <c r="E34" s="27">
        <f t="shared" si="0"/>
        <v>8.5877862595419852E-2</v>
      </c>
      <c r="F34" s="27">
        <f t="shared" si="1"/>
        <v>-1.3665840316741558</v>
      </c>
      <c r="G34" s="27">
        <f t="shared" si="2"/>
        <v>2.3025850929940459</v>
      </c>
      <c r="H34" s="27">
        <f t="shared" si="2"/>
        <v>-2.3025850929940455</v>
      </c>
      <c r="I34" s="27">
        <f t="shared" si="2"/>
        <v>-7.4730690880321973</v>
      </c>
      <c r="J34" s="27"/>
      <c r="K34" s="27"/>
      <c r="N34" s="27"/>
      <c r="O34" s="27"/>
      <c r="P34" s="27"/>
    </row>
    <row r="35" spans="1:16">
      <c r="A35" s="27">
        <v>24</v>
      </c>
      <c r="B35" s="27">
        <v>10</v>
      </c>
      <c r="C35" s="27">
        <v>0.1</v>
      </c>
      <c r="D35" s="27">
        <v>5.6818181818181826E-4</v>
      </c>
      <c r="E35" s="27">
        <f t="shared" si="0"/>
        <v>8.9694656488549615E-2</v>
      </c>
      <c r="F35" s="27">
        <f t="shared" si="1"/>
        <v>-1.3426377114882446</v>
      </c>
      <c r="G35" s="27">
        <f t="shared" si="2"/>
        <v>2.3025850929940459</v>
      </c>
      <c r="H35" s="27">
        <f t="shared" si="2"/>
        <v>-2.3025850929940455</v>
      </c>
      <c r="I35" s="27">
        <f t="shared" si="2"/>
        <v>-7.4730690880321973</v>
      </c>
      <c r="J35" s="27"/>
      <c r="K35" s="27"/>
      <c r="N35" s="27"/>
      <c r="O35" s="27"/>
      <c r="P35" s="27"/>
    </row>
    <row r="36" spans="1:16">
      <c r="A36" s="27">
        <v>25</v>
      </c>
      <c r="B36" s="27">
        <v>10</v>
      </c>
      <c r="C36" s="27">
        <v>0.1</v>
      </c>
      <c r="D36" s="27">
        <v>5.6818181818181826E-4</v>
      </c>
      <c r="E36" s="27">
        <f t="shared" si="0"/>
        <v>9.3511450381679392E-2</v>
      </c>
      <c r="F36" s="27">
        <f t="shared" si="1"/>
        <v>-1.3194374734384275</v>
      </c>
      <c r="G36" s="27">
        <f t="shared" si="2"/>
        <v>2.3025850929940459</v>
      </c>
      <c r="H36" s="27">
        <f t="shared" si="2"/>
        <v>-2.3025850929940455</v>
      </c>
      <c r="I36" s="27">
        <f t="shared" si="2"/>
        <v>-7.4730690880321973</v>
      </c>
      <c r="J36" s="27"/>
      <c r="K36" s="27"/>
      <c r="N36" s="27"/>
      <c r="O36" s="27"/>
      <c r="P36" s="27"/>
    </row>
    <row r="37" spans="1:16">
      <c r="A37" s="27">
        <v>26</v>
      </c>
      <c r="B37" s="27">
        <v>10</v>
      </c>
      <c r="C37" s="27">
        <v>0.1</v>
      </c>
      <c r="D37" s="27">
        <v>9.6590909090909095E-4</v>
      </c>
      <c r="E37" s="27">
        <f t="shared" si="0"/>
        <v>9.7328244274809156E-2</v>
      </c>
      <c r="F37" s="27">
        <f t="shared" si="1"/>
        <v>-1.2969264679191927</v>
      </c>
      <c r="G37" s="27">
        <f t="shared" si="2"/>
        <v>2.3025850929940459</v>
      </c>
      <c r="H37" s="27">
        <f t="shared" si="2"/>
        <v>-2.3025850929940455</v>
      </c>
      <c r="I37" s="27">
        <f t="shared" si="2"/>
        <v>-6.942440836970027</v>
      </c>
      <c r="J37" s="27"/>
      <c r="K37" s="27"/>
      <c r="N37" s="27"/>
      <c r="O37" s="27"/>
      <c r="P37" s="27"/>
    </row>
    <row r="38" spans="1:16">
      <c r="A38" s="27">
        <v>27</v>
      </c>
      <c r="B38" s="27">
        <v>10</v>
      </c>
      <c r="C38" s="27">
        <v>0.1</v>
      </c>
      <c r="D38" s="27">
        <v>9.6590909090909095E-4</v>
      </c>
      <c r="E38" s="27">
        <f t="shared" si="0"/>
        <v>0.10114503816793893</v>
      </c>
      <c r="F38" s="27">
        <f t="shared" si="1"/>
        <v>-1.2750541500157357</v>
      </c>
      <c r="G38" s="27">
        <f t="shared" si="2"/>
        <v>2.3025850929940459</v>
      </c>
      <c r="H38" s="27">
        <f t="shared" si="2"/>
        <v>-2.3025850929940455</v>
      </c>
      <c r="I38" s="27">
        <f t="shared" si="2"/>
        <v>-6.942440836970027</v>
      </c>
      <c r="J38" s="27"/>
      <c r="K38" s="27"/>
      <c r="N38" s="27"/>
      <c r="O38" s="27"/>
      <c r="P38" s="27"/>
    </row>
    <row r="39" spans="1:16">
      <c r="A39" s="27">
        <v>28</v>
      </c>
      <c r="B39" s="27">
        <v>10</v>
      </c>
      <c r="C39" s="27">
        <v>0.1</v>
      </c>
      <c r="D39" s="27">
        <v>9.6590909090909095E-4</v>
      </c>
      <c r="E39" s="27">
        <f t="shared" si="0"/>
        <v>0.1049618320610687</v>
      </c>
      <c r="F39" s="27">
        <f t="shared" si="1"/>
        <v>-1.2537753695199951</v>
      </c>
      <c r="G39" s="27">
        <f t="shared" si="2"/>
        <v>2.3025850929940459</v>
      </c>
      <c r="H39" s="27">
        <f t="shared" si="2"/>
        <v>-2.3025850929940455</v>
      </c>
      <c r="I39" s="27">
        <f t="shared" si="2"/>
        <v>-6.942440836970027</v>
      </c>
      <c r="J39" s="27"/>
      <c r="K39" s="27"/>
      <c r="N39" s="27"/>
      <c r="O39" s="27"/>
      <c r="P39" s="27"/>
    </row>
    <row r="40" spans="1:16">
      <c r="A40" s="27">
        <v>29</v>
      </c>
      <c r="B40" s="27">
        <v>10</v>
      </c>
      <c r="C40" s="27">
        <v>0.1</v>
      </c>
      <c r="D40" s="27">
        <v>9.6590909090909095E-4</v>
      </c>
      <c r="E40" s="27">
        <f t="shared" si="0"/>
        <v>0.10877862595419847</v>
      </c>
      <c r="F40" s="27">
        <f t="shared" si="1"/>
        <v>-1.2330496202910932</v>
      </c>
      <c r="G40" s="27">
        <f t="shared" si="2"/>
        <v>2.3025850929940459</v>
      </c>
      <c r="H40" s="27">
        <f t="shared" si="2"/>
        <v>-2.3025850929940455</v>
      </c>
      <c r="I40" s="27">
        <f t="shared" si="2"/>
        <v>-6.942440836970027</v>
      </c>
      <c r="J40" s="27"/>
      <c r="K40" s="27"/>
      <c r="N40" s="27"/>
      <c r="O40" s="27"/>
      <c r="P40" s="27"/>
    </row>
    <row r="41" spans="1:16">
      <c r="A41" s="27">
        <v>30</v>
      </c>
      <c r="B41" s="27">
        <v>13</v>
      </c>
      <c r="C41" s="27">
        <v>0.1</v>
      </c>
      <c r="D41" s="27">
        <v>9.6590909090909095E-4</v>
      </c>
      <c r="E41" s="27">
        <f t="shared" si="0"/>
        <v>0.11259541984732824</v>
      </c>
      <c r="F41" s="27">
        <f t="shared" si="1"/>
        <v>-1.2128404164935702</v>
      </c>
      <c r="G41" s="27">
        <f t="shared" si="2"/>
        <v>2.5649493574615367</v>
      </c>
      <c r="H41" s="27">
        <f t="shared" si="2"/>
        <v>-2.3025850929940455</v>
      </c>
      <c r="I41" s="27">
        <f t="shared" si="2"/>
        <v>-6.942440836970027</v>
      </c>
      <c r="J41" s="27"/>
      <c r="K41" s="27"/>
      <c r="N41" s="27"/>
      <c r="O41" s="27"/>
      <c r="P41" s="27"/>
    </row>
    <row r="42" spans="1:16">
      <c r="A42" s="27">
        <v>31</v>
      </c>
      <c r="B42" s="27">
        <v>13</v>
      </c>
      <c r="C42" s="27">
        <v>0.1</v>
      </c>
      <c r="D42" s="27">
        <v>1.1363636363636365E-3</v>
      </c>
      <c r="E42" s="27">
        <f t="shared" si="0"/>
        <v>0.11641221374045801</v>
      </c>
      <c r="F42" s="27">
        <f t="shared" si="1"/>
        <v>-1.1931147707289882</v>
      </c>
      <c r="G42" s="27">
        <f t="shared" si="2"/>
        <v>2.5649493574615367</v>
      </c>
      <c r="H42" s="27">
        <f t="shared" si="2"/>
        <v>-2.3025850929940455</v>
      </c>
      <c r="I42" s="27">
        <f t="shared" si="2"/>
        <v>-6.7799219074722519</v>
      </c>
      <c r="J42" s="27"/>
      <c r="K42" s="27"/>
      <c r="N42" s="27"/>
      <c r="O42" s="27"/>
      <c r="P42" s="27"/>
    </row>
    <row r="43" spans="1:16">
      <c r="A43" s="27">
        <v>32</v>
      </c>
      <c r="B43" s="27">
        <v>13</v>
      </c>
      <c r="C43" s="27">
        <v>0.1</v>
      </c>
      <c r="D43" s="27">
        <v>1.1363636363636365E-3</v>
      </c>
      <c r="E43" s="27">
        <f t="shared" si="0"/>
        <v>0.12022900763358779</v>
      </c>
      <c r="F43" s="27">
        <f t="shared" si="1"/>
        <v>-1.1738427546475656</v>
      </c>
      <c r="G43" s="27">
        <f t="shared" si="2"/>
        <v>2.5649493574615367</v>
      </c>
      <c r="H43" s="27">
        <f t="shared" si="2"/>
        <v>-2.3025850929940455</v>
      </c>
      <c r="I43" s="27">
        <f t="shared" si="2"/>
        <v>-6.7799219074722519</v>
      </c>
      <c r="J43" s="27"/>
      <c r="K43" s="27"/>
      <c r="N43" s="27"/>
      <c r="O43" s="27"/>
      <c r="P43" s="27"/>
    </row>
    <row r="44" spans="1:16">
      <c r="A44" s="27">
        <v>33</v>
      </c>
      <c r="B44" s="27">
        <v>17</v>
      </c>
      <c r="C44" s="27">
        <v>0.1</v>
      </c>
      <c r="D44" s="27">
        <v>1.1363636363636365E-3</v>
      </c>
      <c r="E44" s="27">
        <f t="shared" si="0"/>
        <v>0.12404580152671756</v>
      </c>
      <c r="F44" s="27">
        <f t="shared" si="1"/>
        <v>-1.1549971268193044</v>
      </c>
      <c r="G44" s="27">
        <f t="shared" si="2"/>
        <v>2.8332133440562162</v>
      </c>
      <c r="H44" s="27">
        <f t="shared" si="2"/>
        <v>-2.3025850929940455</v>
      </c>
      <c r="I44" s="27">
        <f t="shared" si="2"/>
        <v>-6.7799219074722519</v>
      </c>
      <c r="J44" s="27"/>
      <c r="K44" s="27"/>
      <c r="N44" s="27"/>
      <c r="O44" s="27"/>
      <c r="P44" s="27"/>
    </row>
    <row r="45" spans="1:16">
      <c r="A45" s="27">
        <v>34</v>
      </c>
      <c r="B45" s="27">
        <v>17</v>
      </c>
      <c r="C45" s="27">
        <v>0.1</v>
      </c>
      <c r="D45" s="27">
        <v>1.1363636363636365E-3</v>
      </c>
      <c r="E45" s="27">
        <f t="shared" si="0"/>
        <v>0.12786259541984732</v>
      </c>
      <c r="F45" s="27">
        <f t="shared" si="1"/>
        <v>-1.136553015831067</v>
      </c>
      <c r="G45" s="27">
        <f t="shared" si="2"/>
        <v>2.8332133440562162</v>
      </c>
      <c r="H45" s="27">
        <f t="shared" si="2"/>
        <v>-2.3025850929940455</v>
      </c>
      <c r="I45" s="27">
        <f t="shared" si="2"/>
        <v>-6.7799219074722519</v>
      </c>
      <c r="J45" s="27"/>
      <c r="K45" s="27"/>
      <c r="N45" s="27"/>
      <c r="O45" s="27"/>
      <c r="P45" s="27"/>
    </row>
    <row r="46" spans="1:16">
      <c r="A46" s="27">
        <v>35</v>
      </c>
      <c r="B46" s="27">
        <v>17</v>
      </c>
      <c r="C46" s="27">
        <v>0.1</v>
      </c>
      <c r="D46" s="27">
        <v>1.1363636363636365E-3</v>
      </c>
      <c r="E46" s="27">
        <f t="shared" si="0"/>
        <v>0.1316793893129771</v>
      </c>
      <c r="F46" s="27">
        <f t="shared" si="1"/>
        <v>-1.1184876490213236</v>
      </c>
      <c r="G46" s="27">
        <f t="shared" si="2"/>
        <v>2.8332133440562162</v>
      </c>
      <c r="H46" s="27">
        <f t="shared" si="2"/>
        <v>-2.3025850929940455</v>
      </c>
      <c r="I46" s="27">
        <f t="shared" si="2"/>
        <v>-6.7799219074722519</v>
      </c>
      <c r="J46" s="27"/>
      <c r="K46" s="27"/>
      <c r="N46" s="27"/>
      <c r="O46" s="27"/>
      <c r="P46" s="27"/>
    </row>
    <row r="47" spans="1:16">
      <c r="A47" s="27">
        <v>36</v>
      </c>
      <c r="B47" s="27">
        <v>17</v>
      </c>
      <c r="C47" s="27">
        <v>0.1</v>
      </c>
      <c r="D47" s="27">
        <v>1.1363636363636365E-3</v>
      </c>
      <c r="E47" s="27">
        <f t="shared" si="0"/>
        <v>0.13549618320610687</v>
      </c>
      <c r="F47" s="27">
        <f t="shared" si="1"/>
        <v>-1.1007801191566395</v>
      </c>
      <c r="G47" s="27">
        <f t="shared" si="2"/>
        <v>2.8332133440562162</v>
      </c>
      <c r="H47" s="27">
        <f t="shared" si="2"/>
        <v>-2.3025850929940455</v>
      </c>
      <c r="I47" s="27">
        <f t="shared" si="2"/>
        <v>-6.7799219074722519</v>
      </c>
      <c r="J47" s="27"/>
      <c r="K47" s="27"/>
      <c r="N47" s="27"/>
      <c r="O47" s="27"/>
      <c r="P47" s="27"/>
    </row>
    <row r="48" spans="1:16">
      <c r="A48" s="27">
        <v>37</v>
      </c>
      <c r="B48" s="27">
        <v>17</v>
      </c>
      <c r="C48" s="27">
        <v>0.1</v>
      </c>
      <c r="D48" s="27">
        <v>1.4204545454545455E-3</v>
      </c>
      <c r="E48" s="27">
        <f t="shared" si="0"/>
        <v>0.13931297709923665</v>
      </c>
      <c r="F48" s="27">
        <f t="shared" si="1"/>
        <v>-1.0834111828304476</v>
      </c>
      <c r="G48" s="27">
        <f t="shared" si="2"/>
        <v>2.8332133440562162</v>
      </c>
      <c r="H48" s="27">
        <f t="shared" si="2"/>
        <v>-2.3025850929940455</v>
      </c>
      <c r="I48" s="27">
        <f t="shared" si="2"/>
        <v>-6.5567783561580422</v>
      </c>
      <c r="J48" s="27"/>
      <c r="K48" s="27"/>
      <c r="N48" s="27"/>
      <c r="O48" s="27"/>
      <c r="P48" s="27"/>
    </row>
    <row r="49" spans="1:16">
      <c r="A49" s="27">
        <v>38</v>
      </c>
      <c r="B49" s="27">
        <v>17</v>
      </c>
      <c r="C49" s="27">
        <v>0.1</v>
      </c>
      <c r="D49" s="27">
        <v>1.4772727272727272E-3</v>
      </c>
      <c r="E49" s="27">
        <f t="shared" si="0"/>
        <v>0.1431297709923664</v>
      </c>
      <c r="F49" s="27">
        <f t="shared" si="1"/>
        <v>-1.06636308552545</v>
      </c>
      <c r="G49" s="27">
        <f t="shared" si="2"/>
        <v>2.8332133440562162</v>
      </c>
      <c r="H49" s="27">
        <f t="shared" si="2"/>
        <v>-2.3025850929940455</v>
      </c>
      <c r="I49" s="27">
        <f t="shared" si="2"/>
        <v>-6.5175576430047615</v>
      </c>
      <c r="J49" s="27"/>
      <c r="K49" s="27"/>
      <c r="N49" s="27"/>
      <c r="O49" s="27"/>
      <c r="P49" s="27"/>
    </row>
    <row r="50" spans="1:16">
      <c r="A50" s="27">
        <v>39</v>
      </c>
      <c r="B50" s="27">
        <v>17</v>
      </c>
      <c r="C50" s="27">
        <v>0.1</v>
      </c>
      <c r="D50" s="27">
        <v>1.7045454545454545E-3</v>
      </c>
      <c r="E50" s="27">
        <f t="shared" si="0"/>
        <v>0.14694656488549618</v>
      </c>
      <c r="F50" s="27">
        <f t="shared" si="1"/>
        <v>-1.0496194092001805</v>
      </c>
      <c r="G50" s="27">
        <f t="shared" si="2"/>
        <v>2.8332133440562162</v>
      </c>
      <c r="H50" s="27">
        <f t="shared" si="2"/>
        <v>-2.3025850929940455</v>
      </c>
      <c r="I50" s="27">
        <f t="shared" si="2"/>
        <v>-6.3744567993640882</v>
      </c>
      <c r="J50" s="27"/>
      <c r="K50" s="27"/>
      <c r="N50" s="27"/>
      <c r="O50" s="27"/>
      <c r="P50" s="27"/>
    </row>
    <row r="51" spans="1:16">
      <c r="A51" s="27">
        <v>40</v>
      </c>
      <c r="B51" s="27">
        <v>17</v>
      </c>
      <c r="C51" s="27">
        <v>0.1</v>
      </c>
      <c r="D51" s="27">
        <v>1.7045454545454545E-3</v>
      </c>
      <c r="E51" s="27">
        <f t="shared" si="0"/>
        <v>0.15076335877862596</v>
      </c>
      <c r="F51" s="27">
        <f t="shared" si="1"/>
        <v>-1.0331649389930071</v>
      </c>
      <c r="G51" s="27">
        <f t="shared" si="2"/>
        <v>2.8332133440562162</v>
      </c>
      <c r="H51" s="27">
        <f t="shared" si="2"/>
        <v>-2.3025850929940455</v>
      </c>
      <c r="I51" s="27">
        <f t="shared" si="2"/>
        <v>-6.3744567993640882</v>
      </c>
      <c r="J51" s="27"/>
      <c r="K51" s="27"/>
      <c r="N51" s="27"/>
      <c r="O51" s="27"/>
      <c r="P51" s="27"/>
    </row>
    <row r="52" spans="1:16">
      <c r="A52" s="27">
        <v>41</v>
      </c>
      <c r="B52" s="27">
        <v>17</v>
      </c>
      <c r="C52" s="27">
        <v>0.1</v>
      </c>
      <c r="D52" s="27">
        <v>1.8749999999999999E-3</v>
      </c>
      <c r="E52" s="27">
        <f t="shared" si="0"/>
        <v>0.15458015267175573</v>
      </c>
      <c r="F52" s="27">
        <f t="shared" si="1"/>
        <v>-1.0169855462247854</v>
      </c>
      <c r="G52" s="27">
        <f t="shared" si="2"/>
        <v>2.8332133440562162</v>
      </c>
      <c r="H52" s="27">
        <f t="shared" si="2"/>
        <v>-2.3025850929940455</v>
      </c>
      <c r="I52" s="27">
        <f t="shared" si="2"/>
        <v>-6.2791466195597634</v>
      </c>
      <c r="J52" s="27"/>
      <c r="K52" s="27"/>
      <c r="N52" s="27"/>
      <c r="O52" s="27"/>
      <c r="P52" s="27"/>
    </row>
    <row r="53" spans="1:16">
      <c r="A53" s="27">
        <v>42</v>
      </c>
      <c r="B53" s="27">
        <v>17</v>
      </c>
      <c r="C53" s="27">
        <v>0.1</v>
      </c>
      <c r="D53" s="27">
        <v>2.2727272727272731E-3</v>
      </c>
      <c r="E53" s="27">
        <f t="shared" si="0"/>
        <v>0.15839694656488548</v>
      </c>
      <c r="F53" s="27">
        <f t="shared" si="1"/>
        <v>-1.0010680853558858</v>
      </c>
      <c r="G53" s="27">
        <f t="shared" si="2"/>
        <v>2.8332133440562162</v>
      </c>
      <c r="H53" s="27">
        <f t="shared" si="2"/>
        <v>-2.3025850929940455</v>
      </c>
      <c r="I53" s="27">
        <f t="shared" si="2"/>
        <v>-6.0867747269123065</v>
      </c>
      <c r="J53" s="27"/>
    </row>
    <row r="54" spans="1:16">
      <c r="A54" s="27">
        <v>43</v>
      </c>
      <c r="B54" s="27">
        <v>17</v>
      </c>
      <c r="C54" s="27">
        <v>0.1</v>
      </c>
      <c r="D54" s="27">
        <v>2.840909090909091E-3</v>
      </c>
      <c r="E54" s="27">
        <f t="shared" si="0"/>
        <v>0.16221374045801526</v>
      </c>
      <c r="F54" s="27">
        <f t="shared" si="1"/>
        <v>-0.9854003029385211</v>
      </c>
      <c r="G54" s="27">
        <f t="shared" si="2"/>
        <v>2.8332133440562162</v>
      </c>
      <c r="H54" s="27">
        <f t="shared" si="2"/>
        <v>-2.3025850929940455</v>
      </c>
      <c r="I54" s="27">
        <f t="shared" si="2"/>
        <v>-5.8636311755980968</v>
      </c>
      <c r="J54" s="27"/>
    </row>
    <row r="55" spans="1:16">
      <c r="A55" s="27">
        <v>44</v>
      </c>
      <c r="B55" s="27">
        <v>17</v>
      </c>
      <c r="C55" s="27">
        <v>0.2</v>
      </c>
      <c r="D55" s="27">
        <v>2.840909090909091E-3</v>
      </c>
      <c r="E55" s="27">
        <f t="shared" si="0"/>
        <v>0.16603053435114504</v>
      </c>
      <c r="F55" s="27">
        <f t="shared" si="1"/>
        <v>-0.96997075691972645</v>
      </c>
      <c r="G55" s="27">
        <f t="shared" si="2"/>
        <v>2.8332133440562162</v>
      </c>
      <c r="H55" s="27">
        <f t="shared" si="2"/>
        <v>-1.6094379124341003</v>
      </c>
      <c r="I55" s="27">
        <f t="shared" si="2"/>
        <v>-5.8636311755980968</v>
      </c>
      <c r="J55" s="27"/>
    </row>
    <row r="56" spans="1:16">
      <c r="A56" s="27">
        <v>45</v>
      </c>
      <c r="B56" s="27">
        <v>20</v>
      </c>
      <c r="C56" s="27">
        <v>0.2</v>
      </c>
      <c r="D56" s="27">
        <v>2.8977272727272727E-3</v>
      </c>
      <c r="E56" s="27">
        <f t="shared" si="0"/>
        <v>0.16984732824427481</v>
      </c>
      <c r="F56" s="27">
        <f t="shared" si="1"/>
        <v>-0.95476874490815455</v>
      </c>
      <c r="G56" s="27">
        <f t="shared" si="2"/>
        <v>2.9957322735539909</v>
      </c>
      <c r="H56" s="27">
        <f t="shared" si="2"/>
        <v>-1.6094379124341003</v>
      </c>
      <c r="I56" s="27">
        <f t="shared" si="2"/>
        <v>-5.843828548301917</v>
      </c>
      <c r="J56" s="27"/>
    </row>
    <row r="57" spans="1:16">
      <c r="A57" s="27">
        <v>46</v>
      </c>
      <c r="B57" s="27">
        <v>20</v>
      </c>
      <c r="C57" s="27">
        <v>0.2</v>
      </c>
      <c r="D57" s="27">
        <v>3.4090909090909089E-3</v>
      </c>
      <c r="E57" s="27">
        <f t="shared" si="0"/>
        <v>0.17366412213740459</v>
      </c>
      <c r="F57" s="27">
        <f t="shared" si="1"/>
        <v>-0.93978424023057883</v>
      </c>
      <c r="G57" s="27">
        <f t="shared" si="2"/>
        <v>2.9957322735539909</v>
      </c>
      <c r="H57" s="27">
        <f t="shared" si="2"/>
        <v>-1.6094379124341003</v>
      </c>
      <c r="I57" s="27">
        <f t="shared" si="2"/>
        <v>-5.6813096188041428</v>
      </c>
      <c r="J57" s="27"/>
    </row>
    <row r="58" spans="1:16">
      <c r="A58" s="27">
        <v>47</v>
      </c>
      <c r="B58" s="27">
        <v>20</v>
      </c>
      <c r="C58" s="27">
        <v>0.2</v>
      </c>
      <c r="D58" s="27">
        <v>3.4090909090909089E-3</v>
      </c>
      <c r="E58" s="27">
        <f t="shared" si="0"/>
        <v>0.17748091603053434</v>
      </c>
      <c r="F58" s="27">
        <f t="shared" si="1"/>
        <v>-0.92500783477998239</v>
      </c>
      <c r="G58" s="27">
        <f t="shared" si="2"/>
        <v>2.9957322735539909</v>
      </c>
      <c r="H58" s="27">
        <f t="shared" si="2"/>
        <v>-1.6094379124341003</v>
      </c>
      <c r="I58" s="27">
        <f t="shared" si="2"/>
        <v>-5.6813096188041428</v>
      </c>
      <c r="J58" s="27"/>
    </row>
    <row r="59" spans="1:16">
      <c r="A59" s="27">
        <v>48</v>
      </c>
      <c r="B59" s="27">
        <v>20</v>
      </c>
      <c r="C59" s="27">
        <v>0.25</v>
      </c>
      <c r="D59" s="27">
        <v>3.4090909090909089E-3</v>
      </c>
      <c r="E59" s="27">
        <f t="shared" si="0"/>
        <v>0.18129770992366412</v>
      </c>
      <c r="F59" s="27">
        <f t="shared" si="1"/>
        <v>-0.91043068780363967</v>
      </c>
      <c r="G59" s="27">
        <f t="shared" si="2"/>
        <v>2.9957322735539909</v>
      </c>
      <c r="H59" s="27">
        <f t="shared" si="2"/>
        <v>-1.3862943611198906</v>
      </c>
      <c r="I59" s="27">
        <f t="shared" si="2"/>
        <v>-5.6813096188041428</v>
      </c>
      <c r="J59" s="27"/>
    </row>
    <row r="60" spans="1:16">
      <c r="A60" s="27">
        <v>49</v>
      </c>
      <c r="B60" s="27">
        <v>20</v>
      </c>
      <c r="C60" s="27">
        <v>0.3</v>
      </c>
      <c r="D60" s="27">
        <v>4.8295454545454544E-3</v>
      </c>
      <c r="E60" s="27">
        <f t="shared" si="0"/>
        <v>0.1851145038167939</v>
      </c>
      <c r="F60" s="27">
        <f t="shared" si="1"/>
        <v>-0.89604447990194602</v>
      </c>
      <c r="G60" s="27">
        <f t="shared" si="2"/>
        <v>2.9957322735539909</v>
      </c>
      <c r="H60" s="27">
        <f t="shared" si="2"/>
        <v>-1.2039728043259361</v>
      </c>
      <c r="I60" s="27">
        <f t="shared" si="2"/>
        <v>-5.3330029245359265</v>
      </c>
      <c r="J60" s="27"/>
    </row>
    <row r="61" spans="1:16">
      <c r="A61" s="27">
        <v>50</v>
      </c>
      <c r="B61" s="27">
        <v>20</v>
      </c>
      <c r="C61" s="27">
        <v>0.3</v>
      </c>
      <c r="D61" s="27">
        <v>5.2272727272727271E-3</v>
      </c>
      <c r="E61" s="27">
        <f t="shared" si="0"/>
        <v>0.18893129770992367</v>
      </c>
      <c r="F61" s="27">
        <f t="shared" si="1"/>
        <v>-0.88184137161139053</v>
      </c>
      <c r="G61" s="27">
        <f t="shared" si="2"/>
        <v>2.9957322735539909</v>
      </c>
      <c r="H61" s="27">
        <f t="shared" si="2"/>
        <v>-1.2039728043259361</v>
      </c>
      <c r="I61" s="27">
        <f t="shared" si="2"/>
        <v>-5.2538656039772027</v>
      </c>
      <c r="J61" s="27"/>
    </row>
    <row r="62" spans="1:16">
      <c r="A62" s="27">
        <v>51</v>
      </c>
      <c r="B62" s="27">
        <v>20</v>
      </c>
      <c r="C62" s="27">
        <v>0.3</v>
      </c>
      <c r="D62" s="27">
        <v>5.681818181818182E-3</v>
      </c>
      <c r="E62" s="27">
        <f t="shared" si="0"/>
        <v>0.19274809160305342</v>
      </c>
      <c r="F62" s="27">
        <f t="shared" si="1"/>
        <v>-0.86781396603145955</v>
      </c>
      <c r="G62" s="27">
        <f t="shared" si="2"/>
        <v>2.9957322735539909</v>
      </c>
      <c r="H62" s="27">
        <f t="shared" si="2"/>
        <v>-1.2039728043259361</v>
      </c>
      <c r="I62" s="27">
        <f t="shared" si="2"/>
        <v>-5.1704839950381514</v>
      </c>
      <c r="J62" s="27"/>
    </row>
    <row r="63" spans="1:16">
      <c r="A63" s="27">
        <v>52</v>
      </c>
      <c r="B63" s="27">
        <v>20</v>
      </c>
      <c r="C63" s="27">
        <v>0.3</v>
      </c>
      <c r="D63" s="27">
        <v>5.681818181818182E-3</v>
      </c>
      <c r="E63" s="27">
        <f t="shared" si="0"/>
        <v>0.1965648854961832</v>
      </c>
      <c r="F63" s="27">
        <f t="shared" si="1"/>
        <v>-0.85395527502834434</v>
      </c>
      <c r="G63" s="27">
        <f t="shared" si="2"/>
        <v>2.9957322735539909</v>
      </c>
      <c r="H63" s="27">
        <f t="shared" si="2"/>
        <v>-1.2039728043259361</v>
      </c>
      <c r="I63" s="27">
        <f t="shared" si="2"/>
        <v>-5.1704839950381514</v>
      </c>
      <c r="J63" s="27"/>
    </row>
    <row r="64" spans="1:16">
      <c r="A64" s="27">
        <v>53</v>
      </c>
      <c r="B64" s="27">
        <v>20</v>
      </c>
      <c r="C64" s="27">
        <v>0.3</v>
      </c>
      <c r="D64" s="27">
        <v>5.681818181818182E-3</v>
      </c>
      <c r="E64" s="27">
        <f t="shared" si="0"/>
        <v>0.20038167938931298</v>
      </c>
      <c r="F64" s="27">
        <f t="shared" si="1"/>
        <v>-0.84025868861020625</v>
      </c>
      <c r="G64" s="27">
        <f t="shared" si="2"/>
        <v>2.9957322735539909</v>
      </c>
      <c r="H64" s="27">
        <f t="shared" si="2"/>
        <v>-1.2039728043259361</v>
      </c>
      <c r="I64" s="27">
        <f t="shared" si="2"/>
        <v>-5.1704839950381514</v>
      </c>
      <c r="J64" s="27"/>
    </row>
    <row r="65" spans="1:10">
      <c r="A65" s="27">
        <v>54</v>
      </c>
      <c r="B65" s="27">
        <v>20</v>
      </c>
      <c r="C65" s="27">
        <v>0.3</v>
      </c>
      <c r="D65" s="27">
        <v>5.681818181818182E-3</v>
      </c>
      <c r="E65" s="27">
        <f t="shared" si="0"/>
        <v>0.20419847328244276</v>
      </c>
      <c r="F65" s="27">
        <f t="shared" si="1"/>
        <v>-0.82671794712148672</v>
      </c>
      <c r="G65" s="27">
        <f t="shared" si="2"/>
        <v>2.9957322735539909</v>
      </c>
      <c r="H65" s="27">
        <f t="shared" si="2"/>
        <v>-1.2039728043259361</v>
      </c>
      <c r="I65" s="27">
        <f t="shared" si="2"/>
        <v>-5.1704839950381514</v>
      </c>
      <c r="J65" s="27"/>
    </row>
    <row r="66" spans="1:10">
      <c r="A66" s="27">
        <v>55</v>
      </c>
      <c r="B66" s="27">
        <v>20</v>
      </c>
      <c r="C66" s="27">
        <v>0.3</v>
      </c>
      <c r="D66" s="27">
        <v>5.681818181818182E-3</v>
      </c>
      <c r="E66" s="27">
        <f t="shared" si="0"/>
        <v>0.20801526717557253</v>
      </c>
      <c r="F66" s="27">
        <f t="shared" si="1"/>
        <v>-0.81332711594875995</v>
      </c>
      <c r="G66" s="27">
        <f t="shared" si="2"/>
        <v>2.9957322735539909</v>
      </c>
      <c r="H66" s="27">
        <f t="shared" si="2"/>
        <v>-1.2039728043259361</v>
      </c>
      <c r="I66" s="27">
        <f t="shared" si="2"/>
        <v>-5.1704839950381514</v>
      </c>
      <c r="J66" s="27"/>
    </row>
    <row r="67" spans="1:10">
      <c r="A67" s="27">
        <v>56</v>
      </c>
      <c r="B67" s="27">
        <v>20</v>
      </c>
      <c r="C67" s="27">
        <v>0.3</v>
      </c>
      <c r="D67" s="27">
        <v>5.681818181818182E-3</v>
      </c>
      <c r="E67" s="27">
        <f t="shared" si="0"/>
        <v>0.21183206106870228</v>
      </c>
      <c r="F67" s="27">
        <f t="shared" si="1"/>
        <v>-0.80008056246913806</v>
      </c>
      <c r="G67" s="27">
        <f t="shared" si="2"/>
        <v>2.9957322735539909</v>
      </c>
      <c r="H67" s="27">
        <f t="shared" si="2"/>
        <v>-1.2039728043259361</v>
      </c>
      <c r="I67" s="27">
        <f t="shared" si="2"/>
        <v>-5.1704839950381514</v>
      </c>
      <c r="J67" s="27"/>
    </row>
    <row r="68" spans="1:10">
      <c r="A68" s="27">
        <v>57</v>
      </c>
      <c r="B68" s="27">
        <v>20</v>
      </c>
      <c r="C68" s="27">
        <v>0.3</v>
      </c>
      <c r="D68" s="27">
        <v>5.681818181818182E-3</v>
      </c>
      <c r="E68" s="27">
        <f t="shared" si="0"/>
        <v>0.21564885496183206</v>
      </c>
      <c r="F68" s="27">
        <f t="shared" si="1"/>
        <v>-0.78697293500536358</v>
      </c>
      <c r="G68" s="27">
        <f t="shared" si="2"/>
        <v>2.9957322735539909</v>
      </c>
      <c r="H68" s="27">
        <f t="shared" si="2"/>
        <v>-1.2039728043259361</v>
      </c>
      <c r="I68" s="27">
        <f t="shared" si="2"/>
        <v>-5.1704839950381514</v>
      </c>
      <c r="J68" s="27"/>
    </row>
    <row r="69" spans="1:10">
      <c r="A69" s="27">
        <v>58</v>
      </c>
      <c r="B69" s="27">
        <v>20</v>
      </c>
      <c r="C69" s="27">
        <v>0.3</v>
      </c>
      <c r="D69" s="27">
        <v>7.102272727272727E-3</v>
      </c>
      <c r="E69" s="27">
        <f t="shared" si="0"/>
        <v>0.21946564885496184</v>
      </c>
      <c r="F69" s="27">
        <f t="shared" si="1"/>
        <v>-0.7739991435802196</v>
      </c>
      <c r="G69" s="27">
        <f t="shared" si="2"/>
        <v>2.9957322735539909</v>
      </c>
      <c r="H69" s="27">
        <f t="shared" si="2"/>
        <v>-1.2039728043259361</v>
      </c>
      <c r="I69" s="27">
        <f t="shared" si="2"/>
        <v>-4.9473404437239417</v>
      </c>
      <c r="J69" s="27"/>
    </row>
    <row r="70" spans="1:10">
      <c r="A70" s="27">
        <v>59</v>
      </c>
      <c r="B70" s="27">
        <v>20</v>
      </c>
      <c r="C70" s="27">
        <v>0.3</v>
      </c>
      <c r="D70" s="27">
        <v>7.3863636363636362E-3</v>
      </c>
      <c r="E70" s="27">
        <f t="shared" si="0"/>
        <v>0.22328244274809161</v>
      </c>
      <c r="F70" s="27">
        <f t="shared" si="1"/>
        <v>-0.76115434228754864</v>
      </c>
      <c r="G70" s="27">
        <f t="shared" si="2"/>
        <v>2.9957322735539909</v>
      </c>
      <c r="H70" s="27">
        <f t="shared" si="2"/>
        <v>-1.2039728043259361</v>
      </c>
      <c r="I70" s="27">
        <f t="shared" si="2"/>
        <v>-4.908119730570661</v>
      </c>
      <c r="J70" s="27"/>
    </row>
    <row r="71" spans="1:10">
      <c r="A71" s="27">
        <v>60</v>
      </c>
      <c r="B71" s="27">
        <v>20</v>
      </c>
      <c r="C71" s="27">
        <v>0.4</v>
      </c>
      <c r="D71" s="27">
        <v>8.5227272727272721E-3</v>
      </c>
      <c r="E71" s="27">
        <f t="shared" si="0"/>
        <v>0.22709923664122136</v>
      </c>
      <c r="F71" s="27">
        <f t="shared" si="1"/>
        <v>-0.74843391311848129</v>
      </c>
      <c r="G71" s="27">
        <f t="shared" si="2"/>
        <v>2.9957322735539909</v>
      </c>
      <c r="H71" s="27">
        <f t="shared" si="2"/>
        <v>-0.916290731874155</v>
      </c>
      <c r="I71" s="27">
        <f t="shared" si="2"/>
        <v>-4.7650188869299877</v>
      </c>
      <c r="J71" s="27"/>
    </row>
    <row r="72" spans="1:10">
      <c r="A72" s="27">
        <v>61</v>
      </c>
      <c r="B72" s="27">
        <v>20</v>
      </c>
      <c r="C72" s="27">
        <v>0.4</v>
      </c>
      <c r="D72" s="27">
        <v>8.5227272727272721E-3</v>
      </c>
      <c r="E72" s="27">
        <f t="shared" si="0"/>
        <v>0.23091603053435114</v>
      </c>
      <c r="F72" s="27">
        <f t="shared" si="1"/>
        <v>-0.7358334511000415</v>
      </c>
      <c r="G72" s="27">
        <f t="shared" si="2"/>
        <v>2.9957322735539909</v>
      </c>
      <c r="H72" s="27">
        <f t="shared" si="2"/>
        <v>-0.916290731874155</v>
      </c>
      <c r="I72" s="27">
        <f t="shared" si="2"/>
        <v>-4.7650188869299877</v>
      </c>
      <c r="J72" s="27"/>
    </row>
    <row r="73" spans="1:10">
      <c r="A73" s="27">
        <v>62</v>
      </c>
      <c r="B73" s="27">
        <v>20</v>
      </c>
      <c r="C73" s="27">
        <v>0.4</v>
      </c>
      <c r="D73" s="27">
        <v>8.5227272727272721E-3</v>
      </c>
      <c r="E73" s="27">
        <f t="shared" si="0"/>
        <v>0.23473282442748092</v>
      </c>
      <c r="F73" s="27">
        <f t="shared" si="1"/>
        <v>-0.72334875061938442</v>
      </c>
      <c r="G73" s="27">
        <f t="shared" si="2"/>
        <v>2.9957322735539909</v>
      </c>
      <c r="H73" s="27">
        <f t="shared" si="2"/>
        <v>-0.916290731874155</v>
      </c>
      <c r="I73" s="27">
        <f t="shared" si="2"/>
        <v>-4.7650188869299877</v>
      </c>
      <c r="J73" s="27"/>
    </row>
    <row r="74" spans="1:10">
      <c r="A74" s="27">
        <v>63</v>
      </c>
      <c r="B74" s="27">
        <v>20</v>
      </c>
      <c r="C74" s="27">
        <v>0.4</v>
      </c>
      <c r="D74" s="27">
        <v>9.3749999999999997E-3</v>
      </c>
      <c r="E74" s="27">
        <f t="shared" si="0"/>
        <v>0.2385496183206107</v>
      </c>
      <c r="F74" s="27">
        <f t="shared" si="1"/>
        <v>-0.7109757928210424</v>
      </c>
      <c r="G74" s="27">
        <f t="shared" si="2"/>
        <v>2.9957322735539909</v>
      </c>
      <c r="H74" s="27">
        <f t="shared" si="2"/>
        <v>-0.916290731874155</v>
      </c>
      <c r="I74" s="27">
        <f t="shared" si="2"/>
        <v>-4.6697087071256629</v>
      </c>
      <c r="J74" s="27"/>
    </row>
    <row r="75" spans="1:10">
      <c r="A75" s="27">
        <v>64</v>
      </c>
      <c r="B75" s="27">
        <v>20</v>
      </c>
      <c r="C75" s="27">
        <v>0.44</v>
      </c>
      <c r="D75" s="27">
        <v>9.3749999999999997E-3</v>
      </c>
      <c r="E75" s="27">
        <f t="shared" si="0"/>
        <v>0.24236641221374045</v>
      </c>
      <c r="F75" s="27">
        <f t="shared" si="1"/>
        <v>-0.69871073397684169</v>
      </c>
      <c r="G75" s="27">
        <f t="shared" si="2"/>
        <v>2.9957322735539909</v>
      </c>
      <c r="H75" s="27">
        <f t="shared" si="2"/>
        <v>-0.82098055206983023</v>
      </c>
      <c r="I75" s="27">
        <f t="shared" si="2"/>
        <v>-4.6697087071256629</v>
      </c>
      <c r="J75" s="27"/>
    </row>
    <row r="76" spans="1:10">
      <c r="A76" s="27">
        <v>65</v>
      </c>
      <c r="B76" s="27">
        <v>20</v>
      </c>
      <c r="C76" s="27">
        <v>0.5</v>
      </c>
      <c r="D76" s="27">
        <v>9.3749999999999997E-3</v>
      </c>
      <c r="E76" s="27">
        <f t="shared" si="0"/>
        <v>0.24618320610687022</v>
      </c>
      <c r="F76" s="27">
        <f t="shared" si="1"/>
        <v>-0.68654989473896033</v>
      </c>
      <c r="G76" s="27">
        <f t="shared" si="2"/>
        <v>2.9957322735539909</v>
      </c>
      <c r="H76" s="27">
        <f t="shared" si="2"/>
        <v>-0.69314718055994529</v>
      </c>
      <c r="I76" s="27">
        <f t="shared" si="2"/>
        <v>-4.6697087071256629</v>
      </c>
      <c r="J76" s="27"/>
    </row>
    <row r="77" spans="1:10">
      <c r="A77" s="27">
        <v>66</v>
      </c>
      <c r="B77" s="27">
        <v>20</v>
      </c>
      <c r="C77" s="27">
        <v>0.5</v>
      </c>
      <c r="D77" s="27">
        <v>9.6590909090909088E-3</v>
      </c>
      <c r="E77" s="27">
        <f t="shared" ref="E77:E140" si="3">(A77-0.5)/262</f>
        <v>0.25</v>
      </c>
      <c r="F77" s="27">
        <f t="shared" ref="F77:F140" si="4">NORMSINV(E77)</f>
        <v>-0.67448975019608193</v>
      </c>
      <c r="G77" s="27">
        <f t="shared" ref="G77:I140" si="5">LN(B77)</f>
        <v>2.9957322735539909</v>
      </c>
      <c r="H77" s="27">
        <f t="shared" si="5"/>
        <v>-0.69314718055994529</v>
      </c>
      <c r="I77" s="27">
        <f t="shared" si="5"/>
        <v>-4.6398557439759811</v>
      </c>
      <c r="J77" s="27"/>
    </row>
    <row r="78" spans="1:10">
      <c r="A78" s="27">
        <v>67</v>
      </c>
      <c r="B78" s="27">
        <v>20</v>
      </c>
      <c r="C78" s="27">
        <v>0.5</v>
      </c>
      <c r="D78" s="27">
        <v>9.6590909090909088E-3</v>
      </c>
      <c r="E78" s="27">
        <f t="shared" si="3"/>
        <v>0.25381679389312978</v>
      </c>
      <c r="F78" s="27">
        <f t="shared" si="4"/>
        <v>-0.66252692066093988</v>
      </c>
      <c r="G78" s="27">
        <f t="shared" si="5"/>
        <v>2.9957322735539909</v>
      </c>
      <c r="H78" s="27">
        <f t="shared" si="5"/>
        <v>-0.69314718055994529</v>
      </c>
      <c r="I78" s="27">
        <f t="shared" si="5"/>
        <v>-4.6398557439759811</v>
      </c>
      <c r="J78" s="27"/>
    </row>
    <row r="79" spans="1:10">
      <c r="A79" s="27">
        <v>68</v>
      </c>
      <c r="B79" s="27">
        <v>20</v>
      </c>
      <c r="C79" s="27">
        <v>0.5</v>
      </c>
      <c r="D79" s="27">
        <v>9.6590909090909088E-3</v>
      </c>
      <c r="E79" s="27">
        <f t="shared" si="3"/>
        <v>0.25763358778625955</v>
      </c>
      <c r="F79" s="27">
        <f t="shared" si="4"/>
        <v>-0.65065816312493385</v>
      </c>
      <c r="G79" s="27">
        <f t="shared" si="5"/>
        <v>2.9957322735539909</v>
      </c>
      <c r="H79" s="27">
        <f t="shared" si="5"/>
        <v>-0.69314718055994529</v>
      </c>
      <c r="I79" s="27">
        <f t="shared" si="5"/>
        <v>-4.6398557439759811</v>
      </c>
      <c r="J79" s="27"/>
    </row>
    <row r="80" spans="1:10">
      <c r="A80" s="27">
        <v>69</v>
      </c>
      <c r="B80" s="27">
        <v>20</v>
      </c>
      <c r="C80" s="27">
        <v>0.5</v>
      </c>
      <c r="D80" s="27">
        <v>9.6590909090909088E-3</v>
      </c>
      <c r="E80" s="27">
        <f t="shared" si="3"/>
        <v>0.26145038167938933</v>
      </c>
      <c r="F80" s="27">
        <f t="shared" si="4"/>
        <v>-0.63888036332198783</v>
      </c>
      <c r="G80" s="27">
        <f t="shared" si="5"/>
        <v>2.9957322735539909</v>
      </c>
      <c r="H80" s="27">
        <f t="shared" si="5"/>
        <v>-0.69314718055994529</v>
      </c>
      <c r="I80" s="27">
        <f t="shared" si="5"/>
        <v>-4.6398557439759811</v>
      </c>
      <c r="J80" s="27"/>
    </row>
    <row r="81" spans="1:10">
      <c r="A81" s="27">
        <v>70</v>
      </c>
      <c r="B81" s="27">
        <v>23</v>
      </c>
      <c r="C81" s="27">
        <v>0.5</v>
      </c>
      <c r="D81" s="27">
        <v>9.6590909090909088E-3</v>
      </c>
      <c r="E81" s="27">
        <f t="shared" si="3"/>
        <v>0.26526717557251911</v>
      </c>
      <c r="F81" s="27">
        <f t="shared" si="4"/>
        <v>-0.62719052834960598</v>
      </c>
      <c r="G81" s="27">
        <f t="shared" si="5"/>
        <v>3.1354942159291497</v>
      </c>
      <c r="H81" s="27">
        <f t="shared" si="5"/>
        <v>-0.69314718055994529</v>
      </c>
      <c r="I81" s="27">
        <f t="shared" si="5"/>
        <v>-4.6398557439759811</v>
      </c>
      <c r="J81" s="27"/>
    </row>
    <row r="82" spans="1:10">
      <c r="A82" s="27">
        <v>71</v>
      </c>
      <c r="B82" s="27">
        <v>23</v>
      </c>
      <c r="C82" s="27">
        <v>0.5</v>
      </c>
      <c r="D82" s="27">
        <v>1.0227272727272725E-2</v>
      </c>
      <c r="E82" s="27">
        <f t="shared" si="3"/>
        <v>0.26908396946564883</v>
      </c>
      <c r="F82" s="27">
        <f t="shared" si="4"/>
        <v>-0.61558577980018625</v>
      </c>
      <c r="G82" s="27">
        <f t="shared" si="5"/>
        <v>3.1354942159291497</v>
      </c>
      <c r="H82" s="27">
        <f t="shared" si="5"/>
        <v>-0.69314718055994529</v>
      </c>
      <c r="I82" s="27">
        <f t="shared" si="5"/>
        <v>-4.5826973301360328</v>
      </c>
      <c r="J82" s="27"/>
    </row>
    <row r="83" spans="1:10">
      <c r="A83" s="27">
        <v>72</v>
      </c>
      <c r="B83" s="27">
        <v>25</v>
      </c>
      <c r="C83" s="27">
        <v>0.5</v>
      </c>
      <c r="D83" s="27">
        <v>1.0227272727272725E-2</v>
      </c>
      <c r="E83" s="27">
        <f t="shared" si="3"/>
        <v>0.27290076335877861</v>
      </c>
      <c r="F83" s="27">
        <f t="shared" si="4"/>
        <v>-0.60406334736020983</v>
      </c>
      <c r="G83" s="27">
        <f t="shared" si="5"/>
        <v>3.2188758248682006</v>
      </c>
      <c r="H83" s="27">
        <f t="shared" si="5"/>
        <v>-0.69314718055994529</v>
      </c>
      <c r="I83" s="27">
        <f t="shared" si="5"/>
        <v>-4.5826973301360328</v>
      </c>
      <c r="J83" s="27"/>
    </row>
    <row r="84" spans="1:10">
      <c r="A84" s="27">
        <v>73</v>
      </c>
      <c r="B84" s="27">
        <v>25</v>
      </c>
      <c r="C84" s="27">
        <v>0.5</v>
      </c>
      <c r="D84" s="27">
        <v>1.0738636363636363E-2</v>
      </c>
      <c r="E84" s="27">
        <f t="shared" si="3"/>
        <v>0.27671755725190839</v>
      </c>
      <c r="F84" s="27">
        <f t="shared" si="4"/>
        <v>-0.59262056283896225</v>
      </c>
      <c r="G84" s="27">
        <f t="shared" si="5"/>
        <v>3.2188758248682006</v>
      </c>
      <c r="H84" s="27">
        <f t="shared" si="5"/>
        <v>-0.69314718055994529</v>
      </c>
      <c r="I84" s="27">
        <f t="shared" si="5"/>
        <v>-4.5339071659666006</v>
      </c>
      <c r="J84" s="27"/>
    </row>
    <row r="85" spans="1:10">
      <c r="A85" s="27">
        <v>74</v>
      </c>
      <c r="B85" s="27">
        <v>25</v>
      </c>
      <c r="C85" s="27">
        <v>0.5</v>
      </c>
      <c r="D85" s="27">
        <v>1.1363636363636364E-2</v>
      </c>
      <c r="E85" s="27">
        <f t="shared" si="3"/>
        <v>0.28053435114503816</v>
      </c>
      <c r="F85" s="27">
        <f t="shared" si="4"/>
        <v>-0.58125485459206705</v>
      </c>
      <c r="G85" s="27">
        <f t="shared" si="5"/>
        <v>3.2188758248682006</v>
      </c>
      <c r="H85" s="27">
        <f t="shared" si="5"/>
        <v>-0.69314718055994529</v>
      </c>
      <c r="I85" s="27">
        <f t="shared" si="5"/>
        <v>-4.4773368144782069</v>
      </c>
      <c r="J85" s="27"/>
    </row>
    <row r="86" spans="1:10">
      <c r="A86" s="27">
        <v>75</v>
      </c>
      <c r="B86" s="522">
        <v>25</v>
      </c>
      <c r="C86" s="27">
        <v>0.5</v>
      </c>
      <c r="D86" s="27">
        <v>1.1363636363636364E-2</v>
      </c>
      <c r="E86" s="27">
        <f t="shared" si="3"/>
        <v>0.28435114503816794</v>
      </c>
      <c r="F86" s="27">
        <f t="shared" si="4"/>
        <v>-0.56996374230832691</v>
      </c>
      <c r="G86" s="27">
        <f t="shared" si="5"/>
        <v>3.2188758248682006</v>
      </c>
      <c r="H86" s="27">
        <f t="shared" si="5"/>
        <v>-0.69314718055994529</v>
      </c>
      <c r="I86" s="27">
        <f t="shared" si="5"/>
        <v>-4.4773368144782069</v>
      </c>
      <c r="J86" s="27"/>
    </row>
    <row r="87" spans="1:10">
      <c r="A87" s="27">
        <v>76</v>
      </c>
      <c r="B87" s="27">
        <v>27</v>
      </c>
      <c r="C87" s="27">
        <v>0.5</v>
      </c>
      <c r="D87" s="27">
        <v>1.1363636363636364E-2</v>
      </c>
      <c r="E87" s="27">
        <f t="shared" si="3"/>
        <v>0.28816793893129772</v>
      </c>
      <c r="F87" s="27">
        <f t="shared" si="4"/>
        <v>-0.55874483213126436</v>
      </c>
      <c r="G87" s="27">
        <f t="shared" si="5"/>
        <v>3.2958368660043291</v>
      </c>
      <c r="H87" s="27">
        <f t="shared" si="5"/>
        <v>-0.69314718055994529</v>
      </c>
      <c r="I87" s="27">
        <f t="shared" si="5"/>
        <v>-4.4773368144782069</v>
      </c>
      <c r="J87" s="27"/>
    </row>
    <row r="88" spans="1:10">
      <c r="A88" s="27">
        <v>77</v>
      </c>
      <c r="B88" s="27">
        <v>27</v>
      </c>
      <c r="C88" s="27">
        <v>0.5</v>
      </c>
      <c r="D88" s="27">
        <v>1.1363636363636364E-2</v>
      </c>
      <c r="E88" s="27">
        <f t="shared" si="3"/>
        <v>0.2919847328244275</v>
      </c>
      <c r="F88" s="27">
        <f t="shared" si="4"/>
        <v>-0.54759581208933283</v>
      </c>
      <c r="G88" s="27">
        <f t="shared" si="5"/>
        <v>3.2958368660043291</v>
      </c>
      <c r="H88" s="27">
        <f t="shared" si="5"/>
        <v>-0.69314718055994529</v>
      </c>
      <c r="I88" s="27">
        <f t="shared" si="5"/>
        <v>-4.4773368144782069</v>
      </c>
      <c r="J88" s="27"/>
    </row>
    <row r="89" spans="1:10">
      <c r="A89" s="27">
        <v>78</v>
      </c>
      <c r="B89" s="27">
        <v>30</v>
      </c>
      <c r="C89" s="27">
        <v>0.5</v>
      </c>
      <c r="D89" s="27">
        <v>1.1363636363636364E-2</v>
      </c>
      <c r="E89" s="27">
        <f t="shared" si="3"/>
        <v>0.29580152671755727</v>
      </c>
      <c r="F89" s="27">
        <f t="shared" si="4"/>
        <v>-0.53651444781109781</v>
      </c>
      <c r="G89" s="27">
        <f t="shared" si="5"/>
        <v>3.4011973816621555</v>
      </c>
      <c r="H89" s="27">
        <f t="shared" si="5"/>
        <v>-0.69314718055994529</v>
      </c>
      <c r="I89" s="27">
        <f t="shared" si="5"/>
        <v>-4.4773368144782069</v>
      </c>
      <c r="J89" s="27"/>
    </row>
    <row r="90" spans="1:10">
      <c r="A90" s="27">
        <v>79</v>
      </c>
      <c r="B90" s="27">
        <v>30</v>
      </c>
      <c r="C90" s="27">
        <v>0.5</v>
      </c>
      <c r="D90" s="27">
        <v>1.1363636363636364E-2</v>
      </c>
      <c r="E90" s="27">
        <f t="shared" si="3"/>
        <v>0.29961832061068705</v>
      </c>
      <c r="F90" s="27">
        <f t="shared" si="4"/>
        <v>-0.5254985785037698</v>
      </c>
      <c r="G90" s="27">
        <f t="shared" si="5"/>
        <v>3.4011973816621555</v>
      </c>
      <c r="H90" s="27">
        <f t="shared" si="5"/>
        <v>-0.69314718055994529</v>
      </c>
      <c r="I90" s="27">
        <f t="shared" si="5"/>
        <v>-4.4773368144782069</v>
      </c>
      <c r="J90" s="27"/>
    </row>
    <row r="91" spans="1:10">
      <c r="A91" s="27">
        <v>80</v>
      </c>
      <c r="B91" s="27">
        <v>30</v>
      </c>
      <c r="C91" s="27">
        <v>0.5</v>
      </c>
      <c r="D91" s="27">
        <v>1.1363636363636364E-2</v>
      </c>
      <c r="E91" s="27">
        <f t="shared" si="3"/>
        <v>0.30343511450381677</v>
      </c>
      <c r="F91" s="27">
        <f t="shared" si="4"/>
        <v>-0.51454611317535259</v>
      </c>
      <c r="G91" s="27">
        <f t="shared" si="5"/>
        <v>3.4011973816621555</v>
      </c>
      <c r="H91" s="27">
        <f t="shared" si="5"/>
        <v>-0.69314718055994529</v>
      </c>
      <c r="I91" s="27">
        <f t="shared" si="5"/>
        <v>-4.4773368144782069</v>
      </c>
      <c r="J91" s="27"/>
    </row>
    <row r="92" spans="1:10">
      <c r="A92" s="27">
        <v>81</v>
      </c>
      <c r="B92" s="27">
        <v>30</v>
      </c>
      <c r="C92" s="27">
        <v>0.5</v>
      </c>
      <c r="D92" s="27">
        <v>1.1363636363636364E-2</v>
      </c>
      <c r="E92" s="27">
        <f t="shared" si="3"/>
        <v>0.30725190839694655</v>
      </c>
      <c r="F92" s="27">
        <f t="shared" si="4"/>
        <v>-0.50365502708235821</v>
      </c>
      <c r="G92" s="27">
        <f t="shared" si="5"/>
        <v>3.4011973816621555</v>
      </c>
      <c r="H92" s="27">
        <f t="shared" si="5"/>
        <v>-0.69314718055994529</v>
      </c>
      <c r="I92" s="27">
        <f t="shared" si="5"/>
        <v>-4.4773368144782069</v>
      </c>
      <c r="J92" s="27"/>
    </row>
    <row r="93" spans="1:10">
      <c r="A93" s="27">
        <v>82</v>
      </c>
      <c r="B93" s="27">
        <v>30</v>
      </c>
      <c r="C93" s="27">
        <v>0.6</v>
      </c>
      <c r="D93" s="27">
        <v>1.1363636363636364E-2</v>
      </c>
      <c r="E93" s="27">
        <f t="shared" si="3"/>
        <v>0.31106870229007633</v>
      </c>
      <c r="F93" s="27">
        <f t="shared" si="4"/>
        <v>-0.49282335838657698</v>
      </c>
      <c r="G93" s="27">
        <f t="shared" si="5"/>
        <v>3.4011973816621555</v>
      </c>
      <c r="H93" s="27">
        <f t="shared" si="5"/>
        <v>-0.51082562376599072</v>
      </c>
      <c r="I93" s="27">
        <f t="shared" si="5"/>
        <v>-4.4773368144782069</v>
      </c>
      <c r="J93" s="27"/>
    </row>
    <row r="94" spans="1:10">
      <c r="A94" s="27">
        <v>83</v>
      </c>
      <c r="B94" s="27">
        <v>30</v>
      </c>
      <c r="C94" s="27">
        <v>0.6</v>
      </c>
      <c r="D94" s="27">
        <v>1.1363636363636364E-2</v>
      </c>
      <c r="E94" s="27">
        <f t="shared" si="3"/>
        <v>0.3148854961832061</v>
      </c>
      <c r="F94" s="27">
        <f t="shared" si="4"/>
        <v>-0.48204920500576198</v>
      </c>
      <c r="G94" s="27">
        <f t="shared" si="5"/>
        <v>3.4011973816621555</v>
      </c>
      <c r="H94" s="27">
        <f t="shared" si="5"/>
        <v>-0.51082562376599072</v>
      </c>
      <c r="I94" s="27">
        <f t="shared" si="5"/>
        <v>-4.4773368144782069</v>
      </c>
      <c r="J94" s="27"/>
    </row>
    <row r="95" spans="1:10">
      <c r="A95" s="27">
        <v>84</v>
      </c>
      <c r="B95" s="27">
        <v>30</v>
      </c>
      <c r="C95" s="27">
        <v>0.7</v>
      </c>
      <c r="D95" s="27">
        <v>1.1363636363636364E-2</v>
      </c>
      <c r="E95" s="27">
        <f t="shared" si="3"/>
        <v>0.31870229007633588</v>
      </c>
      <c r="F95" s="27">
        <f t="shared" si="4"/>
        <v>-0.47133072164434098</v>
      </c>
      <c r="G95" s="27">
        <f t="shared" si="5"/>
        <v>3.4011973816621555</v>
      </c>
      <c r="H95" s="27">
        <f t="shared" si="5"/>
        <v>-0.35667494393873245</v>
      </c>
      <c r="I95" s="27">
        <f t="shared" si="5"/>
        <v>-4.4773368144782069</v>
      </c>
      <c r="J95" s="27"/>
    </row>
    <row r="96" spans="1:10">
      <c r="A96" s="27">
        <v>85</v>
      </c>
      <c r="B96" s="27">
        <v>30</v>
      </c>
      <c r="C96" s="27">
        <v>0.74</v>
      </c>
      <c r="D96" s="27">
        <v>1.2357954545454545E-2</v>
      </c>
      <c r="E96" s="27">
        <f t="shared" si="3"/>
        <v>0.32251908396946566</v>
      </c>
      <c r="F96" s="27">
        <f t="shared" si="4"/>
        <v>-0.46066611699140447</v>
      </c>
      <c r="G96" s="27">
        <f t="shared" si="5"/>
        <v>3.4011973816621555</v>
      </c>
      <c r="H96" s="27">
        <f t="shared" si="5"/>
        <v>-0.30110509278392161</v>
      </c>
      <c r="I96" s="27">
        <f t="shared" si="5"/>
        <v>-4.3934553304975044</v>
      </c>
      <c r="J96" s="27"/>
    </row>
    <row r="97" spans="1:10">
      <c r="A97" s="27">
        <v>86</v>
      </c>
      <c r="B97" s="27">
        <v>33</v>
      </c>
      <c r="C97" s="27">
        <v>0.8</v>
      </c>
      <c r="D97" s="27">
        <v>1.2500000000000001E-2</v>
      </c>
      <c r="E97" s="27">
        <f t="shared" si="3"/>
        <v>0.32633587786259544</v>
      </c>
      <c r="F97" s="27">
        <f t="shared" si="4"/>
        <v>-0.45005365107423506</v>
      </c>
      <c r="G97" s="27">
        <f t="shared" si="5"/>
        <v>3.4965075614664802</v>
      </c>
      <c r="H97" s="27">
        <f t="shared" si="5"/>
        <v>-0.22314355131420971</v>
      </c>
      <c r="I97" s="27">
        <f t="shared" si="5"/>
        <v>-4.3820266346738812</v>
      </c>
      <c r="J97" s="27"/>
    </row>
    <row r="98" spans="1:10">
      <c r="A98" s="27">
        <v>87</v>
      </c>
      <c r="B98" s="27">
        <v>33</v>
      </c>
      <c r="C98" s="27">
        <v>0.86</v>
      </c>
      <c r="D98" s="27">
        <v>1.2784090909090908E-2</v>
      </c>
      <c r="E98" s="27">
        <f t="shared" si="3"/>
        <v>0.33015267175572521</v>
      </c>
      <c r="F98" s="27">
        <f t="shared" si="4"/>
        <v>-0.43949163275658881</v>
      </c>
      <c r="G98" s="27">
        <f t="shared" si="5"/>
        <v>3.4965075614664802</v>
      </c>
      <c r="H98" s="27">
        <f t="shared" si="5"/>
        <v>-0.15082288973458366</v>
      </c>
      <c r="I98" s="27">
        <f t="shared" si="5"/>
        <v>-4.359553778821823</v>
      </c>
      <c r="J98" s="27"/>
    </row>
    <row r="99" spans="1:10">
      <c r="A99" s="27">
        <v>88</v>
      </c>
      <c r="B99" s="27">
        <v>33</v>
      </c>
      <c r="C99" s="27">
        <v>0.87</v>
      </c>
      <c r="D99" s="27">
        <v>1.4204545454545454E-2</v>
      </c>
      <c r="E99" s="27">
        <f t="shared" si="3"/>
        <v>0.33396946564885494</v>
      </c>
      <c r="F99" s="27">
        <f t="shared" si="4"/>
        <v>-0.42897841737177267</v>
      </c>
      <c r="G99" s="27">
        <f t="shared" si="5"/>
        <v>3.4965075614664802</v>
      </c>
      <c r="H99" s="27">
        <f t="shared" si="5"/>
        <v>-0.13926206733350766</v>
      </c>
      <c r="I99" s="27">
        <f t="shared" si="5"/>
        <v>-4.2541932631639972</v>
      </c>
      <c r="J99" s="27"/>
    </row>
    <row r="100" spans="1:10">
      <c r="A100" s="27">
        <v>89</v>
      </c>
      <c r="B100" s="27">
        <v>33</v>
      </c>
      <c r="C100" s="27">
        <v>0.9</v>
      </c>
      <c r="D100" s="27">
        <v>1.7045454545454544E-2</v>
      </c>
      <c r="E100" s="27">
        <f t="shared" si="3"/>
        <v>0.33778625954198471</v>
      </c>
      <c r="F100" s="27">
        <f t="shared" si="4"/>
        <v>-0.41851240448134458</v>
      </c>
      <c r="G100" s="27">
        <f t="shared" si="5"/>
        <v>3.4965075614664802</v>
      </c>
      <c r="H100" s="27">
        <f t="shared" si="5"/>
        <v>-0.10536051565782628</v>
      </c>
      <c r="I100" s="27">
        <f t="shared" si="5"/>
        <v>-4.0718717063700423</v>
      </c>
      <c r="J100" s="27"/>
    </row>
    <row r="101" spans="1:10">
      <c r="A101" s="27">
        <v>90</v>
      </c>
      <c r="B101" s="27">
        <v>33</v>
      </c>
      <c r="C101" s="27">
        <v>1</v>
      </c>
      <c r="D101" s="27">
        <v>1.7045454545454544E-2</v>
      </c>
      <c r="E101" s="27">
        <f t="shared" si="3"/>
        <v>0.34160305343511449</v>
      </c>
      <c r="F101" s="27">
        <f t="shared" si="4"/>
        <v>-0.40809203575095948</v>
      </c>
      <c r="G101" s="27">
        <f t="shared" si="5"/>
        <v>3.4965075614664802</v>
      </c>
      <c r="H101" s="27">
        <f t="shared" si="5"/>
        <v>0</v>
      </c>
      <c r="I101" s="27">
        <f t="shared" si="5"/>
        <v>-4.0718717063700423</v>
      </c>
      <c r="J101" s="27"/>
    </row>
    <row r="102" spans="1:10">
      <c r="A102" s="27">
        <v>91</v>
      </c>
      <c r="B102" s="27">
        <v>33</v>
      </c>
      <c r="C102" s="27">
        <v>1</v>
      </c>
      <c r="D102" s="27">
        <v>1.7045454545454544E-2</v>
      </c>
      <c r="E102" s="27">
        <f t="shared" si="3"/>
        <v>0.34541984732824427</v>
      </c>
      <c r="F102" s="27">
        <f t="shared" si="4"/>
        <v>-0.39771579293552733</v>
      </c>
      <c r="G102" s="27">
        <f t="shared" si="5"/>
        <v>3.4965075614664802</v>
      </c>
      <c r="H102" s="27">
        <f t="shared" si="5"/>
        <v>0</v>
      </c>
      <c r="I102" s="27">
        <f t="shared" si="5"/>
        <v>-4.0718717063700423</v>
      </c>
      <c r="J102" s="27"/>
    </row>
    <row r="103" spans="1:10">
      <c r="A103" s="27">
        <v>92</v>
      </c>
      <c r="B103" s="27">
        <v>33</v>
      </c>
      <c r="C103" s="27">
        <v>1</v>
      </c>
      <c r="D103" s="27">
        <v>1.8749999999999999E-2</v>
      </c>
      <c r="E103" s="27">
        <f t="shared" si="3"/>
        <v>0.34923664122137404</v>
      </c>
      <c r="F103" s="27">
        <f t="shared" si="4"/>
        <v>-0.38738219596643142</v>
      </c>
      <c r="G103" s="27">
        <f t="shared" si="5"/>
        <v>3.4965075614664802</v>
      </c>
      <c r="H103" s="27">
        <f t="shared" si="5"/>
        <v>0</v>
      </c>
      <c r="I103" s="27">
        <f t="shared" si="5"/>
        <v>-3.9765615265657175</v>
      </c>
      <c r="J103" s="27"/>
    </row>
    <row r="104" spans="1:10">
      <c r="A104" s="27">
        <v>93</v>
      </c>
      <c r="B104" s="27">
        <v>33</v>
      </c>
      <c r="C104" s="27">
        <v>1</v>
      </c>
      <c r="D104" s="27">
        <v>2.1590909090909091E-2</v>
      </c>
      <c r="E104" s="27">
        <f t="shared" si="3"/>
        <v>0.35305343511450382</v>
      </c>
      <c r="F104" s="27">
        <f t="shared" si="4"/>
        <v>-0.37708980113409546</v>
      </c>
      <c r="G104" s="27">
        <f t="shared" si="5"/>
        <v>3.4965075614664802</v>
      </c>
      <c r="H104" s="27">
        <f t="shared" si="5"/>
        <v>0</v>
      </c>
      <c r="I104" s="27">
        <f t="shared" si="5"/>
        <v>-3.8354829283058116</v>
      </c>
      <c r="J104" s="27"/>
    </row>
    <row r="105" spans="1:10">
      <c r="A105" s="27">
        <v>94</v>
      </c>
      <c r="B105" s="27">
        <v>33</v>
      </c>
      <c r="C105" s="27">
        <v>1</v>
      </c>
      <c r="D105" s="27">
        <v>2.1874999999999999E-2</v>
      </c>
      <c r="E105" s="27">
        <f t="shared" si="3"/>
        <v>0.3568702290076336</v>
      </c>
      <c r="F105" s="27">
        <f t="shared" si="4"/>
        <v>-0.36683719935966907</v>
      </c>
      <c r="G105" s="27">
        <f t="shared" si="5"/>
        <v>3.4965075614664802</v>
      </c>
      <c r="H105" s="27">
        <f t="shared" si="5"/>
        <v>0</v>
      </c>
      <c r="I105" s="27">
        <f t="shared" si="5"/>
        <v>-3.822410846738459</v>
      </c>
      <c r="J105" s="27"/>
    </row>
    <row r="106" spans="1:10">
      <c r="A106" s="27">
        <v>95</v>
      </c>
      <c r="B106" s="27">
        <v>33</v>
      </c>
      <c r="C106" s="27">
        <v>1</v>
      </c>
      <c r="D106" s="27">
        <v>2.2727272727272728E-2</v>
      </c>
      <c r="E106" s="27">
        <f t="shared" si="3"/>
        <v>0.36068702290076338</v>
      </c>
      <c r="F106" s="27">
        <f t="shared" si="4"/>
        <v>-0.35662301455005585</v>
      </c>
      <c r="G106" s="27">
        <f t="shared" si="5"/>
        <v>3.4965075614664802</v>
      </c>
      <c r="H106" s="27">
        <f t="shared" si="5"/>
        <v>0</v>
      </c>
      <c r="I106" s="27">
        <f t="shared" si="5"/>
        <v>-3.784189633918261</v>
      </c>
      <c r="J106" s="27"/>
    </row>
    <row r="107" spans="1:10">
      <c r="A107" s="27">
        <v>96</v>
      </c>
      <c r="B107" s="27">
        <v>33</v>
      </c>
      <c r="C107" s="27">
        <v>1</v>
      </c>
      <c r="D107" s="27">
        <v>2.2727272727272728E-2</v>
      </c>
      <c r="E107" s="27">
        <f t="shared" si="3"/>
        <v>0.36450381679389315</v>
      </c>
      <c r="F107" s="27">
        <f t="shared" si="4"/>
        <v>-0.3464459020309138</v>
      </c>
      <c r="G107" s="27">
        <f t="shared" si="5"/>
        <v>3.4965075614664802</v>
      </c>
      <c r="H107" s="27">
        <f t="shared" si="5"/>
        <v>0</v>
      </c>
      <c r="I107" s="27">
        <f t="shared" si="5"/>
        <v>-3.784189633918261</v>
      </c>
      <c r="J107" s="27"/>
    </row>
    <row r="108" spans="1:10">
      <c r="A108" s="27">
        <v>97</v>
      </c>
      <c r="B108" s="27">
        <v>33</v>
      </c>
      <c r="C108" s="27">
        <v>1</v>
      </c>
      <c r="D108" s="27">
        <v>2.2727272727272728E-2</v>
      </c>
      <c r="E108" s="27">
        <f t="shared" si="3"/>
        <v>0.36832061068702288</v>
      </c>
      <c r="F108" s="27">
        <f t="shared" si="4"/>
        <v>-0.33630454705263418</v>
      </c>
      <c r="G108" s="27">
        <f t="shared" si="5"/>
        <v>3.4965075614664802</v>
      </c>
      <c r="H108" s="27">
        <f t="shared" si="5"/>
        <v>0</v>
      </c>
      <c r="I108" s="27">
        <f t="shared" si="5"/>
        <v>-3.784189633918261</v>
      </c>
      <c r="J108" s="27"/>
    </row>
    <row r="109" spans="1:10">
      <c r="A109" s="27">
        <v>98</v>
      </c>
      <c r="B109" s="27">
        <v>33</v>
      </c>
      <c r="C109" s="27">
        <v>1</v>
      </c>
      <c r="D109" s="27">
        <v>2.4375000000000001E-2</v>
      </c>
      <c r="E109" s="27">
        <f t="shared" si="3"/>
        <v>0.37213740458015265</v>
      </c>
      <c r="F109" s="27">
        <f t="shared" si="4"/>
        <v>-0.32619766336465211</v>
      </c>
      <c r="G109" s="27">
        <f t="shared" si="5"/>
        <v>3.4965075614664802</v>
      </c>
      <c r="H109" s="27">
        <f t="shared" si="5"/>
        <v>0</v>
      </c>
      <c r="I109" s="27">
        <f t="shared" si="5"/>
        <v>-3.7141972620982262</v>
      </c>
      <c r="J109" s="27"/>
    </row>
    <row r="110" spans="1:10">
      <c r="A110" s="27">
        <v>99</v>
      </c>
      <c r="B110" s="27">
        <v>33</v>
      </c>
      <c r="C110" s="27">
        <v>1</v>
      </c>
      <c r="D110" s="27">
        <v>2.5000000000000001E-2</v>
      </c>
      <c r="E110" s="27">
        <f t="shared" si="3"/>
        <v>0.37595419847328243</v>
      </c>
      <c r="F110" s="27">
        <f t="shared" si="4"/>
        <v>-0.31612399185375722</v>
      </c>
      <c r="G110" s="27">
        <f t="shared" si="5"/>
        <v>3.4965075614664802</v>
      </c>
      <c r="H110" s="27">
        <f t="shared" si="5"/>
        <v>0</v>
      </c>
      <c r="I110" s="27">
        <f t="shared" si="5"/>
        <v>-3.6888794541139363</v>
      </c>
      <c r="J110" s="27"/>
    </row>
    <row r="111" spans="1:10">
      <c r="A111" s="27">
        <v>100</v>
      </c>
      <c r="B111" s="27">
        <v>37</v>
      </c>
      <c r="C111" s="27">
        <v>1</v>
      </c>
      <c r="D111" s="27">
        <v>2.5568181818181816E-2</v>
      </c>
      <c r="E111" s="27">
        <f t="shared" si="3"/>
        <v>0.37977099236641221</v>
      </c>
      <c r="F111" s="27">
        <f t="shared" si="4"/>
        <v>-0.30608229924236263</v>
      </c>
      <c r="G111" s="27">
        <f t="shared" si="5"/>
        <v>3.6109179126442243</v>
      </c>
      <c r="H111" s="27">
        <f t="shared" si="5"/>
        <v>0</v>
      </c>
      <c r="I111" s="27">
        <f t="shared" si="5"/>
        <v>-3.6664065982618776</v>
      </c>
      <c r="J111" s="27"/>
    </row>
    <row r="112" spans="1:10">
      <c r="A112" s="27">
        <v>101</v>
      </c>
      <c r="B112" s="27">
        <v>40</v>
      </c>
      <c r="C112" s="27">
        <v>1</v>
      </c>
      <c r="D112" s="27">
        <v>2.6136363636363635E-2</v>
      </c>
      <c r="E112" s="27">
        <f t="shared" si="3"/>
        <v>0.38358778625954199</v>
      </c>
      <c r="F112" s="27">
        <f t="shared" si="4"/>
        <v>-0.29607137684296159</v>
      </c>
      <c r="G112" s="27">
        <f t="shared" si="5"/>
        <v>3.6888794541139363</v>
      </c>
      <c r="H112" s="27">
        <f t="shared" si="5"/>
        <v>0</v>
      </c>
      <c r="I112" s="27">
        <f t="shared" si="5"/>
        <v>-3.6444276915431026</v>
      </c>
      <c r="J112" s="27"/>
    </row>
    <row r="113" spans="1:10">
      <c r="A113" s="27">
        <v>102</v>
      </c>
      <c r="B113" s="27">
        <v>40</v>
      </c>
      <c r="C113" s="27">
        <v>1</v>
      </c>
      <c r="D113" s="27">
        <v>2.8409090909090908E-2</v>
      </c>
      <c r="E113" s="27">
        <f t="shared" si="3"/>
        <v>0.38740458015267176</v>
      </c>
      <c r="F113" s="27">
        <f t="shared" si="4"/>
        <v>-0.28609003936524313</v>
      </c>
      <c r="G113" s="27">
        <f t="shared" si="5"/>
        <v>3.6888794541139363</v>
      </c>
      <c r="H113" s="27">
        <f t="shared" si="5"/>
        <v>0</v>
      </c>
      <c r="I113" s="27">
        <f t="shared" si="5"/>
        <v>-3.5610460826040513</v>
      </c>
      <c r="J113" s="27"/>
    </row>
    <row r="114" spans="1:10">
      <c r="A114" s="27">
        <v>103</v>
      </c>
      <c r="B114" s="27">
        <v>40</v>
      </c>
      <c r="C114" s="27">
        <v>1</v>
      </c>
      <c r="D114" s="27">
        <v>2.8409090909090908E-2</v>
      </c>
      <c r="E114" s="27">
        <f t="shared" si="3"/>
        <v>0.39122137404580154</v>
      </c>
      <c r="F114" s="27">
        <f t="shared" si="4"/>
        <v>-0.27613712377257005</v>
      </c>
      <c r="G114" s="27">
        <f t="shared" si="5"/>
        <v>3.6888794541139363</v>
      </c>
      <c r="H114" s="27">
        <f t="shared" si="5"/>
        <v>0</v>
      </c>
      <c r="I114" s="27">
        <f t="shared" si="5"/>
        <v>-3.5610460826040513</v>
      </c>
      <c r="J114" s="27"/>
    </row>
    <row r="115" spans="1:10">
      <c r="A115" s="27">
        <v>104</v>
      </c>
      <c r="B115" s="27">
        <v>40</v>
      </c>
      <c r="C115" s="27">
        <v>1</v>
      </c>
      <c r="D115" s="27">
        <v>2.8409090909090908E-2</v>
      </c>
      <c r="E115" s="27">
        <f t="shared" si="3"/>
        <v>0.39503816793893132</v>
      </c>
      <c r="F115" s="27">
        <f t="shared" si="4"/>
        <v>-0.26621148818472556</v>
      </c>
      <c r="G115" s="27">
        <f t="shared" si="5"/>
        <v>3.6888794541139363</v>
      </c>
      <c r="H115" s="27">
        <f t="shared" si="5"/>
        <v>0</v>
      </c>
      <c r="I115" s="27">
        <f t="shared" si="5"/>
        <v>-3.5610460826040513</v>
      </c>
      <c r="J115" s="27"/>
    </row>
    <row r="116" spans="1:10">
      <c r="A116" s="27">
        <v>105</v>
      </c>
      <c r="B116" s="27">
        <v>40</v>
      </c>
      <c r="C116" s="27">
        <v>1</v>
      </c>
      <c r="D116" s="27">
        <v>3.0681818181818182E-2</v>
      </c>
      <c r="E116" s="27">
        <f t="shared" si="3"/>
        <v>0.39885496183206109</v>
      </c>
      <c r="F116" s="27">
        <f t="shared" si="4"/>
        <v>-0.25631201082403188</v>
      </c>
      <c r="G116" s="27">
        <f t="shared" si="5"/>
        <v>3.6888794541139363</v>
      </c>
      <c r="H116" s="27">
        <f t="shared" si="5"/>
        <v>0</v>
      </c>
      <c r="I116" s="27">
        <f t="shared" si="5"/>
        <v>-3.4840850414679232</v>
      </c>
      <c r="J116" s="27"/>
    </row>
    <row r="117" spans="1:10">
      <c r="A117" s="27">
        <v>106</v>
      </c>
      <c r="B117" s="27">
        <v>50</v>
      </c>
      <c r="C117" s="27">
        <v>1</v>
      </c>
      <c r="D117" s="27">
        <v>3.125E-2</v>
      </c>
      <c r="E117" s="27">
        <f t="shared" si="3"/>
        <v>0.40267175572519082</v>
      </c>
      <c r="F117" s="27">
        <f t="shared" si="4"/>
        <v>-0.24643758900211962</v>
      </c>
      <c r="G117" s="27">
        <f t="shared" si="5"/>
        <v>3.912023005428146</v>
      </c>
      <c r="H117" s="27">
        <f t="shared" si="5"/>
        <v>0</v>
      </c>
      <c r="I117" s="27">
        <f t="shared" si="5"/>
        <v>-3.4657359027997265</v>
      </c>
      <c r="J117" s="27"/>
    </row>
    <row r="118" spans="1:10">
      <c r="A118" s="27">
        <v>107</v>
      </c>
      <c r="B118" s="27">
        <v>50</v>
      </c>
      <c r="C118" s="27">
        <v>1</v>
      </c>
      <c r="D118" s="27">
        <v>3.125E-2</v>
      </c>
      <c r="E118" s="27">
        <f t="shared" si="3"/>
        <v>0.40648854961832059</v>
      </c>
      <c r="F118" s="27">
        <f t="shared" si="4"/>
        <v>-0.23658713814479079</v>
      </c>
      <c r="G118" s="27">
        <f t="shared" si="5"/>
        <v>3.912023005428146</v>
      </c>
      <c r="H118" s="27">
        <f t="shared" si="5"/>
        <v>0</v>
      </c>
      <c r="I118" s="27">
        <f t="shared" si="5"/>
        <v>-3.4657359027997265</v>
      </c>
      <c r="J118" s="27"/>
    </row>
    <row r="119" spans="1:10">
      <c r="A119" s="27">
        <v>108</v>
      </c>
      <c r="B119" s="27">
        <v>50</v>
      </c>
      <c r="C119" s="27">
        <v>1</v>
      </c>
      <c r="D119" s="27">
        <v>3.4090909090909088E-2</v>
      </c>
      <c r="E119" s="27">
        <f t="shared" si="3"/>
        <v>0.41030534351145037</v>
      </c>
      <c r="F119" s="27">
        <f t="shared" si="4"/>
        <v>-0.22675959085256958</v>
      </c>
      <c r="G119" s="27">
        <f t="shared" si="5"/>
        <v>3.912023005428146</v>
      </c>
      <c r="H119" s="27">
        <f t="shared" si="5"/>
        <v>0</v>
      </c>
      <c r="I119" s="27">
        <f t="shared" si="5"/>
        <v>-3.3787245258100969</v>
      </c>
      <c r="J119" s="27"/>
    </row>
    <row r="120" spans="1:10">
      <c r="A120" s="27">
        <v>109</v>
      </c>
      <c r="B120" s="27">
        <v>50</v>
      </c>
      <c r="C120" s="27">
        <v>1</v>
      </c>
      <c r="D120" s="27">
        <v>3.4090909090909088E-2</v>
      </c>
      <c r="E120" s="27">
        <f t="shared" si="3"/>
        <v>0.41412213740458015</v>
      </c>
      <c r="F120" s="27">
        <f t="shared" si="4"/>
        <v>-0.21695389599467269</v>
      </c>
      <c r="G120" s="27">
        <f t="shared" si="5"/>
        <v>3.912023005428146</v>
      </c>
      <c r="H120" s="27">
        <f t="shared" si="5"/>
        <v>0</v>
      </c>
      <c r="I120" s="27">
        <f t="shared" si="5"/>
        <v>-3.3787245258100969</v>
      </c>
      <c r="J120" s="27"/>
    </row>
    <row r="121" spans="1:10">
      <c r="A121" s="27">
        <v>110</v>
      </c>
      <c r="B121" s="27">
        <v>50</v>
      </c>
      <c r="C121" s="27">
        <v>1</v>
      </c>
      <c r="D121" s="27">
        <v>3.4090909090909088E-2</v>
      </c>
      <c r="E121" s="27">
        <f t="shared" si="3"/>
        <v>0.41793893129770993</v>
      </c>
      <c r="F121" s="27">
        <f t="shared" si="4"/>
        <v>-0.20716901783426186</v>
      </c>
      <c r="G121" s="27">
        <f t="shared" si="5"/>
        <v>3.912023005428146</v>
      </c>
      <c r="H121" s="27">
        <f t="shared" si="5"/>
        <v>0</v>
      </c>
      <c r="I121" s="27">
        <f t="shared" si="5"/>
        <v>-3.3787245258100969</v>
      </c>
      <c r="J121" s="27"/>
    </row>
    <row r="122" spans="1:10">
      <c r="A122" s="27">
        <v>111</v>
      </c>
      <c r="B122" s="27">
        <v>50</v>
      </c>
      <c r="C122" s="27">
        <v>1</v>
      </c>
      <c r="D122" s="27">
        <v>3.4090909090909088E-2</v>
      </c>
      <c r="E122" s="27">
        <f t="shared" si="3"/>
        <v>0.4217557251908397</v>
      </c>
      <c r="F122" s="27">
        <f t="shared" si="4"/>
        <v>-0.19740393518295835</v>
      </c>
      <c r="G122" s="27">
        <f t="shared" si="5"/>
        <v>3.912023005428146</v>
      </c>
      <c r="H122" s="27">
        <f t="shared" si="5"/>
        <v>0</v>
      </c>
      <c r="I122" s="27">
        <f t="shared" si="5"/>
        <v>-3.3787245258100969</v>
      </c>
      <c r="J122" s="27"/>
    </row>
    <row r="123" spans="1:10">
      <c r="A123" s="27">
        <v>112</v>
      </c>
      <c r="B123" s="27">
        <v>50</v>
      </c>
      <c r="C123" s="27">
        <v>1</v>
      </c>
      <c r="D123" s="27">
        <v>3.4090909090909088E-2</v>
      </c>
      <c r="E123" s="27">
        <f t="shared" si="3"/>
        <v>0.42557251908396948</v>
      </c>
      <c r="F123" s="27">
        <f t="shared" si="4"/>
        <v>-0.18765764058270834</v>
      </c>
      <c r="G123" s="27">
        <f t="shared" si="5"/>
        <v>3.912023005428146</v>
      </c>
      <c r="H123" s="27">
        <f t="shared" si="5"/>
        <v>0</v>
      </c>
      <c r="I123" s="27">
        <f t="shared" si="5"/>
        <v>-3.3787245258100969</v>
      </c>
      <c r="J123" s="27"/>
    </row>
    <row r="124" spans="1:10">
      <c r="A124" s="27">
        <v>113</v>
      </c>
      <c r="B124" s="27">
        <v>50</v>
      </c>
      <c r="C124" s="27">
        <v>1</v>
      </c>
      <c r="D124" s="27">
        <v>3.4090909090909088E-2</v>
      </c>
      <c r="E124" s="27">
        <f t="shared" si="3"/>
        <v>0.42938931297709926</v>
      </c>
      <c r="F124" s="27">
        <f t="shared" si="4"/>
        <v>-0.17792913951318964</v>
      </c>
      <c r="G124" s="27">
        <f t="shared" si="5"/>
        <v>3.912023005428146</v>
      </c>
      <c r="H124" s="27">
        <f t="shared" si="5"/>
        <v>0</v>
      </c>
      <c r="I124" s="27">
        <f t="shared" si="5"/>
        <v>-3.3787245258100969</v>
      </c>
      <c r="J124" s="27"/>
    </row>
    <row r="125" spans="1:10">
      <c r="A125" s="27">
        <v>114</v>
      </c>
      <c r="B125" s="27">
        <v>50</v>
      </c>
      <c r="C125" s="27">
        <v>1</v>
      </c>
      <c r="D125" s="27">
        <v>3.4090909090909088E-2</v>
      </c>
      <c r="E125" s="27">
        <f t="shared" si="3"/>
        <v>0.43320610687022904</v>
      </c>
      <c r="F125" s="27">
        <f t="shared" si="4"/>
        <v>-0.16821744962304311</v>
      </c>
      <c r="G125" s="27">
        <f t="shared" si="5"/>
        <v>3.912023005428146</v>
      </c>
      <c r="H125" s="27">
        <f t="shared" si="5"/>
        <v>0</v>
      </c>
      <c r="I125" s="27">
        <f t="shared" si="5"/>
        <v>-3.3787245258100969</v>
      </c>
      <c r="J125" s="27"/>
    </row>
    <row r="126" spans="1:10">
      <c r="A126" s="27">
        <v>115</v>
      </c>
      <c r="B126" s="27">
        <v>50</v>
      </c>
      <c r="C126" s="27">
        <v>1</v>
      </c>
      <c r="D126" s="27">
        <v>3.4715909090909089E-2</v>
      </c>
      <c r="E126" s="27">
        <f t="shared" si="3"/>
        <v>0.43702290076335876</v>
      </c>
      <c r="F126" s="27">
        <f t="shared" si="4"/>
        <v>-0.15852159998329721</v>
      </c>
      <c r="G126" s="27">
        <f t="shared" si="5"/>
        <v>3.912023005428146</v>
      </c>
      <c r="H126" s="27">
        <f t="shared" si="5"/>
        <v>0</v>
      </c>
      <c r="I126" s="27">
        <f t="shared" si="5"/>
        <v>-3.360557221854648</v>
      </c>
      <c r="J126" s="27"/>
    </row>
    <row r="127" spans="1:10">
      <c r="A127" s="27">
        <v>116</v>
      </c>
      <c r="B127" s="27">
        <v>50</v>
      </c>
      <c r="C127" s="27">
        <v>1</v>
      </c>
      <c r="D127" s="27">
        <v>3.6477272727272726E-2</v>
      </c>
      <c r="E127" s="27">
        <f t="shared" si="3"/>
        <v>0.44083969465648853</v>
      </c>
      <c r="F127" s="27">
        <f t="shared" si="4"/>
        <v>-0.14884063036143219</v>
      </c>
      <c r="G127" s="27">
        <f t="shared" si="5"/>
        <v>3.912023005428146</v>
      </c>
      <c r="H127" s="27">
        <f t="shared" si="5"/>
        <v>0</v>
      </c>
      <c r="I127" s="27">
        <f t="shared" si="5"/>
        <v>-3.311065877336282</v>
      </c>
      <c r="J127" s="27"/>
    </row>
    <row r="128" spans="1:10">
      <c r="A128" s="27">
        <v>117</v>
      </c>
      <c r="B128" s="27">
        <v>50</v>
      </c>
      <c r="C128" s="27">
        <v>1</v>
      </c>
      <c r="D128" s="27">
        <v>3.7499999999999999E-2</v>
      </c>
      <c r="E128" s="27">
        <f t="shared" si="3"/>
        <v>0.44465648854961831</v>
      </c>
      <c r="F128" s="27">
        <f t="shared" si="4"/>
        <v>-0.13917359051460709</v>
      </c>
      <c r="G128" s="27">
        <f t="shared" si="5"/>
        <v>3.912023005428146</v>
      </c>
      <c r="H128" s="27">
        <f t="shared" si="5"/>
        <v>0</v>
      </c>
      <c r="I128" s="27">
        <f t="shared" si="5"/>
        <v>-3.2834143460057721</v>
      </c>
      <c r="J128" s="27"/>
    </row>
    <row r="129" spans="1:10">
      <c r="A129" s="27">
        <v>118</v>
      </c>
      <c r="B129" s="27">
        <v>50</v>
      </c>
      <c r="C129" s="27">
        <v>1</v>
      </c>
      <c r="D129" s="27">
        <v>3.7499999999999999E-2</v>
      </c>
      <c r="E129" s="27">
        <f t="shared" si="3"/>
        <v>0.44847328244274809</v>
      </c>
      <c r="F129" s="27">
        <f t="shared" si="4"/>
        <v>-0.12951953950063169</v>
      </c>
      <c r="G129" s="27">
        <f t="shared" si="5"/>
        <v>3.912023005428146</v>
      </c>
      <c r="H129" s="27">
        <f t="shared" si="5"/>
        <v>0</v>
      </c>
      <c r="I129" s="27">
        <f t="shared" si="5"/>
        <v>-3.2834143460057721</v>
      </c>
      <c r="J129" s="27"/>
    </row>
    <row r="130" spans="1:10">
      <c r="A130" s="27">
        <v>119</v>
      </c>
      <c r="B130" s="27">
        <v>50</v>
      </c>
      <c r="C130" s="27">
        <v>1.01</v>
      </c>
      <c r="D130" s="27">
        <v>4.0909090909090909E-2</v>
      </c>
      <c r="E130" s="27">
        <f t="shared" si="3"/>
        <v>0.45229007633587787</v>
      </c>
      <c r="F130" s="27">
        <f t="shared" si="4"/>
        <v>-0.11987754500533411</v>
      </c>
      <c r="G130" s="27">
        <f t="shared" si="5"/>
        <v>3.912023005428146</v>
      </c>
      <c r="H130" s="27">
        <f t="shared" si="5"/>
        <v>9.950330853168092E-3</v>
      </c>
      <c r="I130" s="27">
        <f t="shared" si="5"/>
        <v>-3.196402969016142</v>
      </c>
      <c r="J130" s="27"/>
    </row>
    <row r="131" spans="1:10">
      <c r="A131" s="27">
        <v>120</v>
      </c>
      <c r="B131" s="27">
        <v>50</v>
      </c>
      <c r="C131" s="27">
        <v>1.05</v>
      </c>
      <c r="D131" s="27">
        <v>4.2045454545454546E-2</v>
      </c>
      <c r="E131" s="27">
        <f t="shared" si="3"/>
        <v>0.45610687022900764</v>
      </c>
      <c r="F131" s="27">
        <f t="shared" si="4"/>
        <v>-0.11024668268502609</v>
      </c>
      <c r="G131" s="27">
        <f t="shared" si="5"/>
        <v>3.912023005428146</v>
      </c>
      <c r="H131" s="27">
        <f t="shared" si="5"/>
        <v>4.8790164169432049E-2</v>
      </c>
      <c r="I131" s="27">
        <f t="shared" si="5"/>
        <v>-3.1690039948280275</v>
      </c>
      <c r="J131" s="27"/>
    </row>
    <row r="132" spans="1:10">
      <c r="A132" s="27">
        <v>121</v>
      </c>
      <c r="B132" s="27">
        <v>50</v>
      </c>
      <c r="C132" s="27">
        <v>1.07</v>
      </c>
      <c r="D132" s="27">
        <v>4.261363636363636E-2</v>
      </c>
      <c r="E132" s="27">
        <f t="shared" si="3"/>
        <v>0.45992366412213742</v>
      </c>
      <c r="F132" s="27">
        <f t="shared" si="4"/>
        <v>-0.1006260355228201</v>
      </c>
      <c r="G132" s="27">
        <f t="shared" si="5"/>
        <v>3.912023005428146</v>
      </c>
      <c r="H132" s="27">
        <f t="shared" si="5"/>
        <v>6.7658648473814864E-2</v>
      </c>
      <c r="I132" s="27">
        <f t="shared" si="5"/>
        <v>-3.1555809744958871</v>
      </c>
      <c r="J132" s="27"/>
    </row>
    <row r="133" spans="1:10">
      <c r="A133" s="27">
        <v>122</v>
      </c>
      <c r="B133" s="27">
        <v>50</v>
      </c>
      <c r="C133" s="27">
        <v>1.1000000000000001</v>
      </c>
      <c r="D133" s="27">
        <v>4.4744318181818184E-2</v>
      </c>
      <c r="E133" s="27">
        <f t="shared" si="3"/>
        <v>0.4637404580152672</v>
      </c>
      <c r="F133" s="27">
        <f t="shared" si="4"/>
        <v>-9.1014693197598751E-2</v>
      </c>
      <c r="G133" s="27">
        <f t="shared" si="5"/>
        <v>3.912023005428146</v>
      </c>
      <c r="H133" s="27">
        <f t="shared" si="5"/>
        <v>9.5310179804324935E-2</v>
      </c>
      <c r="I133" s="27">
        <f t="shared" si="5"/>
        <v>-3.106790810326455</v>
      </c>
      <c r="J133" s="27"/>
    </row>
    <row r="134" spans="1:10">
      <c r="A134" s="27">
        <v>123</v>
      </c>
      <c r="B134" s="27">
        <v>50</v>
      </c>
      <c r="C134" s="27">
        <v>1.1200000000000001</v>
      </c>
      <c r="D134" s="27">
        <v>4.8863636363636359E-2</v>
      </c>
      <c r="E134" s="27">
        <f t="shared" si="3"/>
        <v>0.46755725190839692</v>
      </c>
      <c r="F134" s="27">
        <f t="shared" si="4"/>
        <v>-8.1411751464479085E-2</v>
      </c>
      <c r="G134" s="27">
        <f t="shared" si="5"/>
        <v>3.912023005428146</v>
      </c>
      <c r="H134" s="27">
        <f t="shared" si="5"/>
        <v>0.11332868530700327</v>
      </c>
      <c r="I134" s="27">
        <f t="shared" si="5"/>
        <v>-3.0187217917786899</v>
      </c>
      <c r="J134" s="27"/>
    </row>
    <row r="135" spans="1:10">
      <c r="A135" s="27">
        <v>124</v>
      </c>
      <c r="B135" s="522">
        <v>50</v>
      </c>
      <c r="C135" s="27">
        <v>1.24</v>
      </c>
      <c r="D135" s="27">
        <v>5.1136363636363633E-2</v>
      </c>
      <c r="E135" s="27">
        <f t="shared" si="3"/>
        <v>0.4713740458015267</v>
      </c>
      <c r="F135" s="27">
        <f t="shared" si="4"/>
        <v>-7.1816311545650782E-2</v>
      </c>
      <c r="G135" s="27">
        <f t="shared" si="5"/>
        <v>3.912023005428146</v>
      </c>
      <c r="H135" s="27">
        <f t="shared" si="5"/>
        <v>0.21511137961694549</v>
      </c>
      <c r="I135" s="27">
        <f t="shared" si="5"/>
        <v>-2.9732594177019327</v>
      </c>
      <c r="J135" s="27"/>
    </row>
    <row r="136" spans="1:10">
      <c r="A136" s="27">
        <v>125</v>
      </c>
      <c r="B136" s="27">
        <v>50</v>
      </c>
      <c r="C136" s="27">
        <v>1.3</v>
      </c>
      <c r="D136" s="27">
        <v>5.1136363636363633E-2</v>
      </c>
      <c r="E136" s="27">
        <f t="shared" si="3"/>
        <v>0.47519083969465647</v>
      </c>
      <c r="F136" s="27">
        <f t="shared" si="4"/>
        <v>-6.2227479530504601E-2</v>
      </c>
      <c r="G136" s="27">
        <f t="shared" si="5"/>
        <v>3.912023005428146</v>
      </c>
      <c r="H136" s="27">
        <f t="shared" si="5"/>
        <v>0.26236426446749106</v>
      </c>
      <c r="I136" s="27">
        <f t="shared" si="5"/>
        <v>-2.9732594177019327</v>
      </c>
      <c r="J136" s="27"/>
    </row>
    <row r="137" spans="1:10">
      <c r="A137" s="27">
        <v>126</v>
      </c>
      <c r="B137" s="27">
        <v>55</v>
      </c>
      <c r="C137" s="27">
        <v>1.4</v>
      </c>
      <c r="D137" s="27">
        <v>5.6250000000000001E-2</v>
      </c>
      <c r="E137" s="27">
        <f t="shared" si="3"/>
        <v>0.47900763358778625</v>
      </c>
      <c r="F137" s="27">
        <f t="shared" si="4"/>
        <v>-5.2644365783992259E-2</v>
      </c>
      <c r="G137" s="27">
        <f t="shared" si="5"/>
        <v>4.0073331852324712</v>
      </c>
      <c r="H137" s="27">
        <f t="shared" si="5"/>
        <v>0.33647223662121289</v>
      </c>
      <c r="I137" s="27">
        <f t="shared" si="5"/>
        <v>-2.8779492378976075</v>
      </c>
      <c r="J137" s="27"/>
    </row>
    <row r="138" spans="1:10">
      <c r="A138" s="27">
        <v>127</v>
      </c>
      <c r="B138" s="27">
        <v>55</v>
      </c>
      <c r="C138" s="27">
        <v>1.5</v>
      </c>
      <c r="D138" s="27">
        <v>5.6818181818181816E-2</v>
      </c>
      <c r="E138" s="27">
        <f t="shared" si="3"/>
        <v>0.48282442748091603</v>
      </c>
      <c r="F138" s="27">
        <f t="shared" si="4"/>
        <v>-4.3066084362190685E-2</v>
      </c>
      <c r="G138" s="27">
        <f t="shared" si="5"/>
        <v>4.0073331852324712</v>
      </c>
      <c r="H138" s="27">
        <f t="shared" si="5"/>
        <v>0.40546510810816438</v>
      </c>
      <c r="I138" s="27">
        <f t="shared" si="5"/>
        <v>-2.8678989020441059</v>
      </c>
      <c r="J138" s="27"/>
    </row>
    <row r="139" spans="1:10">
      <c r="A139" s="27">
        <v>128</v>
      </c>
      <c r="B139" s="27">
        <v>60</v>
      </c>
      <c r="C139" s="27">
        <v>1.5</v>
      </c>
      <c r="D139" s="27">
        <v>5.6818181818181816E-2</v>
      </c>
      <c r="E139" s="27">
        <f t="shared" si="3"/>
        <v>0.48664122137404581</v>
      </c>
      <c r="F139" s="27">
        <f t="shared" si="4"/>
        <v>-3.3491752434063431E-2</v>
      </c>
      <c r="G139" s="27">
        <f t="shared" si="5"/>
        <v>4.0943445622221004</v>
      </c>
      <c r="H139" s="27">
        <f t="shared" si="5"/>
        <v>0.40546510810816438</v>
      </c>
      <c r="I139" s="27">
        <f t="shared" si="5"/>
        <v>-2.8678989020441059</v>
      </c>
      <c r="J139" s="27"/>
    </row>
    <row r="140" spans="1:10">
      <c r="A140" s="27">
        <v>129</v>
      </c>
      <c r="B140" s="27">
        <v>60</v>
      </c>
      <c r="C140" s="27">
        <v>1.5</v>
      </c>
      <c r="D140" s="27">
        <v>5.6818181818181816E-2</v>
      </c>
      <c r="E140" s="27">
        <f t="shared" si="3"/>
        <v>0.49045801526717558</v>
      </c>
      <c r="F140" s="27">
        <f t="shared" si="4"/>
        <v>-2.3920489708433315E-2</v>
      </c>
      <c r="G140" s="27">
        <f t="shared" si="5"/>
        <v>4.0943445622221004</v>
      </c>
      <c r="H140" s="27">
        <f t="shared" si="5"/>
        <v>0.40546510810816438</v>
      </c>
      <c r="I140" s="27">
        <f t="shared" si="5"/>
        <v>-2.8678989020441059</v>
      </c>
      <c r="J140" s="27"/>
    </row>
    <row r="141" spans="1:10">
      <c r="A141" s="27">
        <v>130</v>
      </c>
      <c r="B141" s="27">
        <v>60</v>
      </c>
      <c r="C141" s="27">
        <v>1.5</v>
      </c>
      <c r="D141" s="27">
        <v>5.6818181818181816E-2</v>
      </c>
      <c r="E141" s="27">
        <f t="shared" ref="E141:E204" si="6">(A141-0.5)/262</f>
        <v>0.49427480916030536</v>
      </c>
      <c r="F141" s="27">
        <f t="shared" ref="F141:F204" si="7">NORMSINV(E141)</f>
        <v>-1.4351417865196142E-2</v>
      </c>
      <c r="G141" s="27">
        <f t="shared" ref="G141:I204" si="8">LN(B141)</f>
        <v>4.0943445622221004</v>
      </c>
      <c r="H141" s="27">
        <f t="shared" si="8"/>
        <v>0.40546510810816438</v>
      </c>
      <c r="I141" s="27">
        <f t="shared" si="8"/>
        <v>-2.8678989020441059</v>
      </c>
      <c r="J141" s="27"/>
    </row>
    <row r="142" spans="1:10">
      <c r="A142" s="27">
        <v>131</v>
      </c>
      <c r="B142" s="27">
        <v>60</v>
      </c>
      <c r="C142" s="27">
        <v>1.5</v>
      </c>
      <c r="D142" s="27">
        <v>5.6818181818181816E-2</v>
      </c>
      <c r="E142" s="27">
        <f t="shared" si="6"/>
        <v>0.49809160305343514</v>
      </c>
      <c r="F142" s="27">
        <f t="shared" si="7"/>
        <v>-4.7836599898194694E-3</v>
      </c>
      <c r="G142" s="27">
        <f t="shared" si="8"/>
        <v>4.0943445622221004</v>
      </c>
      <c r="H142" s="27">
        <f t="shared" si="8"/>
        <v>0.40546510810816438</v>
      </c>
      <c r="I142" s="27">
        <f t="shared" si="8"/>
        <v>-2.8678989020441059</v>
      </c>
      <c r="J142" s="27"/>
    </row>
    <row r="143" spans="1:10">
      <c r="A143" s="27">
        <v>132</v>
      </c>
      <c r="B143" s="27">
        <v>60</v>
      </c>
      <c r="C143" s="522">
        <v>1.55</v>
      </c>
      <c r="D143" s="27">
        <v>5.6818181818181816E-2</v>
      </c>
      <c r="E143" s="27">
        <f t="shared" si="6"/>
        <v>0.50190839694656486</v>
      </c>
      <c r="F143" s="27">
        <f t="shared" si="7"/>
        <v>4.7836599898194694E-3</v>
      </c>
      <c r="G143" s="27">
        <f t="shared" si="8"/>
        <v>4.0943445622221004</v>
      </c>
      <c r="H143" s="27">
        <f t="shared" si="8"/>
        <v>0.43825493093115531</v>
      </c>
      <c r="I143" s="27">
        <f t="shared" si="8"/>
        <v>-2.8678989020441059</v>
      </c>
      <c r="J143" s="27"/>
    </row>
    <row r="144" spans="1:10">
      <c r="A144" s="27">
        <v>133</v>
      </c>
      <c r="B144" s="27">
        <v>60</v>
      </c>
      <c r="C144" s="27">
        <v>1.83</v>
      </c>
      <c r="D144" s="27">
        <v>5.6818181818181816E-2</v>
      </c>
      <c r="E144" s="27">
        <f t="shared" si="6"/>
        <v>0.50572519083969469</v>
      </c>
      <c r="F144" s="27">
        <f t="shared" si="7"/>
        <v>1.4351417865196279E-2</v>
      </c>
      <c r="G144" s="27">
        <f t="shared" si="8"/>
        <v>4.0943445622221004</v>
      </c>
      <c r="H144" s="27">
        <f t="shared" si="8"/>
        <v>0.60431596685332956</v>
      </c>
      <c r="I144" s="27">
        <f t="shared" si="8"/>
        <v>-2.8678989020441059</v>
      </c>
      <c r="J144" s="27"/>
    </row>
    <row r="145" spans="1:10">
      <c r="A145" s="27">
        <v>134</v>
      </c>
      <c r="B145" s="27">
        <v>67</v>
      </c>
      <c r="C145" s="27">
        <v>1.9</v>
      </c>
      <c r="D145" s="27">
        <v>5.6818181818181816E-2</v>
      </c>
      <c r="E145" s="27">
        <f t="shared" si="6"/>
        <v>0.50954198473282442</v>
      </c>
      <c r="F145" s="27">
        <f t="shared" si="7"/>
        <v>2.3920489708433315E-2</v>
      </c>
      <c r="G145" s="27">
        <f t="shared" si="8"/>
        <v>4.2046926193909657</v>
      </c>
      <c r="H145" s="27">
        <f t="shared" si="8"/>
        <v>0.64185388617239469</v>
      </c>
      <c r="I145" s="27">
        <f t="shared" si="8"/>
        <v>-2.8678989020441059</v>
      </c>
      <c r="J145" s="27"/>
    </row>
    <row r="146" spans="1:10">
      <c r="A146" s="27">
        <v>135</v>
      </c>
      <c r="B146" s="27">
        <v>70</v>
      </c>
      <c r="C146" s="27">
        <v>2</v>
      </c>
      <c r="D146" s="27">
        <v>5.6818181818181816E-2</v>
      </c>
      <c r="E146" s="27">
        <f t="shared" si="6"/>
        <v>0.51335877862595425</v>
      </c>
      <c r="F146" s="27">
        <f t="shared" si="7"/>
        <v>3.3491752434063569E-2</v>
      </c>
      <c r="G146" s="27">
        <f t="shared" si="8"/>
        <v>4.2484952420493594</v>
      </c>
      <c r="H146" s="27">
        <f t="shared" si="8"/>
        <v>0.69314718055994529</v>
      </c>
      <c r="I146" s="27">
        <f t="shared" si="8"/>
        <v>-2.8678989020441059</v>
      </c>
      <c r="J146" s="27"/>
    </row>
    <row r="147" spans="1:10">
      <c r="A147" s="27">
        <v>136</v>
      </c>
      <c r="B147" s="27">
        <v>70</v>
      </c>
      <c r="C147" s="27">
        <v>2</v>
      </c>
      <c r="D147" s="27">
        <v>6.7045454545454547E-2</v>
      </c>
      <c r="E147" s="27">
        <f t="shared" si="6"/>
        <v>0.51717557251908397</v>
      </c>
      <c r="F147" s="27">
        <f t="shared" si="7"/>
        <v>4.3066084362190685E-2</v>
      </c>
      <c r="G147" s="27">
        <f t="shared" si="8"/>
        <v>4.2484952420493594</v>
      </c>
      <c r="H147" s="27">
        <f t="shared" si="8"/>
        <v>0.69314718055994529</v>
      </c>
      <c r="I147" s="27">
        <f t="shared" si="8"/>
        <v>-2.7023844635665326</v>
      </c>
      <c r="J147" s="27"/>
    </row>
    <row r="148" spans="1:10">
      <c r="A148" s="27">
        <v>137</v>
      </c>
      <c r="B148" s="27">
        <v>70</v>
      </c>
      <c r="C148" s="27">
        <v>2</v>
      </c>
      <c r="D148" s="27">
        <v>6.8181818181818177E-2</v>
      </c>
      <c r="E148" s="27">
        <f t="shared" si="6"/>
        <v>0.52099236641221369</v>
      </c>
      <c r="F148" s="27">
        <f t="shared" si="7"/>
        <v>5.2644365783992113E-2</v>
      </c>
      <c r="G148" s="27">
        <f t="shared" si="8"/>
        <v>4.2484952420493594</v>
      </c>
      <c r="H148" s="27">
        <f t="shared" si="8"/>
        <v>0.69314718055994529</v>
      </c>
      <c r="I148" s="27">
        <f t="shared" si="8"/>
        <v>-2.6855773452501515</v>
      </c>
      <c r="J148" s="27"/>
    </row>
    <row r="149" spans="1:10">
      <c r="A149" s="27">
        <v>138</v>
      </c>
      <c r="B149" s="27">
        <v>73</v>
      </c>
      <c r="C149" s="27">
        <v>2</v>
      </c>
      <c r="D149" s="27">
        <v>7.045454545454545E-2</v>
      </c>
      <c r="E149" s="27">
        <f t="shared" si="6"/>
        <v>0.52480916030534353</v>
      </c>
      <c r="F149" s="27">
        <f t="shared" si="7"/>
        <v>6.2227479530504601E-2</v>
      </c>
      <c r="G149" s="27">
        <f t="shared" si="8"/>
        <v>4.290459441148391</v>
      </c>
      <c r="H149" s="27">
        <f t="shared" si="8"/>
        <v>0.69314718055994529</v>
      </c>
      <c r="I149" s="27">
        <f t="shared" si="8"/>
        <v>-2.6527875224271606</v>
      </c>
      <c r="J149" s="27"/>
    </row>
    <row r="150" spans="1:10">
      <c r="A150" s="27">
        <v>139</v>
      </c>
      <c r="B150" s="27">
        <v>75</v>
      </c>
      <c r="C150" s="27">
        <v>2</v>
      </c>
      <c r="D150" s="27">
        <v>7.1590909090909094E-2</v>
      </c>
      <c r="E150" s="27">
        <f t="shared" si="6"/>
        <v>0.52862595419847325</v>
      </c>
      <c r="F150" s="27">
        <f t="shared" si="7"/>
        <v>7.1816311545650643E-2</v>
      </c>
      <c r="G150" s="27">
        <f t="shared" si="8"/>
        <v>4.3174881135363101</v>
      </c>
      <c r="H150" s="27">
        <f t="shared" si="8"/>
        <v>0.69314718055994529</v>
      </c>
      <c r="I150" s="27">
        <f t="shared" si="8"/>
        <v>-2.6367871810807193</v>
      </c>
      <c r="J150" s="27"/>
    </row>
    <row r="151" spans="1:10">
      <c r="A151" s="27">
        <v>140</v>
      </c>
      <c r="B151" s="27">
        <v>75</v>
      </c>
      <c r="C151" s="27">
        <v>2</v>
      </c>
      <c r="D151" s="27">
        <v>7.2727272727272738E-2</v>
      </c>
      <c r="E151" s="27">
        <f t="shared" si="6"/>
        <v>0.53244274809160308</v>
      </c>
      <c r="F151" s="27">
        <f t="shared" si="7"/>
        <v>8.1411751464479085E-2</v>
      </c>
      <c r="G151" s="27">
        <f t="shared" si="8"/>
        <v>4.3174881135363101</v>
      </c>
      <c r="H151" s="27">
        <f t="shared" si="8"/>
        <v>0.69314718055994529</v>
      </c>
      <c r="I151" s="27">
        <f t="shared" si="8"/>
        <v>-2.6210388241125804</v>
      </c>
      <c r="J151" s="27"/>
    </row>
    <row r="152" spans="1:10">
      <c r="A152" s="27">
        <v>141</v>
      </c>
      <c r="B152" s="27">
        <v>75</v>
      </c>
      <c r="C152" s="27">
        <v>2</v>
      </c>
      <c r="D152" s="27">
        <v>7.8409090909090901E-2</v>
      </c>
      <c r="E152" s="27">
        <f t="shared" si="6"/>
        <v>0.5362595419847328</v>
      </c>
      <c r="F152" s="27">
        <f t="shared" si="7"/>
        <v>9.1014693197598751E-2</v>
      </c>
      <c r="G152" s="27">
        <f t="shared" si="8"/>
        <v>4.3174881135363101</v>
      </c>
      <c r="H152" s="27">
        <f t="shared" si="8"/>
        <v>0.69314718055994529</v>
      </c>
      <c r="I152" s="27">
        <f t="shared" si="8"/>
        <v>-2.5458154028749931</v>
      </c>
      <c r="J152" s="27"/>
    </row>
    <row r="153" spans="1:10">
      <c r="A153" s="27">
        <v>142</v>
      </c>
      <c r="B153" s="27">
        <v>77</v>
      </c>
      <c r="C153" s="27">
        <v>2</v>
      </c>
      <c r="D153" s="27">
        <v>8.0625000000000002E-2</v>
      </c>
      <c r="E153" s="27">
        <f t="shared" si="6"/>
        <v>0.54007633587786263</v>
      </c>
      <c r="F153" s="27">
        <f t="shared" si="7"/>
        <v>0.10062603552282023</v>
      </c>
      <c r="G153" s="27">
        <f t="shared" si="8"/>
        <v>4.3438054218536841</v>
      </c>
      <c r="H153" s="27">
        <f t="shared" si="8"/>
        <v>0.69314718055994529</v>
      </c>
      <c r="I153" s="27">
        <f t="shared" si="8"/>
        <v>-2.5179465038662006</v>
      </c>
      <c r="J153" s="27"/>
    </row>
    <row r="154" spans="1:10">
      <c r="A154" s="27">
        <v>143</v>
      </c>
      <c r="B154" s="27">
        <v>80</v>
      </c>
      <c r="C154" s="27">
        <v>2</v>
      </c>
      <c r="D154" s="27">
        <v>8.4090909090909091E-2</v>
      </c>
      <c r="E154" s="27">
        <f t="shared" si="6"/>
        <v>0.54389312977099236</v>
      </c>
      <c r="F154" s="27">
        <f t="shared" si="7"/>
        <v>0.11024668268502609</v>
      </c>
      <c r="G154" s="27">
        <f t="shared" si="8"/>
        <v>4.3820266346738812</v>
      </c>
      <c r="H154" s="27">
        <f t="shared" si="8"/>
        <v>0.69314718055994529</v>
      </c>
      <c r="I154" s="27">
        <f t="shared" si="8"/>
        <v>-2.4758568142680826</v>
      </c>
      <c r="J154" s="27"/>
    </row>
    <row r="155" spans="1:10">
      <c r="A155" s="27">
        <v>144</v>
      </c>
      <c r="B155" s="27">
        <v>80</v>
      </c>
      <c r="C155" s="27">
        <v>2</v>
      </c>
      <c r="D155" s="27">
        <v>8.5227272727272721E-2</v>
      </c>
      <c r="E155" s="27">
        <f t="shared" si="6"/>
        <v>0.54770992366412219</v>
      </c>
      <c r="F155" s="27">
        <f t="shared" si="7"/>
        <v>0.11987754500533426</v>
      </c>
      <c r="G155" s="27">
        <f t="shared" si="8"/>
        <v>4.3820266346738812</v>
      </c>
      <c r="H155" s="27">
        <f t="shared" si="8"/>
        <v>0.69314718055994529</v>
      </c>
      <c r="I155" s="27">
        <f t="shared" si="8"/>
        <v>-2.4624337939359418</v>
      </c>
      <c r="J155" s="27"/>
    </row>
    <row r="156" spans="1:10">
      <c r="A156" s="27">
        <v>145</v>
      </c>
      <c r="B156" s="27">
        <v>80</v>
      </c>
      <c r="C156" s="27">
        <v>2</v>
      </c>
      <c r="D156" s="27">
        <v>8.5227272727272721E-2</v>
      </c>
      <c r="E156" s="27">
        <f t="shared" si="6"/>
        <v>0.55152671755725191</v>
      </c>
      <c r="F156" s="27">
        <f t="shared" si="7"/>
        <v>0.12951953950063169</v>
      </c>
      <c r="G156" s="27">
        <f t="shared" si="8"/>
        <v>4.3820266346738812</v>
      </c>
      <c r="H156" s="27">
        <f t="shared" si="8"/>
        <v>0.69314718055994529</v>
      </c>
      <c r="I156" s="27">
        <f t="shared" si="8"/>
        <v>-2.4624337939359418</v>
      </c>
      <c r="J156" s="27"/>
    </row>
    <row r="157" spans="1:10">
      <c r="A157" s="27">
        <v>146</v>
      </c>
      <c r="B157" s="27">
        <v>90</v>
      </c>
      <c r="C157" s="27">
        <v>2</v>
      </c>
      <c r="D157" s="27">
        <v>8.5227272727272721E-2</v>
      </c>
      <c r="E157" s="27">
        <f t="shared" si="6"/>
        <v>0.55534351145038163</v>
      </c>
      <c r="F157" s="27">
        <f t="shared" si="7"/>
        <v>0.13917359051460698</v>
      </c>
      <c r="G157" s="27">
        <f t="shared" si="8"/>
        <v>4.499809670330265</v>
      </c>
      <c r="H157" s="27">
        <f t="shared" si="8"/>
        <v>0.69314718055994529</v>
      </c>
      <c r="I157" s="27">
        <f t="shared" si="8"/>
        <v>-2.4624337939359418</v>
      </c>
      <c r="J157" s="27"/>
    </row>
    <row r="158" spans="1:10">
      <c r="A158" s="27">
        <v>147</v>
      </c>
      <c r="B158" s="27">
        <v>90</v>
      </c>
      <c r="C158" s="27">
        <v>2</v>
      </c>
      <c r="D158" s="27">
        <v>8.5227272727272721E-2</v>
      </c>
      <c r="E158" s="27">
        <f t="shared" si="6"/>
        <v>0.55916030534351147</v>
      </c>
      <c r="F158" s="27">
        <f t="shared" si="7"/>
        <v>0.14884063036143219</v>
      </c>
      <c r="G158" s="27">
        <f t="shared" si="8"/>
        <v>4.499809670330265</v>
      </c>
      <c r="H158" s="27">
        <f t="shared" si="8"/>
        <v>0.69314718055994529</v>
      </c>
      <c r="I158" s="27">
        <f t="shared" si="8"/>
        <v>-2.4624337939359418</v>
      </c>
      <c r="J158" s="27"/>
    </row>
    <row r="159" spans="1:10">
      <c r="A159" s="27">
        <v>148</v>
      </c>
      <c r="B159" s="27">
        <v>90</v>
      </c>
      <c r="C159" s="27">
        <v>2</v>
      </c>
      <c r="D159" s="27">
        <v>9.375E-2</v>
      </c>
      <c r="E159" s="27">
        <f t="shared" si="6"/>
        <v>0.56297709923664119</v>
      </c>
      <c r="F159" s="27">
        <f t="shared" si="7"/>
        <v>0.15852159998329707</v>
      </c>
      <c r="G159" s="27">
        <f t="shared" si="8"/>
        <v>4.499809670330265</v>
      </c>
      <c r="H159" s="27">
        <f t="shared" si="8"/>
        <v>0.69314718055994529</v>
      </c>
      <c r="I159" s="27">
        <f t="shared" si="8"/>
        <v>-2.367123614131617</v>
      </c>
      <c r="J159" s="27"/>
    </row>
    <row r="160" spans="1:10">
      <c r="A160" s="27">
        <v>149</v>
      </c>
      <c r="B160" s="27">
        <v>100</v>
      </c>
      <c r="C160" s="27">
        <v>2</v>
      </c>
      <c r="D160" s="27">
        <v>0.10227272727272727</v>
      </c>
      <c r="E160" s="27">
        <f t="shared" si="6"/>
        <v>0.56679389312977102</v>
      </c>
      <c r="F160" s="27">
        <f t="shared" si="7"/>
        <v>0.16821744962304327</v>
      </c>
      <c r="G160" s="27">
        <f t="shared" si="8"/>
        <v>4.6051701859880918</v>
      </c>
      <c r="H160" s="27">
        <f t="shared" si="8"/>
        <v>0.69314718055994529</v>
      </c>
      <c r="I160" s="27">
        <f t="shared" si="8"/>
        <v>-2.2801122371419873</v>
      </c>
      <c r="J160" s="27"/>
    </row>
    <row r="161" spans="1:10">
      <c r="A161" s="27">
        <v>150</v>
      </c>
      <c r="B161" s="27">
        <v>100</v>
      </c>
      <c r="C161" s="27">
        <v>2</v>
      </c>
      <c r="D161" s="27">
        <v>0.10227272727272728</v>
      </c>
      <c r="E161" s="27">
        <f t="shared" si="6"/>
        <v>0.57061068702290074</v>
      </c>
      <c r="F161" s="27">
        <f t="shared" si="7"/>
        <v>0.17792913951318964</v>
      </c>
      <c r="G161" s="27">
        <f t="shared" si="8"/>
        <v>4.6051701859880918</v>
      </c>
      <c r="H161" s="27">
        <f t="shared" si="8"/>
        <v>0.69314718055994529</v>
      </c>
      <c r="I161" s="27">
        <f t="shared" si="8"/>
        <v>-2.2801122371419869</v>
      </c>
      <c r="J161" s="27"/>
    </row>
    <row r="162" spans="1:10">
      <c r="A162" s="27">
        <v>151</v>
      </c>
      <c r="B162" s="27">
        <v>100</v>
      </c>
      <c r="C162" s="27">
        <v>2</v>
      </c>
      <c r="D162" s="27">
        <v>0.11363636363636363</v>
      </c>
      <c r="E162" s="27">
        <f t="shared" si="6"/>
        <v>0.57442748091603058</v>
      </c>
      <c r="F162" s="27">
        <f t="shared" si="7"/>
        <v>0.18765764058270851</v>
      </c>
      <c r="G162" s="27">
        <f t="shared" si="8"/>
        <v>4.6051701859880918</v>
      </c>
      <c r="H162" s="27">
        <f t="shared" si="8"/>
        <v>0.69314718055994529</v>
      </c>
      <c r="I162" s="27">
        <f t="shared" si="8"/>
        <v>-2.174751721484161</v>
      </c>
      <c r="J162" s="27"/>
    </row>
    <row r="163" spans="1:10">
      <c r="A163" s="27">
        <v>152</v>
      </c>
      <c r="B163" s="27">
        <v>100</v>
      </c>
      <c r="C163" s="27">
        <v>2</v>
      </c>
      <c r="D163" s="27">
        <v>0.11363636363636363</v>
      </c>
      <c r="E163" s="27">
        <f t="shared" si="6"/>
        <v>0.5782442748091603</v>
      </c>
      <c r="F163" s="27">
        <f t="shared" si="7"/>
        <v>0.19740393518295835</v>
      </c>
      <c r="G163" s="27">
        <f t="shared" si="8"/>
        <v>4.6051701859880918</v>
      </c>
      <c r="H163" s="27">
        <f t="shared" si="8"/>
        <v>0.69314718055994529</v>
      </c>
      <c r="I163" s="27">
        <f t="shared" si="8"/>
        <v>-2.174751721484161</v>
      </c>
      <c r="J163" s="27"/>
    </row>
    <row r="164" spans="1:10">
      <c r="A164" s="27">
        <v>153</v>
      </c>
      <c r="B164" s="27">
        <v>100</v>
      </c>
      <c r="C164" s="27">
        <v>2</v>
      </c>
      <c r="D164" s="27">
        <v>0.11363636363636363</v>
      </c>
      <c r="E164" s="27">
        <f t="shared" si="6"/>
        <v>0.58206106870229013</v>
      </c>
      <c r="F164" s="27">
        <f t="shared" si="7"/>
        <v>0.207169017834262</v>
      </c>
      <c r="G164" s="27">
        <f t="shared" si="8"/>
        <v>4.6051701859880918</v>
      </c>
      <c r="H164" s="27">
        <f t="shared" si="8"/>
        <v>0.69314718055994529</v>
      </c>
      <c r="I164" s="27">
        <f t="shared" si="8"/>
        <v>-2.174751721484161</v>
      </c>
      <c r="J164" s="27"/>
    </row>
    <row r="165" spans="1:10">
      <c r="A165" s="27">
        <v>154</v>
      </c>
      <c r="B165" s="27">
        <v>100</v>
      </c>
      <c r="C165" s="27">
        <v>2</v>
      </c>
      <c r="D165" s="27">
        <v>0.11363636363636363</v>
      </c>
      <c r="E165" s="27">
        <f t="shared" si="6"/>
        <v>0.58587786259541985</v>
      </c>
      <c r="F165" s="27">
        <f t="shared" si="7"/>
        <v>0.21695389599467269</v>
      </c>
      <c r="G165" s="27">
        <f t="shared" si="8"/>
        <v>4.6051701859880918</v>
      </c>
      <c r="H165" s="27">
        <f t="shared" si="8"/>
        <v>0.69314718055994529</v>
      </c>
      <c r="I165" s="27">
        <f t="shared" si="8"/>
        <v>-2.174751721484161</v>
      </c>
      <c r="J165" s="27"/>
    </row>
    <row r="166" spans="1:10">
      <c r="A166" s="27">
        <v>155</v>
      </c>
      <c r="B166" s="27">
        <v>100</v>
      </c>
      <c r="C166" s="27">
        <v>2</v>
      </c>
      <c r="D166" s="27">
        <v>0.11454545454545453</v>
      </c>
      <c r="E166" s="27">
        <f t="shared" si="6"/>
        <v>0.58969465648854957</v>
      </c>
      <c r="F166" s="27">
        <f t="shared" si="7"/>
        <v>0.22675959085256941</v>
      </c>
      <c r="G166" s="27">
        <f t="shared" si="8"/>
        <v>4.6051701859880918</v>
      </c>
      <c r="H166" s="27">
        <f t="shared" si="8"/>
        <v>0.69314718055994529</v>
      </c>
      <c r="I166" s="27">
        <f t="shared" si="8"/>
        <v>-2.1667835518349841</v>
      </c>
      <c r="J166" s="27"/>
    </row>
    <row r="167" spans="1:10">
      <c r="A167" s="27">
        <v>156</v>
      </c>
      <c r="B167" s="27">
        <v>100</v>
      </c>
      <c r="C167" s="27">
        <v>2</v>
      </c>
      <c r="D167" s="27">
        <v>0.12784090909090909</v>
      </c>
      <c r="E167" s="27">
        <f t="shared" si="6"/>
        <v>0.59351145038167941</v>
      </c>
      <c r="F167" s="27">
        <f t="shared" si="7"/>
        <v>0.23658713814479079</v>
      </c>
      <c r="G167" s="27">
        <f t="shared" si="8"/>
        <v>4.6051701859880918</v>
      </c>
      <c r="H167" s="27">
        <f t="shared" si="8"/>
        <v>0.69314718055994529</v>
      </c>
      <c r="I167" s="27">
        <f t="shared" si="8"/>
        <v>-2.0569686858277771</v>
      </c>
      <c r="J167" s="27"/>
    </row>
    <row r="168" spans="1:10">
      <c r="A168" s="27">
        <v>157</v>
      </c>
      <c r="B168" s="27">
        <v>100</v>
      </c>
      <c r="C168" s="27">
        <v>2</v>
      </c>
      <c r="D168" s="27">
        <v>0.13636363636363635</v>
      </c>
      <c r="E168" s="27">
        <f t="shared" si="6"/>
        <v>0.59732824427480913</v>
      </c>
      <c r="F168" s="27">
        <f t="shared" si="7"/>
        <v>0.24643758900211943</v>
      </c>
      <c r="G168" s="27">
        <f t="shared" si="8"/>
        <v>4.6051701859880918</v>
      </c>
      <c r="H168" s="27">
        <f t="shared" si="8"/>
        <v>0.69314718055994529</v>
      </c>
      <c r="I168" s="27">
        <f t="shared" si="8"/>
        <v>-1.9924301646902063</v>
      </c>
      <c r="J168" s="27"/>
    </row>
    <row r="169" spans="1:10">
      <c r="A169" s="27">
        <v>158</v>
      </c>
      <c r="B169" s="27">
        <v>100</v>
      </c>
      <c r="C169" s="27">
        <v>2.0099999999999998</v>
      </c>
      <c r="D169" s="27">
        <v>0.13636363636363635</v>
      </c>
      <c r="E169" s="27">
        <f t="shared" si="6"/>
        <v>0.60114503816793896</v>
      </c>
      <c r="F169" s="27">
        <f t="shared" si="7"/>
        <v>0.25631201082403193</v>
      </c>
      <c r="G169" s="27">
        <f t="shared" si="8"/>
        <v>4.6051701859880918</v>
      </c>
      <c r="H169" s="27">
        <f t="shared" si="8"/>
        <v>0.69813472207098426</v>
      </c>
      <c r="I169" s="27">
        <f t="shared" si="8"/>
        <v>-1.9924301646902063</v>
      </c>
      <c r="J169" s="27"/>
    </row>
    <row r="170" spans="1:10">
      <c r="A170" s="27">
        <v>159</v>
      </c>
      <c r="B170" s="27">
        <v>100</v>
      </c>
      <c r="C170" s="27">
        <v>2.02</v>
      </c>
      <c r="D170" s="27">
        <v>0.13750000000000001</v>
      </c>
      <c r="E170" s="27">
        <f t="shared" si="6"/>
        <v>0.60496183206106868</v>
      </c>
      <c r="F170" s="27">
        <f t="shared" si="7"/>
        <v>0.26621148818472556</v>
      </c>
      <c r="G170" s="27">
        <f t="shared" si="8"/>
        <v>4.6051701859880918</v>
      </c>
      <c r="H170" s="27">
        <f t="shared" si="8"/>
        <v>0.70309751141311339</v>
      </c>
      <c r="I170" s="27">
        <f t="shared" si="8"/>
        <v>-1.984131361875511</v>
      </c>
      <c r="J170" s="27"/>
    </row>
    <row r="171" spans="1:10">
      <c r="A171" s="27">
        <v>160</v>
      </c>
      <c r="B171" s="27">
        <v>100</v>
      </c>
      <c r="C171" s="27">
        <v>2.2000000000000002</v>
      </c>
      <c r="D171" s="27">
        <v>0.13875000000000001</v>
      </c>
      <c r="E171" s="27">
        <f t="shared" si="6"/>
        <v>0.60877862595419852</v>
      </c>
      <c r="F171" s="27">
        <f t="shared" si="7"/>
        <v>0.27613712377257016</v>
      </c>
      <c r="G171" s="27">
        <f t="shared" si="8"/>
        <v>4.6051701859880918</v>
      </c>
      <c r="H171" s="27">
        <f t="shared" si="8"/>
        <v>0.78845736036427028</v>
      </c>
      <c r="I171" s="27">
        <f t="shared" si="8"/>
        <v>-1.975081526355593</v>
      </c>
      <c r="J171" s="27"/>
    </row>
    <row r="172" spans="1:10">
      <c r="A172" s="27">
        <v>161</v>
      </c>
      <c r="B172" s="27">
        <v>100</v>
      </c>
      <c r="C172" s="27">
        <v>2.2000000000000002</v>
      </c>
      <c r="D172" s="27">
        <v>0.14204545454545453</v>
      </c>
      <c r="E172" s="27">
        <f t="shared" si="6"/>
        <v>0.61259541984732824</v>
      </c>
      <c r="F172" s="27">
        <f t="shared" si="7"/>
        <v>0.28609003936524313</v>
      </c>
      <c r="G172" s="27">
        <f t="shared" si="8"/>
        <v>4.6051701859880918</v>
      </c>
      <c r="H172" s="27">
        <f t="shared" si="8"/>
        <v>0.78845736036427028</v>
      </c>
      <c r="I172" s="27">
        <f t="shared" si="8"/>
        <v>-1.951608170169951</v>
      </c>
      <c r="J172" s="27"/>
    </row>
    <row r="173" spans="1:10">
      <c r="A173" s="27">
        <v>162</v>
      </c>
      <c r="B173" s="27">
        <v>100</v>
      </c>
      <c r="C173" s="27">
        <v>2.4</v>
      </c>
      <c r="D173" s="27">
        <v>0.15</v>
      </c>
      <c r="E173" s="27">
        <f t="shared" si="6"/>
        <v>0.61641221374045807</v>
      </c>
      <c r="F173" s="27">
        <f t="shared" si="7"/>
        <v>0.29607137684296164</v>
      </c>
      <c r="G173" s="27">
        <f t="shared" si="8"/>
        <v>4.6051701859880918</v>
      </c>
      <c r="H173" s="27">
        <f t="shared" si="8"/>
        <v>0.87546873735389985</v>
      </c>
      <c r="I173" s="27">
        <f t="shared" si="8"/>
        <v>-1.8971199848858813</v>
      </c>
      <c r="J173" s="27"/>
    </row>
    <row r="174" spans="1:10">
      <c r="A174" s="27">
        <v>163</v>
      </c>
      <c r="B174" s="27">
        <v>100</v>
      </c>
      <c r="C174" s="27">
        <v>2.5</v>
      </c>
      <c r="D174" s="27">
        <v>0.15625</v>
      </c>
      <c r="E174" s="27">
        <f t="shared" si="6"/>
        <v>0.62022900763358779</v>
      </c>
      <c r="F174" s="27">
        <f t="shared" si="7"/>
        <v>0.30608229924236263</v>
      </c>
      <c r="G174" s="27">
        <f t="shared" si="8"/>
        <v>4.6051701859880918</v>
      </c>
      <c r="H174" s="27">
        <f t="shared" si="8"/>
        <v>0.91629073187415511</v>
      </c>
      <c r="I174" s="27">
        <f t="shared" si="8"/>
        <v>-1.8562979903656263</v>
      </c>
      <c r="J174" s="27"/>
    </row>
    <row r="175" spans="1:10">
      <c r="A175" s="27">
        <v>164</v>
      </c>
      <c r="B175" s="27">
        <v>100</v>
      </c>
      <c r="C175" s="27">
        <v>2.5</v>
      </c>
      <c r="D175" s="27">
        <v>0.15909090909090909</v>
      </c>
      <c r="E175" s="27">
        <f t="shared" si="6"/>
        <v>0.62404580152671751</v>
      </c>
      <c r="F175" s="27">
        <f t="shared" si="7"/>
        <v>0.31612399185375711</v>
      </c>
      <c r="G175" s="27">
        <f t="shared" si="8"/>
        <v>4.6051701859880918</v>
      </c>
      <c r="H175" s="27">
        <f t="shared" si="8"/>
        <v>0.91629073187415511</v>
      </c>
      <c r="I175" s="27">
        <f t="shared" si="8"/>
        <v>-1.8382794848629478</v>
      </c>
      <c r="J175" s="27"/>
    </row>
    <row r="176" spans="1:10">
      <c r="A176" s="27">
        <v>165</v>
      </c>
      <c r="B176" s="27">
        <v>100</v>
      </c>
      <c r="C176" s="27">
        <v>2.5</v>
      </c>
      <c r="D176" s="27">
        <v>0.17045454545454544</v>
      </c>
      <c r="E176" s="27">
        <f t="shared" si="6"/>
        <v>0.62786259541984735</v>
      </c>
      <c r="F176" s="27">
        <f t="shared" si="7"/>
        <v>0.32619766336465211</v>
      </c>
      <c r="G176" s="27">
        <f t="shared" si="8"/>
        <v>4.6051701859880918</v>
      </c>
      <c r="H176" s="27">
        <f t="shared" si="8"/>
        <v>0.91629073187415511</v>
      </c>
      <c r="I176" s="27">
        <f t="shared" si="8"/>
        <v>-1.7692866133759966</v>
      </c>
      <c r="J176" s="27"/>
    </row>
    <row r="177" spans="1:10">
      <c r="A177" s="27">
        <v>166</v>
      </c>
      <c r="B177" s="27">
        <v>100</v>
      </c>
      <c r="C177" s="27">
        <v>2.5</v>
      </c>
      <c r="D177" s="27">
        <v>0.17045454545454544</v>
      </c>
      <c r="E177" s="27">
        <f t="shared" si="6"/>
        <v>0.63167938931297707</v>
      </c>
      <c r="F177" s="27">
        <f t="shared" si="7"/>
        <v>0.33630454705263402</v>
      </c>
      <c r="G177" s="27">
        <f t="shared" si="8"/>
        <v>4.6051701859880918</v>
      </c>
      <c r="H177" s="27">
        <f t="shared" si="8"/>
        <v>0.91629073187415511</v>
      </c>
      <c r="I177" s="27">
        <f t="shared" si="8"/>
        <v>-1.7692866133759966</v>
      </c>
      <c r="J177" s="27"/>
    </row>
    <row r="178" spans="1:10">
      <c r="A178" s="27">
        <v>167</v>
      </c>
      <c r="B178" s="27">
        <v>100</v>
      </c>
      <c r="C178" s="27">
        <v>2.5</v>
      </c>
      <c r="D178" s="27">
        <v>0.17045454545454544</v>
      </c>
      <c r="E178" s="27">
        <f t="shared" si="6"/>
        <v>0.6354961832061069</v>
      </c>
      <c r="F178" s="27">
        <f t="shared" si="7"/>
        <v>0.34644590203091391</v>
      </c>
      <c r="G178" s="27">
        <f t="shared" si="8"/>
        <v>4.6051701859880918</v>
      </c>
      <c r="H178" s="27">
        <f t="shared" si="8"/>
        <v>0.91629073187415511</v>
      </c>
      <c r="I178" s="27">
        <f t="shared" si="8"/>
        <v>-1.7692866133759966</v>
      </c>
      <c r="J178" s="27"/>
    </row>
    <row r="179" spans="1:10">
      <c r="A179" s="27">
        <v>168</v>
      </c>
      <c r="B179" s="27">
        <v>100</v>
      </c>
      <c r="C179" s="522">
        <v>2.5</v>
      </c>
      <c r="D179" s="27">
        <v>0.17045454545454544</v>
      </c>
      <c r="E179" s="27">
        <f t="shared" si="6"/>
        <v>0.63931297709923662</v>
      </c>
      <c r="F179" s="27">
        <f t="shared" si="7"/>
        <v>0.35662301455005585</v>
      </c>
      <c r="G179" s="27">
        <f t="shared" si="8"/>
        <v>4.6051701859880918</v>
      </c>
      <c r="H179" s="27">
        <f t="shared" si="8"/>
        <v>0.91629073187415511</v>
      </c>
      <c r="I179" s="27">
        <f t="shared" si="8"/>
        <v>-1.7692866133759966</v>
      </c>
      <c r="J179" s="27"/>
    </row>
    <row r="180" spans="1:10">
      <c r="A180" s="27">
        <v>169</v>
      </c>
      <c r="B180" s="27">
        <v>100</v>
      </c>
      <c r="C180" s="522">
        <v>2.65</v>
      </c>
      <c r="D180" s="27">
        <v>0.2</v>
      </c>
      <c r="E180" s="27">
        <f t="shared" si="6"/>
        <v>0.64312977099236646</v>
      </c>
      <c r="F180" s="27">
        <f t="shared" si="7"/>
        <v>0.36683719935966919</v>
      </c>
      <c r="G180" s="27">
        <f t="shared" si="8"/>
        <v>4.6051701859880918</v>
      </c>
      <c r="H180" s="27">
        <f t="shared" si="8"/>
        <v>0.97455963999813078</v>
      </c>
      <c r="I180" s="27">
        <f t="shared" si="8"/>
        <v>-1.6094379124341003</v>
      </c>
      <c r="J180" s="27"/>
    </row>
    <row r="181" spans="1:10">
      <c r="A181" s="27">
        <v>170</v>
      </c>
      <c r="B181" s="27">
        <v>100</v>
      </c>
      <c r="C181" s="27">
        <v>2.66</v>
      </c>
      <c r="D181" s="27">
        <v>0.20454545454545453</v>
      </c>
      <c r="E181" s="27">
        <f t="shared" si="6"/>
        <v>0.64694656488549618</v>
      </c>
      <c r="F181" s="27">
        <f t="shared" si="7"/>
        <v>0.37708980113409546</v>
      </c>
      <c r="G181" s="27">
        <f t="shared" si="8"/>
        <v>4.6051701859880918</v>
      </c>
      <c r="H181" s="27">
        <f t="shared" si="8"/>
        <v>0.97832612279360776</v>
      </c>
      <c r="I181" s="27">
        <f t="shared" si="8"/>
        <v>-1.5869650565820419</v>
      </c>
      <c r="J181" s="27"/>
    </row>
    <row r="182" spans="1:10">
      <c r="A182" s="27">
        <v>171</v>
      </c>
      <c r="B182" s="27">
        <v>100</v>
      </c>
      <c r="C182" s="27">
        <v>2.76</v>
      </c>
      <c r="D182" s="27">
        <v>0.20454545454545453</v>
      </c>
      <c r="E182" s="27">
        <f t="shared" si="6"/>
        <v>0.6507633587786259</v>
      </c>
      <c r="F182" s="27">
        <f t="shared" si="7"/>
        <v>0.38738219596643125</v>
      </c>
      <c r="G182" s="27">
        <f t="shared" si="8"/>
        <v>4.6051701859880918</v>
      </c>
      <c r="H182" s="27">
        <f t="shared" si="8"/>
        <v>1.0152306797290584</v>
      </c>
      <c r="I182" s="27">
        <f t="shared" si="8"/>
        <v>-1.5869650565820419</v>
      </c>
      <c r="J182" s="27"/>
    </row>
    <row r="183" spans="1:10">
      <c r="A183" s="27">
        <v>172</v>
      </c>
      <c r="B183" s="27">
        <v>100</v>
      </c>
      <c r="C183" s="522">
        <v>2.8</v>
      </c>
      <c r="D183" s="797">
        <v>0.20795454545454545</v>
      </c>
      <c r="E183" s="27">
        <f t="shared" si="6"/>
        <v>0.65458015267175573</v>
      </c>
      <c r="F183" s="27">
        <f t="shared" si="7"/>
        <v>0.39771579293552733</v>
      </c>
      <c r="G183" s="27">
        <f t="shared" si="8"/>
        <v>4.6051701859880918</v>
      </c>
      <c r="H183" s="27">
        <f t="shared" si="8"/>
        <v>1.0296194171811581</v>
      </c>
      <c r="I183" s="27">
        <f t="shared" si="8"/>
        <v>-1.5704357546308312</v>
      </c>
      <c r="J183" s="27"/>
    </row>
    <row r="184" spans="1:10">
      <c r="A184" s="27">
        <v>173</v>
      </c>
      <c r="B184" s="27">
        <v>100</v>
      </c>
      <c r="C184" s="27">
        <v>2.88</v>
      </c>
      <c r="D184" s="27">
        <v>0.2130681818181818</v>
      </c>
      <c r="E184" s="27">
        <f t="shared" si="6"/>
        <v>0.65839694656488545</v>
      </c>
      <c r="F184" s="27">
        <f t="shared" si="7"/>
        <v>0.40809203575095937</v>
      </c>
      <c r="G184" s="27">
        <f t="shared" si="8"/>
        <v>4.6051701859880918</v>
      </c>
      <c r="H184" s="27">
        <f t="shared" si="8"/>
        <v>1.0577902941478545</v>
      </c>
      <c r="I184" s="27">
        <f t="shared" si="8"/>
        <v>-1.5461430620617869</v>
      </c>
      <c r="J184" s="27"/>
    </row>
    <row r="185" spans="1:10">
      <c r="A185" s="27">
        <v>174</v>
      </c>
      <c r="B185" s="27">
        <v>100</v>
      </c>
      <c r="C185" s="27">
        <v>3</v>
      </c>
      <c r="D185" s="27">
        <v>0.22159090909090912</v>
      </c>
      <c r="E185" s="27">
        <f t="shared" si="6"/>
        <v>0.66221374045801529</v>
      </c>
      <c r="F185" s="27">
        <f t="shared" si="7"/>
        <v>0.41851240448134458</v>
      </c>
      <c r="G185" s="27">
        <f t="shared" si="8"/>
        <v>4.6051701859880918</v>
      </c>
      <c r="H185" s="27">
        <f t="shared" si="8"/>
        <v>1.0986122886681098</v>
      </c>
      <c r="I185" s="27">
        <f t="shared" si="8"/>
        <v>-1.5069223489085053</v>
      </c>
      <c r="J185" s="27"/>
    </row>
    <row r="186" spans="1:10">
      <c r="A186" s="27">
        <v>175</v>
      </c>
      <c r="B186" s="27">
        <v>100</v>
      </c>
      <c r="C186" s="27">
        <v>3</v>
      </c>
      <c r="D186" s="27">
        <v>0.22500000000000001</v>
      </c>
      <c r="E186" s="27">
        <f t="shared" si="6"/>
        <v>0.66603053435114501</v>
      </c>
      <c r="F186" s="27">
        <f t="shared" si="7"/>
        <v>0.4289784173717725</v>
      </c>
      <c r="G186" s="27">
        <f t="shared" si="8"/>
        <v>4.6051701859880918</v>
      </c>
      <c r="H186" s="27">
        <f t="shared" si="8"/>
        <v>1.0986122886681098</v>
      </c>
      <c r="I186" s="27">
        <f t="shared" si="8"/>
        <v>-1.4916548767777169</v>
      </c>
      <c r="J186" s="27"/>
    </row>
    <row r="187" spans="1:10">
      <c r="A187" s="27">
        <v>176</v>
      </c>
      <c r="B187" s="27">
        <v>100</v>
      </c>
      <c r="C187" s="27">
        <v>3</v>
      </c>
      <c r="D187" s="27">
        <v>0.22727272727272727</v>
      </c>
      <c r="E187" s="27">
        <f t="shared" si="6"/>
        <v>0.66984732824427484</v>
      </c>
      <c r="F187" s="27">
        <f t="shared" si="7"/>
        <v>0.43949163275658892</v>
      </c>
      <c r="G187" s="27">
        <f t="shared" si="8"/>
        <v>4.6051701859880918</v>
      </c>
      <c r="H187" s="27">
        <f t="shared" si="8"/>
        <v>1.0986122886681098</v>
      </c>
      <c r="I187" s="27">
        <f t="shared" si="8"/>
        <v>-1.4816045409242156</v>
      </c>
      <c r="J187" s="27"/>
    </row>
    <row r="188" spans="1:10">
      <c r="A188" s="27">
        <v>177</v>
      </c>
      <c r="B188" s="708">
        <v>100</v>
      </c>
      <c r="C188" s="27">
        <v>3</v>
      </c>
      <c r="D188" s="27">
        <v>0.22954545454545455</v>
      </c>
      <c r="E188" s="27">
        <f t="shared" si="6"/>
        <v>0.67366412213740456</v>
      </c>
      <c r="F188" s="27">
        <f t="shared" si="7"/>
        <v>0.45005365107423506</v>
      </c>
      <c r="G188" s="27">
        <f t="shared" si="8"/>
        <v>4.6051701859880918</v>
      </c>
      <c r="H188" s="27">
        <f t="shared" si="8"/>
        <v>1.0986122886681098</v>
      </c>
      <c r="I188" s="27">
        <f t="shared" si="8"/>
        <v>-1.4716542100710475</v>
      </c>
      <c r="J188" s="27"/>
    </row>
    <row r="189" spans="1:10">
      <c r="A189" s="27">
        <v>178</v>
      </c>
      <c r="B189" s="27">
        <v>100</v>
      </c>
      <c r="C189" s="27">
        <v>3</v>
      </c>
      <c r="D189" s="27">
        <v>0.22954545454545455</v>
      </c>
      <c r="E189" s="27">
        <f t="shared" si="6"/>
        <v>0.6774809160305344</v>
      </c>
      <c r="F189" s="27">
        <f t="shared" si="7"/>
        <v>0.46066611699140436</v>
      </c>
      <c r="G189" s="27">
        <f t="shared" si="8"/>
        <v>4.6051701859880918</v>
      </c>
      <c r="H189" s="27">
        <f t="shared" si="8"/>
        <v>1.0986122886681098</v>
      </c>
      <c r="I189" s="27">
        <f t="shared" si="8"/>
        <v>-1.4716542100710475</v>
      </c>
      <c r="J189" s="27"/>
    </row>
    <row r="190" spans="1:10">
      <c r="A190" s="27">
        <v>179</v>
      </c>
      <c r="B190" s="27">
        <v>100</v>
      </c>
      <c r="C190" s="27">
        <v>3</v>
      </c>
      <c r="D190" s="27">
        <v>0.25880681818181817</v>
      </c>
      <c r="E190" s="27">
        <f t="shared" si="6"/>
        <v>0.68129770992366412</v>
      </c>
      <c r="F190" s="27">
        <f t="shared" si="7"/>
        <v>0.47133072164434098</v>
      </c>
      <c r="G190" s="27">
        <f t="shared" si="8"/>
        <v>4.6051701859880918</v>
      </c>
      <c r="H190" s="27">
        <f t="shared" si="8"/>
        <v>1.0986122886681098</v>
      </c>
      <c r="I190" s="27">
        <f t="shared" si="8"/>
        <v>-1.3516733713321845</v>
      </c>
      <c r="J190" s="27"/>
    </row>
    <row r="191" spans="1:10">
      <c r="A191" s="27">
        <v>180</v>
      </c>
      <c r="B191" s="27">
        <v>100</v>
      </c>
      <c r="C191" s="27">
        <v>3</v>
      </c>
      <c r="D191" s="27">
        <v>0.27840909090909088</v>
      </c>
      <c r="E191" s="27">
        <f t="shared" si="6"/>
        <v>0.68511450381679384</v>
      </c>
      <c r="F191" s="27">
        <f t="shared" si="7"/>
        <v>0.48204920500576165</v>
      </c>
      <c r="G191" s="27">
        <f t="shared" si="8"/>
        <v>4.6051701859880918</v>
      </c>
      <c r="H191" s="27">
        <f t="shared" si="8"/>
        <v>1.0986122886681098</v>
      </c>
      <c r="I191" s="27">
        <f t="shared" si="8"/>
        <v>-1.2786636969275254</v>
      </c>
      <c r="J191" s="27"/>
    </row>
    <row r="192" spans="1:10">
      <c r="A192" s="27">
        <v>181</v>
      </c>
      <c r="B192" s="27">
        <v>100</v>
      </c>
      <c r="C192" s="27">
        <v>3</v>
      </c>
      <c r="D192" s="27">
        <v>0.28409090909090912</v>
      </c>
      <c r="E192" s="27">
        <f t="shared" si="6"/>
        <v>0.68893129770992367</v>
      </c>
      <c r="F192" s="27">
        <f t="shared" si="7"/>
        <v>0.49282335838657698</v>
      </c>
      <c r="G192" s="27">
        <f t="shared" si="8"/>
        <v>4.6051701859880918</v>
      </c>
      <c r="H192" s="27">
        <f t="shared" si="8"/>
        <v>1.0986122886681098</v>
      </c>
      <c r="I192" s="27">
        <f t="shared" si="8"/>
        <v>-1.2584609896100056</v>
      </c>
      <c r="J192" s="27"/>
    </row>
    <row r="193" spans="1:10">
      <c r="A193" s="27">
        <v>182</v>
      </c>
      <c r="B193" s="27">
        <v>100</v>
      </c>
      <c r="C193" s="27">
        <v>3</v>
      </c>
      <c r="D193" s="27">
        <v>0.29625000000000001</v>
      </c>
      <c r="E193" s="27">
        <f t="shared" si="6"/>
        <v>0.6927480916030534</v>
      </c>
      <c r="F193" s="27">
        <f t="shared" si="7"/>
        <v>0.50365502708235799</v>
      </c>
      <c r="G193" s="27">
        <f t="shared" si="8"/>
        <v>4.6051701859880918</v>
      </c>
      <c r="H193" s="27">
        <f t="shared" si="8"/>
        <v>1.0986122886681098</v>
      </c>
      <c r="I193" s="27">
        <f t="shared" si="8"/>
        <v>-1.216551586532796</v>
      </c>
      <c r="J193" s="27"/>
    </row>
    <row r="194" spans="1:10">
      <c r="A194" s="27">
        <v>183</v>
      </c>
      <c r="B194" s="522">
        <v>100</v>
      </c>
      <c r="C194" s="27">
        <v>3</v>
      </c>
      <c r="D194" s="27">
        <v>0.3125</v>
      </c>
      <c r="E194" s="27">
        <f t="shared" si="6"/>
        <v>0.69656488549618323</v>
      </c>
      <c r="F194" s="27">
        <f t="shared" si="7"/>
        <v>0.51454611317535259</v>
      </c>
      <c r="G194" s="27">
        <f t="shared" si="8"/>
        <v>4.6051701859880918</v>
      </c>
      <c r="H194" s="27">
        <f t="shared" si="8"/>
        <v>1.0986122886681098</v>
      </c>
      <c r="I194" s="27">
        <f t="shared" si="8"/>
        <v>-1.1631508098056809</v>
      </c>
      <c r="J194" s="27"/>
    </row>
    <row r="195" spans="1:10">
      <c r="A195" s="27">
        <v>184</v>
      </c>
      <c r="B195" s="27">
        <v>110</v>
      </c>
      <c r="C195" s="27">
        <v>3.3</v>
      </c>
      <c r="D195" s="27">
        <v>0.32130681818181817</v>
      </c>
      <c r="E195" s="27">
        <f t="shared" si="6"/>
        <v>0.70038167938931295</v>
      </c>
      <c r="F195" s="27">
        <f t="shared" si="7"/>
        <v>0.5254985785037698</v>
      </c>
      <c r="G195" s="27">
        <f t="shared" si="8"/>
        <v>4.7004803657924166</v>
      </c>
      <c r="H195" s="27">
        <f t="shared" si="8"/>
        <v>1.1939224684724346</v>
      </c>
      <c r="I195" s="27">
        <f t="shared" si="8"/>
        <v>-1.1353587924760224</v>
      </c>
      <c r="J195" s="27"/>
    </row>
    <row r="196" spans="1:10">
      <c r="A196" s="27">
        <v>185</v>
      </c>
      <c r="B196" s="27">
        <v>110</v>
      </c>
      <c r="C196" s="27">
        <v>3.33</v>
      </c>
      <c r="D196" s="27">
        <v>0.34090909090909088</v>
      </c>
      <c r="E196" s="27">
        <f t="shared" si="6"/>
        <v>0.70419847328244278</v>
      </c>
      <c r="F196" s="27">
        <f t="shared" si="7"/>
        <v>0.53651444781109792</v>
      </c>
      <c r="G196" s="27">
        <f t="shared" si="8"/>
        <v>4.7004803657924166</v>
      </c>
      <c r="H196" s="27">
        <f t="shared" si="8"/>
        <v>1.2029723039923526</v>
      </c>
      <c r="I196" s="27">
        <f t="shared" si="8"/>
        <v>-1.0761394328160512</v>
      </c>
      <c r="J196" s="27"/>
    </row>
    <row r="197" spans="1:10">
      <c r="A197" s="27">
        <v>186</v>
      </c>
      <c r="B197" s="27">
        <v>110</v>
      </c>
      <c r="C197" s="27">
        <v>3.5</v>
      </c>
      <c r="D197" s="27">
        <v>0.34090909090909088</v>
      </c>
      <c r="E197" s="27">
        <f t="shared" si="6"/>
        <v>0.7080152671755725</v>
      </c>
      <c r="F197" s="27">
        <f t="shared" si="7"/>
        <v>0.54759581208933283</v>
      </c>
      <c r="G197" s="27">
        <f t="shared" si="8"/>
        <v>4.7004803657924166</v>
      </c>
      <c r="H197" s="27">
        <f t="shared" si="8"/>
        <v>1.2527629684953681</v>
      </c>
      <c r="I197" s="27">
        <f t="shared" si="8"/>
        <v>-1.0761394328160512</v>
      </c>
      <c r="J197" s="27"/>
    </row>
    <row r="198" spans="1:10">
      <c r="A198" s="27">
        <v>187</v>
      </c>
      <c r="B198" s="27">
        <v>125</v>
      </c>
      <c r="C198" s="522">
        <v>3.54</v>
      </c>
      <c r="D198" s="27">
        <v>0.34090909090909088</v>
      </c>
      <c r="E198" s="27">
        <f t="shared" si="6"/>
        <v>0.71183206106870234</v>
      </c>
      <c r="F198" s="27">
        <f t="shared" si="7"/>
        <v>0.55874483213126447</v>
      </c>
      <c r="G198" s="27">
        <f t="shared" si="8"/>
        <v>4.8283137373023015</v>
      </c>
      <c r="H198" s="27">
        <f t="shared" si="8"/>
        <v>1.2641267271456831</v>
      </c>
      <c r="I198" s="27">
        <f t="shared" si="8"/>
        <v>-1.0761394328160512</v>
      </c>
      <c r="J198" s="27"/>
    </row>
    <row r="199" spans="1:10">
      <c r="A199" s="27">
        <v>188</v>
      </c>
      <c r="B199" s="27">
        <v>130</v>
      </c>
      <c r="C199" s="27">
        <v>3.57</v>
      </c>
      <c r="D199" s="27">
        <v>0.34090909090909088</v>
      </c>
      <c r="E199" s="27">
        <f t="shared" si="6"/>
        <v>0.71564885496183206</v>
      </c>
      <c r="F199" s="27">
        <f t="shared" si="7"/>
        <v>0.56996374230832691</v>
      </c>
      <c r="G199" s="27">
        <f t="shared" si="8"/>
        <v>4.8675344504555822</v>
      </c>
      <c r="H199" s="27">
        <f t="shared" si="8"/>
        <v>1.2725655957915476</v>
      </c>
      <c r="I199" s="27">
        <f t="shared" si="8"/>
        <v>-1.0761394328160512</v>
      </c>
      <c r="J199" s="27"/>
    </row>
    <row r="200" spans="1:10">
      <c r="A200" s="27">
        <v>189</v>
      </c>
      <c r="B200" s="27">
        <v>140</v>
      </c>
      <c r="C200" s="27">
        <v>3.6</v>
      </c>
      <c r="D200" s="27">
        <v>0.34090909090909088</v>
      </c>
      <c r="E200" s="27">
        <f t="shared" si="6"/>
        <v>0.71946564885496178</v>
      </c>
      <c r="F200" s="27">
        <f t="shared" si="7"/>
        <v>0.58125485459206683</v>
      </c>
      <c r="G200" s="27">
        <f t="shared" si="8"/>
        <v>4.9416424226093039</v>
      </c>
      <c r="H200" s="27">
        <f t="shared" si="8"/>
        <v>1.2809338454620642</v>
      </c>
      <c r="I200" s="27">
        <f t="shared" si="8"/>
        <v>-1.0761394328160512</v>
      </c>
      <c r="J200" s="27"/>
    </row>
    <row r="201" spans="1:10">
      <c r="A201" s="27">
        <v>190</v>
      </c>
      <c r="B201" s="27">
        <v>150</v>
      </c>
      <c r="C201" s="27">
        <v>3.6</v>
      </c>
      <c r="D201" s="27">
        <v>0.34090909090909088</v>
      </c>
      <c r="E201" s="27">
        <f t="shared" si="6"/>
        <v>0.72328244274809161</v>
      </c>
      <c r="F201" s="27">
        <f t="shared" si="7"/>
        <v>0.59262056283896225</v>
      </c>
      <c r="G201" s="27">
        <f t="shared" si="8"/>
        <v>5.0106352940962555</v>
      </c>
      <c r="H201" s="27">
        <f t="shared" si="8"/>
        <v>1.2809338454620642</v>
      </c>
      <c r="I201" s="27">
        <f t="shared" si="8"/>
        <v>-1.0761394328160512</v>
      </c>
      <c r="J201" s="27"/>
    </row>
    <row r="202" spans="1:10">
      <c r="A202" s="27">
        <v>191</v>
      </c>
      <c r="B202" s="27">
        <v>150</v>
      </c>
      <c r="C202" s="27">
        <v>3.6</v>
      </c>
      <c r="D202" s="27">
        <v>0.34090909090909088</v>
      </c>
      <c r="E202" s="27">
        <f t="shared" si="6"/>
        <v>0.72709923664122134</v>
      </c>
      <c r="F202" s="27">
        <f t="shared" si="7"/>
        <v>0.60406334736020972</v>
      </c>
      <c r="G202" s="27">
        <f t="shared" si="8"/>
        <v>5.0106352940962555</v>
      </c>
      <c r="H202" s="27">
        <f t="shared" si="8"/>
        <v>1.2809338454620642</v>
      </c>
      <c r="I202" s="27">
        <f t="shared" si="8"/>
        <v>-1.0761394328160512</v>
      </c>
      <c r="J202" s="27"/>
    </row>
    <row r="203" spans="1:10">
      <c r="A203" s="27">
        <v>192</v>
      </c>
      <c r="B203" s="27">
        <v>150</v>
      </c>
      <c r="C203" s="27">
        <v>3.77</v>
      </c>
      <c r="D203" s="27">
        <v>0.34090909090909088</v>
      </c>
      <c r="E203" s="27">
        <f t="shared" si="6"/>
        <v>0.73091603053435117</v>
      </c>
      <c r="F203" s="27">
        <f t="shared" si="7"/>
        <v>0.61558577980018625</v>
      </c>
      <c r="G203" s="27">
        <f t="shared" si="8"/>
        <v>5.0106352940962555</v>
      </c>
      <c r="H203" s="27">
        <f t="shared" si="8"/>
        <v>1.3270750014599193</v>
      </c>
      <c r="I203" s="27">
        <f t="shared" si="8"/>
        <v>-1.0761394328160512</v>
      </c>
      <c r="J203" s="27"/>
    </row>
    <row r="204" spans="1:10">
      <c r="A204" s="27">
        <v>193</v>
      </c>
      <c r="B204" s="27">
        <v>150</v>
      </c>
      <c r="C204" s="27">
        <v>3.8</v>
      </c>
      <c r="D204" s="27">
        <v>0.34090909090909088</v>
      </c>
      <c r="E204" s="27">
        <f t="shared" si="6"/>
        <v>0.73473282442748089</v>
      </c>
      <c r="F204" s="27">
        <f t="shared" si="7"/>
        <v>0.62719052834960598</v>
      </c>
      <c r="G204" s="27">
        <f t="shared" si="8"/>
        <v>5.0106352940962555</v>
      </c>
      <c r="H204" s="27">
        <f t="shared" si="8"/>
        <v>1.33500106673234</v>
      </c>
      <c r="I204" s="27">
        <f t="shared" si="8"/>
        <v>-1.0761394328160512</v>
      </c>
      <c r="J204" s="27"/>
    </row>
    <row r="205" spans="1:10">
      <c r="A205" s="27">
        <v>194</v>
      </c>
      <c r="B205" s="27">
        <v>150</v>
      </c>
      <c r="C205" s="27">
        <v>4</v>
      </c>
      <c r="D205" s="27">
        <v>0.36079545454545453</v>
      </c>
      <c r="E205" s="27">
        <f t="shared" ref="E205:E268" si="9">(A205-0.5)/262</f>
        <v>0.73854961832061072</v>
      </c>
      <c r="F205" s="27">
        <f t="shared" ref="F205:F273" si="10">NORMSINV(E205)</f>
        <v>0.63888036332198828</v>
      </c>
      <c r="G205" s="27">
        <f t="shared" ref="G205:I236" si="11">LN(B205)</f>
        <v>5.0106352940962555</v>
      </c>
      <c r="H205" s="27">
        <f t="shared" si="11"/>
        <v>1.3862943611198906</v>
      </c>
      <c r="I205" s="27">
        <f t="shared" si="11"/>
        <v>-1.0194440891395058</v>
      </c>
      <c r="J205" s="27"/>
    </row>
    <row r="206" spans="1:10">
      <c r="A206" s="27">
        <v>195</v>
      </c>
      <c r="B206" s="27">
        <v>150</v>
      </c>
      <c r="C206" s="27">
        <v>4</v>
      </c>
      <c r="D206" s="27">
        <v>0.38181818181818183</v>
      </c>
      <c r="E206" s="27">
        <f t="shared" si="9"/>
        <v>0.74236641221374045</v>
      </c>
      <c r="F206" s="27">
        <f t="shared" si="10"/>
        <v>0.65065816312493385</v>
      </c>
      <c r="G206" s="27">
        <f t="shared" si="11"/>
        <v>5.0106352940962555</v>
      </c>
      <c r="H206" s="27">
        <f t="shared" si="11"/>
        <v>1.3862943611198906</v>
      </c>
      <c r="I206" s="27">
        <f t="shared" si="11"/>
        <v>-0.96281074750904783</v>
      </c>
      <c r="J206" s="27"/>
    </row>
    <row r="207" spans="1:10">
      <c r="A207" s="27">
        <v>196</v>
      </c>
      <c r="B207" s="27">
        <v>150</v>
      </c>
      <c r="C207" s="27">
        <v>4</v>
      </c>
      <c r="D207" s="27">
        <v>0.41477272727272729</v>
      </c>
      <c r="E207" s="27">
        <f t="shared" si="9"/>
        <v>0.74618320610687028</v>
      </c>
      <c r="F207" s="27">
        <f t="shared" si="10"/>
        <v>0.66252692066094021</v>
      </c>
      <c r="G207" s="27">
        <f t="shared" si="11"/>
        <v>5.0106352940962555</v>
      </c>
      <c r="H207" s="27">
        <f t="shared" si="11"/>
        <v>1.3862943611198906</v>
      </c>
      <c r="I207" s="27">
        <f t="shared" si="11"/>
        <v>-0.88002455388976064</v>
      </c>
      <c r="J207" s="27"/>
    </row>
    <row r="208" spans="1:10">
      <c r="A208" s="27">
        <v>197</v>
      </c>
      <c r="B208" s="27">
        <v>150</v>
      </c>
      <c r="C208" s="27">
        <v>4</v>
      </c>
      <c r="D208" s="27">
        <v>0.42613636363636365</v>
      </c>
      <c r="E208" s="27">
        <f t="shared" si="9"/>
        <v>0.75</v>
      </c>
      <c r="F208" s="27">
        <f t="shared" si="10"/>
        <v>0.67448975019608193</v>
      </c>
      <c r="G208" s="27">
        <f t="shared" si="11"/>
        <v>5.0106352940962555</v>
      </c>
      <c r="H208" s="27">
        <f t="shared" si="11"/>
        <v>1.3862943611198906</v>
      </c>
      <c r="I208" s="27">
        <f t="shared" si="11"/>
        <v>-0.85299588150184136</v>
      </c>
      <c r="J208" s="27"/>
    </row>
    <row r="209" spans="1:10">
      <c r="A209" s="27">
        <v>198</v>
      </c>
      <c r="B209" s="27">
        <v>150</v>
      </c>
      <c r="C209" s="27">
        <v>4</v>
      </c>
      <c r="D209" s="27">
        <v>0.45340909090909087</v>
      </c>
      <c r="E209" s="27">
        <f t="shared" si="9"/>
        <v>0.75381679389312972</v>
      </c>
      <c r="F209" s="27">
        <f t="shared" si="10"/>
        <v>0.68654989473896011</v>
      </c>
      <c r="G209" s="27">
        <f t="shared" si="11"/>
        <v>5.0106352940962555</v>
      </c>
      <c r="H209" s="27">
        <f t="shared" si="11"/>
        <v>1.3862943611198906</v>
      </c>
      <c r="I209" s="27">
        <f t="shared" si="11"/>
        <v>-0.79096049058238882</v>
      </c>
      <c r="J209" s="27"/>
    </row>
    <row r="210" spans="1:10">
      <c r="A210" s="27">
        <v>199</v>
      </c>
      <c r="B210" s="27">
        <v>150</v>
      </c>
      <c r="C210" s="27">
        <v>4</v>
      </c>
      <c r="D210" s="27">
        <v>0.45454545454545453</v>
      </c>
      <c r="E210" s="27">
        <f t="shared" si="9"/>
        <v>0.75763358778625955</v>
      </c>
      <c r="F210" s="27">
        <f t="shared" si="10"/>
        <v>0.69871073397684169</v>
      </c>
      <c r="G210" s="27">
        <f t="shared" si="11"/>
        <v>5.0106352940962555</v>
      </c>
      <c r="H210" s="27">
        <f t="shared" si="11"/>
        <v>1.3862943611198906</v>
      </c>
      <c r="I210" s="27">
        <f t="shared" si="11"/>
        <v>-0.78845736036427017</v>
      </c>
      <c r="J210" s="27"/>
    </row>
    <row r="211" spans="1:10">
      <c r="A211" s="27">
        <v>200</v>
      </c>
      <c r="B211" s="27">
        <v>150</v>
      </c>
      <c r="C211" s="27">
        <v>4</v>
      </c>
      <c r="D211" s="27">
        <v>0.45454545454545453</v>
      </c>
      <c r="E211" s="27">
        <f t="shared" si="9"/>
        <v>0.76145038167938928</v>
      </c>
      <c r="F211" s="27">
        <f t="shared" si="10"/>
        <v>0.7109757928210424</v>
      </c>
      <c r="G211" s="27">
        <f t="shared" si="11"/>
        <v>5.0106352940962555</v>
      </c>
      <c r="H211" s="27">
        <f t="shared" si="11"/>
        <v>1.3862943611198906</v>
      </c>
      <c r="I211" s="27">
        <f t="shared" si="11"/>
        <v>-0.78845736036427017</v>
      </c>
      <c r="J211" s="27"/>
    </row>
    <row r="212" spans="1:10">
      <c r="A212" s="27">
        <v>201</v>
      </c>
      <c r="B212" s="27">
        <v>160</v>
      </c>
      <c r="C212" s="27">
        <v>4</v>
      </c>
      <c r="D212" s="27">
        <v>0.45454545454545459</v>
      </c>
      <c r="E212" s="27">
        <f t="shared" si="9"/>
        <v>0.76526717557251911</v>
      </c>
      <c r="F212" s="27">
        <f t="shared" si="10"/>
        <v>0.72334875061938442</v>
      </c>
      <c r="G212" s="27">
        <f t="shared" si="11"/>
        <v>5.0751738152338266</v>
      </c>
      <c r="H212" s="27">
        <f t="shared" si="11"/>
        <v>1.3862943611198906</v>
      </c>
      <c r="I212" s="27">
        <f t="shared" si="11"/>
        <v>-0.78845736036427005</v>
      </c>
      <c r="J212" s="27"/>
    </row>
    <row r="213" spans="1:10">
      <c r="A213" s="27">
        <v>202</v>
      </c>
      <c r="B213" s="27">
        <v>177</v>
      </c>
      <c r="C213" s="27">
        <v>4</v>
      </c>
      <c r="D213" s="841">
        <v>0.47159090909090912</v>
      </c>
      <c r="E213" s="27">
        <f t="shared" si="9"/>
        <v>0.76908396946564883</v>
      </c>
      <c r="F213" s="27">
        <f t="shared" si="10"/>
        <v>0.7358334511000415</v>
      </c>
      <c r="G213" s="27">
        <f t="shared" si="11"/>
        <v>5.1761497325738288</v>
      </c>
      <c r="H213" s="27">
        <f t="shared" si="11"/>
        <v>1.3862943611198906</v>
      </c>
      <c r="I213" s="27">
        <f t="shared" si="11"/>
        <v>-0.75164338724155377</v>
      </c>
      <c r="J213" s="27"/>
    </row>
    <row r="214" spans="1:10">
      <c r="A214" s="27">
        <v>203</v>
      </c>
      <c r="B214" s="522">
        <v>180</v>
      </c>
      <c r="C214" s="27">
        <v>4.17</v>
      </c>
      <c r="D214" s="27">
        <v>0.47727272727272729</v>
      </c>
      <c r="E214" s="27">
        <f t="shared" si="9"/>
        <v>0.77290076335877866</v>
      </c>
      <c r="F214" s="27">
        <f t="shared" si="10"/>
        <v>0.74843391311848129</v>
      </c>
      <c r="G214" s="27">
        <f t="shared" si="11"/>
        <v>5.1929568508902104</v>
      </c>
      <c r="H214" s="27">
        <f t="shared" si="11"/>
        <v>1.4279160358107101</v>
      </c>
      <c r="I214" s="27">
        <f t="shared" si="11"/>
        <v>-0.73966719619483812</v>
      </c>
      <c r="J214" s="27"/>
    </row>
    <row r="215" spans="1:10">
      <c r="A215" s="27">
        <v>204</v>
      </c>
      <c r="B215" s="27">
        <v>200</v>
      </c>
      <c r="C215" s="27">
        <v>4.3</v>
      </c>
      <c r="D215" s="27">
        <v>0.49928977272727276</v>
      </c>
      <c r="E215" s="27">
        <f t="shared" si="9"/>
        <v>0.77671755725190839</v>
      </c>
      <c r="F215" s="27">
        <f t="shared" si="10"/>
        <v>0.76115434228754864</v>
      </c>
      <c r="G215" s="27">
        <f t="shared" si="11"/>
        <v>5.2983173665480363</v>
      </c>
      <c r="H215" s="27">
        <f t="shared" si="11"/>
        <v>1.4586150226995167</v>
      </c>
      <c r="I215" s="27">
        <f t="shared" si="11"/>
        <v>-0.69456864490732273</v>
      </c>
      <c r="J215" s="27"/>
    </row>
    <row r="216" spans="1:10">
      <c r="A216" s="27">
        <v>205</v>
      </c>
      <c r="B216" s="27">
        <v>200</v>
      </c>
      <c r="C216" s="27">
        <v>4.3</v>
      </c>
      <c r="D216" s="27">
        <v>0.51136363636363635</v>
      </c>
      <c r="E216" s="27">
        <f t="shared" si="9"/>
        <v>0.78053435114503822</v>
      </c>
      <c r="F216" s="27">
        <f t="shared" si="10"/>
        <v>0.77399914358022004</v>
      </c>
      <c r="G216" s="27">
        <f t="shared" si="11"/>
        <v>5.2983173665480363</v>
      </c>
      <c r="H216" s="27">
        <f t="shared" si="11"/>
        <v>1.4586150226995167</v>
      </c>
      <c r="I216" s="27">
        <f t="shared" si="11"/>
        <v>-0.67067432470788668</v>
      </c>
      <c r="J216" s="27"/>
    </row>
    <row r="217" spans="1:10">
      <c r="A217" s="27">
        <v>206</v>
      </c>
      <c r="B217" s="27">
        <v>200</v>
      </c>
      <c r="C217" s="27">
        <v>4.5</v>
      </c>
      <c r="D217" s="27">
        <v>0.53409090909090906</v>
      </c>
      <c r="E217" s="27">
        <f t="shared" si="9"/>
        <v>0.78435114503816794</v>
      </c>
      <c r="F217" s="27">
        <f t="shared" si="10"/>
        <v>0.78697293500536358</v>
      </c>
      <c r="G217" s="27">
        <f t="shared" si="11"/>
        <v>5.2983173665480363</v>
      </c>
      <c r="H217" s="27">
        <f t="shared" si="11"/>
        <v>1.5040773967762742</v>
      </c>
      <c r="I217" s="27">
        <f t="shared" si="11"/>
        <v>-0.62718921276814799</v>
      </c>
      <c r="J217" s="27"/>
    </row>
    <row r="218" spans="1:10">
      <c r="A218" s="27">
        <v>207</v>
      </c>
      <c r="B218" s="27">
        <v>200</v>
      </c>
      <c r="C218" s="27">
        <v>4.7</v>
      </c>
      <c r="D218" s="27">
        <v>0.56818181818181812</v>
      </c>
      <c r="E218" s="27">
        <f t="shared" si="9"/>
        <v>0.78816793893129766</v>
      </c>
      <c r="F218" s="27">
        <f t="shared" si="10"/>
        <v>0.80008056246913695</v>
      </c>
      <c r="G218" s="27">
        <f t="shared" si="11"/>
        <v>5.2983173665480363</v>
      </c>
      <c r="H218" s="27">
        <f t="shared" si="11"/>
        <v>1.547562508716013</v>
      </c>
      <c r="I218" s="27">
        <f t="shared" si="11"/>
        <v>-0.56531380905006057</v>
      </c>
      <c r="J218" s="27"/>
    </row>
    <row r="219" spans="1:10">
      <c r="A219" s="27">
        <v>208</v>
      </c>
      <c r="B219" s="27">
        <v>200</v>
      </c>
      <c r="C219" s="27">
        <v>4.7</v>
      </c>
      <c r="D219" s="27">
        <v>0.56818181818181812</v>
      </c>
      <c r="E219" s="27">
        <f t="shared" si="9"/>
        <v>0.7919847328244275</v>
      </c>
      <c r="F219" s="27">
        <f t="shared" si="10"/>
        <v>0.81332711594875995</v>
      </c>
      <c r="G219" s="27">
        <f t="shared" si="11"/>
        <v>5.2983173665480363</v>
      </c>
      <c r="H219" s="27">
        <f t="shared" si="11"/>
        <v>1.547562508716013</v>
      </c>
      <c r="I219" s="27">
        <f t="shared" si="11"/>
        <v>-0.56531380905006057</v>
      </c>
      <c r="J219" s="27"/>
    </row>
    <row r="220" spans="1:10">
      <c r="A220" s="27">
        <v>209</v>
      </c>
      <c r="B220" s="27">
        <v>200</v>
      </c>
      <c r="C220" s="27">
        <v>4.9000000000000004</v>
      </c>
      <c r="D220" s="27">
        <v>0.56818181818181812</v>
      </c>
      <c r="E220" s="27">
        <f t="shared" si="9"/>
        <v>0.79580152671755722</v>
      </c>
      <c r="F220" s="27">
        <f t="shared" si="10"/>
        <v>0.82671794712148672</v>
      </c>
      <c r="G220" s="27">
        <f t="shared" si="11"/>
        <v>5.2983173665480363</v>
      </c>
      <c r="H220" s="27">
        <f t="shared" si="11"/>
        <v>1.589235205116581</v>
      </c>
      <c r="I220" s="27">
        <f t="shared" si="11"/>
        <v>-0.56531380905006057</v>
      </c>
      <c r="J220" s="27"/>
    </row>
    <row r="221" spans="1:10">
      <c r="A221" s="27">
        <v>210</v>
      </c>
      <c r="B221" s="27">
        <v>200</v>
      </c>
      <c r="C221" s="27">
        <v>5</v>
      </c>
      <c r="D221" s="27">
        <v>0.56818181818181823</v>
      </c>
      <c r="E221" s="27">
        <f t="shared" si="9"/>
        <v>0.79961832061068705</v>
      </c>
      <c r="F221" s="27">
        <f t="shared" si="10"/>
        <v>0.84025868861020625</v>
      </c>
      <c r="G221" s="27">
        <f t="shared" si="11"/>
        <v>5.2983173665480363</v>
      </c>
      <c r="H221" s="27">
        <f t="shared" si="11"/>
        <v>1.6094379124341003</v>
      </c>
      <c r="I221" s="27">
        <f t="shared" si="11"/>
        <v>-0.56531380905006035</v>
      </c>
      <c r="J221" s="27"/>
    </row>
    <row r="222" spans="1:10">
      <c r="A222" s="27">
        <v>211</v>
      </c>
      <c r="B222" s="27">
        <v>200</v>
      </c>
      <c r="C222" s="27">
        <v>5</v>
      </c>
      <c r="D222" s="27">
        <v>0.58028409090909094</v>
      </c>
      <c r="E222" s="27">
        <f t="shared" si="9"/>
        <v>0.80343511450381677</v>
      </c>
      <c r="F222" s="27">
        <f t="shared" si="10"/>
        <v>0.85395527502834434</v>
      </c>
      <c r="G222" s="27">
        <f t="shared" si="11"/>
        <v>5.2983173665480363</v>
      </c>
      <c r="H222" s="27">
        <f t="shared" si="11"/>
        <v>1.6094379124341003</v>
      </c>
      <c r="I222" s="27">
        <f t="shared" si="11"/>
        <v>-0.54423748344814415</v>
      </c>
      <c r="J222" s="27"/>
    </row>
    <row r="223" spans="1:10">
      <c r="A223" s="27">
        <v>212</v>
      </c>
      <c r="B223" s="27">
        <v>200</v>
      </c>
      <c r="C223" s="27">
        <v>5.27</v>
      </c>
      <c r="D223" s="27">
        <v>0.58750000000000002</v>
      </c>
      <c r="E223" s="27">
        <f t="shared" si="9"/>
        <v>0.8072519083969466</v>
      </c>
      <c r="F223" s="27">
        <f t="shared" si="10"/>
        <v>0.86781396603145955</v>
      </c>
      <c r="G223" s="27">
        <f t="shared" si="11"/>
        <v>5.2983173665480363</v>
      </c>
      <c r="H223" s="27">
        <f t="shared" si="11"/>
        <v>1.6620303625532709</v>
      </c>
      <c r="I223" s="27">
        <f t="shared" si="11"/>
        <v>-0.531879032963823</v>
      </c>
      <c r="J223" s="27"/>
    </row>
    <row r="224" spans="1:10">
      <c r="A224" s="27">
        <v>213</v>
      </c>
      <c r="B224" s="27">
        <v>200</v>
      </c>
      <c r="C224" s="27">
        <v>5.78</v>
      </c>
      <c r="D224" s="27">
        <v>0.61960227272727264</v>
      </c>
      <c r="E224" s="27">
        <f t="shared" si="9"/>
        <v>0.81106870229007633</v>
      </c>
      <c r="F224" s="27">
        <f t="shared" si="10"/>
        <v>0.88184137161139053</v>
      </c>
      <c r="G224" s="27">
        <f t="shared" si="11"/>
        <v>5.2983173665480363</v>
      </c>
      <c r="H224" s="27">
        <f t="shared" si="11"/>
        <v>1.7544036826842861</v>
      </c>
      <c r="I224" s="27">
        <f t="shared" si="11"/>
        <v>-0.47867750239051388</v>
      </c>
      <c r="J224" s="27"/>
    </row>
    <row r="225" spans="1:10">
      <c r="A225" s="27">
        <v>214</v>
      </c>
      <c r="B225" s="27">
        <v>200</v>
      </c>
      <c r="C225" s="27">
        <v>5.9</v>
      </c>
      <c r="D225" s="27">
        <v>0.63636363636363635</v>
      </c>
      <c r="E225" s="27">
        <f t="shared" si="9"/>
        <v>0.81488549618320616</v>
      </c>
      <c r="F225" s="27">
        <f t="shared" si="10"/>
        <v>0.8960444799019468</v>
      </c>
      <c r="G225" s="27">
        <f t="shared" si="11"/>
        <v>5.2983173665480363</v>
      </c>
      <c r="H225" s="27">
        <f t="shared" si="11"/>
        <v>1.7749523509116738</v>
      </c>
      <c r="I225" s="27">
        <f t="shared" si="11"/>
        <v>-0.45198512374305727</v>
      </c>
      <c r="J225" s="27"/>
    </row>
    <row r="226" spans="1:10">
      <c r="A226" s="27">
        <v>215</v>
      </c>
      <c r="B226" s="27">
        <v>200</v>
      </c>
      <c r="C226" s="27">
        <v>6</v>
      </c>
      <c r="D226" s="27">
        <v>0.65340909090909094</v>
      </c>
      <c r="E226" s="27">
        <f t="shared" si="9"/>
        <v>0.81870229007633588</v>
      </c>
      <c r="F226" s="27">
        <f t="shared" si="10"/>
        <v>0.91043068780363967</v>
      </c>
      <c r="G226" s="27">
        <f t="shared" si="11"/>
        <v>5.2983173665480363</v>
      </c>
      <c r="H226" s="27">
        <f t="shared" si="11"/>
        <v>1.791759469228055</v>
      </c>
      <c r="I226" s="27">
        <f t="shared" si="11"/>
        <v>-0.42555186667490169</v>
      </c>
      <c r="J226" s="27"/>
    </row>
    <row r="227" spans="1:10">
      <c r="A227" s="27">
        <v>216</v>
      </c>
      <c r="B227" s="27">
        <v>200</v>
      </c>
      <c r="C227" s="27">
        <v>6</v>
      </c>
      <c r="D227" s="27">
        <v>0.65477272727272728</v>
      </c>
      <c r="E227" s="27">
        <f t="shared" si="9"/>
        <v>0.8225190839694656</v>
      </c>
      <c r="F227" s="27">
        <f t="shared" si="10"/>
        <v>0.92500783477998383</v>
      </c>
      <c r="G227" s="27">
        <f t="shared" si="11"/>
        <v>5.2983173665480363</v>
      </c>
      <c r="H227" s="27">
        <f t="shared" si="11"/>
        <v>1.791759469228055</v>
      </c>
      <c r="I227" s="27">
        <f t="shared" si="11"/>
        <v>-0.42346708482182405</v>
      </c>
      <c r="J227" s="27"/>
    </row>
    <row r="228" spans="1:10">
      <c r="A228" s="27">
        <v>217</v>
      </c>
      <c r="B228" s="27">
        <v>200</v>
      </c>
      <c r="C228" s="27">
        <v>6</v>
      </c>
      <c r="D228" s="27">
        <v>0.65681818181818186</v>
      </c>
      <c r="E228" s="27">
        <f t="shared" si="9"/>
        <v>0.82633587786259544</v>
      </c>
      <c r="F228" s="27">
        <f t="shared" si="10"/>
        <v>0.93978424023057883</v>
      </c>
      <c r="G228" s="27">
        <f t="shared" si="11"/>
        <v>5.2983173665480363</v>
      </c>
      <c r="H228" s="27">
        <f t="shared" si="11"/>
        <v>1.791759469228055</v>
      </c>
      <c r="I228" s="27">
        <f t="shared" si="11"/>
        <v>-0.42034803879987465</v>
      </c>
      <c r="J228" s="27"/>
    </row>
    <row r="229" spans="1:10">
      <c r="A229" s="27">
        <v>218</v>
      </c>
      <c r="B229" s="27">
        <v>210</v>
      </c>
      <c r="C229" s="27">
        <v>6</v>
      </c>
      <c r="D229" s="27">
        <v>0.66107954545454539</v>
      </c>
      <c r="E229" s="27">
        <f t="shared" si="9"/>
        <v>0.83015267175572516</v>
      </c>
      <c r="F229" s="27">
        <f t="shared" si="10"/>
        <v>0.95476874490815455</v>
      </c>
      <c r="G229" s="27">
        <f t="shared" si="11"/>
        <v>5.3471075307174685</v>
      </c>
      <c r="H229" s="27">
        <f t="shared" si="11"/>
        <v>1.791759469228055</v>
      </c>
      <c r="I229" s="27">
        <f t="shared" si="11"/>
        <v>-0.41388110528985111</v>
      </c>
      <c r="J229" s="27"/>
    </row>
    <row r="230" spans="1:10">
      <c r="A230" s="27">
        <v>219</v>
      </c>
      <c r="B230" s="27">
        <v>250</v>
      </c>
      <c r="C230" s="27">
        <v>6.01</v>
      </c>
      <c r="D230" s="27">
        <v>0.70397727272727273</v>
      </c>
      <c r="E230" s="27">
        <f t="shared" si="9"/>
        <v>0.83396946564885499</v>
      </c>
      <c r="F230" s="27">
        <f t="shared" si="10"/>
        <v>0.96997075691972645</v>
      </c>
      <c r="G230" s="27">
        <f t="shared" si="11"/>
        <v>5.521460917862246</v>
      </c>
      <c r="H230" s="27">
        <f t="shared" si="11"/>
        <v>1.7934247485471162</v>
      </c>
      <c r="I230" s="27">
        <f t="shared" si="11"/>
        <v>-0.351009206403055</v>
      </c>
      <c r="J230" s="27"/>
    </row>
    <row r="231" spans="1:10">
      <c r="A231" s="27">
        <v>220</v>
      </c>
      <c r="B231" s="27">
        <v>250</v>
      </c>
      <c r="C231" s="27">
        <v>6.25</v>
      </c>
      <c r="D231" s="27">
        <v>0.71022727272727271</v>
      </c>
      <c r="E231" s="27">
        <f t="shared" si="9"/>
        <v>0.83778625954198471</v>
      </c>
      <c r="F231" s="27">
        <f t="shared" si="10"/>
        <v>0.9854003029385211</v>
      </c>
      <c r="G231" s="27">
        <f t="shared" si="11"/>
        <v>5.521460917862246</v>
      </c>
      <c r="H231" s="27">
        <f t="shared" si="11"/>
        <v>1.8325814637483102</v>
      </c>
      <c r="I231" s="27">
        <f t="shared" si="11"/>
        <v>-0.34217025773585069</v>
      </c>
      <c r="J231" s="27"/>
    </row>
    <row r="232" spans="1:10">
      <c r="A232" s="27">
        <v>221</v>
      </c>
      <c r="B232" s="27">
        <v>250</v>
      </c>
      <c r="C232" s="27">
        <v>6.4</v>
      </c>
      <c r="D232" s="27">
        <v>0.73210227272727268</v>
      </c>
      <c r="E232" s="27">
        <f t="shared" si="9"/>
        <v>0.84160305343511455</v>
      </c>
      <c r="F232" s="27">
        <f t="shared" si="10"/>
        <v>1.0010680853558858</v>
      </c>
      <c r="G232" s="27">
        <f t="shared" si="11"/>
        <v>5.521460917862246</v>
      </c>
      <c r="H232" s="27">
        <f t="shared" si="11"/>
        <v>1.8562979903656263</v>
      </c>
      <c r="I232" s="27">
        <f t="shared" si="11"/>
        <v>-0.31183505793977778</v>
      </c>
      <c r="J232" s="27"/>
    </row>
    <row r="233" spans="1:10">
      <c r="A233" s="27">
        <v>222</v>
      </c>
      <c r="B233" s="27">
        <v>275</v>
      </c>
      <c r="C233" s="522">
        <v>6.61</v>
      </c>
      <c r="D233" s="27">
        <v>0.79545454545454541</v>
      </c>
      <c r="E233" s="27">
        <f t="shared" si="9"/>
        <v>0.84541984732824427</v>
      </c>
      <c r="F233" s="27">
        <f t="shared" si="10"/>
        <v>1.0169855462247854</v>
      </c>
      <c r="G233" s="27">
        <f t="shared" si="11"/>
        <v>5.6167710976665717</v>
      </c>
      <c r="H233" s="27">
        <f t="shared" si="11"/>
        <v>1.8885836538635949</v>
      </c>
      <c r="I233" s="27">
        <f t="shared" si="11"/>
        <v>-0.22884157242884753</v>
      </c>
      <c r="J233" s="27"/>
    </row>
    <row r="234" spans="1:10">
      <c r="A234" s="27">
        <v>223</v>
      </c>
      <c r="B234" s="27">
        <v>300</v>
      </c>
      <c r="C234" s="27">
        <v>7</v>
      </c>
      <c r="D234" s="27">
        <v>0.8</v>
      </c>
      <c r="E234" s="27">
        <f t="shared" si="9"/>
        <v>0.8492366412213741</v>
      </c>
      <c r="F234" s="27">
        <f t="shared" si="10"/>
        <v>1.0331649389930126</v>
      </c>
      <c r="G234" s="27">
        <f t="shared" si="11"/>
        <v>5.7037824746562009</v>
      </c>
      <c r="H234" s="27">
        <f t="shared" si="11"/>
        <v>1.9459101490553132</v>
      </c>
      <c r="I234" s="27">
        <f t="shared" si="11"/>
        <v>-0.22314355131420971</v>
      </c>
      <c r="J234" s="27"/>
    </row>
    <row r="235" spans="1:10">
      <c r="A235" s="27">
        <v>224</v>
      </c>
      <c r="B235" s="27">
        <v>300</v>
      </c>
      <c r="C235" s="27">
        <v>7</v>
      </c>
      <c r="D235" s="27">
        <v>0.81</v>
      </c>
      <c r="E235" s="27">
        <f t="shared" si="9"/>
        <v>0.85305343511450382</v>
      </c>
      <c r="F235" s="27">
        <f t="shared" si="10"/>
        <v>1.0496194092001805</v>
      </c>
      <c r="G235" s="27">
        <f t="shared" si="11"/>
        <v>5.7037824746562009</v>
      </c>
      <c r="H235" s="27">
        <f t="shared" si="11"/>
        <v>1.9459101490553132</v>
      </c>
      <c r="I235" s="27">
        <f t="shared" si="11"/>
        <v>-0.21072103131565253</v>
      </c>
      <c r="J235" s="27"/>
    </row>
    <row r="236" spans="1:10">
      <c r="A236" s="27">
        <v>225</v>
      </c>
      <c r="B236" s="27">
        <v>300</v>
      </c>
      <c r="C236" s="27">
        <v>7.03</v>
      </c>
      <c r="D236" s="27">
        <v>0.83250000000000002</v>
      </c>
      <c r="E236" s="27">
        <f t="shared" si="9"/>
        <v>0.85687022900763354</v>
      </c>
      <c r="F236" s="27">
        <f t="shared" si="10"/>
        <v>1.0663630855254498</v>
      </c>
      <c r="G236" s="27">
        <f t="shared" si="11"/>
        <v>5.7037824746562009</v>
      </c>
      <c r="H236" s="27">
        <f t="shared" si="11"/>
        <v>1.9501867058225735</v>
      </c>
      <c r="I236" s="27">
        <f t="shared" si="11"/>
        <v>-0.18332205712753813</v>
      </c>
      <c r="J236" s="27"/>
    </row>
    <row r="237" spans="1:10">
      <c r="A237" s="27">
        <v>226</v>
      </c>
      <c r="B237" s="503">
        <v>300</v>
      </c>
      <c r="C237" s="704">
        <v>7.27</v>
      </c>
      <c r="D237" s="27">
        <v>0.89829545454545445</v>
      </c>
      <c r="E237" s="27">
        <f t="shared" si="9"/>
        <v>0.86068702290076338</v>
      </c>
      <c r="F237" s="27">
        <f t="shared" si="10"/>
        <v>1.0834111828304476</v>
      </c>
      <c r="G237" s="27">
        <f t="shared" ref="G237" si="12">LN(B237)</f>
        <v>5.7037824746562009</v>
      </c>
      <c r="H237" s="27">
        <f t="shared" ref="H237" si="13">LN(C237)</f>
        <v>1.9837562915454279</v>
      </c>
      <c r="I237" s="27">
        <f t="shared" ref="I237" si="14">LN(D237)</f>
        <v>-0.10725625082272555</v>
      </c>
      <c r="J237" s="27"/>
    </row>
    <row r="238" spans="1:10">
      <c r="A238" s="27">
        <v>227</v>
      </c>
      <c r="B238" s="27">
        <v>300</v>
      </c>
      <c r="C238" s="27">
        <v>7.3</v>
      </c>
      <c r="D238" s="27">
        <v>0.9363636363636364</v>
      </c>
      <c r="E238" s="27">
        <f t="shared" si="9"/>
        <v>0.8645038167938931</v>
      </c>
      <c r="F238" s="27">
        <f t="shared" si="10"/>
        <v>1.1007801191566395</v>
      </c>
      <c r="G238" s="27">
        <f t="shared" ref="G238:G241" si="15">LN(B238)</f>
        <v>5.7037824746562009</v>
      </c>
      <c r="H238" s="27">
        <f t="shared" ref="H238:H241" si="16">LN(C238)</f>
        <v>1.9878743481543455</v>
      </c>
      <c r="I238" s="27">
        <f t="shared" ref="I238:I241" si="17">LN(D238)</f>
        <v>-6.5751377562780419E-2</v>
      </c>
      <c r="J238" s="27"/>
    </row>
    <row r="239" spans="1:10">
      <c r="A239" s="27">
        <v>228</v>
      </c>
      <c r="B239" s="27">
        <v>300</v>
      </c>
      <c r="C239" s="27">
        <v>7.4</v>
      </c>
      <c r="D239" s="27">
        <v>0.9375</v>
      </c>
      <c r="E239" s="27">
        <f t="shared" si="9"/>
        <v>0.86832061068702293</v>
      </c>
      <c r="F239" s="27">
        <f t="shared" si="10"/>
        <v>1.1184876490213236</v>
      </c>
      <c r="G239" s="27">
        <f t="shared" si="15"/>
        <v>5.7037824746562009</v>
      </c>
      <c r="H239" s="27">
        <f t="shared" si="16"/>
        <v>2.0014800002101243</v>
      </c>
      <c r="I239" s="27">
        <f t="shared" si="17"/>
        <v>-6.4538521137571178E-2</v>
      </c>
      <c r="J239" s="27"/>
    </row>
    <row r="240" spans="1:10">
      <c r="A240" s="27">
        <v>229</v>
      </c>
      <c r="B240" s="27">
        <v>300</v>
      </c>
      <c r="C240" s="27">
        <v>8</v>
      </c>
      <c r="D240" s="27">
        <v>0.94772727272727264</v>
      </c>
      <c r="E240" s="27">
        <f t="shared" si="9"/>
        <v>0.87213740458015265</v>
      </c>
      <c r="F240" s="27">
        <f t="shared" si="10"/>
        <v>1.136553015831067</v>
      </c>
      <c r="G240" s="27">
        <f t="shared" si="15"/>
        <v>5.7037824746562009</v>
      </c>
      <c r="H240" s="27">
        <f t="shared" si="16"/>
        <v>2.0794415416798357</v>
      </c>
      <c r="I240" s="27">
        <f t="shared" si="17"/>
        <v>-5.3688505113505487E-2</v>
      </c>
      <c r="J240" s="27"/>
    </row>
    <row r="241" spans="1:10">
      <c r="A241" s="27">
        <v>230</v>
      </c>
      <c r="B241" s="27">
        <v>300</v>
      </c>
      <c r="C241" s="708">
        <v>8.3000000000000007</v>
      </c>
      <c r="D241" s="27">
        <v>1.075</v>
      </c>
      <c r="E241" s="27">
        <f t="shared" si="9"/>
        <v>0.87595419847328249</v>
      </c>
      <c r="F241" s="27">
        <f t="shared" si="10"/>
        <v>1.1549971268193051</v>
      </c>
      <c r="G241" s="27">
        <f t="shared" si="15"/>
        <v>5.7037824746562009</v>
      </c>
      <c r="H241" s="27">
        <f t="shared" si="16"/>
        <v>2.1162555148025524</v>
      </c>
      <c r="I241" s="27">
        <f t="shared" si="17"/>
        <v>7.2320661579626078E-2</v>
      </c>
      <c r="J241" s="27"/>
    </row>
    <row r="242" spans="1:10">
      <c r="A242" s="27">
        <v>231</v>
      </c>
      <c r="B242" s="27">
        <v>333</v>
      </c>
      <c r="C242" s="27">
        <v>8.59</v>
      </c>
      <c r="D242" s="27">
        <v>1.1931818181818181</v>
      </c>
      <c r="E242" s="27">
        <f t="shared" si="9"/>
        <v>0.87977099236641221</v>
      </c>
      <c r="F242" s="27">
        <f t="shared" si="10"/>
        <v>1.1738427546475656</v>
      </c>
      <c r="G242" s="27">
        <f t="shared" ref="G242:G254" si="18">LN(B242)</f>
        <v>5.8081424899804439</v>
      </c>
      <c r="H242" s="27">
        <f t="shared" ref="H242:H254" si="19">LN(C242)</f>
        <v>2.150598735996164</v>
      </c>
      <c r="I242" s="27">
        <f t="shared" ref="I242:I254" si="20">LN(D242)</f>
        <v>0.17662353567931685</v>
      </c>
      <c r="J242" s="27"/>
    </row>
    <row r="243" spans="1:10">
      <c r="A243" s="27">
        <v>232</v>
      </c>
      <c r="B243" s="27">
        <v>350</v>
      </c>
      <c r="C243" s="27">
        <v>8.93</v>
      </c>
      <c r="D243" s="27">
        <v>1.2250000000000001</v>
      </c>
      <c r="E243" s="27">
        <f t="shared" si="9"/>
        <v>0.88358778625954193</v>
      </c>
      <c r="F243" s="27">
        <f t="shared" si="10"/>
        <v>1.1931147707289882</v>
      </c>
      <c r="G243" s="27">
        <f t="shared" si="18"/>
        <v>5.857933154483459</v>
      </c>
      <c r="H243" s="27">
        <f t="shared" si="19"/>
        <v>2.1894163948884078</v>
      </c>
      <c r="I243" s="27">
        <f t="shared" si="20"/>
        <v>0.20294084399669038</v>
      </c>
      <c r="J243" s="27"/>
    </row>
    <row r="244" spans="1:10">
      <c r="A244" s="27">
        <v>233</v>
      </c>
      <c r="B244" s="27">
        <v>400</v>
      </c>
      <c r="C244" s="27">
        <v>9</v>
      </c>
      <c r="D244" s="27">
        <v>1.4204545454545456</v>
      </c>
      <c r="E244" s="27">
        <f t="shared" si="9"/>
        <v>0.88740458015267176</v>
      </c>
      <c r="F244" s="27">
        <f t="shared" si="10"/>
        <v>1.2128404164935702</v>
      </c>
      <c r="G244" s="27">
        <f t="shared" si="18"/>
        <v>5.9914645471079817</v>
      </c>
      <c r="H244" s="27">
        <f t="shared" si="19"/>
        <v>2.1972245773362196</v>
      </c>
      <c r="I244" s="27">
        <f t="shared" si="20"/>
        <v>0.35097692282409476</v>
      </c>
      <c r="J244" s="27"/>
    </row>
    <row r="245" spans="1:10">
      <c r="A245" s="27">
        <v>234</v>
      </c>
      <c r="B245" s="27">
        <v>400</v>
      </c>
      <c r="C245" s="27">
        <v>9.11</v>
      </c>
      <c r="D245" s="27">
        <v>1.5</v>
      </c>
      <c r="E245" s="27">
        <f t="shared" si="9"/>
        <v>0.89122137404580148</v>
      </c>
      <c r="F245" s="27">
        <f t="shared" si="10"/>
        <v>1.2330496202910921</v>
      </c>
      <c r="G245" s="27">
        <f t="shared" si="18"/>
        <v>5.9914645471079817</v>
      </c>
      <c r="H245" s="27">
        <f t="shared" si="19"/>
        <v>2.2093727112718669</v>
      </c>
      <c r="I245" s="27">
        <f t="shared" si="20"/>
        <v>0.40546510810816438</v>
      </c>
      <c r="J245" s="27"/>
    </row>
    <row r="246" spans="1:10">
      <c r="A246" s="27">
        <v>235</v>
      </c>
      <c r="B246" s="27">
        <v>400</v>
      </c>
      <c r="C246" s="27">
        <v>10</v>
      </c>
      <c r="D246" s="27">
        <v>1.5</v>
      </c>
      <c r="E246" s="27">
        <f t="shared" si="9"/>
        <v>0.89503816793893132</v>
      </c>
      <c r="F246" s="27">
        <f t="shared" si="10"/>
        <v>1.2537753695199951</v>
      </c>
      <c r="G246" s="27">
        <f t="shared" si="18"/>
        <v>5.9914645471079817</v>
      </c>
      <c r="H246" s="27">
        <f t="shared" si="19"/>
        <v>2.3025850929940459</v>
      </c>
      <c r="I246" s="27">
        <f t="shared" si="20"/>
        <v>0.40546510810816438</v>
      </c>
      <c r="J246" s="27"/>
    </row>
    <row r="247" spans="1:10">
      <c r="A247" s="27">
        <v>236</v>
      </c>
      <c r="B247" s="27">
        <v>440</v>
      </c>
      <c r="C247" s="27">
        <v>10</v>
      </c>
      <c r="D247" s="27">
        <v>1.5024999999999999</v>
      </c>
      <c r="E247" s="27">
        <f t="shared" si="9"/>
        <v>0.89885496183206104</v>
      </c>
      <c r="F247" s="27">
        <f t="shared" si="10"/>
        <v>1.2750541500157357</v>
      </c>
      <c r="G247" s="27">
        <f t="shared" si="18"/>
        <v>6.0867747269123065</v>
      </c>
      <c r="H247" s="27">
        <f t="shared" si="19"/>
        <v>2.3025850929940459</v>
      </c>
      <c r="I247" s="27">
        <f t="shared" si="20"/>
        <v>0.40713038742722557</v>
      </c>
      <c r="J247" s="27"/>
    </row>
    <row r="248" spans="1:10">
      <c r="A248" s="27">
        <v>237</v>
      </c>
      <c r="B248" s="27">
        <v>440</v>
      </c>
      <c r="C248" s="27">
        <v>10</v>
      </c>
      <c r="D248" s="27">
        <v>1.5075000000000001</v>
      </c>
      <c r="E248" s="27">
        <f t="shared" si="9"/>
        <v>0.90267175572519087</v>
      </c>
      <c r="F248" s="27">
        <f t="shared" si="10"/>
        <v>1.2969264679191927</v>
      </c>
      <c r="G248" s="27">
        <f t="shared" si="18"/>
        <v>6.0867747269123065</v>
      </c>
      <c r="H248" s="27">
        <f t="shared" si="19"/>
        <v>2.3025850929940459</v>
      </c>
      <c r="I248" s="27">
        <f t="shared" si="20"/>
        <v>0.41045264961920352</v>
      </c>
      <c r="J248" s="27"/>
    </row>
    <row r="249" spans="1:10">
      <c r="A249" s="27">
        <v>238</v>
      </c>
      <c r="B249" s="27">
        <v>440</v>
      </c>
      <c r="C249" s="27">
        <v>10</v>
      </c>
      <c r="D249" s="27">
        <v>1.7045454545454544</v>
      </c>
      <c r="E249" s="27">
        <f t="shared" si="9"/>
        <v>0.90648854961832059</v>
      </c>
      <c r="F249" s="27">
        <f t="shared" si="10"/>
        <v>1.3194374734384275</v>
      </c>
      <c r="G249" s="27">
        <f t="shared" si="18"/>
        <v>6.0867747269123065</v>
      </c>
      <c r="H249" s="27">
        <f t="shared" si="19"/>
        <v>2.3025850929940459</v>
      </c>
      <c r="I249" s="27">
        <f t="shared" si="20"/>
        <v>0.53329847961804921</v>
      </c>
      <c r="J249" s="27"/>
    </row>
    <row r="250" spans="1:10">
      <c r="A250" s="27">
        <v>239</v>
      </c>
      <c r="B250" s="27">
        <v>440</v>
      </c>
      <c r="C250" s="27">
        <v>10</v>
      </c>
      <c r="D250" s="27">
        <v>1.7849999999999999</v>
      </c>
      <c r="E250" s="27">
        <f t="shared" si="9"/>
        <v>0.91030534351145043</v>
      </c>
      <c r="F250" s="27">
        <f t="shared" si="10"/>
        <v>1.3426377114882446</v>
      </c>
      <c r="G250" s="27">
        <f t="shared" si="18"/>
        <v>6.0867747269123065</v>
      </c>
      <c r="H250" s="27">
        <f t="shared" si="19"/>
        <v>2.3025850929940459</v>
      </c>
      <c r="I250" s="27">
        <f t="shared" si="20"/>
        <v>0.57941841523160231</v>
      </c>
      <c r="J250" s="27"/>
    </row>
    <row r="251" spans="1:10">
      <c r="A251" s="27">
        <v>240</v>
      </c>
      <c r="B251" s="27">
        <v>440</v>
      </c>
      <c r="C251" s="27">
        <v>10.34</v>
      </c>
      <c r="D251" s="27">
        <v>1.875</v>
      </c>
      <c r="E251" s="27">
        <f t="shared" si="9"/>
        <v>0.91412213740458015</v>
      </c>
      <c r="F251" s="27">
        <f t="shared" si="10"/>
        <v>1.3665840316741558</v>
      </c>
      <c r="G251" s="27">
        <f t="shared" si="18"/>
        <v>6.0867747269123065</v>
      </c>
      <c r="H251" s="27">
        <f t="shared" si="19"/>
        <v>2.3360198690802831</v>
      </c>
      <c r="I251" s="27">
        <f t="shared" si="20"/>
        <v>0.62860865942237409</v>
      </c>
      <c r="J251" s="27"/>
    </row>
    <row r="252" spans="1:10">
      <c r="A252" s="27">
        <v>241</v>
      </c>
      <c r="B252" s="27">
        <v>440</v>
      </c>
      <c r="C252" s="27">
        <v>10.7</v>
      </c>
      <c r="D252" s="27">
        <v>1.9534090909090909</v>
      </c>
      <c r="E252" s="27">
        <f t="shared" si="9"/>
        <v>0.91793893129770987</v>
      </c>
      <c r="F252" s="27">
        <f t="shared" si="10"/>
        <v>1.3913407002534657</v>
      </c>
      <c r="G252" s="27">
        <f t="shared" si="18"/>
        <v>6.0867747269123065</v>
      </c>
      <c r="H252" s="27">
        <f t="shared" si="19"/>
        <v>2.3702437414678603</v>
      </c>
      <c r="I252" s="27">
        <f t="shared" si="20"/>
        <v>0.66957609791059713</v>
      </c>
      <c r="J252" s="27"/>
    </row>
    <row r="253" spans="1:10">
      <c r="A253" s="27">
        <v>242</v>
      </c>
      <c r="B253" s="27">
        <v>440</v>
      </c>
      <c r="C253" s="27">
        <v>10.9</v>
      </c>
      <c r="D253" s="27">
        <v>2.273863636363636</v>
      </c>
      <c r="E253" s="27">
        <f t="shared" si="9"/>
        <v>0.9217557251908397</v>
      </c>
      <c r="F253" s="27">
        <f t="shared" si="10"/>
        <v>1.4169807706927577</v>
      </c>
      <c r="G253" s="27">
        <f t="shared" si="18"/>
        <v>6.0867747269123065</v>
      </c>
      <c r="H253" s="27">
        <f t="shared" si="19"/>
        <v>2.388762789235098</v>
      </c>
      <c r="I253" s="27">
        <f t="shared" si="20"/>
        <v>0.82148042711148106</v>
      </c>
      <c r="J253" s="27"/>
    </row>
    <row r="254" spans="1:10">
      <c r="A254" s="27">
        <v>243</v>
      </c>
      <c r="B254" s="27">
        <v>500</v>
      </c>
      <c r="C254" s="27">
        <v>11</v>
      </c>
      <c r="D254" s="27">
        <v>2.5369318181818183</v>
      </c>
      <c r="E254" s="27">
        <f t="shared" si="9"/>
        <v>0.92557251908396942</v>
      </c>
      <c r="F254" s="27">
        <f t="shared" si="10"/>
        <v>1.4435877889473323</v>
      </c>
      <c r="G254" s="27">
        <f t="shared" si="18"/>
        <v>6.2146080984221914</v>
      </c>
      <c r="H254" s="27">
        <f t="shared" si="19"/>
        <v>2.3978952727983707</v>
      </c>
      <c r="I254" s="27">
        <f t="shared" si="20"/>
        <v>0.93095540527840204</v>
      </c>
      <c r="J254" s="27"/>
    </row>
    <row r="255" spans="1:10">
      <c r="A255" s="27">
        <v>244</v>
      </c>
      <c r="B255" s="27">
        <v>500</v>
      </c>
      <c r="C255" s="27">
        <v>11.1</v>
      </c>
      <c r="D255" s="27">
        <v>2.85</v>
      </c>
      <c r="E255" s="27">
        <f t="shared" si="9"/>
        <v>0.92938931297709926</v>
      </c>
      <c r="F255" s="27">
        <f t="shared" si="10"/>
        <v>1.4712579371990813</v>
      </c>
      <c r="G255" s="27">
        <f t="shared" ref="G255:G261" si="21">LN(B255)</f>
        <v>6.2146080984221914</v>
      </c>
      <c r="H255" s="27">
        <f t="shared" ref="H255:H261" si="22">LN(C255)</f>
        <v>2.4069451083182885</v>
      </c>
      <c r="I255" s="27">
        <f t="shared" ref="I255:I261" si="23">LN(D255)</f>
        <v>1.0473189942805592</v>
      </c>
      <c r="J255" s="27"/>
    </row>
    <row r="256" spans="1:10">
      <c r="A256" s="27">
        <v>245</v>
      </c>
      <c r="B256" s="27">
        <v>500</v>
      </c>
      <c r="C256" s="27">
        <v>11.46</v>
      </c>
      <c r="D256" s="27">
        <v>3.0575000000000001</v>
      </c>
      <c r="E256" s="27">
        <f t="shared" si="9"/>
        <v>0.93320610687022898</v>
      </c>
      <c r="F256" s="27">
        <f t="shared" si="10"/>
        <v>1.5001027595109515</v>
      </c>
      <c r="G256" s="27">
        <f t="shared" si="21"/>
        <v>6.2146080984221914</v>
      </c>
      <c r="H256" s="27">
        <f t="shared" si="22"/>
        <v>2.4388627112865935</v>
      </c>
      <c r="I256" s="27">
        <f t="shared" si="23"/>
        <v>1.1175975885791904</v>
      </c>
      <c r="J256" s="27"/>
    </row>
    <row r="257" spans="1:10">
      <c r="A257" s="27">
        <v>246</v>
      </c>
      <c r="B257" s="27">
        <v>500</v>
      </c>
      <c r="C257" s="27">
        <v>11.5</v>
      </c>
      <c r="D257" s="27">
        <v>3.0965909090909096</v>
      </c>
      <c r="E257" s="27">
        <f t="shared" si="9"/>
        <v>0.93702290076335881</v>
      </c>
      <c r="F257" s="27">
        <f t="shared" si="10"/>
        <v>1.5302526710293167</v>
      </c>
      <c r="G257" s="27">
        <f t="shared" si="21"/>
        <v>6.2146080984221914</v>
      </c>
      <c r="H257" s="27">
        <f t="shared" si="22"/>
        <v>2.4423470353692043</v>
      </c>
      <c r="I257" s="27">
        <f t="shared" si="23"/>
        <v>1.1303017996250924</v>
      </c>
      <c r="J257" s="27"/>
    </row>
    <row r="258" spans="1:10">
      <c r="A258" s="27">
        <v>247</v>
      </c>
      <c r="B258" s="27">
        <v>500</v>
      </c>
      <c r="C258" s="27">
        <v>12</v>
      </c>
      <c r="D258" s="27">
        <v>3.7784090909090913</v>
      </c>
      <c r="E258" s="27">
        <f t="shared" si="9"/>
        <v>0.94083969465648853</v>
      </c>
      <c r="F258" s="27">
        <f t="shared" si="10"/>
        <v>1.5618615392556825</v>
      </c>
      <c r="G258" s="27">
        <f t="shared" si="21"/>
        <v>6.2146080984221914</v>
      </c>
      <c r="H258" s="27">
        <f t="shared" si="22"/>
        <v>2.4849066497880004</v>
      </c>
      <c r="I258" s="27">
        <f t="shared" si="23"/>
        <v>1.3293030456177024</v>
      </c>
      <c r="J258" s="27"/>
    </row>
    <row r="259" spans="1:10">
      <c r="A259" s="27">
        <v>248</v>
      </c>
      <c r="B259" s="522">
        <v>500</v>
      </c>
      <c r="C259" s="27">
        <v>12.23</v>
      </c>
      <c r="D259" s="27">
        <v>4.1246590909090912</v>
      </c>
      <c r="E259" s="27">
        <f t="shared" si="9"/>
        <v>0.94465648854961837</v>
      </c>
      <c r="F259" s="27">
        <f t="shared" si="10"/>
        <v>1.5951127585631368</v>
      </c>
      <c r="G259" s="27">
        <f t="shared" si="21"/>
        <v>6.2146080984221914</v>
      </c>
      <c r="H259" s="27">
        <f t="shared" si="22"/>
        <v>2.503891949699081</v>
      </c>
      <c r="I259" s="27">
        <f t="shared" si="23"/>
        <v>1.4169833717432898</v>
      </c>
      <c r="J259" s="27"/>
    </row>
    <row r="260" spans="1:10">
      <c r="A260" s="27">
        <v>249</v>
      </c>
      <c r="B260" s="27">
        <v>600</v>
      </c>
      <c r="C260" s="27">
        <v>12.7</v>
      </c>
      <c r="D260" s="27">
        <v>5.35</v>
      </c>
      <c r="E260" s="27">
        <f t="shared" si="9"/>
        <v>0.94847328244274809</v>
      </c>
      <c r="F260" s="27">
        <f t="shared" si="10"/>
        <v>1.6302274466655646</v>
      </c>
      <c r="G260" s="27">
        <f t="shared" si="21"/>
        <v>6.3969296552161463</v>
      </c>
      <c r="H260" s="27">
        <f t="shared" si="22"/>
        <v>2.5416019934645457</v>
      </c>
      <c r="I260" s="27">
        <f t="shared" si="23"/>
        <v>1.6770965609079151</v>
      </c>
      <c r="J260" s="27"/>
    </row>
    <row r="261" spans="1:10">
      <c r="A261" s="27">
        <v>250</v>
      </c>
      <c r="B261" s="27">
        <v>704</v>
      </c>
      <c r="C261" s="27">
        <v>13.3</v>
      </c>
      <c r="D261" s="27">
        <v>5.4749999999999996</v>
      </c>
      <c r="E261" s="27">
        <f t="shared" si="9"/>
        <v>0.95229007633587781</v>
      </c>
      <c r="F261" s="27">
        <f t="shared" si="10"/>
        <v>1.6674757254802022</v>
      </c>
      <c r="G261" s="27">
        <f t="shared" si="21"/>
        <v>6.5567783561580422</v>
      </c>
      <c r="H261" s="27">
        <f t="shared" si="22"/>
        <v>2.5877640352277083</v>
      </c>
      <c r="I261" s="27">
        <f t="shared" si="23"/>
        <v>1.7001922757025645</v>
      </c>
      <c r="J261" s="27"/>
    </row>
    <row r="262" spans="1:10">
      <c r="A262" s="27">
        <v>251</v>
      </c>
      <c r="B262" s="522">
        <v>800</v>
      </c>
      <c r="C262" s="27">
        <v>13.34</v>
      </c>
      <c r="D262" s="27">
        <v>5.55</v>
      </c>
      <c r="E262" s="27">
        <f t="shared" si="9"/>
        <v>0.95610687022900764</v>
      </c>
      <c r="F262" s="27">
        <f t="shared" si="10"/>
        <v>1.7071926025024666</v>
      </c>
      <c r="G262" s="27">
        <f t="shared" ref="G262:G264" si="24">LN(B262)</f>
        <v>6.6846117276679271</v>
      </c>
      <c r="H262" s="27">
        <f t="shared" ref="H262:H264" si="25">LN(C262)</f>
        <v>2.5907670404874779</v>
      </c>
      <c r="I262" s="27">
        <f t="shared" ref="I262:I264" si="26">LN(D262)</f>
        <v>1.7137979277583431</v>
      </c>
      <c r="J262" s="27"/>
    </row>
    <row r="263" spans="1:10">
      <c r="A263" s="27">
        <v>252</v>
      </c>
      <c r="B263" s="522">
        <v>800</v>
      </c>
      <c r="C263" s="27">
        <v>13.56</v>
      </c>
      <c r="D263" s="27">
        <v>6.78</v>
      </c>
      <c r="E263" s="27">
        <f t="shared" si="9"/>
        <v>0.95992366412213737</v>
      </c>
      <c r="F263" s="27">
        <f t="shared" si="10"/>
        <v>1.7498009207740837</v>
      </c>
      <c r="G263" s="27">
        <f t="shared" si="24"/>
        <v>6.6846117276679271</v>
      </c>
      <c r="H263" s="27">
        <f t="shared" si="25"/>
        <v>2.6071242825122494</v>
      </c>
      <c r="I263" s="27">
        <f t="shared" si="26"/>
        <v>1.9139771019523042</v>
      </c>
      <c r="J263" s="27"/>
    </row>
    <row r="264" spans="1:10">
      <c r="A264" s="27">
        <v>253</v>
      </c>
      <c r="B264" s="27">
        <v>880</v>
      </c>
      <c r="C264" s="27">
        <v>14</v>
      </c>
      <c r="D264" s="27">
        <v>6.7897727272727275</v>
      </c>
      <c r="E264" s="27">
        <f t="shared" si="9"/>
        <v>0.9637404580152672</v>
      </c>
      <c r="F264" s="27">
        <f t="shared" si="10"/>
        <v>1.7958455512600477</v>
      </c>
      <c r="G264" s="27">
        <f t="shared" si="24"/>
        <v>6.7799219074722519</v>
      </c>
      <c r="H264" s="27">
        <f t="shared" si="25"/>
        <v>2.6390573296152584</v>
      </c>
      <c r="I264" s="27">
        <f t="shared" si="26"/>
        <v>1.9154174693274593</v>
      </c>
      <c r="J264" s="27"/>
    </row>
    <row r="265" spans="1:10">
      <c r="A265" s="27">
        <v>254</v>
      </c>
      <c r="B265" s="27">
        <v>880</v>
      </c>
      <c r="C265" s="27">
        <v>14.59</v>
      </c>
      <c r="D265" s="27">
        <v>7.5</v>
      </c>
      <c r="E265" s="27">
        <f t="shared" si="9"/>
        <v>0.96755725190839692</v>
      </c>
      <c r="F265" s="27">
        <f t="shared" si="10"/>
        <v>1.8460462092017929</v>
      </c>
      <c r="G265" s="27">
        <f t="shared" ref="G265:G266" si="27">LN(B265)</f>
        <v>6.7799219074722519</v>
      </c>
      <c r="H265" s="27">
        <f t="shared" ref="H265:H266" si="28">LN(C265)</f>
        <v>2.6803363625346943</v>
      </c>
      <c r="I265" s="27">
        <f t="shared" ref="I265:I266" si="29">LN(D265)</f>
        <v>2.0149030205422647</v>
      </c>
      <c r="J265" s="27"/>
    </row>
    <row r="266" spans="1:10">
      <c r="A266" s="27">
        <v>255</v>
      </c>
      <c r="B266" s="27">
        <v>880</v>
      </c>
      <c r="C266" s="27">
        <v>15.8</v>
      </c>
      <c r="D266" s="797">
        <f t="shared" ref="D266:D273" si="30">+(B266/1760)*C266</f>
        <v>7.9</v>
      </c>
      <c r="E266" s="27">
        <f t="shared" si="9"/>
        <v>0.97137404580152675</v>
      </c>
      <c r="F266" s="27">
        <f t="shared" si="10"/>
        <v>1.9013826653257473</v>
      </c>
      <c r="G266" s="27">
        <f t="shared" si="27"/>
        <v>6.7799219074722519</v>
      </c>
      <c r="H266" s="27">
        <f t="shared" si="28"/>
        <v>2.760009940032921</v>
      </c>
      <c r="I266" s="27">
        <f t="shared" si="29"/>
        <v>2.066862759472976</v>
      </c>
      <c r="J266" s="27"/>
    </row>
    <row r="267" spans="1:10">
      <c r="A267" s="27">
        <v>256</v>
      </c>
      <c r="B267" s="27">
        <v>880</v>
      </c>
      <c r="C267" s="27">
        <v>16.48</v>
      </c>
      <c r="D267" s="797">
        <f t="shared" si="30"/>
        <v>8.24</v>
      </c>
      <c r="E267" s="27">
        <f t="shared" si="9"/>
        <v>0.97519083969465647</v>
      </c>
      <c r="F267" s="27">
        <f t="shared" si="10"/>
        <v>1.9632397668732697</v>
      </c>
      <c r="G267" s="27">
        <f t="shared" ref="G267" si="31">LN(B267)</f>
        <v>6.7799219074722519</v>
      </c>
      <c r="H267" s="27">
        <f t="shared" ref="H267" si="32">LN(C267)</f>
        <v>2.8021475244813256</v>
      </c>
      <c r="I267" s="27">
        <f t="shared" ref="I267" si="33">LN(D267)</f>
        <v>2.1090003439213802</v>
      </c>
      <c r="J267" s="27"/>
    </row>
    <row r="268" spans="1:10">
      <c r="A268" s="27">
        <v>257</v>
      </c>
      <c r="B268" s="27">
        <v>880</v>
      </c>
      <c r="C268" s="27">
        <v>17.2</v>
      </c>
      <c r="D268" s="797">
        <f t="shared" si="30"/>
        <v>8.6</v>
      </c>
      <c r="E268" s="27">
        <f t="shared" si="9"/>
        <v>0.97900763358778631</v>
      </c>
      <c r="F268" s="27">
        <f t="shared" si="10"/>
        <v>2.0336714474073081</v>
      </c>
      <c r="G268" s="27">
        <f t="shared" ref="G268" si="34">LN(B268)</f>
        <v>6.7799219074722519</v>
      </c>
      <c r="H268" s="27">
        <f t="shared" ref="H268" si="35">LN(C268)</f>
        <v>2.8449093838194073</v>
      </c>
      <c r="I268" s="27">
        <f t="shared" ref="I268" si="36">LN(D268)</f>
        <v>2.1517622032594619</v>
      </c>
      <c r="J268" s="27"/>
    </row>
    <row r="269" spans="1:10">
      <c r="A269" s="27">
        <f>+A268+1</f>
        <v>258</v>
      </c>
      <c r="B269" s="905">
        <v>1320</v>
      </c>
      <c r="C269" s="905">
        <v>20</v>
      </c>
      <c r="D269" s="982">
        <f t="shared" si="30"/>
        <v>15</v>
      </c>
      <c r="E269" s="27">
        <f t="shared" ref="E269:E273" si="37">(A269-0.5)/262</f>
        <v>0.98282442748091603</v>
      </c>
      <c r="F269" s="27">
        <f t="shared" si="10"/>
        <v>2.1159254910219962</v>
      </c>
      <c r="G269" s="27">
        <f t="shared" ref="G269:G273" si="38">LN(B269)</f>
        <v>7.1853870155804165</v>
      </c>
      <c r="H269" s="27">
        <f t="shared" ref="H269:H273" si="39">LN(C269)</f>
        <v>2.9957322735539909</v>
      </c>
      <c r="I269" s="27">
        <f t="shared" ref="I269:I273" si="40">LN(D269)</f>
        <v>2.7080502011022101</v>
      </c>
      <c r="J269" s="27"/>
    </row>
    <row r="270" spans="1:10">
      <c r="A270" s="27">
        <f t="shared" ref="A270:A273" si="41">+A269+1</f>
        <v>259</v>
      </c>
      <c r="B270" s="905">
        <v>1320</v>
      </c>
      <c r="C270" s="905">
        <v>21.8</v>
      </c>
      <c r="D270" s="982">
        <f t="shared" si="30"/>
        <v>16.350000000000001</v>
      </c>
      <c r="E270" s="27">
        <f t="shared" si="37"/>
        <v>0.98664122137404575</v>
      </c>
      <c r="F270" s="27">
        <f t="shared" si="10"/>
        <v>2.2156197184696933</v>
      </c>
      <c r="G270" s="27">
        <f t="shared" si="38"/>
        <v>7.1853870155804165</v>
      </c>
      <c r="H270" s="27">
        <f t="shared" si="39"/>
        <v>3.0819099697950434</v>
      </c>
      <c r="I270" s="27">
        <f t="shared" si="40"/>
        <v>2.7942278973432626</v>
      </c>
      <c r="J270" s="27"/>
    </row>
    <row r="271" spans="1:10">
      <c r="A271" s="27">
        <f t="shared" si="41"/>
        <v>260</v>
      </c>
      <c r="B271" s="905">
        <v>1320</v>
      </c>
      <c r="C271" s="905">
        <v>23.27</v>
      </c>
      <c r="D271" s="982">
        <f t="shared" si="30"/>
        <v>17.452500000000001</v>
      </c>
      <c r="E271" s="27">
        <f t="shared" si="37"/>
        <v>0.99045801526717558</v>
      </c>
      <c r="F271" s="27">
        <f t="shared" si="10"/>
        <v>2.3438866646343479</v>
      </c>
      <c r="G271" s="27">
        <f t="shared" si="38"/>
        <v>7.1853870155804165</v>
      </c>
      <c r="H271" s="27">
        <f t="shared" si="39"/>
        <v>3.1471649773142003</v>
      </c>
      <c r="I271" s="27">
        <f t="shared" si="40"/>
        <v>2.8594829048624195</v>
      </c>
      <c r="J271" s="27"/>
    </row>
    <row r="272" spans="1:10">
      <c r="A272" s="27">
        <f t="shared" si="41"/>
        <v>261</v>
      </c>
      <c r="B272" s="905">
        <v>1320</v>
      </c>
      <c r="C272" s="905">
        <v>23.9</v>
      </c>
      <c r="D272" s="982">
        <f t="shared" si="30"/>
        <v>17.924999999999997</v>
      </c>
      <c r="E272" s="27">
        <f t="shared" si="37"/>
        <v>0.99427480916030531</v>
      </c>
      <c r="F272" s="27">
        <f t="shared" si="10"/>
        <v>2.5286448811898179</v>
      </c>
      <c r="G272" s="27">
        <f t="shared" si="38"/>
        <v>7.1853870155804165</v>
      </c>
      <c r="H272" s="27">
        <f t="shared" si="39"/>
        <v>3.1738784589374651</v>
      </c>
      <c r="I272" s="27">
        <f t="shared" si="40"/>
        <v>2.8861963864856839</v>
      </c>
      <c r="J272" s="27"/>
    </row>
    <row r="273" spans="1:10">
      <c r="A273" s="27">
        <f t="shared" si="41"/>
        <v>262</v>
      </c>
      <c r="B273" s="503">
        <v>1320</v>
      </c>
      <c r="C273" s="503">
        <v>43.2</v>
      </c>
      <c r="D273" s="982">
        <f t="shared" si="30"/>
        <v>32.400000000000006</v>
      </c>
      <c r="E273" s="27">
        <f t="shared" si="37"/>
        <v>0.99809160305343514</v>
      </c>
      <c r="F273" s="27">
        <f t="shared" si="10"/>
        <v>2.8929192678734226</v>
      </c>
      <c r="G273" s="27">
        <f t="shared" si="38"/>
        <v>7.1853870155804165</v>
      </c>
      <c r="H273" s="27">
        <f t="shared" si="39"/>
        <v>3.7658404952500648</v>
      </c>
      <c r="I273" s="27">
        <f t="shared" si="40"/>
        <v>3.478158422798284</v>
      </c>
      <c r="J273" s="27"/>
    </row>
    <row r="274" spans="1:10">
      <c r="A274" s="671"/>
      <c r="B274" s="671"/>
      <c r="C274" s="671"/>
      <c r="D274" s="671"/>
      <c r="E274" s="671"/>
      <c r="F274" s="671"/>
      <c r="G274" s="671"/>
      <c r="H274" s="671"/>
      <c r="I274" s="671"/>
      <c r="J274" s="27"/>
    </row>
    <row r="275" spans="1:10">
      <c r="A275" s="671"/>
      <c r="B275" s="671"/>
      <c r="C275" s="671"/>
      <c r="D275" s="671"/>
      <c r="E275" s="671"/>
      <c r="F275" s="671"/>
      <c r="G275" s="671"/>
      <c r="H275" s="671"/>
      <c r="I275" s="671"/>
      <c r="J275" s="27"/>
    </row>
    <row r="276" spans="1:10">
      <c r="A276" s="671"/>
      <c r="B276" s="671"/>
      <c r="C276" s="671"/>
      <c r="D276" s="671"/>
      <c r="E276" s="671"/>
      <c r="F276" s="671"/>
      <c r="G276" s="671"/>
      <c r="H276" s="671"/>
      <c r="I276" s="671"/>
      <c r="J276" s="27"/>
    </row>
    <row r="277" spans="1:10">
      <c r="A277" s="671"/>
      <c r="B277" s="671"/>
      <c r="C277" s="671"/>
      <c r="D277" s="671"/>
      <c r="E277" s="671"/>
      <c r="F277" s="671"/>
      <c r="G277" s="671"/>
      <c r="H277" s="671"/>
      <c r="I277" s="671"/>
      <c r="J277" s="27"/>
    </row>
    <row r="278" spans="1:10">
      <c r="A278" s="671"/>
      <c r="B278" s="671"/>
      <c r="C278" s="671"/>
      <c r="D278" s="671"/>
      <c r="E278" s="671"/>
      <c r="F278" s="671"/>
      <c r="G278" s="671"/>
      <c r="H278" s="671"/>
      <c r="I278" s="671"/>
      <c r="J278" s="27"/>
    </row>
    <row r="279" spans="1:10">
      <c r="A279" s="671"/>
      <c r="B279" s="671"/>
      <c r="C279" s="671"/>
      <c r="D279" s="671"/>
      <c r="E279" s="671"/>
      <c r="F279" s="671"/>
      <c r="G279" s="671"/>
      <c r="H279" s="671"/>
      <c r="I279" s="671"/>
      <c r="J279" s="27"/>
    </row>
    <row r="280" spans="1:10">
      <c r="A280" s="671"/>
      <c r="B280" s="671"/>
      <c r="C280" s="671"/>
      <c r="D280" s="671"/>
      <c r="E280" s="671"/>
      <c r="F280" s="671"/>
      <c r="G280" s="671"/>
      <c r="H280" s="671"/>
      <c r="I280" s="671"/>
      <c r="J280" s="27"/>
    </row>
    <row r="281" spans="1:10">
      <c r="A281" s="671"/>
      <c r="B281" s="671"/>
      <c r="C281" s="671"/>
      <c r="D281" s="671"/>
      <c r="E281" s="671"/>
      <c r="F281" s="671"/>
      <c r="G281" s="671"/>
      <c r="H281" s="671"/>
      <c r="I281" s="671"/>
      <c r="J281" s="27"/>
    </row>
    <row r="282" spans="1:10">
      <c r="A282" s="671"/>
      <c r="B282" s="671"/>
      <c r="C282" s="671"/>
      <c r="D282" s="671"/>
      <c r="E282" s="671"/>
      <c r="F282" s="671"/>
      <c r="G282" s="671"/>
      <c r="H282" s="671"/>
      <c r="I282" s="671"/>
      <c r="J282" s="27"/>
    </row>
    <row r="283" spans="1:10">
      <c r="A283" s="671"/>
      <c r="B283" s="671"/>
      <c r="C283" s="671"/>
      <c r="D283" s="671"/>
      <c r="E283" s="671"/>
      <c r="F283" s="671"/>
      <c r="G283" s="671"/>
      <c r="H283" s="671"/>
      <c r="I283" s="671"/>
      <c r="J283" s="27"/>
    </row>
    <row r="284" spans="1:10">
      <c r="A284" s="671"/>
      <c r="B284" s="671"/>
      <c r="C284" s="671"/>
      <c r="D284" s="671"/>
      <c r="E284" s="671"/>
      <c r="F284" s="671"/>
      <c r="G284" s="671"/>
      <c r="H284" s="671"/>
      <c r="I284" s="671"/>
      <c r="J284" s="27"/>
    </row>
    <row r="285" spans="1:10">
      <c r="A285" s="671"/>
      <c r="B285" s="671"/>
      <c r="C285" s="671"/>
      <c r="D285" s="671"/>
      <c r="E285" s="671"/>
      <c r="F285" s="671"/>
      <c r="G285" s="671"/>
      <c r="H285" s="671"/>
      <c r="I285" s="671"/>
      <c r="J285" s="27"/>
    </row>
    <row r="286" spans="1:10">
      <c r="A286" s="671"/>
      <c r="B286" s="671"/>
      <c r="C286" s="671"/>
      <c r="D286" s="671"/>
      <c r="E286" s="671"/>
      <c r="F286" s="671"/>
      <c r="G286" s="671"/>
      <c r="H286" s="671"/>
      <c r="I286" s="671"/>
      <c r="J286" s="27"/>
    </row>
    <row r="287" spans="1:10">
      <c r="A287" s="671"/>
      <c r="B287" s="671"/>
      <c r="C287" s="671"/>
      <c r="D287" s="671"/>
      <c r="E287" s="671"/>
      <c r="F287" s="671"/>
      <c r="G287" s="671"/>
      <c r="H287" s="671"/>
      <c r="I287" s="671"/>
      <c r="J287" s="27"/>
    </row>
    <row r="288" spans="1:10">
      <c r="A288" s="671"/>
      <c r="B288" s="671"/>
      <c r="C288" s="671"/>
      <c r="D288" s="671"/>
      <c r="E288" s="671"/>
      <c r="F288" s="671"/>
      <c r="G288" s="671"/>
      <c r="H288" s="671"/>
      <c r="I288" s="671"/>
      <c r="J288" s="27"/>
    </row>
    <row r="289" spans="1:10">
      <c r="A289" s="671"/>
      <c r="B289" s="671"/>
      <c r="C289" s="671"/>
      <c r="D289" s="671"/>
      <c r="E289" s="671"/>
      <c r="F289" s="671"/>
      <c r="G289" s="671"/>
      <c r="H289" s="671"/>
      <c r="I289" s="671"/>
      <c r="J289" s="27"/>
    </row>
    <row r="290" spans="1:10">
      <c r="A290" s="671"/>
      <c r="B290" s="671"/>
      <c r="C290" s="671"/>
      <c r="D290" s="671"/>
      <c r="E290" s="671"/>
      <c r="F290" s="671"/>
      <c r="G290" s="671"/>
      <c r="H290" s="671"/>
      <c r="I290" s="671"/>
      <c r="J290" s="27"/>
    </row>
    <row r="291" spans="1:10">
      <c r="A291" s="671"/>
      <c r="B291" s="671"/>
      <c r="C291" s="671"/>
      <c r="D291" s="671"/>
      <c r="E291" s="671"/>
      <c r="F291" s="671"/>
      <c r="G291" s="671"/>
      <c r="H291" s="671"/>
      <c r="I291" s="671"/>
      <c r="J291" s="27"/>
    </row>
    <row r="292" spans="1:10">
      <c r="A292" s="671"/>
      <c r="B292" s="671"/>
      <c r="C292" s="671"/>
      <c r="D292" s="671"/>
      <c r="E292" s="671"/>
      <c r="F292" s="671"/>
      <c r="G292" s="671"/>
      <c r="H292" s="671"/>
      <c r="I292" s="671"/>
      <c r="J292" s="27"/>
    </row>
    <row r="293" spans="1:10">
      <c r="A293" s="671"/>
      <c r="B293" s="671"/>
      <c r="C293" s="671"/>
      <c r="D293" s="671"/>
      <c r="E293" s="671"/>
      <c r="F293" s="671"/>
      <c r="G293" s="671"/>
      <c r="H293" s="671"/>
      <c r="I293" s="671"/>
      <c r="J293" s="27"/>
    </row>
    <row r="294" spans="1:10">
      <c r="A294" s="671"/>
      <c r="B294" s="671"/>
      <c r="C294" s="671"/>
      <c r="D294" s="671"/>
      <c r="E294" s="671"/>
      <c r="F294" s="671"/>
      <c r="G294" s="671"/>
      <c r="H294" s="671"/>
      <c r="I294" s="671"/>
      <c r="J294" s="27"/>
    </row>
    <row r="295" spans="1:10">
      <c r="A295" s="671"/>
      <c r="B295" s="671"/>
      <c r="C295" s="671"/>
      <c r="D295" s="671"/>
      <c r="E295" s="671"/>
      <c r="F295" s="671"/>
      <c r="G295" s="671"/>
      <c r="H295" s="671"/>
      <c r="I295" s="671"/>
      <c r="J295" s="27"/>
    </row>
    <row r="296" spans="1:10">
      <c r="A296" s="671"/>
      <c r="B296" s="671"/>
      <c r="C296" s="671"/>
      <c r="D296" s="671"/>
      <c r="E296" s="671"/>
      <c r="F296" s="671"/>
      <c r="G296" s="671"/>
      <c r="H296" s="671"/>
      <c r="I296" s="671"/>
      <c r="J296" s="27"/>
    </row>
    <row r="297" spans="1:10">
      <c r="A297" s="671"/>
      <c r="B297" s="671"/>
      <c r="C297" s="671"/>
      <c r="D297" s="671"/>
      <c r="E297" s="671"/>
      <c r="F297" s="671"/>
      <c r="G297" s="671"/>
      <c r="H297" s="671"/>
      <c r="I297" s="671"/>
      <c r="J297" s="27"/>
    </row>
    <row r="298" spans="1:10">
      <c r="A298" s="671"/>
      <c r="B298" s="671"/>
      <c r="C298" s="671"/>
      <c r="D298" s="671"/>
      <c r="E298" s="671"/>
      <c r="F298" s="671"/>
      <c r="G298" s="671"/>
      <c r="H298" s="671"/>
      <c r="I298" s="671"/>
      <c r="J298" s="27"/>
    </row>
    <row r="299" spans="1:10">
      <c r="A299" s="671"/>
      <c r="B299" s="671"/>
      <c r="C299" s="671"/>
      <c r="D299" s="671"/>
      <c r="E299" s="671"/>
      <c r="F299" s="671"/>
      <c r="G299" s="671"/>
      <c r="H299" s="671"/>
      <c r="I299" s="671"/>
      <c r="J299" s="27"/>
    </row>
    <row r="300" spans="1:10">
      <c r="A300" s="671"/>
      <c r="B300" s="671"/>
      <c r="C300" s="671"/>
      <c r="D300" s="671"/>
      <c r="E300" s="671"/>
      <c r="F300" s="671"/>
      <c r="G300" s="671"/>
      <c r="H300" s="671"/>
      <c r="I300" s="671"/>
      <c r="J300" s="27"/>
    </row>
    <row r="301" spans="1:10">
      <c r="A301" s="671"/>
      <c r="B301" s="671"/>
      <c r="C301" s="671"/>
      <c r="D301" s="671"/>
      <c r="E301" s="671"/>
      <c r="F301" s="671"/>
      <c r="G301" s="671"/>
      <c r="H301" s="671"/>
      <c r="I301" s="671"/>
      <c r="J301" s="27"/>
    </row>
    <row r="302" spans="1:10">
      <c r="A302" s="671"/>
      <c r="B302" s="671"/>
      <c r="C302" s="671"/>
      <c r="D302" s="671"/>
      <c r="E302" s="671"/>
      <c r="F302" s="671"/>
      <c r="G302" s="671"/>
      <c r="H302" s="671"/>
      <c r="I302" s="671"/>
      <c r="J302" s="27"/>
    </row>
    <row r="303" spans="1:10">
      <c r="A303" s="671"/>
      <c r="B303" s="671"/>
      <c r="C303" s="671"/>
      <c r="D303" s="671"/>
      <c r="E303" s="671"/>
      <c r="F303" s="671"/>
      <c r="G303" s="671"/>
      <c r="H303" s="671"/>
      <c r="I303" s="671"/>
      <c r="J303" s="27"/>
    </row>
    <row r="304" spans="1:10">
      <c r="A304" s="671"/>
      <c r="B304" s="671"/>
      <c r="C304" s="671"/>
      <c r="D304" s="671"/>
      <c r="E304" s="671"/>
      <c r="F304" s="671"/>
      <c r="G304" s="671"/>
      <c r="H304" s="671"/>
      <c r="I304" s="671"/>
      <c r="J304" s="27"/>
    </row>
    <row r="305" spans="1:10">
      <c r="A305" s="671"/>
      <c r="B305" s="671"/>
      <c r="C305" s="671"/>
      <c r="D305" s="671"/>
      <c r="E305" s="671"/>
      <c r="F305" s="671"/>
      <c r="G305" s="671"/>
      <c r="H305" s="671"/>
      <c r="I305" s="671"/>
      <c r="J305" s="27"/>
    </row>
    <row r="306" spans="1:10">
      <c r="A306" s="671"/>
      <c r="B306" s="671"/>
      <c r="C306" s="671"/>
      <c r="D306" s="671"/>
      <c r="E306" s="671"/>
      <c r="F306" s="671"/>
      <c r="G306" s="671"/>
      <c r="H306" s="671"/>
      <c r="I306" s="671"/>
      <c r="J306" s="27"/>
    </row>
    <row r="307" spans="1:10">
      <c r="A307" s="671"/>
      <c r="B307" s="671"/>
      <c r="C307" s="671"/>
      <c r="D307" s="671"/>
      <c r="E307" s="671"/>
      <c r="F307" s="671"/>
      <c r="G307" s="671"/>
      <c r="H307" s="671"/>
      <c r="I307" s="671"/>
      <c r="J307" s="27"/>
    </row>
    <row r="308" spans="1:10">
      <c r="A308" s="671"/>
      <c r="B308" s="671"/>
      <c r="C308" s="671"/>
      <c r="D308" s="671"/>
      <c r="E308" s="671"/>
      <c r="F308" s="671"/>
      <c r="G308" s="671"/>
      <c r="H308" s="671"/>
      <c r="I308" s="671"/>
      <c r="J308" s="27"/>
    </row>
    <row r="309" spans="1:10">
      <c r="A309" s="671"/>
      <c r="B309" s="671"/>
      <c r="C309" s="671"/>
      <c r="D309" s="671"/>
      <c r="E309" s="671"/>
      <c r="F309" s="671"/>
      <c r="G309" s="671"/>
      <c r="H309" s="671"/>
      <c r="I309" s="671"/>
      <c r="J309" s="27"/>
    </row>
    <row r="310" spans="1:10">
      <c r="A310" s="671"/>
      <c r="B310" s="671"/>
      <c r="C310" s="671"/>
      <c r="D310" s="671"/>
      <c r="E310" s="671"/>
      <c r="F310" s="671"/>
      <c r="G310" s="671"/>
      <c r="H310" s="671"/>
      <c r="I310" s="671"/>
      <c r="J310" s="27"/>
    </row>
    <row r="311" spans="1:10">
      <c r="A311" s="27"/>
      <c r="B311" s="27"/>
      <c r="C311" s="27"/>
      <c r="D311" s="27"/>
      <c r="E311" s="27"/>
      <c r="F311" s="27"/>
      <c r="G311" s="27"/>
      <c r="H311" s="27"/>
      <c r="I311" s="27"/>
      <c r="J311" s="27"/>
    </row>
    <row r="312" spans="1:10">
      <c r="A312" s="27"/>
      <c r="B312" s="27"/>
      <c r="C312" s="27"/>
      <c r="D312" s="27"/>
      <c r="E312" s="27"/>
      <c r="F312" s="27"/>
      <c r="G312" s="27"/>
      <c r="H312" s="27"/>
      <c r="I312" s="27"/>
      <c r="J312" s="27"/>
    </row>
    <row r="313" spans="1:10">
      <c r="A313" s="27"/>
      <c r="B313" s="27"/>
      <c r="C313" s="27"/>
      <c r="D313" s="27"/>
      <c r="E313" s="27"/>
      <c r="F313" s="27"/>
      <c r="G313" s="27"/>
      <c r="H313" s="27"/>
      <c r="I313" s="27"/>
      <c r="J313" s="27"/>
    </row>
    <row r="314" spans="1:10">
      <c r="A314" s="27"/>
      <c r="B314" s="27"/>
      <c r="C314" s="27"/>
      <c r="D314" s="27"/>
      <c r="E314" s="27"/>
      <c r="F314" s="27"/>
      <c r="G314" s="27"/>
      <c r="H314" s="27"/>
      <c r="I314" s="27"/>
      <c r="J314" s="27"/>
    </row>
    <row r="315" spans="1:10">
      <c r="A315" s="27"/>
      <c r="B315" s="27"/>
      <c r="C315" s="27"/>
      <c r="D315" s="27"/>
      <c r="E315" s="27"/>
      <c r="F315" s="27"/>
      <c r="G315" s="27"/>
      <c r="H315" s="27"/>
      <c r="I315" s="27"/>
      <c r="J315" s="27"/>
    </row>
    <row r="316" spans="1:10">
      <c r="A316" s="27"/>
      <c r="B316" s="27"/>
      <c r="C316" s="27"/>
      <c r="D316" s="27"/>
      <c r="E316" s="27"/>
      <c r="F316" s="27"/>
      <c r="G316" s="27"/>
      <c r="H316" s="27"/>
      <c r="I316" s="27"/>
      <c r="J316" s="27"/>
    </row>
    <row r="317" spans="1:10">
      <c r="A317" s="27"/>
      <c r="B317" s="27"/>
      <c r="C317" s="27"/>
      <c r="D317" s="27"/>
      <c r="E317" s="27"/>
      <c r="F317" s="27"/>
      <c r="G317" s="27"/>
      <c r="H317" s="27"/>
      <c r="I317" s="27"/>
      <c r="J317" s="27"/>
    </row>
    <row r="318" spans="1:10">
      <c r="A318" s="27"/>
      <c r="B318" s="27"/>
      <c r="C318" s="27"/>
      <c r="D318" s="27"/>
      <c r="E318" s="27"/>
      <c r="F318" s="27"/>
      <c r="G318" s="27"/>
      <c r="H318" s="27"/>
      <c r="I318" s="27"/>
      <c r="J318" s="27"/>
    </row>
    <row r="319" spans="1:10">
      <c r="A319" s="27"/>
      <c r="B319" s="27"/>
      <c r="C319" s="27"/>
      <c r="D319" s="27"/>
      <c r="E319" s="27"/>
      <c r="F319" s="27"/>
      <c r="G319" s="27"/>
      <c r="H319" s="27"/>
      <c r="I319" s="27"/>
      <c r="J319" s="27"/>
    </row>
    <row r="320" spans="1:10">
      <c r="A320" s="27"/>
      <c r="B320" s="27"/>
      <c r="C320" s="27"/>
      <c r="D320" s="27"/>
      <c r="E320" s="27"/>
      <c r="F320" s="27"/>
      <c r="G320" s="27"/>
      <c r="H320" s="27"/>
      <c r="I320" s="27"/>
      <c r="J320" s="27"/>
    </row>
    <row r="321" spans="1:10">
      <c r="A321" s="27"/>
      <c r="B321" s="27"/>
      <c r="C321" s="27"/>
      <c r="D321" s="27"/>
      <c r="E321" s="27"/>
      <c r="F321" s="27"/>
      <c r="G321" s="27"/>
      <c r="H321" s="27"/>
      <c r="I321" s="27"/>
      <c r="J321" s="27"/>
    </row>
    <row r="322" spans="1:10">
      <c r="A322" s="27"/>
      <c r="B322" s="27"/>
      <c r="C322" s="27"/>
      <c r="D322" s="27"/>
      <c r="E322" s="27"/>
      <c r="F322" s="27"/>
      <c r="G322" s="27"/>
      <c r="H322" s="27"/>
      <c r="I322" s="27"/>
      <c r="J322" s="27"/>
    </row>
    <row r="323" spans="1:10">
      <c r="A323" s="27"/>
      <c r="B323" s="27"/>
      <c r="C323" s="27"/>
      <c r="D323" s="27"/>
      <c r="E323" s="27"/>
      <c r="F323" s="27"/>
      <c r="G323" s="27"/>
      <c r="H323" s="27"/>
      <c r="I323" s="27"/>
      <c r="J323" s="27"/>
    </row>
    <row r="324" spans="1:10">
      <c r="A324" s="27"/>
      <c r="B324" s="27"/>
      <c r="C324" s="27"/>
      <c r="D324" s="27"/>
      <c r="E324" s="27"/>
      <c r="F324" s="27"/>
      <c r="G324" s="27"/>
      <c r="H324" s="27"/>
      <c r="I324" s="27"/>
      <c r="J324" s="27"/>
    </row>
    <row r="325" spans="1:10">
      <c r="A325" s="27"/>
      <c r="B325" s="27"/>
      <c r="C325" s="27"/>
      <c r="D325" s="27"/>
      <c r="E325" s="27"/>
      <c r="F325" s="27"/>
      <c r="G325" s="27"/>
      <c r="H325" s="27"/>
      <c r="I325" s="27"/>
      <c r="J325" s="27"/>
    </row>
    <row r="326" spans="1:10">
      <c r="A326" s="27"/>
      <c r="B326" s="27"/>
      <c r="C326" s="27"/>
      <c r="D326" s="27"/>
      <c r="E326" s="27"/>
      <c r="F326" s="27"/>
      <c r="G326" s="27"/>
      <c r="H326" s="27"/>
      <c r="I326" s="27"/>
      <c r="J326" s="27"/>
    </row>
    <row r="327" spans="1:10">
      <c r="A327" s="27"/>
      <c r="B327" s="27"/>
      <c r="C327" s="27"/>
      <c r="D327" s="27"/>
      <c r="E327" s="27"/>
      <c r="F327" s="27"/>
      <c r="G327" s="27"/>
      <c r="H327" s="27"/>
      <c r="I327" s="27"/>
      <c r="J327" s="27"/>
    </row>
    <row r="328" spans="1:10">
      <c r="A328" s="27"/>
      <c r="B328" s="27"/>
      <c r="C328" s="27"/>
      <c r="D328" s="27"/>
      <c r="E328" s="27"/>
      <c r="F328" s="27"/>
      <c r="G328" s="27"/>
      <c r="H328" s="27"/>
      <c r="I328" s="27"/>
      <c r="J328" s="27"/>
    </row>
    <row r="329" spans="1:10">
      <c r="A329" s="27"/>
      <c r="B329" s="27"/>
      <c r="C329" s="27"/>
      <c r="D329" s="27"/>
      <c r="E329" s="27"/>
      <c r="F329" s="27"/>
      <c r="G329" s="27"/>
      <c r="H329" s="27"/>
      <c r="I329" s="27"/>
      <c r="J329" s="27"/>
    </row>
    <row r="330" spans="1:10">
      <c r="A330" s="27"/>
      <c r="B330" s="27"/>
      <c r="C330" s="27"/>
      <c r="D330" s="27"/>
      <c r="E330" s="27"/>
      <c r="F330" s="27"/>
      <c r="G330" s="27"/>
      <c r="H330" s="27"/>
      <c r="I330" s="27"/>
      <c r="J330" s="27"/>
    </row>
    <row r="331" spans="1:10">
      <c r="A331" s="27"/>
      <c r="B331" s="27"/>
      <c r="C331" s="27"/>
      <c r="D331" s="27"/>
      <c r="E331" s="27"/>
      <c r="F331" s="27"/>
      <c r="G331" s="27"/>
      <c r="H331" s="27"/>
      <c r="I331" s="27"/>
      <c r="J331" s="27"/>
    </row>
    <row r="332" spans="1:10">
      <c r="A332" s="27"/>
      <c r="B332" s="27"/>
      <c r="C332" s="27"/>
      <c r="D332" s="27"/>
      <c r="E332" s="27"/>
      <c r="F332" s="27"/>
      <c r="G332" s="27"/>
      <c r="H332" s="27"/>
      <c r="I332" s="27"/>
      <c r="J332" s="27"/>
    </row>
    <row r="333" spans="1:10">
      <c r="A333" s="27"/>
      <c r="B333" s="27"/>
      <c r="C333" s="27"/>
      <c r="D333" s="27"/>
      <c r="E333" s="27"/>
      <c r="F333" s="27"/>
      <c r="G333" s="27"/>
      <c r="H333" s="27"/>
      <c r="I333" s="27"/>
      <c r="J333" s="27"/>
    </row>
    <row r="334" spans="1:10">
      <c r="A334" s="27"/>
      <c r="B334" s="27"/>
      <c r="C334" s="27"/>
      <c r="D334" s="27"/>
      <c r="E334" s="27"/>
      <c r="F334" s="27"/>
      <c r="G334" s="27"/>
      <c r="H334" s="27"/>
      <c r="I334" s="27"/>
      <c r="J334" s="27"/>
    </row>
    <row r="335" spans="1:10">
      <c r="A335" s="27"/>
      <c r="B335" s="27"/>
      <c r="C335" s="27"/>
      <c r="D335" s="27"/>
      <c r="E335" s="27"/>
      <c r="F335" s="27"/>
      <c r="G335" s="27"/>
      <c r="H335" s="27"/>
      <c r="I335" s="27"/>
      <c r="J335" s="27"/>
    </row>
    <row r="336" spans="1:10">
      <c r="A336" s="27"/>
      <c r="B336" s="27"/>
      <c r="C336" s="27"/>
      <c r="D336" s="27"/>
      <c r="E336" s="27"/>
      <c r="F336" s="27"/>
      <c r="G336" s="27"/>
      <c r="H336" s="27"/>
      <c r="I336" s="27"/>
      <c r="J336" s="27"/>
    </row>
    <row r="337" spans="1:10">
      <c r="A337" s="27"/>
      <c r="B337" s="27"/>
      <c r="C337" s="27"/>
      <c r="D337" s="27"/>
      <c r="E337" s="27"/>
      <c r="F337" s="27"/>
      <c r="G337" s="27"/>
      <c r="H337" s="27"/>
      <c r="I337" s="27"/>
      <c r="J337" s="27"/>
    </row>
    <row r="338" spans="1:10">
      <c r="A338" s="27"/>
      <c r="B338" s="27"/>
      <c r="C338" s="27"/>
      <c r="D338" s="27"/>
      <c r="E338" s="27"/>
      <c r="F338" s="27"/>
      <c r="G338" s="27"/>
      <c r="H338" s="27"/>
      <c r="I338" s="27"/>
      <c r="J338" s="27"/>
    </row>
    <row r="339" spans="1:10">
      <c r="A339" s="27"/>
      <c r="B339" s="27"/>
      <c r="C339" s="27"/>
      <c r="D339" s="27"/>
      <c r="E339" s="27"/>
      <c r="F339" s="27"/>
      <c r="G339" s="27"/>
      <c r="H339" s="27"/>
      <c r="I339" s="27"/>
      <c r="J339" s="27"/>
    </row>
    <row r="340" spans="1:10">
      <c r="A340" s="27"/>
      <c r="B340" s="27"/>
      <c r="C340" s="27"/>
      <c r="D340" s="27"/>
      <c r="E340" s="27"/>
      <c r="F340" s="27"/>
      <c r="G340" s="27"/>
      <c r="H340" s="27"/>
      <c r="I340" s="27"/>
      <c r="J340" s="27"/>
    </row>
    <row r="341" spans="1:10">
      <c r="A341" s="27"/>
      <c r="B341" s="27"/>
      <c r="C341" s="27"/>
      <c r="D341" s="27"/>
      <c r="E341" s="27"/>
      <c r="F341" s="27"/>
      <c r="G341" s="27"/>
      <c r="H341" s="27"/>
      <c r="I341" s="27"/>
      <c r="J341" s="27"/>
    </row>
    <row r="342" spans="1:10">
      <c r="A342" s="27"/>
      <c r="B342" s="27"/>
      <c r="C342" s="27"/>
      <c r="D342" s="27"/>
      <c r="E342" s="27"/>
      <c r="F342" s="27"/>
      <c r="G342" s="27"/>
      <c r="H342" s="27"/>
      <c r="I342" s="27"/>
      <c r="J342" s="27"/>
    </row>
    <row r="343" spans="1:10">
      <c r="A343" s="27"/>
      <c r="B343" s="27"/>
      <c r="C343" s="27"/>
      <c r="D343" s="27"/>
      <c r="E343" s="27"/>
      <c r="F343" s="27"/>
      <c r="G343" s="27"/>
      <c r="H343" s="27"/>
      <c r="I343" s="27"/>
      <c r="J343" s="27"/>
    </row>
    <row r="344" spans="1:10">
      <c r="A344" s="27"/>
      <c r="B344" s="27"/>
      <c r="C344" s="27"/>
      <c r="D344" s="27"/>
      <c r="E344" s="27"/>
      <c r="F344" s="27"/>
      <c r="G344" s="27"/>
      <c r="H344" s="27"/>
      <c r="I344" s="27"/>
      <c r="J344" s="27"/>
    </row>
    <row r="345" spans="1:10">
      <c r="A345" s="27"/>
      <c r="B345" s="27"/>
      <c r="C345" s="27"/>
      <c r="D345" s="27"/>
      <c r="E345" s="27"/>
      <c r="F345" s="27"/>
      <c r="G345" s="27"/>
      <c r="H345" s="27"/>
      <c r="I345" s="27"/>
      <c r="J345" s="27"/>
    </row>
    <row r="346" spans="1:10">
      <c r="A346" s="27"/>
      <c r="B346" s="27"/>
      <c r="C346" s="27"/>
      <c r="D346" s="27"/>
      <c r="E346" s="27"/>
      <c r="F346" s="27"/>
      <c r="G346" s="27"/>
      <c r="H346" s="27"/>
      <c r="I346" s="27"/>
      <c r="J346" s="27"/>
    </row>
    <row r="347" spans="1:10">
      <c r="A347" s="27"/>
      <c r="B347" s="27"/>
      <c r="C347" s="27"/>
      <c r="D347" s="27"/>
      <c r="E347" s="27"/>
      <c r="F347" s="27"/>
      <c r="G347" s="27"/>
      <c r="H347" s="27"/>
      <c r="I347" s="27"/>
      <c r="J347" s="27"/>
    </row>
    <row r="348" spans="1:10">
      <c r="A348" s="27"/>
      <c r="B348" s="27"/>
      <c r="C348" s="27"/>
      <c r="D348" s="27"/>
      <c r="E348" s="27"/>
      <c r="F348" s="27"/>
      <c r="G348" s="27"/>
      <c r="H348" s="27"/>
      <c r="I348" s="27"/>
      <c r="J348" s="27"/>
    </row>
    <row r="349" spans="1:10">
      <c r="A349" s="27"/>
      <c r="B349" s="27"/>
      <c r="C349" s="27"/>
      <c r="D349" s="27"/>
      <c r="E349" s="27"/>
      <c r="F349" s="27"/>
      <c r="G349" s="27"/>
      <c r="H349" s="27"/>
      <c r="I349" s="27"/>
      <c r="J349" s="27"/>
    </row>
    <row r="350" spans="1:10">
      <c r="A350" s="27"/>
      <c r="B350" s="27"/>
      <c r="C350" s="27"/>
      <c r="D350" s="27"/>
      <c r="E350" s="27"/>
      <c r="F350" s="27"/>
      <c r="G350" s="27"/>
      <c r="H350" s="27"/>
      <c r="I350" s="27"/>
      <c r="J350" s="27"/>
    </row>
    <row r="351" spans="1:10">
      <c r="A351" s="27"/>
      <c r="B351" s="27"/>
      <c r="C351" s="27"/>
      <c r="D351" s="27"/>
      <c r="E351" s="27"/>
      <c r="F351" s="27"/>
      <c r="G351" s="27"/>
      <c r="H351" s="27"/>
      <c r="I351" s="27"/>
      <c r="J351" s="27"/>
    </row>
    <row r="352" spans="1:10">
      <c r="A352" s="27"/>
      <c r="B352" s="27"/>
      <c r="C352" s="27"/>
      <c r="D352" s="27"/>
      <c r="E352" s="27"/>
      <c r="F352" s="27"/>
      <c r="G352" s="27"/>
      <c r="H352" s="27"/>
      <c r="I352" s="27"/>
      <c r="J352" s="27"/>
    </row>
    <row r="353" spans="1:10">
      <c r="A353" s="27"/>
      <c r="B353" s="27"/>
      <c r="C353" s="27"/>
      <c r="D353" s="27"/>
      <c r="E353" s="27"/>
      <c r="F353" s="27"/>
      <c r="G353" s="27"/>
      <c r="H353" s="27"/>
      <c r="I353" s="27"/>
      <c r="J353" s="27"/>
    </row>
    <row r="354" spans="1:10">
      <c r="A354" s="27"/>
      <c r="B354" s="27"/>
      <c r="C354" s="27"/>
      <c r="D354" s="27"/>
      <c r="E354" s="27"/>
      <c r="F354" s="27"/>
      <c r="G354" s="27"/>
      <c r="H354" s="27"/>
      <c r="I354" s="27"/>
      <c r="J354" s="27"/>
    </row>
    <row r="355" spans="1:10">
      <c r="A355" s="27"/>
      <c r="B355" s="27"/>
      <c r="C355" s="27"/>
      <c r="D355" s="27"/>
      <c r="E355" s="27"/>
      <c r="F355" s="27"/>
      <c r="G355" s="27"/>
      <c r="H355" s="27"/>
      <c r="I355" s="27"/>
      <c r="J355" s="27"/>
    </row>
    <row r="356" spans="1:10">
      <c r="A356" s="27"/>
      <c r="B356" s="27"/>
      <c r="C356" s="27"/>
      <c r="D356" s="27"/>
      <c r="E356" s="27"/>
      <c r="F356" s="27"/>
      <c r="G356" s="27"/>
      <c r="H356" s="27"/>
      <c r="I356" s="27"/>
      <c r="J356" s="27"/>
    </row>
    <row r="357" spans="1:10">
      <c r="A357" s="27"/>
      <c r="B357" s="27"/>
      <c r="C357" s="27"/>
      <c r="D357" s="27"/>
      <c r="E357" s="27"/>
      <c r="F357" s="27"/>
      <c r="G357" s="27"/>
      <c r="H357" s="27"/>
      <c r="I357" s="27"/>
      <c r="J357" s="27"/>
    </row>
    <row r="358" spans="1:10">
      <c r="A358" s="27"/>
      <c r="B358" s="27"/>
      <c r="C358" s="27"/>
      <c r="D358" s="27"/>
      <c r="E358" s="27"/>
      <c r="F358" s="27"/>
      <c r="G358" s="27"/>
      <c r="H358" s="27"/>
      <c r="I358" s="27"/>
      <c r="J358" s="27"/>
    </row>
    <row r="359" spans="1:10">
      <c r="A359" s="27"/>
      <c r="B359" s="27"/>
      <c r="C359" s="27"/>
      <c r="D359" s="27"/>
      <c r="E359" s="27"/>
      <c r="F359" s="27"/>
      <c r="G359" s="27"/>
      <c r="H359" s="27"/>
      <c r="I359" s="27"/>
      <c r="J359" s="27"/>
    </row>
    <row r="360" spans="1:10">
      <c r="A360" s="27"/>
      <c r="B360" s="27"/>
      <c r="C360" s="27"/>
      <c r="D360" s="27"/>
      <c r="E360" s="27"/>
      <c r="F360" s="27"/>
      <c r="G360" s="27"/>
      <c r="H360" s="27"/>
      <c r="I360" s="27"/>
      <c r="J360" s="27"/>
    </row>
    <row r="361" spans="1:10">
      <c r="A361" s="27"/>
      <c r="B361" s="27"/>
      <c r="C361" s="27"/>
      <c r="D361" s="27"/>
      <c r="E361" s="27"/>
      <c r="F361" s="27"/>
      <c r="G361" s="27"/>
      <c r="H361" s="27"/>
      <c r="I361" s="27"/>
      <c r="J361" s="27"/>
    </row>
    <row r="362" spans="1:10">
      <c r="A362" s="27"/>
      <c r="B362" s="27"/>
      <c r="C362" s="27"/>
      <c r="D362" s="27"/>
      <c r="E362" s="27"/>
      <c r="F362" s="27"/>
      <c r="G362" s="27"/>
      <c r="H362" s="27"/>
      <c r="I362" s="27"/>
      <c r="J362" s="27"/>
    </row>
    <row r="363" spans="1:10">
      <c r="A363" s="27"/>
      <c r="B363" s="27"/>
      <c r="C363" s="27"/>
      <c r="D363" s="27"/>
      <c r="E363" s="27"/>
      <c r="F363" s="27"/>
      <c r="G363" s="27"/>
      <c r="H363" s="27"/>
      <c r="I363" s="27"/>
      <c r="J363" s="27"/>
    </row>
    <row r="364" spans="1:10">
      <c r="A364" s="27"/>
      <c r="B364" s="27"/>
      <c r="C364" s="27"/>
      <c r="D364" s="27"/>
      <c r="E364" s="27"/>
      <c r="F364" s="27"/>
      <c r="G364" s="27"/>
      <c r="H364" s="27"/>
      <c r="I364" s="27"/>
      <c r="J364" s="27"/>
    </row>
    <row r="365" spans="1:10">
      <c r="A365" s="27"/>
      <c r="B365" s="27"/>
      <c r="C365" s="27"/>
      <c r="D365" s="27"/>
      <c r="E365" s="27"/>
      <c r="F365" s="27"/>
      <c r="G365" s="27"/>
      <c r="H365" s="27"/>
      <c r="I365" s="27"/>
      <c r="J365" s="27"/>
    </row>
    <row r="366" spans="1:10">
      <c r="A366" s="27"/>
      <c r="B366" s="27"/>
      <c r="C366" s="27"/>
      <c r="D366" s="27"/>
      <c r="E366" s="27"/>
      <c r="F366" s="27"/>
      <c r="G366" s="27"/>
      <c r="H366" s="27"/>
      <c r="I366" s="27"/>
      <c r="J366" s="27"/>
    </row>
    <row r="367" spans="1:10">
      <c r="A367" s="27"/>
      <c r="B367" s="27"/>
      <c r="C367" s="27"/>
      <c r="D367" s="27"/>
      <c r="E367" s="27"/>
      <c r="F367" s="27"/>
      <c r="G367" s="27"/>
      <c r="H367" s="27"/>
      <c r="I367" s="27"/>
      <c r="J367" s="27"/>
    </row>
    <row r="368" spans="1:10">
      <c r="A368" s="27"/>
      <c r="B368" s="27"/>
      <c r="C368" s="27"/>
      <c r="D368" s="27"/>
      <c r="E368" s="27"/>
      <c r="F368" s="27"/>
      <c r="G368" s="27"/>
      <c r="H368" s="27"/>
      <c r="I368" s="27"/>
      <c r="J368" s="27"/>
    </row>
    <row r="369" spans="1:10">
      <c r="A369" s="27"/>
      <c r="B369" s="27"/>
      <c r="C369" s="27"/>
      <c r="D369" s="27"/>
      <c r="E369" s="27"/>
      <c r="F369" s="27"/>
      <c r="G369" s="27"/>
      <c r="H369" s="27"/>
      <c r="I369" s="27"/>
      <c r="J369" s="27"/>
    </row>
    <row r="370" spans="1:10">
      <c r="A370" s="27"/>
      <c r="B370" s="27"/>
      <c r="C370" s="27"/>
      <c r="D370" s="27"/>
      <c r="E370" s="27"/>
      <c r="F370" s="27"/>
      <c r="G370" s="27"/>
      <c r="H370" s="27"/>
      <c r="I370" s="27"/>
      <c r="J370" s="27"/>
    </row>
    <row r="371" spans="1:10">
      <c r="A371" s="27"/>
      <c r="B371" s="27"/>
      <c r="C371" s="27"/>
      <c r="D371" s="27"/>
      <c r="E371" s="27"/>
      <c r="F371" s="27"/>
      <c r="G371" s="27"/>
      <c r="H371" s="27"/>
      <c r="I371" s="27"/>
      <c r="J371" s="27"/>
    </row>
    <row r="372" spans="1:10">
      <c r="A372" s="27"/>
      <c r="B372" s="27"/>
      <c r="C372" s="27"/>
      <c r="D372" s="27"/>
      <c r="E372" s="27"/>
      <c r="F372" s="27"/>
      <c r="G372" s="27"/>
      <c r="H372" s="27"/>
      <c r="I372" s="27"/>
      <c r="J372" s="27"/>
    </row>
    <row r="373" spans="1:10">
      <c r="A373" s="27"/>
      <c r="B373" s="27"/>
      <c r="C373" s="27"/>
      <c r="D373" s="27"/>
      <c r="E373" s="27"/>
      <c r="F373" s="27"/>
      <c r="G373" s="27"/>
      <c r="H373" s="27"/>
      <c r="I373" s="27"/>
      <c r="J373" s="27"/>
    </row>
    <row r="374" spans="1:10">
      <c r="A374" s="27"/>
      <c r="B374" s="27"/>
      <c r="C374" s="27"/>
      <c r="D374" s="27"/>
      <c r="E374" s="27"/>
      <c r="F374" s="27"/>
      <c r="G374" s="27"/>
      <c r="H374" s="27"/>
      <c r="I374" s="27"/>
      <c r="J374" s="27"/>
    </row>
    <row r="375" spans="1:10">
      <c r="A375" s="27"/>
      <c r="B375" s="27"/>
      <c r="C375" s="27"/>
      <c r="D375" s="27"/>
      <c r="E375" s="27"/>
      <c r="F375" s="27"/>
      <c r="G375" s="27"/>
      <c r="H375" s="27"/>
      <c r="I375" s="27"/>
      <c r="J375" s="27"/>
    </row>
    <row r="376" spans="1:10">
      <c r="A376" s="27"/>
      <c r="B376" s="27"/>
      <c r="C376" s="27"/>
      <c r="D376" s="27"/>
      <c r="E376" s="27"/>
      <c r="F376" s="27"/>
      <c r="G376" s="27"/>
      <c r="H376" s="27"/>
      <c r="I376" s="27"/>
      <c r="J376" s="27"/>
    </row>
    <row r="377" spans="1:10">
      <c r="A377" s="27"/>
      <c r="B377" s="27"/>
      <c r="C377" s="27"/>
      <c r="D377" s="27"/>
      <c r="E377" s="27"/>
      <c r="F377" s="27"/>
      <c r="G377" s="27"/>
      <c r="H377" s="27"/>
      <c r="I377" s="27"/>
      <c r="J377" s="27"/>
    </row>
    <row r="378" spans="1:10">
      <c r="A378" s="27"/>
      <c r="B378" s="27"/>
      <c r="C378" s="27"/>
      <c r="D378" s="27"/>
      <c r="E378" s="27"/>
      <c r="F378" s="27"/>
      <c r="G378" s="27"/>
      <c r="H378" s="27"/>
      <c r="I378" s="27"/>
      <c r="J378" s="27"/>
    </row>
    <row r="379" spans="1:10">
      <c r="A379" s="27"/>
      <c r="B379" s="27"/>
      <c r="C379" s="27"/>
      <c r="D379" s="27"/>
      <c r="E379" s="27"/>
      <c r="F379" s="27"/>
      <c r="G379" s="27"/>
      <c r="H379" s="27"/>
      <c r="I379" s="27"/>
      <c r="J379" s="27"/>
    </row>
    <row r="380" spans="1:10">
      <c r="A380" s="27"/>
      <c r="B380" s="27"/>
      <c r="C380" s="27"/>
      <c r="D380" s="27"/>
      <c r="E380" s="27"/>
      <c r="F380" s="27"/>
      <c r="G380" s="27"/>
      <c r="H380" s="27"/>
      <c r="I380" s="27"/>
      <c r="J380" s="27"/>
    </row>
    <row r="381" spans="1:10">
      <c r="A381" s="27"/>
      <c r="B381" s="27"/>
      <c r="C381" s="27"/>
      <c r="D381" s="27"/>
      <c r="E381" s="27"/>
      <c r="F381" s="27"/>
      <c r="G381" s="27"/>
      <c r="H381" s="27"/>
      <c r="I381" s="27"/>
      <c r="J381" s="27"/>
    </row>
    <row r="382" spans="1:10">
      <c r="A382" s="27"/>
      <c r="B382" s="27"/>
      <c r="C382" s="27"/>
      <c r="D382" s="27"/>
      <c r="E382" s="27"/>
      <c r="F382" s="27"/>
      <c r="G382" s="27"/>
      <c r="H382" s="27"/>
      <c r="I382" s="27"/>
      <c r="J382" s="27"/>
    </row>
    <row r="383" spans="1:10">
      <c r="A383" s="27"/>
      <c r="B383" s="27"/>
      <c r="C383" s="27"/>
      <c r="D383" s="27"/>
      <c r="E383" s="27"/>
      <c r="F383" s="27"/>
      <c r="G383" s="27"/>
      <c r="H383" s="27"/>
      <c r="I383" s="27"/>
      <c r="J383" s="27"/>
    </row>
    <row r="384" spans="1:10">
      <c r="A384" s="27"/>
      <c r="B384" s="27"/>
      <c r="C384" s="27"/>
      <c r="D384" s="27"/>
      <c r="E384" s="27"/>
      <c r="F384" s="27"/>
      <c r="G384" s="27"/>
      <c r="H384" s="27"/>
      <c r="I384" s="27"/>
      <c r="J384" s="27"/>
    </row>
    <row r="385" spans="1:10">
      <c r="A385" s="27"/>
      <c r="B385" s="27"/>
      <c r="C385" s="27"/>
      <c r="D385" s="27"/>
      <c r="E385" s="27"/>
      <c r="F385" s="27"/>
      <c r="G385" s="27"/>
      <c r="H385" s="27"/>
      <c r="I385" s="27"/>
      <c r="J385" s="27"/>
    </row>
    <row r="386" spans="1:10">
      <c r="A386" s="27"/>
      <c r="B386" s="27"/>
      <c r="C386" s="27"/>
      <c r="D386" s="27"/>
      <c r="E386" s="27"/>
      <c r="F386" s="27"/>
      <c r="G386" s="27"/>
      <c r="H386" s="27"/>
      <c r="I386" s="27"/>
      <c r="J386" s="27"/>
    </row>
    <row r="387" spans="1:10">
      <c r="A387" s="27"/>
      <c r="B387" s="27"/>
      <c r="C387" s="27"/>
      <c r="D387" s="27"/>
      <c r="E387" s="27"/>
      <c r="F387" s="27"/>
      <c r="G387" s="27"/>
      <c r="H387" s="27"/>
      <c r="I387" s="27"/>
      <c r="J387" s="27"/>
    </row>
    <row r="388" spans="1:10">
      <c r="A388" s="27"/>
      <c r="B388" s="27"/>
      <c r="C388" s="27"/>
      <c r="D388" s="27"/>
      <c r="E388" s="27"/>
      <c r="F388" s="27"/>
      <c r="G388" s="27"/>
      <c r="H388" s="27"/>
      <c r="I388" s="27"/>
      <c r="J388" s="27"/>
    </row>
    <row r="389" spans="1:10">
      <c r="A389" s="27"/>
      <c r="B389" s="27"/>
      <c r="C389" s="27"/>
      <c r="D389" s="27"/>
      <c r="E389" s="27"/>
      <c r="F389" s="27"/>
      <c r="G389" s="27"/>
      <c r="H389" s="27"/>
      <c r="I389" s="27"/>
      <c r="J389" s="27"/>
    </row>
    <row r="390" spans="1:10">
      <c r="A390" s="27"/>
      <c r="B390" s="27"/>
      <c r="C390" s="27"/>
      <c r="D390" s="27"/>
      <c r="E390" s="27"/>
      <c r="F390" s="27"/>
      <c r="G390" s="27"/>
      <c r="H390" s="27"/>
      <c r="I390" s="27"/>
      <c r="J390" s="27"/>
    </row>
    <row r="391" spans="1:10">
      <c r="A391" s="27"/>
      <c r="B391" s="27"/>
      <c r="C391" s="27"/>
      <c r="D391" s="27"/>
      <c r="E391" s="27"/>
      <c r="F391" s="27"/>
      <c r="G391" s="27"/>
      <c r="H391" s="27"/>
      <c r="I391" s="27"/>
      <c r="J391" s="27"/>
    </row>
    <row r="392" spans="1:10">
      <c r="A392" s="27"/>
      <c r="B392" s="27"/>
      <c r="C392" s="27"/>
      <c r="D392" s="27"/>
      <c r="E392" s="27"/>
      <c r="F392" s="27"/>
      <c r="G392" s="27"/>
      <c r="H392" s="27"/>
      <c r="I392" s="27"/>
      <c r="J392" s="27"/>
    </row>
    <row r="393" spans="1:10">
      <c r="A393" s="27"/>
      <c r="B393" s="27"/>
      <c r="C393" s="27"/>
      <c r="D393" s="27"/>
      <c r="E393" s="27"/>
      <c r="F393" s="27"/>
      <c r="G393" s="27"/>
      <c r="H393" s="27"/>
      <c r="I393" s="27"/>
      <c r="J393" s="27"/>
    </row>
    <row r="394" spans="1:10">
      <c r="A394" s="27"/>
      <c r="B394" s="27"/>
      <c r="C394" s="27"/>
      <c r="D394" s="27"/>
      <c r="E394" s="27"/>
      <c r="F394" s="27"/>
      <c r="G394" s="27"/>
      <c r="H394" s="27"/>
      <c r="I394" s="27"/>
      <c r="J394" s="27"/>
    </row>
    <row r="395" spans="1:10">
      <c r="A395" s="27"/>
      <c r="B395" s="27"/>
      <c r="C395" s="27"/>
      <c r="D395" s="27"/>
      <c r="E395" s="27"/>
      <c r="F395" s="27"/>
      <c r="G395" s="27"/>
      <c r="H395" s="27"/>
      <c r="I395" s="27"/>
      <c r="J395" s="27"/>
    </row>
    <row r="396" spans="1:10">
      <c r="A396" s="27"/>
      <c r="B396" s="27"/>
      <c r="C396" s="27"/>
      <c r="D396" s="27"/>
      <c r="E396" s="27"/>
      <c r="F396" s="27"/>
      <c r="G396" s="27"/>
      <c r="H396" s="27"/>
      <c r="I396" s="27"/>
      <c r="J396" s="27"/>
    </row>
    <row r="397" spans="1:10">
      <c r="A397" s="27"/>
      <c r="B397" s="27"/>
      <c r="C397" s="27"/>
      <c r="D397" s="27"/>
      <c r="E397" s="27"/>
      <c r="F397" s="27"/>
      <c r="G397" s="27"/>
      <c r="H397" s="27"/>
      <c r="I397" s="27"/>
      <c r="J397" s="27"/>
    </row>
    <row r="398" spans="1:10">
      <c r="A398" s="27"/>
      <c r="B398" s="27"/>
      <c r="C398" s="27"/>
      <c r="D398" s="27"/>
      <c r="E398" s="27"/>
      <c r="F398" s="27"/>
      <c r="G398" s="27"/>
      <c r="H398" s="27"/>
      <c r="I398" s="27"/>
      <c r="J398" s="27"/>
    </row>
    <row r="399" spans="1:10">
      <c r="A399" s="27"/>
      <c r="B399" s="27"/>
      <c r="C399" s="27"/>
      <c r="D399" s="27"/>
      <c r="E399" s="27"/>
      <c r="F399" s="27"/>
      <c r="G399" s="27"/>
      <c r="H399" s="27"/>
      <c r="I399" s="27"/>
      <c r="J399" s="27"/>
    </row>
    <row r="400" spans="1:10">
      <c r="A400" s="27"/>
      <c r="B400" s="27"/>
      <c r="C400" s="27"/>
      <c r="D400" s="27"/>
      <c r="E400" s="27"/>
      <c r="F400" s="27"/>
      <c r="G400" s="27"/>
      <c r="H400" s="27"/>
      <c r="I400" s="27"/>
      <c r="J400" s="27"/>
    </row>
    <row r="401" spans="1:10">
      <c r="A401" s="27"/>
      <c r="B401" s="27"/>
      <c r="C401" s="27"/>
      <c r="D401" s="27"/>
      <c r="E401" s="27"/>
      <c r="F401" s="27"/>
      <c r="G401" s="27"/>
      <c r="H401" s="27"/>
      <c r="I401" s="27"/>
      <c r="J401" s="27"/>
    </row>
    <row r="402" spans="1:10">
      <c r="A402" s="27"/>
      <c r="B402" s="27"/>
      <c r="C402" s="27"/>
      <c r="D402" s="27"/>
      <c r="E402" s="27"/>
      <c r="F402" s="27"/>
      <c r="G402" s="27"/>
      <c r="H402" s="27"/>
      <c r="I402" s="27"/>
      <c r="J402" s="27"/>
    </row>
    <row r="403" spans="1:10">
      <c r="A403" s="27"/>
      <c r="B403" s="27"/>
      <c r="C403" s="27"/>
      <c r="D403" s="27"/>
      <c r="E403" s="27"/>
      <c r="F403" s="27"/>
      <c r="G403" s="27"/>
      <c r="H403" s="27"/>
      <c r="I403" s="27"/>
      <c r="J403" s="27"/>
    </row>
    <row r="404" spans="1:10">
      <c r="A404" s="27"/>
      <c r="B404" s="27"/>
      <c r="C404" s="27"/>
      <c r="D404" s="27"/>
      <c r="E404" s="27"/>
      <c r="F404" s="27"/>
      <c r="G404" s="27"/>
      <c r="H404" s="27"/>
      <c r="I404" s="27"/>
      <c r="J404" s="27"/>
    </row>
    <row r="405" spans="1:10">
      <c r="A405" s="27"/>
      <c r="B405" s="27"/>
      <c r="C405" s="27"/>
      <c r="D405" s="27"/>
      <c r="E405" s="27"/>
      <c r="F405" s="27"/>
      <c r="G405" s="27"/>
      <c r="H405" s="27"/>
      <c r="I405" s="27"/>
      <c r="J405" s="27"/>
    </row>
    <row r="406" spans="1:10">
      <c r="A406" s="27"/>
      <c r="B406" s="27"/>
      <c r="C406" s="27"/>
      <c r="D406" s="27"/>
      <c r="E406" s="27"/>
      <c r="F406" s="27"/>
      <c r="G406" s="27"/>
      <c r="H406" s="27"/>
      <c r="I406" s="27"/>
      <c r="J406" s="27"/>
    </row>
    <row r="407" spans="1:10">
      <c r="A407" s="27"/>
      <c r="B407" s="27"/>
      <c r="C407" s="27"/>
      <c r="D407" s="27"/>
      <c r="E407" s="27"/>
      <c r="F407" s="27"/>
      <c r="G407" s="27"/>
      <c r="H407" s="27"/>
      <c r="I407" s="27"/>
      <c r="J407" s="27"/>
    </row>
    <row r="408" spans="1:10">
      <c r="A408" s="27"/>
      <c r="B408" s="27"/>
      <c r="C408" s="27"/>
      <c r="D408" s="27"/>
      <c r="E408" s="27"/>
      <c r="F408" s="27"/>
      <c r="G408" s="27"/>
      <c r="H408" s="27"/>
      <c r="I408" s="27"/>
      <c r="J408" s="27"/>
    </row>
    <row r="409" spans="1:10">
      <c r="A409" s="27"/>
      <c r="B409" s="27"/>
      <c r="C409" s="27"/>
      <c r="D409" s="27"/>
      <c r="E409" s="27"/>
      <c r="F409" s="27"/>
      <c r="G409" s="27"/>
      <c r="H409" s="27"/>
      <c r="I409" s="27"/>
      <c r="J409" s="27"/>
    </row>
    <row r="410" spans="1:10">
      <c r="A410" s="27"/>
      <c r="B410" s="27"/>
      <c r="C410" s="27"/>
      <c r="D410" s="27"/>
      <c r="E410" s="27"/>
      <c r="F410" s="27"/>
      <c r="G410" s="27"/>
      <c r="H410" s="27"/>
      <c r="I410" s="27"/>
      <c r="J410" s="27"/>
    </row>
    <row r="411" spans="1:10">
      <c r="A411" s="27"/>
      <c r="B411" s="27"/>
      <c r="C411" s="27"/>
      <c r="D411" s="27"/>
      <c r="E411" s="27"/>
      <c r="F411" s="27"/>
      <c r="G411" s="27"/>
      <c r="H411" s="27"/>
      <c r="I411" s="27"/>
      <c r="J411" s="27"/>
    </row>
    <row r="412" spans="1:10">
      <c r="A412" s="27"/>
      <c r="B412" s="27"/>
      <c r="C412" s="27"/>
      <c r="D412" s="27"/>
      <c r="E412" s="27"/>
      <c r="F412" s="27"/>
      <c r="G412" s="27"/>
      <c r="H412" s="27"/>
      <c r="I412" s="27"/>
      <c r="J412" s="27"/>
    </row>
    <row r="413" spans="1:10">
      <c r="A413" s="27"/>
      <c r="B413" s="27"/>
      <c r="C413" s="27"/>
      <c r="D413" s="27"/>
      <c r="E413" s="27"/>
      <c r="F413" s="27"/>
      <c r="G413" s="27"/>
      <c r="H413" s="27"/>
      <c r="I413" s="27"/>
      <c r="J413" s="27"/>
    </row>
    <row r="414" spans="1:10">
      <c r="A414" s="27"/>
      <c r="B414" s="27"/>
      <c r="C414" s="27"/>
      <c r="D414" s="27"/>
      <c r="E414" s="27"/>
      <c r="F414" s="27"/>
      <c r="G414" s="27"/>
      <c r="H414" s="27"/>
      <c r="I414" s="27"/>
      <c r="J414" s="27"/>
    </row>
    <row r="415" spans="1:10">
      <c r="A415" s="27"/>
      <c r="B415" s="27"/>
      <c r="C415" s="27"/>
      <c r="D415" s="27"/>
      <c r="E415" s="27"/>
      <c r="F415" s="27"/>
      <c r="G415" s="27"/>
      <c r="H415" s="27"/>
      <c r="I415" s="27"/>
      <c r="J415" s="27"/>
    </row>
    <row r="416" spans="1:10">
      <c r="A416" s="27"/>
      <c r="B416" s="27"/>
      <c r="C416" s="27"/>
      <c r="D416" s="27"/>
      <c r="E416" s="27"/>
      <c r="F416" s="27"/>
      <c r="G416" s="27"/>
      <c r="H416" s="27"/>
      <c r="I416" s="27"/>
      <c r="J416" s="27"/>
    </row>
    <row r="417" spans="1:10">
      <c r="A417" s="27"/>
      <c r="B417" s="27"/>
      <c r="C417" s="27"/>
      <c r="D417" s="27"/>
      <c r="E417" s="27"/>
      <c r="F417" s="27"/>
      <c r="G417" s="27"/>
      <c r="H417" s="27"/>
      <c r="I417" s="27"/>
      <c r="J417" s="27"/>
    </row>
    <row r="418" spans="1:10">
      <c r="A418" s="27"/>
      <c r="B418" s="27"/>
      <c r="C418" s="27"/>
      <c r="D418" s="27"/>
      <c r="E418" s="27"/>
      <c r="F418" s="27"/>
      <c r="G418" s="27"/>
      <c r="H418" s="27"/>
      <c r="I418" s="27"/>
      <c r="J418" s="27"/>
    </row>
    <row r="419" spans="1:10">
      <c r="A419" s="27"/>
      <c r="B419" s="27"/>
      <c r="C419" s="27"/>
      <c r="D419" s="27"/>
      <c r="E419" s="27"/>
      <c r="F419" s="27"/>
      <c r="G419" s="27"/>
      <c r="H419" s="27"/>
      <c r="I419" s="27"/>
      <c r="J419" s="27"/>
    </row>
    <row r="420" spans="1:10">
      <c r="A420" s="27"/>
      <c r="B420" s="27"/>
      <c r="C420" s="27"/>
      <c r="D420" s="27"/>
      <c r="E420" s="27"/>
      <c r="F420" s="27"/>
      <c r="G420" s="27"/>
      <c r="H420" s="27"/>
      <c r="I420" s="27"/>
      <c r="J420" s="27"/>
    </row>
    <row r="421" spans="1:10">
      <c r="A421" s="27"/>
      <c r="B421" s="27"/>
      <c r="C421" s="27"/>
      <c r="D421" s="27"/>
      <c r="E421" s="27"/>
      <c r="F421" s="27"/>
      <c r="G421" s="27"/>
      <c r="H421" s="27"/>
      <c r="I421" s="27"/>
      <c r="J421" s="27"/>
    </row>
    <row r="422" spans="1:10">
      <c r="A422" s="27"/>
      <c r="B422" s="27"/>
      <c r="C422" s="27"/>
      <c r="D422" s="27"/>
      <c r="E422" s="27"/>
      <c r="F422" s="27"/>
      <c r="G422" s="27"/>
      <c r="H422" s="27"/>
      <c r="I422" s="27"/>
      <c r="J422" s="27"/>
    </row>
    <row r="423" spans="1:10">
      <c r="A423" s="27"/>
      <c r="B423" s="27"/>
      <c r="C423" s="27"/>
      <c r="D423" s="27"/>
      <c r="E423" s="27"/>
      <c r="F423" s="27"/>
      <c r="G423" s="27"/>
      <c r="H423" s="27"/>
      <c r="I423" s="27"/>
      <c r="J423" s="27"/>
    </row>
    <row r="424" spans="1:10">
      <c r="A424" s="27"/>
      <c r="B424" s="27"/>
      <c r="C424" s="27"/>
      <c r="D424" s="27"/>
      <c r="E424" s="27"/>
      <c r="F424" s="27"/>
      <c r="G424" s="27"/>
      <c r="H424" s="27"/>
      <c r="I424" s="27"/>
      <c r="J424" s="27"/>
    </row>
    <row r="425" spans="1:10">
      <c r="A425" s="27"/>
      <c r="B425" s="27"/>
      <c r="C425" s="27"/>
      <c r="D425" s="27"/>
      <c r="E425" s="27"/>
      <c r="F425" s="27"/>
      <c r="G425" s="27"/>
      <c r="H425" s="27"/>
      <c r="I425" s="27"/>
      <c r="J425" s="27"/>
    </row>
    <row r="426" spans="1:10">
      <c r="A426" s="27"/>
      <c r="B426" s="27"/>
      <c r="C426" s="27"/>
      <c r="D426" s="27"/>
      <c r="E426" s="27"/>
      <c r="F426" s="27"/>
      <c r="G426" s="27"/>
      <c r="H426" s="27"/>
      <c r="I426" s="27"/>
      <c r="J426" s="27"/>
    </row>
    <row r="427" spans="1:10">
      <c r="A427" s="27"/>
      <c r="B427" s="27"/>
      <c r="C427" s="27"/>
      <c r="D427" s="27"/>
      <c r="E427" s="27"/>
      <c r="F427" s="27"/>
      <c r="G427" s="27"/>
      <c r="H427" s="27"/>
      <c r="I427" s="27"/>
      <c r="J427" s="27"/>
    </row>
    <row r="428" spans="1:10">
      <c r="A428" s="27"/>
      <c r="B428" s="27"/>
      <c r="C428" s="27"/>
      <c r="D428" s="27"/>
      <c r="E428" s="27"/>
      <c r="F428" s="27"/>
      <c r="G428" s="27"/>
      <c r="H428" s="27"/>
      <c r="I428" s="27"/>
      <c r="J428" s="27"/>
    </row>
    <row r="429" spans="1:10">
      <c r="A429" s="27"/>
      <c r="B429" s="27"/>
      <c r="C429" s="27"/>
      <c r="D429" s="27"/>
      <c r="E429" s="27"/>
      <c r="F429" s="27"/>
      <c r="G429" s="27"/>
      <c r="H429" s="27"/>
      <c r="I429" s="27"/>
      <c r="J429" s="27"/>
    </row>
    <row r="430" spans="1:10">
      <c r="A430" s="27"/>
      <c r="B430" s="27"/>
      <c r="C430" s="27"/>
      <c r="D430" s="27"/>
      <c r="E430" s="27"/>
      <c r="F430" s="27"/>
      <c r="G430" s="27"/>
      <c r="H430" s="27"/>
      <c r="I430" s="27"/>
      <c r="J430" s="27"/>
    </row>
    <row r="431" spans="1:10">
      <c r="A431" s="27"/>
      <c r="B431" s="27"/>
      <c r="C431" s="27"/>
      <c r="D431" s="27"/>
      <c r="E431" s="27"/>
      <c r="F431" s="27"/>
      <c r="G431" s="27"/>
      <c r="H431" s="27"/>
      <c r="I431" s="27"/>
      <c r="J431" s="27"/>
    </row>
    <row r="432" spans="1:10">
      <c r="A432" s="27"/>
      <c r="B432" s="27"/>
      <c r="C432" s="27"/>
      <c r="D432" s="27"/>
      <c r="E432" s="27"/>
      <c r="F432" s="27"/>
      <c r="G432" s="27"/>
      <c r="H432" s="27"/>
      <c r="I432" s="27"/>
      <c r="J432" s="27"/>
    </row>
    <row r="433" spans="1:10">
      <c r="A433" s="27"/>
      <c r="B433" s="27"/>
      <c r="C433" s="27"/>
      <c r="D433" s="27"/>
      <c r="E433" s="27"/>
      <c r="F433" s="27"/>
      <c r="G433" s="27"/>
      <c r="H433" s="27"/>
      <c r="I433" s="27"/>
      <c r="J433" s="27"/>
    </row>
    <row r="434" spans="1:10">
      <c r="A434" s="27"/>
      <c r="B434" s="27"/>
      <c r="C434" s="27"/>
      <c r="D434" s="27"/>
      <c r="E434" s="27"/>
      <c r="F434" s="27"/>
      <c r="G434" s="27"/>
      <c r="H434" s="27"/>
      <c r="I434" s="27"/>
      <c r="J434" s="27"/>
    </row>
    <row r="435" spans="1:10">
      <c r="A435" s="27"/>
      <c r="B435" s="27"/>
      <c r="C435" s="27"/>
      <c r="D435" s="27"/>
      <c r="E435" s="27"/>
      <c r="F435" s="27"/>
      <c r="G435" s="27"/>
      <c r="H435" s="27"/>
      <c r="I435" s="27"/>
      <c r="J435" s="27"/>
    </row>
    <row r="436" spans="1:10">
      <c r="A436" s="27"/>
      <c r="B436" s="27"/>
      <c r="C436" s="27"/>
      <c r="D436" s="27"/>
      <c r="E436" s="27"/>
      <c r="F436" s="27"/>
      <c r="G436" s="27"/>
      <c r="H436" s="27"/>
      <c r="I436" s="27"/>
      <c r="J436" s="27"/>
    </row>
    <row r="437" spans="1:10">
      <c r="A437" s="27"/>
      <c r="B437" s="27"/>
      <c r="C437" s="27"/>
      <c r="D437" s="27"/>
      <c r="E437" s="27"/>
      <c r="F437" s="27"/>
      <c r="G437" s="27"/>
      <c r="H437" s="27"/>
      <c r="I437" s="27"/>
      <c r="J437" s="27"/>
    </row>
    <row r="438" spans="1:10">
      <c r="A438" s="27"/>
      <c r="B438" s="27"/>
      <c r="C438" s="27"/>
      <c r="D438" s="27"/>
      <c r="E438" s="27"/>
      <c r="F438" s="27"/>
      <c r="G438" s="27"/>
      <c r="H438" s="27"/>
      <c r="I438" s="27"/>
      <c r="J438" s="27"/>
    </row>
    <row r="439" spans="1:10">
      <c r="A439" s="27"/>
      <c r="B439" s="27"/>
      <c r="C439" s="27"/>
      <c r="D439" s="27"/>
      <c r="E439" s="27"/>
      <c r="F439" s="27"/>
      <c r="G439" s="27"/>
      <c r="H439" s="27"/>
      <c r="I439" s="27"/>
      <c r="J439" s="27"/>
    </row>
    <row r="440" spans="1:10">
      <c r="A440" s="27"/>
      <c r="B440" s="27"/>
      <c r="C440" s="27"/>
      <c r="D440" s="27"/>
      <c r="E440" s="27"/>
      <c r="F440" s="27"/>
      <c r="G440" s="27"/>
      <c r="H440" s="27"/>
      <c r="I440" s="27"/>
      <c r="J440" s="27"/>
    </row>
    <row r="441" spans="1:10">
      <c r="A441" s="27"/>
      <c r="B441" s="27"/>
      <c r="C441" s="27"/>
      <c r="D441" s="27"/>
      <c r="E441" s="27"/>
      <c r="F441" s="27"/>
      <c r="G441" s="27"/>
      <c r="H441" s="27"/>
      <c r="I441" s="27"/>
      <c r="J441" s="27"/>
    </row>
    <row r="442" spans="1:10">
      <c r="A442" s="27"/>
      <c r="B442" s="27"/>
      <c r="C442" s="27"/>
      <c r="D442" s="27"/>
      <c r="E442" s="27"/>
      <c r="F442" s="27"/>
      <c r="G442" s="27"/>
      <c r="H442" s="27"/>
      <c r="I442" s="27"/>
      <c r="J442" s="27"/>
    </row>
    <row r="443" spans="1:10">
      <c r="A443" s="27"/>
      <c r="B443" s="27"/>
      <c r="C443" s="27"/>
      <c r="D443" s="27"/>
      <c r="E443" s="27"/>
      <c r="F443" s="27"/>
      <c r="G443" s="27"/>
      <c r="H443" s="27"/>
      <c r="I443" s="27"/>
      <c r="J443" s="27"/>
    </row>
    <row r="444" spans="1:10">
      <c r="A444" s="27"/>
      <c r="B444" s="27"/>
      <c r="C444" s="27"/>
      <c r="D444" s="27"/>
      <c r="E444" s="27"/>
      <c r="F444" s="27"/>
      <c r="G444" s="27"/>
      <c r="H444" s="27"/>
      <c r="I444" s="27"/>
      <c r="J444" s="27"/>
    </row>
    <row r="445" spans="1:10">
      <c r="A445" s="27"/>
      <c r="B445" s="27"/>
      <c r="C445" s="27"/>
      <c r="D445" s="27"/>
      <c r="E445" s="27"/>
      <c r="F445" s="27"/>
      <c r="G445" s="27"/>
      <c r="H445" s="27"/>
      <c r="I445" s="27"/>
      <c r="J445" s="27"/>
    </row>
    <row r="446" spans="1:10">
      <c r="A446" s="27"/>
      <c r="B446" s="27"/>
      <c r="C446" s="27"/>
      <c r="D446" s="27"/>
      <c r="E446" s="27"/>
      <c r="F446" s="27"/>
      <c r="G446" s="27"/>
      <c r="H446" s="27"/>
      <c r="I446" s="27"/>
      <c r="J446" s="27"/>
    </row>
    <row r="447" spans="1:10">
      <c r="A447" s="27"/>
      <c r="B447" s="27"/>
      <c r="C447" s="27"/>
      <c r="D447" s="27"/>
      <c r="E447" s="27"/>
      <c r="F447" s="27"/>
      <c r="G447" s="27"/>
      <c r="H447" s="27"/>
      <c r="I447" s="27"/>
      <c r="J447" s="27"/>
    </row>
    <row r="448" spans="1:10">
      <c r="A448" s="27"/>
      <c r="B448" s="27"/>
      <c r="C448" s="27"/>
      <c r="D448" s="27"/>
      <c r="E448" s="27"/>
      <c r="F448" s="27"/>
      <c r="G448" s="27"/>
      <c r="H448" s="27"/>
      <c r="I448" s="27"/>
      <c r="J448" s="27"/>
    </row>
    <row r="449" spans="1:10">
      <c r="A449" s="27"/>
      <c r="B449" s="27"/>
      <c r="C449" s="27"/>
      <c r="D449" s="27"/>
      <c r="E449" s="27"/>
      <c r="F449" s="27"/>
      <c r="G449" s="27"/>
      <c r="H449" s="27"/>
      <c r="I449" s="27"/>
      <c r="J449" s="27"/>
    </row>
    <row r="450" spans="1:10">
      <c r="A450" s="27"/>
      <c r="B450" s="27"/>
      <c r="C450" s="27"/>
      <c r="D450" s="27"/>
      <c r="E450" s="27"/>
      <c r="F450" s="27"/>
      <c r="G450" s="27"/>
      <c r="H450" s="27"/>
      <c r="I450" s="27"/>
      <c r="J450" s="27"/>
    </row>
    <row r="451" spans="1:10">
      <c r="A451" s="27"/>
      <c r="B451" s="27"/>
      <c r="C451" s="27"/>
      <c r="D451" s="27"/>
      <c r="E451" s="27"/>
      <c r="F451" s="27"/>
      <c r="G451" s="27"/>
      <c r="H451" s="27"/>
      <c r="I451" s="27"/>
      <c r="J451" s="27"/>
    </row>
    <row r="452" spans="1:10">
      <c r="A452" s="27"/>
      <c r="B452" s="27"/>
      <c r="C452" s="27"/>
      <c r="D452" s="27"/>
      <c r="E452" s="27"/>
      <c r="F452" s="27"/>
      <c r="G452" s="27"/>
      <c r="H452" s="27"/>
      <c r="I452" s="27"/>
      <c r="J452" s="27"/>
    </row>
    <row r="453" spans="1:10">
      <c r="A453" s="27"/>
      <c r="B453" s="27"/>
      <c r="C453" s="27"/>
      <c r="D453" s="27"/>
      <c r="E453" s="27"/>
      <c r="F453" s="27"/>
      <c r="G453" s="27"/>
      <c r="H453" s="27"/>
      <c r="I453" s="27"/>
      <c r="J453" s="27"/>
    </row>
    <row r="454" spans="1:10">
      <c r="A454" s="27"/>
      <c r="B454" s="27"/>
      <c r="C454" s="27"/>
      <c r="D454" s="27"/>
      <c r="E454" s="27"/>
      <c r="F454" s="27"/>
      <c r="G454" s="27"/>
      <c r="H454" s="27"/>
      <c r="I454" s="27"/>
      <c r="J454" s="27"/>
    </row>
    <row r="455" spans="1:10">
      <c r="A455" s="27"/>
      <c r="B455" s="27"/>
      <c r="C455" s="27"/>
      <c r="D455" s="27"/>
      <c r="E455" s="27"/>
      <c r="F455" s="27"/>
      <c r="G455" s="27"/>
      <c r="H455" s="27"/>
      <c r="I455" s="27"/>
      <c r="J455" s="27"/>
    </row>
    <row r="456" spans="1:10">
      <c r="A456" s="27"/>
      <c r="B456" s="27"/>
      <c r="C456" s="27"/>
      <c r="D456" s="27"/>
      <c r="E456" s="27"/>
      <c r="F456" s="27"/>
      <c r="G456" s="27"/>
      <c r="H456" s="27"/>
      <c r="I456" s="27"/>
      <c r="J456" s="27"/>
    </row>
    <row r="457" spans="1:10">
      <c r="A457" s="27"/>
      <c r="B457" s="27"/>
      <c r="C457" s="27"/>
      <c r="D457" s="27"/>
      <c r="E457" s="27"/>
      <c r="F457" s="27"/>
      <c r="G457" s="27"/>
      <c r="H457" s="27"/>
      <c r="I457" s="27"/>
      <c r="J457" s="27"/>
    </row>
    <row r="458" spans="1:10">
      <c r="A458" s="27"/>
      <c r="B458" s="27"/>
      <c r="C458" s="27"/>
      <c r="D458" s="27"/>
      <c r="E458" s="27"/>
      <c r="F458" s="27"/>
      <c r="G458" s="27"/>
      <c r="H458" s="27"/>
      <c r="I458" s="27"/>
      <c r="J458" s="27"/>
    </row>
    <row r="459" spans="1:10">
      <c r="A459" s="27"/>
      <c r="B459" s="27"/>
      <c r="C459" s="27"/>
      <c r="D459" s="27"/>
      <c r="E459" s="27"/>
      <c r="F459" s="27"/>
      <c r="G459" s="27"/>
      <c r="H459" s="27"/>
      <c r="I459" s="27"/>
      <c r="J459" s="27"/>
    </row>
    <row r="460" spans="1:10">
      <c r="A460" s="27"/>
      <c r="B460" s="27"/>
      <c r="C460" s="27"/>
      <c r="D460" s="27"/>
      <c r="E460" s="27"/>
      <c r="F460" s="27"/>
      <c r="G460" s="27"/>
      <c r="H460" s="27"/>
      <c r="I460" s="27"/>
      <c r="J460" s="27"/>
    </row>
    <row r="461" spans="1:10">
      <c r="A461" s="27"/>
      <c r="B461" s="27"/>
      <c r="C461" s="27"/>
      <c r="D461" s="27"/>
      <c r="E461" s="27"/>
      <c r="F461" s="27"/>
      <c r="G461" s="27"/>
      <c r="H461" s="27"/>
      <c r="I461" s="27"/>
      <c r="J461" s="27"/>
    </row>
    <row r="462" spans="1:10">
      <c r="A462" s="27"/>
      <c r="B462" s="27"/>
      <c r="C462" s="27"/>
      <c r="D462" s="27"/>
      <c r="E462" s="27"/>
      <c r="F462" s="27"/>
      <c r="G462" s="27"/>
      <c r="H462" s="27"/>
      <c r="I462" s="27"/>
      <c r="J462" s="27"/>
    </row>
    <row r="463" spans="1:10">
      <c r="A463" s="27"/>
      <c r="B463" s="27"/>
      <c r="C463" s="27"/>
      <c r="D463" s="27"/>
      <c r="E463" s="27"/>
      <c r="F463" s="27"/>
      <c r="G463" s="27"/>
      <c r="H463" s="27"/>
      <c r="I463" s="27"/>
      <c r="J463" s="27"/>
    </row>
    <row r="464" spans="1:10">
      <c r="A464" s="27"/>
      <c r="B464" s="27"/>
      <c r="C464" s="27"/>
      <c r="D464" s="27"/>
      <c r="E464" s="27"/>
      <c r="F464" s="27"/>
      <c r="G464" s="27"/>
      <c r="H464" s="27"/>
      <c r="I464" s="27"/>
      <c r="J464" s="27"/>
    </row>
    <row r="465" spans="1:10">
      <c r="A465" s="27"/>
      <c r="B465" s="27"/>
      <c r="C465" s="27"/>
      <c r="D465" s="27"/>
      <c r="E465" s="27"/>
      <c r="F465" s="27"/>
      <c r="G465" s="27"/>
      <c r="H465" s="27"/>
      <c r="I465" s="27"/>
      <c r="J465" s="27"/>
    </row>
    <row r="466" spans="1:10">
      <c r="A466" s="27"/>
      <c r="B466" s="27"/>
      <c r="C466" s="27"/>
      <c r="D466" s="27"/>
      <c r="E466" s="27"/>
      <c r="F466" s="27"/>
      <c r="G466" s="27"/>
      <c r="H466" s="27"/>
      <c r="I466" s="27"/>
      <c r="J466" s="27"/>
    </row>
    <row r="467" spans="1:10">
      <c r="A467" s="27"/>
      <c r="B467" s="27"/>
      <c r="C467" s="27"/>
      <c r="D467" s="27"/>
      <c r="E467" s="27"/>
      <c r="F467" s="27"/>
      <c r="G467" s="27"/>
      <c r="H467" s="27"/>
      <c r="I467" s="27"/>
      <c r="J467" s="27"/>
    </row>
    <row r="468" spans="1:10">
      <c r="A468" s="27"/>
      <c r="B468" s="27"/>
      <c r="C468" s="27"/>
      <c r="D468" s="27"/>
      <c r="E468" s="27"/>
      <c r="F468" s="27"/>
      <c r="G468" s="27"/>
      <c r="H468" s="27"/>
      <c r="I468" s="27"/>
      <c r="J468" s="27"/>
    </row>
    <row r="469" spans="1:10">
      <c r="A469" s="27"/>
      <c r="B469" s="27"/>
      <c r="C469" s="27"/>
      <c r="D469" s="27"/>
      <c r="E469" s="27"/>
      <c r="F469" s="27"/>
      <c r="G469" s="27"/>
      <c r="H469" s="27"/>
      <c r="I469" s="27"/>
      <c r="J469" s="27"/>
    </row>
    <row r="470" spans="1:10">
      <c r="A470" s="27"/>
      <c r="B470" s="27"/>
      <c r="C470" s="27"/>
      <c r="D470" s="27"/>
      <c r="E470" s="27"/>
      <c r="F470" s="27"/>
      <c r="G470" s="27"/>
      <c r="H470" s="27"/>
      <c r="I470" s="27"/>
      <c r="J470" s="27"/>
    </row>
    <row r="471" spans="1:10">
      <c r="A471" s="27"/>
      <c r="B471" s="27"/>
      <c r="C471" s="27"/>
      <c r="D471" s="27"/>
      <c r="E471" s="27"/>
      <c r="F471" s="27"/>
      <c r="G471" s="27"/>
      <c r="H471" s="27"/>
      <c r="I471" s="27"/>
      <c r="J471" s="27"/>
    </row>
    <row r="472" spans="1:10">
      <c r="A472" s="27"/>
      <c r="B472" s="27"/>
      <c r="C472" s="27"/>
      <c r="D472" s="27"/>
      <c r="E472" s="27"/>
      <c r="F472" s="27"/>
      <c r="G472" s="27"/>
      <c r="H472" s="27"/>
      <c r="I472" s="27"/>
      <c r="J472" s="27"/>
    </row>
    <row r="473" spans="1:10">
      <c r="A473" s="27"/>
      <c r="B473" s="27"/>
      <c r="C473" s="27"/>
      <c r="D473" s="27"/>
      <c r="E473" s="27"/>
      <c r="F473" s="27"/>
      <c r="G473" s="27"/>
      <c r="H473" s="27"/>
      <c r="I473" s="27"/>
      <c r="J473" s="27"/>
    </row>
    <row r="474" spans="1:10">
      <c r="A474" s="27"/>
      <c r="B474" s="27"/>
      <c r="C474" s="27"/>
      <c r="D474" s="27"/>
      <c r="E474" s="27"/>
      <c r="F474" s="27"/>
      <c r="G474" s="27"/>
      <c r="H474" s="27"/>
      <c r="I474" s="27"/>
      <c r="J474" s="27"/>
    </row>
    <row r="475" spans="1:10">
      <c r="A475" s="27"/>
      <c r="B475" s="27"/>
      <c r="C475" s="27"/>
      <c r="D475" s="27"/>
      <c r="E475" s="27"/>
      <c r="F475" s="27"/>
      <c r="G475" s="27"/>
      <c r="H475" s="27"/>
      <c r="I475" s="27"/>
      <c r="J475" s="27"/>
    </row>
    <row r="476" spans="1:10">
      <c r="A476" s="27"/>
      <c r="B476" s="27"/>
      <c r="C476" s="27"/>
      <c r="D476" s="27"/>
      <c r="E476" s="27"/>
      <c r="F476" s="27"/>
      <c r="G476" s="27"/>
      <c r="H476" s="27"/>
      <c r="I476" s="27"/>
      <c r="J476" s="27"/>
    </row>
    <row r="477" spans="1:10">
      <c r="A477" s="27"/>
      <c r="B477" s="27"/>
      <c r="C477" s="27"/>
      <c r="D477" s="27"/>
      <c r="E477" s="27"/>
      <c r="F477" s="27"/>
      <c r="G477" s="27"/>
      <c r="H477" s="27"/>
      <c r="I477" s="27"/>
      <c r="J477" s="27"/>
    </row>
    <row r="478" spans="1:10">
      <c r="A478" s="27"/>
      <c r="B478" s="27"/>
      <c r="C478" s="27"/>
      <c r="D478" s="27"/>
      <c r="E478" s="27"/>
      <c r="F478" s="27"/>
      <c r="G478" s="27"/>
      <c r="H478" s="27"/>
      <c r="I478" s="27"/>
      <c r="J478" s="27"/>
    </row>
    <row r="479" spans="1:10">
      <c r="A479" s="27"/>
      <c r="B479" s="27"/>
      <c r="C479" s="27"/>
      <c r="D479" s="27"/>
      <c r="E479" s="27"/>
      <c r="F479" s="27"/>
      <c r="G479" s="27"/>
      <c r="H479" s="27"/>
      <c r="I479" s="27"/>
      <c r="J479" s="27"/>
    </row>
    <row r="480" spans="1:10">
      <c r="A480" s="27"/>
      <c r="B480" s="27"/>
      <c r="C480" s="27"/>
      <c r="D480" s="27"/>
      <c r="E480" s="27"/>
      <c r="F480" s="27"/>
      <c r="G480" s="27"/>
      <c r="H480" s="27"/>
      <c r="I480" s="27"/>
      <c r="J480" s="27"/>
    </row>
    <row r="481" spans="1:10">
      <c r="A481" s="27"/>
      <c r="B481" s="27"/>
      <c r="C481" s="27"/>
      <c r="D481" s="27"/>
      <c r="E481" s="27"/>
      <c r="F481" s="27"/>
      <c r="G481" s="27"/>
      <c r="H481" s="27"/>
      <c r="I481" s="27"/>
      <c r="J481" s="27"/>
    </row>
    <row r="482" spans="1:10">
      <c r="A482" s="27"/>
      <c r="B482" s="27"/>
      <c r="C482" s="27"/>
      <c r="D482" s="27"/>
      <c r="E482" s="27"/>
      <c r="F482" s="27"/>
      <c r="G482" s="27"/>
      <c r="H482" s="27"/>
      <c r="I482" s="27"/>
      <c r="J482" s="27"/>
    </row>
    <row r="483" spans="1:10">
      <c r="A483" s="27"/>
      <c r="B483" s="27"/>
      <c r="C483" s="27"/>
      <c r="D483" s="27"/>
      <c r="E483" s="27"/>
      <c r="F483" s="27"/>
      <c r="G483" s="27"/>
      <c r="H483" s="27"/>
      <c r="I483" s="27"/>
      <c r="J483" s="27"/>
    </row>
    <row r="484" spans="1:10">
      <c r="A484" s="27"/>
      <c r="B484" s="27"/>
      <c r="C484" s="27"/>
      <c r="D484" s="27"/>
      <c r="E484" s="27"/>
      <c r="F484" s="27"/>
      <c r="G484" s="27"/>
      <c r="H484" s="27"/>
      <c r="I484" s="27"/>
      <c r="J484" s="27"/>
    </row>
    <row r="485" spans="1:10">
      <c r="A485" s="27"/>
      <c r="B485" s="27"/>
      <c r="C485" s="27"/>
      <c r="D485" s="27"/>
      <c r="E485" s="27"/>
      <c r="F485" s="27"/>
      <c r="G485" s="27"/>
      <c r="H485" s="27"/>
      <c r="I485" s="27"/>
      <c r="J485" s="27"/>
    </row>
    <row r="486" spans="1:10">
      <c r="A486" s="27"/>
      <c r="B486" s="27"/>
      <c r="C486" s="27"/>
      <c r="D486" s="27"/>
      <c r="E486" s="27"/>
      <c r="F486" s="27"/>
      <c r="G486" s="27"/>
      <c r="H486" s="27"/>
      <c r="I486" s="27"/>
      <c r="J486" s="27"/>
    </row>
    <row r="487" spans="1:10">
      <c r="A487" s="27"/>
      <c r="B487" s="27"/>
      <c r="C487" s="27"/>
      <c r="D487" s="27"/>
      <c r="E487" s="27"/>
      <c r="F487" s="27"/>
      <c r="G487" s="27"/>
      <c r="H487" s="27"/>
      <c r="I487" s="27"/>
      <c r="J487" s="27"/>
    </row>
    <row r="488" spans="1:10">
      <c r="A488" s="27"/>
      <c r="B488" s="27"/>
      <c r="C488" s="27"/>
      <c r="D488" s="27"/>
      <c r="E488" s="27"/>
      <c r="F488" s="27"/>
      <c r="G488" s="27"/>
      <c r="H488" s="27"/>
      <c r="I488" s="27"/>
      <c r="J488" s="27"/>
    </row>
    <row r="489" spans="1:10">
      <c r="A489" s="27"/>
      <c r="B489" s="27"/>
      <c r="C489" s="27"/>
      <c r="D489" s="27"/>
      <c r="E489" s="27"/>
      <c r="F489" s="27"/>
      <c r="G489" s="27"/>
      <c r="H489" s="27"/>
      <c r="I489" s="27"/>
      <c r="J489" s="27"/>
    </row>
    <row r="490" spans="1:10">
      <c r="A490" s="27"/>
      <c r="B490" s="27"/>
      <c r="C490" s="27"/>
      <c r="D490" s="27"/>
      <c r="E490" s="27"/>
      <c r="F490" s="27"/>
      <c r="G490" s="27"/>
      <c r="H490" s="27"/>
      <c r="I490" s="27"/>
      <c r="J490" s="27"/>
    </row>
    <row r="491" spans="1:10">
      <c r="A491" s="27"/>
      <c r="B491" s="27"/>
      <c r="C491" s="27"/>
      <c r="D491" s="27"/>
      <c r="E491" s="27"/>
      <c r="F491" s="27"/>
      <c r="G491" s="27"/>
      <c r="H491" s="27"/>
      <c r="I491" s="27"/>
      <c r="J491" s="27"/>
    </row>
    <row r="492" spans="1:10">
      <c r="A492" s="27"/>
      <c r="B492" s="27"/>
      <c r="C492" s="27"/>
      <c r="D492" s="27"/>
      <c r="E492" s="27"/>
      <c r="F492" s="27"/>
      <c r="G492" s="27"/>
      <c r="H492" s="27"/>
      <c r="I492" s="27"/>
      <c r="J492" s="27"/>
    </row>
    <row r="493" spans="1:10">
      <c r="A493" s="27"/>
      <c r="B493" s="27"/>
      <c r="C493" s="27"/>
      <c r="D493" s="27"/>
      <c r="E493" s="27"/>
      <c r="F493" s="27"/>
      <c r="G493" s="27"/>
      <c r="H493" s="27"/>
      <c r="I493" s="27"/>
      <c r="J493" s="27"/>
    </row>
    <row r="494" spans="1:10">
      <c r="A494" s="27"/>
      <c r="B494" s="27"/>
      <c r="C494" s="27"/>
      <c r="D494" s="27"/>
      <c r="E494" s="27"/>
      <c r="F494" s="27"/>
      <c r="G494" s="27"/>
      <c r="H494" s="27"/>
      <c r="I494" s="27"/>
      <c r="J494" s="27"/>
    </row>
    <row r="495" spans="1:10">
      <c r="A495" s="27"/>
      <c r="B495" s="27"/>
      <c r="C495" s="27"/>
      <c r="D495" s="27"/>
      <c r="E495" s="27"/>
      <c r="F495" s="27"/>
      <c r="G495" s="27"/>
      <c r="H495" s="27"/>
      <c r="I495" s="27"/>
      <c r="J495" s="27"/>
    </row>
    <row r="496" spans="1:10">
      <c r="A496" s="27"/>
      <c r="B496" s="27"/>
      <c r="C496" s="27"/>
      <c r="D496" s="27"/>
      <c r="E496" s="27"/>
      <c r="F496" s="27"/>
      <c r="G496" s="27"/>
      <c r="H496" s="27"/>
      <c r="I496" s="27"/>
      <c r="J496" s="27"/>
    </row>
    <row r="497" spans="1:10">
      <c r="A497" s="27"/>
      <c r="B497" s="27"/>
      <c r="C497" s="27"/>
      <c r="D497" s="27"/>
      <c r="E497" s="27"/>
      <c r="F497" s="27"/>
      <c r="G497" s="27"/>
      <c r="H497" s="27"/>
      <c r="I497" s="27"/>
      <c r="J497" s="27"/>
    </row>
    <row r="498" spans="1:10">
      <c r="A498" s="27"/>
      <c r="B498" s="27"/>
      <c r="C498" s="27"/>
      <c r="D498" s="27"/>
      <c r="E498" s="27"/>
      <c r="F498" s="27"/>
      <c r="G498" s="27"/>
      <c r="H498" s="27"/>
      <c r="I498" s="27"/>
      <c r="J498" s="27"/>
    </row>
    <row r="499" spans="1:10">
      <c r="A499" s="27"/>
      <c r="B499" s="27"/>
      <c r="C499" s="27"/>
      <c r="D499" s="27"/>
      <c r="E499" s="27"/>
      <c r="F499" s="27"/>
      <c r="G499" s="27"/>
      <c r="H499" s="27"/>
      <c r="I499" s="27"/>
      <c r="J499" s="27"/>
    </row>
    <row r="500" spans="1:10">
      <c r="A500" s="27"/>
      <c r="B500" s="27"/>
      <c r="C500" s="27"/>
      <c r="D500" s="27"/>
      <c r="E500" s="27"/>
      <c r="F500" s="27"/>
      <c r="G500" s="27"/>
      <c r="H500" s="27"/>
      <c r="I500" s="27"/>
      <c r="J500" s="27"/>
    </row>
    <row r="501" spans="1:10">
      <c r="A501" s="27"/>
      <c r="B501" s="27"/>
      <c r="C501" s="27"/>
      <c r="D501" s="27"/>
      <c r="E501" s="27"/>
      <c r="F501" s="27"/>
      <c r="G501" s="27"/>
      <c r="H501" s="27"/>
      <c r="I501" s="27"/>
      <c r="J501" s="27"/>
    </row>
    <row r="502" spans="1:10">
      <c r="A502" s="27"/>
      <c r="B502" s="27"/>
      <c r="C502" s="27"/>
      <c r="D502" s="27"/>
      <c r="E502" s="27"/>
      <c r="F502" s="27"/>
      <c r="G502" s="27"/>
      <c r="H502" s="27"/>
      <c r="I502" s="27"/>
      <c r="J502" s="27"/>
    </row>
    <row r="503" spans="1:10">
      <c r="A503" s="27"/>
      <c r="B503" s="27"/>
      <c r="C503" s="27"/>
      <c r="D503" s="27"/>
      <c r="E503" s="27"/>
      <c r="F503" s="27"/>
      <c r="G503" s="27"/>
      <c r="H503" s="27"/>
      <c r="I503" s="27"/>
      <c r="J503" s="27"/>
    </row>
    <row r="504" spans="1:10">
      <c r="A504" s="27"/>
      <c r="B504" s="27"/>
      <c r="C504" s="27"/>
      <c r="D504" s="27"/>
      <c r="E504" s="27"/>
      <c r="F504" s="27"/>
      <c r="G504" s="27"/>
      <c r="H504" s="27"/>
      <c r="I504" s="27"/>
      <c r="J504" s="27"/>
    </row>
    <row r="505" spans="1:10">
      <c r="A505" s="27"/>
      <c r="B505" s="27"/>
      <c r="C505" s="27"/>
      <c r="D505" s="27"/>
      <c r="E505" s="27"/>
      <c r="F505" s="27"/>
      <c r="G505" s="27"/>
      <c r="H505" s="27"/>
      <c r="I505" s="27"/>
      <c r="J505" s="27"/>
    </row>
    <row r="506" spans="1:10">
      <c r="A506" s="27"/>
      <c r="B506" s="27"/>
      <c r="C506" s="27"/>
      <c r="D506" s="27"/>
      <c r="E506" s="27"/>
      <c r="F506" s="27"/>
      <c r="G506" s="27"/>
      <c r="H506" s="27"/>
      <c r="I506" s="27"/>
      <c r="J506" s="27"/>
    </row>
    <row r="507" spans="1:10">
      <c r="A507" s="27"/>
      <c r="B507" s="27"/>
      <c r="C507" s="27"/>
      <c r="D507" s="27"/>
      <c r="E507" s="27"/>
      <c r="F507" s="27"/>
      <c r="G507" s="27"/>
      <c r="H507" s="27"/>
      <c r="I507" s="27"/>
      <c r="J507" s="27"/>
    </row>
    <row r="508" spans="1:10">
      <c r="A508" s="27"/>
      <c r="B508" s="27"/>
      <c r="C508" s="27"/>
      <c r="D508" s="27"/>
      <c r="E508" s="27"/>
      <c r="F508" s="27"/>
      <c r="G508" s="27"/>
      <c r="H508" s="27"/>
      <c r="I508" s="27"/>
      <c r="J508" s="27"/>
    </row>
    <row r="509" spans="1:10">
      <c r="A509" s="27"/>
      <c r="B509" s="27"/>
      <c r="C509" s="27"/>
      <c r="D509" s="27"/>
      <c r="E509" s="27"/>
      <c r="F509" s="27"/>
      <c r="G509" s="27"/>
      <c r="H509" s="27"/>
      <c r="I509" s="27"/>
      <c r="J509" s="27"/>
    </row>
    <row r="510" spans="1:10">
      <c r="A510" s="27"/>
      <c r="B510" s="27"/>
      <c r="C510" s="27"/>
      <c r="D510" s="27"/>
      <c r="E510" s="27"/>
      <c r="F510" s="27"/>
      <c r="G510" s="27"/>
      <c r="H510" s="27"/>
      <c r="I510" s="27"/>
      <c r="J510" s="27"/>
    </row>
    <row r="511" spans="1:10">
      <c r="A511" s="27"/>
      <c r="B511" s="27"/>
      <c r="C511" s="27"/>
      <c r="D511" s="27"/>
      <c r="E511" s="27"/>
      <c r="F511" s="27"/>
      <c r="G511" s="27"/>
      <c r="H511" s="27"/>
      <c r="I511" s="27"/>
      <c r="J511" s="27"/>
    </row>
    <row r="512" spans="1:10">
      <c r="A512" s="27"/>
      <c r="B512" s="27"/>
      <c r="C512" s="27"/>
      <c r="D512" s="27"/>
      <c r="E512" s="27"/>
      <c r="F512" s="27"/>
      <c r="G512" s="27"/>
      <c r="H512" s="27"/>
      <c r="I512" s="27"/>
      <c r="J512" s="27"/>
    </row>
    <row r="513" spans="1:10">
      <c r="A513" s="27"/>
      <c r="B513" s="27"/>
      <c r="C513" s="27"/>
      <c r="D513" s="27"/>
      <c r="E513" s="27"/>
      <c r="F513" s="27"/>
      <c r="G513" s="27"/>
      <c r="H513" s="27"/>
      <c r="I513" s="27"/>
      <c r="J513" s="27"/>
    </row>
    <row r="514" spans="1:10">
      <c r="A514" s="27"/>
      <c r="B514" s="27"/>
      <c r="C514" s="27"/>
      <c r="D514" s="27"/>
      <c r="E514" s="27"/>
      <c r="F514" s="27"/>
      <c r="G514" s="27"/>
      <c r="H514" s="27"/>
      <c r="I514" s="27"/>
      <c r="J514" s="27"/>
    </row>
    <row r="515" spans="1:10">
      <c r="A515" s="27"/>
      <c r="B515" s="27"/>
      <c r="C515" s="27"/>
      <c r="D515" s="27"/>
      <c r="E515" s="27"/>
      <c r="F515" s="27"/>
      <c r="G515" s="27"/>
      <c r="H515" s="27"/>
      <c r="I515" s="27"/>
      <c r="J515" s="27"/>
    </row>
    <row r="516" spans="1:10">
      <c r="A516" s="27"/>
      <c r="B516" s="27"/>
      <c r="C516" s="27"/>
      <c r="D516" s="27"/>
      <c r="E516" s="27"/>
      <c r="F516" s="27"/>
      <c r="G516" s="27"/>
      <c r="H516" s="27"/>
      <c r="I516" s="27"/>
      <c r="J516" s="27"/>
    </row>
    <row r="517" spans="1:10">
      <c r="A517" s="27"/>
      <c r="B517" s="27"/>
      <c r="C517" s="27"/>
      <c r="D517" s="27"/>
      <c r="E517" s="27"/>
      <c r="F517" s="27"/>
      <c r="G517" s="27"/>
      <c r="H517" s="27"/>
      <c r="I517" s="27"/>
      <c r="J517" s="27"/>
    </row>
    <row r="518" spans="1:10">
      <c r="A518" s="27"/>
      <c r="B518" s="27"/>
      <c r="C518" s="27"/>
      <c r="D518" s="27"/>
      <c r="E518" s="27"/>
      <c r="F518" s="27"/>
      <c r="G518" s="27"/>
      <c r="H518" s="27"/>
      <c r="I518" s="27"/>
      <c r="J518" s="27"/>
    </row>
    <row r="519" spans="1:10">
      <c r="A519" s="27"/>
      <c r="B519" s="27"/>
      <c r="C519" s="27"/>
      <c r="D519" s="27"/>
      <c r="E519" s="27"/>
      <c r="F519" s="27"/>
      <c r="G519" s="27"/>
      <c r="H519" s="27"/>
      <c r="I519" s="27"/>
      <c r="J519" s="27"/>
    </row>
    <row r="520" spans="1:10">
      <c r="A520" s="27"/>
      <c r="B520" s="27"/>
      <c r="C520" s="27"/>
      <c r="D520" s="27"/>
      <c r="E520" s="27"/>
      <c r="F520" s="27"/>
      <c r="G520" s="27"/>
      <c r="H520" s="27"/>
      <c r="I520" s="27"/>
      <c r="J520" s="27"/>
    </row>
    <row r="521" spans="1:10">
      <c r="A521" s="27"/>
      <c r="B521" s="27"/>
      <c r="C521" s="27"/>
      <c r="D521" s="27"/>
      <c r="E521" s="27"/>
      <c r="F521" s="27"/>
      <c r="G521" s="27"/>
      <c r="H521" s="27"/>
      <c r="I521" s="27"/>
      <c r="J521" s="27"/>
    </row>
    <row r="522" spans="1:10">
      <c r="A522" s="27"/>
      <c r="B522" s="27"/>
      <c r="C522" s="27"/>
      <c r="D522" s="27"/>
      <c r="E522" s="27"/>
      <c r="F522" s="27"/>
      <c r="G522" s="27"/>
      <c r="H522" s="27"/>
      <c r="I522" s="27"/>
      <c r="J522" s="27"/>
    </row>
    <row r="523" spans="1:10">
      <c r="A523" s="27"/>
      <c r="B523" s="27"/>
      <c r="C523" s="27"/>
      <c r="D523" s="27"/>
      <c r="E523" s="27"/>
      <c r="F523" s="27"/>
      <c r="G523" s="27"/>
      <c r="H523" s="27"/>
      <c r="I523" s="27"/>
      <c r="J523" s="27"/>
    </row>
    <row r="524" spans="1:10">
      <c r="A524" s="27"/>
      <c r="B524" s="27"/>
      <c r="C524" s="27"/>
      <c r="D524" s="27"/>
      <c r="E524" s="27"/>
      <c r="F524" s="27"/>
      <c r="G524" s="27"/>
      <c r="H524" s="27"/>
      <c r="I524" s="27"/>
      <c r="J524" s="27"/>
    </row>
    <row r="525" spans="1:10">
      <c r="A525" s="27"/>
      <c r="B525" s="27"/>
      <c r="C525" s="27"/>
      <c r="D525" s="27"/>
      <c r="E525" s="27"/>
      <c r="F525" s="27"/>
      <c r="G525" s="27"/>
      <c r="H525" s="27"/>
      <c r="I525" s="27"/>
      <c r="J525" s="27"/>
    </row>
    <row r="526" spans="1:10">
      <c r="A526" s="27"/>
      <c r="B526" s="27"/>
      <c r="C526" s="27"/>
      <c r="D526" s="27"/>
      <c r="E526" s="27"/>
      <c r="F526" s="27"/>
      <c r="G526" s="27"/>
      <c r="H526" s="27"/>
      <c r="I526" s="27"/>
      <c r="J526" s="27"/>
    </row>
    <row r="527" spans="1:10">
      <c r="A527" s="27"/>
      <c r="B527" s="27"/>
      <c r="C527" s="27"/>
      <c r="D527" s="27"/>
      <c r="E527" s="27"/>
      <c r="F527" s="27"/>
      <c r="G527" s="27"/>
      <c r="H527" s="27"/>
      <c r="I527" s="27"/>
      <c r="J527" s="27"/>
    </row>
    <row r="528" spans="1:10">
      <c r="A528" s="27"/>
      <c r="B528" s="27"/>
      <c r="C528" s="27"/>
      <c r="D528" s="27"/>
      <c r="E528" s="27"/>
      <c r="F528" s="27"/>
      <c r="G528" s="27"/>
      <c r="H528" s="27"/>
      <c r="I528" s="27"/>
      <c r="J528" s="27"/>
    </row>
    <row r="529" spans="1:10">
      <c r="A529" s="27"/>
      <c r="B529" s="27"/>
      <c r="C529" s="27"/>
      <c r="D529" s="27"/>
      <c r="E529" s="27"/>
      <c r="F529" s="27"/>
      <c r="G529" s="27"/>
      <c r="H529" s="27"/>
      <c r="I529" s="27"/>
      <c r="J529" s="27"/>
    </row>
    <row r="530" spans="1:10">
      <c r="A530" s="27"/>
      <c r="B530" s="27"/>
      <c r="C530" s="27"/>
      <c r="D530" s="27"/>
      <c r="E530" s="27"/>
      <c r="F530" s="27"/>
      <c r="G530" s="27"/>
      <c r="H530" s="27"/>
      <c r="I530" s="27"/>
      <c r="J530" s="27"/>
    </row>
    <row r="531" spans="1:10">
      <c r="A531" s="27"/>
      <c r="B531" s="27"/>
      <c r="C531" s="27"/>
      <c r="D531" s="27"/>
      <c r="E531" s="27"/>
      <c r="F531" s="27"/>
      <c r="G531" s="27"/>
      <c r="H531" s="27"/>
      <c r="I531" s="27"/>
      <c r="J531" s="27"/>
    </row>
    <row r="532" spans="1:10">
      <c r="A532" s="27"/>
      <c r="B532" s="27"/>
      <c r="C532" s="27"/>
      <c r="D532" s="27"/>
      <c r="E532" s="27"/>
      <c r="F532" s="27"/>
      <c r="G532" s="27"/>
      <c r="H532" s="27"/>
      <c r="I532" s="27"/>
      <c r="J532" s="27"/>
    </row>
    <row r="533" spans="1:10">
      <c r="A533" s="27"/>
      <c r="B533" s="27"/>
      <c r="C533" s="27"/>
      <c r="D533" s="27"/>
      <c r="E533" s="27"/>
      <c r="F533" s="27"/>
      <c r="G533" s="27"/>
      <c r="H533" s="27"/>
      <c r="I533" s="27"/>
      <c r="J533" s="27"/>
    </row>
    <row r="534" spans="1:10">
      <c r="A534" s="27"/>
      <c r="B534" s="27"/>
      <c r="C534" s="27"/>
      <c r="D534" s="27"/>
      <c r="E534" s="27"/>
      <c r="F534" s="27"/>
      <c r="G534" s="27"/>
      <c r="H534" s="27"/>
      <c r="I534" s="27"/>
      <c r="J534" s="27"/>
    </row>
    <row r="535" spans="1:10">
      <c r="A535" s="27"/>
      <c r="B535" s="27"/>
      <c r="C535" s="27"/>
      <c r="D535" s="27"/>
      <c r="E535" s="27"/>
      <c r="F535" s="27"/>
      <c r="G535" s="27"/>
      <c r="H535" s="27"/>
      <c r="I535" s="27"/>
      <c r="J535" s="27"/>
    </row>
    <row r="536" spans="1:10">
      <c r="A536" s="27"/>
      <c r="B536" s="27"/>
      <c r="C536" s="27"/>
      <c r="D536" s="27"/>
      <c r="E536" s="27"/>
      <c r="F536" s="27"/>
      <c r="G536" s="27"/>
      <c r="H536" s="27"/>
      <c r="I536" s="27"/>
      <c r="J536" s="27"/>
    </row>
    <row r="537" spans="1:10">
      <c r="A537" s="27"/>
      <c r="B537" s="27"/>
      <c r="C537" s="27"/>
      <c r="D537" s="27"/>
      <c r="E537" s="27"/>
      <c r="F537" s="27"/>
      <c r="G537" s="27"/>
      <c r="H537" s="27"/>
      <c r="I537" s="27"/>
      <c r="J537" s="27"/>
    </row>
    <row r="538" spans="1:10">
      <c r="A538" s="27"/>
      <c r="B538" s="27"/>
      <c r="C538" s="27"/>
      <c r="D538" s="27"/>
      <c r="E538" s="27"/>
      <c r="F538" s="27"/>
      <c r="G538" s="27"/>
      <c r="H538" s="27"/>
      <c r="I538" s="27"/>
      <c r="J538" s="27"/>
    </row>
    <row r="539" spans="1:10">
      <c r="A539" s="27"/>
      <c r="B539" s="27"/>
      <c r="C539" s="27"/>
      <c r="D539" s="27"/>
      <c r="E539" s="27"/>
      <c r="F539" s="27"/>
      <c r="G539" s="27"/>
      <c r="H539" s="27"/>
      <c r="I539" s="27"/>
      <c r="J539" s="27"/>
    </row>
    <row r="540" spans="1:10">
      <c r="A540" s="27"/>
      <c r="B540" s="27"/>
      <c r="C540" s="27"/>
      <c r="D540" s="27"/>
      <c r="E540" s="27"/>
      <c r="F540" s="27"/>
      <c r="G540" s="27"/>
      <c r="H540" s="27"/>
      <c r="I540" s="27"/>
      <c r="J540" s="27"/>
    </row>
    <row r="541" spans="1:10">
      <c r="A541" s="27"/>
      <c r="B541" s="27"/>
      <c r="C541" s="27"/>
      <c r="D541" s="27"/>
      <c r="E541" s="27"/>
      <c r="F541" s="27"/>
      <c r="G541" s="27"/>
      <c r="H541" s="27"/>
      <c r="I541" s="27"/>
      <c r="J541" s="27"/>
    </row>
    <row r="542" spans="1:10">
      <c r="A542" s="27"/>
      <c r="B542" s="27"/>
      <c r="C542" s="27"/>
      <c r="D542" s="27"/>
      <c r="E542" s="27"/>
      <c r="F542" s="27"/>
      <c r="G542" s="27"/>
      <c r="H542" s="27"/>
      <c r="I542" s="27"/>
      <c r="J542" s="27"/>
    </row>
    <row r="543" spans="1:10">
      <c r="A543" s="27"/>
      <c r="B543" s="27"/>
      <c r="C543" s="27"/>
      <c r="D543" s="27"/>
      <c r="E543" s="27"/>
      <c r="F543" s="27"/>
      <c r="G543" s="27"/>
      <c r="H543" s="27"/>
      <c r="I543" s="27"/>
      <c r="J543" s="27"/>
    </row>
    <row r="544" spans="1:10">
      <c r="A544" s="27"/>
      <c r="B544" s="27"/>
      <c r="C544" s="27"/>
      <c r="D544" s="27"/>
      <c r="E544" s="27"/>
      <c r="F544" s="27"/>
      <c r="G544" s="27"/>
      <c r="H544" s="27"/>
      <c r="I544" s="27"/>
      <c r="J544" s="27"/>
    </row>
    <row r="545" spans="1:10">
      <c r="A545" s="27"/>
      <c r="B545" s="27"/>
      <c r="C545" s="27"/>
      <c r="D545" s="27"/>
      <c r="E545" s="27"/>
      <c r="F545" s="27"/>
      <c r="G545" s="27"/>
      <c r="H545" s="27"/>
      <c r="I545" s="27"/>
      <c r="J545" s="27"/>
    </row>
    <row r="546" spans="1:10">
      <c r="A546" s="27"/>
      <c r="B546" s="27"/>
      <c r="C546" s="27"/>
      <c r="D546" s="27"/>
      <c r="E546" s="27"/>
      <c r="F546" s="27"/>
      <c r="G546" s="27"/>
      <c r="H546" s="27"/>
      <c r="I546" s="27"/>
      <c r="J546" s="27"/>
    </row>
    <row r="547" spans="1:10">
      <c r="A547" s="27"/>
      <c r="B547" s="27"/>
      <c r="C547" s="27"/>
      <c r="D547" s="27"/>
      <c r="E547" s="27"/>
      <c r="F547" s="27"/>
      <c r="G547" s="27"/>
      <c r="H547" s="27"/>
      <c r="I547" s="27"/>
      <c r="J547" s="27"/>
    </row>
    <row r="548" spans="1:10">
      <c r="A548" s="27"/>
      <c r="B548" s="27"/>
      <c r="C548" s="27"/>
      <c r="D548" s="27"/>
      <c r="E548" s="27"/>
      <c r="F548" s="27"/>
      <c r="G548" s="27"/>
      <c r="H548" s="27"/>
      <c r="I548" s="27"/>
      <c r="J548" s="27"/>
    </row>
    <row r="549" spans="1:10">
      <c r="A549" s="27"/>
      <c r="B549" s="27"/>
      <c r="C549" s="27"/>
      <c r="D549" s="27"/>
      <c r="E549" s="27"/>
      <c r="F549" s="27"/>
      <c r="G549" s="27"/>
      <c r="H549" s="27"/>
      <c r="I549" s="27"/>
      <c r="J549" s="27"/>
    </row>
    <row r="550" spans="1:10">
      <c r="A550" s="27"/>
      <c r="B550" s="27"/>
      <c r="C550" s="27"/>
      <c r="D550" s="27"/>
      <c r="E550" s="27"/>
      <c r="F550" s="27"/>
      <c r="G550" s="27"/>
      <c r="H550" s="27"/>
      <c r="I550" s="27"/>
      <c r="J550" s="27"/>
    </row>
    <row r="551" spans="1:10">
      <c r="A551" s="27"/>
      <c r="B551" s="27"/>
      <c r="C551" s="27"/>
      <c r="D551" s="27"/>
      <c r="E551" s="27"/>
      <c r="F551" s="27"/>
      <c r="G551" s="27"/>
      <c r="H551" s="27"/>
      <c r="I551" s="27"/>
      <c r="J551" s="27"/>
    </row>
    <row r="552" spans="1:10">
      <c r="A552" s="27"/>
      <c r="B552" s="27"/>
      <c r="C552" s="27"/>
      <c r="D552" s="27"/>
      <c r="E552" s="27"/>
      <c r="F552" s="27"/>
      <c r="G552" s="27"/>
      <c r="H552" s="27"/>
      <c r="I552" s="27"/>
      <c r="J552" s="27"/>
    </row>
    <row r="553" spans="1:10">
      <c r="A553" s="27"/>
      <c r="B553" s="27"/>
      <c r="C553" s="27"/>
      <c r="D553" s="27"/>
      <c r="E553" s="27"/>
      <c r="F553" s="27"/>
      <c r="G553" s="27"/>
      <c r="H553" s="27"/>
      <c r="I553" s="27"/>
      <c r="J553" s="27"/>
    </row>
    <row r="554" spans="1:10">
      <c r="A554" s="27"/>
      <c r="B554" s="27"/>
      <c r="C554" s="27"/>
      <c r="D554" s="27"/>
      <c r="E554" s="27"/>
      <c r="F554" s="27"/>
      <c r="G554" s="27"/>
      <c r="H554" s="27"/>
      <c r="I554" s="27"/>
      <c r="J554" s="27"/>
    </row>
    <row r="555" spans="1:10">
      <c r="A555" s="27"/>
      <c r="B555" s="27"/>
      <c r="C555" s="27"/>
      <c r="D555" s="27"/>
      <c r="E555" s="27"/>
      <c r="F555" s="27"/>
      <c r="G555" s="27"/>
      <c r="H555" s="27"/>
      <c r="I555" s="27"/>
      <c r="J555" s="27"/>
    </row>
    <row r="556" spans="1:10">
      <c r="A556" s="27"/>
      <c r="B556" s="27"/>
      <c r="C556" s="27"/>
      <c r="D556" s="27"/>
      <c r="E556" s="27"/>
      <c r="F556" s="27"/>
      <c r="G556" s="27"/>
      <c r="H556" s="27"/>
      <c r="I556" s="27"/>
      <c r="J556" s="27"/>
    </row>
    <row r="557" spans="1:10">
      <c r="A557" s="27"/>
      <c r="B557" s="27"/>
      <c r="C557" s="27"/>
      <c r="D557" s="27"/>
      <c r="E557" s="27"/>
      <c r="F557" s="27"/>
      <c r="G557" s="27"/>
      <c r="H557" s="27"/>
      <c r="I557" s="27"/>
      <c r="J557" s="27"/>
    </row>
    <row r="558" spans="1:10">
      <c r="A558" s="27"/>
      <c r="B558" s="27"/>
      <c r="C558" s="27"/>
      <c r="D558" s="27"/>
      <c r="E558" s="27"/>
      <c r="F558" s="27"/>
      <c r="G558" s="27"/>
      <c r="H558" s="27"/>
      <c r="I558" s="27"/>
      <c r="J558" s="27"/>
    </row>
    <row r="559" spans="1:10">
      <c r="A559" s="27"/>
      <c r="B559" s="27"/>
      <c r="C559" s="27"/>
      <c r="D559" s="27"/>
      <c r="E559" s="27"/>
      <c r="F559" s="27"/>
      <c r="G559" s="27"/>
      <c r="H559" s="27"/>
      <c r="I559" s="27"/>
      <c r="J559" s="27"/>
    </row>
    <row r="560" spans="1:10">
      <c r="A560" s="27"/>
      <c r="B560" s="27"/>
      <c r="C560" s="27"/>
      <c r="D560" s="27"/>
      <c r="E560" s="27"/>
      <c r="F560" s="27"/>
      <c r="G560" s="27"/>
      <c r="H560" s="27"/>
      <c r="I560" s="27"/>
      <c r="J560" s="27"/>
    </row>
    <row r="561" spans="1:10">
      <c r="A561" s="27"/>
      <c r="B561" s="27"/>
      <c r="C561" s="27"/>
      <c r="D561" s="27"/>
      <c r="E561" s="27"/>
      <c r="F561" s="27"/>
      <c r="G561" s="27"/>
      <c r="H561" s="27"/>
      <c r="I561" s="27"/>
      <c r="J561" s="27"/>
    </row>
    <row r="562" spans="1:10">
      <c r="A562" s="27"/>
      <c r="B562" s="27"/>
      <c r="C562" s="27"/>
      <c r="D562" s="27"/>
      <c r="E562" s="27"/>
      <c r="F562" s="27"/>
      <c r="G562" s="27"/>
      <c r="H562" s="27"/>
      <c r="I562" s="27"/>
      <c r="J562" s="27"/>
    </row>
    <row r="563" spans="1:10">
      <c r="A563" s="27"/>
      <c r="B563" s="27"/>
      <c r="C563" s="27"/>
      <c r="D563" s="27"/>
      <c r="E563" s="27"/>
      <c r="F563" s="27"/>
      <c r="G563" s="27"/>
      <c r="H563" s="27"/>
      <c r="I563" s="27"/>
      <c r="J563" s="27"/>
    </row>
    <row r="564" spans="1:10">
      <c r="A564" s="27"/>
      <c r="B564" s="27"/>
      <c r="C564" s="27"/>
      <c r="D564" s="27"/>
      <c r="E564" s="27"/>
      <c r="F564" s="27"/>
      <c r="G564" s="27"/>
      <c r="H564" s="27"/>
      <c r="I564" s="27"/>
      <c r="J564" s="27"/>
    </row>
    <row r="565" spans="1:10">
      <c r="A565" s="27"/>
      <c r="B565" s="27"/>
      <c r="C565" s="27"/>
      <c r="D565" s="27"/>
      <c r="E565" s="27"/>
      <c r="F565" s="27"/>
      <c r="G565" s="27"/>
      <c r="H565" s="27"/>
      <c r="I565" s="27"/>
      <c r="J565" s="27"/>
    </row>
    <row r="566" spans="1:10">
      <c r="A566" s="27"/>
      <c r="B566" s="27"/>
      <c r="C566" s="27"/>
      <c r="D566" s="27"/>
      <c r="E566" s="27"/>
      <c r="F566" s="27"/>
      <c r="G566" s="27"/>
      <c r="H566" s="27"/>
      <c r="I566" s="27"/>
      <c r="J566" s="27"/>
    </row>
    <row r="567" spans="1:10">
      <c r="A567" s="27"/>
      <c r="B567" s="27"/>
      <c r="C567" s="27"/>
      <c r="D567" s="27"/>
      <c r="E567" s="27"/>
      <c r="F567" s="27"/>
      <c r="G567" s="27"/>
      <c r="H567" s="27"/>
      <c r="I567" s="27"/>
      <c r="J567" s="27"/>
    </row>
    <row r="568" spans="1:10">
      <c r="A568" s="27"/>
      <c r="B568" s="27"/>
      <c r="C568" s="27"/>
      <c r="D568" s="27"/>
      <c r="E568" s="27"/>
      <c r="F568" s="27"/>
      <c r="G568" s="27"/>
      <c r="H568" s="27"/>
      <c r="I568" s="27"/>
      <c r="J568" s="27"/>
    </row>
    <row r="569" spans="1:10">
      <c r="A569" s="27"/>
      <c r="B569" s="27"/>
      <c r="C569" s="27"/>
      <c r="D569" s="27"/>
      <c r="E569" s="27"/>
      <c r="F569" s="27"/>
      <c r="G569" s="27"/>
      <c r="H569" s="27"/>
      <c r="I569" s="27"/>
      <c r="J569" s="27"/>
    </row>
    <row r="570" spans="1:10">
      <c r="A570" s="27"/>
      <c r="B570" s="27"/>
      <c r="C570" s="27"/>
      <c r="D570" s="27"/>
      <c r="E570" s="27"/>
      <c r="F570" s="27"/>
      <c r="G570" s="27"/>
      <c r="H570" s="27"/>
      <c r="I570" s="27"/>
      <c r="J570" s="27"/>
    </row>
    <row r="571" spans="1:10">
      <c r="A571" s="27"/>
      <c r="B571" s="27"/>
      <c r="C571" s="27"/>
      <c r="D571" s="27"/>
      <c r="E571" s="27"/>
      <c r="F571" s="27"/>
      <c r="G571" s="27"/>
      <c r="H571" s="27"/>
      <c r="I571" s="27"/>
      <c r="J571" s="27"/>
    </row>
    <row r="572" spans="1:10">
      <c r="A572" s="27"/>
      <c r="B572" s="27"/>
      <c r="C572" s="27"/>
      <c r="D572" s="27"/>
      <c r="E572" s="27"/>
      <c r="F572" s="27"/>
      <c r="G572" s="27"/>
      <c r="H572" s="27"/>
      <c r="I572" s="27"/>
      <c r="J572" s="27"/>
    </row>
    <row r="573" spans="1:10">
      <c r="A573" s="27"/>
      <c r="B573" s="27"/>
      <c r="C573" s="27"/>
      <c r="D573" s="27"/>
      <c r="E573" s="27"/>
      <c r="F573" s="27"/>
      <c r="G573" s="27"/>
      <c r="H573" s="27"/>
      <c r="I573" s="27"/>
      <c r="J573" s="27"/>
    </row>
    <row r="574" spans="1:10">
      <c r="A574" s="27"/>
      <c r="B574" s="27"/>
      <c r="C574" s="27"/>
      <c r="D574" s="27"/>
      <c r="E574" s="27"/>
      <c r="F574" s="27"/>
      <c r="G574" s="27"/>
      <c r="H574" s="27"/>
      <c r="I574" s="27"/>
      <c r="J574" s="27"/>
    </row>
    <row r="575" spans="1:10">
      <c r="A575" s="27"/>
      <c r="B575" s="27"/>
      <c r="C575" s="27"/>
      <c r="D575" s="27"/>
      <c r="E575" s="27"/>
      <c r="F575" s="27"/>
      <c r="G575" s="27"/>
      <c r="H575" s="27"/>
      <c r="I575" s="27"/>
      <c r="J575" s="27"/>
    </row>
    <row r="576" spans="1:10">
      <c r="A576" s="27"/>
      <c r="B576" s="27"/>
      <c r="C576" s="27"/>
      <c r="D576" s="27"/>
      <c r="E576" s="27"/>
      <c r="F576" s="27"/>
      <c r="G576" s="27"/>
      <c r="H576" s="27"/>
      <c r="I576" s="27"/>
      <c r="J576" s="27"/>
    </row>
    <row r="577" spans="1:10">
      <c r="A577" s="27"/>
      <c r="B577" s="27"/>
      <c r="C577" s="27"/>
      <c r="D577" s="27"/>
      <c r="E577" s="27"/>
      <c r="F577" s="27"/>
      <c r="G577" s="27"/>
      <c r="H577" s="27"/>
      <c r="I577" s="27"/>
      <c r="J577" s="27"/>
    </row>
    <row r="578" spans="1:10">
      <c r="A578" s="27"/>
      <c r="B578" s="27"/>
      <c r="C578" s="27"/>
      <c r="D578" s="27"/>
      <c r="E578" s="27"/>
      <c r="F578" s="27"/>
      <c r="G578" s="27"/>
      <c r="H578" s="27"/>
      <c r="I578" s="27"/>
      <c r="J578" s="27"/>
    </row>
    <row r="579" spans="1:10">
      <c r="A579" s="27"/>
      <c r="B579" s="27"/>
      <c r="C579" s="27"/>
      <c r="D579" s="27"/>
      <c r="E579" s="27"/>
      <c r="F579" s="27"/>
      <c r="G579" s="27"/>
      <c r="H579" s="27"/>
      <c r="I579" s="27"/>
      <c r="J579" s="27"/>
    </row>
    <row r="580" spans="1:10">
      <c r="A580" s="27"/>
      <c r="B580" s="27"/>
      <c r="C580" s="27"/>
      <c r="D580" s="27"/>
      <c r="E580" s="27"/>
      <c r="F580" s="27"/>
      <c r="G580" s="27"/>
      <c r="H580" s="27"/>
      <c r="I580" s="27"/>
      <c r="J580" s="27"/>
    </row>
    <row r="581" spans="1:10">
      <c r="A581" s="27"/>
      <c r="B581" s="27"/>
      <c r="C581" s="27"/>
      <c r="D581" s="27"/>
      <c r="E581" s="27"/>
      <c r="F581" s="27"/>
      <c r="G581" s="27"/>
      <c r="H581" s="27"/>
      <c r="I581" s="27"/>
      <c r="J581" s="27"/>
    </row>
    <row r="582" spans="1:10">
      <c r="A582" s="27"/>
      <c r="B582" s="27"/>
      <c r="C582" s="27"/>
      <c r="D582" s="27"/>
      <c r="E582" s="27"/>
      <c r="F582" s="27"/>
      <c r="G582" s="27"/>
      <c r="H582" s="27"/>
      <c r="I582" s="27"/>
      <c r="J582" s="27"/>
    </row>
    <row r="583" spans="1:10">
      <c r="A583" s="27"/>
      <c r="B583" s="27"/>
      <c r="C583" s="27"/>
      <c r="D583" s="27"/>
      <c r="E583" s="27"/>
      <c r="F583" s="27"/>
      <c r="G583" s="27"/>
      <c r="H583" s="27"/>
      <c r="I583" s="27"/>
      <c r="J583" s="27"/>
    </row>
    <row r="584" spans="1:10">
      <c r="A584" s="27"/>
      <c r="B584" s="27"/>
      <c r="C584" s="27"/>
      <c r="D584" s="27"/>
      <c r="E584" s="27"/>
      <c r="F584" s="27"/>
      <c r="G584" s="27"/>
      <c r="H584" s="27"/>
      <c r="I584" s="27"/>
      <c r="J584" s="27"/>
    </row>
    <row r="585" spans="1:10">
      <c r="A585" s="27"/>
      <c r="B585" s="27"/>
      <c r="C585" s="27"/>
      <c r="D585" s="27"/>
      <c r="E585" s="27"/>
      <c r="F585" s="27"/>
      <c r="G585" s="27"/>
      <c r="H585" s="27"/>
      <c r="I585" s="27"/>
      <c r="J585" s="27"/>
    </row>
    <row r="586" spans="1:10">
      <c r="A586" s="27"/>
      <c r="B586" s="27"/>
      <c r="C586" s="27"/>
      <c r="D586" s="27"/>
      <c r="E586" s="27"/>
      <c r="F586" s="27"/>
      <c r="G586" s="27"/>
      <c r="H586" s="27"/>
      <c r="I586" s="27"/>
      <c r="J586" s="27"/>
    </row>
    <row r="587" spans="1:10">
      <c r="A587" s="27"/>
      <c r="B587" s="27"/>
      <c r="C587" s="27"/>
      <c r="D587" s="27"/>
      <c r="E587" s="27"/>
      <c r="F587" s="27"/>
      <c r="G587" s="27"/>
      <c r="H587" s="27"/>
      <c r="I587" s="27"/>
      <c r="J587" s="27"/>
    </row>
    <row r="588" spans="1:10">
      <c r="A588" s="27"/>
      <c r="B588" s="27"/>
      <c r="C588" s="27"/>
      <c r="D588" s="27"/>
      <c r="E588" s="27"/>
      <c r="F588" s="27"/>
      <c r="G588" s="27"/>
      <c r="H588" s="27"/>
      <c r="I588" s="27"/>
      <c r="J588" s="27"/>
    </row>
    <row r="589" spans="1:10">
      <c r="A589" s="27"/>
      <c r="B589" s="27"/>
      <c r="C589" s="27"/>
      <c r="D589" s="27"/>
      <c r="E589" s="27"/>
      <c r="F589" s="27"/>
      <c r="G589" s="27"/>
      <c r="H589" s="27"/>
      <c r="I589" s="27"/>
      <c r="J589" s="27"/>
    </row>
    <row r="590" spans="1:10">
      <c r="A590" s="27"/>
      <c r="B590" s="27"/>
      <c r="C590" s="27"/>
      <c r="D590" s="27"/>
      <c r="E590" s="27"/>
      <c r="F590" s="27"/>
      <c r="G590" s="27"/>
      <c r="H590" s="27"/>
      <c r="I590" s="27"/>
      <c r="J590" s="27"/>
    </row>
    <row r="591" spans="1:10">
      <c r="A591" s="27"/>
      <c r="B591" s="27"/>
      <c r="C591" s="27"/>
      <c r="D591" s="27"/>
      <c r="E591" s="27"/>
      <c r="F591" s="27"/>
      <c r="G591" s="27"/>
      <c r="H591" s="27"/>
      <c r="I591" s="27"/>
      <c r="J591" s="27"/>
    </row>
    <row r="592" spans="1:10">
      <c r="A592" s="27"/>
      <c r="B592" s="27"/>
      <c r="C592" s="27"/>
      <c r="D592" s="27"/>
      <c r="E592" s="27"/>
      <c r="F592" s="27"/>
      <c r="G592" s="27"/>
      <c r="H592" s="27"/>
      <c r="I592" s="27"/>
      <c r="J592" s="27"/>
    </row>
    <row r="593" spans="1:10">
      <c r="A593" s="27"/>
      <c r="B593" s="27"/>
      <c r="C593" s="27"/>
      <c r="D593" s="27"/>
      <c r="E593" s="27"/>
      <c r="F593" s="27"/>
      <c r="G593" s="27"/>
      <c r="H593" s="27"/>
      <c r="I593" s="27"/>
      <c r="J593" s="27"/>
    </row>
    <row r="594" spans="1:10">
      <c r="A594" s="27"/>
      <c r="B594" s="27"/>
      <c r="C594" s="27"/>
      <c r="D594" s="27"/>
      <c r="E594" s="27"/>
      <c r="F594" s="27"/>
      <c r="G594" s="27"/>
      <c r="H594" s="27"/>
      <c r="I594" s="27"/>
      <c r="J594" s="27"/>
    </row>
    <row r="595" spans="1:10">
      <c r="A595" s="27"/>
      <c r="B595" s="27"/>
      <c r="C595" s="27"/>
      <c r="D595" s="27"/>
      <c r="E595" s="27"/>
      <c r="F595" s="27"/>
      <c r="G595" s="27"/>
      <c r="H595" s="27"/>
      <c r="I595" s="27"/>
      <c r="J595" s="27"/>
    </row>
    <row r="596" spans="1:10">
      <c r="A596" s="27"/>
      <c r="B596" s="27"/>
      <c r="C596" s="27"/>
      <c r="D596" s="27"/>
      <c r="E596" s="27"/>
      <c r="F596" s="27"/>
      <c r="G596" s="27"/>
      <c r="H596" s="27"/>
      <c r="I596" s="27"/>
      <c r="J596" s="27"/>
    </row>
    <row r="597" spans="1:10">
      <c r="A597" s="27"/>
      <c r="B597" s="27"/>
      <c r="C597" s="27"/>
      <c r="D597" s="27"/>
      <c r="E597" s="27"/>
      <c r="F597" s="27"/>
      <c r="G597" s="27"/>
      <c r="H597" s="27"/>
      <c r="I597" s="27"/>
      <c r="J597" s="27"/>
    </row>
    <row r="598" spans="1:10">
      <c r="A598" s="27"/>
      <c r="B598" s="27"/>
      <c r="C598" s="27"/>
      <c r="D598" s="27"/>
      <c r="E598" s="27"/>
      <c r="F598" s="27"/>
      <c r="G598" s="27"/>
      <c r="H598" s="27"/>
      <c r="I598" s="27"/>
      <c r="J598" s="27"/>
    </row>
    <row r="599" spans="1:10">
      <c r="A599" s="27"/>
      <c r="B599" s="27"/>
      <c r="C599" s="27"/>
      <c r="D599" s="27"/>
      <c r="E599" s="27"/>
      <c r="F599" s="27"/>
      <c r="G599" s="27"/>
      <c r="H599" s="27"/>
      <c r="I599" s="27"/>
      <c r="J599" s="27"/>
    </row>
    <row r="600" spans="1:10">
      <c r="A600" s="27"/>
      <c r="B600" s="27"/>
      <c r="C600" s="27"/>
      <c r="D600" s="27"/>
      <c r="E600" s="27"/>
      <c r="F600" s="27"/>
      <c r="G600" s="27"/>
      <c r="H600" s="27"/>
      <c r="I600" s="27"/>
      <c r="J600" s="27"/>
    </row>
    <row r="601" spans="1:10">
      <c r="A601" s="27"/>
      <c r="B601" s="27"/>
      <c r="C601" s="27"/>
      <c r="D601" s="27"/>
      <c r="E601" s="27"/>
      <c r="F601" s="27"/>
      <c r="G601" s="27"/>
      <c r="H601" s="27"/>
      <c r="I601" s="27"/>
      <c r="J601" s="27"/>
    </row>
    <row r="602" spans="1:10">
      <c r="A602" s="27"/>
      <c r="B602" s="27"/>
      <c r="C602" s="27"/>
      <c r="D602" s="27"/>
      <c r="E602" s="27"/>
      <c r="F602" s="27"/>
      <c r="G602" s="27"/>
      <c r="H602" s="27"/>
      <c r="I602" s="27"/>
      <c r="J602" s="27"/>
    </row>
    <row r="603" spans="1:10">
      <c r="A603" s="27"/>
      <c r="B603" s="27"/>
      <c r="C603" s="27"/>
      <c r="D603" s="27"/>
      <c r="E603" s="27"/>
      <c r="F603" s="27"/>
      <c r="G603" s="27"/>
      <c r="H603" s="27"/>
      <c r="I603" s="27"/>
      <c r="J603" s="27"/>
    </row>
    <row r="604" spans="1:10">
      <c r="A604" s="27"/>
      <c r="B604" s="27"/>
      <c r="C604" s="27"/>
      <c r="D604" s="27"/>
      <c r="E604" s="27"/>
      <c r="F604" s="27"/>
      <c r="G604" s="27"/>
      <c r="H604" s="27"/>
      <c r="I604" s="27"/>
      <c r="J604" s="27"/>
    </row>
    <row r="605" spans="1:10">
      <c r="A605" s="27"/>
      <c r="B605" s="27"/>
      <c r="C605" s="27"/>
      <c r="D605" s="27"/>
      <c r="E605" s="27"/>
      <c r="F605" s="27"/>
      <c r="G605" s="27"/>
      <c r="H605" s="27"/>
      <c r="I605" s="27"/>
      <c r="J605" s="27"/>
    </row>
    <row r="606" spans="1:10">
      <c r="A606" s="27"/>
      <c r="B606" s="27"/>
      <c r="C606" s="27"/>
      <c r="D606" s="27"/>
      <c r="E606" s="27"/>
      <c r="F606" s="27"/>
      <c r="G606" s="27"/>
      <c r="H606" s="27"/>
      <c r="I606" s="27"/>
      <c r="J606" s="27"/>
    </row>
    <row r="607" spans="1:10">
      <c r="A607" s="27"/>
      <c r="B607" s="27"/>
      <c r="C607" s="27"/>
      <c r="D607" s="27"/>
      <c r="E607" s="27"/>
      <c r="F607" s="27"/>
      <c r="G607" s="27"/>
      <c r="H607" s="27"/>
      <c r="I607" s="27"/>
      <c r="J607" s="27"/>
    </row>
    <row r="608" spans="1:10">
      <c r="A608" s="27"/>
      <c r="B608" s="27"/>
      <c r="C608" s="27"/>
      <c r="D608" s="27"/>
      <c r="E608" s="27"/>
      <c r="F608" s="27"/>
      <c r="G608" s="27"/>
      <c r="H608" s="27"/>
      <c r="I608" s="27"/>
      <c r="J608" s="27"/>
    </row>
    <row r="609" spans="1:10">
      <c r="A609" s="27"/>
      <c r="B609" s="27"/>
      <c r="C609" s="27"/>
      <c r="D609" s="27"/>
      <c r="E609" s="27"/>
      <c r="F609" s="27"/>
      <c r="G609" s="27"/>
      <c r="H609" s="27"/>
      <c r="I609" s="27"/>
      <c r="J609" s="27"/>
    </row>
    <row r="610" spans="1:10">
      <c r="A610" s="27"/>
      <c r="B610" s="27"/>
      <c r="C610" s="27"/>
      <c r="D610" s="27"/>
      <c r="E610" s="27"/>
      <c r="F610" s="27"/>
      <c r="G610" s="27"/>
      <c r="H610" s="27"/>
      <c r="I610" s="27"/>
      <c r="J610" s="27"/>
    </row>
    <row r="611" spans="1:10">
      <c r="A611" s="27"/>
      <c r="B611" s="27"/>
      <c r="C611" s="27"/>
      <c r="D611" s="27"/>
      <c r="E611" s="27"/>
      <c r="F611" s="27"/>
      <c r="G611" s="27"/>
      <c r="H611" s="27"/>
      <c r="I611" s="27"/>
      <c r="J611" s="27"/>
    </row>
    <row r="612" spans="1:10">
      <c r="A612" s="27"/>
      <c r="B612" s="27"/>
      <c r="C612" s="27"/>
      <c r="D612" s="27"/>
      <c r="E612" s="27"/>
      <c r="F612" s="27"/>
      <c r="G612" s="27"/>
      <c r="H612" s="27"/>
      <c r="I612" s="27"/>
      <c r="J612" s="27"/>
    </row>
    <row r="613" spans="1:10">
      <c r="A613" s="27"/>
      <c r="B613" s="27"/>
      <c r="C613" s="27"/>
      <c r="D613" s="27"/>
      <c r="E613" s="27"/>
      <c r="F613" s="27"/>
      <c r="G613" s="27"/>
      <c r="H613" s="27"/>
      <c r="I613" s="27"/>
      <c r="J613" s="27"/>
    </row>
    <row r="614" spans="1:10">
      <c r="A614" s="27"/>
      <c r="B614" s="27"/>
      <c r="C614" s="27"/>
      <c r="D614" s="27"/>
      <c r="E614" s="27"/>
      <c r="F614" s="27"/>
      <c r="G614" s="27"/>
      <c r="H614" s="27"/>
      <c r="I614" s="27"/>
      <c r="J614" s="27"/>
    </row>
    <row r="615" spans="1:10">
      <c r="A615" s="27"/>
      <c r="B615" s="27"/>
      <c r="C615" s="27"/>
      <c r="D615" s="27"/>
      <c r="E615" s="27"/>
      <c r="F615" s="27"/>
      <c r="G615" s="27"/>
      <c r="H615" s="27"/>
      <c r="I615" s="27"/>
      <c r="J615" s="27"/>
    </row>
    <row r="616" spans="1:10">
      <c r="A616" s="27"/>
      <c r="B616" s="27"/>
      <c r="C616" s="27"/>
      <c r="D616" s="27"/>
      <c r="E616" s="27"/>
      <c r="F616" s="27"/>
      <c r="G616" s="27"/>
      <c r="H616" s="27"/>
      <c r="I616" s="27"/>
      <c r="J616" s="27"/>
    </row>
    <row r="617" spans="1:10">
      <c r="A617" s="27"/>
      <c r="B617" s="27"/>
      <c r="C617" s="27"/>
      <c r="D617" s="27"/>
      <c r="E617" s="27"/>
      <c r="F617" s="27"/>
      <c r="G617" s="27"/>
      <c r="H617" s="27"/>
      <c r="I617" s="27"/>
      <c r="J617" s="27"/>
    </row>
    <row r="618" spans="1:10">
      <c r="A618" s="27"/>
      <c r="B618" s="27"/>
      <c r="C618" s="27"/>
      <c r="D618" s="27"/>
      <c r="E618" s="27"/>
      <c r="F618" s="27"/>
      <c r="G618" s="27"/>
      <c r="H618" s="27"/>
      <c r="I618" s="27"/>
      <c r="J618" s="27"/>
    </row>
    <row r="619" spans="1:10">
      <c r="A619" s="27"/>
      <c r="B619" s="27"/>
      <c r="C619" s="27"/>
      <c r="D619" s="27"/>
      <c r="E619" s="27"/>
      <c r="F619" s="27"/>
      <c r="G619" s="27"/>
      <c r="H619" s="27"/>
      <c r="I619" s="27"/>
      <c r="J619" s="27"/>
    </row>
    <row r="620" spans="1:10">
      <c r="A620" s="27"/>
      <c r="B620" s="27"/>
      <c r="C620" s="27"/>
      <c r="D620" s="27"/>
      <c r="E620" s="27"/>
      <c r="F620" s="27"/>
      <c r="G620" s="27"/>
      <c r="H620" s="27"/>
      <c r="I620" s="27"/>
      <c r="J620" s="27"/>
    </row>
    <row r="621" spans="1:10">
      <c r="A621" s="27"/>
      <c r="B621" s="27"/>
      <c r="C621" s="27"/>
      <c r="D621" s="27"/>
      <c r="E621" s="27"/>
      <c r="F621" s="27"/>
      <c r="G621" s="27"/>
      <c r="H621" s="27"/>
      <c r="I621" s="27"/>
      <c r="J621" s="27"/>
    </row>
    <row r="622" spans="1:10">
      <c r="A622" s="27"/>
      <c r="B622" s="27"/>
      <c r="C622" s="27"/>
      <c r="D622" s="27"/>
      <c r="E622" s="27"/>
      <c r="F622" s="27"/>
      <c r="G622" s="27"/>
      <c r="H622" s="27"/>
      <c r="I622" s="27"/>
      <c r="J622" s="27"/>
    </row>
    <row r="623" spans="1:10">
      <c r="A623" s="27"/>
      <c r="B623" s="27"/>
      <c r="C623" s="27"/>
      <c r="D623" s="27"/>
      <c r="E623" s="27"/>
      <c r="F623" s="27"/>
      <c r="G623" s="27"/>
      <c r="H623" s="27"/>
      <c r="I623" s="27"/>
      <c r="J623" s="27"/>
    </row>
    <row r="624" spans="1:10">
      <c r="A624" s="27"/>
      <c r="B624" s="27"/>
      <c r="C624" s="27"/>
      <c r="D624" s="27"/>
      <c r="E624" s="27"/>
      <c r="F624" s="27"/>
      <c r="G624" s="27"/>
      <c r="H624" s="27"/>
      <c r="I624" s="27"/>
      <c r="J624" s="27"/>
    </row>
    <row r="625" spans="1:10">
      <c r="A625" s="27"/>
      <c r="B625" s="27"/>
      <c r="C625" s="27"/>
      <c r="D625" s="27"/>
      <c r="E625" s="27"/>
      <c r="F625" s="27"/>
      <c r="G625" s="27"/>
      <c r="H625" s="27"/>
      <c r="I625" s="27"/>
      <c r="J625" s="27"/>
    </row>
    <row r="626" spans="1:10">
      <c r="A626" s="27"/>
      <c r="B626" s="27"/>
      <c r="C626" s="27"/>
      <c r="D626" s="27"/>
      <c r="E626" s="27"/>
      <c r="F626" s="27"/>
      <c r="G626" s="27"/>
      <c r="H626" s="27"/>
      <c r="I626" s="27"/>
      <c r="J626" s="27"/>
    </row>
    <row r="627" spans="1:10">
      <c r="A627" s="27"/>
      <c r="B627" s="27"/>
      <c r="C627" s="27"/>
      <c r="D627" s="27"/>
      <c r="E627" s="27"/>
      <c r="F627" s="27"/>
      <c r="G627" s="27"/>
      <c r="H627" s="27"/>
      <c r="I627" s="27"/>
      <c r="J627" s="27"/>
    </row>
    <row r="628" spans="1:10">
      <c r="A628" s="27"/>
      <c r="B628" s="27"/>
      <c r="C628" s="27"/>
      <c r="D628" s="27"/>
      <c r="E628" s="27"/>
      <c r="F628" s="27"/>
      <c r="G628" s="27"/>
      <c r="H628" s="27"/>
      <c r="I628" s="27"/>
      <c r="J628" s="27"/>
    </row>
    <row r="629" spans="1:10">
      <c r="A629" s="27"/>
      <c r="B629" s="27"/>
      <c r="C629" s="27"/>
      <c r="D629" s="27"/>
      <c r="E629" s="27"/>
      <c r="F629" s="27"/>
      <c r="G629" s="27"/>
      <c r="H629" s="27"/>
      <c r="I629" s="27"/>
      <c r="J629" s="27"/>
    </row>
    <row r="630" spans="1:10">
      <c r="A630" s="27"/>
      <c r="B630" s="27"/>
      <c r="C630" s="27"/>
      <c r="D630" s="27"/>
      <c r="E630" s="27"/>
      <c r="F630" s="27"/>
      <c r="G630" s="27"/>
      <c r="H630" s="27"/>
      <c r="I630" s="27"/>
      <c r="J630" s="27"/>
    </row>
    <row r="631" spans="1:10">
      <c r="A631" s="27"/>
      <c r="B631" s="27"/>
      <c r="C631" s="27"/>
      <c r="D631" s="27"/>
      <c r="E631" s="27"/>
      <c r="F631" s="27"/>
      <c r="G631" s="27"/>
      <c r="H631" s="27"/>
      <c r="I631" s="27"/>
      <c r="J631" s="27"/>
    </row>
    <row r="632" spans="1:10">
      <c r="A632" s="27"/>
      <c r="B632" s="27"/>
      <c r="C632" s="27"/>
      <c r="D632" s="27"/>
      <c r="E632" s="27"/>
      <c r="F632" s="27"/>
      <c r="G632" s="27"/>
      <c r="H632" s="27"/>
      <c r="I632" s="27"/>
      <c r="J632" s="27"/>
    </row>
    <row r="633" spans="1:10">
      <c r="A633" s="27"/>
      <c r="B633" s="27"/>
      <c r="C633" s="27"/>
      <c r="D633" s="27"/>
      <c r="E633" s="27"/>
      <c r="F633" s="27"/>
      <c r="G633" s="27"/>
      <c r="H633" s="27"/>
      <c r="I633" s="27"/>
      <c r="J633" s="27"/>
    </row>
    <row r="634" spans="1:10">
      <c r="A634" s="27"/>
      <c r="B634" s="27"/>
      <c r="C634" s="27"/>
      <c r="D634" s="27"/>
      <c r="E634" s="27"/>
      <c r="F634" s="27"/>
      <c r="G634" s="27"/>
      <c r="H634" s="27"/>
      <c r="I634" s="27"/>
      <c r="J634" s="27"/>
    </row>
    <row r="635" spans="1:10">
      <c r="A635" s="27"/>
      <c r="B635" s="27"/>
      <c r="C635" s="27"/>
      <c r="D635" s="27"/>
      <c r="E635" s="27"/>
      <c r="F635" s="27"/>
      <c r="G635" s="27"/>
      <c r="H635" s="27"/>
      <c r="I635" s="27"/>
      <c r="J635" s="27"/>
    </row>
    <row r="636" spans="1:10">
      <c r="A636" s="27"/>
      <c r="B636" s="27"/>
      <c r="C636" s="27"/>
      <c r="D636" s="27"/>
      <c r="E636" s="27"/>
      <c r="F636" s="27"/>
      <c r="G636" s="27"/>
      <c r="H636" s="27"/>
      <c r="I636" s="27"/>
      <c r="J636" s="27"/>
    </row>
    <row r="637" spans="1:10">
      <c r="A637" s="27"/>
      <c r="B637" s="27"/>
      <c r="C637" s="27"/>
      <c r="D637" s="27"/>
      <c r="E637" s="27"/>
      <c r="F637" s="27"/>
      <c r="G637" s="27"/>
      <c r="H637" s="27"/>
      <c r="I637" s="27"/>
      <c r="J637" s="27"/>
    </row>
    <row r="638" spans="1:10">
      <c r="A638" s="27"/>
      <c r="B638" s="27"/>
      <c r="C638" s="27"/>
      <c r="D638" s="27"/>
      <c r="E638" s="27"/>
      <c r="F638" s="27"/>
      <c r="G638" s="27"/>
      <c r="H638" s="27"/>
      <c r="I638" s="27"/>
      <c r="J638" s="27"/>
    </row>
    <row r="639" spans="1:10">
      <c r="A639" s="27"/>
      <c r="B639" s="27"/>
      <c r="C639" s="27"/>
      <c r="D639" s="27"/>
      <c r="E639" s="27"/>
      <c r="F639" s="27"/>
      <c r="G639" s="27"/>
      <c r="H639" s="27"/>
      <c r="I639" s="27"/>
      <c r="J639" s="27"/>
    </row>
    <row r="640" spans="1:10">
      <c r="A640" s="27"/>
      <c r="B640" s="27"/>
      <c r="C640" s="27"/>
      <c r="D640" s="27"/>
      <c r="E640" s="27"/>
      <c r="F640" s="27"/>
      <c r="G640" s="27"/>
      <c r="H640" s="27"/>
      <c r="I640" s="27"/>
      <c r="J640" s="27"/>
    </row>
    <row r="641" spans="1:10">
      <c r="A641" s="27"/>
      <c r="B641" s="27"/>
      <c r="C641" s="27"/>
      <c r="D641" s="27"/>
      <c r="E641" s="27"/>
      <c r="F641" s="27"/>
      <c r="G641" s="27"/>
      <c r="H641" s="27"/>
      <c r="I641" s="27"/>
      <c r="J641" s="27"/>
    </row>
    <row r="642" spans="1:10">
      <c r="A642" s="27"/>
      <c r="B642" s="27"/>
      <c r="C642" s="27"/>
      <c r="D642" s="27"/>
      <c r="E642" s="27"/>
      <c r="F642" s="27"/>
      <c r="G642" s="27"/>
      <c r="H642" s="27"/>
      <c r="I642" s="27"/>
      <c r="J642" s="27"/>
    </row>
    <row r="643" spans="1:10">
      <c r="A643" s="27"/>
      <c r="B643" s="27"/>
      <c r="C643" s="27"/>
      <c r="D643" s="27"/>
      <c r="E643" s="27"/>
      <c r="F643" s="27"/>
      <c r="G643" s="27"/>
      <c r="H643" s="27"/>
      <c r="I643" s="27"/>
      <c r="J643" s="27"/>
    </row>
    <row r="644" spans="1:10">
      <c r="A644" s="27"/>
      <c r="B644" s="27"/>
      <c r="C644" s="27"/>
      <c r="D644" s="27"/>
      <c r="E644" s="27"/>
      <c r="F644" s="27"/>
      <c r="G644" s="27"/>
      <c r="H644" s="27"/>
      <c r="I644" s="27"/>
      <c r="J644" s="27"/>
    </row>
    <row r="645" spans="1:10">
      <c r="A645" s="27"/>
      <c r="B645" s="27"/>
      <c r="C645" s="27"/>
      <c r="D645" s="27"/>
      <c r="E645" s="27"/>
      <c r="F645" s="27"/>
      <c r="G645" s="27"/>
      <c r="H645" s="27"/>
      <c r="I645" s="27"/>
      <c r="J645" s="27"/>
    </row>
    <row r="646" spans="1:10">
      <c r="A646" s="27"/>
      <c r="B646" s="27"/>
      <c r="C646" s="27"/>
      <c r="D646" s="27"/>
      <c r="E646" s="27"/>
      <c r="F646" s="27"/>
      <c r="G646" s="27"/>
      <c r="H646" s="27"/>
      <c r="I646" s="27"/>
      <c r="J646" s="27"/>
    </row>
    <row r="647" spans="1:10">
      <c r="A647" s="27"/>
      <c r="B647" s="27"/>
      <c r="C647" s="27"/>
      <c r="D647" s="27"/>
      <c r="E647" s="27"/>
      <c r="F647" s="27"/>
      <c r="G647" s="27"/>
      <c r="H647" s="27"/>
      <c r="I647" s="27"/>
      <c r="J647" s="27"/>
    </row>
    <row r="648" spans="1:10">
      <c r="A648" s="27"/>
      <c r="B648" s="27"/>
      <c r="C648" s="27"/>
      <c r="D648" s="27"/>
      <c r="E648" s="27"/>
      <c r="F648" s="27"/>
      <c r="G648" s="27"/>
      <c r="H648" s="27"/>
      <c r="I648" s="27"/>
      <c r="J648" s="27"/>
    </row>
    <row r="649" spans="1:10">
      <c r="A649" s="27"/>
      <c r="B649" s="27"/>
      <c r="C649" s="27"/>
      <c r="D649" s="27"/>
      <c r="E649" s="27"/>
      <c r="F649" s="27"/>
      <c r="G649" s="27"/>
      <c r="H649" s="27"/>
      <c r="I649" s="27"/>
      <c r="J649" s="27"/>
    </row>
    <row r="650" spans="1:10">
      <c r="A650" s="27"/>
      <c r="B650" s="27"/>
      <c r="C650" s="27"/>
      <c r="D650" s="27"/>
      <c r="E650" s="27"/>
      <c r="F650" s="27"/>
      <c r="G650" s="27"/>
      <c r="H650" s="27"/>
      <c r="I650" s="27"/>
      <c r="J650" s="27"/>
    </row>
    <row r="651" spans="1:10">
      <c r="A651" s="27"/>
      <c r="B651" s="27"/>
      <c r="C651" s="27"/>
      <c r="D651" s="27"/>
      <c r="E651" s="27"/>
      <c r="F651" s="27"/>
      <c r="G651" s="27"/>
      <c r="H651" s="27"/>
      <c r="I651" s="27"/>
      <c r="J651" s="27"/>
    </row>
    <row r="652" spans="1:10">
      <c r="A652" s="27"/>
      <c r="B652" s="27"/>
      <c r="C652" s="27"/>
      <c r="D652" s="27"/>
      <c r="E652" s="27"/>
      <c r="F652" s="27"/>
      <c r="G652" s="27"/>
      <c r="H652" s="27"/>
      <c r="I652" s="27"/>
      <c r="J652" s="27"/>
    </row>
    <row r="653" spans="1:10">
      <c r="A653" s="27"/>
      <c r="B653" s="27"/>
      <c r="C653" s="27"/>
      <c r="D653" s="27"/>
      <c r="E653" s="27"/>
      <c r="F653" s="27"/>
      <c r="G653" s="27"/>
      <c r="H653" s="27"/>
      <c r="I653" s="27"/>
      <c r="J653" s="27"/>
    </row>
    <row r="654" spans="1:10">
      <c r="A654" s="27"/>
      <c r="B654" s="27"/>
      <c r="C654" s="27"/>
      <c r="D654" s="27"/>
      <c r="E654" s="27"/>
      <c r="F654" s="27"/>
      <c r="G654" s="27"/>
      <c r="H654" s="27"/>
      <c r="I654" s="27"/>
      <c r="J654" s="27"/>
    </row>
    <row r="655" spans="1:10">
      <c r="A655" s="27"/>
      <c r="B655" s="27"/>
      <c r="C655" s="27"/>
      <c r="D655" s="27"/>
      <c r="E655" s="27"/>
      <c r="F655" s="27"/>
      <c r="G655" s="27"/>
      <c r="H655" s="27"/>
      <c r="I655" s="27"/>
      <c r="J655" s="27"/>
    </row>
    <row r="656" spans="1:10">
      <c r="A656" s="27"/>
      <c r="B656" s="27"/>
      <c r="C656" s="27"/>
      <c r="D656" s="27"/>
      <c r="E656" s="27"/>
      <c r="F656" s="27"/>
      <c r="G656" s="27"/>
      <c r="H656" s="27"/>
      <c r="I656" s="27"/>
      <c r="J656" s="27"/>
    </row>
    <row r="657" spans="1:10">
      <c r="A657" s="27"/>
      <c r="B657" s="27"/>
      <c r="C657" s="27"/>
      <c r="D657" s="27"/>
      <c r="E657" s="27"/>
      <c r="F657" s="27"/>
      <c r="G657" s="27"/>
      <c r="H657" s="27"/>
      <c r="I657" s="27"/>
      <c r="J657" s="27"/>
    </row>
    <row r="658" spans="1:10">
      <c r="A658" s="27"/>
      <c r="B658" s="27"/>
      <c r="C658" s="27"/>
      <c r="D658" s="27"/>
      <c r="E658" s="27"/>
      <c r="F658" s="27"/>
      <c r="G658" s="27"/>
      <c r="H658" s="27"/>
      <c r="I658" s="27"/>
      <c r="J658" s="27"/>
    </row>
  </sheetData>
  <sortState ref="D12:D273">
    <sortCondition ref="D12"/>
  </sortState>
  <mergeCells count="1">
    <mergeCell ref="A1:I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00"/>
  <sheetViews>
    <sheetView zoomScaleNormal="100" workbookViewId="0">
      <pane ySplit="6" topLeftCell="A132" activePane="bottomLeft" state="frozen"/>
      <selection activeCell="C1" sqref="C1"/>
      <selection pane="bottomLeft" activeCell="F142" sqref="F142:H143"/>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24" t="s">
        <v>849</v>
      </c>
      <c r="B1" s="1025"/>
      <c r="C1" s="1025"/>
      <c r="D1" s="1025"/>
      <c r="E1" s="1025"/>
      <c r="F1" s="1025"/>
      <c r="G1" s="1025"/>
      <c r="H1" s="1188"/>
      <c r="I1" s="253"/>
      <c r="J1" s="253"/>
      <c r="K1" s="411" t="s">
        <v>761</v>
      </c>
      <c r="L1" s="252">
        <f>SUM(G7:G200)</f>
        <v>653.10999999999967</v>
      </c>
      <c r="M1" s="253" t="s">
        <v>87</v>
      </c>
    </row>
    <row r="2" spans="1:26" ht="18">
      <c r="A2" s="1027"/>
      <c r="B2" s="1028"/>
      <c r="C2" s="1028"/>
      <c r="D2" s="1028"/>
      <c r="E2" s="1028"/>
      <c r="F2" s="1028"/>
      <c r="G2" s="1028"/>
      <c r="H2" s="1189"/>
      <c r="J2" s="253"/>
      <c r="K2" s="412" t="s">
        <v>654</v>
      </c>
      <c r="L2" s="252">
        <f>SUM(H7:H200)</f>
        <v>154.91006818181819</v>
      </c>
      <c r="M2" s="253" t="s">
        <v>607</v>
      </c>
    </row>
    <row r="3" spans="1:26" ht="16.5" thickBot="1">
      <c r="A3" s="1030"/>
      <c r="B3" s="1031"/>
      <c r="C3" s="1031"/>
      <c r="D3" s="1031"/>
      <c r="E3" s="1031"/>
      <c r="F3" s="1031"/>
      <c r="G3" s="1031"/>
      <c r="H3" s="1190"/>
      <c r="I3" s="16"/>
      <c r="L3" s="7"/>
      <c r="M3" s="7"/>
      <c r="N3" s="7"/>
      <c r="O3" s="7"/>
      <c r="P3" s="7"/>
      <c r="Q3" s="7"/>
      <c r="R3" s="7"/>
      <c r="S3" s="7"/>
      <c r="T3" s="7"/>
      <c r="U3" s="7"/>
      <c r="V3" s="7"/>
      <c r="W3" s="7"/>
      <c r="X3" s="7"/>
      <c r="Y3" s="7"/>
      <c r="Z3" s="7"/>
    </row>
    <row r="4" spans="1:26" ht="15.75" customHeight="1">
      <c r="A4" s="43"/>
      <c r="B4" s="45"/>
      <c r="C4" s="44" t="s">
        <v>204</v>
      </c>
      <c r="D4" s="45"/>
      <c r="E4" s="46"/>
      <c r="F4" s="44"/>
      <c r="G4" s="45"/>
      <c r="H4" s="206"/>
      <c r="I4" s="4" t="s">
        <v>604</v>
      </c>
      <c r="J4" s="4" t="s">
        <v>604</v>
      </c>
      <c r="K4" s="4" t="s">
        <v>604</v>
      </c>
      <c r="L4" s="81"/>
      <c r="O4" s="80"/>
      <c r="U4" s="80"/>
      <c r="Y4" s="80"/>
    </row>
    <row r="5" spans="1:26" ht="15.75">
      <c r="A5" s="47" t="s">
        <v>180</v>
      </c>
      <c r="B5" s="48"/>
      <c r="C5" s="48" t="s">
        <v>137</v>
      </c>
      <c r="D5" s="48"/>
      <c r="E5" s="48"/>
      <c r="F5" s="48" t="s">
        <v>183</v>
      </c>
      <c r="G5" s="48" t="s">
        <v>184</v>
      </c>
      <c r="H5" s="207" t="s">
        <v>540</v>
      </c>
      <c r="I5" s="4" t="s">
        <v>605</v>
      </c>
      <c r="J5" s="4" t="s">
        <v>605</v>
      </c>
      <c r="K5" s="4" t="s">
        <v>605</v>
      </c>
      <c r="L5" s="81"/>
      <c r="M5" s="250"/>
      <c r="O5" s="80"/>
      <c r="Q5" s="250"/>
      <c r="U5" s="80"/>
      <c r="Y5" s="80"/>
    </row>
    <row r="6" spans="1:26" ht="16.5" thickBot="1">
      <c r="A6" s="49" t="s">
        <v>181</v>
      </c>
      <c r="B6" s="50" t="s">
        <v>136</v>
      </c>
      <c r="C6" s="51" t="s">
        <v>138</v>
      </c>
      <c r="D6" s="50" t="s">
        <v>139</v>
      </c>
      <c r="E6" s="50" t="s">
        <v>140</v>
      </c>
      <c r="F6" s="51" t="s">
        <v>141</v>
      </c>
      <c r="G6" s="51" t="s">
        <v>142</v>
      </c>
      <c r="H6" s="208" t="s">
        <v>587</v>
      </c>
      <c r="I6" s="4" t="s">
        <v>602</v>
      </c>
      <c r="J6" s="249" t="s">
        <v>603</v>
      </c>
      <c r="K6" s="249" t="s">
        <v>651</v>
      </c>
      <c r="L6" s="81"/>
      <c r="O6" s="80"/>
      <c r="P6" s="1"/>
      <c r="Q6" s="32"/>
      <c r="R6" s="1"/>
      <c r="X6" s="1"/>
      <c r="Y6" s="32"/>
      <c r="Z6" s="1"/>
    </row>
    <row r="7" spans="1:26" ht="15.75" thickTop="1">
      <c r="A7" s="469">
        <v>1</v>
      </c>
      <c r="B7" s="615">
        <v>18387</v>
      </c>
      <c r="C7" s="607">
        <v>0.85416666666666663</v>
      </c>
      <c r="D7" s="470" t="s">
        <v>105</v>
      </c>
      <c r="E7" s="608" t="s">
        <v>124</v>
      </c>
      <c r="F7" s="609">
        <v>50</v>
      </c>
      <c r="G7" s="609">
        <v>1.9</v>
      </c>
      <c r="H7" s="614">
        <f>+(F7/1760)*G7</f>
        <v>5.3977272727272721E-2</v>
      </c>
      <c r="I7" s="1">
        <f>LN(F7)</f>
        <v>3.912023005428146</v>
      </c>
      <c r="J7" s="1">
        <f>LN(G7)</f>
        <v>0.64185388617239469</v>
      </c>
      <c r="K7" s="1">
        <f>LN(H7)</f>
        <v>-2.9191921964316569</v>
      </c>
    </row>
    <row r="8" spans="1:26">
      <c r="A8" s="483">
        <f>+A7+1</f>
        <v>2</v>
      </c>
      <c r="B8" s="485">
        <v>18762</v>
      </c>
      <c r="C8" s="473">
        <v>0.75</v>
      </c>
      <c r="D8" s="484" t="s">
        <v>100</v>
      </c>
      <c r="E8" s="472" t="s">
        <v>124</v>
      </c>
      <c r="F8" s="486">
        <v>10</v>
      </c>
      <c r="G8" s="486">
        <v>0.1</v>
      </c>
      <c r="H8" s="614">
        <f>+(F8/1760)*G8</f>
        <v>5.6818181818181826E-4</v>
      </c>
      <c r="I8" s="1">
        <f t="shared" ref="I8:J71" si="0">LN(F8)</f>
        <v>2.3025850929940459</v>
      </c>
      <c r="J8" s="1">
        <f t="shared" si="0"/>
        <v>-2.3025850929940455</v>
      </c>
      <c r="K8" s="1">
        <f t="shared" ref="K8:K71" si="1">LN(H8)</f>
        <v>-7.4730690880321973</v>
      </c>
    </row>
    <row r="9" spans="1:26">
      <c r="A9" s="483">
        <f t="shared" ref="A9:A72" si="2">+A8+1</f>
        <v>3</v>
      </c>
      <c r="B9" s="485">
        <v>18762</v>
      </c>
      <c r="C9" s="473">
        <v>0.75</v>
      </c>
      <c r="D9" s="484" t="s">
        <v>100</v>
      </c>
      <c r="E9" s="472" t="s">
        <v>124</v>
      </c>
      <c r="F9" s="486">
        <v>10</v>
      </c>
      <c r="G9" s="486">
        <v>0.1</v>
      </c>
      <c r="H9" s="614">
        <f t="shared" ref="H9:H72" si="3">+(F9/1760)*G9</f>
        <v>5.6818181818181826E-4</v>
      </c>
      <c r="I9" s="1">
        <f t="shared" si="0"/>
        <v>2.3025850929940459</v>
      </c>
      <c r="J9" s="1">
        <f t="shared" si="0"/>
        <v>-2.3025850929940455</v>
      </c>
      <c r="K9" s="1">
        <f t="shared" si="1"/>
        <v>-7.4730690880321973</v>
      </c>
    </row>
    <row r="10" spans="1:26">
      <c r="A10" s="483">
        <f t="shared" si="2"/>
        <v>4</v>
      </c>
      <c r="B10" s="485">
        <v>18784</v>
      </c>
      <c r="C10" s="473">
        <v>0.75</v>
      </c>
      <c r="D10" s="484" t="s">
        <v>100</v>
      </c>
      <c r="E10" s="472" t="s">
        <v>124</v>
      </c>
      <c r="F10" s="486">
        <v>10</v>
      </c>
      <c r="G10" s="486">
        <v>0.1</v>
      </c>
      <c r="H10" s="614">
        <f t="shared" si="3"/>
        <v>5.6818181818181826E-4</v>
      </c>
      <c r="I10" s="1">
        <f t="shared" si="0"/>
        <v>2.3025850929940459</v>
      </c>
      <c r="J10" s="1">
        <f t="shared" si="0"/>
        <v>-2.3025850929940455</v>
      </c>
      <c r="K10" s="1">
        <f t="shared" si="1"/>
        <v>-7.4730690880321973</v>
      </c>
    </row>
    <row r="11" spans="1:26">
      <c r="A11" s="483">
        <f t="shared" si="2"/>
        <v>5</v>
      </c>
      <c r="B11" s="485">
        <v>20256</v>
      </c>
      <c r="C11" s="473">
        <v>0.77083333333333337</v>
      </c>
      <c r="D11" s="484" t="s">
        <v>120</v>
      </c>
      <c r="E11" s="472" t="s">
        <v>124</v>
      </c>
      <c r="F11" s="486">
        <v>20</v>
      </c>
      <c r="G11" s="486">
        <v>1</v>
      </c>
      <c r="H11" s="614">
        <f t="shared" si="3"/>
        <v>1.1363636363636364E-2</v>
      </c>
      <c r="I11" s="1">
        <f t="shared" si="0"/>
        <v>2.9957322735539909</v>
      </c>
      <c r="J11" s="1">
        <f t="shared" si="0"/>
        <v>0</v>
      </c>
      <c r="K11" s="1">
        <f t="shared" si="1"/>
        <v>-4.4773368144782069</v>
      </c>
    </row>
    <row r="12" spans="1:26">
      <c r="A12" s="483">
        <f t="shared" si="2"/>
        <v>6</v>
      </c>
      <c r="B12" s="485">
        <v>20912</v>
      </c>
      <c r="C12" s="473">
        <v>0.75347222222222221</v>
      </c>
      <c r="D12" s="484" t="s">
        <v>116</v>
      </c>
      <c r="E12" s="472" t="s">
        <v>124</v>
      </c>
      <c r="F12" s="486">
        <v>33</v>
      </c>
      <c r="G12" s="486">
        <v>0.3</v>
      </c>
      <c r="H12" s="614">
        <f t="shared" si="3"/>
        <v>5.6249999999999998E-3</v>
      </c>
      <c r="I12" s="1">
        <f t="shared" si="0"/>
        <v>3.4965075614664802</v>
      </c>
      <c r="J12" s="1">
        <f t="shared" si="0"/>
        <v>-1.2039728043259361</v>
      </c>
      <c r="K12" s="1">
        <f t="shared" si="1"/>
        <v>-5.1805343308916534</v>
      </c>
    </row>
    <row r="13" spans="1:26">
      <c r="A13" s="483">
        <f t="shared" si="2"/>
        <v>7</v>
      </c>
      <c r="B13" s="485">
        <v>20956</v>
      </c>
      <c r="C13" s="473">
        <v>0.70833333333333337</v>
      </c>
      <c r="D13" s="484" t="s">
        <v>110</v>
      </c>
      <c r="E13" s="472" t="s">
        <v>124</v>
      </c>
      <c r="F13" s="486">
        <v>10</v>
      </c>
      <c r="G13" s="486">
        <v>0.1</v>
      </c>
      <c r="H13" s="614">
        <f t="shared" si="3"/>
        <v>5.6818181818181826E-4</v>
      </c>
      <c r="I13" s="1">
        <f t="shared" si="0"/>
        <v>2.3025850929940459</v>
      </c>
      <c r="J13" s="1">
        <f t="shared" si="0"/>
        <v>-2.3025850929940455</v>
      </c>
      <c r="K13" s="1">
        <f t="shared" si="1"/>
        <v>-7.4730690880321973</v>
      </c>
    </row>
    <row r="14" spans="1:26">
      <c r="A14" s="483">
        <f t="shared" si="2"/>
        <v>8</v>
      </c>
      <c r="B14" s="485">
        <v>20981</v>
      </c>
      <c r="C14" s="473">
        <v>0.73958333333333337</v>
      </c>
      <c r="D14" s="484" t="s">
        <v>105</v>
      </c>
      <c r="E14" s="472" t="s">
        <v>124</v>
      </c>
      <c r="F14" s="486">
        <v>10</v>
      </c>
      <c r="G14" s="486">
        <v>0.1</v>
      </c>
      <c r="H14" s="614">
        <f t="shared" si="3"/>
        <v>5.6818181818181826E-4</v>
      </c>
      <c r="I14" s="1">
        <f t="shared" si="0"/>
        <v>2.3025850929940459</v>
      </c>
      <c r="J14" s="1">
        <f t="shared" si="0"/>
        <v>-2.3025850929940455</v>
      </c>
      <c r="K14" s="1">
        <f t="shared" si="1"/>
        <v>-7.4730690880321973</v>
      </c>
    </row>
    <row r="15" spans="1:26">
      <c r="A15" s="483">
        <f t="shared" si="2"/>
        <v>9</v>
      </c>
      <c r="B15" s="485">
        <v>22075</v>
      </c>
      <c r="C15" s="473">
        <v>0.68402777777777779</v>
      </c>
      <c r="D15" s="484" t="s">
        <v>120</v>
      </c>
      <c r="E15" s="472" t="s">
        <v>124</v>
      </c>
      <c r="F15" s="486">
        <v>10</v>
      </c>
      <c r="G15" s="486">
        <v>0.1</v>
      </c>
      <c r="H15" s="614">
        <f t="shared" si="3"/>
        <v>5.6818181818181826E-4</v>
      </c>
      <c r="I15" s="1">
        <f t="shared" si="0"/>
        <v>2.3025850929940459</v>
      </c>
      <c r="J15" s="1">
        <f t="shared" si="0"/>
        <v>-2.3025850929940455</v>
      </c>
      <c r="K15" s="1">
        <f t="shared" si="1"/>
        <v>-7.4730690880321973</v>
      </c>
    </row>
    <row r="16" spans="1:26">
      <c r="A16" s="483">
        <f t="shared" si="2"/>
        <v>10</v>
      </c>
      <c r="B16" s="485">
        <v>22417</v>
      </c>
      <c r="C16" s="473">
        <v>0.69791666666666663</v>
      </c>
      <c r="D16" s="484" t="s">
        <v>114</v>
      </c>
      <c r="E16" s="472" t="s">
        <v>124</v>
      </c>
      <c r="F16" s="486">
        <v>33</v>
      </c>
      <c r="G16" s="486">
        <v>0.5</v>
      </c>
      <c r="H16" s="614">
        <f t="shared" si="3"/>
        <v>9.3749999999999997E-3</v>
      </c>
      <c r="I16" s="1">
        <f t="shared" si="0"/>
        <v>3.4965075614664802</v>
      </c>
      <c r="J16" s="1">
        <f t="shared" si="0"/>
        <v>-0.69314718055994529</v>
      </c>
      <c r="K16" s="1">
        <f t="shared" si="1"/>
        <v>-4.6697087071256629</v>
      </c>
    </row>
    <row r="17" spans="1:11">
      <c r="A17" s="483">
        <f t="shared" si="2"/>
        <v>11</v>
      </c>
      <c r="B17" s="485">
        <v>22434</v>
      </c>
      <c r="C17" s="473">
        <v>0.60416666666666663</v>
      </c>
      <c r="D17" s="484" t="s">
        <v>115</v>
      </c>
      <c r="E17" s="472" t="s">
        <v>124</v>
      </c>
      <c r="F17" s="486">
        <v>23</v>
      </c>
      <c r="G17" s="486">
        <v>0.5</v>
      </c>
      <c r="H17" s="614">
        <f t="shared" si="3"/>
        <v>6.5340909090909087E-3</v>
      </c>
      <c r="I17" s="1">
        <f t="shared" si="0"/>
        <v>3.1354942159291497</v>
      </c>
      <c r="J17" s="1">
        <f t="shared" si="0"/>
        <v>-0.69314718055994529</v>
      </c>
      <c r="K17" s="1">
        <f t="shared" si="1"/>
        <v>-5.030722052662993</v>
      </c>
    </row>
    <row r="18" spans="1:11">
      <c r="A18" s="483">
        <f t="shared" si="2"/>
        <v>12</v>
      </c>
      <c r="B18" s="485">
        <v>22435</v>
      </c>
      <c r="C18" s="473">
        <v>0.73958333333333337</v>
      </c>
      <c r="D18" s="484" t="s">
        <v>100</v>
      </c>
      <c r="E18" s="472" t="s">
        <v>124</v>
      </c>
      <c r="F18" s="486">
        <v>10</v>
      </c>
      <c r="G18" s="486">
        <v>0.1</v>
      </c>
      <c r="H18" s="614">
        <f t="shared" si="3"/>
        <v>5.6818181818181826E-4</v>
      </c>
      <c r="I18" s="1">
        <f t="shared" si="0"/>
        <v>2.3025850929940459</v>
      </c>
      <c r="J18" s="1">
        <f t="shared" si="0"/>
        <v>-2.3025850929940455</v>
      </c>
      <c r="K18" s="1">
        <f t="shared" si="1"/>
        <v>-7.4730690880321973</v>
      </c>
    </row>
    <row r="19" spans="1:11">
      <c r="A19" s="483">
        <f t="shared" si="2"/>
        <v>13</v>
      </c>
      <c r="B19" s="485">
        <v>22435</v>
      </c>
      <c r="C19" s="473">
        <v>0.75</v>
      </c>
      <c r="D19" s="484" t="s">
        <v>101</v>
      </c>
      <c r="E19" s="472" t="s">
        <v>124</v>
      </c>
      <c r="F19" s="486">
        <v>33</v>
      </c>
      <c r="G19" s="486">
        <v>1.3</v>
      </c>
      <c r="H19" s="614">
        <f t="shared" si="3"/>
        <v>2.4375000000000001E-2</v>
      </c>
      <c r="I19" s="1">
        <f t="shared" si="0"/>
        <v>3.4965075614664802</v>
      </c>
      <c r="J19" s="1">
        <f t="shared" si="0"/>
        <v>0.26236426446749106</v>
      </c>
      <c r="K19" s="1">
        <f t="shared" si="1"/>
        <v>-3.7141972620982262</v>
      </c>
    </row>
    <row r="20" spans="1:11">
      <c r="A20" s="483">
        <f t="shared" si="2"/>
        <v>14</v>
      </c>
      <c r="B20" s="485">
        <v>22437</v>
      </c>
      <c r="C20" s="473">
        <v>0.71875</v>
      </c>
      <c r="D20" s="484" t="s">
        <v>99</v>
      </c>
      <c r="E20" s="472" t="s">
        <v>124</v>
      </c>
      <c r="F20" s="486">
        <v>150</v>
      </c>
      <c r="G20" s="486">
        <v>28.5</v>
      </c>
      <c r="H20" s="614">
        <f t="shared" si="3"/>
        <v>2.4289772727272725</v>
      </c>
      <c r="I20" s="1">
        <f t="shared" si="0"/>
        <v>5.0106352940962555</v>
      </c>
      <c r="J20" s="1">
        <f t="shared" si="0"/>
        <v>3.3499040872746049</v>
      </c>
      <c r="K20" s="1">
        <f t="shared" si="1"/>
        <v>0.88747029333866301</v>
      </c>
    </row>
    <row r="21" spans="1:11">
      <c r="A21" s="483">
        <f t="shared" si="2"/>
        <v>15</v>
      </c>
      <c r="B21" s="485">
        <v>22793</v>
      </c>
      <c r="C21" s="473">
        <v>0.6875</v>
      </c>
      <c r="D21" s="484" t="s">
        <v>106</v>
      </c>
      <c r="E21" s="472" t="s">
        <v>124</v>
      </c>
      <c r="F21" s="486">
        <v>10</v>
      </c>
      <c r="G21" s="486">
        <v>0.1</v>
      </c>
      <c r="H21" s="614">
        <f t="shared" si="3"/>
        <v>5.6818181818181826E-4</v>
      </c>
      <c r="I21" s="1">
        <f t="shared" si="0"/>
        <v>2.3025850929940459</v>
      </c>
      <c r="J21" s="1">
        <f t="shared" si="0"/>
        <v>-2.3025850929940455</v>
      </c>
      <c r="K21" s="1">
        <f t="shared" si="1"/>
        <v>-7.4730690880321973</v>
      </c>
    </row>
    <row r="22" spans="1:11">
      <c r="A22" s="483">
        <f t="shared" si="2"/>
        <v>16</v>
      </c>
      <c r="B22" s="485">
        <v>22793</v>
      </c>
      <c r="C22" s="473">
        <v>0.72916666666666663</v>
      </c>
      <c r="D22" s="484" t="s">
        <v>105</v>
      </c>
      <c r="E22" s="472" t="s">
        <v>124</v>
      </c>
      <c r="F22" s="486">
        <v>83</v>
      </c>
      <c r="G22" s="486">
        <v>1</v>
      </c>
      <c r="H22" s="614">
        <f t="shared" si="3"/>
        <v>4.7159090909090907E-2</v>
      </c>
      <c r="I22" s="1">
        <f t="shared" si="0"/>
        <v>4.4188406077965983</v>
      </c>
      <c r="J22" s="1">
        <f t="shared" si="0"/>
        <v>0</v>
      </c>
      <c r="K22" s="1">
        <f t="shared" si="1"/>
        <v>-3.0542284802355995</v>
      </c>
    </row>
    <row r="23" spans="1:11">
      <c r="A23" s="483">
        <f t="shared" si="2"/>
        <v>17</v>
      </c>
      <c r="B23" s="485">
        <v>22811</v>
      </c>
      <c r="C23" s="473">
        <v>0.625</v>
      </c>
      <c r="D23" s="484" t="s">
        <v>118</v>
      </c>
      <c r="E23" s="472" t="s">
        <v>124</v>
      </c>
      <c r="F23" s="486">
        <v>67</v>
      </c>
      <c r="G23" s="486">
        <v>1.4</v>
      </c>
      <c r="H23" s="614">
        <f t="shared" si="3"/>
        <v>5.3295454545454549E-2</v>
      </c>
      <c r="I23" s="1">
        <f t="shared" si="0"/>
        <v>4.2046926193909657</v>
      </c>
      <c r="J23" s="1">
        <f t="shared" si="0"/>
        <v>0.33647223662121289</v>
      </c>
      <c r="K23" s="1">
        <f t="shared" si="1"/>
        <v>-2.9319042320200186</v>
      </c>
    </row>
    <row r="24" spans="1:11">
      <c r="A24" s="483">
        <f t="shared" si="2"/>
        <v>18</v>
      </c>
      <c r="B24" s="485">
        <v>22821</v>
      </c>
      <c r="C24" s="473">
        <v>3.472222222222222E-3</v>
      </c>
      <c r="D24" s="484" t="s">
        <v>113</v>
      </c>
      <c r="E24" s="472" t="s">
        <v>124</v>
      </c>
      <c r="F24" s="486">
        <v>27</v>
      </c>
      <c r="G24" s="486">
        <v>1.5</v>
      </c>
      <c r="H24" s="614">
        <f t="shared" si="3"/>
        <v>2.3011363636363635E-2</v>
      </c>
      <c r="I24" s="1">
        <f t="shared" si="0"/>
        <v>3.2958368660043291</v>
      </c>
      <c r="J24" s="1">
        <f t="shared" si="0"/>
        <v>0.40546510810816438</v>
      </c>
      <c r="K24" s="1">
        <f t="shared" si="1"/>
        <v>-3.771767113919704</v>
      </c>
    </row>
    <row r="25" spans="1:11">
      <c r="A25" s="483">
        <f t="shared" si="2"/>
        <v>19</v>
      </c>
      <c r="B25" s="485">
        <v>23207</v>
      </c>
      <c r="C25" s="473">
        <v>0.84722222222222221</v>
      </c>
      <c r="D25" s="484" t="s">
        <v>101</v>
      </c>
      <c r="E25" s="472" t="s">
        <v>124</v>
      </c>
      <c r="F25" s="486">
        <v>10</v>
      </c>
      <c r="G25" s="486">
        <v>0.1</v>
      </c>
      <c r="H25" s="614">
        <f t="shared" si="3"/>
        <v>5.6818181818181826E-4</v>
      </c>
      <c r="I25" s="1">
        <f t="shared" si="0"/>
        <v>2.3025850929940459</v>
      </c>
      <c r="J25" s="1">
        <f t="shared" si="0"/>
        <v>-2.3025850929940455</v>
      </c>
      <c r="K25" s="1">
        <f t="shared" si="1"/>
        <v>-7.4730690880321973</v>
      </c>
    </row>
    <row r="26" spans="1:11">
      <c r="A26" s="483">
        <f t="shared" si="2"/>
        <v>20</v>
      </c>
      <c r="B26" s="485">
        <v>23608</v>
      </c>
      <c r="C26" s="473">
        <v>0.77083333333333337</v>
      </c>
      <c r="D26" s="484" t="s">
        <v>108</v>
      </c>
      <c r="E26" s="472" t="s">
        <v>124</v>
      </c>
      <c r="F26" s="486">
        <v>33</v>
      </c>
      <c r="G26" s="486">
        <v>0.5</v>
      </c>
      <c r="H26" s="614">
        <f t="shared" si="3"/>
        <v>9.3749999999999997E-3</v>
      </c>
      <c r="I26" s="1">
        <f t="shared" si="0"/>
        <v>3.4965075614664802</v>
      </c>
      <c r="J26" s="1">
        <f t="shared" si="0"/>
        <v>-0.69314718055994529</v>
      </c>
      <c r="K26" s="1">
        <f t="shared" si="1"/>
        <v>-4.6697087071256629</v>
      </c>
    </row>
    <row r="27" spans="1:11">
      <c r="A27" s="483">
        <f t="shared" si="2"/>
        <v>21</v>
      </c>
      <c r="B27" s="485">
        <v>23866</v>
      </c>
      <c r="C27" s="473">
        <v>0.77777777777777779</v>
      </c>
      <c r="D27" s="484" t="s">
        <v>113</v>
      </c>
      <c r="E27" s="472" t="s">
        <v>124</v>
      </c>
      <c r="F27" s="486">
        <v>20</v>
      </c>
      <c r="G27" s="486">
        <v>1</v>
      </c>
      <c r="H27" s="614">
        <f t="shared" si="3"/>
        <v>1.1363636363636364E-2</v>
      </c>
      <c r="I27" s="1">
        <f t="shared" si="0"/>
        <v>2.9957322735539909</v>
      </c>
      <c r="J27" s="1">
        <f t="shared" si="0"/>
        <v>0</v>
      </c>
      <c r="K27" s="1">
        <f t="shared" si="1"/>
        <v>-4.4773368144782069</v>
      </c>
    </row>
    <row r="28" spans="1:11">
      <c r="A28" s="483">
        <f t="shared" si="2"/>
        <v>22</v>
      </c>
      <c r="B28" s="485">
        <v>23866</v>
      </c>
      <c r="C28" s="473">
        <v>0.83611111111111114</v>
      </c>
      <c r="D28" s="484" t="s">
        <v>109</v>
      </c>
      <c r="E28" s="472" t="s">
        <v>124</v>
      </c>
      <c r="F28" s="486">
        <v>100</v>
      </c>
      <c r="G28" s="486">
        <v>0.5</v>
      </c>
      <c r="H28" s="614">
        <f t="shared" si="3"/>
        <v>2.8409090909090908E-2</v>
      </c>
      <c r="I28" s="1">
        <f t="shared" si="0"/>
        <v>4.6051701859880918</v>
      </c>
      <c r="J28" s="1">
        <f t="shared" si="0"/>
        <v>-0.69314718055994529</v>
      </c>
      <c r="K28" s="1">
        <f t="shared" si="1"/>
        <v>-3.5610460826040513</v>
      </c>
    </row>
    <row r="29" spans="1:11">
      <c r="A29" s="483">
        <f t="shared" si="2"/>
        <v>23</v>
      </c>
      <c r="B29" s="485">
        <v>23902</v>
      </c>
      <c r="C29" s="473">
        <v>0.83333333333333337</v>
      </c>
      <c r="D29" s="484" t="s">
        <v>108</v>
      </c>
      <c r="E29" s="472" t="s">
        <v>124</v>
      </c>
      <c r="F29" s="486">
        <v>17</v>
      </c>
      <c r="G29" s="486">
        <v>0.2</v>
      </c>
      <c r="H29" s="614">
        <f t="shared" si="3"/>
        <v>1.9318181818181819E-3</v>
      </c>
      <c r="I29" s="1">
        <f t="shared" si="0"/>
        <v>2.8332133440562162</v>
      </c>
      <c r="J29" s="1">
        <f t="shared" si="0"/>
        <v>-1.6094379124341003</v>
      </c>
      <c r="K29" s="1">
        <f t="shared" si="1"/>
        <v>-6.2492936564100816</v>
      </c>
    </row>
    <row r="30" spans="1:11">
      <c r="A30" s="483">
        <f t="shared" si="2"/>
        <v>24</v>
      </c>
      <c r="B30" s="485">
        <v>23907</v>
      </c>
      <c r="C30" s="473">
        <v>0.71875</v>
      </c>
      <c r="D30" s="484" t="s">
        <v>108</v>
      </c>
      <c r="E30" s="472" t="s">
        <v>124</v>
      </c>
      <c r="F30" s="486">
        <v>10</v>
      </c>
      <c r="G30" s="486">
        <v>0.1</v>
      </c>
      <c r="H30" s="614">
        <f t="shared" si="3"/>
        <v>5.6818181818181826E-4</v>
      </c>
      <c r="I30" s="1">
        <f t="shared" si="0"/>
        <v>2.3025850929940459</v>
      </c>
      <c r="J30" s="1">
        <f t="shared" si="0"/>
        <v>-2.3025850929940455</v>
      </c>
      <c r="K30" s="1">
        <f t="shared" si="1"/>
        <v>-7.4730690880321973</v>
      </c>
    </row>
    <row r="31" spans="1:11">
      <c r="A31" s="483">
        <f t="shared" si="2"/>
        <v>25</v>
      </c>
      <c r="B31" s="485">
        <v>24272</v>
      </c>
      <c r="C31" s="473">
        <v>0.90277777777777779</v>
      </c>
      <c r="D31" s="484" t="s">
        <v>115</v>
      </c>
      <c r="E31" s="472" t="s">
        <v>124</v>
      </c>
      <c r="F31" s="486">
        <v>27</v>
      </c>
      <c r="G31" s="486">
        <v>1</v>
      </c>
      <c r="H31" s="614">
        <f t="shared" si="3"/>
        <v>1.5340909090909091E-2</v>
      </c>
      <c r="I31" s="1">
        <f t="shared" si="0"/>
        <v>3.2958368660043291</v>
      </c>
      <c r="J31" s="1">
        <f t="shared" si="0"/>
        <v>0</v>
      </c>
      <c r="K31" s="1">
        <f t="shared" si="1"/>
        <v>-4.1772322220278681</v>
      </c>
    </row>
    <row r="32" spans="1:11">
      <c r="A32" s="483">
        <f t="shared" si="2"/>
        <v>26</v>
      </c>
      <c r="B32" s="485">
        <v>24597</v>
      </c>
      <c r="C32" s="473">
        <v>0.69097222222222221</v>
      </c>
      <c r="D32" s="484" t="s">
        <v>114</v>
      </c>
      <c r="E32" s="472" t="s">
        <v>124</v>
      </c>
      <c r="F32" s="486">
        <v>100</v>
      </c>
      <c r="G32" s="486">
        <v>16.2</v>
      </c>
      <c r="H32" s="614">
        <f t="shared" si="3"/>
        <v>0.92045454545454541</v>
      </c>
      <c r="I32" s="1">
        <f t="shared" si="0"/>
        <v>4.6051701859880918</v>
      </c>
      <c r="J32" s="1">
        <f t="shared" si="0"/>
        <v>2.7850112422383382</v>
      </c>
      <c r="K32" s="1">
        <f t="shared" si="1"/>
        <v>-8.2887659805767747E-2</v>
      </c>
    </row>
    <row r="33" spans="1:11">
      <c r="A33" s="483">
        <f t="shared" si="2"/>
        <v>27</v>
      </c>
      <c r="B33" s="485">
        <v>24597</v>
      </c>
      <c r="C33" s="473">
        <v>0.69791666666666663</v>
      </c>
      <c r="D33" s="484" t="s">
        <v>108</v>
      </c>
      <c r="E33" s="472" t="s">
        <v>124</v>
      </c>
      <c r="F33" s="486">
        <v>67</v>
      </c>
      <c r="G33" s="486">
        <v>2.2999999999999998</v>
      </c>
      <c r="H33" s="614">
        <f t="shared" si="3"/>
        <v>8.755681818181818E-2</v>
      </c>
      <c r="I33" s="1">
        <f t="shared" si="0"/>
        <v>4.2046926193909657</v>
      </c>
      <c r="J33" s="1">
        <f t="shared" si="0"/>
        <v>0.83290912293510388</v>
      </c>
      <c r="K33" s="1">
        <f t="shared" si="1"/>
        <v>-2.4354673457061273</v>
      </c>
    </row>
    <row r="34" spans="1:11">
      <c r="A34" s="483">
        <f t="shared" si="2"/>
        <v>28</v>
      </c>
      <c r="B34" s="485">
        <v>24624</v>
      </c>
      <c r="C34" s="473">
        <v>0.625</v>
      </c>
      <c r="D34" s="484" t="s">
        <v>117</v>
      </c>
      <c r="E34" s="472" t="s">
        <v>124</v>
      </c>
      <c r="F34" s="486">
        <v>33</v>
      </c>
      <c r="G34" s="486">
        <v>4.7</v>
      </c>
      <c r="H34" s="614">
        <f t="shared" si="3"/>
        <v>8.8124999999999995E-2</v>
      </c>
      <c r="I34" s="1">
        <f t="shared" si="0"/>
        <v>3.4965075614664802</v>
      </c>
      <c r="J34" s="1">
        <f t="shared" si="0"/>
        <v>1.547562508716013</v>
      </c>
      <c r="K34" s="1">
        <f t="shared" si="1"/>
        <v>-2.4289990178497045</v>
      </c>
    </row>
    <row r="35" spans="1:11">
      <c r="A35" s="483">
        <f t="shared" si="2"/>
        <v>29</v>
      </c>
      <c r="B35" s="485">
        <v>24638</v>
      </c>
      <c r="C35" s="473">
        <v>0.83333333333333337</v>
      </c>
      <c r="D35" s="484" t="s">
        <v>118</v>
      </c>
      <c r="E35" s="472" t="s">
        <v>124</v>
      </c>
      <c r="F35" s="486">
        <v>33</v>
      </c>
      <c r="G35" s="486">
        <v>0.1</v>
      </c>
      <c r="H35" s="614">
        <f t="shared" si="3"/>
        <v>1.8749999999999999E-3</v>
      </c>
      <c r="I35" s="1">
        <f t="shared" si="0"/>
        <v>3.4965075614664802</v>
      </c>
      <c r="J35" s="1">
        <f t="shared" si="0"/>
        <v>-2.3025850929940455</v>
      </c>
      <c r="K35" s="1">
        <f t="shared" si="1"/>
        <v>-6.2791466195597634</v>
      </c>
    </row>
    <row r="36" spans="1:11">
      <c r="A36" s="483">
        <f t="shared" si="2"/>
        <v>30</v>
      </c>
      <c r="B36" s="485">
        <v>24656</v>
      </c>
      <c r="C36" s="473">
        <v>0.75</v>
      </c>
      <c r="D36" s="484" t="s">
        <v>100</v>
      </c>
      <c r="E36" s="472" t="s">
        <v>124</v>
      </c>
      <c r="F36" s="486">
        <v>10</v>
      </c>
      <c r="G36" s="486">
        <v>0.1</v>
      </c>
      <c r="H36" s="614">
        <f t="shared" si="3"/>
        <v>5.6818181818181826E-4</v>
      </c>
      <c r="I36" s="1">
        <f t="shared" si="0"/>
        <v>2.3025850929940459</v>
      </c>
      <c r="J36" s="1">
        <f t="shared" si="0"/>
        <v>-2.3025850929940455</v>
      </c>
      <c r="K36" s="1">
        <f t="shared" si="1"/>
        <v>-7.4730690880321973</v>
      </c>
    </row>
    <row r="37" spans="1:11">
      <c r="A37" s="483">
        <f t="shared" si="2"/>
        <v>31</v>
      </c>
      <c r="B37" s="485">
        <v>24656</v>
      </c>
      <c r="C37" s="473">
        <v>0.8125</v>
      </c>
      <c r="D37" s="484" t="s">
        <v>105</v>
      </c>
      <c r="E37" s="472" t="s">
        <v>124</v>
      </c>
      <c r="F37" s="486">
        <v>50</v>
      </c>
      <c r="G37" s="486">
        <v>1</v>
      </c>
      <c r="H37" s="614">
        <f t="shared" si="3"/>
        <v>2.8409090909090908E-2</v>
      </c>
      <c r="I37" s="1">
        <f t="shared" si="0"/>
        <v>3.912023005428146</v>
      </c>
      <c r="J37" s="1">
        <f t="shared" si="0"/>
        <v>0</v>
      </c>
      <c r="K37" s="1">
        <f t="shared" si="1"/>
        <v>-3.5610460826040513</v>
      </c>
    </row>
    <row r="38" spans="1:11">
      <c r="A38" s="483">
        <f t="shared" si="2"/>
        <v>32</v>
      </c>
      <c r="B38" s="485">
        <v>24656</v>
      </c>
      <c r="C38" s="473">
        <v>0.91666666666666663</v>
      </c>
      <c r="D38" s="484" t="s">
        <v>111</v>
      </c>
      <c r="E38" s="472" t="s">
        <v>124</v>
      </c>
      <c r="F38" s="486">
        <v>17</v>
      </c>
      <c r="G38" s="486">
        <v>0.1</v>
      </c>
      <c r="H38" s="614">
        <f t="shared" si="3"/>
        <v>9.6590909090909095E-4</v>
      </c>
      <c r="I38" s="1">
        <f t="shared" si="0"/>
        <v>2.8332133440562162</v>
      </c>
      <c r="J38" s="1">
        <f t="shared" si="0"/>
        <v>-2.3025850929940455</v>
      </c>
      <c r="K38" s="1">
        <f t="shared" si="1"/>
        <v>-6.942440836970027</v>
      </c>
    </row>
    <row r="39" spans="1:11">
      <c r="A39" s="483">
        <f t="shared" si="2"/>
        <v>33</v>
      </c>
      <c r="B39" s="485">
        <v>24930</v>
      </c>
      <c r="C39" s="473">
        <v>0.72222222222222221</v>
      </c>
      <c r="D39" s="484" t="s">
        <v>114</v>
      </c>
      <c r="E39" s="472" t="s">
        <v>124</v>
      </c>
      <c r="F39" s="486">
        <v>33</v>
      </c>
      <c r="G39" s="486">
        <v>2</v>
      </c>
      <c r="H39" s="614">
        <f t="shared" si="3"/>
        <v>3.7499999999999999E-2</v>
      </c>
      <c r="I39" s="1">
        <f t="shared" si="0"/>
        <v>3.4965075614664802</v>
      </c>
      <c r="J39" s="1">
        <f t="shared" si="0"/>
        <v>0.69314718055994529</v>
      </c>
      <c r="K39" s="1">
        <f t="shared" si="1"/>
        <v>-3.2834143460057721</v>
      </c>
    </row>
    <row r="40" spans="1:11">
      <c r="A40" s="483">
        <f t="shared" si="2"/>
        <v>34</v>
      </c>
      <c r="B40" s="485">
        <v>24997</v>
      </c>
      <c r="C40" s="473">
        <v>0.72916666666666663</v>
      </c>
      <c r="D40" s="484" t="s">
        <v>101</v>
      </c>
      <c r="E40" s="472" t="s">
        <v>124</v>
      </c>
      <c r="F40" s="486">
        <v>33</v>
      </c>
      <c r="G40" s="486">
        <v>0.8</v>
      </c>
      <c r="H40" s="614">
        <f t="shared" si="3"/>
        <v>1.4999999999999999E-2</v>
      </c>
      <c r="I40" s="1">
        <f t="shared" si="0"/>
        <v>3.4965075614664802</v>
      </c>
      <c r="J40" s="1">
        <f t="shared" si="0"/>
        <v>-0.22314355131420971</v>
      </c>
      <c r="K40" s="1">
        <f t="shared" si="1"/>
        <v>-4.1997050778799272</v>
      </c>
    </row>
    <row r="41" spans="1:11">
      <c r="A41" s="483">
        <f t="shared" si="2"/>
        <v>35</v>
      </c>
      <c r="B41" s="485">
        <v>25325</v>
      </c>
      <c r="C41" s="473">
        <v>0.66666666666666663</v>
      </c>
      <c r="D41" s="484" t="s">
        <v>113</v>
      </c>
      <c r="E41" s="472" t="s">
        <v>124</v>
      </c>
      <c r="F41" s="486">
        <v>50</v>
      </c>
      <c r="G41" s="486">
        <v>0.1</v>
      </c>
      <c r="H41" s="614">
        <f t="shared" si="3"/>
        <v>2.840909090909091E-3</v>
      </c>
      <c r="I41" s="1">
        <f t="shared" si="0"/>
        <v>3.912023005428146</v>
      </c>
      <c r="J41" s="1">
        <f t="shared" si="0"/>
        <v>-2.3025850929940455</v>
      </c>
      <c r="K41" s="1">
        <f t="shared" si="1"/>
        <v>-5.8636311755980968</v>
      </c>
    </row>
    <row r="42" spans="1:11">
      <c r="A42" s="483">
        <f t="shared" si="2"/>
        <v>36</v>
      </c>
      <c r="B42" s="485">
        <v>25361</v>
      </c>
      <c r="C42" s="473">
        <v>0.92361111111111116</v>
      </c>
      <c r="D42" s="484" t="s">
        <v>100</v>
      </c>
      <c r="E42" s="472" t="s">
        <v>124</v>
      </c>
      <c r="F42" s="486">
        <v>10</v>
      </c>
      <c r="G42" s="486">
        <v>0.1</v>
      </c>
      <c r="H42" s="614">
        <f t="shared" si="3"/>
        <v>5.6818181818181826E-4</v>
      </c>
      <c r="I42" s="1">
        <f t="shared" si="0"/>
        <v>2.3025850929940459</v>
      </c>
      <c r="J42" s="1">
        <f t="shared" si="0"/>
        <v>-2.3025850929940455</v>
      </c>
      <c r="K42" s="1">
        <f t="shared" si="1"/>
        <v>-7.4730690880321973</v>
      </c>
    </row>
    <row r="43" spans="1:11">
      <c r="A43" s="483">
        <f t="shared" si="2"/>
        <v>37</v>
      </c>
      <c r="B43" s="485">
        <v>25817</v>
      </c>
      <c r="C43" s="473">
        <v>0.80902777777777779</v>
      </c>
      <c r="D43" s="484" t="s">
        <v>101</v>
      </c>
      <c r="E43" s="472" t="s">
        <v>124</v>
      </c>
      <c r="F43" s="486">
        <v>10</v>
      </c>
      <c r="G43" s="486">
        <v>0.1</v>
      </c>
      <c r="H43" s="614">
        <f t="shared" si="3"/>
        <v>5.6818181818181826E-4</v>
      </c>
      <c r="I43" s="1">
        <f t="shared" si="0"/>
        <v>2.3025850929940459</v>
      </c>
      <c r="J43" s="1">
        <f t="shared" si="0"/>
        <v>-2.3025850929940455</v>
      </c>
      <c r="K43" s="1">
        <f t="shared" si="1"/>
        <v>-7.4730690880321973</v>
      </c>
    </row>
    <row r="44" spans="1:11">
      <c r="A44" s="483">
        <f t="shared" si="2"/>
        <v>38</v>
      </c>
      <c r="B44" s="485">
        <v>26042</v>
      </c>
      <c r="C44" s="473">
        <v>1.0416666666666666E-2</v>
      </c>
      <c r="D44" s="484" t="s">
        <v>102</v>
      </c>
      <c r="E44" s="472" t="s">
        <v>124</v>
      </c>
      <c r="F44" s="486">
        <v>150</v>
      </c>
      <c r="G44" s="486">
        <v>7.2</v>
      </c>
      <c r="H44" s="614">
        <f t="shared" si="3"/>
        <v>0.61363636363636365</v>
      </c>
      <c r="I44" s="1">
        <f t="shared" si="0"/>
        <v>5.0106352940962555</v>
      </c>
      <c r="J44" s="1">
        <f t="shared" si="0"/>
        <v>1.9740810260220096</v>
      </c>
      <c r="K44" s="1">
        <f t="shared" si="1"/>
        <v>-0.48835276791393206</v>
      </c>
    </row>
    <row r="45" spans="1:11">
      <c r="A45" s="483">
        <f t="shared" si="2"/>
        <v>39</v>
      </c>
      <c r="B45" s="485">
        <v>26042</v>
      </c>
      <c r="C45" s="473">
        <v>1.0416666666666666E-2</v>
      </c>
      <c r="D45" s="484" t="s">
        <v>102</v>
      </c>
      <c r="E45" s="472" t="s">
        <v>124</v>
      </c>
      <c r="F45" s="486">
        <v>10</v>
      </c>
      <c r="G45" s="486">
        <v>0.1</v>
      </c>
      <c r="H45" s="614">
        <f t="shared" si="3"/>
        <v>5.6818181818181826E-4</v>
      </c>
      <c r="I45" s="1">
        <f t="shared" si="0"/>
        <v>2.3025850929940459</v>
      </c>
      <c r="J45" s="1">
        <f t="shared" si="0"/>
        <v>-2.3025850929940455</v>
      </c>
      <c r="K45" s="1">
        <f t="shared" si="1"/>
        <v>-7.4730690880321973</v>
      </c>
    </row>
    <row r="46" spans="1:11">
      <c r="A46" s="483">
        <f t="shared" si="2"/>
        <v>40</v>
      </c>
      <c r="B46" s="485">
        <v>26042</v>
      </c>
      <c r="C46" s="473">
        <v>6.25E-2</v>
      </c>
      <c r="D46" s="484" t="s">
        <v>99</v>
      </c>
      <c r="E46" s="472" t="s">
        <v>124</v>
      </c>
      <c r="F46" s="486">
        <v>10</v>
      </c>
      <c r="G46" s="486">
        <v>0.1</v>
      </c>
      <c r="H46" s="614">
        <f t="shared" si="3"/>
        <v>5.6818181818181826E-4</v>
      </c>
      <c r="I46" s="1">
        <f t="shared" si="0"/>
        <v>2.3025850929940459</v>
      </c>
      <c r="J46" s="1">
        <f t="shared" si="0"/>
        <v>-2.3025850929940455</v>
      </c>
      <c r="K46" s="1">
        <f t="shared" si="1"/>
        <v>-7.4730690880321973</v>
      </c>
    </row>
    <row r="47" spans="1:11">
      <c r="A47" s="483">
        <f t="shared" si="2"/>
        <v>41</v>
      </c>
      <c r="B47" s="485">
        <v>26089</v>
      </c>
      <c r="C47" s="473">
        <v>0.67361111111111116</v>
      </c>
      <c r="D47" s="484" t="s">
        <v>118</v>
      </c>
      <c r="E47" s="472" t="s">
        <v>124</v>
      </c>
      <c r="F47" s="486">
        <v>50</v>
      </c>
      <c r="G47" s="486">
        <v>0.3</v>
      </c>
      <c r="H47" s="614">
        <f t="shared" si="3"/>
        <v>8.5227272727272721E-3</v>
      </c>
      <c r="I47" s="1">
        <f t="shared" si="0"/>
        <v>3.912023005428146</v>
      </c>
      <c r="J47" s="1">
        <f t="shared" si="0"/>
        <v>-1.2039728043259361</v>
      </c>
      <c r="K47" s="1">
        <f t="shared" si="1"/>
        <v>-4.7650188869299877</v>
      </c>
    </row>
    <row r="48" spans="1:11">
      <c r="A48" s="483">
        <f t="shared" si="2"/>
        <v>42</v>
      </c>
      <c r="B48" s="485">
        <v>26089</v>
      </c>
      <c r="C48" s="473">
        <v>0.75347222222222221</v>
      </c>
      <c r="D48" s="484" t="s">
        <v>109</v>
      </c>
      <c r="E48" s="472" t="s">
        <v>124</v>
      </c>
      <c r="F48" s="486">
        <v>10</v>
      </c>
      <c r="G48" s="486">
        <v>0.1</v>
      </c>
      <c r="H48" s="614">
        <f t="shared" si="3"/>
        <v>5.6818181818181826E-4</v>
      </c>
      <c r="I48" s="1">
        <f t="shared" si="0"/>
        <v>2.3025850929940459</v>
      </c>
      <c r="J48" s="1">
        <f t="shared" si="0"/>
        <v>-2.3025850929940455</v>
      </c>
      <c r="K48" s="1">
        <f t="shared" si="1"/>
        <v>-7.4730690880321973</v>
      </c>
    </row>
    <row r="49" spans="1:11">
      <c r="A49" s="483">
        <f t="shared" si="2"/>
        <v>43</v>
      </c>
      <c r="B49" s="485">
        <v>26089</v>
      </c>
      <c r="C49" s="473">
        <v>0.75694444444444453</v>
      </c>
      <c r="D49" s="484" t="s">
        <v>109</v>
      </c>
      <c r="E49" s="472" t="s">
        <v>124</v>
      </c>
      <c r="F49" s="486">
        <v>10</v>
      </c>
      <c r="G49" s="486">
        <v>0.1</v>
      </c>
      <c r="H49" s="614">
        <f t="shared" si="3"/>
        <v>5.6818181818181826E-4</v>
      </c>
      <c r="I49" s="1">
        <f t="shared" si="0"/>
        <v>2.3025850929940459</v>
      </c>
      <c r="J49" s="1">
        <f t="shared" si="0"/>
        <v>-2.3025850929940455</v>
      </c>
      <c r="K49" s="1">
        <f t="shared" si="1"/>
        <v>-7.4730690880321973</v>
      </c>
    </row>
    <row r="50" spans="1:11">
      <c r="A50" s="483">
        <f t="shared" si="2"/>
        <v>44</v>
      </c>
      <c r="B50" s="485">
        <v>26089</v>
      </c>
      <c r="C50" s="473">
        <v>0.76041666666666663</v>
      </c>
      <c r="D50" s="484" t="s">
        <v>109</v>
      </c>
      <c r="E50" s="472" t="s">
        <v>124</v>
      </c>
      <c r="F50" s="486">
        <v>10</v>
      </c>
      <c r="G50" s="486">
        <v>0.1</v>
      </c>
      <c r="H50" s="614">
        <f t="shared" si="3"/>
        <v>5.6818181818181826E-4</v>
      </c>
      <c r="I50" s="1">
        <f t="shared" si="0"/>
        <v>2.3025850929940459</v>
      </c>
      <c r="J50" s="1">
        <f t="shared" si="0"/>
        <v>-2.3025850929940455</v>
      </c>
      <c r="K50" s="1">
        <f t="shared" si="1"/>
        <v>-7.4730690880321973</v>
      </c>
    </row>
    <row r="51" spans="1:11">
      <c r="A51" s="483">
        <f t="shared" si="2"/>
        <v>45</v>
      </c>
      <c r="B51" s="485">
        <v>26089</v>
      </c>
      <c r="C51" s="473">
        <v>0.76388888888888884</v>
      </c>
      <c r="D51" s="484" t="s">
        <v>109</v>
      </c>
      <c r="E51" s="472" t="s">
        <v>124</v>
      </c>
      <c r="F51" s="486">
        <v>10</v>
      </c>
      <c r="G51" s="486">
        <v>0.1</v>
      </c>
      <c r="H51" s="614">
        <f t="shared" si="3"/>
        <v>5.6818181818181826E-4</v>
      </c>
      <c r="I51" s="1">
        <f t="shared" si="0"/>
        <v>2.3025850929940459</v>
      </c>
      <c r="J51" s="1">
        <f t="shared" si="0"/>
        <v>-2.3025850929940455</v>
      </c>
      <c r="K51" s="1">
        <f t="shared" si="1"/>
        <v>-7.4730690880321973</v>
      </c>
    </row>
    <row r="52" spans="1:11">
      <c r="A52" s="483">
        <f t="shared" si="2"/>
        <v>46</v>
      </c>
      <c r="B52" s="485">
        <v>26089</v>
      </c>
      <c r="C52" s="473">
        <v>0.76736111111111116</v>
      </c>
      <c r="D52" s="484" t="s">
        <v>109</v>
      </c>
      <c r="E52" s="472" t="s">
        <v>124</v>
      </c>
      <c r="F52" s="486">
        <v>10</v>
      </c>
      <c r="G52" s="486">
        <v>0.1</v>
      </c>
      <c r="H52" s="614">
        <f t="shared" si="3"/>
        <v>5.6818181818181826E-4</v>
      </c>
      <c r="I52" s="1">
        <f t="shared" si="0"/>
        <v>2.3025850929940459</v>
      </c>
      <c r="J52" s="1">
        <f t="shared" si="0"/>
        <v>-2.3025850929940455</v>
      </c>
      <c r="K52" s="1">
        <f t="shared" si="1"/>
        <v>-7.4730690880321973</v>
      </c>
    </row>
    <row r="53" spans="1:11">
      <c r="A53" s="483">
        <f t="shared" si="2"/>
        <v>47</v>
      </c>
      <c r="B53" s="485">
        <v>26089</v>
      </c>
      <c r="C53" s="473">
        <v>0.77083333333333337</v>
      </c>
      <c r="D53" s="484" t="s">
        <v>109</v>
      </c>
      <c r="E53" s="472" t="s">
        <v>124</v>
      </c>
      <c r="F53" s="486">
        <v>10</v>
      </c>
      <c r="G53" s="486">
        <v>0.1</v>
      </c>
      <c r="H53" s="614">
        <f t="shared" si="3"/>
        <v>5.6818181818181826E-4</v>
      </c>
      <c r="I53" s="1">
        <f t="shared" si="0"/>
        <v>2.3025850929940459</v>
      </c>
      <c r="J53" s="1">
        <f t="shared" si="0"/>
        <v>-2.3025850929940455</v>
      </c>
      <c r="K53" s="1">
        <f t="shared" si="1"/>
        <v>-7.4730690880321973</v>
      </c>
    </row>
    <row r="54" spans="1:11">
      <c r="A54" s="483">
        <f t="shared" si="2"/>
        <v>48</v>
      </c>
      <c r="B54" s="485">
        <v>26092</v>
      </c>
      <c r="C54" s="473">
        <v>0.70138888888888884</v>
      </c>
      <c r="D54" s="484" t="s">
        <v>107</v>
      </c>
      <c r="E54" s="472" t="s">
        <v>124</v>
      </c>
      <c r="F54" s="486">
        <v>100</v>
      </c>
      <c r="G54" s="486">
        <v>2</v>
      </c>
      <c r="H54" s="614">
        <f t="shared" si="3"/>
        <v>0.11363636363636363</v>
      </c>
      <c r="I54" s="1">
        <f t="shared" si="0"/>
        <v>4.6051701859880918</v>
      </c>
      <c r="J54" s="1">
        <f t="shared" si="0"/>
        <v>0.69314718055994529</v>
      </c>
      <c r="K54" s="1">
        <f t="shared" si="1"/>
        <v>-2.174751721484161</v>
      </c>
    </row>
    <row r="55" spans="1:11">
      <c r="A55" s="483">
        <f t="shared" si="2"/>
        <v>49</v>
      </c>
      <c r="B55" s="485">
        <v>26092</v>
      </c>
      <c r="C55" s="473">
        <v>0.77430555555555547</v>
      </c>
      <c r="D55" s="484" t="s">
        <v>107</v>
      </c>
      <c r="E55" s="472" t="s">
        <v>124</v>
      </c>
      <c r="F55" s="486">
        <v>100</v>
      </c>
      <c r="G55" s="486">
        <v>2</v>
      </c>
      <c r="H55" s="614">
        <f t="shared" si="3"/>
        <v>0.11363636363636363</v>
      </c>
      <c r="I55" s="1">
        <f t="shared" si="0"/>
        <v>4.6051701859880918</v>
      </c>
      <c r="J55" s="1">
        <f t="shared" si="0"/>
        <v>0.69314718055994529</v>
      </c>
      <c r="K55" s="1">
        <f t="shared" si="1"/>
        <v>-2.174751721484161</v>
      </c>
    </row>
    <row r="56" spans="1:11">
      <c r="A56" s="483">
        <f t="shared" si="2"/>
        <v>50</v>
      </c>
      <c r="B56" s="485">
        <v>26093</v>
      </c>
      <c r="C56" s="473">
        <v>0.70833333333333337</v>
      </c>
      <c r="D56" s="484" t="s">
        <v>103</v>
      </c>
      <c r="E56" s="472" t="s">
        <v>124</v>
      </c>
      <c r="F56" s="486">
        <v>10</v>
      </c>
      <c r="G56" s="486">
        <v>0.1</v>
      </c>
      <c r="H56" s="614">
        <f t="shared" si="3"/>
        <v>5.6818181818181826E-4</v>
      </c>
      <c r="I56" s="1">
        <f t="shared" si="0"/>
        <v>2.3025850929940459</v>
      </c>
      <c r="J56" s="1">
        <f t="shared" si="0"/>
        <v>-2.3025850929940455</v>
      </c>
      <c r="K56" s="1">
        <f t="shared" si="1"/>
        <v>-7.4730690880321973</v>
      </c>
    </row>
    <row r="57" spans="1:11">
      <c r="A57" s="483">
        <f t="shared" si="2"/>
        <v>51</v>
      </c>
      <c r="B57" s="485">
        <v>26093</v>
      </c>
      <c r="C57" s="473">
        <v>0.70833333333333337</v>
      </c>
      <c r="D57" s="484" t="s">
        <v>103</v>
      </c>
      <c r="E57" s="472" t="s">
        <v>124</v>
      </c>
      <c r="F57" s="486">
        <v>10</v>
      </c>
      <c r="G57" s="486">
        <v>0.1</v>
      </c>
      <c r="H57" s="614">
        <f t="shared" si="3"/>
        <v>5.6818181818181826E-4</v>
      </c>
      <c r="I57" s="1">
        <f t="shared" si="0"/>
        <v>2.3025850929940459</v>
      </c>
      <c r="J57" s="1">
        <f t="shared" si="0"/>
        <v>-2.3025850929940455</v>
      </c>
      <c r="K57" s="1">
        <f t="shared" si="1"/>
        <v>-7.4730690880321973</v>
      </c>
    </row>
    <row r="58" spans="1:11">
      <c r="A58" s="483">
        <f t="shared" si="2"/>
        <v>52</v>
      </c>
      <c r="B58" s="485">
        <v>26093</v>
      </c>
      <c r="C58" s="473">
        <v>0.70833333333333337</v>
      </c>
      <c r="D58" s="484" t="s">
        <v>103</v>
      </c>
      <c r="E58" s="472" t="s">
        <v>124</v>
      </c>
      <c r="F58" s="486">
        <v>10</v>
      </c>
      <c r="G58" s="486">
        <v>0.1</v>
      </c>
      <c r="H58" s="614">
        <f t="shared" si="3"/>
        <v>5.6818181818181826E-4</v>
      </c>
      <c r="I58" s="1">
        <f t="shared" si="0"/>
        <v>2.3025850929940459</v>
      </c>
      <c r="J58" s="1">
        <f t="shared" si="0"/>
        <v>-2.3025850929940455</v>
      </c>
      <c r="K58" s="1">
        <f t="shared" si="1"/>
        <v>-7.4730690880321973</v>
      </c>
    </row>
    <row r="59" spans="1:11">
      <c r="A59" s="483">
        <f t="shared" si="2"/>
        <v>53</v>
      </c>
      <c r="B59" s="485">
        <v>26093</v>
      </c>
      <c r="C59" s="473">
        <v>0.79166666666666663</v>
      </c>
      <c r="D59" s="484" t="s">
        <v>109</v>
      </c>
      <c r="E59" s="472" t="s">
        <v>124</v>
      </c>
      <c r="F59" s="486">
        <v>440</v>
      </c>
      <c r="G59" s="486">
        <v>3</v>
      </c>
      <c r="H59" s="614">
        <f t="shared" si="3"/>
        <v>0.75</v>
      </c>
      <c r="I59" s="1">
        <f t="shared" si="0"/>
        <v>6.0867747269123065</v>
      </c>
      <c r="J59" s="1">
        <f t="shared" si="0"/>
        <v>1.0986122886681098</v>
      </c>
      <c r="K59" s="1">
        <f t="shared" si="1"/>
        <v>-0.2876820724517809</v>
      </c>
    </row>
    <row r="60" spans="1:11">
      <c r="A60" s="483">
        <f t="shared" si="2"/>
        <v>54</v>
      </c>
      <c r="B60" s="485">
        <v>26093</v>
      </c>
      <c r="C60" s="473">
        <v>0.86805555555555547</v>
      </c>
      <c r="D60" s="484" t="s">
        <v>104</v>
      </c>
      <c r="E60" s="472" t="s">
        <v>124</v>
      </c>
      <c r="F60" s="486">
        <v>10</v>
      </c>
      <c r="G60" s="486">
        <v>0.1</v>
      </c>
      <c r="H60" s="614">
        <f t="shared" si="3"/>
        <v>5.6818181818181826E-4</v>
      </c>
      <c r="I60" s="1">
        <f t="shared" si="0"/>
        <v>2.3025850929940459</v>
      </c>
      <c r="J60" s="1">
        <f t="shared" si="0"/>
        <v>-2.3025850929940455</v>
      </c>
      <c r="K60" s="1">
        <f t="shared" si="1"/>
        <v>-7.4730690880321973</v>
      </c>
    </row>
    <row r="61" spans="1:11">
      <c r="A61" s="483">
        <f t="shared" si="2"/>
        <v>55</v>
      </c>
      <c r="B61" s="485">
        <v>26429</v>
      </c>
      <c r="C61" s="473">
        <v>0.82291666666666663</v>
      </c>
      <c r="D61" s="484" t="s">
        <v>102</v>
      </c>
      <c r="E61" s="472" t="s">
        <v>124</v>
      </c>
      <c r="F61" s="486">
        <v>100</v>
      </c>
      <c r="G61" s="486">
        <v>1</v>
      </c>
      <c r="H61" s="614">
        <f t="shared" si="3"/>
        <v>5.6818181818181816E-2</v>
      </c>
      <c r="I61" s="1">
        <f t="shared" si="0"/>
        <v>4.6051701859880918</v>
      </c>
      <c r="J61" s="1">
        <f t="shared" si="0"/>
        <v>0</v>
      </c>
      <c r="K61" s="1">
        <f t="shared" si="1"/>
        <v>-2.8678989020441059</v>
      </c>
    </row>
    <row r="62" spans="1:11">
      <c r="A62" s="483">
        <f t="shared" si="2"/>
        <v>56</v>
      </c>
      <c r="B62" s="485">
        <v>26429</v>
      </c>
      <c r="C62" s="473">
        <v>0.82291666666666663</v>
      </c>
      <c r="D62" s="484" t="s">
        <v>102</v>
      </c>
      <c r="E62" s="472" t="s">
        <v>124</v>
      </c>
      <c r="F62" s="486">
        <v>100</v>
      </c>
      <c r="G62" s="486">
        <v>1</v>
      </c>
      <c r="H62" s="614">
        <f t="shared" si="3"/>
        <v>5.6818181818181816E-2</v>
      </c>
      <c r="I62" s="1">
        <f t="shared" si="0"/>
        <v>4.6051701859880918</v>
      </c>
      <c r="J62" s="1">
        <f t="shared" si="0"/>
        <v>0</v>
      </c>
      <c r="K62" s="1">
        <f t="shared" si="1"/>
        <v>-2.8678989020441059</v>
      </c>
    </row>
    <row r="63" spans="1:11">
      <c r="A63" s="483">
        <f t="shared" si="2"/>
        <v>57</v>
      </c>
      <c r="B63" s="485">
        <v>26471</v>
      </c>
      <c r="C63" s="473">
        <v>0.88541666666666663</v>
      </c>
      <c r="D63" s="484" t="s">
        <v>113</v>
      </c>
      <c r="E63" s="472" t="s">
        <v>124</v>
      </c>
      <c r="F63" s="486">
        <v>100</v>
      </c>
      <c r="G63" s="486">
        <v>4.0999999999999996</v>
      </c>
      <c r="H63" s="614">
        <f t="shared" si="3"/>
        <v>0.23295454545454541</v>
      </c>
      <c r="I63" s="1">
        <f t="shared" si="0"/>
        <v>4.6051701859880918</v>
      </c>
      <c r="J63" s="1">
        <f t="shared" si="0"/>
        <v>1.410986973710262</v>
      </c>
      <c r="K63" s="1">
        <f t="shared" si="1"/>
        <v>-1.4569119283338441</v>
      </c>
    </row>
    <row r="64" spans="1:11">
      <c r="A64" s="483">
        <f t="shared" si="2"/>
        <v>58</v>
      </c>
      <c r="B64" s="485">
        <v>26746</v>
      </c>
      <c r="C64" s="473">
        <v>0.66666666666666663</v>
      </c>
      <c r="D64" s="484" t="s">
        <v>113</v>
      </c>
      <c r="E64" s="472" t="s">
        <v>124</v>
      </c>
      <c r="F64" s="486">
        <v>50</v>
      </c>
      <c r="G64" s="486">
        <v>2</v>
      </c>
      <c r="H64" s="614">
        <f t="shared" si="3"/>
        <v>5.6818181818181816E-2</v>
      </c>
      <c r="I64" s="1">
        <f t="shared" si="0"/>
        <v>3.912023005428146</v>
      </c>
      <c r="J64" s="1">
        <f t="shared" si="0"/>
        <v>0.69314718055994529</v>
      </c>
      <c r="K64" s="1">
        <f t="shared" si="1"/>
        <v>-2.8678989020441059</v>
      </c>
    </row>
    <row r="65" spans="1:11">
      <c r="A65" s="483">
        <f t="shared" si="2"/>
        <v>59</v>
      </c>
      <c r="B65" s="485">
        <v>26767</v>
      </c>
      <c r="C65" s="473">
        <v>0.76041666666666663</v>
      </c>
      <c r="D65" s="484" t="s">
        <v>115</v>
      </c>
      <c r="E65" s="472" t="s">
        <v>124</v>
      </c>
      <c r="F65" s="486">
        <v>150</v>
      </c>
      <c r="G65" s="486">
        <v>56</v>
      </c>
      <c r="H65" s="614">
        <f t="shared" si="3"/>
        <v>4.7727272727272725</v>
      </c>
      <c r="I65" s="1">
        <f t="shared" si="0"/>
        <v>5.0106352940962555</v>
      </c>
      <c r="J65" s="1">
        <f t="shared" si="0"/>
        <v>4.0253516907351496</v>
      </c>
      <c r="K65" s="1">
        <f t="shared" si="1"/>
        <v>1.5629178967992075</v>
      </c>
    </row>
    <row r="66" spans="1:11">
      <c r="A66" s="483">
        <f t="shared" si="2"/>
        <v>60</v>
      </c>
      <c r="B66" s="485">
        <v>26768</v>
      </c>
      <c r="C66" s="473">
        <v>0.75</v>
      </c>
      <c r="D66" s="484" t="s">
        <v>119</v>
      </c>
      <c r="E66" s="472" t="s">
        <v>124</v>
      </c>
      <c r="F66" s="486">
        <v>150</v>
      </c>
      <c r="G66" s="486">
        <v>19</v>
      </c>
      <c r="H66" s="614">
        <f t="shared" si="3"/>
        <v>1.6193181818181817</v>
      </c>
      <c r="I66" s="1">
        <f t="shared" si="0"/>
        <v>5.0106352940962555</v>
      </c>
      <c r="J66" s="1">
        <f t="shared" si="0"/>
        <v>2.9444389791664403</v>
      </c>
      <c r="K66" s="1">
        <f t="shared" si="1"/>
        <v>0.48200518523049862</v>
      </c>
    </row>
    <row r="67" spans="1:11">
      <c r="A67" s="483">
        <f t="shared" si="2"/>
        <v>61</v>
      </c>
      <c r="B67" s="485">
        <v>26777</v>
      </c>
      <c r="C67" s="473">
        <v>0.90625</v>
      </c>
      <c r="D67" s="484" t="s">
        <v>116</v>
      </c>
      <c r="E67" s="472" t="s">
        <v>124</v>
      </c>
      <c r="F67" s="486">
        <v>100</v>
      </c>
      <c r="G67" s="486">
        <v>0.3</v>
      </c>
      <c r="H67" s="614">
        <f t="shared" si="3"/>
        <v>1.7045454545454544E-2</v>
      </c>
      <c r="I67" s="1">
        <f t="shared" si="0"/>
        <v>4.6051701859880918</v>
      </c>
      <c r="J67" s="1">
        <f t="shared" si="0"/>
        <v>-1.2039728043259361</v>
      </c>
      <c r="K67" s="1">
        <f t="shared" si="1"/>
        <v>-4.0718717063700423</v>
      </c>
    </row>
    <row r="68" spans="1:11">
      <c r="A68" s="483">
        <f t="shared" si="2"/>
        <v>62</v>
      </c>
      <c r="B68" s="485">
        <v>26784</v>
      </c>
      <c r="C68" s="473">
        <v>0.73611111111111116</v>
      </c>
      <c r="D68" s="484" t="s">
        <v>114</v>
      </c>
      <c r="E68" s="472" t="s">
        <v>124</v>
      </c>
      <c r="F68" s="486">
        <v>100</v>
      </c>
      <c r="G68" s="486">
        <v>0.5</v>
      </c>
      <c r="H68" s="614">
        <f t="shared" si="3"/>
        <v>2.8409090909090908E-2</v>
      </c>
      <c r="I68" s="1">
        <f t="shared" si="0"/>
        <v>4.6051701859880918</v>
      </c>
      <c r="J68" s="1">
        <f t="shared" si="0"/>
        <v>-0.69314718055994529</v>
      </c>
      <c r="K68" s="1">
        <f t="shared" si="1"/>
        <v>-3.5610460826040513</v>
      </c>
    </row>
    <row r="69" spans="1:11">
      <c r="A69" s="483">
        <f t="shared" si="2"/>
        <v>63</v>
      </c>
      <c r="B69" s="485">
        <v>27138</v>
      </c>
      <c r="C69" s="473">
        <v>0.80555555555555547</v>
      </c>
      <c r="D69" s="484" t="s">
        <v>110</v>
      </c>
      <c r="E69" s="472" t="s">
        <v>124</v>
      </c>
      <c r="F69" s="486">
        <v>30</v>
      </c>
      <c r="G69" s="486">
        <v>5.9</v>
      </c>
      <c r="H69" s="614">
        <f t="shared" si="3"/>
        <v>0.10056818181818182</v>
      </c>
      <c r="I69" s="1">
        <f t="shared" si="0"/>
        <v>3.4011973816621555</v>
      </c>
      <c r="J69" s="1">
        <f t="shared" si="0"/>
        <v>1.7749523509116738</v>
      </c>
      <c r="K69" s="1">
        <f t="shared" si="1"/>
        <v>-2.2969193554583685</v>
      </c>
    </row>
    <row r="70" spans="1:11">
      <c r="A70" s="483">
        <f t="shared" si="2"/>
        <v>64</v>
      </c>
      <c r="B70" s="485">
        <v>27717</v>
      </c>
      <c r="C70" s="473">
        <v>0.125</v>
      </c>
      <c r="D70" s="484" t="s">
        <v>100</v>
      </c>
      <c r="E70" s="472" t="s">
        <v>124</v>
      </c>
      <c r="F70" s="486">
        <v>270</v>
      </c>
      <c r="G70" s="486">
        <v>0.3</v>
      </c>
      <c r="H70" s="614">
        <f t="shared" si="3"/>
        <v>4.6022727272727271E-2</v>
      </c>
      <c r="I70" s="1">
        <f t="shared" si="0"/>
        <v>5.598421958998375</v>
      </c>
      <c r="J70" s="1">
        <f t="shared" si="0"/>
        <v>-1.2039728043259361</v>
      </c>
      <c r="K70" s="1">
        <f t="shared" si="1"/>
        <v>-3.0786199333597586</v>
      </c>
    </row>
    <row r="71" spans="1:11">
      <c r="A71" s="483">
        <f t="shared" si="2"/>
        <v>65</v>
      </c>
      <c r="B71" s="485">
        <v>28246</v>
      </c>
      <c r="C71" s="473">
        <v>0.65972222222222221</v>
      </c>
      <c r="D71" s="484" t="s">
        <v>101</v>
      </c>
      <c r="E71" s="472" t="s">
        <v>124</v>
      </c>
      <c r="F71" s="486">
        <v>100</v>
      </c>
      <c r="G71" s="486">
        <v>2.7</v>
      </c>
      <c r="H71" s="614">
        <f t="shared" si="3"/>
        <v>0.15340909090909091</v>
      </c>
      <c r="I71" s="1">
        <f t="shared" si="0"/>
        <v>4.6051701859880918</v>
      </c>
      <c r="J71" s="1">
        <f t="shared" si="0"/>
        <v>0.99325177301028345</v>
      </c>
      <c r="K71" s="1">
        <f t="shared" si="1"/>
        <v>-1.8746471290338227</v>
      </c>
    </row>
    <row r="72" spans="1:11">
      <c r="A72" s="483">
        <f t="shared" si="2"/>
        <v>66</v>
      </c>
      <c r="B72" s="485">
        <v>28263</v>
      </c>
      <c r="C72" s="473">
        <v>0.5625</v>
      </c>
      <c r="D72" s="484" t="s">
        <v>99</v>
      </c>
      <c r="E72" s="472" t="s">
        <v>124</v>
      </c>
      <c r="F72" s="486">
        <v>50</v>
      </c>
      <c r="G72" s="486">
        <v>16.100000000000001</v>
      </c>
      <c r="H72" s="614">
        <f t="shared" si="3"/>
        <v>0.45738636363636365</v>
      </c>
      <c r="I72" s="1">
        <f t="shared" ref="I72:J135" si="4">LN(F72)</f>
        <v>3.912023005428146</v>
      </c>
      <c r="J72" s="1">
        <f t="shared" si="4"/>
        <v>2.7788192719904172</v>
      </c>
      <c r="K72" s="1">
        <f t="shared" ref="K72:K135" si="5">LN(H72)</f>
        <v>-0.78222681061363408</v>
      </c>
    </row>
    <row r="73" spans="1:11">
      <c r="A73" s="483">
        <f t="shared" ref="A73:A137" si="6">+A72+1</f>
        <v>67</v>
      </c>
      <c r="B73" s="485">
        <v>28610</v>
      </c>
      <c r="C73" s="473">
        <v>0.64166666666666672</v>
      </c>
      <c r="D73" s="484" t="s">
        <v>105</v>
      </c>
      <c r="E73" s="472" t="s">
        <v>124</v>
      </c>
      <c r="F73" s="486">
        <v>100</v>
      </c>
      <c r="G73" s="486">
        <v>8.6</v>
      </c>
      <c r="H73" s="614">
        <f t="shared" ref="H73:H136" si="7">+(F73/1760)*G73</f>
        <v>0.48863636363636359</v>
      </c>
      <c r="I73" s="1">
        <f t="shared" si="4"/>
        <v>4.6051701859880918</v>
      </c>
      <c r="J73" s="1">
        <f t="shared" si="4"/>
        <v>2.1517622032594619</v>
      </c>
      <c r="K73" s="1">
        <f t="shared" si="5"/>
        <v>-0.71613669878464414</v>
      </c>
    </row>
    <row r="74" spans="1:11">
      <c r="A74" s="483">
        <f t="shared" si="6"/>
        <v>68</v>
      </c>
      <c r="B74" s="485">
        <v>29369</v>
      </c>
      <c r="C74" s="473">
        <v>0.85416666666666663</v>
      </c>
      <c r="D74" s="484" t="s">
        <v>116</v>
      </c>
      <c r="E74" s="472" t="s">
        <v>124</v>
      </c>
      <c r="F74" s="486">
        <v>50</v>
      </c>
      <c r="G74" s="486">
        <v>8</v>
      </c>
      <c r="H74" s="614">
        <f t="shared" si="7"/>
        <v>0.22727272727272727</v>
      </c>
      <c r="I74" s="1">
        <f t="shared" si="4"/>
        <v>3.912023005428146</v>
      </c>
      <c r="J74" s="1">
        <f t="shared" si="4"/>
        <v>2.0794415416798357</v>
      </c>
      <c r="K74" s="1">
        <f t="shared" si="5"/>
        <v>-1.4816045409242156</v>
      </c>
    </row>
    <row r="75" spans="1:11">
      <c r="A75" s="483">
        <f t="shared" si="6"/>
        <v>69</v>
      </c>
      <c r="B75" s="485">
        <v>29369</v>
      </c>
      <c r="C75" s="473">
        <v>0.99652777777777779</v>
      </c>
      <c r="D75" s="484" t="s">
        <v>121</v>
      </c>
      <c r="E75" s="472" t="s">
        <v>124</v>
      </c>
      <c r="F75" s="486">
        <v>10</v>
      </c>
      <c r="G75" s="486">
        <v>0.1</v>
      </c>
      <c r="H75" s="614">
        <f t="shared" si="7"/>
        <v>5.6818181818181826E-4</v>
      </c>
      <c r="I75" s="1">
        <f t="shared" si="4"/>
        <v>2.3025850929940459</v>
      </c>
      <c r="J75" s="1">
        <f t="shared" si="4"/>
        <v>-2.3025850929940455</v>
      </c>
      <c r="K75" s="1">
        <f t="shared" si="5"/>
        <v>-7.4730690880321973</v>
      </c>
    </row>
    <row r="76" spans="1:11">
      <c r="A76" s="483">
        <f t="shared" si="6"/>
        <v>70</v>
      </c>
      <c r="B76" s="485">
        <v>29370</v>
      </c>
      <c r="C76" s="473">
        <v>0.69236111111111109</v>
      </c>
      <c r="D76" s="484" t="s">
        <v>121</v>
      </c>
      <c r="E76" s="472" t="s">
        <v>124</v>
      </c>
      <c r="F76" s="486">
        <v>160</v>
      </c>
      <c r="G76" s="486">
        <v>16.2</v>
      </c>
      <c r="H76" s="614">
        <f t="shared" si="7"/>
        <v>1.4727272727272727</v>
      </c>
      <c r="I76" s="1">
        <f t="shared" si="4"/>
        <v>5.0751738152338266</v>
      </c>
      <c r="J76" s="1">
        <f t="shared" si="4"/>
        <v>2.7850112422383382</v>
      </c>
      <c r="K76" s="1">
        <f t="shared" si="5"/>
        <v>0.38711596943996779</v>
      </c>
    </row>
    <row r="77" spans="1:11">
      <c r="A77" s="483">
        <f t="shared" si="6"/>
        <v>71</v>
      </c>
      <c r="B77" s="485">
        <v>29738</v>
      </c>
      <c r="C77" s="473">
        <v>0.72916666666666663</v>
      </c>
      <c r="D77" s="484" t="s">
        <v>121</v>
      </c>
      <c r="E77" s="472" t="s">
        <v>124</v>
      </c>
      <c r="F77" s="486">
        <v>50</v>
      </c>
      <c r="G77" s="486">
        <v>5.7</v>
      </c>
      <c r="H77" s="614">
        <f t="shared" si="7"/>
        <v>0.16193181818181818</v>
      </c>
      <c r="I77" s="1">
        <f t="shared" si="4"/>
        <v>3.912023005428146</v>
      </c>
      <c r="J77" s="1">
        <f t="shared" si="4"/>
        <v>1.7404661748405046</v>
      </c>
      <c r="K77" s="1">
        <f t="shared" si="5"/>
        <v>-1.8205799077635469</v>
      </c>
    </row>
    <row r="78" spans="1:11">
      <c r="A78" s="483">
        <f t="shared" si="6"/>
        <v>72</v>
      </c>
      <c r="B78" s="485">
        <v>30090</v>
      </c>
      <c r="C78" s="473">
        <v>0.7583333333333333</v>
      </c>
      <c r="D78" s="484" t="s">
        <v>115</v>
      </c>
      <c r="E78" s="472" t="s">
        <v>124</v>
      </c>
      <c r="F78" s="486">
        <v>1760</v>
      </c>
      <c r="G78" s="486">
        <v>6</v>
      </c>
      <c r="H78" s="614">
        <f t="shared" si="7"/>
        <v>6</v>
      </c>
      <c r="I78" s="1">
        <f t="shared" si="4"/>
        <v>7.4730690880321973</v>
      </c>
      <c r="J78" s="1">
        <f t="shared" si="4"/>
        <v>1.791759469228055</v>
      </c>
      <c r="K78" s="1">
        <f t="shared" si="5"/>
        <v>1.791759469228055</v>
      </c>
    </row>
    <row r="79" spans="1:11">
      <c r="A79" s="483">
        <f t="shared" si="6"/>
        <v>73</v>
      </c>
      <c r="B79" s="485">
        <v>30090</v>
      </c>
      <c r="C79" s="473">
        <v>0.78472222222222221</v>
      </c>
      <c r="D79" s="484" t="s">
        <v>115</v>
      </c>
      <c r="E79" s="472" t="s">
        <v>124</v>
      </c>
      <c r="F79" s="486">
        <v>200</v>
      </c>
      <c r="G79" s="486">
        <v>2</v>
      </c>
      <c r="H79" s="614">
        <f t="shared" si="7"/>
        <v>0.22727272727272727</v>
      </c>
      <c r="I79" s="1">
        <f t="shared" si="4"/>
        <v>5.2983173665480363</v>
      </c>
      <c r="J79" s="1">
        <f t="shared" si="4"/>
        <v>0.69314718055994529</v>
      </c>
      <c r="K79" s="1">
        <f t="shared" si="5"/>
        <v>-1.4816045409242156</v>
      </c>
    </row>
    <row r="80" spans="1:11">
      <c r="A80" s="483">
        <f t="shared" si="6"/>
        <v>74</v>
      </c>
      <c r="B80" s="485">
        <v>30107</v>
      </c>
      <c r="C80" s="473">
        <v>0.77222222222222225</v>
      </c>
      <c r="D80" s="484" t="s">
        <v>109</v>
      </c>
      <c r="E80" s="472" t="s">
        <v>124</v>
      </c>
      <c r="F80" s="486">
        <v>67</v>
      </c>
      <c r="G80" s="486">
        <v>3</v>
      </c>
      <c r="H80" s="614">
        <f t="shared" si="7"/>
        <v>0.11420454545454546</v>
      </c>
      <c r="I80" s="1">
        <f t="shared" si="4"/>
        <v>4.2046926193909657</v>
      </c>
      <c r="J80" s="1">
        <f t="shared" si="4"/>
        <v>1.0986122886681098</v>
      </c>
      <c r="K80" s="1">
        <f t="shared" si="5"/>
        <v>-2.1697641799731215</v>
      </c>
    </row>
    <row r="81" spans="1:11">
      <c r="A81" s="483">
        <f t="shared" si="6"/>
        <v>75</v>
      </c>
      <c r="B81" s="485">
        <v>30116</v>
      </c>
      <c r="C81" s="473">
        <v>0.79791666666666661</v>
      </c>
      <c r="D81" s="484" t="s">
        <v>104</v>
      </c>
      <c r="E81" s="472" t="s">
        <v>124</v>
      </c>
      <c r="F81" s="486">
        <v>100</v>
      </c>
      <c r="G81" s="486">
        <v>12.2</v>
      </c>
      <c r="H81" s="614">
        <f t="shared" si="7"/>
        <v>0.69318181818181812</v>
      </c>
      <c r="I81" s="1">
        <f t="shared" si="4"/>
        <v>4.6051701859880918</v>
      </c>
      <c r="J81" s="1">
        <f t="shared" si="4"/>
        <v>2.5014359517392109</v>
      </c>
      <c r="K81" s="1">
        <f t="shared" si="5"/>
        <v>-0.36646295030489529</v>
      </c>
    </row>
    <row r="82" spans="1:11">
      <c r="A82" s="483">
        <f t="shared" si="6"/>
        <v>76</v>
      </c>
      <c r="B82" s="485">
        <v>30116</v>
      </c>
      <c r="C82" s="473">
        <v>0.80902777777777779</v>
      </c>
      <c r="D82" s="484" t="s">
        <v>105</v>
      </c>
      <c r="E82" s="472" t="s">
        <v>124</v>
      </c>
      <c r="F82" s="486">
        <v>100</v>
      </c>
      <c r="G82" s="486">
        <v>5</v>
      </c>
      <c r="H82" s="614">
        <f t="shared" si="7"/>
        <v>0.28409090909090906</v>
      </c>
      <c r="I82" s="1">
        <f t="shared" si="4"/>
        <v>4.6051701859880918</v>
      </c>
      <c r="J82" s="1">
        <f t="shared" si="4"/>
        <v>1.6094379124341003</v>
      </c>
      <c r="K82" s="1">
        <f t="shared" si="5"/>
        <v>-1.2584609896100059</v>
      </c>
    </row>
    <row r="83" spans="1:11">
      <c r="A83" s="483">
        <f t="shared" si="6"/>
        <v>77</v>
      </c>
      <c r="B83" s="485">
        <v>30378</v>
      </c>
      <c r="C83" s="473">
        <v>0.70138888888888884</v>
      </c>
      <c r="D83" s="484" t="s">
        <v>120</v>
      </c>
      <c r="E83" s="472" t="s">
        <v>124</v>
      </c>
      <c r="F83" s="486">
        <v>880</v>
      </c>
      <c r="G83" s="486">
        <v>5</v>
      </c>
      <c r="H83" s="614">
        <f t="shared" si="7"/>
        <v>2.5</v>
      </c>
      <c r="I83" s="1">
        <f t="shared" si="4"/>
        <v>6.7799219074722519</v>
      </c>
      <c r="J83" s="1">
        <f t="shared" si="4"/>
        <v>1.6094379124341003</v>
      </c>
      <c r="K83" s="1">
        <f t="shared" si="5"/>
        <v>0.91629073187415511</v>
      </c>
    </row>
    <row r="84" spans="1:11">
      <c r="A84" s="483">
        <f t="shared" si="6"/>
        <v>78</v>
      </c>
      <c r="B84" s="485">
        <v>30378</v>
      </c>
      <c r="C84" s="473">
        <v>0.74930555555555556</v>
      </c>
      <c r="D84" s="484" t="s">
        <v>120</v>
      </c>
      <c r="E84" s="472" t="s">
        <v>124</v>
      </c>
      <c r="F84" s="486">
        <v>880</v>
      </c>
      <c r="G84" s="486">
        <v>5</v>
      </c>
      <c r="H84" s="614">
        <f t="shared" si="7"/>
        <v>2.5</v>
      </c>
      <c r="I84" s="1">
        <f t="shared" si="4"/>
        <v>6.7799219074722519</v>
      </c>
      <c r="J84" s="1">
        <f t="shared" si="4"/>
        <v>1.6094379124341003</v>
      </c>
      <c r="K84" s="1">
        <f t="shared" si="5"/>
        <v>0.91629073187415511</v>
      </c>
    </row>
    <row r="85" spans="1:11">
      <c r="A85" s="483">
        <f t="shared" si="6"/>
        <v>79</v>
      </c>
      <c r="B85" s="485">
        <v>31539</v>
      </c>
      <c r="C85" s="473">
        <v>0.6791666666666667</v>
      </c>
      <c r="D85" s="484" t="s">
        <v>111</v>
      </c>
      <c r="E85" s="472" t="s">
        <v>124</v>
      </c>
      <c r="F85" s="486">
        <v>100</v>
      </c>
      <c r="G85" s="486">
        <v>8</v>
      </c>
      <c r="H85" s="614">
        <f t="shared" si="7"/>
        <v>0.45454545454545453</v>
      </c>
      <c r="I85" s="1">
        <f t="shared" si="4"/>
        <v>4.6051701859880918</v>
      </c>
      <c r="J85" s="1">
        <f t="shared" si="4"/>
        <v>2.0794415416798357</v>
      </c>
      <c r="K85" s="1">
        <f t="shared" si="5"/>
        <v>-0.78845736036427017</v>
      </c>
    </row>
    <row r="86" spans="1:11">
      <c r="A86" s="483">
        <f t="shared" si="6"/>
        <v>80</v>
      </c>
      <c r="B86" s="485">
        <v>31858</v>
      </c>
      <c r="C86" s="473">
        <v>0.81388888888888899</v>
      </c>
      <c r="D86" s="484" t="s">
        <v>101</v>
      </c>
      <c r="E86" s="472" t="s">
        <v>124</v>
      </c>
      <c r="F86" s="486">
        <v>83</v>
      </c>
      <c r="G86" s="486">
        <v>10</v>
      </c>
      <c r="H86" s="614">
        <f t="shared" si="7"/>
        <v>0.47159090909090906</v>
      </c>
      <c r="I86" s="1">
        <f t="shared" si="4"/>
        <v>4.4188406077965983</v>
      </c>
      <c r="J86" s="1">
        <f t="shared" si="4"/>
        <v>2.3025850929940459</v>
      </c>
      <c r="K86" s="1">
        <f t="shared" si="5"/>
        <v>-0.75164338724155388</v>
      </c>
    </row>
    <row r="87" spans="1:11">
      <c r="A87" s="483">
        <f t="shared" si="6"/>
        <v>81</v>
      </c>
      <c r="B87" s="485">
        <v>31922</v>
      </c>
      <c r="C87" s="473">
        <v>0.77083333333333337</v>
      </c>
      <c r="D87" s="484" t="s">
        <v>118</v>
      </c>
      <c r="E87" s="472" t="s">
        <v>124</v>
      </c>
      <c r="F87" s="486">
        <v>150</v>
      </c>
      <c r="G87" s="486">
        <v>6</v>
      </c>
      <c r="H87" s="614">
        <f t="shared" si="7"/>
        <v>0.51136363636363635</v>
      </c>
      <c r="I87" s="1">
        <f t="shared" si="4"/>
        <v>5.0106352940962555</v>
      </c>
      <c r="J87" s="1">
        <f t="shared" si="4"/>
        <v>1.791759469228055</v>
      </c>
      <c r="K87" s="1">
        <f t="shared" si="5"/>
        <v>-0.67067432470788668</v>
      </c>
    </row>
    <row r="88" spans="1:11">
      <c r="A88" s="483">
        <f t="shared" si="6"/>
        <v>82</v>
      </c>
      <c r="B88" s="485">
        <v>31922</v>
      </c>
      <c r="C88" s="473">
        <v>0.77430555555555547</v>
      </c>
      <c r="D88" s="484" t="s">
        <v>119</v>
      </c>
      <c r="E88" s="472" t="s">
        <v>124</v>
      </c>
      <c r="F88" s="486">
        <v>150</v>
      </c>
      <c r="G88" s="486">
        <v>4</v>
      </c>
      <c r="H88" s="614">
        <f t="shared" si="7"/>
        <v>0.34090909090909088</v>
      </c>
      <c r="I88" s="1">
        <f t="shared" si="4"/>
        <v>5.0106352940962555</v>
      </c>
      <c r="J88" s="1">
        <f t="shared" si="4"/>
        <v>1.3862943611198906</v>
      </c>
      <c r="K88" s="1">
        <f t="shared" si="5"/>
        <v>-1.0761394328160512</v>
      </c>
    </row>
    <row r="89" spans="1:11">
      <c r="A89" s="483">
        <f t="shared" si="6"/>
        <v>83</v>
      </c>
      <c r="B89" s="485">
        <v>31922</v>
      </c>
      <c r="C89" s="473">
        <v>0.875</v>
      </c>
      <c r="D89" s="484" t="s">
        <v>118</v>
      </c>
      <c r="E89" s="472" t="s">
        <v>124</v>
      </c>
      <c r="F89" s="486">
        <v>150</v>
      </c>
      <c r="G89" s="486">
        <v>2</v>
      </c>
      <c r="H89" s="614">
        <f t="shared" si="7"/>
        <v>0.17045454545454544</v>
      </c>
      <c r="I89" s="1">
        <f t="shared" si="4"/>
        <v>5.0106352940962555</v>
      </c>
      <c r="J89" s="1">
        <f t="shared" si="4"/>
        <v>0.69314718055994529</v>
      </c>
      <c r="K89" s="1">
        <f t="shared" si="5"/>
        <v>-1.7692866133759966</v>
      </c>
    </row>
    <row r="90" spans="1:11">
      <c r="A90" s="483">
        <f t="shared" si="6"/>
        <v>84</v>
      </c>
      <c r="B90" s="485">
        <v>31930</v>
      </c>
      <c r="C90" s="473">
        <v>0.59722222222222221</v>
      </c>
      <c r="D90" s="484" t="s">
        <v>106</v>
      </c>
      <c r="E90" s="472" t="s">
        <v>124</v>
      </c>
      <c r="F90" s="486">
        <v>1600</v>
      </c>
      <c r="G90" s="486">
        <v>6</v>
      </c>
      <c r="H90" s="614">
        <f t="shared" si="7"/>
        <v>5.4545454545454541</v>
      </c>
      <c r="I90" s="1">
        <f t="shared" si="4"/>
        <v>7.3777589082278725</v>
      </c>
      <c r="J90" s="1">
        <f t="shared" si="4"/>
        <v>1.791759469228055</v>
      </c>
      <c r="K90" s="1">
        <f t="shared" si="5"/>
        <v>1.69644928942373</v>
      </c>
    </row>
    <row r="91" spans="1:11">
      <c r="A91" s="483">
        <f t="shared" si="6"/>
        <v>85</v>
      </c>
      <c r="B91" s="485">
        <v>31930</v>
      </c>
      <c r="C91" s="473">
        <v>0.63541666666666663</v>
      </c>
      <c r="D91" s="484" t="s">
        <v>106</v>
      </c>
      <c r="E91" s="472" t="s">
        <v>124</v>
      </c>
      <c r="F91" s="486">
        <v>1600</v>
      </c>
      <c r="G91" s="486">
        <v>7.5</v>
      </c>
      <c r="H91" s="614">
        <f t="shared" si="7"/>
        <v>6.8181818181818183</v>
      </c>
      <c r="I91" s="1">
        <f t="shared" si="4"/>
        <v>7.3777589082278725</v>
      </c>
      <c r="J91" s="1">
        <f t="shared" si="4"/>
        <v>2.0149030205422647</v>
      </c>
      <c r="K91" s="1">
        <f t="shared" si="5"/>
        <v>1.9195928407379399</v>
      </c>
    </row>
    <row r="92" spans="1:11">
      <c r="A92" s="483">
        <f t="shared" si="6"/>
        <v>86</v>
      </c>
      <c r="B92" s="485">
        <v>31959</v>
      </c>
      <c r="C92" s="473">
        <v>0.8125</v>
      </c>
      <c r="D92" s="484" t="s">
        <v>114</v>
      </c>
      <c r="E92" s="472" t="s">
        <v>124</v>
      </c>
      <c r="F92" s="486">
        <v>200</v>
      </c>
      <c r="G92" s="486">
        <v>4.5</v>
      </c>
      <c r="H92" s="614">
        <f t="shared" si="7"/>
        <v>0.51136363636363635</v>
      </c>
      <c r="I92" s="1">
        <f t="shared" si="4"/>
        <v>5.2983173665480363</v>
      </c>
      <c r="J92" s="1">
        <f t="shared" si="4"/>
        <v>1.5040773967762742</v>
      </c>
      <c r="K92" s="1">
        <f t="shared" si="5"/>
        <v>-0.67067432470788668</v>
      </c>
    </row>
    <row r="93" spans="1:11">
      <c r="A93" s="483">
        <f t="shared" si="6"/>
        <v>87</v>
      </c>
      <c r="B93" s="485">
        <v>31959</v>
      </c>
      <c r="C93" s="473">
        <v>0.87291666666666667</v>
      </c>
      <c r="D93" s="484" t="s">
        <v>114</v>
      </c>
      <c r="E93" s="472" t="s">
        <v>124</v>
      </c>
      <c r="F93" s="486">
        <v>150</v>
      </c>
      <c r="G93" s="486">
        <v>3</v>
      </c>
      <c r="H93" s="614">
        <f t="shared" si="7"/>
        <v>0.25568181818181818</v>
      </c>
      <c r="I93" s="1">
        <f t="shared" si="4"/>
        <v>5.0106352940962555</v>
      </c>
      <c r="J93" s="1">
        <f t="shared" si="4"/>
        <v>1.0986122886681098</v>
      </c>
      <c r="K93" s="1">
        <f t="shared" si="5"/>
        <v>-1.363821505267832</v>
      </c>
    </row>
    <row r="94" spans="1:11">
      <c r="A94" s="483">
        <f t="shared" si="6"/>
        <v>88</v>
      </c>
      <c r="B94" s="485">
        <v>31959</v>
      </c>
      <c r="C94" s="473">
        <v>0.88194444444444453</v>
      </c>
      <c r="D94" s="484" t="s">
        <v>119</v>
      </c>
      <c r="E94" s="472" t="s">
        <v>124</v>
      </c>
      <c r="F94" s="486">
        <v>150</v>
      </c>
      <c r="G94" s="486">
        <v>6</v>
      </c>
      <c r="H94" s="614">
        <f t="shared" si="7"/>
        <v>0.51136363636363635</v>
      </c>
      <c r="I94" s="1">
        <f t="shared" si="4"/>
        <v>5.0106352940962555</v>
      </c>
      <c r="J94" s="1">
        <f t="shared" si="4"/>
        <v>1.791759469228055</v>
      </c>
      <c r="K94" s="1">
        <f t="shared" si="5"/>
        <v>-0.67067432470788668</v>
      </c>
    </row>
    <row r="95" spans="1:11">
      <c r="A95" s="483">
        <f t="shared" si="6"/>
        <v>89</v>
      </c>
      <c r="B95" s="485">
        <v>31972</v>
      </c>
      <c r="C95" s="473">
        <v>0.75</v>
      </c>
      <c r="D95" s="484" t="s">
        <v>115</v>
      </c>
      <c r="E95" s="472" t="s">
        <v>124</v>
      </c>
      <c r="F95" s="486">
        <v>150</v>
      </c>
      <c r="G95" s="486">
        <v>4.5</v>
      </c>
      <c r="H95" s="614">
        <f t="shared" si="7"/>
        <v>0.38352272727272724</v>
      </c>
      <c r="I95" s="1">
        <f t="shared" si="4"/>
        <v>5.0106352940962555</v>
      </c>
      <c r="J95" s="1">
        <f t="shared" si="4"/>
        <v>1.5040773967762742</v>
      </c>
      <c r="K95" s="1">
        <f t="shared" si="5"/>
        <v>-0.95835639715966769</v>
      </c>
    </row>
    <row r="96" spans="1:11">
      <c r="A96" s="483">
        <f t="shared" si="6"/>
        <v>90</v>
      </c>
      <c r="B96" s="485">
        <v>32400</v>
      </c>
      <c r="C96" s="473">
        <v>0.875</v>
      </c>
      <c r="D96" s="484" t="s">
        <v>118</v>
      </c>
      <c r="E96" s="472" t="s">
        <v>124</v>
      </c>
      <c r="F96" s="486">
        <v>173</v>
      </c>
      <c r="G96" s="486">
        <v>0.7</v>
      </c>
      <c r="H96" s="614">
        <f t="shared" si="7"/>
        <v>6.8806818181818177E-2</v>
      </c>
      <c r="I96" s="1">
        <f t="shared" si="4"/>
        <v>5.1532915944977793</v>
      </c>
      <c r="J96" s="1">
        <f t="shared" si="4"/>
        <v>-0.35667494393873245</v>
      </c>
      <c r="K96" s="1">
        <f t="shared" si="5"/>
        <v>-2.6764524374731509</v>
      </c>
    </row>
    <row r="97" spans="1:11">
      <c r="A97" s="483">
        <f t="shared" si="6"/>
        <v>91</v>
      </c>
      <c r="B97" s="485">
        <v>32640</v>
      </c>
      <c r="C97" s="473">
        <v>0.72638888888888886</v>
      </c>
      <c r="D97" s="484" t="s">
        <v>107</v>
      </c>
      <c r="E97" s="472" t="s">
        <v>124</v>
      </c>
      <c r="F97" s="486">
        <v>200</v>
      </c>
      <c r="G97" s="486">
        <v>7</v>
      </c>
      <c r="H97" s="614">
        <f t="shared" si="7"/>
        <v>0.79545454545454541</v>
      </c>
      <c r="I97" s="1">
        <f t="shared" si="4"/>
        <v>5.2983173665480363</v>
      </c>
      <c r="J97" s="1">
        <f t="shared" si="4"/>
        <v>1.9459101490553132</v>
      </c>
      <c r="K97" s="1">
        <f t="shared" si="5"/>
        <v>-0.22884157242884753</v>
      </c>
    </row>
    <row r="98" spans="1:11">
      <c r="A98" s="483">
        <f t="shared" si="6"/>
        <v>92</v>
      </c>
      <c r="B98" s="485">
        <v>32644</v>
      </c>
      <c r="C98" s="473">
        <v>0.69097222222222221</v>
      </c>
      <c r="D98" s="484" t="s">
        <v>118</v>
      </c>
      <c r="E98" s="472" t="s">
        <v>124</v>
      </c>
      <c r="F98" s="486">
        <v>300</v>
      </c>
      <c r="G98" s="486">
        <v>10</v>
      </c>
      <c r="H98" s="614">
        <f t="shared" si="7"/>
        <v>1.7045454545454544</v>
      </c>
      <c r="I98" s="1">
        <f t="shared" si="4"/>
        <v>5.7037824746562009</v>
      </c>
      <c r="J98" s="1">
        <f t="shared" si="4"/>
        <v>2.3025850929940459</v>
      </c>
      <c r="K98" s="1">
        <f t="shared" si="5"/>
        <v>0.53329847961804921</v>
      </c>
    </row>
    <row r="99" spans="1:11">
      <c r="A99" s="483">
        <f t="shared" si="6"/>
        <v>93</v>
      </c>
      <c r="B99" s="485">
        <v>33024</v>
      </c>
      <c r="C99" s="473">
        <v>0.80208333333333337</v>
      </c>
      <c r="D99" s="484" t="s">
        <v>104</v>
      </c>
      <c r="E99" s="472" t="s">
        <v>124</v>
      </c>
      <c r="F99" s="486">
        <v>600</v>
      </c>
      <c r="G99" s="486">
        <v>5.5</v>
      </c>
      <c r="H99" s="614">
        <f t="shared" si="7"/>
        <v>1.8749999999999998</v>
      </c>
      <c r="I99" s="1">
        <f t="shared" si="4"/>
        <v>6.3969296552161463</v>
      </c>
      <c r="J99" s="1">
        <f t="shared" si="4"/>
        <v>1.7047480922384253</v>
      </c>
      <c r="K99" s="1">
        <f t="shared" si="5"/>
        <v>0.62860865942237398</v>
      </c>
    </row>
    <row r="100" spans="1:11">
      <c r="A100" s="483">
        <f t="shared" si="6"/>
        <v>94</v>
      </c>
      <c r="B100" s="485">
        <v>33024</v>
      </c>
      <c r="C100" s="473">
        <v>0.90625</v>
      </c>
      <c r="D100" s="484" t="s">
        <v>105</v>
      </c>
      <c r="E100" s="472" t="s">
        <v>124</v>
      </c>
      <c r="F100" s="486">
        <v>450</v>
      </c>
      <c r="G100" s="486">
        <v>3</v>
      </c>
      <c r="H100" s="614">
        <f t="shared" si="7"/>
        <v>0.76704545454545459</v>
      </c>
      <c r="I100" s="1">
        <f t="shared" si="4"/>
        <v>6.1092475827643655</v>
      </c>
      <c r="J100" s="1">
        <f t="shared" si="4"/>
        <v>1.0986122886681098</v>
      </c>
      <c r="K100" s="1">
        <f t="shared" si="5"/>
        <v>-0.2652092165997223</v>
      </c>
    </row>
    <row r="101" spans="1:11">
      <c r="A101" s="483">
        <f t="shared" si="6"/>
        <v>95</v>
      </c>
      <c r="B101" s="485">
        <v>33032</v>
      </c>
      <c r="C101" s="473">
        <v>0.7944444444444444</v>
      </c>
      <c r="D101" s="484" t="s">
        <v>114</v>
      </c>
      <c r="E101" s="472" t="s">
        <v>124</v>
      </c>
      <c r="F101" s="486">
        <v>300</v>
      </c>
      <c r="G101" s="486">
        <v>2.6</v>
      </c>
      <c r="H101" s="614">
        <f t="shared" si="7"/>
        <v>0.44318181818181818</v>
      </c>
      <c r="I101" s="1">
        <f t="shared" si="4"/>
        <v>5.7037824746562009</v>
      </c>
      <c r="J101" s="1">
        <f t="shared" si="4"/>
        <v>0.95551144502743635</v>
      </c>
      <c r="K101" s="1">
        <f t="shared" si="5"/>
        <v>-0.81377516834856001</v>
      </c>
    </row>
    <row r="102" spans="1:11">
      <c r="A102" s="483">
        <f t="shared" si="6"/>
        <v>96</v>
      </c>
      <c r="B102" s="485">
        <v>33032</v>
      </c>
      <c r="C102" s="473">
        <v>0.86805555555555547</v>
      </c>
      <c r="D102" s="484" t="s">
        <v>116</v>
      </c>
      <c r="E102" s="472" t="s">
        <v>124</v>
      </c>
      <c r="F102" s="486">
        <v>200</v>
      </c>
      <c r="G102" s="486">
        <v>1.6</v>
      </c>
      <c r="H102" s="614">
        <f t="shared" si="7"/>
        <v>0.18181818181818182</v>
      </c>
      <c r="I102" s="1">
        <f t="shared" si="4"/>
        <v>5.2983173665480363</v>
      </c>
      <c r="J102" s="1">
        <f t="shared" si="4"/>
        <v>0.47000362924573563</v>
      </c>
      <c r="K102" s="1">
        <f t="shared" si="5"/>
        <v>-1.7047480922384253</v>
      </c>
    </row>
    <row r="103" spans="1:11">
      <c r="A103" s="483">
        <f t="shared" si="6"/>
        <v>97</v>
      </c>
      <c r="B103" s="485">
        <v>33782</v>
      </c>
      <c r="C103" s="473">
        <v>0.79583333333333339</v>
      </c>
      <c r="D103" s="484" t="s">
        <v>109</v>
      </c>
      <c r="E103" s="472" t="s">
        <v>124</v>
      </c>
      <c r="F103" s="486">
        <v>150</v>
      </c>
      <c r="G103" s="486">
        <v>4</v>
      </c>
      <c r="H103" s="614">
        <f t="shared" si="7"/>
        <v>0.34090909090909088</v>
      </c>
      <c r="I103" s="1">
        <f t="shared" si="4"/>
        <v>5.0106352940962555</v>
      </c>
      <c r="J103" s="1">
        <f t="shared" si="4"/>
        <v>1.3862943611198906</v>
      </c>
      <c r="K103" s="1">
        <f t="shared" si="5"/>
        <v>-1.0761394328160512</v>
      </c>
    </row>
    <row r="104" spans="1:11">
      <c r="A104" s="483">
        <f t="shared" si="6"/>
        <v>98</v>
      </c>
      <c r="B104" s="485">
        <v>34826</v>
      </c>
      <c r="C104" s="473">
        <v>2.7777777777777776E-2</v>
      </c>
      <c r="D104" s="484" t="s">
        <v>118</v>
      </c>
      <c r="E104" s="472" t="s">
        <v>124</v>
      </c>
      <c r="F104" s="486">
        <v>200</v>
      </c>
      <c r="G104" s="486">
        <v>12</v>
      </c>
      <c r="H104" s="614">
        <f t="shared" si="7"/>
        <v>1.3636363636363635</v>
      </c>
      <c r="I104" s="1">
        <f t="shared" si="4"/>
        <v>5.2983173665480363</v>
      </c>
      <c r="J104" s="1">
        <f t="shared" si="4"/>
        <v>2.4849066497880004</v>
      </c>
      <c r="K104" s="1">
        <f t="shared" si="5"/>
        <v>0.31015492830383945</v>
      </c>
    </row>
    <row r="105" spans="1:11">
      <c r="A105" s="483">
        <f t="shared" si="6"/>
        <v>99</v>
      </c>
      <c r="B105" s="485">
        <v>34858</v>
      </c>
      <c r="C105" s="473">
        <v>0.65972222222222221</v>
      </c>
      <c r="D105" s="484" t="s">
        <v>115</v>
      </c>
      <c r="E105" s="472" t="s">
        <v>124</v>
      </c>
      <c r="F105" s="486">
        <v>400</v>
      </c>
      <c r="G105" s="486">
        <v>6</v>
      </c>
      <c r="H105" s="614">
        <f t="shared" si="7"/>
        <v>1.3636363636363635</v>
      </c>
      <c r="I105" s="1">
        <f t="shared" si="4"/>
        <v>5.9914645471079817</v>
      </c>
      <c r="J105" s="1">
        <f t="shared" si="4"/>
        <v>1.791759469228055</v>
      </c>
      <c r="K105" s="1">
        <f t="shared" si="5"/>
        <v>0.31015492830383945</v>
      </c>
    </row>
    <row r="106" spans="1:11">
      <c r="A106" s="483">
        <f t="shared" si="6"/>
        <v>100</v>
      </c>
      <c r="B106" s="485">
        <v>34858</v>
      </c>
      <c r="C106" s="473">
        <v>0.70486111111111116</v>
      </c>
      <c r="D106" s="495" t="s">
        <v>120</v>
      </c>
      <c r="E106" s="496" t="s">
        <v>124</v>
      </c>
      <c r="F106" s="497">
        <v>500</v>
      </c>
      <c r="G106" s="497">
        <v>10</v>
      </c>
      <c r="H106" s="614">
        <f t="shared" si="7"/>
        <v>2.8409090909090913</v>
      </c>
      <c r="I106" s="1">
        <f t="shared" si="4"/>
        <v>6.2146080984221914</v>
      </c>
      <c r="J106" s="1">
        <f t="shared" si="4"/>
        <v>2.3025850929940459</v>
      </c>
      <c r="K106" s="1">
        <f t="shared" si="5"/>
        <v>1.04412410338404</v>
      </c>
    </row>
    <row r="107" spans="1:11">
      <c r="A107" s="483">
        <f t="shared" si="6"/>
        <v>101</v>
      </c>
      <c r="B107" s="485">
        <v>34858</v>
      </c>
      <c r="C107" s="473">
        <v>0.70763888888888893</v>
      </c>
      <c r="D107" s="495" t="s">
        <v>115</v>
      </c>
      <c r="E107" s="496" t="s">
        <v>124</v>
      </c>
      <c r="F107" s="497">
        <v>300</v>
      </c>
      <c r="G107" s="497">
        <v>4</v>
      </c>
      <c r="H107" s="614">
        <f t="shared" si="7"/>
        <v>0.68181818181818177</v>
      </c>
      <c r="I107" s="1">
        <f t="shared" si="4"/>
        <v>5.7037824746562009</v>
      </c>
      <c r="J107" s="1">
        <f t="shared" si="4"/>
        <v>1.3862943611198906</v>
      </c>
      <c r="K107" s="1">
        <f t="shared" si="5"/>
        <v>-0.38299225225610584</v>
      </c>
    </row>
    <row r="108" spans="1:11">
      <c r="A108" s="483">
        <f t="shared" si="6"/>
        <v>102</v>
      </c>
      <c r="B108" s="485">
        <v>34858</v>
      </c>
      <c r="C108" s="473">
        <v>0.71527777777777779</v>
      </c>
      <c r="D108" s="495" t="s">
        <v>120</v>
      </c>
      <c r="E108" s="496" t="s">
        <v>124</v>
      </c>
      <c r="F108" s="497">
        <v>400</v>
      </c>
      <c r="G108" s="497">
        <v>4</v>
      </c>
      <c r="H108" s="614">
        <f t="shared" si="7"/>
        <v>0.90909090909090906</v>
      </c>
      <c r="I108" s="1">
        <f t="shared" si="4"/>
        <v>5.9914645471079817</v>
      </c>
      <c r="J108" s="1">
        <f t="shared" si="4"/>
        <v>1.3862943611198906</v>
      </c>
      <c r="K108" s="1">
        <f t="shared" si="5"/>
        <v>-9.5310179804324893E-2</v>
      </c>
    </row>
    <row r="109" spans="1:11">
      <c r="A109" s="483">
        <f t="shared" si="6"/>
        <v>103</v>
      </c>
      <c r="B109" s="485">
        <v>34858</v>
      </c>
      <c r="C109" s="473">
        <v>0.72083333333333333</v>
      </c>
      <c r="D109" s="484" t="s">
        <v>115</v>
      </c>
      <c r="E109" s="472" t="s">
        <v>124</v>
      </c>
      <c r="F109" s="486">
        <v>300</v>
      </c>
      <c r="G109" s="486">
        <v>5</v>
      </c>
      <c r="H109" s="614">
        <f t="shared" si="7"/>
        <v>0.85227272727272718</v>
      </c>
      <c r="I109" s="1">
        <f t="shared" si="4"/>
        <v>5.7037824746562009</v>
      </c>
      <c r="J109" s="1">
        <f t="shared" si="4"/>
        <v>1.6094379124341003</v>
      </c>
      <c r="K109" s="1">
        <f t="shared" si="5"/>
        <v>-0.15984870094189613</v>
      </c>
    </row>
    <row r="110" spans="1:11">
      <c r="A110" s="483">
        <f t="shared" si="6"/>
        <v>104</v>
      </c>
      <c r="B110" s="485">
        <v>35210</v>
      </c>
      <c r="C110" s="473">
        <v>0.70416666666666661</v>
      </c>
      <c r="D110" s="484" t="s">
        <v>117</v>
      </c>
      <c r="E110" s="472" t="s">
        <v>124</v>
      </c>
      <c r="F110" s="486">
        <v>200</v>
      </c>
      <c r="G110" s="486">
        <v>3</v>
      </c>
      <c r="H110" s="614">
        <f t="shared" si="7"/>
        <v>0.34090909090909088</v>
      </c>
      <c r="I110" s="1">
        <f t="shared" si="4"/>
        <v>5.2983173665480363</v>
      </c>
      <c r="J110" s="1">
        <f t="shared" si="4"/>
        <v>1.0986122886681098</v>
      </c>
      <c r="K110" s="1">
        <f t="shared" si="5"/>
        <v>-1.0761394328160512</v>
      </c>
    </row>
    <row r="111" spans="1:11">
      <c r="A111" s="483">
        <f t="shared" si="6"/>
        <v>105</v>
      </c>
      <c r="B111" s="485">
        <v>36991</v>
      </c>
      <c r="C111" s="473">
        <v>0.92083333333333339</v>
      </c>
      <c r="D111" s="484" t="s">
        <v>104</v>
      </c>
      <c r="E111" s="472" t="s">
        <v>124</v>
      </c>
      <c r="F111" s="486">
        <v>200</v>
      </c>
      <c r="G111" s="486">
        <v>4</v>
      </c>
      <c r="H111" s="614">
        <f t="shared" si="7"/>
        <v>0.45454545454545453</v>
      </c>
      <c r="I111" s="1">
        <f t="shared" si="4"/>
        <v>5.2983173665480363</v>
      </c>
      <c r="J111" s="1">
        <f t="shared" si="4"/>
        <v>1.3862943611198906</v>
      </c>
      <c r="K111" s="1">
        <f t="shared" si="5"/>
        <v>-0.78845736036427017</v>
      </c>
    </row>
    <row r="112" spans="1:11">
      <c r="A112" s="483">
        <f t="shared" si="6"/>
        <v>106</v>
      </c>
      <c r="B112" s="485">
        <v>36991</v>
      </c>
      <c r="C112" s="473">
        <v>0.94444444444444453</v>
      </c>
      <c r="D112" s="484" t="s">
        <v>101</v>
      </c>
      <c r="E112" s="472" t="s">
        <v>124</v>
      </c>
      <c r="F112" s="486">
        <v>200</v>
      </c>
      <c r="G112" s="486">
        <v>12</v>
      </c>
      <c r="H112" s="614">
        <f t="shared" si="7"/>
        <v>1.3636363636363635</v>
      </c>
      <c r="I112" s="1">
        <f t="shared" si="4"/>
        <v>5.2983173665480363</v>
      </c>
      <c r="J112" s="1">
        <f t="shared" si="4"/>
        <v>2.4849066497880004</v>
      </c>
      <c r="K112" s="1">
        <f t="shared" si="5"/>
        <v>0.31015492830383945</v>
      </c>
    </row>
    <row r="113" spans="1:11">
      <c r="A113" s="483">
        <f t="shared" si="6"/>
        <v>107</v>
      </c>
      <c r="B113" s="485">
        <v>36991</v>
      </c>
      <c r="C113" s="473">
        <v>0.97013888888888899</v>
      </c>
      <c r="D113" s="484" t="s">
        <v>116</v>
      </c>
      <c r="E113" s="472" t="s">
        <v>124</v>
      </c>
      <c r="F113" s="486">
        <v>200</v>
      </c>
      <c r="G113" s="486">
        <v>6</v>
      </c>
      <c r="H113" s="614">
        <f t="shared" si="7"/>
        <v>0.68181818181818177</v>
      </c>
      <c r="I113" s="1">
        <f t="shared" si="4"/>
        <v>5.2983173665480363</v>
      </c>
      <c r="J113" s="1">
        <f t="shared" si="4"/>
        <v>1.791759469228055</v>
      </c>
      <c r="K113" s="1">
        <f t="shared" si="5"/>
        <v>-0.38299225225610584</v>
      </c>
    </row>
    <row r="114" spans="1:11">
      <c r="A114" s="483">
        <f t="shared" si="6"/>
        <v>108</v>
      </c>
      <c r="B114" s="485">
        <v>37381</v>
      </c>
      <c r="C114" s="473">
        <v>0.74652777777777779</v>
      </c>
      <c r="D114" s="484" t="s">
        <v>118</v>
      </c>
      <c r="E114" s="472" t="s">
        <v>124</v>
      </c>
      <c r="F114" s="486">
        <v>150</v>
      </c>
      <c r="G114" s="486">
        <v>2</v>
      </c>
      <c r="H114" s="614">
        <f t="shared" si="7"/>
        <v>0.17045454545454544</v>
      </c>
      <c r="I114" s="1">
        <f t="shared" si="4"/>
        <v>5.0106352940962555</v>
      </c>
      <c r="J114" s="1">
        <f t="shared" si="4"/>
        <v>0.69314718055994529</v>
      </c>
      <c r="K114" s="1">
        <f t="shared" si="5"/>
        <v>-1.7692866133759966</v>
      </c>
    </row>
    <row r="115" spans="1:11">
      <c r="A115" s="483">
        <f t="shared" si="6"/>
        <v>109</v>
      </c>
      <c r="B115" s="485">
        <v>37756</v>
      </c>
      <c r="C115" s="473">
        <v>0.90555555555555556</v>
      </c>
      <c r="D115" s="484" t="s">
        <v>116</v>
      </c>
      <c r="E115" s="472" t="s">
        <v>124</v>
      </c>
      <c r="F115" s="486">
        <v>1760</v>
      </c>
      <c r="G115" s="486">
        <v>9.1999999999999993</v>
      </c>
      <c r="H115" s="614">
        <f t="shared" si="7"/>
        <v>9.1999999999999993</v>
      </c>
      <c r="I115" s="1">
        <f t="shared" si="4"/>
        <v>7.4730690880321973</v>
      </c>
      <c r="J115" s="1">
        <f t="shared" si="4"/>
        <v>2.2192034840549946</v>
      </c>
      <c r="K115" s="1">
        <f t="shared" si="5"/>
        <v>2.2192034840549946</v>
      </c>
    </row>
    <row r="116" spans="1:11">
      <c r="A116" s="483">
        <f t="shared" si="6"/>
        <v>110</v>
      </c>
      <c r="B116" s="485">
        <v>39169</v>
      </c>
      <c r="C116" s="473">
        <v>0.76111111111111107</v>
      </c>
      <c r="D116" s="484" t="s">
        <v>106</v>
      </c>
      <c r="E116" s="472" t="s">
        <v>160</v>
      </c>
      <c r="F116" s="486">
        <v>150</v>
      </c>
      <c r="G116" s="486">
        <v>6</v>
      </c>
      <c r="H116" s="614">
        <f t="shared" si="7"/>
        <v>0.51136363636363635</v>
      </c>
      <c r="I116" s="1">
        <f t="shared" si="4"/>
        <v>5.0106352940962555</v>
      </c>
      <c r="J116" s="1">
        <f t="shared" si="4"/>
        <v>1.791759469228055</v>
      </c>
      <c r="K116" s="1">
        <f t="shared" si="5"/>
        <v>-0.67067432470788668</v>
      </c>
    </row>
    <row r="117" spans="1:11">
      <c r="A117" s="483">
        <f t="shared" si="6"/>
        <v>111</v>
      </c>
      <c r="B117" s="485">
        <v>39169</v>
      </c>
      <c r="C117" s="473">
        <v>0.76944444444444438</v>
      </c>
      <c r="D117" s="484" t="s">
        <v>101</v>
      </c>
      <c r="E117" s="472" t="s">
        <v>160</v>
      </c>
      <c r="F117" s="486">
        <v>150</v>
      </c>
      <c r="G117" s="486">
        <v>16</v>
      </c>
      <c r="H117" s="614">
        <f t="shared" si="7"/>
        <v>1.3636363636363635</v>
      </c>
      <c r="I117" s="1">
        <f t="shared" si="4"/>
        <v>5.0106352940962555</v>
      </c>
      <c r="J117" s="1">
        <f t="shared" si="4"/>
        <v>2.7725887222397811</v>
      </c>
      <c r="K117" s="1">
        <f t="shared" si="5"/>
        <v>0.31015492830383945</v>
      </c>
    </row>
    <row r="118" spans="1:11">
      <c r="A118" s="483">
        <f t="shared" si="6"/>
        <v>112</v>
      </c>
      <c r="B118" s="485">
        <v>39169</v>
      </c>
      <c r="C118" s="473">
        <v>0.78194444444444444</v>
      </c>
      <c r="D118" s="484" t="s">
        <v>120</v>
      </c>
      <c r="E118" s="472" t="s">
        <v>160</v>
      </c>
      <c r="F118" s="486">
        <v>528</v>
      </c>
      <c r="G118" s="486">
        <v>4.1500000000000004</v>
      </c>
      <c r="H118" s="614">
        <f t="shared" si="7"/>
        <v>1.2450000000000001</v>
      </c>
      <c r="I118" s="1">
        <f t="shared" si="4"/>
        <v>6.2690962837062614</v>
      </c>
      <c r="J118" s="1">
        <f t="shared" si="4"/>
        <v>1.423108334242607</v>
      </c>
      <c r="K118" s="1">
        <f t="shared" si="5"/>
        <v>0.21913552991667101</v>
      </c>
    </row>
    <row r="119" spans="1:11">
      <c r="A119" s="483">
        <f t="shared" si="6"/>
        <v>113</v>
      </c>
      <c r="B119" s="485">
        <v>39169</v>
      </c>
      <c r="C119" s="473">
        <v>0.7944444444444444</v>
      </c>
      <c r="D119" s="484" t="s">
        <v>101</v>
      </c>
      <c r="E119" s="472" t="s">
        <v>160</v>
      </c>
      <c r="F119" s="486">
        <v>100</v>
      </c>
      <c r="G119" s="486">
        <v>6</v>
      </c>
      <c r="H119" s="614">
        <f t="shared" si="7"/>
        <v>0.34090909090909088</v>
      </c>
      <c r="I119" s="1">
        <f t="shared" si="4"/>
        <v>4.6051701859880918</v>
      </c>
      <c r="J119" s="1">
        <f t="shared" si="4"/>
        <v>1.791759469228055</v>
      </c>
      <c r="K119" s="1">
        <f t="shared" si="5"/>
        <v>-1.0761394328160512</v>
      </c>
    </row>
    <row r="120" spans="1:11">
      <c r="A120" s="483">
        <f t="shared" si="6"/>
        <v>114</v>
      </c>
      <c r="B120" s="485">
        <v>39169</v>
      </c>
      <c r="C120" s="473">
        <v>0.80069444444444438</v>
      </c>
      <c r="D120" s="484" t="s">
        <v>120</v>
      </c>
      <c r="E120" s="472" t="s">
        <v>160</v>
      </c>
      <c r="F120" s="486">
        <v>200</v>
      </c>
      <c r="G120" s="486">
        <v>4.53</v>
      </c>
      <c r="H120" s="614">
        <f t="shared" si="7"/>
        <v>0.51477272727272727</v>
      </c>
      <c r="I120" s="1">
        <f t="shared" si="4"/>
        <v>5.2983173665480363</v>
      </c>
      <c r="J120" s="1">
        <f t="shared" si="4"/>
        <v>1.5107219394949427</v>
      </c>
      <c r="K120" s="1">
        <f t="shared" si="5"/>
        <v>-0.66402978198921814</v>
      </c>
    </row>
    <row r="121" spans="1:11">
      <c r="A121" s="483">
        <f t="shared" si="6"/>
        <v>115</v>
      </c>
      <c r="B121" s="485">
        <v>39169</v>
      </c>
      <c r="C121" s="473">
        <v>0.80763888888888891</v>
      </c>
      <c r="D121" s="484" t="s">
        <v>115</v>
      </c>
      <c r="E121" s="472" t="s">
        <v>160</v>
      </c>
      <c r="F121" s="486">
        <v>200</v>
      </c>
      <c r="G121" s="486">
        <v>3.61</v>
      </c>
      <c r="H121" s="614">
        <f t="shared" si="7"/>
        <v>0.41022727272727272</v>
      </c>
      <c r="I121" s="1">
        <f t="shared" si="4"/>
        <v>5.2983173665480363</v>
      </c>
      <c r="J121" s="1">
        <f t="shared" si="4"/>
        <v>1.2837077723447896</v>
      </c>
      <c r="K121" s="1">
        <f t="shared" si="5"/>
        <v>-0.89104394913937124</v>
      </c>
    </row>
    <row r="122" spans="1:11">
      <c r="A122" s="483">
        <f t="shared" si="6"/>
        <v>116</v>
      </c>
      <c r="B122" s="485">
        <v>39193</v>
      </c>
      <c r="C122" s="473">
        <v>0.76111111111111107</v>
      </c>
      <c r="D122" s="484" t="s">
        <v>108</v>
      </c>
      <c r="E122" s="472" t="s">
        <v>160</v>
      </c>
      <c r="F122" s="486">
        <v>1320</v>
      </c>
      <c r="G122" s="486">
        <v>19.670000000000002</v>
      </c>
      <c r="H122" s="614">
        <f t="shared" si="7"/>
        <v>14.752500000000001</v>
      </c>
      <c r="I122" s="1">
        <f t="shared" si="4"/>
        <v>7.1853870155804165</v>
      </c>
      <c r="J122" s="1">
        <f t="shared" si="4"/>
        <v>2.9790946324009679</v>
      </c>
      <c r="K122" s="1">
        <f t="shared" si="5"/>
        <v>2.6914125599491867</v>
      </c>
    </row>
    <row r="123" spans="1:11">
      <c r="A123" s="483">
        <f t="shared" si="6"/>
        <v>117</v>
      </c>
      <c r="B123" s="485">
        <v>39193</v>
      </c>
      <c r="C123" s="473">
        <v>0.77777777777777779</v>
      </c>
      <c r="D123" s="484" t="s">
        <v>103</v>
      </c>
      <c r="E123" s="472" t="s">
        <v>160</v>
      </c>
      <c r="F123" s="486">
        <v>1320</v>
      </c>
      <c r="G123" s="486">
        <v>7.05</v>
      </c>
      <c r="H123" s="614">
        <f t="shared" si="7"/>
        <v>5.2874999999999996</v>
      </c>
      <c r="I123" s="1">
        <f t="shared" si="4"/>
        <v>7.1853870155804165</v>
      </c>
      <c r="J123" s="1">
        <f t="shared" si="4"/>
        <v>1.9530276168241774</v>
      </c>
      <c r="K123" s="1">
        <f t="shared" si="5"/>
        <v>1.6653455443723963</v>
      </c>
    </row>
    <row r="124" spans="1:11">
      <c r="A124" s="483">
        <f t="shared" si="6"/>
        <v>118</v>
      </c>
      <c r="B124" s="485">
        <v>39193</v>
      </c>
      <c r="C124" s="473">
        <v>0.78472222222222221</v>
      </c>
      <c r="D124" s="484" t="s">
        <v>108</v>
      </c>
      <c r="E124" s="472" t="s">
        <v>160</v>
      </c>
      <c r="F124" s="486">
        <v>704</v>
      </c>
      <c r="G124" s="486">
        <v>11.93</v>
      </c>
      <c r="H124" s="614">
        <f t="shared" si="7"/>
        <v>4.7720000000000002</v>
      </c>
      <c r="I124" s="1">
        <f t="shared" si="4"/>
        <v>6.5567783561580422</v>
      </c>
      <c r="J124" s="1">
        <f t="shared" si="4"/>
        <v>2.4790562361098245</v>
      </c>
      <c r="K124" s="1">
        <f t="shared" si="5"/>
        <v>1.5627655042356696</v>
      </c>
    </row>
    <row r="125" spans="1:11">
      <c r="A125" s="483">
        <f t="shared" si="6"/>
        <v>119</v>
      </c>
      <c r="B125" s="485">
        <v>39193</v>
      </c>
      <c r="C125" s="473">
        <v>0.85763888888888884</v>
      </c>
      <c r="D125" s="484" t="s">
        <v>119</v>
      </c>
      <c r="E125" s="472" t="s">
        <v>160</v>
      </c>
      <c r="F125" s="486">
        <v>440</v>
      </c>
      <c r="G125" s="486">
        <v>0.5</v>
      </c>
      <c r="H125" s="614">
        <f t="shared" si="7"/>
        <v>0.125</v>
      </c>
      <c r="I125" s="1">
        <f t="shared" si="4"/>
        <v>6.0867747269123065</v>
      </c>
      <c r="J125" s="1">
        <f t="shared" si="4"/>
        <v>-0.69314718055994529</v>
      </c>
      <c r="K125" s="1">
        <f t="shared" si="5"/>
        <v>-2.0794415416798357</v>
      </c>
    </row>
    <row r="126" spans="1:11">
      <c r="A126" s="483">
        <f t="shared" si="6"/>
        <v>120</v>
      </c>
      <c r="B126" s="485">
        <v>39193</v>
      </c>
      <c r="C126" s="473">
        <v>0.85902777777777783</v>
      </c>
      <c r="D126" s="484" t="s">
        <v>114</v>
      </c>
      <c r="E126" s="472" t="s">
        <v>160</v>
      </c>
      <c r="F126" s="486">
        <v>440</v>
      </c>
      <c r="G126" s="486">
        <v>12.38</v>
      </c>
      <c r="H126" s="614">
        <f t="shared" si="7"/>
        <v>3.0950000000000002</v>
      </c>
      <c r="I126" s="1">
        <f t="shared" si="4"/>
        <v>6.0867747269123065</v>
      </c>
      <c r="J126" s="1">
        <f t="shared" si="4"/>
        <v>2.5160822672564502</v>
      </c>
      <c r="K126" s="1">
        <f t="shared" si="5"/>
        <v>1.1297879061365594</v>
      </c>
    </row>
    <row r="127" spans="1:11">
      <c r="A127" s="483">
        <f t="shared" si="6"/>
        <v>121</v>
      </c>
      <c r="B127" s="485">
        <v>39225</v>
      </c>
      <c r="C127" s="473">
        <v>0.90277777777777779</v>
      </c>
      <c r="D127" s="484" t="s">
        <v>106</v>
      </c>
      <c r="E127" s="472" t="s">
        <v>160</v>
      </c>
      <c r="F127" s="486">
        <v>440</v>
      </c>
      <c r="G127" s="486">
        <v>7</v>
      </c>
      <c r="H127" s="614">
        <f t="shared" si="7"/>
        <v>1.75</v>
      </c>
      <c r="I127" s="1">
        <f t="shared" si="4"/>
        <v>6.0867747269123065</v>
      </c>
      <c r="J127" s="1">
        <f t="shared" si="4"/>
        <v>1.9459101490553132</v>
      </c>
      <c r="K127" s="1">
        <f t="shared" si="5"/>
        <v>0.55961578793542266</v>
      </c>
    </row>
    <row r="128" spans="1:11">
      <c r="A128" s="483">
        <f t="shared" si="6"/>
        <v>122</v>
      </c>
      <c r="B128" s="485">
        <v>39225</v>
      </c>
      <c r="C128" s="473">
        <v>0.9243055555555556</v>
      </c>
      <c r="D128" s="484" t="s">
        <v>106</v>
      </c>
      <c r="E128" s="472" t="s">
        <v>160</v>
      </c>
      <c r="F128" s="486">
        <v>528</v>
      </c>
      <c r="G128" s="486">
        <v>8</v>
      </c>
      <c r="H128" s="614">
        <f t="shared" si="7"/>
        <v>2.4</v>
      </c>
      <c r="I128" s="1">
        <f t="shared" si="4"/>
        <v>6.2690962837062614</v>
      </c>
      <c r="J128" s="1">
        <f t="shared" si="4"/>
        <v>2.0794415416798357</v>
      </c>
      <c r="K128" s="1">
        <f t="shared" si="5"/>
        <v>0.87546873735389985</v>
      </c>
    </row>
    <row r="129" spans="1:11">
      <c r="A129" s="483">
        <f t="shared" si="6"/>
        <v>123</v>
      </c>
      <c r="B129" s="485">
        <v>39617</v>
      </c>
      <c r="C129" s="473">
        <v>0.83333333333333337</v>
      </c>
      <c r="D129" s="484" t="s">
        <v>101</v>
      </c>
      <c r="E129" s="472" t="s">
        <v>160</v>
      </c>
      <c r="F129" s="486">
        <v>200</v>
      </c>
      <c r="G129" s="486">
        <v>12.02</v>
      </c>
      <c r="H129" s="614">
        <f t="shared" si="7"/>
        <v>1.3659090909090907</v>
      </c>
      <c r="I129" s="1">
        <f t="shared" si="4"/>
        <v>5.2983173665480363</v>
      </c>
      <c r="J129" s="1">
        <f t="shared" si="4"/>
        <v>2.4865719291070616</v>
      </c>
      <c r="K129" s="1">
        <f t="shared" si="5"/>
        <v>0.31182020762290064</v>
      </c>
    </row>
    <row r="130" spans="1:11">
      <c r="A130" s="483">
        <f t="shared" si="6"/>
        <v>124</v>
      </c>
      <c r="B130" s="485">
        <v>39948</v>
      </c>
      <c r="C130" s="473">
        <v>0.67291666666666661</v>
      </c>
      <c r="D130" s="484" t="s">
        <v>115</v>
      </c>
      <c r="E130" s="472" t="s">
        <v>160</v>
      </c>
      <c r="F130" s="486">
        <v>880</v>
      </c>
      <c r="G130" s="486">
        <v>3</v>
      </c>
      <c r="H130" s="614">
        <f t="shared" si="7"/>
        <v>1.5</v>
      </c>
      <c r="I130" s="1">
        <f t="shared" si="4"/>
        <v>6.7799219074722519</v>
      </c>
      <c r="J130" s="1">
        <f t="shared" si="4"/>
        <v>1.0986122886681098</v>
      </c>
      <c r="K130" s="1">
        <f t="shared" si="5"/>
        <v>0.40546510810816438</v>
      </c>
    </row>
    <row r="131" spans="1:11">
      <c r="A131" s="483">
        <f t="shared" si="6"/>
        <v>125</v>
      </c>
      <c r="B131" s="485">
        <v>40316</v>
      </c>
      <c r="C131" s="504">
        <v>0.78055555555555556</v>
      </c>
      <c r="D131" s="563" t="s">
        <v>109</v>
      </c>
      <c r="E131" s="472" t="s">
        <v>160</v>
      </c>
      <c r="F131" s="563">
        <v>300</v>
      </c>
      <c r="G131" s="563">
        <v>4.99</v>
      </c>
      <c r="H131" s="614">
        <f t="shared" si="7"/>
        <v>0.85056818181818183</v>
      </c>
      <c r="I131" s="1">
        <f t="shared" si="4"/>
        <v>5.7037824746562009</v>
      </c>
      <c r="J131" s="1">
        <f t="shared" si="4"/>
        <v>1.6074359097634274</v>
      </c>
      <c r="K131" s="1">
        <f t="shared" si="5"/>
        <v>-0.16185070361256909</v>
      </c>
    </row>
    <row r="132" spans="1:11">
      <c r="A132" s="483">
        <f t="shared" si="6"/>
        <v>126</v>
      </c>
      <c r="B132" s="485">
        <v>42151</v>
      </c>
      <c r="C132" s="504">
        <v>0.66527777777777775</v>
      </c>
      <c r="D132" s="563" t="s">
        <v>111</v>
      </c>
      <c r="E132" s="472" t="s">
        <v>160</v>
      </c>
      <c r="F132" s="563">
        <v>1200</v>
      </c>
      <c r="G132" s="563">
        <v>1.39</v>
      </c>
      <c r="H132" s="614">
        <f t="shared" si="7"/>
        <v>0.94772727272727264</v>
      </c>
      <c r="I132" s="1">
        <f t="shared" si="4"/>
        <v>7.0900768357760917</v>
      </c>
      <c r="J132" s="1">
        <f t="shared" si="4"/>
        <v>0.3293037471426003</v>
      </c>
      <c r="K132" s="1">
        <f t="shared" si="5"/>
        <v>-5.3688505113505487E-2</v>
      </c>
    </row>
    <row r="133" spans="1:11">
      <c r="A133" s="483">
        <f t="shared" si="6"/>
        <v>127</v>
      </c>
      <c r="B133" s="485">
        <v>42324</v>
      </c>
      <c r="C133" s="504">
        <v>0.77916666666666667</v>
      </c>
      <c r="D133" s="563" t="s">
        <v>114</v>
      </c>
      <c r="E133" s="472" t="s">
        <v>160</v>
      </c>
      <c r="F133" s="763">
        <v>175</v>
      </c>
      <c r="G133" s="763">
        <v>9.0500000000000007</v>
      </c>
      <c r="H133" s="614">
        <f t="shared" si="7"/>
        <v>0.89985795454545459</v>
      </c>
      <c r="I133" s="1">
        <f t="shared" si="4"/>
        <v>5.1647859739235145</v>
      </c>
      <c r="J133" s="1">
        <f t="shared" si="4"/>
        <v>2.2027647577118348</v>
      </c>
      <c r="K133" s="1">
        <f t="shared" si="5"/>
        <v>-0.10551835639684862</v>
      </c>
    </row>
    <row r="134" spans="1:11">
      <c r="A134" s="483">
        <f t="shared" si="6"/>
        <v>128</v>
      </c>
      <c r="B134" s="485">
        <v>42324</v>
      </c>
      <c r="C134" s="504">
        <v>0.78680555555555554</v>
      </c>
      <c r="D134" s="563" t="s">
        <v>115</v>
      </c>
      <c r="E134" s="472" t="s">
        <v>160</v>
      </c>
      <c r="F134" s="763">
        <v>175</v>
      </c>
      <c r="G134" s="763">
        <v>1.37</v>
      </c>
      <c r="H134" s="614">
        <f t="shared" si="7"/>
        <v>0.13622159090909092</v>
      </c>
      <c r="I134" s="1">
        <f t="shared" si="4"/>
        <v>5.1647859739235145</v>
      </c>
      <c r="J134" s="1">
        <f t="shared" si="4"/>
        <v>0.3148107398400336</v>
      </c>
      <c r="K134" s="1">
        <f t="shared" si="5"/>
        <v>-1.9934723742686498</v>
      </c>
    </row>
    <row r="135" spans="1:11">
      <c r="A135" s="483">
        <f t="shared" si="6"/>
        <v>129</v>
      </c>
      <c r="B135" s="485">
        <v>42534</v>
      </c>
      <c r="C135" s="764">
        <v>0.81319444444444444</v>
      </c>
      <c r="D135" s="707" t="s">
        <v>114</v>
      </c>
      <c r="E135" s="658" t="s">
        <v>160</v>
      </c>
      <c r="F135" s="763">
        <v>100</v>
      </c>
      <c r="G135" s="763">
        <v>2.93</v>
      </c>
      <c r="H135" s="614">
        <f t="shared" si="7"/>
        <v>0.16647727272727272</v>
      </c>
      <c r="I135" s="1">
        <f t="shared" si="4"/>
        <v>4.6051701859880918</v>
      </c>
      <c r="J135" s="1">
        <f t="shared" si="4"/>
        <v>1.0750024230289761</v>
      </c>
      <c r="K135" s="1">
        <f t="shared" si="5"/>
        <v>-1.7928964790151303</v>
      </c>
    </row>
    <row r="136" spans="1:11">
      <c r="A136" s="483">
        <f t="shared" si="6"/>
        <v>130</v>
      </c>
      <c r="B136" s="485">
        <v>42871</v>
      </c>
      <c r="C136" s="764">
        <v>0.68402777777777779</v>
      </c>
      <c r="D136" s="707" t="s">
        <v>116</v>
      </c>
      <c r="E136" s="658" t="s">
        <v>160</v>
      </c>
      <c r="F136" s="763">
        <v>1250</v>
      </c>
      <c r="G136" s="763">
        <v>9.18</v>
      </c>
      <c r="H136" s="614">
        <f t="shared" si="7"/>
        <v>6.5198863636363633</v>
      </c>
      <c r="I136" s="1">
        <f t="shared" ref="I136:J143" si="8">LN(F136)</f>
        <v>7.1308988302963465</v>
      </c>
      <c r="J136" s="1">
        <f t="shared" si="8"/>
        <v>2.2170272046323989</v>
      </c>
      <c r="K136" s="1">
        <f t="shared" ref="K136:K143" si="9">LN(H136)</f>
        <v>1.8748569468965484</v>
      </c>
    </row>
    <row r="137" spans="1:11">
      <c r="A137" s="483">
        <f t="shared" si="6"/>
        <v>131</v>
      </c>
      <c r="B137" s="485">
        <v>43608</v>
      </c>
      <c r="C137" s="504">
        <v>0.74930555555555556</v>
      </c>
      <c r="D137" s="563" t="s">
        <v>110</v>
      </c>
      <c r="E137" s="472" t="s">
        <v>160</v>
      </c>
      <c r="F137" s="563">
        <v>900</v>
      </c>
      <c r="G137" s="563">
        <v>5.78</v>
      </c>
      <c r="H137" s="614">
        <f t="shared" ref="H137:H146" si="10">+(F137/1760)*G137</f>
        <v>2.9556818181818181</v>
      </c>
      <c r="I137" s="1">
        <f t="shared" si="8"/>
        <v>6.8023947633243109</v>
      </c>
      <c r="J137" s="1">
        <f t="shared" si="8"/>
        <v>1.7544036826842861</v>
      </c>
      <c r="K137" s="1">
        <f t="shared" si="9"/>
        <v>1.0837293579763994</v>
      </c>
    </row>
    <row r="138" spans="1:11">
      <c r="A138" s="483">
        <f t="shared" ref="A138:A143" si="11">+A137+1</f>
        <v>132</v>
      </c>
      <c r="B138" s="485">
        <v>43608</v>
      </c>
      <c r="C138" s="504">
        <v>0.75277777777777777</v>
      </c>
      <c r="D138" s="563" t="s">
        <v>105</v>
      </c>
      <c r="E138" s="472" t="s">
        <v>160</v>
      </c>
      <c r="F138" s="563">
        <v>900</v>
      </c>
      <c r="G138" s="563">
        <v>7.05</v>
      </c>
      <c r="H138" s="614">
        <f t="shared" si="10"/>
        <v>3.6051136363636362</v>
      </c>
      <c r="I138" s="1">
        <f t="shared" si="8"/>
        <v>6.8023947633243109</v>
      </c>
      <c r="J138" s="1">
        <f t="shared" si="8"/>
        <v>1.9530276168241774</v>
      </c>
      <c r="K138" s="1">
        <f t="shared" si="9"/>
        <v>1.2823532921162906</v>
      </c>
    </row>
    <row r="139" spans="1:11">
      <c r="A139" s="483">
        <f t="shared" si="11"/>
        <v>133</v>
      </c>
      <c r="B139" s="485">
        <v>43608</v>
      </c>
      <c r="C139" s="504">
        <v>0.7631944444444444</v>
      </c>
      <c r="D139" s="563" t="s">
        <v>106</v>
      </c>
      <c r="E139" s="472" t="s">
        <v>160</v>
      </c>
      <c r="F139" s="563">
        <v>900</v>
      </c>
      <c r="G139" s="563">
        <v>4.68</v>
      </c>
      <c r="H139" s="614">
        <f t="shared" si="10"/>
        <v>2.3931818181818181</v>
      </c>
      <c r="I139" s="1">
        <f t="shared" si="8"/>
        <v>6.8023947633243109</v>
      </c>
      <c r="J139" s="1">
        <f t="shared" si="8"/>
        <v>1.5432981099295553</v>
      </c>
      <c r="K139" s="1">
        <f t="shared" si="9"/>
        <v>0.87262378522166861</v>
      </c>
    </row>
    <row r="140" spans="1:11">
      <c r="A140" s="483">
        <f t="shared" si="11"/>
        <v>134</v>
      </c>
      <c r="B140" s="485">
        <v>43608</v>
      </c>
      <c r="C140" s="504">
        <v>0.80972222222222223</v>
      </c>
      <c r="D140" s="563" t="s">
        <v>106</v>
      </c>
      <c r="E140" s="472" t="s">
        <v>160</v>
      </c>
      <c r="F140" s="563">
        <v>1400</v>
      </c>
      <c r="G140" s="563">
        <v>4.47</v>
      </c>
      <c r="H140" s="614">
        <f t="shared" si="10"/>
        <v>3.5556818181818177</v>
      </c>
      <c r="I140" s="1">
        <f t="shared" si="8"/>
        <v>7.2442275156033498</v>
      </c>
      <c r="J140" s="1">
        <f t="shared" si="8"/>
        <v>1.4973884086254774</v>
      </c>
      <c r="K140" s="1">
        <f t="shared" si="9"/>
        <v>1.2685468361966299</v>
      </c>
    </row>
    <row r="141" spans="1:11">
      <c r="A141" s="483">
        <f t="shared" si="11"/>
        <v>135</v>
      </c>
      <c r="B141" s="485">
        <v>43608</v>
      </c>
      <c r="C141" s="504">
        <v>0.81597222222222221</v>
      </c>
      <c r="D141" s="563" t="s">
        <v>101</v>
      </c>
      <c r="E141" s="472" t="s">
        <v>160</v>
      </c>
      <c r="F141" s="563">
        <v>1400</v>
      </c>
      <c r="G141" s="563">
        <v>5.76</v>
      </c>
      <c r="H141" s="614">
        <f t="shared" si="10"/>
        <v>4.5818181818181811</v>
      </c>
      <c r="I141" s="1">
        <f t="shared" si="8"/>
        <v>7.2442275156033498</v>
      </c>
      <c r="J141" s="1">
        <f t="shared" si="8"/>
        <v>1.7509374747077999</v>
      </c>
      <c r="K141" s="1">
        <f t="shared" si="9"/>
        <v>1.5220959022789522</v>
      </c>
    </row>
    <row r="142" spans="1:11">
      <c r="A142" s="483">
        <f t="shared" si="11"/>
        <v>136</v>
      </c>
      <c r="B142" s="485">
        <v>44268</v>
      </c>
      <c r="C142" s="504">
        <v>0.6430555555555556</v>
      </c>
      <c r="D142" s="563" t="s">
        <v>118</v>
      </c>
      <c r="E142" s="472" t="s">
        <v>160</v>
      </c>
      <c r="F142" s="763">
        <v>1000</v>
      </c>
      <c r="G142" s="763">
        <v>17.2</v>
      </c>
      <c r="H142" s="614">
        <f t="shared" si="10"/>
        <v>9.7727272727272734</v>
      </c>
      <c r="I142" s="1">
        <f t="shared" si="8"/>
        <v>6.9077552789821368</v>
      </c>
      <c r="J142" s="1">
        <f t="shared" si="8"/>
        <v>2.8449093838194073</v>
      </c>
      <c r="K142" s="1">
        <f t="shared" si="9"/>
        <v>2.2795955747693468</v>
      </c>
    </row>
    <row r="143" spans="1:11">
      <c r="A143" s="483">
        <f t="shared" si="11"/>
        <v>137</v>
      </c>
      <c r="B143" s="485">
        <v>44268</v>
      </c>
      <c r="C143" s="504">
        <v>0.7416666666666667</v>
      </c>
      <c r="D143" s="563" t="s">
        <v>119</v>
      </c>
      <c r="E143" s="472" t="s">
        <v>160</v>
      </c>
      <c r="F143" s="763">
        <v>1200</v>
      </c>
      <c r="G143" s="763">
        <v>13.22</v>
      </c>
      <c r="H143" s="614">
        <f t="shared" si="10"/>
        <v>9.0136363636363637</v>
      </c>
      <c r="I143" s="1">
        <f t="shared" si="8"/>
        <v>7.0900768357760917</v>
      </c>
      <c r="J143" s="1">
        <f t="shared" si="8"/>
        <v>2.5817308344235403</v>
      </c>
      <c r="K143" s="1">
        <f t="shared" si="9"/>
        <v>2.1987385821674343</v>
      </c>
    </row>
    <row r="144" spans="1:11">
      <c r="A144" s="483"/>
      <c r="B144" s="72"/>
      <c r="C144" s="76"/>
      <c r="D144" s="76"/>
      <c r="E144" s="658" t="s">
        <v>160</v>
      </c>
      <c r="F144" s="858"/>
      <c r="G144" s="858"/>
      <c r="H144" s="904">
        <f t="shared" si="10"/>
        <v>0</v>
      </c>
      <c r="I144" s="1" t="e">
        <f t="shared" ref="I144:I150" si="12">LN(F144)</f>
        <v>#NUM!</v>
      </c>
      <c r="J144" s="1" t="e">
        <f t="shared" ref="J144:J150" si="13">LN(G144)</f>
        <v>#NUM!</v>
      </c>
      <c r="K144" s="1" t="e">
        <f t="shared" ref="K144:K150" si="14">LN(H144)</f>
        <v>#NUM!</v>
      </c>
    </row>
    <row r="145" spans="1:12">
      <c r="A145" s="483"/>
      <c r="B145" s="72"/>
      <c r="C145" s="76"/>
      <c r="D145" s="76"/>
      <c r="E145" s="658" t="s">
        <v>160</v>
      </c>
      <c r="F145" s="858"/>
      <c r="G145" s="858"/>
      <c r="H145" s="904">
        <f t="shared" si="10"/>
        <v>0</v>
      </c>
      <c r="I145" s="1" t="e">
        <f t="shared" si="12"/>
        <v>#NUM!</v>
      </c>
      <c r="J145" s="1" t="e">
        <f t="shared" si="13"/>
        <v>#NUM!</v>
      </c>
      <c r="K145" s="1" t="e">
        <f t="shared" si="14"/>
        <v>#NUM!</v>
      </c>
    </row>
    <row r="146" spans="1:12">
      <c r="A146" s="483"/>
      <c r="B146" s="72"/>
      <c r="C146" s="76"/>
      <c r="D146" s="76"/>
      <c r="E146" s="658" t="s">
        <v>160</v>
      </c>
      <c r="F146" s="858"/>
      <c r="G146" s="858"/>
      <c r="H146" s="904">
        <f t="shared" si="10"/>
        <v>0</v>
      </c>
      <c r="I146" s="1" t="e">
        <f t="shared" si="12"/>
        <v>#NUM!</v>
      </c>
      <c r="J146" s="1" t="e">
        <f t="shared" si="13"/>
        <v>#NUM!</v>
      </c>
      <c r="K146" s="1" t="e">
        <f t="shared" si="14"/>
        <v>#NUM!</v>
      </c>
    </row>
    <row r="147" spans="1:12">
      <c r="A147" s="483"/>
      <c r="B147" s="72"/>
      <c r="C147" s="76"/>
      <c r="D147" s="76"/>
      <c r="E147" s="658" t="s">
        <v>160</v>
      </c>
      <c r="F147" s="76"/>
      <c r="G147" s="76"/>
      <c r="H147" s="205">
        <f t="shared" ref="H147:H150" si="15">+(F147/1760)*G147</f>
        <v>0</v>
      </c>
      <c r="I147" s="1" t="e">
        <f t="shared" si="12"/>
        <v>#NUM!</v>
      </c>
      <c r="J147" s="1" t="e">
        <f t="shared" si="13"/>
        <v>#NUM!</v>
      </c>
      <c r="K147" s="1" t="e">
        <f t="shared" si="14"/>
        <v>#NUM!</v>
      </c>
      <c r="L147" s="1"/>
    </row>
    <row r="148" spans="1:12">
      <c r="A148" s="483"/>
      <c r="B148" s="72"/>
      <c r="C148" s="76"/>
      <c r="D148" s="76"/>
      <c r="E148" s="658" t="s">
        <v>160</v>
      </c>
      <c r="F148" s="76"/>
      <c r="G148" s="76"/>
      <c r="H148" s="205">
        <f t="shared" si="15"/>
        <v>0</v>
      </c>
      <c r="I148" s="1" t="e">
        <f t="shared" si="12"/>
        <v>#NUM!</v>
      </c>
      <c r="J148" s="1" t="e">
        <f t="shared" si="13"/>
        <v>#NUM!</v>
      </c>
      <c r="K148" s="1" t="e">
        <f t="shared" si="14"/>
        <v>#NUM!</v>
      </c>
    </row>
    <row r="149" spans="1:12">
      <c r="A149" s="483"/>
      <c r="B149" s="72"/>
      <c r="C149" s="76"/>
      <c r="D149" s="76"/>
      <c r="E149" s="658" t="s">
        <v>160</v>
      </c>
      <c r="F149" s="76"/>
      <c r="G149" s="76"/>
      <c r="H149" s="205">
        <f t="shared" si="15"/>
        <v>0</v>
      </c>
      <c r="I149" s="1" t="e">
        <f t="shared" si="12"/>
        <v>#NUM!</v>
      </c>
      <c r="J149" s="1" t="e">
        <f t="shared" si="13"/>
        <v>#NUM!</v>
      </c>
      <c r="K149" s="1" t="e">
        <f t="shared" si="14"/>
        <v>#NUM!</v>
      </c>
    </row>
    <row r="150" spans="1:12">
      <c r="A150" s="483"/>
      <c r="B150" s="72"/>
      <c r="C150" s="76"/>
      <c r="D150" s="76"/>
      <c r="E150" s="658" t="s">
        <v>160</v>
      </c>
      <c r="F150" s="76"/>
      <c r="G150" s="76"/>
      <c r="H150" s="205">
        <f t="shared" si="15"/>
        <v>0</v>
      </c>
      <c r="I150" s="1" t="e">
        <f t="shared" si="12"/>
        <v>#NUM!</v>
      </c>
      <c r="J150" s="1" t="e">
        <f t="shared" si="13"/>
        <v>#NUM!</v>
      </c>
      <c r="K150" s="1" t="e">
        <f t="shared" si="14"/>
        <v>#NUM!</v>
      </c>
    </row>
    <row r="151" spans="1:12">
      <c r="A151" s="483"/>
      <c r="B151" s="72"/>
      <c r="C151" s="76"/>
      <c r="D151" s="76"/>
      <c r="E151" s="658" t="s">
        <v>160</v>
      </c>
      <c r="F151" s="76"/>
      <c r="G151" s="76"/>
      <c r="H151" s="205">
        <f t="shared" ref="H151:H200" si="16">+(F151/1760)*G151</f>
        <v>0</v>
      </c>
      <c r="I151" s="1" t="e">
        <f t="shared" ref="I151:I200" si="17">LN(F151)</f>
        <v>#NUM!</v>
      </c>
      <c r="J151" s="1" t="e">
        <f t="shared" ref="J151:J200" si="18">LN(G151)</f>
        <v>#NUM!</v>
      </c>
      <c r="K151" s="1" t="e">
        <f t="shared" ref="K151:K200" si="19">LN(H151)</f>
        <v>#NUM!</v>
      </c>
    </row>
    <row r="152" spans="1:12">
      <c r="A152" s="483"/>
      <c r="B152" s="72"/>
      <c r="C152" s="76"/>
      <c r="D152" s="76"/>
      <c r="E152" s="658" t="s">
        <v>160</v>
      </c>
      <c r="F152" s="76"/>
      <c r="G152" s="76"/>
      <c r="H152" s="205">
        <f t="shared" si="16"/>
        <v>0</v>
      </c>
      <c r="I152" s="1" t="e">
        <f t="shared" si="17"/>
        <v>#NUM!</v>
      </c>
      <c r="J152" s="1" t="e">
        <f t="shared" si="18"/>
        <v>#NUM!</v>
      </c>
      <c r="K152" s="1" t="e">
        <f t="shared" si="19"/>
        <v>#NUM!</v>
      </c>
    </row>
    <row r="153" spans="1:12">
      <c r="A153" s="483"/>
      <c r="B153" s="72"/>
      <c r="C153" s="76"/>
      <c r="D153" s="76"/>
      <c r="E153" s="658" t="s">
        <v>160</v>
      </c>
      <c r="F153" s="76"/>
      <c r="G153" s="76"/>
      <c r="H153" s="205">
        <f t="shared" si="16"/>
        <v>0</v>
      </c>
      <c r="I153" s="1" t="e">
        <f t="shared" si="17"/>
        <v>#NUM!</v>
      </c>
      <c r="J153" s="1" t="e">
        <f t="shared" si="18"/>
        <v>#NUM!</v>
      </c>
      <c r="K153" s="1" t="e">
        <f t="shared" si="19"/>
        <v>#NUM!</v>
      </c>
    </row>
    <row r="154" spans="1:12">
      <c r="A154" s="483"/>
      <c r="B154" s="72"/>
      <c r="C154" s="76"/>
      <c r="D154" s="76"/>
      <c r="E154" s="658" t="s">
        <v>160</v>
      </c>
      <c r="F154" s="76"/>
      <c r="G154" s="76"/>
      <c r="H154" s="205">
        <f t="shared" si="16"/>
        <v>0</v>
      </c>
      <c r="I154" s="1" t="e">
        <f t="shared" si="17"/>
        <v>#NUM!</v>
      </c>
      <c r="J154" s="1" t="e">
        <f t="shared" si="18"/>
        <v>#NUM!</v>
      </c>
      <c r="K154" s="1" t="e">
        <f t="shared" si="19"/>
        <v>#NUM!</v>
      </c>
    </row>
    <row r="155" spans="1:12">
      <c r="A155" s="483"/>
      <c r="B155" s="72"/>
      <c r="C155" s="76"/>
      <c r="D155" s="76"/>
      <c r="E155" s="658" t="s">
        <v>160</v>
      </c>
      <c r="F155" s="76"/>
      <c r="G155" s="76"/>
      <c r="H155" s="205">
        <f t="shared" si="16"/>
        <v>0</v>
      </c>
      <c r="I155" s="1" t="e">
        <f t="shared" si="17"/>
        <v>#NUM!</v>
      </c>
      <c r="J155" s="1" t="e">
        <f t="shared" si="18"/>
        <v>#NUM!</v>
      </c>
      <c r="K155" s="1" t="e">
        <f t="shared" si="19"/>
        <v>#NUM!</v>
      </c>
    </row>
    <row r="156" spans="1:12">
      <c r="A156" s="483"/>
      <c r="B156" s="72"/>
      <c r="C156" s="76"/>
      <c r="D156" s="76"/>
      <c r="E156" s="658" t="s">
        <v>160</v>
      </c>
      <c r="F156" s="76"/>
      <c r="G156" s="76"/>
      <c r="H156" s="205">
        <f t="shared" si="16"/>
        <v>0</v>
      </c>
      <c r="I156" s="1" t="e">
        <f t="shared" si="17"/>
        <v>#NUM!</v>
      </c>
      <c r="J156" s="1" t="e">
        <f t="shared" si="18"/>
        <v>#NUM!</v>
      </c>
      <c r="K156" s="1" t="e">
        <f t="shared" si="19"/>
        <v>#NUM!</v>
      </c>
    </row>
    <row r="157" spans="1:12">
      <c r="A157" s="483"/>
      <c r="B157" s="72"/>
      <c r="C157" s="76"/>
      <c r="D157" s="76"/>
      <c r="E157" s="658" t="s">
        <v>160</v>
      </c>
      <c r="F157" s="76"/>
      <c r="G157" s="76"/>
      <c r="H157" s="205">
        <f t="shared" si="16"/>
        <v>0</v>
      </c>
      <c r="I157" s="1" t="e">
        <f t="shared" si="17"/>
        <v>#NUM!</v>
      </c>
      <c r="J157" s="1" t="e">
        <f t="shared" si="18"/>
        <v>#NUM!</v>
      </c>
      <c r="K157" s="1" t="e">
        <f t="shared" si="19"/>
        <v>#NUM!</v>
      </c>
    </row>
    <row r="158" spans="1:12">
      <c r="A158" s="483"/>
      <c r="B158" s="72"/>
      <c r="C158" s="76"/>
      <c r="D158" s="76"/>
      <c r="E158" s="658" t="s">
        <v>160</v>
      </c>
      <c r="F158" s="76"/>
      <c r="G158" s="76"/>
      <c r="H158" s="205">
        <f t="shared" si="16"/>
        <v>0</v>
      </c>
      <c r="I158" s="1" t="e">
        <f t="shared" si="17"/>
        <v>#NUM!</v>
      </c>
      <c r="J158" s="1" t="e">
        <f t="shared" si="18"/>
        <v>#NUM!</v>
      </c>
      <c r="K158" s="1" t="e">
        <f t="shared" si="19"/>
        <v>#NUM!</v>
      </c>
    </row>
    <row r="159" spans="1:12">
      <c r="A159" s="483"/>
      <c r="B159" s="72"/>
      <c r="C159" s="76"/>
      <c r="D159" s="76"/>
      <c r="E159" s="658" t="s">
        <v>160</v>
      </c>
      <c r="F159" s="76"/>
      <c r="G159" s="76"/>
      <c r="H159" s="205">
        <f t="shared" si="16"/>
        <v>0</v>
      </c>
      <c r="I159" s="1" t="e">
        <f t="shared" si="17"/>
        <v>#NUM!</v>
      </c>
      <c r="J159" s="1" t="e">
        <f t="shared" si="18"/>
        <v>#NUM!</v>
      </c>
      <c r="K159" s="1" t="e">
        <f t="shared" si="19"/>
        <v>#NUM!</v>
      </c>
    </row>
    <row r="160" spans="1:12">
      <c r="A160" s="483"/>
      <c r="B160" s="72"/>
      <c r="C160" s="76"/>
      <c r="D160" s="76"/>
      <c r="E160" s="658" t="s">
        <v>160</v>
      </c>
      <c r="F160" s="76"/>
      <c r="G160" s="76"/>
      <c r="H160" s="205">
        <f t="shared" si="16"/>
        <v>0</v>
      </c>
      <c r="I160" s="1" t="e">
        <f t="shared" si="17"/>
        <v>#NUM!</v>
      </c>
      <c r="J160" s="1" t="e">
        <f t="shared" si="18"/>
        <v>#NUM!</v>
      </c>
      <c r="K160" s="1" t="e">
        <f t="shared" si="19"/>
        <v>#NUM!</v>
      </c>
    </row>
    <row r="161" spans="1:11">
      <c r="A161" s="483"/>
      <c r="B161" s="72"/>
      <c r="C161" s="76"/>
      <c r="D161" s="76"/>
      <c r="E161" s="658" t="s">
        <v>160</v>
      </c>
      <c r="F161" s="76"/>
      <c r="G161" s="76"/>
      <c r="H161" s="205">
        <f t="shared" si="16"/>
        <v>0</v>
      </c>
      <c r="I161" s="1" t="e">
        <f t="shared" si="17"/>
        <v>#NUM!</v>
      </c>
      <c r="J161" s="1" t="e">
        <f t="shared" si="18"/>
        <v>#NUM!</v>
      </c>
      <c r="K161" s="1" t="e">
        <f t="shared" si="19"/>
        <v>#NUM!</v>
      </c>
    </row>
    <row r="162" spans="1:11">
      <c r="A162" s="483"/>
      <c r="B162" s="72"/>
      <c r="C162" s="76"/>
      <c r="D162" s="76"/>
      <c r="E162" s="658" t="s">
        <v>160</v>
      </c>
      <c r="F162" s="76"/>
      <c r="G162" s="76"/>
      <c r="H162" s="205">
        <f t="shared" si="16"/>
        <v>0</v>
      </c>
      <c r="I162" s="1" t="e">
        <f t="shared" si="17"/>
        <v>#NUM!</v>
      </c>
      <c r="J162" s="1" t="e">
        <f t="shared" si="18"/>
        <v>#NUM!</v>
      </c>
      <c r="K162" s="1" t="e">
        <f t="shared" si="19"/>
        <v>#NUM!</v>
      </c>
    </row>
    <row r="163" spans="1:11">
      <c r="A163" s="483"/>
      <c r="B163" s="72"/>
      <c r="C163" s="76"/>
      <c r="D163" s="76"/>
      <c r="E163" s="658" t="s">
        <v>160</v>
      </c>
      <c r="F163" s="76"/>
      <c r="G163" s="76"/>
      <c r="H163" s="205">
        <f t="shared" si="16"/>
        <v>0</v>
      </c>
      <c r="I163" s="1" t="e">
        <f t="shared" si="17"/>
        <v>#NUM!</v>
      </c>
      <c r="J163" s="1" t="e">
        <f t="shared" si="18"/>
        <v>#NUM!</v>
      </c>
      <c r="K163" s="1" t="e">
        <f t="shared" si="19"/>
        <v>#NUM!</v>
      </c>
    </row>
    <row r="164" spans="1:11">
      <c r="A164" s="483"/>
      <c r="B164" s="72"/>
      <c r="C164" s="76"/>
      <c r="D164" s="76"/>
      <c r="E164" s="658" t="s">
        <v>160</v>
      </c>
      <c r="F164" s="76"/>
      <c r="G164" s="76"/>
      <c r="H164" s="205">
        <f t="shared" si="16"/>
        <v>0</v>
      </c>
      <c r="I164" s="1" t="e">
        <f t="shared" si="17"/>
        <v>#NUM!</v>
      </c>
      <c r="J164" s="1" t="e">
        <f t="shared" si="18"/>
        <v>#NUM!</v>
      </c>
      <c r="K164" s="1" t="e">
        <f t="shared" si="19"/>
        <v>#NUM!</v>
      </c>
    </row>
    <row r="165" spans="1:11">
      <c r="A165" s="483"/>
      <c r="B165" s="72"/>
      <c r="C165" s="76"/>
      <c r="D165" s="76"/>
      <c r="E165" s="658" t="s">
        <v>160</v>
      </c>
      <c r="F165" s="76"/>
      <c r="G165" s="76"/>
      <c r="H165" s="205">
        <f t="shared" si="16"/>
        <v>0</v>
      </c>
      <c r="I165" s="1" t="e">
        <f t="shared" si="17"/>
        <v>#NUM!</v>
      </c>
      <c r="J165" s="1" t="e">
        <f t="shared" si="18"/>
        <v>#NUM!</v>
      </c>
      <c r="K165" s="1" t="e">
        <f t="shared" si="19"/>
        <v>#NUM!</v>
      </c>
    </row>
    <row r="166" spans="1:11">
      <c r="A166" s="483"/>
      <c r="B166" s="72"/>
      <c r="C166" s="76"/>
      <c r="D166" s="76"/>
      <c r="E166" s="658" t="s">
        <v>160</v>
      </c>
      <c r="F166" s="76"/>
      <c r="G166" s="76"/>
      <c r="H166" s="205">
        <f t="shared" si="16"/>
        <v>0</v>
      </c>
      <c r="I166" s="1" t="e">
        <f t="shared" si="17"/>
        <v>#NUM!</v>
      </c>
      <c r="J166" s="1" t="e">
        <f t="shared" si="18"/>
        <v>#NUM!</v>
      </c>
      <c r="K166" s="1" t="e">
        <f t="shared" si="19"/>
        <v>#NUM!</v>
      </c>
    </row>
    <row r="167" spans="1:11">
      <c r="A167" s="483"/>
      <c r="B167" s="72"/>
      <c r="C167" s="76"/>
      <c r="D167" s="76"/>
      <c r="E167" s="658" t="s">
        <v>160</v>
      </c>
      <c r="F167" s="76"/>
      <c r="G167" s="76"/>
      <c r="H167" s="205">
        <f t="shared" si="16"/>
        <v>0</v>
      </c>
      <c r="I167" s="1" t="e">
        <f t="shared" si="17"/>
        <v>#NUM!</v>
      </c>
      <c r="J167" s="1" t="e">
        <f t="shared" si="18"/>
        <v>#NUM!</v>
      </c>
      <c r="K167" s="1" t="e">
        <f t="shared" si="19"/>
        <v>#NUM!</v>
      </c>
    </row>
    <row r="168" spans="1:11">
      <c r="A168" s="483"/>
      <c r="B168" s="72"/>
      <c r="C168" s="76"/>
      <c r="D168" s="76"/>
      <c r="E168" s="658" t="s">
        <v>160</v>
      </c>
      <c r="F168" s="76"/>
      <c r="G168" s="76"/>
      <c r="H168" s="205">
        <f t="shared" si="16"/>
        <v>0</v>
      </c>
      <c r="I168" s="1" t="e">
        <f t="shared" si="17"/>
        <v>#NUM!</v>
      </c>
      <c r="J168" s="1" t="e">
        <f t="shared" si="18"/>
        <v>#NUM!</v>
      </c>
      <c r="K168" s="1" t="e">
        <f t="shared" si="19"/>
        <v>#NUM!</v>
      </c>
    </row>
    <row r="169" spans="1:11">
      <c r="A169" s="483"/>
      <c r="B169" s="72"/>
      <c r="C169" s="76"/>
      <c r="D169" s="76"/>
      <c r="E169" s="658" t="s">
        <v>160</v>
      </c>
      <c r="F169" s="76"/>
      <c r="G169" s="76"/>
      <c r="H169" s="205">
        <f t="shared" si="16"/>
        <v>0</v>
      </c>
      <c r="I169" s="1" t="e">
        <f t="shared" si="17"/>
        <v>#NUM!</v>
      </c>
      <c r="J169" s="1" t="e">
        <f t="shared" si="18"/>
        <v>#NUM!</v>
      </c>
      <c r="K169" s="1" t="e">
        <f t="shared" si="19"/>
        <v>#NUM!</v>
      </c>
    </row>
    <row r="170" spans="1:11">
      <c r="A170" s="483"/>
      <c r="B170" s="72"/>
      <c r="C170" s="76"/>
      <c r="D170" s="76"/>
      <c r="E170" s="658" t="s">
        <v>160</v>
      </c>
      <c r="F170" s="76"/>
      <c r="G170" s="76"/>
      <c r="H170" s="205">
        <f t="shared" si="16"/>
        <v>0</v>
      </c>
      <c r="I170" s="1" t="e">
        <f t="shared" si="17"/>
        <v>#NUM!</v>
      </c>
      <c r="J170" s="1" t="e">
        <f t="shared" si="18"/>
        <v>#NUM!</v>
      </c>
      <c r="K170" s="1" t="e">
        <f t="shared" si="19"/>
        <v>#NUM!</v>
      </c>
    </row>
    <row r="171" spans="1:11">
      <c r="A171" s="483"/>
      <c r="B171" s="72"/>
      <c r="C171" s="76"/>
      <c r="D171" s="76"/>
      <c r="E171" s="658" t="s">
        <v>160</v>
      </c>
      <c r="F171" s="76"/>
      <c r="G171" s="76"/>
      <c r="H171" s="205">
        <f t="shared" si="16"/>
        <v>0</v>
      </c>
      <c r="I171" s="1" t="e">
        <f t="shared" si="17"/>
        <v>#NUM!</v>
      </c>
      <c r="J171" s="1" t="e">
        <f t="shared" si="18"/>
        <v>#NUM!</v>
      </c>
      <c r="K171" s="1" t="e">
        <f t="shared" si="19"/>
        <v>#NUM!</v>
      </c>
    </row>
    <row r="172" spans="1:11">
      <c r="A172" s="483"/>
      <c r="B172" s="72"/>
      <c r="C172" s="76"/>
      <c r="D172" s="76"/>
      <c r="E172" s="658" t="s">
        <v>160</v>
      </c>
      <c r="F172" s="76"/>
      <c r="G172" s="76"/>
      <c r="H172" s="205">
        <f t="shared" si="16"/>
        <v>0</v>
      </c>
      <c r="I172" s="1" t="e">
        <f t="shared" si="17"/>
        <v>#NUM!</v>
      </c>
      <c r="J172" s="1" t="e">
        <f t="shared" si="18"/>
        <v>#NUM!</v>
      </c>
      <c r="K172" s="1" t="e">
        <f t="shared" si="19"/>
        <v>#NUM!</v>
      </c>
    </row>
    <row r="173" spans="1:11">
      <c r="A173" s="483"/>
      <c r="B173" s="72"/>
      <c r="C173" s="76"/>
      <c r="D173" s="76"/>
      <c r="E173" s="658" t="s">
        <v>160</v>
      </c>
      <c r="F173" s="76"/>
      <c r="G173" s="76"/>
      <c r="H173" s="205">
        <f t="shared" si="16"/>
        <v>0</v>
      </c>
      <c r="I173" s="1" t="e">
        <f t="shared" si="17"/>
        <v>#NUM!</v>
      </c>
      <c r="J173" s="1" t="e">
        <f t="shared" si="18"/>
        <v>#NUM!</v>
      </c>
      <c r="K173" s="1" t="e">
        <f t="shared" si="19"/>
        <v>#NUM!</v>
      </c>
    </row>
    <row r="174" spans="1:11">
      <c r="A174" s="483"/>
      <c r="B174" s="72"/>
      <c r="C174" s="76"/>
      <c r="D174" s="76"/>
      <c r="E174" s="658" t="s">
        <v>160</v>
      </c>
      <c r="F174" s="76"/>
      <c r="G174" s="76"/>
      <c r="H174" s="205">
        <f t="shared" si="16"/>
        <v>0</v>
      </c>
      <c r="I174" s="1" t="e">
        <f t="shared" si="17"/>
        <v>#NUM!</v>
      </c>
      <c r="J174" s="1" t="e">
        <f t="shared" si="18"/>
        <v>#NUM!</v>
      </c>
      <c r="K174" s="1" t="e">
        <f t="shared" si="19"/>
        <v>#NUM!</v>
      </c>
    </row>
    <row r="175" spans="1:11">
      <c r="A175" s="483"/>
      <c r="B175" s="72"/>
      <c r="C175" s="76"/>
      <c r="D175" s="76"/>
      <c r="E175" s="658" t="s">
        <v>160</v>
      </c>
      <c r="F175" s="76"/>
      <c r="G175" s="76"/>
      <c r="H175" s="205">
        <f t="shared" si="16"/>
        <v>0</v>
      </c>
      <c r="I175" s="1" t="e">
        <f t="shared" si="17"/>
        <v>#NUM!</v>
      </c>
      <c r="J175" s="1" t="e">
        <f t="shared" si="18"/>
        <v>#NUM!</v>
      </c>
      <c r="K175" s="1" t="e">
        <f t="shared" si="19"/>
        <v>#NUM!</v>
      </c>
    </row>
    <row r="176" spans="1:11">
      <c r="A176" s="483"/>
      <c r="B176" s="72"/>
      <c r="C176" s="76"/>
      <c r="D176" s="76"/>
      <c r="E176" s="658" t="s">
        <v>160</v>
      </c>
      <c r="F176" s="76"/>
      <c r="G176" s="76"/>
      <c r="H176" s="205">
        <f t="shared" si="16"/>
        <v>0</v>
      </c>
      <c r="I176" s="1" t="e">
        <f t="shared" si="17"/>
        <v>#NUM!</v>
      </c>
      <c r="J176" s="1" t="e">
        <f t="shared" si="18"/>
        <v>#NUM!</v>
      </c>
      <c r="K176" s="1" t="e">
        <f t="shared" si="19"/>
        <v>#NUM!</v>
      </c>
    </row>
    <row r="177" spans="1:11">
      <c r="A177" s="483"/>
      <c r="B177" s="72"/>
      <c r="C177" s="76"/>
      <c r="D177" s="76"/>
      <c r="E177" s="658" t="s">
        <v>160</v>
      </c>
      <c r="F177" s="76"/>
      <c r="G177" s="76"/>
      <c r="H177" s="205">
        <f t="shared" si="16"/>
        <v>0</v>
      </c>
      <c r="I177" s="1" t="e">
        <f t="shared" si="17"/>
        <v>#NUM!</v>
      </c>
      <c r="J177" s="1" t="e">
        <f t="shared" si="18"/>
        <v>#NUM!</v>
      </c>
      <c r="K177" s="1" t="e">
        <f t="shared" si="19"/>
        <v>#NUM!</v>
      </c>
    </row>
    <row r="178" spans="1:11">
      <c r="A178" s="483"/>
      <c r="B178" s="72"/>
      <c r="C178" s="76"/>
      <c r="D178" s="76"/>
      <c r="E178" s="658" t="s">
        <v>160</v>
      </c>
      <c r="F178" s="76"/>
      <c r="G178" s="76"/>
      <c r="H178" s="205">
        <f t="shared" si="16"/>
        <v>0</v>
      </c>
      <c r="I178" s="1" t="e">
        <f t="shared" si="17"/>
        <v>#NUM!</v>
      </c>
      <c r="J178" s="1" t="e">
        <f t="shared" si="18"/>
        <v>#NUM!</v>
      </c>
      <c r="K178" s="1" t="e">
        <f t="shared" si="19"/>
        <v>#NUM!</v>
      </c>
    </row>
    <row r="179" spans="1:11">
      <c r="A179" s="483"/>
      <c r="B179" s="72"/>
      <c r="C179" s="76"/>
      <c r="D179" s="76"/>
      <c r="E179" s="658" t="s">
        <v>160</v>
      </c>
      <c r="F179" s="76"/>
      <c r="G179" s="76"/>
      <c r="H179" s="205">
        <f t="shared" si="16"/>
        <v>0</v>
      </c>
      <c r="I179" s="1" t="e">
        <f t="shared" si="17"/>
        <v>#NUM!</v>
      </c>
      <c r="J179" s="1" t="e">
        <f t="shared" si="18"/>
        <v>#NUM!</v>
      </c>
      <c r="K179" s="1" t="e">
        <f t="shared" si="19"/>
        <v>#NUM!</v>
      </c>
    </row>
    <row r="180" spans="1:11">
      <c r="A180" s="483"/>
      <c r="B180" s="72"/>
      <c r="C180" s="76"/>
      <c r="D180" s="76"/>
      <c r="E180" s="658" t="s">
        <v>160</v>
      </c>
      <c r="F180" s="76"/>
      <c r="G180" s="76"/>
      <c r="H180" s="205">
        <f t="shared" si="16"/>
        <v>0</v>
      </c>
      <c r="I180" s="1" t="e">
        <f t="shared" si="17"/>
        <v>#NUM!</v>
      </c>
      <c r="J180" s="1" t="e">
        <f t="shared" si="18"/>
        <v>#NUM!</v>
      </c>
      <c r="K180" s="1" t="e">
        <f t="shared" si="19"/>
        <v>#NUM!</v>
      </c>
    </row>
    <row r="181" spans="1:11">
      <c r="A181" s="483"/>
      <c r="B181" s="72"/>
      <c r="C181" s="76"/>
      <c r="D181" s="76"/>
      <c r="E181" s="658" t="s">
        <v>160</v>
      </c>
      <c r="F181" s="76"/>
      <c r="G181" s="76"/>
      <c r="H181" s="205">
        <f t="shared" si="16"/>
        <v>0</v>
      </c>
      <c r="I181" s="1" t="e">
        <f t="shared" si="17"/>
        <v>#NUM!</v>
      </c>
      <c r="J181" s="1" t="e">
        <f t="shared" si="18"/>
        <v>#NUM!</v>
      </c>
      <c r="K181" s="1" t="e">
        <f t="shared" si="19"/>
        <v>#NUM!</v>
      </c>
    </row>
    <row r="182" spans="1:11">
      <c r="A182" s="483"/>
      <c r="B182" s="72"/>
      <c r="C182" s="76"/>
      <c r="D182" s="76"/>
      <c r="E182" s="658" t="s">
        <v>160</v>
      </c>
      <c r="F182" s="76"/>
      <c r="G182" s="76"/>
      <c r="H182" s="205">
        <f t="shared" si="16"/>
        <v>0</v>
      </c>
      <c r="I182" s="1" t="e">
        <f t="shared" si="17"/>
        <v>#NUM!</v>
      </c>
      <c r="J182" s="1" t="e">
        <f t="shared" si="18"/>
        <v>#NUM!</v>
      </c>
      <c r="K182" s="1" t="e">
        <f t="shared" si="19"/>
        <v>#NUM!</v>
      </c>
    </row>
    <row r="183" spans="1:11">
      <c r="A183" s="483"/>
      <c r="B183" s="72"/>
      <c r="C183" s="76"/>
      <c r="D183" s="76"/>
      <c r="E183" s="658" t="s">
        <v>160</v>
      </c>
      <c r="F183" s="76"/>
      <c r="G183" s="76"/>
      <c r="H183" s="205">
        <f t="shared" si="16"/>
        <v>0</v>
      </c>
      <c r="I183" s="1" t="e">
        <f t="shared" si="17"/>
        <v>#NUM!</v>
      </c>
      <c r="J183" s="1" t="e">
        <f t="shared" si="18"/>
        <v>#NUM!</v>
      </c>
      <c r="K183" s="1" t="e">
        <f t="shared" si="19"/>
        <v>#NUM!</v>
      </c>
    </row>
    <row r="184" spans="1:11">
      <c r="A184" s="483"/>
      <c r="B184" s="72"/>
      <c r="C184" s="76"/>
      <c r="D184" s="76"/>
      <c r="E184" s="658" t="s">
        <v>160</v>
      </c>
      <c r="F184" s="76"/>
      <c r="G184" s="76"/>
      <c r="H184" s="205">
        <f t="shared" si="16"/>
        <v>0</v>
      </c>
      <c r="I184" s="1" t="e">
        <f t="shared" si="17"/>
        <v>#NUM!</v>
      </c>
      <c r="J184" s="1" t="e">
        <f t="shared" si="18"/>
        <v>#NUM!</v>
      </c>
      <c r="K184" s="1" t="e">
        <f t="shared" si="19"/>
        <v>#NUM!</v>
      </c>
    </row>
    <row r="185" spans="1:11">
      <c r="A185" s="483"/>
      <c r="B185" s="72"/>
      <c r="C185" s="76"/>
      <c r="D185" s="76"/>
      <c r="E185" s="658" t="s">
        <v>160</v>
      </c>
      <c r="F185" s="76"/>
      <c r="G185" s="76"/>
      <c r="H185" s="205">
        <f t="shared" si="16"/>
        <v>0</v>
      </c>
      <c r="I185" s="1" t="e">
        <f t="shared" si="17"/>
        <v>#NUM!</v>
      </c>
      <c r="J185" s="1" t="e">
        <f t="shared" si="18"/>
        <v>#NUM!</v>
      </c>
      <c r="K185" s="1" t="e">
        <f t="shared" si="19"/>
        <v>#NUM!</v>
      </c>
    </row>
    <row r="186" spans="1:11">
      <c r="A186" s="483"/>
      <c r="B186" s="72"/>
      <c r="C186" s="76"/>
      <c r="D186" s="76"/>
      <c r="E186" s="658" t="s">
        <v>160</v>
      </c>
      <c r="F186" s="76"/>
      <c r="G186" s="76"/>
      <c r="H186" s="205">
        <f t="shared" si="16"/>
        <v>0</v>
      </c>
      <c r="I186" s="1" t="e">
        <f t="shared" si="17"/>
        <v>#NUM!</v>
      </c>
      <c r="J186" s="1" t="e">
        <f t="shared" si="18"/>
        <v>#NUM!</v>
      </c>
      <c r="K186" s="1" t="e">
        <f t="shared" si="19"/>
        <v>#NUM!</v>
      </c>
    </row>
    <row r="187" spans="1:11">
      <c r="A187" s="483"/>
      <c r="B187" s="72"/>
      <c r="C187" s="76"/>
      <c r="D187" s="76"/>
      <c r="E187" s="658" t="s">
        <v>160</v>
      </c>
      <c r="F187" s="76"/>
      <c r="G187" s="76"/>
      <c r="H187" s="205">
        <f t="shared" si="16"/>
        <v>0</v>
      </c>
      <c r="I187" s="1" t="e">
        <f t="shared" si="17"/>
        <v>#NUM!</v>
      </c>
      <c r="J187" s="1" t="e">
        <f t="shared" si="18"/>
        <v>#NUM!</v>
      </c>
      <c r="K187" s="1" t="e">
        <f t="shared" si="19"/>
        <v>#NUM!</v>
      </c>
    </row>
    <row r="188" spans="1:11">
      <c r="A188" s="483"/>
      <c r="B188" s="72"/>
      <c r="C188" s="76"/>
      <c r="D188" s="76"/>
      <c r="E188" s="658" t="s">
        <v>160</v>
      </c>
      <c r="F188" s="76"/>
      <c r="G188" s="76"/>
      <c r="H188" s="205">
        <f t="shared" si="16"/>
        <v>0</v>
      </c>
      <c r="I188" s="1" t="e">
        <f t="shared" si="17"/>
        <v>#NUM!</v>
      </c>
      <c r="J188" s="1" t="e">
        <f t="shared" si="18"/>
        <v>#NUM!</v>
      </c>
      <c r="K188" s="1" t="e">
        <f t="shared" si="19"/>
        <v>#NUM!</v>
      </c>
    </row>
    <row r="189" spans="1:11">
      <c r="A189" s="483"/>
      <c r="B189" s="72"/>
      <c r="C189" s="76"/>
      <c r="D189" s="76"/>
      <c r="E189" s="658" t="s">
        <v>160</v>
      </c>
      <c r="F189" s="76"/>
      <c r="G189" s="76"/>
      <c r="H189" s="205">
        <f t="shared" si="16"/>
        <v>0</v>
      </c>
      <c r="I189" s="1" t="e">
        <f t="shared" si="17"/>
        <v>#NUM!</v>
      </c>
      <c r="J189" s="1" t="e">
        <f t="shared" si="18"/>
        <v>#NUM!</v>
      </c>
      <c r="K189" s="1" t="e">
        <f t="shared" si="19"/>
        <v>#NUM!</v>
      </c>
    </row>
    <row r="190" spans="1:11">
      <c r="A190" s="483"/>
      <c r="B190" s="72"/>
      <c r="C190" s="76"/>
      <c r="D190" s="76"/>
      <c r="E190" s="658" t="s">
        <v>160</v>
      </c>
      <c r="F190" s="76"/>
      <c r="G190" s="76"/>
      <c r="H190" s="205">
        <f t="shared" si="16"/>
        <v>0</v>
      </c>
      <c r="I190" s="1" t="e">
        <f t="shared" si="17"/>
        <v>#NUM!</v>
      </c>
      <c r="J190" s="1" t="e">
        <f t="shared" si="18"/>
        <v>#NUM!</v>
      </c>
      <c r="K190" s="1" t="e">
        <f t="shared" si="19"/>
        <v>#NUM!</v>
      </c>
    </row>
    <row r="191" spans="1:11">
      <c r="A191" s="483"/>
      <c r="B191" s="72"/>
      <c r="C191" s="76"/>
      <c r="D191" s="76"/>
      <c r="E191" s="658" t="s">
        <v>160</v>
      </c>
      <c r="F191" s="76"/>
      <c r="G191" s="76"/>
      <c r="H191" s="205">
        <f t="shared" si="16"/>
        <v>0</v>
      </c>
      <c r="I191" s="1" t="e">
        <f t="shared" si="17"/>
        <v>#NUM!</v>
      </c>
      <c r="J191" s="1" t="e">
        <f t="shared" si="18"/>
        <v>#NUM!</v>
      </c>
      <c r="K191" s="1" t="e">
        <f t="shared" si="19"/>
        <v>#NUM!</v>
      </c>
    </row>
    <row r="192" spans="1:11">
      <c r="A192" s="483"/>
      <c r="B192" s="72"/>
      <c r="C192" s="76"/>
      <c r="D192" s="76"/>
      <c r="E192" s="658" t="s">
        <v>160</v>
      </c>
      <c r="F192" s="76"/>
      <c r="G192" s="76"/>
      <c r="H192" s="205">
        <f t="shared" si="16"/>
        <v>0</v>
      </c>
      <c r="I192" s="1" t="e">
        <f t="shared" si="17"/>
        <v>#NUM!</v>
      </c>
      <c r="J192" s="1" t="e">
        <f t="shared" si="18"/>
        <v>#NUM!</v>
      </c>
      <c r="K192" s="1" t="e">
        <f t="shared" si="19"/>
        <v>#NUM!</v>
      </c>
    </row>
    <row r="193" spans="1:11">
      <c r="A193" s="483"/>
      <c r="B193" s="72"/>
      <c r="C193" s="76"/>
      <c r="D193" s="76"/>
      <c r="E193" s="658" t="s">
        <v>160</v>
      </c>
      <c r="F193" s="76"/>
      <c r="G193" s="76"/>
      <c r="H193" s="205">
        <f t="shared" si="16"/>
        <v>0</v>
      </c>
      <c r="I193" s="1" t="e">
        <f t="shared" si="17"/>
        <v>#NUM!</v>
      </c>
      <c r="J193" s="1" t="e">
        <f t="shared" si="18"/>
        <v>#NUM!</v>
      </c>
      <c r="K193" s="1" t="e">
        <f t="shared" si="19"/>
        <v>#NUM!</v>
      </c>
    </row>
    <row r="194" spans="1:11">
      <c r="A194" s="483"/>
      <c r="B194" s="72"/>
      <c r="C194" s="76"/>
      <c r="D194" s="76"/>
      <c r="E194" s="658" t="s">
        <v>160</v>
      </c>
      <c r="F194" s="76"/>
      <c r="G194" s="76"/>
      <c r="H194" s="205">
        <f t="shared" si="16"/>
        <v>0</v>
      </c>
      <c r="I194" s="1" t="e">
        <f t="shared" si="17"/>
        <v>#NUM!</v>
      </c>
      <c r="J194" s="1" t="e">
        <f t="shared" si="18"/>
        <v>#NUM!</v>
      </c>
      <c r="K194" s="1" t="e">
        <f t="shared" si="19"/>
        <v>#NUM!</v>
      </c>
    </row>
    <row r="195" spans="1:11">
      <c r="A195" s="483"/>
      <c r="B195" s="72"/>
      <c r="C195" s="76"/>
      <c r="D195" s="76"/>
      <c r="E195" s="658" t="s">
        <v>160</v>
      </c>
      <c r="F195" s="76"/>
      <c r="G195" s="76"/>
      <c r="H195" s="205">
        <f t="shared" si="16"/>
        <v>0</v>
      </c>
      <c r="I195" s="1" t="e">
        <f t="shared" si="17"/>
        <v>#NUM!</v>
      </c>
      <c r="J195" s="1" t="e">
        <f t="shared" si="18"/>
        <v>#NUM!</v>
      </c>
      <c r="K195" s="1" t="e">
        <f t="shared" si="19"/>
        <v>#NUM!</v>
      </c>
    </row>
    <row r="196" spans="1:11">
      <c r="A196" s="483"/>
      <c r="B196" s="72"/>
      <c r="C196" s="76"/>
      <c r="D196" s="76"/>
      <c r="E196" s="658" t="s">
        <v>160</v>
      </c>
      <c r="F196" s="76"/>
      <c r="G196" s="76"/>
      <c r="H196" s="205">
        <f t="shared" si="16"/>
        <v>0</v>
      </c>
      <c r="I196" s="1" t="e">
        <f t="shared" si="17"/>
        <v>#NUM!</v>
      </c>
      <c r="J196" s="1" t="e">
        <f t="shared" si="18"/>
        <v>#NUM!</v>
      </c>
      <c r="K196" s="1" t="e">
        <f t="shared" si="19"/>
        <v>#NUM!</v>
      </c>
    </row>
    <row r="197" spans="1:11">
      <c r="A197" s="483"/>
      <c r="B197" s="72"/>
      <c r="C197" s="76"/>
      <c r="D197" s="76"/>
      <c r="E197" s="658" t="s">
        <v>160</v>
      </c>
      <c r="F197" s="76"/>
      <c r="G197" s="76"/>
      <c r="H197" s="205">
        <f t="shared" si="16"/>
        <v>0</v>
      </c>
      <c r="I197" s="1" t="e">
        <f t="shared" si="17"/>
        <v>#NUM!</v>
      </c>
      <c r="J197" s="1" t="e">
        <f t="shared" si="18"/>
        <v>#NUM!</v>
      </c>
      <c r="K197" s="1" t="e">
        <f t="shared" si="19"/>
        <v>#NUM!</v>
      </c>
    </row>
    <row r="198" spans="1:11">
      <c r="A198" s="483"/>
      <c r="B198" s="72"/>
      <c r="C198" s="76"/>
      <c r="D198" s="76"/>
      <c r="E198" s="658" t="s">
        <v>160</v>
      </c>
      <c r="F198" s="76"/>
      <c r="G198" s="76"/>
      <c r="H198" s="205">
        <f t="shared" si="16"/>
        <v>0</v>
      </c>
      <c r="I198" s="1" t="e">
        <f t="shared" si="17"/>
        <v>#NUM!</v>
      </c>
      <c r="J198" s="1" t="e">
        <f t="shared" si="18"/>
        <v>#NUM!</v>
      </c>
      <c r="K198" s="1" t="e">
        <f t="shared" si="19"/>
        <v>#NUM!</v>
      </c>
    </row>
    <row r="199" spans="1:11">
      <c r="A199" s="483"/>
      <c r="B199" s="72"/>
      <c r="C199" s="76"/>
      <c r="D199" s="76"/>
      <c r="E199" s="658" t="s">
        <v>160</v>
      </c>
      <c r="F199" s="76"/>
      <c r="G199" s="76"/>
      <c r="H199" s="205">
        <f t="shared" si="16"/>
        <v>0</v>
      </c>
      <c r="I199" s="1" t="e">
        <f t="shared" si="17"/>
        <v>#NUM!</v>
      </c>
      <c r="J199" s="1" t="e">
        <f t="shared" si="18"/>
        <v>#NUM!</v>
      </c>
      <c r="K199" s="1" t="e">
        <f t="shared" si="19"/>
        <v>#NUM!</v>
      </c>
    </row>
    <row r="200" spans="1:11">
      <c r="A200" s="483"/>
      <c r="B200" s="72"/>
      <c r="C200" s="76"/>
      <c r="D200" s="76"/>
      <c r="E200" s="658" t="s">
        <v>160</v>
      </c>
      <c r="F200" s="76"/>
      <c r="G200" s="76"/>
      <c r="H200" s="205">
        <f t="shared" si="16"/>
        <v>0</v>
      </c>
      <c r="I200" s="1" t="e">
        <f t="shared" si="17"/>
        <v>#NUM!</v>
      </c>
      <c r="J200" s="1" t="e">
        <f t="shared" si="18"/>
        <v>#NUM!</v>
      </c>
      <c r="K200" s="1" t="e">
        <f t="shared" si="19"/>
        <v>#NUM!</v>
      </c>
    </row>
  </sheetData>
  <customSheetViews>
    <customSheetView guid="{CFA9FB8A-52FF-44B9-AE70-27339693E196}" scale="90" topLeftCell="H1">
      <pane ySplit="6" topLeftCell="A128" activePane="bottomLeft" state="frozen"/>
      <selection pane="bottomLeft" activeCell="K2" sqref="K2"/>
      <pageMargins left="0.75" right="0.75" top="1" bottom="1" header="0.5" footer="0.5"/>
      <headerFooter alignWithMargins="0"/>
    </customSheetView>
  </customSheetViews>
  <mergeCells count="1">
    <mergeCell ref="A1:H3"/>
  </mergeCells>
  <phoneticPr fontId="18" type="noConversion"/>
  <dataValidations count="1">
    <dataValidation type="list" allowBlank="1" showInputMessage="1" showErrorMessage="1" sqref="D132:D200">
      <formula1>counties</formula1>
    </dataValidation>
  </dataValidations>
  <printOptions horizontalCentered="1"/>
  <pageMargins left="0.75" right="0.75" top="1.25" bottom="0.5" header="0.5" footer="0"/>
  <pageSetup scale="74" firstPageNumber="161" fitToHeight="10" orientation="landscape" useFirstPageNumber="1" r:id="rId1"/>
  <headerFooter scaleWithDoc="0">
    <oddFooter>&amp;CPage &amp;P of 172</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8"/>
  <sheetViews>
    <sheetView workbookViewId="0">
      <pane ySplit="11" topLeftCell="A143" activePane="bottomLeft" state="frozen"/>
      <selection pane="bottomLeft" activeCell="E3" sqref="E3"/>
    </sheetView>
  </sheetViews>
  <sheetFormatPr defaultRowHeight="15"/>
  <cols>
    <col min="5" max="5" width="8.109375" customWidth="1"/>
    <col min="11" max="11" width="7.88671875" bestFit="1" customWidth="1"/>
  </cols>
  <sheetData>
    <row r="1" spans="1:16" ht="30" customHeight="1" thickTop="1" thickBot="1">
      <c r="A1" s="1185" t="s">
        <v>1165</v>
      </c>
      <c r="B1" s="1186"/>
      <c r="C1" s="1186"/>
      <c r="D1" s="1186"/>
      <c r="E1" s="1186"/>
      <c r="F1" s="1186"/>
      <c r="G1" s="1186"/>
      <c r="H1" s="1186"/>
      <c r="I1" s="1187"/>
    </row>
    <row r="2" spans="1:16" ht="16.5" thickTop="1">
      <c r="A2" s="749"/>
      <c r="B2" s="4"/>
      <c r="C2" s="4" t="s">
        <v>183</v>
      </c>
      <c r="D2" s="4" t="s">
        <v>184</v>
      </c>
      <c r="E2" s="4" t="s">
        <v>540</v>
      </c>
      <c r="I2" s="750"/>
    </row>
    <row r="3" spans="1:16">
      <c r="A3" s="749"/>
      <c r="B3" s="27" t="s">
        <v>947</v>
      </c>
      <c r="C3" s="27">
        <f>COUNT(G12:G210)</f>
        <v>137</v>
      </c>
      <c r="D3" s="27">
        <f>COUNT(H12:H210)</f>
        <v>137</v>
      </c>
      <c r="E3" s="27">
        <f>COUNT(I12:I210)</f>
        <v>137</v>
      </c>
      <c r="I3" s="750"/>
    </row>
    <row r="4" spans="1:16">
      <c r="A4" s="749"/>
      <c r="B4" s="27">
        <v>0.05</v>
      </c>
      <c r="C4" s="671">
        <f>EXP(INDEX(G12:G148,C3*$B$4)+(INDEX(G12:G148,C3*$B$4+1)-INDEX(G12:G148,C3*$B$4))*(C3*$B$4-INT(C3*$B$4)))</f>
        <v>10.000000000000002</v>
      </c>
      <c r="D4" s="671">
        <f>EXP(INDEX(H12:H148,D3*$B$4)+(INDEX(H12:H148,D3*$B$4+1)-INDEX(H12:H148,D3*$B$4))*(D3*$B$4-INT(D3*$B$4)))</f>
        <v>0.10000000000000002</v>
      </c>
      <c r="E4" s="671">
        <f>EXP(INDEX(I12:I148,E3*$B$4)+(INDEX(I12:I148,E3*$B$4+1)-INDEX(I12:I148,E3*$B$4))*(E3*$B$4-INT(E3*$B$4)))</f>
        <v>5.6818181818181826E-4</v>
      </c>
      <c r="I4" s="750"/>
    </row>
    <row r="5" spans="1:16">
      <c r="A5" s="749"/>
      <c r="B5" s="27" t="s">
        <v>948</v>
      </c>
      <c r="C5" s="671">
        <f>EXP(MODE(G12:G148))</f>
        <v>10.000000000000002</v>
      </c>
      <c r="D5" s="671">
        <f>EXP(MODE(H12:H148))</f>
        <v>0.10000000000000002</v>
      </c>
      <c r="E5" s="671">
        <f>EXP(MODE(I12:I148))</f>
        <v>5.6818181818181826E-4</v>
      </c>
      <c r="I5" s="750"/>
    </row>
    <row r="6" spans="1:16">
      <c r="A6" s="749"/>
      <c r="B6" s="27" t="s">
        <v>949</v>
      </c>
      <c r="C6" s="671">
        <f>EXP(MEDIAN(G12:G148))</f>
        <v>100.00000000000004</v>
      </c>
      <c r="D6" s="671">
        <f>EXP(MEDIAN(H12:H148))</f>
        <v>3.0000000000000004</v>
      </c>
      <c r="E6" s="671">
        <f>EXP(MEDIAN(I12:I148))</f>
        <v>0.22727272727272727</v>
      </c>
      <c r="I6" s="750"/>
    </row>
    <row r="7" spans="1:16">
      <c r="A7" s="749"/>
      <c r="B7" s="27" t="s">
        <v>950</v>
      </c>
      <c r="C7" s="671">
        <f>EXP(AVERAGE(G12:G148))</f>
        <v>98.712290875469776</v>
      </c>
      <c r="D7" s="671">
        <f>EXP(AVERAGE(H12:H148))</f>
        <v>1.6657330127985372</v>
      </c>
      <c r="E7" s="671">
        <f>EXP(AVERAGE(I12:I148))</f>
        <v>9.4436504553154804E-2</v>
      </c>
      <c r="I7" s="750"/>
    </row>
    <row r="8" spans="1:16">
      <c r="A8" s="749"/>
      <c r="B8" s="27" t="s">
        <v>131</v>
      </c>
      <c r="C8" s="671">
        <f>AVERAGE(B12:B148)</f>
        <v>277.70072992700727</v>
      </c>
      <c r="D8" s="671">
        <f>AVERAGE(C12:C148)</f>
        <v>4.7672262773722629</v>
      </c>
      <c r="E8" s="671">
        <f>AVERAGE(D12:D148)</f>
        <v>1.2911692103516919</v>
      </c>
      <c r="I8" s="750"/>
    </row>
    <row r="9" spans="1:16">
      <c r="A9" s="749"/>
      <c r="B9" s="27">
        <v>0.95</v>
      </c>
      <c r="C9" s="671">
        <f>EXP(INDEX(G12:G148,C3*$B$9)+(INDEX(G12:G148,C3*$B$9+1)-INDEX(G12:G148,C3*$B$9))*(C3*$B$9-INT(C3*$B$9)))</f>
        <v>1399.9999999999998</v>
      </c>
      <c r="D9" s="671">
        <f>EXP(INDEX(H12:H148,D3*$B$9)+(INDEX(H12:H148,D3*$B$9+1)-INDEX(H12:H148,D3*$B$9))*(D3*$B$9-INT(D3*$B$9)))</f>
        <v>16.199999999999996</v>
      </c>
      <c r="E9" s="671">
        <f>EXP(INDEX(I12:I148,E3*$B$9)+(INDEX(I12:I148,E3*$B$9+1)-INDEX(I12:I148,E3*$B$9))*(E3*$B$9-INT(E3*$B$9)))</f>
        <v>5.5330866058408192</v>
      </c>
      <c r="I9" s="750"/>
    </row>
    <row r="10" spans="1:16" ht="15.75" thickBot="1">
      <c r="A10" s="749"/>
      <c r="I10" s="750"/>
    </row>
    <row r="11" spans="1:16" s="7" customFormat="1" ht="17.25" thickTop="1" thickBot="1">
      <c r="A11" s="751" t="s">
        <v>941</v>
      </c>
      <c r="B11" s="751" t="s">
        <v>183</v>
      </c>
      <c r="C11" s="751" t="s">
        <v>184</v>
      </c>
      <c r="D11" s="751" t="s">
        <v>540</v>
      </c>
      <c r="E11" s="752" t="s">
        <v>942</v>
      </c>
      <c r="F11" s="751" t="s">
        <v>943</v>
      </c>
      <c r="G11" s="751" t="s">
        <v>944</v>
      </c>
      <c r="H11" s="751" t="s">
        <v>945</v>
      </c>
      <c r="I11" s="751" t="s">
        <v>946</v>
      </c>
      <c r="J11" s="4"/>
      <c r="O11" s="4"/>
      <c r="P11" s="4"/>
    </row>
    <row r="12" spans="1:16" ht="15.75" thickTop="1">
      <c r="A12" s="27">
        <v>1</v>
      </c>
      <c r="B12" s="27">
        <v>10</v>
      </c>
      <c r="C12" s="27">
        <v>0.1</v>
      </c>
      <c r="D12" s="27">
        <v>5.6818181818181826E-4</v>
      </c>
      <c r="E12" s="27">
        <f>(A12-0.5)/137</f>
        <v>3.6496350364963502E-3</v>
      </c>
      <c r="F12" s="27">
        <f>NORMSINV(E12)</f>
        <v>-2.6828730125874056</v>
      </c>
      <c r="G12" s="27">
        <f>LN(B12)</f>
        <v>2.3025850929940459</v>
      </c>
      <c r="H12" s="27">
        <f>LN(C12)</f>
        <v>-2.3025850929940455</v>
      </c>
      <c r="I12" s="27">
        <f>LN(D12)</f>
        <v>-7.4730690880321973</v>
      </c>
      <c r="J12" s="27"/>
      <c r="O12" s="27"/>
      <c r="P12" s="27"/>
    </row>
    <row r="13" spans="1:16">
      <c r="A13" s="27">
        <v>2</v>
      </c>
      <c r="B13" s="27">
        <v>10</v>
      </c>
      <c r="C13" s="27">
        <v>0.1</v>
      </c>
      <c r="D13" s="27">
        <v>5.6818181818181826E-4</v>
      </c>
      <c r="E13" s="27">
        <f t="shared" ref="E13:E76" si="0">(A13-0.5)/137</f>
        <v>1.0948905109489052E-2</v>
      </c>
      <c r="F13" s="27">
        <f t="shared" ref="F13:F76" si="1">NORMSINV(E13)</f>
        <v>-2.2921357641631155</v>
      </c>
      <c r="G13" s="27">
        <f t="shared" ref="G13:I76" si="2">LN(B13)</f>
        <v>2.3025850929940459</v>
      </c>
      <c r="H13" s="27">
        <f t="shared" si="2"/>
        <v>-2.3025850929940455</v>
      </c>
      <c r="I13" s="27">
        <f t="shared" si="2"/>
        <v>-7.4730690880321973</v>
      </c>
      <c r="J13" s="27"/>
      <c r="O13" s="27"/>
      <c r="P13" s="27"/>
    </row>
    <row r="14" spans="1:16">
      <c r="A14" s="27">
        <v>3</v>
      </c>
      <c r="B14" s="27">
        <v>10</v>
      </c>
      <c r="C14" s="27">
        <v>0.1</v>
      </c>
      <c r="D14" s="27">
        <v>5.6818181818181826E-4</v>
      </c>
      <c r="E14" s="27">
        <f t="shared" si="0"/>
        <v>1.824817518248175E-2</v>
      </c>
      <c r="F14" s="27">
        <f t="shared" si="1"/>
        <v>-2.0913539118795437</v>
      </c>
      <c r="G14" s="27">
        <f t="shared" si="2"/>
        <v>2.3025850929940459</v>
      </c>
      <c r="H14" s="27">
        <f t="shared" si="2"/>
        <v>-2.3025850929940455</v>
      </c>
      <c r="I14" s="27">
        <f t="shared" si="2"/>
        <v>-7.4730690880321973</v>
      </c>
      <c r="J14" s="27"/>
      <c r="O14" s="27"/>
      <c r="P14" s="27"/>
    </row>
    <row r="15" spans="1:16">
      <c r="A15" s="27">
        <v>4</v>
      </c>
      <c r="B15" s="27">
        <v>10</v>
      </c>
      <c r="C15" s="27">
        <v>0.1</v>
      </c>
      <c r="D15" s="27">
        <v>5.6818181818181826E-4</v>
      </c>
      <c r="E15" s="27">
        <f t="shared" si="0"/>
        <v>2.5547445255474453E-2</v>
      </c>
      <c r="F15" s="27">
        <f t="shared" si="1"/>
        <v>-1.9506819612496027</v>
      </c>
      <c r="G15" s="27">
        <f t="shared" si="2"/>
        <v>2.3025850929940459</v>
      </c>
      <c r="H15" s="27">
        <f t="shared" si="2"/>
        <v>-2.3025850929940455</v>
      </c>
      <c r="I15" s="27">
        <f t="shared" si="2"/>
        <v>-7.4730690880321973</v>
      </c>
      <c r="J15" s="27"/>
      <c r="O15" s="27"/>
      <c r="P15" s="27"/>
    </row>
    <row r="16" spans="1:16">
      <c r="A16" s="27">
        <v>5</v>
      </c>
      <c r="B16" s="27">
        <v>10</v>
      </c>
      <c r="C16" s="27">
        <v>0.1</v>
      </c>
      <c r="D16" s="27">
        <v>5.6818181818181826E-4</v>
      </c>
      <c r="E16" s="27">
        <f t="shared" si="0"/>
        <v>3.2846715328467155E-2</v>
      </c>
      <c r="F16" s="27">
        <f t="shared" si="1"/>
        <v>-1.8405097738970768</v>
      </c>
      <c r="G16" s="27">
        <f t="shared" si="2"/>
        <v>2.3025850929940459</v>
      </c>
      <c r="H16" s="27">
        <f t="shared" si="2"/>
        <v>-2.3025850929940455</v>
      </c>
      <c r="I16" s="27">
        <f t="shared" si="2"/>
        <v>-7.4730690880321973</v>
      </c>
      <c r="J16" s="27"/>
      <c r="O16" s="27"/>
      <c r="P16" s="27"/>
    </row>
    <row r="17" spans="1:16">
      <c r="A17" s="27">
        <v>6</v>
      </c>
      <c r="B17" s="27">
        <v>10</v>
      </c>
      <c r="C17" s="27">
        <v>0.1</v>
      </c>
      <c r="D17" s="27">
        <v>5.6818181818181826E-4</v>
      </c>
      <c r="E17" s="27">
        <f t="shared" si="0"/>
        <v>4.0145985401459854E-2</v>
      </c>
      <c r="F17" s="27">
        <f t="shared" si="1"/>
        <v>-1.7489944960886423</v>
      </c>
      <c r="G17" s="27">
        <f t="shared" si="2"/>
        <v>2.3025850929940459</v>
      </c>
      <c r="H17" s="27">
        <f t="shared" si="2"/>
        <v>-2.3025850929940455</v>
      </c>
      <c r="I17" s="27">
        <f t="shared" si="2"/>
        <v>-7.4730690880321973</v>
      </c>
      <c r="J17" s="27"/>
      <c r="O17" s="27"/>
      <c r="P17" s="27"/>
    </row>
    <row r="18" spans="1:16">
      <c r="A18" s="27">
        <v>7</v>
      </c>
      <c r="B18" s="27">
        <v>10</v>
      </c>
      <c r="C18" s="27">
        <v>0.1</v>
      </c>
      <c r="D18" s="27">
        <v>5.6818181818181826E-4</v>
      </c>
      <c r="E18" s="27">
        <f t="shared" si="0"/>
        <v>4.7445255474452552E-2</v>
      </c>
      <c r="F18" s="27">
        <f t="shared" si="1"/>
        <v>-1.6701458480348186</v>
      </c>
      <c r="G18" s="27">
        <f t="shared" si="2"/>
        <v>2.3025850929940459</v>
      </c>
      <c r="H18" s="27">
        <f t="shared" si="2"/>
        <v>-2.3025850929940455</v>
      </c>
      <c r="I18" s="27">
        <f t="shared" si="2"/>
        <v>-7.4730690880321973</v>
      </c>
      <c r="J18" s="27"/>
      <c r="O18" s="27"/>
      <c r="P18" s="27"/>
    </row>
    <row r="19" spans="1:16">
      <c r="A19" s="27">
        <v>8</v>
      </c>
      <c r="B19" s="27">
        <v>10</v>
      </c>
      <c r="C19" s="27">
        <v>0.1</v>
      </c>
      <c r="D19" s="27">
        <v>5.6818181818181826E-4</v>
      </c>
      <c r="E19" s="27">
        <f t="shared" si="0"/>
        <v>5.4744525547445258E-2</v>
      </c>
      <c r="F19" s="27">
        <f t="shared" si="1"/>
        <v>-1.6004939360412309</v>
      </c>
      <c r="G19" s="27">
        <f t="shared" si="2"/>
        <v>2.3025850929940459</v>
      </c>
      <c r="H19" s="27">
        <f t="shared" si="2"/>
        <v>-2.3025850929940455</v>
      </c>
      <c r="I19" s="27">
        <f t="shared" si="2"/>
        <v>-7.4730690880321973</v>
      </c>
      <c r="J19" s="27"/>
      <c r="M19" s="27"/>
      <c r="N19" s="27"/>
      <c r="O19" s="27"/>
      <c r="P19" s="27"/>
    </row>
    <row r="20" spans="1:16">
      <c r="A20" s="27">
        <v>9</v>
      </c>
      <c r="B20" s="27">
        <v>10</v>
      </c>
      <c r="C20" s="27">
        <v>0.1</v>
      </c>
      <c r="D20" s="27">
        <v>5.6818181818181826E-4</v>
      </c>
      <c r="E20" s="27">
        <f t="shared" si="0"/>
        <v>6.2043795620437957E-2</v>
      </c>
      <c r="F20" s="27">
        <f t="shared" si="1"/>
        <v>-1.537840610864756</v>
      </c>
      <c r="G20" s="27">
        <f t="shared" si="2"/>
        <v>2.3025850929940459</v>
      </c>
      <c r="H20" s="27">
        <f t="shared" si="2"/>
        <v>-2.3025850929940455</v>
      </c>
      <c r="I20" s="27">
        <f t="shared" si="2"/>
        <v>-7.4730690880321973</v>
      </c>
      <c r="J20" s="27"/>
      <c r="O20" s="27"/>
      <c r="P20" s="27"/>
    </row>
    <row r="21" spans="1:16">
      <c r="A21" s="27">
        <v>10</v>
      </c>
      <c r="B21" s="27">
        <v>10</v>
      </c>
      <c r="C21" s="27">
        <v>0.1</v>
      </c>
      <c r="D21" s="27">
        <v>5.6818181818181826E-4</v>
      </c>
      <c r="E21" s="27">
        <f t="shared" si="0"/>
        <v>6.9343065693430656E-2</v>
      </c>
      <c r="F21" s="27">
        <f t="shared" si="1"/>
        <v>-1.4807015101747427</v>
      </c>
      <c r="G21" s="27">
        <f t="shared" si="2"/>
        <v>2.3025850929940459</v>
      </c>
      <c r="H21" s="27">
        <f t="shared" si="2"/>
        <v>-2.3025850929940455</v>
      </c>
      <c r="I21" s="27">
        <f t="shared" si="2"/>
        <v>-7.4730690880321973</v>
      </c>
      <c r="J21" s="27"/>
      <c r="M21" s="27"/>
      <c r="N21" s="27"/>
      <c r="O21" s="27"/>
      <c r="P21" s="27"/>
    </row>
    <row r="22" spans="1:16">
      <c r="A22" s="27">
        <v>11</v>
      </c>
      <c r="B22" s="27">
        <v>10</v>
      </c>
      <c r="C22" s="27">
        <v>0.1</v>
      </c>
      <c r="D22" s="27">
        <v>5.6818181818181826E-4</v>
      </c>
      <c r="E22" s="27">
        <f t="shared" si="0"/>
        <v>7.6642335766423361E-2</v>
      </c>
      <c r="F22" s="27">
        <f t="shared" si="1"/>
        <v>-1.4280249699576559</v>
      </c>
      <c r="G22" s="27">
        <f t="shared" si="2"/>
        <v>2.3025850929940459</v>
      </c>
      <c r="H22" s="27">
        <f t="shared" si="2"/>
        <v>-2.3025850929940455</v>
      </c>
      <c r="I22" s="27">
        <f t="shared" si="2"/>
        <v>-7.4730690880321973</v>
      </c>
      <c r="J22" s="27"/>
      <c r="M22" s="27"/>
      <c r="N22" s="27"/>
      <c r="O22" s="27"/>
      <c r="P22" s="27"/>
    </row>
    <row r="23" spans="1:16">
      <c r="A23" s="27">
        <v>12</v>
      </c>
      <c r="B23" s="27">
        <v>10</v>
      </c>
      <c r="C23" s="27">
        <v>0.1</v>
      </c>
      <c r="D23" s="27">
        <v>5.6818181818181826E-4</v>
      </c>
      <c r="E23" s="27">
        <f t="shared" si="0"/>
        <v>8.3941605839416053E-2</v>
      </c>
      <c r="F23" s="27">
        <f t="shared" si="1"/>
        <v>-1.3790374366159088</v>
      </c>
      <c r="G23" s="27">
        <f t="shared" si="2"/>
        <v>2.3025850929940459</v>
      </c>
      <c r="H23" s="27">
        <f t="shared" si="2"/>
        <v>-2.3025850929940455</v>
      </c>
      <c r="I23" s="27">
        <f t="shared" si="2"/>
        <v>-7.4730690880321973</v>
      </c>
      <c r="J23" s="27"/>
      <c r="M23" s="27"/>
      <c r="N23" s="27"/>
      <c r="O23" s="27"/>
      <c r="P23" s="27"/>
    </row>
    <row r="24" spans="1:16">
      <c r="A24" s="27">
        <v>13</v>
      </c>
      <c r="B24" s="27">
        <v>10</v>
      </c>
      <c r="C24" s="27">
        <v>0.1</v>
      </c>
      <c r="D24" s="27">
        <v>5.6818181818181826E-4</v>
      </c>
      <c r="E24" s="27">
        <f t="shared" si="0"/>
        <v>9.1240875912408759E-2</v>
      </c>
      <c r="F24" s="27">
        <f t="shared" si="1"/>
        <v>-1.3331525358280887</v>
      </c>
      <c r="G24" s="27">
        <f t="shared" si="2"/>
        <v>2.3025850929940459</v>
      </c>
      <c r="H24" s="27">
        <f t="shared" si="2"/>
        <v>-2.3025850929940455</v>
      </c>
      <c r="I24" s="27">
        <f t="shared" si="2"/>
        <v>-7.4730690880321973</v>
      </c>
      <c r="J24" s="27"/>
      <c r="M24" s="27"/>
      <c r="N24" s="27"/>
      <c r="O24" s="27"/>
      <c r="P24" s="27"/>
    </row>
    <row r="25" spans="1:16">
      <c r="A25" s="27">
        <v>14</v>
      </c>
      <c r="B25" s="27">
        <v>10</v>
      </c>
      <c r="C25" s="27">
        <v>0.1</v>
      </c>
      <c r="D25" s="27">
        <v>5.6818181818181826E-4</v>
      </c>
      <c r="E25" s="27">
        <f t="shared" si="0"/>
        <v>9.8540145985401464E-2</v>
      </c>
      <c r="F25" s="27">
        <f t="shared" si="1"/>
        <v>-1.2899146547910327</v>
      </c>
      <c r="G25" s="27">
        <f t="shared" si="2"/>
        <v>2.3025850929940459</v>
      </c>
      <c r="H25" s="27">
        <f t="shared" si="2"/>
        <v>-2.3025850929940455</v>
      </c>
      <c r="I25" s="27">
        <f t="shared" si="2"/>
        <v>-7.4730690880321973</v>
      </c>
      <c r="J25" s="27"/>
      <c r="M25" s="27"/>
      <c r="N25" s="27"/>
      <c r="O25" s="27"/>
      <c r="P25" s="27"/>
    </row>
    <row r="26" spans="1:16">
      <c r="A26" s="27">
        <v>15</v>
      </c>
      <c r="B26" s="27">
        <v>10</v>
      </c>
      <c r="C26" s="27">
        <v>0.1</v>
      </c>
      <c r="D26" s="27">
        <v>5.6818181818181826E-4</v>
      </c>
      <c r="E26" s="27">
        <f t="shared" si="0"/>
        <v>0.10583941605839416</v>
      </c>
      <c r="F26" s="27">
        <f t="shared" si="1"/>
        <v>-1.2489623848000839</v>
      </c>
      <c r="G26" s="27">
        <f t="shared" si="2"/>
        <v>2.3025850929940459</v>
      </c>
      <c r="H26" s="27">
        <f t="shared" si="2"/>
        <v>-2.3025850929940455</v>
      </c>
      <c r="I26" s="27">
        <f t="shared" si="2"/>
        <v>-7.4730690880321973</v>
      </c>
      <c r="J26" s="27"/>
      <c r="M26" s="27"/>
      <c r="N26" s="27"/>
      <c r="O26" s="27"/>
      <c r="P26" s="27"/>
    </row>
    <row r="27" spans="1:16">
      <c r="A27" s="27">
        <v>16</v>
      </c>
      <c r="B27" s="27">
        <v>10</v>
      </c>
      <c r="C27" s="27">
        <v>0.1</v>
      </c>
      <c r="D27" s="27">
        <v>5.6818181818181826E-4</v>
      </c>
      <c r="E27" s="27">
        <f t="shared" si="0"/>
        <v>0.11313868613138686</v>
      </c>
      <c r="F27" s="27">
        <f t="shared" si="1"/>
        <v>-1.2100039628572927</v>
      </c>
      <c r="G27" s="27">
        <f t="shared" si="2"/>
        <v>2.3025850929940459</v>
      </c>
      <c r="H27" s="27">
        <f t="shared" si="2"/>
        <v>-2.3025850929940455</v>
      </c>
      <c r="I27" s="27">
        <f t="shared" si="2"/>
        <v>-7.4730690880321973</v>
      </c>
      <c r="J27" s="27"/>
      <c r="M27" s="27"/>
      <c r="N27" s="27"/>
      <c r="O27" s="27"/>
      <c r="P27" s="27"/>
    </row>
    <row r="28" spans="1:16">
      <c r="A28" s="27">
        <v>17</v>
      </c>
      <c r="B28" s="27">
        <v>10</v>
      </c>
      <c r="C28" s="27">
        <v>0.1</v>
      </c>
      <c r="D28" s="27">
        <v>5.6818181818181826E-4</v>
      </c>
      <c r="E28" s="27">
        <f t="shared" si="0"/>
        <v>0.12043795620437957</v>
      </c>
      <c r="F28" s="27">
        <f t="shared" si="1"/>
        <v>-1.1728002636200223</v>
      </c>
      <c r="G28" s="27">
        <f t="shared" si="2"/>
        <v>2.3025850929940459</v>
      </c>
      <c r="H28" s="27">
        <f t="shared" si="2"/>
        <v>-2.3025850929940455</v>
      </c>
      <c r="I28" s="27">
        <f t="shared" si="2"/>
        <v>-7.4730690880321973</v>
      </c>
      <c r="J28" s="27"/>
      <c r="M28" s="27"/>
      <c r="N28" s="27"/>
      <c r="O28" s="27"/>
      <c r="P28" s="27"/>
    </row>
    <row r="29" spans="1:16">
      <c r="A29" s="27">
        <v>18</v>
      </c>
      <c r="B29" s="27">
        <v>10</v>
      </c>
      <c r="C29" s="27">
        <v>0.1</v>
      </c>
      <c r="D29" s="27">
        <v>5.6818181818181826E-4</v>
      </c>
      <c r="E29" s="27">
        <f t="shared" si="0"/>
        <v>0.12773722627737227</v>
      </c>
      <c r="F29" s="27">
        <f t="shared" si="1"/>
        <v>-1.1371527090780242</v>
      </c>
      <c r="G29" s="27">
        <f t="shared" si="2"/>
        <v>2.3025850929940459</v>
      </c>
      <c r="H29" s="27">
        <f t="shared" si="2"/>
        <v>-2.3025850929940455</v>
      </c>
      <c r="I29" s="27">
        <f t="shared" si="2"/>
        <v>-7.4730690880321973</v>
      </c>
      <c r="J29" s="27"/>
      <c r="M29" s="27"/>
      <c r="N29" s="27"/>
      <c r="O29" s="27"/>
      <c r="P29" s="27"/>
    </row>
    <row r="30" spans="1:16">
      <c r="A30" s="27">
        <v>19</v>
      </c>
      <c r="B30" s="27">
        <v>10</v>
      </c>
      <c r="C30" s="27">
        <v>0.1</v>
      </c>
      <c r="D30" s="27">
        <v>5.6818181818181826E-4</v>
      </c>
      <c r="E30" s="27">
        <f t="shared" si="0"/>
        <v>0.13503649635036497</v>
      </c>
      <c r="F30" s="27">
        <f t="shared" si="1"/>
        <v>-1.1028944776204754</v>
      </c>
      <c r="G30" s="27">
        <f t="shared" si="2"/>
        <v>2.3025850929940459</v>
      </c>
      <c r="H30" s="27">
        <f t="shared" si="2"/>
        <v>-2.3025850929940455</v>
      </c>
      <c r="I30" s="27">
        <f t="shared" si="2"/>
        <v>-7.4730690880321973</v>
      </c>
      <c r="J30" s="27"/>
      <c r="M30" s="27"/>
      <c r="N30" s="27"/>
      <c r="O30" s="27"/>
      <c r="P30" s="27"/>
    </row>
    <row r="31" spans="1:16">
      <c r="A31" s="27">
        <v>20</v>
      </c>
      <c r="B31" s="27">
        <v>10</v>
      </c>
      <c r="C31" s="27">
        <v>0.1</v>
      </c>
      <c r="D31" s="27">
        <v>5.6818181818181826E-4</v>
      </c>
      <c r="E31" s="27">
        <f t="shared" si="0"/>
        <v>0.14233576642335766</v>
      </c>
      <c r="F31" s="27">
        <f t="shared" si="1"/>
        <v>-1.0698839844739778</v>
      </c>
      <c r="G31" s="27">
        <f t="shared" si="2"/>
        <v>2.3025850929940459</v>
      </c>
      <c r="H31" s="27">
        <f t="shared" si="2"/>
        <v>-2.3025850929940455</v>
      </c>
      <c r="I31" s="27">
        <f t="shared" si="2"/>
        <v>-7.4730690880321973</v>
      </c>
      <c r="J31" s="27"/>
    </row>
    <row r="32" spans="1:16">
      <c r="A32" s="27">
        <v>21</v>
      </c>
      <c r="B32" s="27">
        <v>10</v>
      </c>
      <c r="C32" s="27">
        <v>0.1</v>
      </c>
      <c r="D32" s="27">
        <v>5.6818181818181826E-4</v>
      </c>
      <c r="E32" s="27">
        <f t="shared" si="0"/>
        <v>0.14963503649635038</v>
      </c>
      <c r="F32" s="27">
        <f t="shared" si="1"/>
        <v>-1.037999961538197</v>
      </c>
      <c r="G32" s="27">
        <f t="shared" si="2"/>
        <v>2.3025850929940459</v>
      </c>
      <c r="H32" s="27">
        <f t="shared" si="2"/>
        <v>-2.3025850929940455</v>
      </c>
      <c r="I32" s="27">
        <f t="shared" si="2"/>
        <v>-7.4730690880321973</v>
      </c>
      <c r="J32" s="27"/>
      <c r="M32" s="125"/>
    </row>
    <row r="33" spans="1:16">
      <c r="A33" s="27">
        <v>22</v>
      </c>
      <c r="B33" s="27">
        <v>10</v>
      </c>
      <c r="C33" s="27">
        <v>0.1</v>
      </c>
      <c r="D33" s="27">
        <v>5.6818181818181826E-4</v>
      </c>
      <c r="E33" s="27">
        <f t="shared" si="0"/>
        <v>0.15693430656934307</v>
      </c>
      <c r="F33" s="27">
        <f t="shared" si="1"/>
        <v>-1.0071376861882799</v>
      </c>
      <c r="G33" s="27">
        <f t="shared" si="2"/>
        <v>2.3025850929940459</v>
      </c>
      <c r="H33" s="27">
        <f t="shared" si="2"/>
        <v>-2.3025850929940455</v>
      </c>
      <c r="I33" s="27">
        <f t="shared" si="2"/>
        <v>-7.4730690880321973</v>
      </c>
      <c r="J33" s="27"/>
    </row>
    <row r="34" spans="1:16">
      <c r="A34" s="27">
        <v>23</v>
      </c>
      <c r="B34" s="27">
        <v>10</v>
      </c>
      <c r="C34" s="27">
        <v>0.1</v>
      </c>
      <c r="D34" s="27">
        <v>5.6818181818181826E-4</v>
      </c>
      <c r="E34" s="27">
        <f t="shared" si="0"/>
        <v>0.16423357664233576</v>
      </c>
      <c r="F34" s="27">
        <f t="shared" si="1"/>
        <v>-0.97720605030376595</v>
      </c>
      <c r="G34" s="27">
        <f t="shared" si="2"/>
        <v>2.3025850929940459</v>
      </c>
      <c r="H34" s="27">
        <f t="shared" si="2"/>
        <v>-2.3025850929940455</v>
      </c>
      <c r="I34" s="27">
        <f t="shared" si="2"/>
        <v>-7.4730690880321973</v>
      </c>
      <c r="J34" s="27"/>
      <c r="K34" s="27"/>
      <c r="N34" s="27"/>
      <c r="O34" s="27"/>
      <c r="P34" s="27"/>
    </row>
    <row r="35" spans="1:16">
      <c r="A35" s="27">
        <v>24</v>
      </c>
      <c r="B35" s="27">
        <v>10</v>
      </c>
      <c r="C35" s="27">
        <v>0.1</v>
      </c>
      <c r="D35" s="27">
        <v>5.6818181818181826E-4</v>
      </c>
      <c r="E35" s="27">
        <f t="shared" si="0"/>
        <v>0.17153284671532848</v>
      </c>
      <c r="F35" s="27">
        <f t="shared" si="1"/>
        <v>-0.9481252536440512</v>
      </c>
      <c r="G35" s="27">
        <f t="shared" si="2"/>
        <v>2.3025850929940459</v>
      </c>
      <c r="H35" s="27">
        <f t="shared" si="2"/>
        <v>-2.3025850929940455</v>
      </c>
      <c r="I35" s="27">
        <f t="shared" si="2"/>
        <v>-7.4730690880321973</v>
      </c>
      <c r="J35" s="27"/>
      <c r="K35" s="27"/>
      <c r="N35" s="27"/>
      <c r="O35" s="27"/>
      <c r="P35" s="27"/>
    </row>
    <row r="36" spans="1:16">
      <c r="A36" s="27">
        <v>25</v>
      </c>
      <c r="B36" s="27">
        <v>10</v>
      </c>
      <c r="C36" s="27">
        <v>0.1</v>
      </c>
      <c r="D36" s="27">
        <v>5.6818181818181826E-4</v>
      </c>
      <c r="E36" s="27">
        <f t="shared" si="0"/>
        <v>0.17883211678832117</v>
      </c>
      <c r="F36" s="27">
        <f t="shared" si="1"/>
        <v>-0.9198249678932835</v>
      </c>
      <c r="G36" s="27">
        <f t="shared" si="2"/>
        <v>2.3025850929940459</v>
      </c>
      <c r="H36" s="27">
        <f t="shared" si="2"/>
        <v>-2.3025850929940455</v>
      </c>
      <c r="I36" s="27">
        <f t="shared" si="2"/>
        <v>-7.4730690880321973</v>
      </c>
      <c r="J36" s="27"/>
      <c r="K36" s="27"/>
      <c r="N36" s="27"/>
      <c r="O36" s="27"/>
      <c r="P36" s="27"/>
    </row>
    <row r="37" spans="1:16">
      <c r="A37" s="27">
        <v>26</v>
      </c>
      <c r="B37" s="27">
        <v>10</v>
      </c>
      <c r="C37" s="27">
        <v>0.1</v>
      </c>
      <c r="D37" s="27">
        <v>5.6818181818181826E-4</v>
      </c>
      <c r="E37" s="27">
        <f t="shared" si="0"/>
        <v>0.18613138686131386</v>
      </c>
      <c r="F37" s="27">
        <f t="shared" si="1"/>
        <v>-0.8922428601924105</v>
      </c>
      <c r="G37" s="27">
        <f t="shared" si="2"/>
        <v>2.3025850929940459</v>
      </c>
      <c r="H37" s="27">
        <f t="shared" si="2"/>
        <v>-2.3025850929940455</v>
      </c>
      <c r="I37" s="27">
        <f t="shared" si="2"/>
        <v>-7.4730690880321973</v>
      </c>
      <c r="J37" s="27"/>
      <c r="K37" s="27"/>
      <c r="N37" s="27"/>
      <c r="O37" s="27"/>
      <c r="P37" s="27"/>
    </row>
    <row r="38" spans="1:16">
      <c r="A38" s="27">
        <v>27</v>
      </c>
      <c r="B38" s="27">
        <v>17</v>
      </c>
      <c r="C38" s="27">
        <v>0.1</v>
      </c>
      <c r="D38" s="27">
        <v>9.6590909090909095E-4</v>
      </c>
      <c r="E38" s="27">
        <f t="shared" si="0"/>
        <v>0.19343065693430658</v>
      </c>
      <c r="F38" s="27">
        <f t="shared" si="1"/>
        <v>-0.86532339452865425</v>
      </c>
      <c r="G38" s="27">
        <f t="shared" si="2"/>
        <v>2.8332133440562162</v>
      </c>
      <c r="H38" s="27">
        <f t="shared" si="2"/>
        <v>-2.3025850929940455</v>
      </c>
      <c r="I38" s="27">
        <f t="shared" si="2"/>
        <v>-6.942440836970027</v>
      </c>
      <c r="J38" s="27"/>
      <c r="K38" s="27"/>
      <c r="N38" s="27"/>
      <c r="O38" s="27"/>
      <c r="P38" s="27"/>
    </row>
    <row r="39" spans="1:16">
      <c r="A39" s="27">
        <v>28</v>
      </c>
      <c r="B39" s="27">
        <v>17</v>
      </c>
      <c r="C39" s="27">
        <v>0.1</v>
      </c>
      <c r="D39" s="27">
        <v>1.8749999999999999E-3</v>
      </c>
      <c r="E39" s="27">
        <f t="shared" si="0"/>
        <v>0.20072992700729927</v>
      </c>
      <c r="F39" s="27">
        <f t="shared" si="1"/>
        <v>-0.83901685024068029</v>
      </c>
      <c r="G39" s="27">
        <f t="shared" si="2"/>
        <v>2.8332133440562162</v>
      </c>
      <c r="H39" s="27">
        <f t="shared" si="2"/>
        <v>-2.3025850929940455</v>
      </c>
      <c r="I39" s="27">
        <f t="shared" si="2"/>
        <v>-6.2791466195597634</v>
      </c>
      <c r="J39" s="27"/>
      <c r="K39" s="27"/>
      <c r="N39" s="27"/>
      <c r="O39" s="27"/>
      <c r="P39" s="27"/>
    </row>
    <row r="40" spans="1:16">
      <c r="A40" s="27">
        <v>29</v>
      </c>
      <c r="B40" s="27">
        <v>20</v>
      </c>
      <c r="C40" s="27">
        <v>0.1</v>
      </c>
      <c r="D40" s="27">
        <v>1.9318181818181819E-3</v>
      </c>
      <c r="E40" s="27">
        <f t="shared" si="0"/>
        <v>0.20802919708029197</v>
      </c>
      <c r="F40" s="27">
        <f t="shared" si="1"/>
        <v>-0.81327851188156097</v>
      </c>
      <c r="G40" s="27">
        <f t="shared" si="2"/>
        <v>2.9957322735539909</v>
      </c>
      <c r="H40" s="27">
        <f t="shared" si="2"/>
        <v>-2.3025850929940455</v>
      </c>
      <c r="I40" s="27">
        <f t="shared" si="2"/>
        <v>-6.2492936564100816</v>
      </c>
      <c r="J40" s="27"/>
      <c r="K40" s="27"/>
      <c r="N40" s="27"/>
      <c r="O40" s="27"/>
      <c r="P40" s="27"/>
    </row>
    <row r="41" spans="1:16">
      <c r="A41" s="27">
        <v>30</v>
      </c>
      <c r="B41" s="27">
        <v>20</v>
      </c>
      <c r="C41" s="27">
        <v>0.2</v>
      </c>
      <c r="D41" s="27">
        <v>2.840909090909091E-3</v>
      </c>
      <c r="E41" s="27">
        <f t="shared" si="0"/>
        <v>0.21532846715328466</v>
      </c>
      <c r="F41" s="27">
        <f t="shared" si="1"/>
        <v>-0.78806799557729368</v>
      </c>
      <c r="G41" s="27">
        <f t="shared" si="2"/>
        <v>2.9957322735539909</v>
      </c>
      <c r="H41" s="27">
        <f t="shared" si="2"/>
        <v>-1.6094379124341003</v>
      </c>
      <c r="I41" s="27">
        <f t="shared" si="2"/>
        <v>-5.8636311755980968</v>
      </c>
      <c r="J41" s="27"/>
      <c r="K41" s="27"/>
      <c r="N41" s="27"/>
      <c r="O41" s="27"/>
      <c r="P41" s="27"/>
    </row>
    <row r="42" spans="1:16">
      <c r="A42" s="27">
        <v>31</v>
      </c>
      <c r="B42" s="27">
        <v>23</v>
      </c>
      <c r="C42" s="27">
        <v>0.3</v>
      </c>
      <c r="D42" s="27">
        <v>5.6249999999999998E-3</v>
      </c>
      <c r="E42" s="27">
        <f t="shared" si="0"/>
        <v>0.22262773722627738</v>
      </c>
      <c r="F42" s="27">
        <f t="shared" si="1"/>
        <v>-0.76334868504124276</v>
      </c>
      <c r="G42" s="27">
        <f t="shared" si="2"/>
        <v>3.1354942159291497</v>
      </c>
      <c r="H42" s="27">
        <f t="shared" si="2"/>
        <v>-1.2039728043259361</v>
      </c>
      <c r="I42" s="27">
        <f t="shared" si="2"/>
        <v>-5.1805343308916534</v>
      </c>
      <c r="J42" s="27"/>
      <c r="K42" s="27"/>
      <c r="N42" s="27"/>
      <c r="O42" s="27"/>
      <c r="P42" s="27"/>
    </row>
    <row r="43" spans="1:16">
      <c r="A43" s="27">
        <v>32</v>
      </c>
      <c r="B43" s="27">
        <v>27</v>
      </c>
      <c r="C43" s="27">
        <v>0.3</v>
      </c>
      <c r="D43" s="27">
        <v>6.5340909090909087E-3</v>
      </c>
      <c r="E43" s="27">
        <f t="shared" si="0"/>
        <v>0.22992700729927007</v>
      </c>
      <c r="F43" s="27">
        <f t="shared" si="1"/>
        <v>-0.73908725638057371</v>
      </c>
      <c r="G43" s="27">
        <f t="shared" si="2"/>
        <v>3.2958368660043291</v>
      </c>
      <c r="H43" s="27">
        <f t="shared" si="2"/>
        <v>-1.2039728043259361</v>
      </c>
      <c r="I43" s="27">
        <f t="shared" si="2"/>
        <v>-5.030722052662993</v>
      </c>
      <c r="J43" s="27"/>
      <c r="K43" s="27"/>
      <c r="N43" s="27"/>
      <c r="O43" s="27"/>
      <c r="P43" s="27"/>
    </row>
    <row r="44" spans="1:16">
      <c r="A44" s="27">
        <v>33</v>
      </c>
      <c r="B44" s="27">
        <v>27</v>
      </c>
      <c r="C44" s="27">
        <v>0.3</v>
      </c>
      <c r="D44" s="27">
        <v>8.5227272727272721E-3</v>
      </c>
      <c r="E44" s="27">
        <f t="shared" si="0"/>
        <v>0.23722627737226276</v>
      </c>
      <c r="F44" s="27">
        <f t="shared" si="1"/>
        <v>-0.71525327532990435</v>
      </c>
      <c r="G44" s="27">
        <f t="shared" si="2"/>
        <v>3.2958368660043291</v>
      </c>
      <c r="H44" s="27">
        <f t="shared" si="2"/>
        <v>-1.2039728043259361</v>
      </c>
      <c r="I44" s="27">
        <f t="shared" si="2"/>
        <v>-4.7650188869299877</v>
      </c>
      <c r="J44" s="27"/>
      <c r="K44" s="27"/>
      <c r="N44" s="27"/>
      <c r="O44" s="27"/>
      <c r="P44" s="27"/>
    </row>
    <row r="45" spans="1:16">
      <c r="A45" s="27">
        <v>34</v>
      </c>
      <c r="B45" s="27">
        <v>30</v>
      </c>
      <c r="C45" s="27">
        <v>0.3</v>
      </c>
      <c r="D45" s="27">
        <v>9.3749999999999997E-3</v>
      </c>
      <c r="E45" s="27">
        <f t="shared" si="0"/>
        <v>0.24452554744525548</v>
      </c>
      <c r="F45" s="27">
        <f t="shared" si="1"/>
        <v>-0.69181885396849097</v>
      </c>
      <c r="G45" s="27">
        <f t="shared" si="2"/>
        <v>3.4011973816621555</v>
      </c>
      <c r="H45" s="27">
        <f t="shared" si="2"/>
        <v>-1.2039728043259361</v>
      </c>
      <c r="I45" s="27">
        <f t="shared" si="2"/>
        <v>-4.6697087071256629</v>
      </c>
      <c r="J45" s="27"/>
      <c r="K45" s="27"/>
      <c r="N45" s="27"/>
      <c r="O45" s="27"/>
      <c r="P45" s="27"/>
    </row>
    <row r="46" spans="1:16">
      <c r="A46" s="27">
        <v>35</v>
      </c>
      <c r="B46" s="27">
        <v>33</v>
      </c>
      <c r="C46" s="27">
        <v>0.5</v>
      </c>
      <c r="D46" s="27">
        <v>9.3749999999999997E-3</v>
      </c>
      <c r="E46" s="27">
        <f t="shared" si="0"/>
        <v>0.2518248175182482</v>
      </c>
      <c r="F46" s="27">
        <f t="shared" si="1"/>
        <v>-0.66875835660309491</v>
      </c>
      <c r="G46" s="27">
        <f t="shared" si="2"/>
        <v>3.4965075614664802</v>
      </c>
      <c r="H46" s="27">
        <f t="shared" si="2"/>
        <v>-0.69314718055994529</v>
      </c>
      <c r="I46" s="27">
        <f t="shared" si="2"/>
        <v>-4.6697087071256629</v>
      </c>
      <c r="J46" s="27"/>
      <c r="K46" s="27"/>
      <c r="N46" s="27"/>
      <c r="O46" s="27"/>
      <c r="P46" s="27"/>
    </row>
    <row r="47" spans="1:16">
      <c r="A47" s="27">
        <v>36</v>
      </c>
      <c r="B47" s="27">
        <v>33</v>
      </c>
      <c r="C47" s="27">
        <v>0.5</v>
      </c>
      <c r="D47" s="27">
        <v>1.1363636363636364E-2</v>
      </c>
      <c r="E47" s="27">
        <f t="shared" si="0"/>
        <v>0.25912408759124089</v>
      </c>
      <c r="F47" s="27">
        <f t="shared" si="1"/>
        <v>-0.64604814653141884</v>
      </c>
      <c r="G47" s="27">
        <f t="shared" si="2"/>
        <v>3.4965075614664802</v>
      </c>
      <c r="H47" s="27">
        <f t="shared" si="2"/>
        <v>-0.69314718055994529</v>
      </c>
      <c r="I47" s="27">
        <f t="shared" si="2"/>
        <v>-4.4773368144782069</v>
      </c>
      <c r="J47" s="27"/>
      <c r="K47" s="27"/>
      <c r="N47" s="27"/>
      <c r="O47" s="27"/>
      <c r="P47" s="27"/>
    </row>
    <row r="48" spans="1:16">
      <c r="A48" s="27">
        <v>37</v>
      </c>
      <c r="B48" s="27">
        <v>33</v>
      </c>
      <c r="C48" s="27">
        <v>0.5</v>
      </c>
      <c r="D48" s="27">
        <v>1.1363636363636364E-2</v>
      </c>
      <c r="E48" s="27">
        <f t="shared" si="0"/>
        <v>0.26642335766423358</v>
      </c>
      <c r="F48" s="27">
        <f t="shared" si="1"/>
        <v>-0.62366636698757649</v>
      </c>
      <c r="G48" s="27">
        <f t="shared" si="2"/>
        <v>3.4965075614664802</v>
      </c>
      <c r="H48" s="27">
        <f t="shared" si="2"/>
        <v>-0.69314718055994529</v>
      </c>
      <c r="I48" s="27">
        <f t="shared" si="2"/>
        <v>-4.4773368144782069</v>
      </c>
      <c r="J48" s="27"/>
      <c r="K48" s="27"/>
      <c r="N48" s="27"/>
      <c r="O48" s="27"/>
      <c r="P48" s="27"/>
    </row>
    <row r="49" spans="1:16">
      <c r="A49" s="27">
        <v>38</v>
      </c>
      <c r="B49" s="27">
        <v>33</v>
      </c>
      <c r="C49" s="27">
        <v>0.5</v>
      </c>
      <c r="D49" s="27">
        <v>1.4999999999999999E-2</v>
      </c>
      <c r="E49" s="27">
        <f t="shared" si="0"/>
        <v>0.27372262773722628</v>
      </c>
      <c r="F49" s="27">
        <f t="shared" si="1"/>
        <v>-0.60159275081877228</v>
      </c>
      <c r="G49" s="27">
        <f t="shared" si="2"/>
        <v>3.4965075614664802</v>
      </c>
      <c r="H49" s="27">
        <f t="shared" si="2"/>
        <v>-0.69314718055994529</v>
      </c>
      <c r="I49" s="27">
        <f t="shared" si="2"/>
        <v>-4.1997050778799272</v>
      </c>
      <c r="J49" s="27"/>
      <c r="K49" s="27"/>
      <c r="N49" s="27"/>
      <c r="O49" s="27"/>
      <c r="P49" s="27"/>
    </row>
    <row r="50" spans="1:16">
      <c r="A50" s="27">
        <v>39</v>
      </c>
      <c r="B50" s="27">
        <v>33</v>
      </c>
      <c r="C50" s="27">
        <v>0.5</v>
      </c>
      <c r="D50" s="27">
        <v>1.5340909090909091E-2</v>
      </c>
      <c r="E50" s="27">
        <f t="shared" si="0"/>
        <v>0.28102189781021897</v>
      </c>
      <c r="F50" s="27">
        <f t="shared" si="1"/>
        <v>-0.579808454430637</v>
      </c>
      <c r="G50" s="27">
        <f t="shared" si="2"/>
        <v>3.4965075614664802</v>
      </c>
      <c r="H50" s="27">
        <f t="shared" si="2"/>
        <v>-0.69314718055994529</v>
      </c>
      <c r="I50" s="27">
        <f t="shared" si="2"/>
        <v>-4.1772322220278681</v>
      </c>
      <c r="J50" s="27"/>
      <c r="K50" s="27"/>
      <c r="N50" s="27"/>
      <c r="O50" s="27"/>
      <c r="P50" s="27"/>
    </row>
    <row r="51" spans="1:16">
      <c r="A51" s="27">
        <v>40</v>
      </c>
      <c r="B51" s="27">
        <v>33</v>
      </c>
      <c r="C51" s="27">
        <v>0.5</v>
      </c>
      <c r="D51" s="27">
        <v>1.7045454545454544E-2</v>
      </c>
      <c r="E51" s="27">
        <f t="shared" si="0"/>
        <v>0.28832116788321166</v>
      </c>
      <c r="F51" s="27">
        <f t="shared" si="1"/>
        <v>-0.55829591232674869</v>
      </c>
      <c r="G51" s="27">
        <f t="shared" si="2"/>
        <v>3.4965075614664802</v>
      </c>
      <c r="H51" s="27">
        <f t="shared" si="2"/>
        <v>-0.69314718055994529</v>
      </c>
      <c r="I51" s="27">
        <f t="shared" si="2"/>
        <v>-4.0718717063700423</v>
      </c>
      <c r="J51" s="27"/>
      <c r="K51" s="27"/>
      <c r="N51" s="27"/>
      <c r="O51" s="27"/>
      <c r="P51" s="27"/>
    </row>
    <row r="52" spans="1:16">
      <c r="A52" s="27">
        <v>41</v>
      </c>
      <c r="B52" s="27">
        <v>33</v>
      </c>
      <c r="C52" s="27">
        <v>0.7</v>
      </c>
      <c r="D52" s="27">
        <v>2.3011363636363635E-2</v>
      </c>
      <c r="E52" s="27">
        <f t="shared" si="0"/>
        <v>0.29562043795620441</v>
      </c>
      <c r="F52" s="27">
        <f t="shared" si="1"/>
        <v>-0.53703870920027352</v>
      </c>
      <c r="G52" s="27">
        <f t="shared" si="2"/>
        <v>3.4965075614664802</v>
      </c>
      <c r="H52" s="27">
        <f t="shared" si="2"/>
        <v>-0.35667494393873245</v>
      </c>
      <c r="I52" s="27">
        <f t="shared" si="2"/>
        <v>-3.771767113919704</v>
      </c>
      <c r="J52" s="27"/>
      <c r="K52" s="27"/>
      <c r="N52" s="27"/>
      <c r="O52" s="27"/>
      <c r="P52" s="27"/>
    </row>
    <row r="53" spans="1:16">
      <c r="A53" s="27">
        <v>42</v>
      </c>
      <c r="B53" s="27">
        <v>33</v>
      </c>
      <c r="C53" s="27">
        <v>0.8</v>
      </c>
      <c r="D53" s="27">
        <v>2.4375000000000001E-2</v>
      </c>
      <c r="E53" s="27">
        <f t="shared" si="0"/>
        <v>0.3029197080291971</v>
      </c>
      <c r="F53" s="27">
        <f t="shared" si="1"/>
        <v>-0.51602146704622143</v>
      </c>
      <c r="G53" s="27">
        <f t="shared" si="2"/>
        <v>3.4965075614664802</v>
      </c>
      <c r="H53" s="27">
        <f t="shared" si="2"/>
        <v>-0.22314355131420971</v>
      </c>
      <c r="I53" s="27">
        <f t="shared" si="2"/>
        <v>-3.7141972620982262</v>
      </c>
      <c r="J53" s="27"/>
    </row>
    <row r="54" spans="1:16">
      <c r="A54" s="27">
        <v>43</v>
      </c>
      <c r="B54" s="27">
        <v>50</v>
      </c>
      <c r="C54" s="27">
        <v>1</v>
      </c>
      <c r="D54" s="27">
        <v>2.8409090909090908E-2</v>
      </c>
      <c r="E54" s="27">
        <f t="shared" si="0"/>
        <v>0.31021897810218979</v>
      </c>
      <c r="F54" s="27">
        <f t="shared" si="1"/>
        <v>-0.49522974517731161</v>
      </c>
      <c r="G54" s="27">
        <f t="shared" si="2"/>
        <v>3.912023005428146</v>
      </c>
      <c r="H54" s="27">
        <f t="shared" si="2"/>
        <v>0</v>
      </c>
      <c r="I54" s="27">
        <f t="shared" si="2"/>
        <v>-3.5610460826040513</v>
      </c>
      <c r="J54" s="27"/>
    </row>
    <row r="55" spans="1:16">
      <c r="A55" s="27">
        <v>44</v>
      </c>
      <c r="B55" s="27">
        <v>50</v>
      </c>
      <c r="C55" s="27">
        <v>1</v>
      </c>
      <c r="D55" s="27">
        <v>2.8409090909090908E-2</v>
      </c>
      <c r="E55" s="27">
        <f t="shared" si="0"/>
        <v>0.31751824817518248</v>
      </c>
      <c r="F55" s="27">
        <f t="shared" si="1"/>
        <v>-0.47464995136478644</v>
      </c>
      <c r="G55" s="27">
        <f t="shared" si="2"/>
        <v>3.912023005428146</v>
      </c>
      <c r="H55" s="27">
        <f t="shared" si="2"/>
        <v>0</v>
      </c>
      <c r="I55" s="27">
        <f t="shared" si="2"/>
        <v>-3.5610460826040513</v>
      </c>
      <c r="J55" s="27"/>
    </row>
    <row r="56" spans="1:16">
      <c r="A56" s="27">
        <v>45</v>
      </c>
      <c r="B56" s="27">
        <v>50</v>
      </c>
      <c r="C56" s="27">
        <v>1</v>
      </c>
      <c r="D56" s="27">
        <v>2.8409090909090908E-2</v>
      </c>
      <c r="E56" s="27">
        <f t="shared" si="0"/>
        <v>0.32481751824817517</v>
      </c>
      <c r="F56" s="27">
        <f t="shared" si="1"/>
        <v>-0.45426926260306744</v>
      </c>
      <c r="G56" s="27">
        <f t="shared" si="2"/>
        <v>3.912023005428146</v>
      </c>
      <c r="H56" s="27">
        <f t="shared" si="2"/>
        <v>0</v>
      </c>
      <c r="I56" s="27">
        <f t="shared" si="2"/>
        <v>-3.5610460826040513</v>
      </c>
      <c r="J56" s="27"/>
    </row>
    <row r="57" spans="1:16">
      <c r="A57" s="27">
        <v>46</v>
      </c>
      <c r="B57" s="27">
        <v>50</v>
      </c>
      <c r="C57" s="27">
        <v>1</v>
      </c>
      <c r="D57" s="27">
        <v>3.7499999999999999E-2</v>
      </c>
      <c r="E57" s="27">
        <f t="shared" si="0"/>
        <v>0.33211678832116787</v>
      </c>
      <c r="F57" s="27">
        <f t="shared" si="1"/>
        <v>-0.43407555422595223</v>
      </c>
      <c r="G57" s="27">
        <f t="shared" si="2"/>
        <v>3.912023005428146</v>
      </c>
      <c r="H57" s="27">
        <f t="shared" si="2"/>
        <v>0</v>
      </c>
      <c r="I57" s="27">
        <f t="shared" si="2"/>
        <v>-3.2834143460057721</v>
      </c>
      <c r="J57" s="27"/>
    </row>
    <row r="58" spans="1:16">
      <c r="A58" s="27">
        <v>47</v>
      </c>
      <c r="B58" s="27">
        <v>50</v>
      </c>
      <c r="C58" s="27">
        <v>1</v>
      </c>
      <c r="D58" s="27">
        <v>4.6022727272727271E-2</v>
      </c>
      <c r="E58" s="27">
        <f t="shared" si="0"/>
        <v>0.33941605839416056</v>
      </c>
      <c r="F58" s="27">
        <f t="shared" si="1"/>
        <v>-0.41405733629151137</v>
      </c>
      <c r="G58" s="27">
        <f t="shared" si="2"/>
        <v>3.912023005428146</v>
      </c>
      <c r="H58" s="27">
        <f t="shared" si="2"/>
        <v>0</v>
      </c>
      <c r="I58" s="27">
        <f t="shared" si="2"/>
        <v>-3.0786199333597586</v>
      </c>
      <c r="J58" s="27"/>
    </row>
    <row r="59" spans="1:16">
      <c r="A59" s="27">
        <v>48</v>
      </c>
      <c r="B59" s="27">
        <v>50</v>
      </c>
      <c r="C59" s="27">
        <v>1</v>
      </c>
      <c r="D59" s="27">
        <v>4.7159090909090907E-2</v>
      </c>
      <c r="E59" s="27">
        <f t="shared" si="0"/>
        <v>0.34671532846715331</v>
      </c>
      <c r="F59" s="27">
        <f t="shared" si="1"/>
        <v>-0.39420369631040153</v>
      </c>
      <c r="G59" s="27">
        <f t="shared" si="2"/>
        <v>3.912023005428146</v>
      </c>
      <c r="H59" s="27">
        <f t="shared" si="2"/>
        <v>0</v>
      </c>
      <c r="I59" s="27">
        <f t="shared" si="2"/>
        <v>-3.0542284802355995</v>
      </c>
      <c r="J59" s="27"/>
    </row>
    <row r="60" spans="1:16">
      <c r="A60" s="27">
        <v>49</v>
      </c>
      <c r="B60" s="27">
        <v>50</v>
      </c>
      <c r="C60" s="27">
        <v>1</v>
      </c>
      <c r="D60" s="27">
        <v>5.3295454545454549E-2</v>
      </c>
      <c r="E60" s="27">
        <f t="shared" si="0"/>
        <v>0.354014598540146</v>
      </c>
      <c r="F60" s="27">
        <f t="shared" si="1"/>
        <v>-0.37450424752387929</v>
      </c>
      <c r="G60" s="27">
        <f t="shared" si="2"/>
        <v>3.912023005428146</v>
      </c>
      <c r="H60" s="27">
        <f t="shared" si="2"/>
        <v>0</v>
      </c>
      <c r="I60" s="27">
        <f t="shared" si="2"/>
        <v>-2.9319042320200186</v>
      </c>
      <c r="J60" s="27"/>
    </row>
    <row r="61" spans="1:16">
      <c r="A61" s="27">
        <v>50</v>
      </c>
      <c r="B61" s="27">
        <v>50</v>
      </c>
      <c r="C61" s="27">
        <v>1.3</v>
      </c>
      <c r="D61" s="27">
        <v>5.3977272727272721E-2</v>
      </c>
      <c r="E61" s="27">
        <f t="shared" si="0"/>
        <v>0.36131386861313869</v>
      </c>
      <c r="F61" s="27">
        <f t="shared" si="1"/>
        <v>-0.35494908204806463</v>
      </c>
      <c r="G61" s="27">
        <f t="shared" si="2"/>
        <v>3.912023005428146</v>
      </c>
      <c r="H61" s="27">
        <f t="shared" si="2"/>
        <v>0.26236426446749106</v>
      </c>
      <c r="I61" s="27">
        <f t="shared" si="2"/>
        <v>-2.9191921964316569</v>
      </c>
      <c r="J61" s="27"/>
    </row>
    <row r="62" spans="1:16">
      <c r="A62" s="27">
        <v>51</v>
      </c>
      <c r="B62" s="27">
        <v>67</v>
      </c>
      <c r="C62" s="27">
        <v>1.37</v>
      </c>
      <c r="D62" s="27">
        <v>5.6818181818181816E-2</v>
      </c>
      <c r="E62" s="27">
        <f t="shared" si="0"/>
        <v>0.36861313868613138</v>
      </c>
      <c r="F62" s="27">
        <f t="shared" si="1"/>
        <v>-0.33552872829378111</v>
      </c>
      <c r="G62" s="27">
        <f t="shared" si="2"/>
        <v>4.2046926193909657</v>
      </c>
      <c r="H62" s="27">
        <f t="shared" si="2"/>
        <v>0.3148107398400336</v>
      </c>
      <c r="I62" s="27">
        <f t="shared" si="2"/>
        <v>-2.8678989020441059</v>
      </c>
      <c r="J62" s="27"/>
    </row>
    <row r="63" spans="1:16">
      <c r="A63" s="27">
        <v>52</v>
      </c>
      <c r="B63" s="27">
        <v>67</v>
      </c>
      <c r="C63" s="27">
        <v>1.39</v>
      </c>
      <c r="D63" s="27">
        <v>5.6818181818181816E-2</v>
      </c>
      <c r="E63" s="27">
        <f t="shared" si="0"/>
        <v>0.37591240875912407</v>
      </c>
      <c r="F63" s="27">
        <f t="shared" si="1"/>
        <v>-0.31623411214957631</v>
      </c>
      <c r="G63" s="27">
        <f t="shared" si="2"/>
        <v>4.2046926193909657</v>
      </c>
      <c r="H63" s="27">
        <f t="shared" si="2"/>
        <v>0.3293037471426003</v>
      </c>
      <c r="I63" s="27">
        <f t="shared" si="2"/>
        <v>-2.8678989020441059</v>
      </c>
      <c r="J63" s="27"/>
    </row>
    <row r="64" spans="1:16">
      <c r="A64" s="27">
        <v>53</v>
      </c>
      <c r="B64" s="27">
        <v>67</v>
      </c>
      <c r="C64" s="27">
        <v>1.4</v>
      </c>
      <c r="D64" s="27">
        <v>5.6818181818181816E-2</v>
      </c>
      <c r="E64" s="27">
        <f t="shared" si="0"/>
        <v>0.38321167883211676</v>
      </c>
      <c r="F64" s="27">
        <f t="shared" si="1"/>
        <v>-0.29705652148182426</v>
      </c>
      <c r="G64" s="27">
        <f t="shared" si="2"/>
        <v>4.2046926193909657</v>
      </c>
      <c r="H64" s="27">
        <f t="shared" si="2"/>
        <v>0.33647223662121289</v>
      </c>
      <c r="I64" s="27">
        <f t="shared" si="2"/>
        <v>-2.8678989020441059</v>
      </c>
      <c r="J64" s="27"/>
    </row>
    <row r="65" spans="1:10">
      <c r="A65" s="27">
        <v>54</v>
      </c>
      <c r="B65" s="27">
        <v>83</v>
      </c>
      <c r="C65" s="27">
        <v>1.5</v>
      </c>
      <c r="D65" s="27">
        <v>6.8806818181818177E-2</v>
      </c>
      <c r="E65" s="27">
        <f t="shared" si="0"/>
        <v>0.39051094890510951</v>
      </c>
      <c r="F65" s="27">
        <f t="shared" si="1"/>
        <v>-0.27798757356208736</v>
      </c>
      <c r="G65" s="27">
        <f t="shared" si="2"/>
        <v>4.4188406077965983</v>
      </c>
      <c r="H65" s="27">
        <f t="shared" si="2"/>
        <v>0.40546510810816438</v>
      </c>
      <c r="I65" s="27">
        <f t="shared" si="2"/>
        <v>-2.6764524374731509</v>
      </c>
      <c r="J65" s="27"/>
    </row>
    <row r="66" spans="1:10">
      <c r="A66" s="27">
        <v>55</v>
      </c>
      <c r="B66" s="27">
        <v>83</v>
      </c>
      <c r="C66" s="27">
        <v>1.6</v>
      </c>
      <c r="D66" s="27">
        <v>8.755681818181818E-2</v>
      </c>
      <c r="E66" s="27">
        <f t="shared" si="0"/>
        <v>0.3978102189781022</v>
      </c>
      <c r="F66" s="27">
        <f t="shared" si="1"/>
        <v>-0.25901918507982119</v>
      </c>
      <c r="G66" s="27">
        <f t="shared" si="2"/>
        <v>4.4188406077965983</v>
      </c>
      <c r="H66" s="27">
        <f t="shared" si="2"/>
        <v>0.47000362924573563</v>
      </c>
      <c r="I66" s="27">
        <f t="shared" si="2"/>
        <v>-2.4354673457061273</v>
      </c>
      <c r="J66" s="27"/>
    </row>
    <row r="67" spans="1:10">
      <c r="A67" s="27">
        <v>56</v>
      </c>
      <c r="B67" s="27">
        <v>100</v>
      </c>
      <c r="C67" s="27">
        <v>1.9</v>
      </c>
      <c r="D67" s="27">
        <v>8.8124999999999995E-2</v>
      </c>
      <c r="E67" s="27">
        <f t="shared" si="0"/>
        <v>0.4051094890510949</v>
      </c>
      <c r="F67" s="27">
        <f t="shared" si="1"/>
        <v>-0.24014354443937477</v>
      </c>
      <c r="G67" s="27">
        <f t="shared" si="2"/>
        <v>4.6051701859880918</v>
      </c>
      <c r="H67" s="27">
        <f t="shared" si="2"/>
        <v>0.64185388617239469</v>
      </c>
      <c r="I67" s="27">
        <f t="shared" si="2"/>
        <v>-2.4289990178497045</v>
      </c>
      <c r="J67" s="27"/>
    </row>
    <row r="68" spans="1:10">
      <c r="A68" s="27">
        <v>57</v>
      </c>
      <c r="B68" s="27">
        <v>100</v>
      </c>
      <c r="C68" s="27">
        <v>2</v>
      </c>
      <c r="D68" s="27">
        <v>0.10056818181818182</v>
      </c>
      <c r="E68" s="27">
        <f t="shared" si="0"/>
        <v>0.41240875912408759</v>
      </c>
      <c r="F68" s="27">
        <f t="shared" si="1"/>
        <v>-0.22135308607517393</v>
      </c>
      <c r="G68" s="27">
        <f t="shared" si="2"/>
        <v>4.6051701859880918</v>
      </c>
      <c r="H68" s="27">
        <f t="shared" si="2"/>
        <v>0.69314718055994529</v>
      </c>
      <c r="I68" s="27">
        <f t="shared" si="2"/>
        <v>-2.2969193554583685</v>
      </c>
      <c r="J68" s="27"/>
    </row>
    <row r="69" spans="1:10">
      <c r="A69" s="27">
        <v>58</v>
      </c>
      <c r="B69" s="27">
        <v>100</v>
      </c>
      <c r="C69" s="27">
        <v>2</v>
      </c>
      <c r="D69" s="27">
        <v>0.11363636363636363</v>
      </c>
      <c r="E69" s="27">
        <f t="shared" si="0"/>
        <v>0.41970802919708028</v>
      </c>
      <c r="F69" s="27">
        <f t="shared" si="1"/>
        <v>-0.20264046654887435</v>
      </c>
      <c r="G69" s="27">
        <f t="shared" si="2"/>
        <v>4.6051701859880918</v>
      </c>
      <c r="H69" s="27">
        <f t="shared" si="2"/>
        <v>0.69314718055994529</v>
      </c>
      <c r="I69" s="27">
        <f t="shared" si="2"/>
        <v>-2.174751721484161</v>
      </c>
      <c r="J69" s="27"/>
    </row>
    <row r="70" spans="1:10">
      <c r="A70" s="27">
        <v>59</v>
      </c>
      <c r="B70" s="27">
        <v>100</v>
      </c>
      <c r="C70" s="27">
        <v>2</v>
      </c>
      <c r="D70" s="27">
        <v>0.11363636363636363</v>
      </c>
      <c r="E70" s="27">
        <f t="shared" si="0"/>
        <v>0.42700729927007297</v>
      </c>
      <c r="F70" s="27">
        <f t="shared" si="1"/>
        <v>-0.18399854221788967</v>
      </c>
      <c r="G70" s="27">
        <f t="shared" si="2"/>
        <v>4.6051701859880918</v>
      </c>
      <c r="H70" s="27">
        <f t="shared" si="2"/>
        <v>0.69314718055994529</v>
      </c>
      <c r="I70" s="27">
        <f t="shared" si="2"/>
        <v>-2.174751721484161</v>
      </c>
      <c r="J70" s="27"/>
    </row>
    <row r="71" spans="1:10">
      <c r="A71" s="27">
        <v>60</v>
      </c>
      <c r="B71" s="27">
        <v>100</v>
      </c>
      <c r="C71" s="27">
        <v>2</v>
      </c>
      <c r="D71" s="27">
        <v>0.11420454545454546</v>
      </c>
      <c r="E71" s="27">
        <f t="shared" si="0"/>
        <v>0.43430656934306572</v>
      </c>
      <c r="F71" s="27">
        <f t="shared" si="1"/>
        <v>-0.16542034828665858</v>
      </c>
      <c r="G71" s="27">
        <f t="shared" si="2"/>
        <v>4.6051701859880918</v>
      </c>
      <c r="H71" s="27">
        <f t="shared" si="2"/>
        <v>0.69314718055994529</v>
      </c>
      <c r="I71" s="27">
        <f t="shared" si="2"/>
        <v>-2.1697641799731215</v>
      </c>
      <c r="J71" s="27"/>
    </row>
    <row r="72" spans="1:10">
      <c r="A72" s="27">
        <v>61</v>
      </c>
      <c r="B72" s="27">
        <v>100</v>
      </c>
      <c r="C72" s="27">
        <v>2</v>
      </c>
      <c r="D72" s="27">
        <v>0.125</v>
      </c>
      <c r="E72" s="27">
        <f t="shared" si="0"/>
        <v>0.44160583941605841</v>
      </c>
      <c r="F72" s="27">
        <f t="shared" si="1"/>
        <v>-0.14689907907082775</v>
      </c>
      <c r="G72" s="27">
        <f t="shared" si="2"/>
        <v>4.6051701859880918</v>
      </c>
      <c r="H72" s="27">
        <f t="shared" si="2"/>
        <v>0.69314718055994529</v>
      </c>
      <c r="I72" s="27">
        <f t="shared" si="2"/>
        <v>-2.0794415416798357</v>
      </c>
      <c r="J72" s="27"/>
    </row>
    <row r="73" spans="1:10">
      <c r="A73" s="27">
        <v>62</v>
      </c>
      <c r="B73" s="27">
        <v>100</v>
      </c>
      <c r="C73" s="27">
        <v>2</v>
      </c>
      <c r="D73" s="27">
        <v>0.13622159090909092</v>
      </c>
      <c r="E73" s="27">
        <f t="shared" si="0"/>
        <v>0.4489051094890511</v>
      </c>
      <c r="F73" s="27">
        <f t="shared" si="1"/>
        <v>-0.12842806932061654</v>
      </c>
      <c r="G73" s="27">
        <f t="shared" si="2"/>
        <v>4.6051701859880918</v>
      </c>
      <c r="H73" s="27">
        <f t="shared" si="2"/>
        <v>0.69314718055994529</v>
      </c>
      <c r="I73" s="27">
        <f t="shared" si="2"/>
        <v>-1.9934723742686498</v>
      </c>
      <c r="J73" s="27"/>
    </row>
    <row r="74" spans="1:10">
      <c r="A74" s="27">
        <v>63</v>
      </c>
      <c r="B74" s="27">
        <v>100</v>
      </c>
      <c r="C74" s="27">
        <v>2</v>
      </c>
      <c r="D74" s="27">
        <v>0.15340909090909091</v>
      </c>
      <c r="E74" s="27">
        <f t="shared" si="0"/>
        <v>0.45620437956204379</v>
      </c>
      <c r="F74" s="27">
        <f t="shared" si="1"/>
        <v>-0.11000077646337013</v>
      </c>
      <c r="G74" s="27">
        <f t="shared" si="2"/>
        <v>4.6051701859880918</v>
      </c>
      <c r="H74" s="27">
        <f t="shared" si="2"/>
        <v>0.69314718055994529</v>
      </c>
      <c r="I74" s="27">
        <f t="shared" si="2"/>
        <v>-1.8746471290338227</v>
      </c>
      <c r="J74" s="27"/>
    </row>
    <row r="75" spans="1:10">
      <c r="A75" s="27">
        <v>64</v>
      </c>
      <c r="B75" s="27">
        <v>100</v>
      </c>
      <c r="C75" s="27">
        <v>2.2999999999999998</v>
      </c>
      <c r="D75" s="27">
        <v>0.16193181818181818</v>
      </c>
      <c r="E75" s="27">
        <f t="shared" si="0"/>
        <v>0.46350364963503649</v>
      </c>
      <c r="F75" s="27">
        <f t="shared" si="1"/>
        <v>-9.1610763636967629E-2</v>
      </c>
      <c r="G75" s="27">
        <f t="shared" si="2"/>
        <v>4.6051701859880918</v>
      </c>
      <c r="H75" s="27">
        <f t="shared" si="2"/>
        <v>0.83290912293510388</v>
      </c>
      <c r="I75" s="27">
        <f t="shared" si="2"/>
        <v>-1.8205799077635469</v>
      </c>
      <c r="J75" s="27"/>
    </row>
    <row r="76" spans="1:10">
      <c r="A76" s="27">
        <v>65</v>
      </c>
      <c r="B76" s="27">
        <v>100</v>
      </c>
      <c r="C76" s="27">
        <v>2.6</v>
      </c>
      <c r="D76" s="27">
        <v>0.16647727272727272</v>
      </c>
      <c r="E76" s="27">
        <f t="shared" si="0"/>
        <v>0.47080291970802918</v>
      </c>
      <c r="F76" s="27">
        <f t="shared" si="1"/>
        <v>-7.3251683395603423E-2</v>
      </c>
      <c r="G76" s="27">
        <f t="shared" si="2"/>
        <v>4.6051701859880918</v>
      </c>
      <c r="H76" s="27">
        <f t="shared" si="2"/>
        <v>0.95551144502743635</v>
      </c>
      <c r="I76" s="27">
        <f t="shared" si="2"/>
        <v>-1.7928964790151303</v>
      </c>
      <c r="J76" s="27"/>
    </row>
    <row r="77" spans="1:10">
      <c r="A77" s="27">
        <v>66</v>
      </c>
      <c r="B77" s="27">
        <v>100</v>
      </c>
      <c r="C77" s="27">
        <v>2.7</v>
      </c>
      <c r="D77" s="27">
        <v>0.17045454545454544</v>
      </c>
      <c r="E77" s="27">
        <f t="shared" ref="E77:E140" si="3">(A77-0.5)/137</f>
        <v>0.47810218978102192</v>
      </c>
      <c r="F77" s="27">
        <f t="shared" ref="F77:F147" si="4">NORMSINV(E77)</f>
        <v>-5.4917261977687724E-2</v>
      </c>
      <c r="G77" s="27">
        <f t="shared" ref="G77:I136" si="5">LN(B77)</f>
        <v>4.6051701859880918</v>
      </c>
      <c r="H77" s="27">
        <f t="shared" si="5"/>
        <v>0.99325177301028345</v>
      </c>
      <c r="I77" s="27">
        <f t="shared" si="5"/>
        <v>-1.7692866133759966</v>
      </c>
      <c r="J77" s="27"/>
    </row>
    <row r="78" spans="1:10">
      <c r="A78" s="27">
        <v>67</v>
      </c>
      <c r="B78" s="27">
        <v>100</v>
      </c>
      <c r="C78" s="27">
        <v>2.93</v>
      </c>
      <c r="D78" s="27">
        <v>0.17045454545454544</v>
      </c>
      <c r="E78" s="27">
        <f t="shared" si="3"/>
        <v>0.48540145985401462</v>
      </c>
      <c r="F78" s="27">
        <f t="shared" si="4"/>
        <v>-3.6601284032390755E-2</v>
      </c>
      <c r="G78" s="27">
        <f t="shared" si="5"/>
        <v>4.6051701859880918</v>
      </c>
      <c r="H78" s="27">
        <f t="shared" si="5"/>
        <v>1.0750024230289761</v>
      </c>
      <c r="I78" s="27">
        <f t="shared" si="5"/>
        <v>-1.7692866133759966</v>
      </c>
      <c r="J78" s="27"/>
    </row>
    <row r="79" spans="1:10">
      <c r="A79" s="27">
        <v>68</v>
      </c>
      <c r="B79" s="27">
        <v>100</v>
      </c>
      <c r="C79" s="27">
        <v>3</v>
      </c>
      <c r="D79" s="27">
        <v>0.18181818181818182</v>
      </c>
      <c r="E79" s="27">
        <f t="shared" si="3"/>
        <v>0.49270072992700731</v>
      </c>
      <c r="F79" s="27">
        <f t="shared" si="4"/>
        <v>-1.8297577706810939E-2</v>
      </c>
      <c r="G79" s="27">
        <f t="shared" si="5"/>
        <v>4.6051701859880918</v>
      </c>
      <c r="H79" s="27">
        <f t="shared" si="5"/>
        <v>1.0986122886681098</v>
      </c>
      <c r="I79" s="27">
        <f t="shared" si="5"/>
        <v>-1.7047480922384253</v>
      </c>
      <c r="J79" s="27"/>
    </row>
    <row r="80" spans="1:10">
      <c r="A80" s="27">
        <v>69</v>
      </c>
      <c r="B80" s="27">
        <v>100</v>
      </c>
      <c r="C80" s="27">
        <v>3</v>
      </c>
      <c r="D80" s="27">
        <v>0.22727272727272727</v>
      </c>
      <c r="E80" s="27">
        <f t="shared" si="3"/>
        <v>0.5</v>
      </c>
      <c r="F80" s="27">
        <f t="shared" si="4"/>
        <v>0</v>
      </c>
      <c r="G80" s="27">
        <f t="shared" si="5"/>
        <v>4.6051701859880918</v>
      </c>
      <c r="H80" s="27">
        <f t="shared" si="5"/>
        <v>1.0986122886681098</v>
      </c>
      <c r="I80" s="27">
        <f t="shared" si="5"/>
        <v>-1.4816045409242156</v>
      </c>
      <c r="J80" s="27"/>
    </row>
    <row r="81" spans="1:10">
      <c r="A81" s="27">
        <v>70</v>
      </c>
      <c r="B81" s="27">
        <v>100</v>
      </c>
      <c r="C81" s="27">
        <v>3</v>
      </c>
      <c r="D81" s="27">
        <v>0.22727272727272727</v>
      </c>
      <c r="E81" s="27">
        <f t="shared" si="3"/>
        <v>0.50729927007299269</v>
      </c>
      <c r="F81" s="27">
        <f t="shared" si="4"/>
        <v>1.8297577706810939E-2</v>
      </c>
      <c r="G81" s="27">
        <f t="shared" si="5"/>
        <v>4.6051701859880918</v>
      </c>
      <c r="H81" s="27">
        <f t="shared" si="5"/>
        <v>1.0986122886681098</v>
      </c>
      <c r="I81" s="27">
        <f t="shared" si="5"/>
        <v>-1.4816045409242156</v>
      </c>
      <c r="J81" s="27"/>
    </row>
    <row r="82" spans="1:10">
      <c r="A82" s="27">
        <v>71</v>
      </c>
      <c r="B82" s="27">
        <v>100</v>
      </c>
      <c r="C82" s="27">
        <v>3</v>
      </c>
      <c r="D82" s="27">
        <v>0.23295454545454541</v>
      </c>
      <c r="E82" s="27">
        <f t="shared" si="3"/>
        <v>0.51459854014598538</v>
      </c>
      <c r="F82" s="27">
        <f t="shared" si="4"/>
        <v>3.6601284032390755E-2</v>
      </c>
      <c r="G82" s="27">
        <f t="shared" si="5"/>
        <v>4.6051701859880918</v>
      </c>
      <c r="H82" s="27">
        <f t="shared" si="5"/>
        <v>1.0986122886681098</v>
      </c>
      <c r="I82" s="27">
        <f t="shared" si="5"/>
        <v>-1.4569119283338441</v>
      </c>
      <c r="J82" s="27"/>
    </row>
    <row r="83" spans="1:10">
      <c r="A83" s="27">
        <v>72</v>
      </c>
      <c r="B83" s="27">
        <v>150</v>
      </c>
      <c r="C83" s="27">
        <v>3</v>
      </c>
      <c r="D83" s="27">
        <v>0.25568181818181818</v>
      </c>
      <c r="E83" s="27">
        <f t="shared" si="3"/>
        <v>0.52189781021897808</v>
      </c>
      <c r="F83" s="27">
        <f t="shared" si="4"/>
        <v>5.4917261977687724E-2</v>
      </c>
      <c r="G83" s="27">
        <f t="shared" si="5"/>
        <v>5.0106352940962555</v>
      </c>
      <c r="H83" s="27">
        <f t="shared" si="5"/>
        <v>1.0986122886681098</v>
      </c>
      <c r="I83" s="27">
        <f t="shared" si="5"/>
        <v>-1.363821505267832</v>
      </c>
      <c r="J83" s="27"/>
    </row>
    <row r="84" spans="1:10">
      <c r="A84" s="27">
        <v>73</v>
      </c>
      <c r="B84" s="27">
        <v>150</v>
      </c>
      <c r="C84" s="27">
        <v>3</v>
      </c>
      <c r="D84" s="27">
        <v>0.28409090909090906</v>
      </c>
      <c r="E84" s="27">
        <f t="shared" si="3"/>
        <v>0.52919708029197077</v>
      </c>
      <c r="F84" s="27">
        <f t="shared" si="4"/>
        <v>7.3251683395603284E-2</v>
      </c>
      <c r="G84" s="27">
        <f t="shared" si="5"/>
        <v>5.0106352940962555</v>
      </c>
      <c r="H84" s="27">
        <f t="shared" si="5"/>
        <v>1.0986122886681098</v>
      </c>
      <c r="I84" s="27">
        <f t="shared" si="5"/>
        <v>-1.2584609896100059</v>
      </c>
      <c r="J84" s="27"/>
    </row>
    <row r="85" spans="1:10">
      <c r="A85" s="27">
        <v>74</v>
      </c>
      <c r="B85" s="27">
        <v>150</v>
      </c>
      <c r="C85" s="27">
        <v>3.61</v>
      </c>
      <c r="D85" s="27">
        <v>0.34090909090909088</v>
      </c>
      <c r="E85" s="27">
        <f t="shared" si="3"/>
        <v>0.53649635036496346</v>
      </c>
      <c r="F85" s="27">
        <f t="shared" si="4"/>
        <v>9.161076363696749E-2</v>
      </c>
      <c r="G85" s="27">
        <f t="shared" si="5"/>
        <v>5.0106352940962555</v>
      </c>
      <c r="H85" s="27">
        <f t="shared" si="5"/>
        <v>1.2837077723447896</v>
      </c>
      <c r="I85" s="27">
        <f t="shared" si="5"/>
        <v>-1.0761394328160512</v>
      </c>
      <c r="J85" s="27"/>
    </row>
    <row r="86" spans="1:10">
      <c r="A86" s="27">
        <v>75</v>
      </c>
      <c r="B86" s="27">
        <v>150</v>
      </c>
      <c r="C86" s="27">
        <v>4</v>
      </c>
      <c r="D86" s="27">
        <v>0.34090909090909088</v>
      </c>
      <c r="E86" s="27">
        <f t="shared" si="3"/>
        <v>0.54379562043795615</v>
      </c>
      <c r="F86" s="27">
        <f t="shared" si="4"/>
        <v>0.11000077646336999</v>
      </c>
      <c r="G86" s="27">
        <f t="shared" si="5"/>
        <v>5.0106352940962555</v>
      </c>
      <c r="H86" s="27">
        <f t="shared" si="5"/>
        <v>1.3862943611198906</v>
      </c>
      <c r="I86" s="27">
        <f t="shared" si="5"/>
        <v>-1.0761394328160512</v>
      </c>
      <c r="J86" s="27"/>
    </row>
    <row r="87" spans="1:10">
      <c r="A87" s="27">
        <v>76</v>
      </c>
      <c r="B87" s="27">
        <v>150</v>
      </c>
      <c r="C87" s="27">
        <v>4</v>
      </c>
      <c r="D87" s="27">
        <v>0.34090909090909088</v>
      </c>
      <c r="E87" s="27">
        <f t="shared" si="3"/>
        <v>0.55109489051094895</v>
      </c>
      <c r="F87" s="27">
        <f t="shared" si="4"/>
        <v>0.12842806932061668</v>
      </c>
      <c r="G87" s="27">
        <f t="shared" si="5"/>
        <v>5.0106352940962555</v>
      </c>
      <c r="H87" s="27">
        <f t="shared" si="5"/>
        <v>1.3862943611198906</v>
      </c>
      <c r="I87" s="27">
        <f t="shared" si="5"/>
        <v>-1.0761394328160512</v>
      </c>
      <c r="J87" s="27"/>
    </row>
    <row r="88" spans="1:10">
      <c r="A88" s="27">
        <v>77</v>
      </c>
      <c r="B88" s="27">
        <v>150</v>
      </c>
      <c r="C88" s="27">
        <v>4</v>
      </c>
      <c r="D88" s="27">
        <v>0.34090909090909088</v>
      </c>
      <c r="E88" s="27">
        <f t="shared" si="3"/>
        <v>0.55839416058394165</v>
      </c>
      <c r="F88" s="27">
        <f t="shared" si="4"/>
        <v>0.14689907907082789</v>
      </c>
      <c r="G88" s="27">
        <f t="shared" si="5"/>
        <v>5.0106352940962555</v>
      </c>
      <c r="H88" s="27">
        <f t="shared" si="5"/>
        <v>1.3862943611198906</v>
      </c>
      <c r="I88" s="27">
        <f t="shared" si="5"/>
        <v>-1.0761394328160512</v>
      </c>
      <c r="J88" s="27"/>
    </row>
    <row r="89" spans="1:10">
      <c r="A89" s="27">
        <v>78</v>
      </c>
      <c r="B89" s="27">
        <v>150</v>
      </c>
      <c r="C89" s="27">
        <v>4</v>
      </c>
      <c r="D89" s="27">
        <v>0.38352272727272724</v>
      </c>
      <c r="E89" s="27">
        <f t="shared" si="3"/>
        <v>0.56569343065693434</v>
      </c>
      <c r="F89" s="27">
        <f t="shared" si="4"/>
        <v>0.16542034828665872</v>
      </c>
      <c r="G89" s="27">
        <f t="shared" si="5"/>
        <v>5.0106352940962555</v>
      </c>
      <c r="H89" s="27">
        <f t="shared" si="5"/>
        <v>1.3862943611198906</v>
      </c>
      <c r="I89" s="27">
        <f t="shared" si="5"/>
        <v>-0.95835639715966769</v>
      </c>
      <c r="J89" s="27"/>
    </row>
    <row r="90" spans="1:10">
      <c r="A90" s="27">
        <v>79</v>
      </c>
      <c r="B90" s="27">
        <v>150</v>
      </c>
      <c r="C90" s="27">
        <v>4</v>
      </c>
      <c r="D90" s="27">
        <v>0.41022727272727272</v>
      </c>
      <c r="E90" s="27">
        <f t="shared" si="3"/>
        <v>0.57299270072992703</v>
      </c>
      <c r="F90" s="27">
        <f t="shared" si="4"/>
        <v>0.18399854221788967</v>
      </c>
      <c r="G90" s="27">
        <f t="shared" si="5"/>
        <v>5.0106352940962555</v>
      </c>
      <c r="H90" s="27">
        <f t="shared" si="5"/>
        <v>1.3862943611198906</v>
      </c>
      <c r="I90" s="27">
        <f t="shared" si="5"/>
        <v>-0.89104394913937124</v>
      </c>
      <c r="J90" s="27"/>
    </row>
    <row r="91" spans="1:10">
      <c r="A91" s="27">
        <v>80</v>
      </c>
      <c r="B91" s="27">
        <v>150</v>
      </c>
      <c r="C91" s="27">
        <v>4.0999999999999996</v>
      </c>
      <c r="D91" s="27">
        <v>0.44318181818181818</v>
      </c>
      <c r="E91" s="27">
        <f t="shared" si="3"/>
        <v>0.58029197080291972</v>
      </c>
      <c r="F91" s="27">
        <f t="shared" si="4"/>
        <v>0.20264046654887435</v>
      </c>
      <c r="G91" s="27">
        <f t="shared" si="5"/>
        <v>5.0106352940962555</v>
      </c>
      <c r="H91" s="27">
        <f t="shared" si="5"/>
        <v>1.410986973710262</v>
      </c>
      <c r="I91" s="27">
        <f t="shared" si="5"/>
        <v>-0.81377516834856001</v>
      </c>
      <c r="J91" s="27"/>
    </row>
    <row r="92" spans="1:10">
      <c r="A92" s="27">
        <v>81</v>
      </c>
      <c r="B92" s="27">
        <v>150</v>
      </c>
      <c r="C92" s="27">
        <v>4.1500000000000004</v>
      </c>
      <c r="D92" s="27">
        <v>0.45454545454545453</v>
      </c>
      <c r="E92" s="27">
        <f t="shared" si="3"/>
        <v>0.58759124087591241</v>
      </c>
      <c r="F92" s="27">
        <f t="shared" si="4"/>
        <v>0.22135308607517393</v>
      </c>
      <c r="G92" s="27">
        <f t="shared" si="5"/>
        <v>5.0106352940962555</v>
      </c>
      <c r="H92" s="27">
        <f t="shared" si="5"/>
        <v>1.423108334242607</v>
      </c>
      <c r="I92" s="27">
        <f t="shared" si="5"/>
        <v>-0.78845736036427017</v>
      </c>
      <c r="J92" s="27"/>
    </row>
    <row r="93" spans="1:10">
      <c r="A93" s="27">
        <v>82</v>
      </c>
      <c r="B93" s="27">
        <v>150</v>
      </c>
      <c r="C93" s="27">
        <v>4.47</v>
      </c>
      <c r="D93" s="27">
        <v>0.45454545454545453</v>
      </c>
      <c r="E93" s="27">
        <f t="shared" si="3"/>
        <v>0.5948905109489051</v>
      </c>
      <c r="F93" s="27">
        <f t="shared" si="4"/>
        <v>0.24014354443937477</v>
      </c>
      <c r="G93" s="27">
        <f t="shared" si="5"/>
        <v>5.0106352940962555</v>
      </c>
      <c r="H93" s="27">
        <f t="shared" si="5"/>
        <v>1.4973884086254774</v>
      </c>
      <c r="I93" s="27">
        <f t="shared" si="5"/>
        <v>-0.78845736036427017</v>
      </c>
      <c r="J93" s="27"/>
    </row>
    <row r="94" spans="1:10">
      <c r="A94" s="27">
        <v>83</v>
      </c>
      <c r="B94" s="27">
        <v>150</v>
      </c>
      <c r="C94" s="27">
        <v>4.5</v>
      </c>
      <c r="D94" s="27">
        <v>0.45738636363636365</v>
      </c>
      <c r="E94" s="27">
        <f t="shared" si="3"/>
        <v>0.6021897810218978</v>
      </c>
      <c r="F94" s="27">
        <f t="shared" si="4"/>
        <v>0.25901918507982119</v>
      </c>
      <c r="G94" s="27">
        <f t="shared" si="5"/>
        <v>5.0106352940962555</v>
      </c>
      <c r="H94" s="27">
        <f t="shared" si="5"/>
        <v>1.5040773967762742</v>
      </c>
      <c r="I94" s="27">
        <f t="shared" si="5"/>
        <v>-0.78222681061363408</v>
      </c>
      <c r="J94" s="27"/>
    </row>
    <row r="95" spans="1:10">
      <c r="A95" s="27">
        <v>84</v>
      </c>
      <c r="B95" s="27">
        <v>150</v>
      </c>
      <c r="C95" s="27">
        <v>4.5</v>
      </c>
      <c r="D95" s="27">
        <v>0.47159090909090906</v>
      </c>
      <c r="E95" s="27">
        <f t="shared" si="3"/>
        <v>0.60948905109489049</v>
      </c>
      <c r="F95" s="27">
        <f t="shared" si="4"/>
        <v>0.27798757356208736</v>
      </c>
      <c r="G95" s="27">
        <f t="shared" si="5"/>
        <v>5.0106352940962555</v>
      </c>
      <c r="H95" s="27">
        <f t="shared" si="5"/>
        <v>1.5040773967762742</v>
      </c>
      <c r="I95" s="27">
        <f t="shared" si="5"/>
        <v>-0.75164338724155388</v>
      </c>
      <c r="J95" s="27"/>
    </row>
    <row r="96" spans="1:10">
      <c r="A96" s="27">
        <v>85</v>
      </c>
      <c r="B96" s="27">
        <v>150</v>
      </c>
      <c r="C96" s="27">
        <v>4.53</v>
      </c>
      <c r="D96" s="27">
        <v>0.48863636363636359</v>
      </c>
      <c r="E96" s="27">
        <f t="shared" si="3"/>
        <v>0.61678832116788318</v>
      </c>
      <c r="F96" s="27">
        <f t="shared" si="4"/>
        <v>0.2970565214818241</v>
      </c>
      <c r="G96" s="27">
        <f t="shared" si="5"/>
        <v>5.0106352940962555</v>
      </c>
      <c r="H96" s="27">
        <f t="shared" si="5"/>
        <v>1.5107219394949427</v>
      </c>
      <c r="I96" s="27">
        <f t="shared" si="5"/>
        <v>-0.71613669878464414</v>
      </c>
      <c r="J96" s="27"/>
    </row>
    <row r="97" spans="1:10">
      <c r="A97" s="27">
        <v>86</v>
      </c>
      <c r="B97" s="27">
        <v>160</v>
      </c>
      <c r="C97" s="27">
        <v>4.68</v>
      </c>
      <c r="D97" s="27">
        <v>0.51136363636363635</v>
      </c>
      <c r="E97" s="27">
        <f t="shared" si="3"/>
        <v>0.62408759124087587</v>
      </c>
      <c r="F97" s="27">
        <f t="shared" si="4"/>
        <v>0.3162341121495762</v>
      </c>
      <c r="G97" s="27">
        <f t="shared" si="5"/>
        <v>5.0751738152338266</v>
      </c>
      <c r="H97" s="27">
        <f t="shared" si="5"/>
        <v>1.5432981099295553</v>
      </c>
      <c r="I97" s="27">
        <f t="shared" si="5"/>
        <v>-0.67067432470788668</v>
      </c>
      <c r="J97" s="27"/>
    </row>
    <row r="98" spans="1:10">
      <c r="A98" s="27">
        <v>87</v>
      </c>
      <c r="B98" s="27">
        <v>173</v>
      </c>
      <c r="C98" s="27">
        <v>4.7</v>
      </c>
      <c r="D98" s="27">
        <v>0.51136363636363635</v>
      </c>
      <c r="E98" s="27">
        <f t="shared" si="3"/>
        <v>0.63138686131386856</v>
      </c>
      <c r="F98" s="27">
        <f t="shared" si="4"/>
        <v>0.33552872829378094</v>
      </c>
      <c r="G98" s="27">
        <f t="shared" si="5"/>
        <v>5.1532915944977793</v>
      </c>
      <c r="H98" s="27">
        <f t="shared" si="5"/>
        <v>1.547562508716013</v>
      </c>
      <c r="I98" s="27">
        <f t="shared" si="5"/>
        <v>-0.67067432470788668</v>
      </c>
      <c r="J98" s="27"/>
    </row>
    <row r="99" spans="1:10">
      <c r="A99" s="27">
        <v>88</v>
      </c>
      <c r="B99" s="27">
        <v>175</v>
      </c>
      <c r="C99" s="27">
        <v>4.99</v>
      </c>
      <c r="D99" s="27">
        <v>0.51136363636363635</v>
      </c>
      <c r="E99" s="27">
        <f t="shared" si="3"/>
        <v>0.63868613138686137</v>
      </c>
      <c r="F99" s="27">
        <f t="shared" si="4"/>
        <v>0.35494908204806469</v>
      </c>
      <c r="G99" s="27">
        <f t="shared" si="5"/>
        <v>5.1647859739235145</v>
      </c>
      <c r="H99" s="27">
        <f t="shared" si="5"/>
        <v>1.6074359097634274</v>
      </c>
      <c r="I99" s="27">
        <f t="shared" si="5"/>
        <v>-0.67067432470788668</v>
      </c>
      <c r="J99" s="27"/>
    </row>
    <row r="100" spans="1:10">
      <c r="A100" s="27">
        <v>89</v>
      </c>
      <c r="B100" s="27">
        <v>175</v>
      </c>
      <c r="C100" s="27">
        <v>5</v>
      </c>
      <c r="D100" s="27">
        <v>0.51136363636363635</v>
      </c>
      <c r="E100" s="27">
        <f t="shared" si="3"/>
        <v>0.64598540145985406</v>
      </c>
      <c r="F100" s="27">
        <f t="shared" si="4"/>
        <v>0.3745042475238794</v>
      </c>
      <c r="G100" s="27">
        <f t="shared" si="5"/>
        <v>5.1647859739235145</v>
      </c>
      <c r="H100" s="27">
        <f t="shared" si="5"/>
        <v>1.6094379124341003</v>
      </c>
      <c r="I100" s="27">
        <f t="shared" si="5"/>
        <v>-0.67067432470788668</v>
      </c>
      <c r="J100" s="27"/>
    </row>
    <row r="101" spans="1:10">
      <c r="A101" s="27">
        <v>90</v>
      </c>
      <c r="B101" s="27">
        <v>200</v>
      </c>
      <c r="C101" s="27">
        <v>5</v>
      </c>
      <c r="D101" s="27">
        <v>0.51477272727272727</v>
      </c>
      <c r="E101" s="27">
        <f t="shared" si="3"/>
        <v>0.65328467153284675</v>
      </c>
      <c r="F101" s="27">
        <f t="shared" si="4"/>
        <v>0.39420369631040175</v>
      </c>
      <c r="G101" s="27">
        <f t="shared" si="5"/>
        <v>5.2983173665480363</v>
      </c>
      <c r="H101" s="27">
        <f t="shared" si="5"/>
        <v>1.6094379124341003</v>
      </c>
      <c r="I101" s="27">
        <f t="shared" si="5"/>
        <v>-0.66402978198921814</v>
      </c>
      <c r="J101" s="27"/>
    </row>
    <row r="102" spans="1:10">
      <c r="A102" s="27">
        <v>91</v>
      </c>
      <c r="B102" s="27">
        <v>200</v>
      </c>
      <c r="C102" s="27">
        <v>5</v>
      </c>
      <c r="D102" s="27">
        <v>0.61363636363636365</v>
      </c>
      <c r="E102" s="27">
        <f t="shared" si="3"/>
        <v>0.66058394160583944</v>
      </c>
      <c r="F102" s="27">
        <f t="shared" si="4"/>
        <v>0.41405733629151137</v>
      </c>
      <c r="G102" s="27">
        <f t="shared" si="5"/>
        <v>5.2983173665480363</v>
      </c>
      <c r="H102" s="27">
        <f t="shared" si="5"/>
        <v>1.6094379124341003</v>
      </c>
      <c r="I102" s="27">
        <f t="shared" si="5"/>
        <v>-0.48835276791393206</v>
      </c>
      <c r="J102" s="27"/>
    </row>
    <row r="103" spans="1:10">
      <c r="A103" s="27">
        <v>92</v>
      </c>
      <c r="B103" s="27">
        <v>200</v>
      </c>
      <c r="C103" s="27">
        <v>5</v>
      </c>
      <c r="D103" s="27">
        <v>0.68181818181818177</v>
      </c>
      <c r="E103" s="27">
        <f t="shared" si="3"/>
        <v>0.66788321167883213</v>
      </c>
      <c r="F103" s="27">
        <f t="shared" si="4"/>
        <v>0.43407555422595223</v>
      </c>
      <c r="G103" s="27">
        <f t="shared" si="5"/>
        <v>5.2983173665480363</v>
      </c>
      <c r="H103" s="27">
        <f t="shared" si="5"/>
        <v>1.6094379124341003</v>
      </c>
      <c r="I103" s="27">
        <f t="shared" si="5"/>
        <v>-0.38299225225610584</v>
      </c>
      <c r="J103" s="27"/>
    </row>
    <row r="104" spans="1:10">
      <c r="A104" s="27">
        <v>93</v>
      </c>
      <c r="B104" s="27">
        <v>200</v>
      </c>
      <c r="C104" s="27">
        <v>5.5</v>
      </c>
      <c r="D104" s="27">
        <v>0.68181818181818177</v>
      </c>
      <c r="E104" s="27">
        <f t="shared" si="3"/>
        <v>0.67518248175182483</v>
      </c>
      <c r="F104" s="27">
        <f t="shared" si="4"/>
        <v>0.45426926260306744</v>
      </c>
      <c r="G104" s="27">
        <f t="shared" si="5"/>
        <v>5.2983173665480363</v>
      </c>
      <c r="H104" s="27">
        <f t="shared" si="5"/>
        <v>1.7047480922384253</v>
      </c>
      <c r="I104" s="27">
        <f t="shared" si="5"/>
        <v>-0.38299225225610584</v>
      </c>
      <c r="J104" s="27"/>
    </row>
    <row r="105" spans="1:10">
      <c r="A105" s="27">
        <v>94</v>
      </c>
      <c r="B105" s="27">
        <v>200</v>
      </c>
      <c r="C105" s="27">
        <v>5.7</v>
      </c>
      <c r="D105" s="27">
        <v>0.69318181818181812</v>
      </c>
      <c r="E105" s="27">
        <f t="shared" si="3"/>
        <v>0.68248175182481752</v>
      </c>
      <c r="F105" s="27">
        <f t="shared" si="4"/>
        <v>0.47464995136478644</v>
      </c>
      <c r="G105" s="27">
        <f t="shared" si="5"/>
        <v>5.2983173665480363</v>
      </c>
      <c r="H105" s="27">
        <f t="shared" si="5"/>
        <v>1.7404661748405046</v>
      </c>
      <c r="I105" s="27">
        <f t="shared" si="5"/>
        <v>-0.36646295030489529</v>
      </c>
      <c r="J105" s="27"/>
    </row>
    <row r="106" spans="1:10">
      <c r="A106" s="27">
        <v>95</v>
      </c>
      <c r="B106" s="27">
        <v>200</v>
      </c>
      <c r="C106" s="27">
        <v>5.76</v>
      </c>
      <c r="D106" s="27">
        <v>0.75</v>
      </c>
      <c r="E106" s="27">
        <f t="shared" si="3"/>
        <v>0.68978102189781021</v>
      </c>
      <c r="F106" s="27">
        <f t="shared" si="4"/>
        <v>0.49522974517731161</v>
      </c>
      <c r="G106" s="27">
        <f t="shared" si="5"/>
        <v>5.2983173665480363</v>
      </c>
      <c r="H106" s="27">
        <f t="shared" si="5"/>
        <v>1.7509374747077999</v>
      </c>
      <c r="I106" s="27">
        <f t="shared" si="5"/>
        <v>-0.2876820724517809</v>
      </c>
      <c r="J106" s="27"/>
    </row>
    <row r="107" spans="1:10">
      <c r="A107" s="27">
        <v>96</v>
      </c>
      <c r="B107" s="27">
        <v>200</v>
      </c>
      <c r="C107" s="27">
        <v>5.78</v>
      </c>
      <c r="D107" s="27">
        <v>0.76704545454545459</v>
      </c>
      <c r="E107" s="27">
        <f t="shared" si="3"/>
        <v>0.6970802919708029</v>
      </c>
      <c r="F107" s="27">
        <f t="shared" si="4"/>
        <v>0.51602146704622143</v>
      </c>
      <c r="G107" s="27">
        <f t="shared" si="5"/>
        <v>5.2983173665480363</v>
      </c>
      <c r="H107" s="27">
        <f t="shared" si="5"/>
        <v>1.7544036826842861</v>
      </c>
      <c r="I107" s="27">
        <f t="shared" si="5"/>
        <v>-0.2652092165997223</v>
      </c>
      <c r="J107" s="27"/>
    </row>
    <row r="108" spans="1:10">
      <c r="A108" s="27">
        <v>97</v>
      </c>
      <c r="B108" s="27">
        <v>200</v>
      </c>
      <c r="C108" s="27">
        <v>5.9</v>
      </c>
      <c r="D108" s="27">
        <v>0.79545454545454541</v>
      </c>
      <c r="E108" s="27">
        <f t="shared" si="3"/>
        <v>0.70437956204379559</v>
      </c>
      <c r="F108" s="27">
        <f t="shared" si="4"/>
        <v>0.53703870920027352</v>
      </c>
      <c r="G108" s="27">
        <f t="shared" si="5"/>
        <v>5.2983173665480363</v>
      </c>
      <c r="H108" s="27">
        <f t="shared" si="5"/>
        <v>1.7749523509116738</v>
      </c>
      <c r="I108" s="27">
        <f t="shared" si="5"/>
        <v>-0.22884157242884753</v>
      </c>
      <c r="J108" s="27"/>
    </row>
    <row r="109" spans="1:10">
      <c r="A109" s="27">
        <v>98</v>
      </c>
      <c r="B109" s="27">
        <v>200</v>
      </c>
      <c r="C109" s="27">
        <v>6</v>
      </c>
      <c r="D109" s="27">
        <v>0.85056818181818183</v>
      </c>
      <c r="E109" s="27">
        <f t="shared" si="3"/>
        <v>0.71167883211678828</v>
      </c>
      <c r="F109" s="27">
        <f t="shared" si="4"/>
        <v>0.55829591232674869</v>
      </c>
      <c r="G109" s="27">
        <f t="shared" si="5"/>
        <v>5.2983173665480363</v>
      </c>
      <c r="H109" s="27">
        <f t="shared" si="5"/>
        <v>1.791759469228055</v>
      </c>
      <c r="I109" s="27">
        <f t="shared" si="5"/>
        <v>-0.16185070361256909</v>
      </c>
      <c r="J109" s="27"/>
    </row>
    <row r="110" spans="1:10">
      <c r="A110" s="27">
        <v>99</v>
      </c>
      <c r="B110" s="27">
        <v>200</v>
      </c>
      <c r="C110" s="27">
        <v>6</v>
      </c>
      <c r="D110" s="27">
        <v>0.85227272727272718</v>
      </c>
      <c r="E110" s="27">
        <f t="shared" si="3"/>
        <v>0.71897810218978098</v>
      </c>
      <c r="F110" s="27">
        <f t="shared" si="4"/>
        <v>0.579808454430637</v>
      </c>
      <c r="G110" s="27">
        <f t="shared" si="5"/>
        <v>5.2983173665480363</v>
      </c>
      <c r="H110" s="27">
        <f t="shared" si="5"/>
        <v>1.791759469228055</v>
      </c>
      <c r="I110" s="27">
        <f t="shared" si="5"/>
        <v>-0.15984870094189613</v>
      </c>
      <c r="J110" s="27"/>
    </row>
    <row r="111" spans="1:10">
      <c r="A111" s="27">
        <v>100</v>
      </c>
      <c r="B111" s="27">
        <v>200</v>
      </c>
      <c r="C111" s="27">
        <v>6</v>
      </c>
      <c r="D111" s="27">
        <v>0.89985795454545459</v>
      </c>
      <c r="E111" s="27">
        <f t="shared" si="3"/>
        <v>0.72627737226277367</v>
      </c>
      <c r="F111" s="27">
        <f t="shared" si="4"/>
        <v>0.60159275081877217</v>
      </c>
      <c r="G111" s="27">
        <f t="shared" si="5"/>
        <v>5.2983173665480363</v>
      </c>
      <c r="H111" s="27">
        <f t="shared" si="5"/>
        <v>1.791759469228055</v>
      </c>
      <c r="I111" s="27">
        <f t="shared" si="5"/>
        <v>-0.10551835639684862</v>
      </c>
      <c r="J111" s="27"/>
    </row>
    <row r="112" spans="1:10">
      <c r="A112" s="27">
        <v>101</v>
      </c>
      <c r="B112" s="27">
        <v>200</v>
      </c>
      <c r="C112" s="27">
        <v>6</v>
      </c>
      <c r="D112" s="27">
        <v>0.90909090909090906</v>
      </c>
      <c r="E112" s="27">
        <f t="shared" si="3"/>
        <v>0.73357664233576647</v>
      </c>
      <c r="F112" s="27">
        <f t="shared" si="4"/>
        <v>0.62366636698757638</v>
      </c>
      <c r="G112" s="27">
        <f t="shared" si="5"/>
        <v>5.2983173665480363</v>
      </c>
      <c r="H112" s="27">
        <f t="shared" si="5"/>
        <v>1.791759469228055</v>
      </c>
      <c r="I112" s="27">
        <f t="shared" si="5"/>
        <v>-9.5310179804324893E-2</v>
      </c>
      <c r="J112" s="27"/>
    </row>
    <row r="113" spans="1:10">
      <c r="A113" s="27">
        <v>102</v>
      </c>
      <c r="B113" s="27">
        <v>270</v>
      </c>
      <c r="C113" s="27">
        <v>6</v>
      </c>
      <c r="D113" s="27">
        <v>0.92045454545454541</v>
      </c>
      <c r="E113" s="27">
        <f t="shared" si="3"/>
        <v>0.74087591240875916</v>
      </c>
      <c r="F113" s="27">
        <f t="shared" si="4"/>
        <v>0.64604814653141884</v>
      </c>
      <c r="G113" s="27">
        <f t="shared" si="5"/>
        <v>5.598421958998375</v>
      </c>
      <c r="H113" s="27">
        <f t="shared" si="5"/>
        <v>1.791759469228055</v>
      </c>
      <c r="I113" s="27">
        <f t="shared" si="5"/>
        <v>-8.2887659805767747E-2</v>
      </c>
      <c r="J113" s="27"/>
    </row>
    <row r="114" spans="1:10">
      <c r="A114" s="27">
        <v>103</v>
      </c>
      <c r="B114" s="27">
        <v>300</v>
      </c>
      <c r="C114" s="27">
        <v>6</v>
      </c>
      <c r="D114" s="27">
        <v>0.94772727272727264</v>
      </c>
      <c r="E114" s="27">
        <f t="shared" si="3"/>
        <v>0.74817518248175185</v>
      </c>
      <c r="F114" s="27">
        <f t="shared" si="4"/>
        <v>0.66875835660309513</v>
      </c>
      <c r="G114" s="27">
        <f t="shared" si="5"/>
        <v>5.7037824746562009</v>
      </c>
      <c r="H114" s="27">
        <f t="shared" si="5"/>
        <v>1.791759469228055</v>
      </c>
      <c r="I114" s="27">
        <f t="shared" si="5"/>
        <v>-5.3688505113505487E-2</v>
      </c>
      <c r="J114" s="27"/>
    </row>
    <row r="115" spans="1:10">
      <c r="A115" s="27">
        <v>104</v>
      </c>
      <c r="B115" s="27">
        <v>300</v>
      </c>
      <c r="C115" s="27">
        <v>6</v>
      </c>
      <c r="D115" s="27">
        <v>1.2450000000000001</v>
      </c>
      <c r="E115" s="27">
        <f t="shared" si="3"/>
        <v>0.75547445255474455</v>
      </c>
      <c r="F115" s="27">
        <f t="shared" si="4"/>
        <v>0.69181885396849097</v>
      </c>
      <c r="G115" s="27">
        <f t="shared" si="5"/>
        <v>5.7037824746562009</v>
      </c>
      <c r="H115" s="27">
        <f t="shared" si="5"/>
        <v>1.791759469228055</v>
      </c>
      <c r="I115" s="27">
        <f t="shared" si="5"/>
        <v>0.21913552991667101</v>
      </c>
      <c r="J115" s="27"/>
    </row>
    <row r="116" spans="1:10">
      <c r="A116" s="27">
        <v>105</v>
      </c>
      <c r="B116" s="27">
        <v>300</v>
      </c>
      <c r="C116" s="27">
        <v>6</v>
      </c>
      <c r="D116" s="27">
        <v>1.3636363636363635</v>
      </c>
      <c r="E116" s="27">
        <f t="shared" si="3"/>
        <v>0.76277372262773724</v>
      </c>
      <c r="F116" s="27">
        <f t="shared" si="4"/>
        <v>0.71525327532990435</v>
      </c>
      <c r="G116" s="27">
        <f t="shared" si="5"/>
        <v>5.7037824746562009</v>
      </c>
      <c r="H116" s="27">
        <f t="shared" si="5"/>
        <v>1.791759469228055</v>
      </c>
      <c r="I116" s="27">
        <f t="shared" si="5"/>
        <v>0.31015492830383945</v>
      </c>
      <c r="J116" s="27"/>
    </row>
    <row r="117" spans="1:10">
      <c r="A117" s="27">
        <v>106</v>
      </c>
      <c r="B117" s="27">
        <v>300</v>
      </c>
      <c r="C117" s="27">
        <v>7</v>
      </c>
      <c r="D117" s="27">
        <v>1.3636363636363635</v>
      </c>
      <c r="E117" s="27">
        <f t="shared" si="3"/>
        <v>0.77007299270072993</v>
      </c>
      <c r="F117" s="27">
        <f t="shared" si="4"/>
        <v>0.73908725638057371</v>
      </c>
      <c r="G117" s="27">
        <f t="shared" si="5"/>
        <v>5.7037824746562009</v>
      </c>
      <c r="H117" s="27">
        <f t="shared" si="5"/>
        <v>1.9459101490553132</v>
      </c>
      <c r="I117" s="27">
        <f t="shared" si="5"/>
        <v>0.31015492830383945</v>
      </c>
      <c r="J117" s="27"/>
    </row>
    <row r="118" spans="1:10">
      <c r="A118" s="27">
        <v>107</v>
      </c>
      <c r="B118" s="27">
        <v>300</v>
      </c>
      <c r="C118" s="27">
        <v>7</v>
      </c>
      <c r="D118" s="27">
        <v>1.3636363636363635</v>
      </c>
      <c r="E118" s="27">
        <f t="shared" si="3"/>
        <v>0.77737226277372262</v>
      </c>
      <c r="F118" s="27">
        <f t="shared" si="4"/>
        <v>0.76334868504124276</v>
      </c>
      <c r="G118" s="27">
        <f t="shared" si="5"/>
        <v>5.7037824746562009</v>
      </c>
      <c r="H118" s="27">
        <f t="shared" si="5"/>
        <v>1.9459101490553132</v>
      </c>
      <c r="I118" s="27">
        <f t="shared" si="5"/>
        <v>0.31015492830383945</v>
      </c>
      <c r="J118" s="27"/>
    </row>
    <row r="119" spans="1:10">
      <c r="A119" s="27">
        <v>108</v>
      </c>
      <c r="B119" s="27">
        <v>400</v>
      </c>
      <c r="C119" s="27">
        <v>7.05</v>
      </c>
      <c r="D119" s="27">
        <v>1.3636363636363635</v>
      </c>
      <c r="E119" s="27">
        <f t="shared" si="3"/>
        <v>0.78467153284671531</v>
      </c>
      <c r="F119" s="27">
        <f t="shared" si="4"/>
        <v>0.78806799557729368</v>
      </c>
      <c r="G119" s="27">
        <f t="shared" si="5"/>
        <v>5.9914645471079817</v>
      </c>
      <c r="H119" s="27">
        <f t="shared" si="5"/>
        <v>1.9530276168241774</v>
      </c>
      <c r="I119" s="27">
        <f t="shared" si="5"/>
        <v>0.31015492830383945</v>
      </c>
      <c r="J119" s="27"/>
    </row>
    <row r="120" spans="1:10">
      <c r="A120" s="27">
        <v>109</v>
      </c>
      <c r="B120" s="27">
        <v>400</v>
      </c>
      <c r="C120" s="27">
        <v>7.05</v>
      </c>
      <c r="D120" s="27">
        <v>1.3659090909090907</v>
      </c>
      <c r="E120" s="27">
        <f t="shared" si="3"/>
        <v>0.79197080291970801</v>
      </c>
      <c r="F120" s="27">
        <f t="shared" si="4"/>
        <v>0.81327851188156097</v>
      </c>
      <c r="G120" s="27">
        <f t="shared" si="5"/>
        <v>5.9914645471079817</v>
      </c>
      <c r="H120" s="27">
        <f t="shared" si="5"/>
        <v>1.9530276168241774</v>
      </c>
      <c r="I120" s="27">
        <f t="shared" si="5"/>
        <v>0.31182020762290064</v>
      </c>
      <c r="J120" s="27"/>
    </row>
    <row r="121" spans="1:10">
      <c r="A121" s="27">
        <v>110</v>
      </c>
      <c r="B121" s="27">
        <v>440</v>
      </c>
      <c r="C121" s="27">
        <v>7.2</v>
      </c>
      <c r="D121" s="27">
        <v>1.4727272727272727</v>
      </c>
      <c r="E121" s="27">
        <f t="shared" si="3"/>
        <v>0.7992700729927007</v>
      </c>
      <c r="F121" s="27">
        <f t="shared" si="4"/>
        <v>0.83901685024068029</v>
      </c>
      <c r="G121" s="27">
        <f t="shared" si="5"/>
        <v>6.0867747269123065</v>
      </c>
      <c r="H121" s="27">
        <f t="shared" si="5"/>
        <v>1.9740810260220096</v>
      </c>
      <c r="I121" s="27">
        <f t="shared" si="5"/>
        <v>0.38711596943996779</v>
      </c>
      <c r="J121" s="27"/>
    </row>
    <row r="122" spans="1:10">
      <c r="A122" s="27">
        <v>111</v>
      </c>
      <c r="B122" s="27">
        <v>440</v>
      </c>
      <c r="C122" s="27">
        <v>7.5</v>
      </c>
      <c r="D122" s="27">
        <v>1.5</v>
      </c>
      <c r="E122" s="27">
        <f t="shared" si="3"/>
        <v>0.80656934306569339</v>
      </c>
      <c r="F122" s="27">
        <f t="shared" si="4"/>
        <v>0.86532339452865425</v>
      </c>
      <c r="G122" s="27">
        <f t="shared" si="5"/>
        <v>6.0867747269123065</v>
      </c>
      <c r="H122" s="27">
        <f t="shared" si="5"/>
        <v>2.0149030205422647</v>
      </c>
      <c r="I122" s="27">
        <f t="shared" si="5"/>
        <v>0.40546510810816438</v>
      </c>
      <c r="J122" s="27"/>
    </row>
    <row r="123" spans="1:10">
      <c r="A123" s="27">
        <v>112</v>
      </c>
      <c r="B123" s="27">
        <v>440</v>
      </c>
      <c r="C123" s="27">
        <v>8</v>
      </c>
      <c r="D123" s="27">
        <v>1.6193181818181817</v>
      </c>
      <c r="E123" s="27">
        <f t="shared" si="3"/>
        <v>0.81386861313868608</v>
      </c>
      <c r="F123" s="27">
        <f t="shared" si="4"/>
        <v>0.89224286019240973</v>
      </c>
      <c r="G123" s="27">
        <f t="shared" si="5"/>
        <v>6.0867747269123065</v>
      </c>
      <c r="H123" s="27">
        <f t="shared" si="5"/>
        <v>2.0794415416798357</v>
      </c>
      <c r="I123" s="27">
        <f t="shared" si="5"/>
        <v>0.48200518523049862</v>
      </c>
      <c r="J123" s="27"/>
    </row>
    <row r="124" spans="1:10">
      <c r="A124" s="27">
        <v>113</v>
      </c>
      <c r="B124" s="27">
        <v>440</v>
      </c>
      <c r="C124" s="27">
        <v>8</v>
      </c>
      <c r="D124" s="27">
        <v>1.7045454545454544</v>
      </c>
      <c r="E124" s="27">
        <f t="shared" si="3"/>
        <v>0.82116788321167888</v>
      </c>
      <c r="F124" s="27">
        <f t="shared" si="4"/>
        <v>0.91982496789328505</v>
      </c>
      <c r="G124" s="27">
        <f t="shared" si="5"/>
        <v>6.0867747269123065</v>
      </c>
      <c r="H124" s="27">
        <f t="shared" si="5"/>
        <v>2.0794415416798357</v>
      </c>
      <c r="I124" s="27">
        <f t="shared" si="5"/>
        <v>0.53329847961804921</v>
      </c>
      <c r="J124" s="27"/>
    </row>
    <row r="125" spans="1:10">
      <c r="A125" s="27">
        <v>114</v>
      </c>
      <c r="B125" s="27">
        <v>450</v>
      </c>
      <c r="C125" s="27">
        <v>8</v>
      </c>
      <c r="D125" s="27">
        <v>1.75</v>
      </c>
      <c r="E125" s="27">
        <f t="shared" si="3"/>
        <v>0.82846715328467158</v>
      </c>
      <c r="F125" s="27">
        <f t="shared" si="4"/>
        <v>0.94812525364405054</v>
      </c>
      <c r="G125" s="27">
        <f t="shared" si="5"/>
        <v>6.1092475827643655</v>
      </c>
      <c r="H125" s="27">
        <f t="shared" si="5"/>
        <v>2.0794415416798357</v>
      </c>
      <c r="I125" s="27">
        <f t="shared" si="5"/>
        <v>0.55961578793542266</v>
      </c>
      <c r="J125" s="27"/>
    </row>
    <row r="126" spans="1:10">
      <c r="A126" s="27">
        <v>115</v>
      </c>
      <c r="B126" s="27">
        <v>500</v>
      </c>
      <c r="C126" s="27">
        <v>8.6</v>
      </c>
      <c r="D126" s="27">
        <v>1.875</v>
      </c>
      <c r="E126" s="27">
        <f t="shared" si="3"/>
        <v>0.83576642335766427</v>
      </c>
      <c r="F126" s="27">
        <f t="shared" si="4"/>
        <v>0.97720605030376595</v>
      </c>
      <c r="G126" s="27">
        <f t="shared" si="5"/>
        <v>6.2146080984221914</v>
      </c>
      <c r="H126" s="27">
        <f t="shared" si="5"/>
        <v>2.1517622032594619</v>
      </c>
      <c r="I126" s="27">
        <f t="shared" si="5"/>
        <v>0.62860865942237409</v>
      </c>
      <c r="J126" s="27"/>
    </row>
    <row r="127" spans="1:10">
      <c r="A127" s="27">
        <v>116</v>
      </c>
      <c r="B127" s="27">
        <v>528</v>
      </c>
      <c r="C127" s="27">
        <v>9.0500000000000007</v>
      </c>
      <c r="D127" s="27">
        <v>2.3931818181818181</v>
      </c>
      <c r="E127" s="27">
        <f t="shared" si="3"/>
        <v>0.84306569343065696</v>
      </c>
      <c r="F127" s="27">
        <f t="shared" si="4"/>
        <v>1.0071376861882799</v>
      </c>
      <c r="G127" s="27">
        <f t="shared" si="5"/>
        <v>6.2690962837062614</v>
      </c>
      <c r="H127" s="27">
        <f t="shared" si="5"/>
        <v>2.2027647577118348</v>
      </c>
      <c r="I127" s="27">
        <f t="shared" si="5"/>
        <v>0.87262378522166861</v>
      </c>
      <c r="J127" s="27"/>
    </row>
    <row r="128" spans="1:10">
      <c r="A128" s="27">
        <v>117</v>
      </c>
      <c r="B128" s="27">
        <v>528</v>
      </c>
      <c r="C128" s="522">
        <v>9.18</v>
      </c>
      <c r="D128" s="27">
        <v>2.4</v>
      </c>
      <c r="E128" s="27">
        <f t="shared" si="3"/>
        <v>0.85036496350364965</v>
      </c>
      <c r="F128" s="27">
        <f t="shared" si="4"/>
        <v>1.037999961538197</v>
      </c>
      <c r="G128" s="27">
        <f t="shared" si="5"/>
        <v>6.2690962837062614</v>
      </c>
      <c r="H128" s="27">
        <f t="shared" si="5"/>
        <v>2.2170272046323989</v>
      </c>
      <c r="I128" s="27">
        <f t="shared" si="5"/>
        <v>0.87546873735389985</v>
      </c>
      <c r="J128" s="27"/>
    </row>
    <row r="129" spans="1:10">
      <c r="A129" s="27">
        <v>118</v>
      </c>
      <c r="B129" s="27">
        <v>600</v>
      </c>
      <c r="C129" s="27">
        <v>9.1999999999999993</v>
      </c>
      <c r="D129" s="27">
        <v>2.4289772727272725</v>
      </c>
      <c r="E129" s="27">
        <f t="shared" si="3"/>
        <v>0.85766423357664234</v>
      </c>
      <c r="F129" s="27">
        <f t="shared" si="4"/>
        <v>1.0698839844739778</v>
      </c>
      <c r="G129" s="27">
        <f t="shared" si="5"/>
        <v>6.3969296552161463</v>
      </c>
      <c r="H129" s="27">
        <f t="shared" si="5"/>
        <v>2.2192034840549946</v>
      </c>
      <c r="I129" s="27">
        <f t="shared" si="5"/>
        <v>0.88747029333866301</v>
      </c>
      <c r="J129" s="27"/>
    </row>
    <row r="130" spans="1:10">
      <c r="A130" s="27">
        <v>119</v>
      </c>
      <c r="B130" s="27">
        <v>704</v>
      </c>
      <c r="C130" s="27">
        <v>10</v>
      </c>
      <c r="D130" s="27">
        <v>2.5</v>
      </c>
      <c r="E130" s="27">
        <f t="shared" si="3"/>
        <v>0.86496350364963503</v>
      </c>
      <c r="F130" s="27">
        <f t="shared" si="4"/>
        <v>1.1028944776204754</v>
      </c>
      <c r="G130" s="27">
        <f t="shared" si="5"/>
        <v>6.5567783561580422</v>
      </c>
      <c r="H130" s="27">
        <f t="shared" si="5"/>
        <v>2.3025850929940459</v>
      </c>
      <c r="I130" s="27">
        <f t="shared" si="5"/>
        <v>0.91629073187415511</v>
      </c>
      <c r="J130" s="27"/>
    </row>
    <row r="131" spans="1:10">
      <c r="A131" s="27">
        <v>120</v>
      </c>
      <c r="B131" s="27">
        <v>880</v>
      </c>
      <c r="C131" s="27">
        <v>10</v>
      </c>
      <c r="D131" s="27">
        <v>2.5</v>
      </c>
      <c r="E131" s="27">
        <f t="shared" si="3"/>
        <v>0.87226277372262773</v>
      </c>
      <c r="F131" s="27">
        <f t="shared" si="4"/>
        <v>1.1371527090780242</v>
      </c>
      <c r="G131" s="27">
        <f t="shared" si="5"/>
        <v>6.7799219074722519</v>
      </c>
      <c r="H131" s="27">
        <f t="shared" si="5"/>
        <v>2.3025850929940459</v>
      </c>
      <c r="I131" s="27">
        <f t="shared" si="5"/>
        <v>0.91629073187415511</v>
      </c>
      <c r="J131" s="27"/>
    </row>
    <row r="132" spans="1:10">
      <c r="A132" s="27">
        <v>121</v>
      </c>
      <c r="B132" s="27">
        <v>880</v>
      </c>
      <c r="C132" s="27">
        <v>10</v>
      </c>
      <c r="D132" s="27">
        <v>2.8409090909090913</v>
      </c>
      <c r="E132" s="27">
        <f t="shared" si="3"/>
        <v>0.87956204379562042</v>
      </c>
      <c r="F132" s="27">
        <f t="shared" si="4"/>
        <v>1.1728002636200223</v>
      </c>
      <c r="G132" s="27">
        <f t="shared" si="5"/>
        <v>6.7799219074722519</v>
      </c>
      <c r="H132" s="27">
        <f t="shared" si="5"/>
        <v>2.3025850929940459</v>
      </c>
      <c r="I132" s="27">
        <f t="shared" si="5"/>
        <v>1.04412410338404</v>
      </c>
      <c r="J132" s="27"/>
    </row>
    <row r="133" spans="1:10">
      <c r="A133" s="27">
        <v>122</v>
      </c>
      <c r="B133" s="27">
        <v>880</v>
      </c>
      <c r="C133" s="27">
        <v>11.93</v>
      </c>
      <c r="D133" s="27">
        <v>2.9556818181818181</v>
      </c>
      <c r="E133" s="27">
        <f t="shared" si="3"/>
        <v>0.88686131386861311</v>
      </c>
      <c r="F133" s="27">
        <f t="shared" si="4"/>
        <v>1.2100039628572927</v>
      </c>
      <c r="G133" s="27">
        <f t="shared" si="5"/>
        <v>6.7799219074722519</v>
      </c>
      <c r="H133" s="27">
        <f t="shared" si="5"/>
        <v>2.4790562361098245</v>
      </c>
      <c r="I133" s="27">
        <f t="shared" si="5"/>
        <v>1.0837293579763994</v>
      </c>
      <c r="J133" s="27"/>
    </row>
    <row r="134" spans="1:10">
      <c r="A134" s="27">
        <v>123</v>
      </c>
      <c r="B134" s="27">
        <v>900</v>
      </c>
      <c r="C134" s="27">
        <v>12</v>
      </c>
      <c r="D134" s="27">
        <v>3.0950000000000002</v>
      </c>
      <c r="E134" s="27">
        <f t="shared" si="3"/>
        <v>0.8941605839416058</v>
      </c>
      <c r="F134" s="27">
        <f t="shared" si="4"/>
        <v>1.2489623848000828</v>
      </c>
      <c r="G134" s="27">
        <f t="shared" si="5"/>
        <v>6.8023947633243109</v>
      </c>
      <c r="H134" s="27">
        <f t="shared" si="5"/>
        <v>2.4849066497880004</v>
      </c>
      <c r="I134" s="27">
        <f t="shared" si="5"/>
        <v>1.1297879061365594</v>
      </c>
      <c r="J134" s="27"/>
    </row>
    <row r="135" spans="1:10">
      <c r="A135" s="27">
        <v>124</v>
      </c>
      <c r="B135" s="27">
        <v>900</v>
      </c>
      <c r="C135" s="27">
        <v>12</v>
      </c>
      <c r="D135" s="27">
        <v>3.5556818181818177</v>
      </c>
      <c r="E135" s="27">
        <f t="shared" si="3"/>
        <v>0.90145985401459849</v>
      </c>
      <c r="F135" s="27">
        <f t="shared" si="4"/>
        <v>1.2899146547910303</v>
      </c>
      <c r="G135" s="27">
        <f t="shared" si="5"/>
        <v>6.8023947633243109</v>
      </c>
      <c r="H135" s="27">
        <f t="shared" si="5"/>
        <v>2.4849066497880004</v>
      </c>
      <c r="I135" s="27">
        <f t="shared" si="5"/>
        <v>1.2685468361966299</v>
      </c>
      <c r="J135" s="27"/>
    </row>
    <row r="136" spans="1:10">
      <c r="A136" s="27">
        <v>125</v>
      </c>
      <c r="B136" s="27">
        <v>900</v>
      </c>
      <c r="C136" s="27">
        <v>12.02</v>
      </c>
      <c r="D136" s="27">
        <v>3.6051136363636362</v>
      </c>
      <c r="E136" s="27">
        <f t="shared" si="3"/>
        <v>0.90875912408759119</v>
      </c>
      <c r="F136" s="27">
        <f t="shared" si="4"/>
        <v>1.333152535828088</v>
      </c>
      <c r="G136" s="27">
        <f t="shared" si="5"/>
        <v>6.8023947633243109</v>
      </c>
      <c r="H136" s="27">
        <f t="shared" si="5"/>
        <v>2.4865719291070616</v>
      </c>
      <c r="I136" s="27">
        <f t="shared" si="5"/>
        <v>1.2823532921162906</v>
      </c>
      <c r="J136" s="27"/>
    </row>
    <row r="137" spans="1:10">
      <c r="A137" s="27">
        <v>126</v>
      </c>
      <c r="B137" s="27">
        <v>1200</v>
      </c>
      <c r="C137" s="27">
        <v>12.2</v>
      </c>
      <c r="D137" s="27">
        <v>4.5818181818181811</v>
      </c>
      <c r="E137" s="27">
        <f t="shared" si="3"/>
        <v>0.91605839416058399</v>
      </c>
      <c r="F137" s="27">
        <f t="shared" si="4"/>
        <v>1.3790374366159073</v>
      </c>
      <c r="G137" s="27">
        <f t="shared" ref="G137:G139" si="6">LN(B137)</f>
        <v>7.0900768357760917</v>
      </c>
      <c r="H137" s="27">
        <f t="shared" ref="H137:H139" si="7">LN(C137)</f>
        <v>2.5014359517392109</v>
      </c>
      <c r="I137" s="27">
        <f t="shared" ref="I137:I139" si="8">LN(D137)</f>
        <v>1.5220959022789522</v>
      </c>
      <c r="J137" s="27"/>
    </row>
    <row r="138" spans="1:10">
      <c r="A138" s="27">
        <v>127</v>
      </c>
      <c r="B138" s="522">
        <v>1250</v>
      </c>
      <c r="C138" s="27">
        <v>12.38</v>
      </c>
      <c r="D138" s="27">
        <v>4.7720000000000002</v>
      </c>
      <c r="E138" s="27">
        <f t="shared" si="3"/>
        <v>0.92335766423357668</v>
      </c>
      <c r="F138" s="27">
        <f t="shared" si="4"/>
        <v>1.4280249699576566</v>
      </c>
      <c r="G138" s="27">
        <f t="shared" si="6"/>
        <v>7.1308988302963465</v>
      </c>
      <c r="H138" s="27">
        <f t="shared" si="7"/>
        <v>2.5160822672564502</v>
      </c>
      <c r="I138" s="27">
        <f t="shared" si="8"/>
        <v>1.5627655042356696</v>
      </c>
      <c r="J138" s="27"/>
    </row>
    <row r="139" spans="1:10">
      <c r="A139" s="27">
        <v>128</v>
      </c>
      <c r="B139" s="27">
        <v>1320</v>
      </c>
      <c r="C139" s="27">
        <v>16</v>
      </c>
      <c r="D139" s="27">
        <v>4.7727272727272725</v>
      </c>
      <c r="E139" s="27">
        <f t="shared" si="3"/>
        <v>0.93065693430656937</v>
      </c>
      <c r="F139" s="27">
        <f t="shared" si="4"/>
        <v>1.4807015101747432</v>
      </c>
      <c r="G139" s="27">
        <f t="shared" si="6"/>
        <v>7.1853870155804165</v>
      </c>
      <c r="H139" s="27">
        <f t="shared" si="7"/>
        <v>2.7725887222397811</v>
      </c>
      <c r="I139" s="27">
        <f t="shared" si="8"/>
        <v>1.5629178967992075</v>
      </c>
      <c r="J139" s="27"/>
    </row>
    <row r="140" spans="1:10">
      <c r="A140" s="27">
        <v>129</v>
      </c>
      <c r="B140" s="27">
        <v>1320</v>
      </c>
      <c r="C140" s="27">
        <v>16.100000000000001</v>
      </c>
      <c r="D140" s="27">
        <v>5.2874999999999996</v>
      </c>
      <c r="E140" s="27">
        <f t="shared" si="3"/>
        <v>0.93795620437956206</v>
      </c>
      <c r="F140" s="27">
        <f t="shared" si="4"/>
        <v>1.537840610864756</v>
      </c>
      <c r="G140" s="27">
        <f t="shared" ref="G140" si="9">LN(B140)</f>
        <v>7.1853870155804165</v>
      </c>
      <c r="H140" s="27">
        <f t="shared" ref="H140" si="10">LN(C140)</f>
        <v>2.7788192719904172</v>
      </c>
      <c r="I140" s="27">
        <f t="shared" ref="I140" si="11">LN(D140)</f>
        <v>1.6653455443723963</v>
      </c>
      <c r="J140" s="27"/>
    </row>
    <row r="141" spans="1:10">
      <c r="A141" s="27">
        <v>130</v>
      </c>
      <c r="B141" s="905">
        <v>1400</v>
      </c>
      <c r="C141" s="905">
        <v>16.2</v>
      </c>
      <c r="D141" s="704">
        <v>5.4545454545454541</v>
      </c>
      <c r="E141" s="27">
        <f t="shared" ref="E141:E148" si="12">(A141-0.5)/137</f>
        <v>0.94525547445255476</v>
      </c>
      <c r="F141" s="27">
        <f t="shared" si="4"/>
        <v>1.6004939360412309</v>
      </c>
      <c r="G141" s="27">
        <f t="shared" ref="G141" si="13">LN(B141)</f>
        <v>7.2442275156033498</v>
      </c>
      <c r="H141" s="27">
        <f t="shared" ref="H141" si="14">LN(C141)</f>
        <v>2.7850112422383382</v>
      </c>
      <c r="I141" s="27">
        <f t="shared" ref="I141" si="15">LN(D141)</f>
        <v>1.69644928942373</v>
      </c>
      <c r="J141" s="27"/>
    </row>
    <row r="142" spans="1:10">
      <c r="A142" s="27">
        <v>131</v>
      </c>
      <c r="B142" s="27">
        <v>1400</v>
      </c>
      <c r="C142" s="27">
        <v>16.2</v>
      </c>
      <c r="D142" s="27">
        <v>6</v>
      </c>
      <c r="E142" s="27">
        <f t="shared" si="12"/>
        <v>0.95255474452554745</v>
      </c>
      <c r="F142" s="27">
        <f t="shared" si="4"/>
        <v>1.6701458480348186</v>
      </c>
      <c r="G142" s="27">
        <f t="shared" ref="G142:G146" si="16">LN(B142)</f>
        <v>7.2442275156033498</v>
      </c>
      <c r="H142" s="27">
        <f t="shared" ref="H142:H146" si="17">LN(C142)</f>
        <v>2.7850112422383382</v>
      </c>
      <c r="I142" s="27">
        <f t="shared" ref="I142:I146" si="18">LN(D142)</f>
        <v>1.791759469228055</v>
      </c>
      <c r="J142" s="27"/>
    </row>
    <row r="143" spans="1:10">
      <c r="A143" s="27">
        <v>132</v>
      </c>
      <c r="B143" s="27">
        <v>1600</v>
      </c>
      <c r="C143" s="27">
        <v>19</v>
      </c>
      <c r="D143" s="27">
        <v>6.8181818181818183</v>
      </c>
      <c r="E143" s="27">
        <f t="shared" si="12"/>
        <v>0.95985401459854014</v>
      </c>
      <c r="F143" s="27">
        <f t="shared" si="4"/>
        <v>1.7489944960886423</v>
      </c>
      <c r="G143" s="27">
        <f t="shared" si="16"/>
        <v>7.3777589082278725</v>
      </c>
      <c r="H143" s="27">
        <f t="shared" si="17"/>
        <v>2.9444389791664403</v>
      </c>
      <c r="I143" s="27">
        <f t="shared" si="18"/>
        <v>1.9195928407379399</v>
      </c>
      <c r="J143" s="27"/>
    </row>
    <row r="144" spans="1:10">
      <c r="A144" s="27">
        <v>133</v>
      </c>
      <c r="B144" s="27">
        <v>1600</v>
      </c>
      <c r="C144" s="27">
        <v>19.670000000000002</v>
      </c>
      <c r="D144" s="27">
        <v>9.1999999999999993</v>
      </c>
      <c r="E144" s="27">
        <f t="shared" si="12"/>
        <v>0.96715328467153283</v>
      </c>
      <c r="F144" s="27">
        <f t="shared" si="4"/>
        <v>1.8405097738970768</v>
      </c>
      <c r="G144" s="27">
        <f t="shared" si="16"/>
        <v>7.3777589082278725</v>
      </c>
      <c r="H144" s="27">
        <f t="shared" si="17"/>
        <v>2.9790946324009679</v>
      </c>
      <c r="I144" s="27">
        <f t="shared" si="18"/>
        <v>2.2192034840549946</v>
      </c>
      <c r="J144" s="27"/>
    </row>
    <row r="145" spans="1:10">
      <c r="A145" s="27">
        <v>134</v>
      </c>
      <c r="B145" s="27">
        <v>1760</v>
      </c>
      <c r="C145" s="27">
        <v>28.5</v>
      </c>
      <c r="D145" s="797">
        <f>+(B145/1760)*C145</f>
        <v>28.5</v>
      </c>
      <c r="E145" s="27">
        <f t="shared" si="12"/>
        <v>0.97445255474452552</v>
      </c>
      <c r="F145" s="27">
        <f t="shared" si="4"/>
        <v>1.9506819612496025</v>
      </c>
      <c r="G145" s="27">
        <f t="shared" si="16"/>
        <v>7.4730690880321973</v>
      </c>
      <c r="H145" s="27">
        <f t="shared" si="17"/>
        <v>3.3499040872746049</v>
      </c>
      <c r="I145" s="27">
        <f t="shared" si="18"/>
        <v>3.3499040872746049</v>
      </c>
      <c r="J145" s="27"/>
    </row>
    <row r="146" spans="1:10">
      <c r="A146" s="27">
        <v>135</v>
      </c>
      <c r="B146" s="27">
        <v>1760</v>
      </c>
      <c r="C146" s="27">
        <v>56</v>
      </c>
      <c r="D146" s="27">
        <v>14.7525</v>
      </c>
      <c r="E146" s="27">
        <f t="shared" si="12"/>
        <v>0.98175182481751821</v>
      </c>
      <c r="F146" s="27">
        <f t="shared" si="4"/>
        <v>2.0913539118795432</v>
      </c>
      <c r="G146" s="27">
        <f t="shared" si="16"/>
        <v>7.4730690880321973</v>
      </c>
      <c r="H146" s="27">
        <f t="shared" si="17"/>
        <v>4.0253516907351496</v>
      </c>
      <c r="I146" s="27">
        <f t="shared" si="18"/>
        <v>2.6914125599491867</v>
      </c>
      <c r="J146" s="27"/>
    </row>
    <row r="147" spans="1:10">
      <c r="A147" s="27">
        <f>+A146+1</f>
        <v>136</v>
      </c>
      <c r="B147" s="762">
        <v>1000</v>
      </c>
      <c r="C147" s="762">
        <v>17.2</v>
      </c>
      <c r="D147" s="981">
        <v>9.7727272727272734</v>
      </c>
      <c r="E147" s="27">
        <f t="shared" si="12"/>
        <v>0.98905109489051091</v>
      </c>
      <c r="F147" s="27">
        <f t="shared" si="4"/>
        <v>2.2921357641631146</v>
      </c>
      <c r="G147" s="27">
        <f t="shared" ref="G147:G148" si="19">LN(B147)</f>
        <v>6.9077552789821368</v>
      </c>
      <c r="H147" s="27">
        <f t="shared" ref="H147:H148" si="20">LN(C147)</f>
        <v>2.8449093838194073</v>
      </c>
      <c r="I147" s="27">
        <f t="shared" ref="I147:I148" si="21">LN(D147)</f>
        <v>2.2795955747693468</v>
      </c>
      <c r="J147" s="27"/>
    </row>
    <row r="148" spans="1:10">
      <c r="A148" s="27">
        <f>+A147+1</f>
        <v>137</v>
      </c>
      <c r="B148" s="762">
        <v>1200</v>
      </c>
      <c r="C148" s="762">
        <v>13.22</v>
      </c>
      <c r="D148" s="981">
        <v>9.0136363636363637</v>
      </c>
      <c r="E148" s="27">
        <f t="shared" si="12"/>
        <v>0.9963503649635036</v>
      </c>
      <c r="F148" s="27">
        <f t="shared" ref="F148" si="22">NORMSINV(E148)</f>
        <v>2.6828730125874012</v>
      </c>
      <c r="G148" s="27">
        <f t="shared" si="19"/>
        <v>7.0900768357760917</v>
      </c>
      <c r="H148" s="27">
        <f t="shared" si="20"/>
        <v>2.5817308344235403</v>
      </c>
      <c r="I148" s="27">
        <f t="shared" si="21"/>
        <v>2.1987385821674343</v>
      </c>
      <c r="J148" s="27"/>
    </row>
    <row r="149" spans="1:10">
      <c r="A149" s="671"/>
      <c r="B149" s="671"/>
      <c r="C149" s="671"/>
      <c r="D149" s="671"/>
      <c r="E149" s="671"/>
      <c r="F149" s="671"/>
      <c r="G149" s="671"/>
      <c r="H149" s="671"/>
      <c r="I149" s="671"/>
      <c r="J149" s="27"/>
    </row>
    <row r="150" spans="1:10">
      <c r="A150" s="671"/>
      <c r="B150" s="671"/>
      <c r="C150" s="671"/>
      <c r="D150" s="671"/>
      <c r="E150" s="671"/>
      <c r="F150" s="671"/>
      <c r="G150" s="671"/>
      <c r="H150" s="671"/>
      <c r="I150" s="671"/>
      <c r="J150" s="27"/>
    </row>
    <row r="151" spans="1:10">
      <c r="A151" s="671"/>
      <c r="B151" s="671"/>
      <c r="C151" s="671"/>
      <c r="D151" s="671"/>
      <c r="E151" s="671"/>
      <c r="F151" s="671"/>
      <c r="G151" s="671"/>
      <c r="H151" s="671"/>
      <c r="I151" s="671"/>
      <c r="J151" s="27"/>
    </row>
    <row r="152" spans="1:10">
      <c r="A152" s="671"/>
      <c r="B152" s="671"/>
      <c r="C152" s="671"/>
      <c r="D152" s="671"/>
      <c r="E152" s="671"/>
      <c r="F152" s="671"/>
      <c r="G152" s="671"/>
      <c r="H152" s="671"/>
      <c r="I152" s="671"/>
      <c r="J152" s="27"/>
    </row>
    <row r="153" spans="1:10">
      <c r="A153" s="671"/>
      <c r="B153" s="671"/>
      <c r="C153" s="671"/>
      <c r="D153" s="671"/>
      <c r="E153" s="671"/>
      <c r="F153" s="671"/>
      <c r="G153" s="671"/>
      <c r="H153" s="671"/>
      <c r="I153" s="671"/>
      <c r="J153" s="27"/>
    </row>
    <row r="154" spans="1:10">
      <c r="A154" s="671"/>
      <c r="B154" s="671"/>
      <c r="C154" s="671"/>
      <c r="D154" s="671"/>
      <c r="E154" s="671"/>
      <c r="F154" s="671"/>
      <c r="G154" s="671"/>
      <c r="H154" s="671"/>
      <c r="I154" s="671"/>
      <c r="J154" s="27"/>
    </row>
    <row r="155" spans="1:10">
      <c r="A155" s="671"/>
      <c r="B155" s="671"/>
      <c r="C155" s="671"/>
      <c r="D155" s="671"/>
      <c r="E155" s="671"/>
      <c r="F155" s="671"/>
      <c r="G155" s="671"/>
      <c r="H155" s="671"/>
      <c r="I155" s="671"/>
      <c r="J155" s="27"/>
    </row>
    <row r="156" spans="1:10">
      <c r="A156" s="671"/>
      <c r="B156" s="671"/>
      <c r="C156" s="671"/>
      <c r="D156" s="671"/>
      <c r="E156" s="671"/>
      <c r="F156" s="671"/>
      <c r="G156" s="671"/>
      <c r="H156" s="671"/>
      <c r="I156" s="671"/>
      <c r="J156" s="27"/>
    </row>
    <row r="157" spans="1:10">
      <c r="A157" s="671"/>
      <c r="B157" s="671"/>
      <c r="C157" s="671"/>
      <c r="D157" s="671"/>
      <c r="E157" s="671"/>
      <c r="F157" s="671"/>
      <c r="G157" s="671"/>
      <c r="H157" s="671"/>
      <c r="I157" s="671"/>
      <c r="J157" s="27"/>
    </row>
    <row r="158" spans="1:10">
      <c r="A158" s="671"/>
      <c r="B158" s="671"/>
      <c r="C158" s="671"/>
      <c r="D158" s="671"/>
      <c r="E158" s="671"/>
      <c r="F158" s="671"/>
      <c r="G158" s="671"/>
      <c r="H158" s="671"/>
      <c r="I158" s="671"/>
      <c r="J158" s="27"/>
    </row>
    <row r="159" spans="1:10">
      <c r="A159" s="671"/>
      <c r="B159" s="671"/>
      <c r="C159" s="671"/>
      <c r="D159" s="671"/>
      <c r="E159" s="671"/>
      <c r="F159" s="671"/>
      <c r="G159" s="671"/>
      <c r="H159" s="671"/>
      <c r="I159" s="671"/>
      <c r="J159" s="27"/>
    </row>
    <row r="160" spans="1:10">
      <c r="A160" s="671"/>
      <c r="B160" s="671"/>
      <c r="C160" s="671"/>
      <c r="D160" s="671"/>
      <c r="E160" s="671"/>
      <c r="F160" s="671"/>
      <c r="G160" s="671"/>
      <c r="H160" s="671"/>
      <c r="I160" s="671"/>
      <c r="J160" s="27"/>
    </row>
    <row r="161" spans="1:10">
      <c r="A161" s="671"/>
      <c r="B161" s="671"/>
      <c r="C161" s="671"/>
      <c r="D161" s="671"/>
      <c r="E161" s="671"/>
      <c r="F161" s="671"/>
      <c r="G161" s="671"/>
      <c r="H161" s="671"/>
      <c r="I161" s="671"/>
      <c r="J161" s="27"/>
    </row>
    <row r="162" spans="1:10">
      <c r="A162" s="671"/>
      <c r="B162" s="671"/>
      <c r="C162" s="671"/>
      <c r="D162" s="671"/>
      <c r="E162" s="671"/>
      <c r="F162" s="671"/>
      <c r="G162" s="671"/>
      <c r="H162" s="671"/>
      <c r="I162" s="671"/>
      <c r="J162" s="27"/>
    </row>
    <row r="163" spans="1:10">
      <c r="A163" s="671"/>
      <c r="B163" s="671"/>
      <c r="C163" s="671"/>
      <c r="D163" s="671"/>
      <c r="E163" s="671"/>
      <c r="F163" s="671"/>
      <c r="G163" s="671"/>
      <c r="H163" s="671"/>
      <c r="I163" s="671"/>
      <c r="J163" s="27"/>
    </row>
    <row r="164" spans="1:10">
      <c r="A164" s="671"/>
      <c r="B164" s="671"/>
      <c r="C164" s="671"/>
      <c r="D164" s="671"/>
      <c r="E164" s="671"/>
      <c r="F164" s="671"/>
      <c r="G164" s="671"/>
      <c r="H164" s="671"/>
      <c r="I164" s="671"/>
      <c r="J164" s="27"/>
    </row>
    <row r="165" spans="1:10">
      <c r="A165" s="671"/>
      <c r="B165" s="671"/>
      <c r="C165" s="671"/>
      <c r="D165" s="671"/>
      <c r="E165" s="671"/>
      <c r="F165" s="671"/>
      <c r="G165" s="671"/>
      <c r="H165" s="671"/>
      <c r="I165" s="671"/>
      <c r="J165" s="27"/>
    </row>
    <row r="166" spans="1:10">
      <c r="A166" s="671"/>
      <c r="B166" s="671"/>
      <c r="C166" s="671"/>
      <c r="D166" s="671"/>
      <c r="E166" s="671"/>
      <c r="F166" s="671"/>
      <c r="G166" s="671"/>
      <c r="H166" s="671"/>
      <c r="I166" s="671"/>
      <c r="J166" s="27"/>
    </row>
    <row r="167" spans="1:10">
      <c r="A167" s="671"/>
      <c r="B167" s="671"/>
      <c r="C167" s="671"/>
      <c r="D167" s="671"/>
      <c r="E167" s="671"/>
      <c r="F167" s="671"/>
      <c r="G167" s="671"/>
      <c r="H167" s="671"/>
      <c r="I167" s="671"/>
      <c r="J167" s="27"/>
    </row>
    <row r="168" spans="1:10">
      <c r="A168" s="671"/>
      <c r="B168" s="671"/>
      <c r="C168" s="671"/>
      <c r="D168" s="671"/>
      <c r="E168" s="671"/>
      <c r="F168" s="671"/>
      <c r="G168" s="671"/>
      <c r="H168" s="671"/>
      <c r="I168" s="671"/>
      <c r="J168" s="27"/>
    </row>
    <row r="169" spans="1:10">
      <c r="A169" s="671"/>
      <c r="B169" s="671"/>
      <c r="C169" s="671"/>
      <c r="D169" s="671"/>
      <c r="E169" s="671"/>
      <c r="F169" s="671"/>
      <c r="G169" s="671"/>
      <c r="H169" s="671"/>
      <c r="I169" s="671"/>
      <c r="J169" s="27"/>
    </row>
    <row r="170" spans="1:10">
      <c r="A170" s="671"/>
      <c r="B170" s="671"/>
      <c r="C170" s="671"/>
      <c r="D170" s="671"/>
      <c r="E170" s="671"/>
      <c r="F170" s="671"/>
      <c r="G170" s="671"/>
      <c r="H170" s="671"/>
      <c r="I170" s="671"/>
      <c r="J170" s="27"/>
    </row>
    <row r="171" spans="1:10">
      <c r="A171" s="671"/>
      <c r="B171" s="671"/>
      <c r="C171" s="671"/>
      <c r="D171" s="671"/>
      <c r="E171" s="671"/>
      <c r="F171" s="671"/>
      <c r="G171" s="671"/>
      <c r="H171" s="671"/>
      <c r="I171" s="671"/>
      <c r="J171" s="27"/>
    </row>
    <row r="172" spans="1:10">
      <c r="A172" s="671"/>
      <c r="B172" s="671"/>
      <c r="C172" s="671"/>
      <c r="D172" s="671"/>
      <c r="E172" s="671"/>
      <c r="F172" s="671"/>
      <c r="G172" s="671"/>
      <c r="H172" s="671"/>
      <c r="I172" s="671"/>
      <c r="J172" s="27"/>
    </row>
    <row r="173" spans="1:10">
      <c r="A173" s="671"/>
      <c r="B173" s="671"/>
      <c r="C173" s="671"/>
      <c r="D173" s="671"/>
      <c r="E173" s="671"/>
      <c r="F173" s="671"/>
      <c r="G173" s="671"/>
      <c r="H173" s="671"/>
      <c r="I173" s="671"/>
      <c r="J173" s="27"/>
    </row>
    <row r="174" spans="1:10">
      <c r="A174" s="671"/>
      <c r="B174" s="671"/>
      <c r="C174" s="671"/>
      <c r="D174" s="671"/>
      <c r="E174" s="671"/>
      <c r="F174" s="671"/>
      <c r="G174" s="671"/>
      <c r="H174" s="671"/>
      <c r="I174" s="671"/>
      <c r="J174" s="27"/>
    </row>
    <row r="175" spans="1:10">
      <c r="A175" s="671"/>
      <c r="B175" s="671"/>
      <c r="C175" s="671"/>
      <c r="D175" s="671"/>
      <c r="E175" s="671"/>
      <c r="F175" s="671"/>
      <c r="G175" s="671"/>
      <c r="H175" s="671"/>
      <c r="I175" s="671"/>
      <c r="J175" s="27"/>
    </row>
    <row r="176" spans="1:10">
      <c r="A176" s="671"/>
      <c r="B176" s="671"/>
      <c r="C176" s="671"/>
      <c r="D176" s="671"/>
      <c r="E176" s="671"/>
      <c r="F176" s="671"/>
      <c r="G176" s="671"/>
      <c r="H176" s="671"/>
      <c r="I176" s="671"/>
      <c r="J176" s="27"/>
    </row>
    <row r="177" spans="1:10">
      <c r="A177" s="671"/>
      <c r="B177" s="671"/>
      <c r="C177" s="671"/>
      <c r="D177" s="671"/>
      <c r="E177" s="671"/>
      <c r="F177" s="671"/>
      <c r="G177" s="671"/>
      <c r="H177" s="671"/>
      <c r="I177" s="671"/>
      <c r="J177" s="27"/>
    </row>
    <row r="178" spans="1:10">
      <c r="A178" s="671"/>
      <c r="B178" s="671"/>
      <c r="C178" s="671"/>
      <c r="D178" s="671"/>
      <c r="E178" s="671"/>
      <c r="F178" s="671"/>
      <c r="G178" s="671"/>
      <c r="H178" s="671"/>
      <c r="I178" s="671"/>
      <c r="J178" s="27"/>
    </row>
    <row r="179" spans="1:10">
      <c r="A179" s="671"/>
      <c r="B179" s="671"/>
      <c r="C179" s="671"/>
      <c r="D179" s="671"/>
      <c r="E179" s="671"/>
      <c r="F179" s="671"/>
      <c r="G179" s="671"/>
      <c r="H179" s="671"/>
      <c r="I179" s="671"/>
      <c r="J179" s="27"/>
    </row>
    <row r="180" spans="1:10">
      <c r="A180" s="671"/>
      <c r="B180" s="671"/>
      <c r="C180" s="671"/>
      <c r="D180" s="671"/>
      <c r="E180" s="671"/>
      <c r="F180" s="671"/>
      <c r="G180" s="671"/>
      <c r="H180" s="671"/>
      <c r="I180" s="671"/>
      <c r="J180" s="27"/>
    </row>
    <row r="181" spans="1:10">
      <c r="A181" s="671"/>
      <c r="B181" s="671"/>
      <c r="C181" s="671"/>
      <c r="D181" s="671"/>
      <c r="E181" s="671"/>
      <c r="F181" s="671"/>
      <c r="G181" s="671"/>
      <c r="H181" s="671"/>
      <c r="I181" s="671"/>
      <c r="J181" s="27"/>
    </row>
    <row r="182" spans="1:10">
      <c r="A182" s="671"/>
      <c r="B182" s="671"/>
      <c r="C182" s="671"/>
      <c r="D182" s="671"/>
      <c r="E182" s="671"/>
      <c r="F182" s="671"/>
      <c r="G182" s="671"/>
      <c r="H182" s="671"/>
      <c r="I182" s="671"/>
      <c r="J182" s="27"/>
    </row>
    <row r="183" spans="1:10">
      <c r="A183" s="671"/>
      <c r="B183" s="671"/>
      <c r="C183" s="671"/>
      <c r="D183" s="671"/>
      <c r="E183" s="671"/>
      <c r="F183" s="671"/>
      <c r="G183" s="671"/>
      <c r="H183" s="671"/>
      <c r="I183" s="671"/>
      <c r="J183" s="27"/>
    </row>
    <row r="184" spans="1:10">
      <c r="A184" s="671"/>
      <c r="B184" s="671"/>
      <c r="C184" s="671"/>
      <c r="D184" s="671"/>
      <c r="E184" s="671"/>
      <c r="F184" s="671"/>
      <c r="G184" s="671"/>
      <c r="H184" s="671"/>
      <c r="I184" s="671"/>
      <c r="J184" s="27"/>
    </row>
    <row r="185" spans="1:10">
      <c r="A185" s="671"/>
      <c r="B185" s="671"/>
      <c r="C185" s="671"/>
      <c r="D185" s="671"/>
      <c r="E185" s="671"/>
      <c r="F185" s="671"/>
      <c r="G185" s="671"/>
      <c r="H185" s="671"/>
      <c r="I185" s="671"/>
      <c r="J185" s="27"/>
    </row>
    <row r="186" spans="1:10">
      <c r="A186" s="671"/>
      <c r="B186" s="671"/>
      <c r="C186" s="671"/>
      <c r="D186" s="671"/>
      <c r="E186" s="671"/>
      <c r="F186" s="671"/>
      <c r="G186" s="671"/>
      <c r="H186" s="671"/>
      <c r="I186" s="671"/>
      <c r="J186" s="27"/>
    </row>
    <row r="187" spans="1:10">
      <c r="A187" s="671"/>
      <c r="B187" s="671"/>
      <c r="C187" s="671"/>
      <c r="D187" s="671"/>
      <c r="E187" s="671"/>
      <c r="F187" s="671"/>
      <c r="G187" s="671"/>
      <c r="H187" s="671"/>
      <c r="I187" s="671"/>
      <c r="J187" s="27"/>
    </row>
    <row r="188" spans="1:10">
      <c r="A188" s="671"/>
      <c r="B188" s="671"/>
      <c r="C188" s="671"/>
      <c r="D188" s="671"/>
      <c r="E188" s="671"/>
      <c r="F188" s="671"/>
      <c r="G188" s="671"/>
      <c r="H188" s="671"/>
      <c r="I188" s="671"/>
      <c r="J188" s="27"/>
    </row>
    <row r="189" spans="1:10">
      <c r="A189" s="671"/>
      <c r="B189" s="671"/>
      <c r="C189" s="671"/>
      <c r="D189" s="671"/>
      <c r="E189" s="671"/>
      <c r="F189" s="671"/>
      <c r="G189" s="671"/>
      <c r="H189" s="671"/>
      <c r="I189" s="671"/>
      <c r="J189" s="27"/>
    </row>
    <row r="190" spans="1:10">
      <c r="A190" s="671"/>
      <c r="B190" s="671"/>
      <c r="C190" s="671"/>
      <c r="D190" s="671"/>
      <c r="E190" s="671"/>
      <c r="F190" s="671"/>
      <c r="G190" s="671"/>
      <c r="H190" s="671"/>
      <c r="I190" s="671"/>
      <c r="J190" s="27"/>
    </row>
    <row r="191" spans="1:10">
      <c r="A191" s="671"/>
      <c r="B191" s="671"/>
      <c r="C191" s="671"/>
      <c r="D191" s="671"/>
      <c r="E191" s="671"/>
      <c r="F191" s="671"/>
      <c r="G191" s="671"/>
      <c r="H191" s="671"/>
      <c r="I191" s="671"/>
      <c r="J191" s="27"/>
    </row>
    <row r="192" spans="1:10">
      <c r="A192" s="671"/>
      <c r="B192" s="671"/>
      <c r="C192" s="671"/>
      <c r="D192" s="671"/>
      <c r="E192" s="671"/>
      <c r="F192" s="671"/>
      <c r="G192" s="671"/>
      <c r="H192" s="671"/>
      <c r="I192" s="671"/>
      <c r="J192" s="27"/>
    </row>
    <row r="193" spans="1:10">
      <c r="A193" s="671"/>
      <c r="B193" s="671"/>
      <c r="C193" s="671"/>
      <c r="D193" s="671"/>
      <c r="E193" s="671"/>
      <c r="F193" s="671"/>
      <c r="G193" s="671"/>
      <c r="H193" s="671"/>
      <c r="I193" s="671"/>
      <c r="J193" s="27"/>
    </row>
    <row r="194" spans="1:10">
      <c r="A194" s="671"/>
      <c r="B194" s="671"/>
      <c r="C194" s="671"/>
      <c r="D194" s="671"/>
      <c r="E194" s="671"/>
      <c r="F194" s="671"/>
      <c r="G194" s="671"/>
      <c r="H194" s="671"/>
      <c r="I194" s="671"/>
      <c r="J194" s="27"/>
    </row>
    <row r="195" spans="1:10">
      <c r="A195" s="671"/>
      <c r="B195" s="671"/>
      <c r="C195" s="671"/>
      <c r="D195" s="671"/>
      <c r="E195" s="671"/>
      <c r="F195" s="671"/>
      <c r="G195" s="671"/>
      <c r="H195" s="671"/>
      <c r="I195" s="671"/>
      <c r="J195" s="27"/>
    </row>
    <row r="196" spans="1:10">
      <c r="A196" s="671"/>
      <c r="B196" s="671"/>
      <c r="C196" s="671"/>
      <c r="D196" s="671"/>
      <c r="E196" s="671"/>
      <c r="F196" s="671"/>
      <c r="G196" s="671"/>
      <c r="H196" s="671"/>
      <c r="I196" s="671"/>
      <c r="J196" s="27"/>
    </row>
    <row r="197" spans="1:10">
      <c r="A197" s="671"/>
      <c r="B197" s="671"/>
      <c r="C197" s="671"/>
      <c r="D197" s="671"/>
      <c r="E197" s="671"/>
      <c r="F197" s="671"/>
      <c r="G197" s="671"/>
      <c r="H197" s="671"/>
      <c r="I197" s="671"/>
      <c r="J197" s="27"/>
    </row>
    <row r="198" spans="1:10">
      <c r="A198" s="671"/>
      <c r="B198" s="671"/>
      <c r="C198" s="671"/>
      <c r="D198" s="671"/>
      <c r="E198" s="671"/>
      <c r="F198" s="671"/>
      <c r="G198" s="671"/>
      <c r="H198" s="671"/>
      <c r="I198" s="671"/>
      <c r="J198" s="27"/>
    </row>
    <row r="199" spans="1:10">
      <c r="A199" s="671"/>
      <c r="B199" s="671"/>
      <c r="C199" s="671"/>
      <c r="D199" s="671"/>
      <c r="E199" s="671"/>
      <c r="F199" s="671"/>
      <c r="G199" s="671"/>
      <c r="H199" s="671"/>
      <c r="I199" s="671"/>
      <c r="J199" s="27"/>
    </row>
    <row r="200" spans="1:10">
      <c r="A200" s="671"/>
      <c r="B200" s="671"/>
      <c r="C200" s="671"/>
      <c r="D200" s="671"/>
      <c r="E200" s="671"/>
      <c r="F200" s="671"/>
      <c r="G200" s="671"/>
      <c r="H200" s="671"/>
      <c r="I200" s="671"/>
      <c r="J200" s="27"/>
    </row>
    <row r="201" spans="1:10">
      <c r="A201" s="671"/>
      <c r="B201" s="671"/>
      <c r="C201" s="671"/>
      <c r="D201" s="671"/>
      <c r="E201" s="671"/>
      <c r="F201" s="671"/>
      <c r="G201" s="671"/>
      <c r="H201" s="671"/>
      <c r="I201" s="671"/>
      <c r="J201" s="27"/>
    </row>
    <row r="202" spans="1:10">
      <c r="A202" s="671"/>
      <c r="B202" s="671"/>
      <c r="C202" s="671"/>
      <c r="D202" s="671"/>
      <c r="E202" s="671"/>
      <c r="F202" s="671"/>
      <c r="G202" s="671"/>
      <c r="H202" s="671"/>
      <c r="I202" s="671"/>
      <c r="J202" s="27"/>
    </row>
    <row r="203" spans="1:10">
      <c r="A203" s="671"/>
      <c r="B203" s="671"/>
      <c r="C203" s="671"/>
      <c r="D203" s="671"/>
      <c r="E203" s="671"/>
      <c r="F203" s="671"/>
      <c r="G203" s="671"/>
      <c r="H203" s="671"/>
      <c r="I203" s="671"/>
      <c r="J203" s="27"/>
    </row>
    <row r="204" spans="1:10">
      <c r="A204" s="671"/>
      <c r="B204" s="671"/>
      <c r="C204" s="671"/>
      <c r="D204" s="671"/>
      <c r="E204" s="671"/>
      <c r="F204" s="671"/>
      <c r="G204" s="671"/>
      <c r="H204" s="671"/>
      <c r="I204" s="671"/>
      <c r="J204" s="27"/>
    </row>
    <row r="205" spans="1:10">
      <c r="A205" s="671"/>
      <c r="B205" s="671"/>
      <c r="C205" s="671"/>
      <c r="D205" s="671"/>
      <c r="E205" s="671"/>
      <c r="F205" s="671"/>
      <c r="G205" s="671"/>
      <c r="H205" s="671"/>
      <c r="I205" s="671"/>
      <c r="J205" s="27"/>
    </row>
    <row r="206" spans="1:10">
      <c r="A206" s="671"/>
      <c r="B206" s="671"/>
      <c r="C206" s="671"/>
      <c r="D206" s="671"/>
      <c r="E206" s="671"/>
      <c r="F206" s="671"/>
      <c r="G206" s="671"/>
      <c r="H206" s="671"/>
      <c r="I206" s="671"/>
      <c r="J206" s="27"/>
    </row>
    <row r="207" spans="1:10">
      <c r="A207" s="671"/>
      <c r="B207" s="671"/>
      <c r="C207" s="671"/>
      <c r="D207" s="671"/>
      <c r="E207" s="671"/>
      <c r="F207" s="671"/>
      <c r="G207" s="671"/>
      <c r="H207" s="671"/>
      <c r="I207" s="671"/>
      <c r="J207" s="27"/>
    </row>
    <row r="208" spans="1:10">
      <c r="A208" s="671"/>
      <c r="B208" s="671"/>
      <c r="C208" s="671"/>
      <c r="D208" s="671"/>
      <c r="E208" s="671"/>
      <c r="F208" s="671"/>
      <c r="G208" s="671"/>
      <c r="H208" s="671"/>
      <c r="I208" s="671"/>
      <c r="J208" s="27"/>
    </row>
    <row r="209" spans="1:10">
      <c r="A209" s="671"/>
      <c r="B209" s="671"/>
      <c r="C209" s="671"/>
      <c r="D209" s="671"/>
      <c r="E209" s="671"/>
      <c r="F209" s="671"/>
      <c r="G209" s="671"/>
      <c r="H209" s="671"/>
      <c r="I209" s="671"/>
      <c r="J209" s="27"/>
    </row>
    <row r="210" spans="1:10">
      <c r="A210" s="671"/>
      <c r="B210" s="671"/>
      <c r="C210" s="671"/>
      <c r="D210" s="671"/>
      <c r="E210" s="671"/>
      <c r="F210" s="671"/>
      <c r="G210" s="671"/>
      <c r="H210" s="671"/>
      <c r="I210" s="671"/>
      <c r="J210" s="27"/>
    </row>
    <row r="211" spans="1:10">
      <c r="A211" s="27"/>
      <c r="B211" s="27"/>
      <c r="C211" s="27"/>
      <c r="D211" s="27"/>
      <c r="E211" s="27"/>
      <c r="F211" s="27"/>
      <c r="G211" s="27"/>
      <c r="H211" s="27"/>
      <c r="I211" s="27"/>
      <c r="J211" s="27"/>
    </row>
    <row r="212" spans="1:10">
      <c r="A212" s="27"/>
      <c r="B212" s="27"/>
      <c r="C212" s="27"/>
      <c r="D212" s="27"/>
      <c r="E212" s="27"/>
      <c r="F212" s="27"/>
      <c r="G212" s="27"/>
      <c r="H212" s="27"/>
      <c r="I212" s="27"/>
      <c r="J212" s="27"/>
    </row>
    <row r="213" spans="1:10">
      <c r="A213" s="27"/>
      <c r="B213" s="27"/>
      <c r="C213" s="27"/>
      <c r="D213" s="27"/>
      <c r="E213" s="27"/>
      <c r="F213" s="27"/>
      <c r="G213" s="27"/>
      <c r="H213" s="27"/>
      <c r="I213" s="27"/>
      <c r="J213" s="27"/>
    </row>
    <row r="214" spans="1:10">
      <c r="A214" s="27"/>
      <c r="B214" s="27"/>
      <c r="C214" s="27"/>
      <c r="D214" s="27"/>
      <c r="E214" s="27"/>
      <c r="F214" s="27"/>
      <c r="G214" s="27"/>
      <c r="H214" s="27"/>
      <c r="I214" s="27"/>
      <c r="J214" s="27"/>
    </row>
    <row r="215" spans="1:10">
      <c r="A215" s="27"/>
      <c r="B215" s="27"/>
      <c r="C215" s="27"/>
      <c r="D215" s="27"/>
      <c r="E215" s="27"/>
      <c r="F215" s="27"/>
      <c r="G215" s="27"/>
      <c r="H215" s="27"/>
      <c r="I215" s="27"/>
      <c r="J215" s="27"/>
    </row>
    <row r="216" spans="1:10">
      <c r="A216" s="27"/>
      <c r="B216" s="27"/>
      <c r="C216" s="27"/>
      <c r="D216" s="27"/>
      <c r="E216" s="27"/>
      <c r="F216" s="27"/>
      <c r="G216" s="27"/>
      <c r="H216" s="27"/>
      <c r="I216" s="27"/>
      <c r="J216" s="27"/>
    </row>
    <row r="217" spans="1:10">
      <c r="A217" s="27"/>
      <c r="B217" s="27"/>
      <c r="C217" s="27"/>
      <c r="D217" s="27"/>
      <c r="E217" s="27"/>
      <c r="F217" s="27"/>
      <c r="G217" s="27"/>
      <c r="H217" s="27"/>
      <c r="I217" s="27"/>
      <c r="J217" s="27"/>
    </row>
    <row r="218" spans="1:10">
      <c r="A218" s="27"/>
      <c r="B218" s="27"/>
      <c r="C218" s="27"/>
      <c r="D218" s="27"/>
      <c r="E218" s="27"/>
      <c r="F218" s="27"/>
      <c r="G218" s="27"/>
      <c r="H218" s="27"/>
      <c r="I218" s="27"/>
      <c r="J218" s="27"/>
    </row>
    <row r="219" spans="1:10">
      <c r="A219" s="27"/>
      <c r="B219" s="27"/>
      <c r="C219" s="27"/>
      <c r="D219" s="27"/>
      <c r="E219" s="27"/>
      <c r="F219" s="27"/>
      <c r="G219" s="27"/>
      <c r="H219" s="27"/>
      <c r="I219" s="27"/>
      <c r="J219" s="27"/>
    </row>
    <row r="220" spans="1:10">
      <c r="A220" s="27"/>
      <c r="B220" s="27"/>
      <c r="C220" s="27"/>
      <c r="D220" s="27"/>
      <c r="E220" s="27"/>
      <c r="F220" s="27"/>
      <c r="G220" s="27"/>
      <c r="H220" s="27"/>
      <c r="I220" s="27"/>
      <c r="J220" s="27"/>
    </row>
    <row r="221" spans="1:10">
      <c r="A221" s="27"/>
      <c r="B221" s="27"/>
      <c r="C221" s="27"/>
      <c r="D221" s="27"/>
      <c r="E221" s="27"/>
      <c r="F221" s="27"/>
      <c r="G221" s="27"/>
      <c r="H221" s="27"/>
      <c r="I221" s="27"/>
      <c r="J221" s="27"/>
    </row>
    <row r="222" spans="1:10">
      <c r="A222" s="27"/>
      <c r="B222" s="27"/>
      <c r="C222" s="27"/>
      <c r="D222" s="27"/>
      <c r="E222" s="27"/>
      <c r="F222" s="27"/>
      <c r="G222" s="27"/>
      <c r="H222" s="27"/>
      <c r="I222" s="27"/>
      <c r="J222" s="27"/>
    </row>
    <row r="223" spans="1:10">
      <c r="A223" s="27"/>
      <c r="B223" s="27"/>
      <c r="C223" s="27"/>
      <c r="D223" s="27"/>
      <c r="E223" s="27"/>
      <c r="F223" s="27"/>
      <c r="G223" s="27"/>
      <c r="H223" s="27"/>
      <c r="I223" s="27"/>
      <c r="J223" s="27"/>
    </row>
    <row r="224" spans="1:10">
      <c r="A224" s="27"/>
      <c r="B224" s="27"/>
      <c r="C224" s="27"/>
      <c r="D224" s="27"/>
      <c r="E224" s="27"/>
      <c r="F224" s="27"/>
      <c r="G224" s="27"/>
      <c r="H224" s="27"/>
      <c r="I224" s="27"/>
      <c r="J224" s="27"/>
    </row>
    <row r="225" spans="1:10">
      <c r="A225" s="27"/>
      <c r="B225" s="27"/>
      <c r="C225" s="27"/>
      <c r="D225" s="27"/>
      <c r="E225" s="27"/>
      <c r="F225" s="27"/>
      <c r="G225" s="27"/>
      <c r="H225" s="27"/>
      <c r="I225" s="27"/>
      <c r="J225" s="27"/>
    </row>
    <row r="226" spans="1:10">
      <c r="A226" s="27"/>
      <c r="B226" s="27"/>
      <c r="C226" s="27"/>
      <c r="D226" s="27"/>
      <c r="E226" s="27"/>
      <c r="F226" s="27"/>
      <c r="G226" s="27"/>
      <c r="H226" s="27"/>
      <c r="I226" s="27"/>
      <c r="J226" s="27"/>
    </row>
    <row r="227" spans="1:10">
      <c r="A227" s="27"/>
      <c r="B227" s="27"/>
      <c r="C227" s="27"/>
      <c r="D227" s="27"/>
      <c r="E227" s="27"/>
      <c r="F227" s="27"/>
      <c r="G227" s="27"/>
      <c r="H227" s="27"/>
      <c r="I227" s="27"/>
      <c r="J227" s="27"/>
    </row>
    <row r="228" spans="1:10">
      <c r="A228" s="27"/>
      <c r="B228" s="27"/>
      <c r="C228" s="27"/>
      <c r="D228" s="27"/>
      <c r="E228" s="27"/>
      <c r="F228" s="27"/>
      <c r="G228" s="27"/>
      <c r="H228" s="27"/>
      <c r="I228" s="27"/>
      <c r="J228" s="27"/>
    </row>
    <row r="229" spans="1:10">
      <c r="A229" s="27"/>
      <c r="B229" s="27"/>
      <c r="C229" s="27"/>
      <c r="D229" s="27"/>
      <c r="E229" s="27"/>
      <c r="F229" s="27"/>
      <c r="G229" s="27"/>
      <c r="H229" s="27"/>
      <c r="I229" s="27"/>
      <c r="J229" s="27"/>
    </row>
    <row r="230" spans="1:10">
      <c r="A230" s="27"/>
      <c r="B230" s="27"/>
      <c r="C230" s="27"/>
      <c r="D230" s="27"/>
      <c r="E230" s="27"/>
      <c r="F230" s="27"/>
      <c r="G230" s="27"/>
      <c r="H230" s="27"/>
      <c r="I230" s="27"/>
      <c r="J230" s="27"/>
    </row>
    <row r="231" spans="1:10">
      <c r="A231" s="27"/>
      <c r="B231" s="27"/>
      <c r="C231" s="27"/>
      <c r="D231" s="27"/>
      <c r="E231" s="27"/>
      <c r="F231" s="27"/>
      <c r="G231" s="27"/>
      <c r="H231" s="27"/>
      <c r="I231" s="27"/>
      <c r="J231" s="27"/>
    </row>
    <row r="232" spans="1:10">
      <c r="A232" s="27"/>
      <c r="B232" s="27"/>
      <c r="C232" s="27"/>
      <c r="D232" s="27"/>
      <c r="E232" s="27"/>
      <c r="F232" s="27"/>
      <c r="G232" s="27"/>
      <c r="H232" s="27"/>
      <c r="I232" s="27"/>
      <c r="J232" s="27"/>
    </row>
    <row r="233" spans="1:10">
      <c r="A233" s="27"/>
      <c r="B233" s="27"/>
      <c r="C233" s="27"/>
      <c r="D233" s="27"/>
      <c r="E233" s="27"/>
      <c r="F233" s="27"/>
      <c r="G233" s="27"/>
      <c r="H233" s="27"/>
      <c r="I233" s="27"/>
      <c r="J233" s="27"/>
    </row>
    <row r="234" spans="1:10">
      <c r="A234" s="27"/>
      <c r="B234" s="27"/>
      <c r="C234" s="27"/>
      <c r="D234" s="27"/>
      <c r="E234" s="27"/>
      <c r="F234" s="27"/>
      <c r="G234" s="27"/>
      <c r="H234" s="27"/>
      <c r="I234" s="27"/>
      <c r="J234" s="27"/>
    </row>
    <row r="235" spans="1:10">
      <c r="A235" s="27"/>
      <c r="B235" s="27"/>
      <c r="C235" s="27"/>
      <c r="D235" s="27"/>
      <c r="E235" s="27"/>
      <c r="F235" s="27"/>
      <c r="G235" s="27"/>
      <c r="H235" s="27"/>
      <c r="I235" s="27"/>
      <c r="J235" s="27"/>
    </row>
    <row r="236" spans="1:10">
      <c r="A236" s="27"/>
      <c r="B236" s="27"/>
      <c r="C236" s="27"/>
      <c r="D236" s="27"/>
      <c r="E236" s="27"/>
      <c r="F236" s="27"/>
      <c r="G236" s="27"/>
      <c r="H236" s="27"/>
      <c r="I236" s="27"/>
      <c r="J236" s="27"/>
    </row>
    <row r="237" spans="1:10">
      <c r="A237" s="27"/>
      <c r="B237" s="27"/>
      <c r="C237" s="27"/>
      <c r="D237" s="27"/>
      <c r="E237" s="27"/>
      <c r="F237" s="27"/>
      <c r="G237" s="27"/>
      <c r="H237" s="27"/>
      <c r="I237" s="27"/>
      <c r="J237" s="27"/>
    </row>
    <row r="238" spans="1:10">
      <c r="A238" s="27"/>
      <c r="B238" s="27"/>
      <c r="C238" s="27"/>
      <c r="D238" s="27"/>
      <c r="E238" s="27"/>
      <c r="F238" s="27"/>
      <c r="G238" s="27"/>
      <c r="H238" s="27"/>
      <c r="I238" s="27"/>
      <c r="J238" s="27"/>
    </row>
    <row r="239" spans="1:10">
      <c r="A239" s="27"/>
      <c r="B239" s="27"/>
      <c r="C239" s="27"/>
      <c r="D239" s="27"/>
      <c r="E239" s="27"/>
      <c r="F239" s="27"/>
      <c r="G239" s="27"/>
      <c r="H239" s="27"/>
      <c r="I239" s="27"/>
      <c r="J239" s="27"/>
    </row>
    <row r="240" spans="1:10">
      <c r="A240" s="27"/>
      <c r="B240" s="27"/>
      <c r="C240" s="27"/>
      <c r="D240" s="27"/>
      <c r="E240" s="27"/>
      <c r="F240" s="27"/>
      <c r="G240" s="27"/>
      <c r="H240" s="27"/>
      <c r="I240" s="27"/>
      <c r="J240" s="27"/>
    </row>
    <row r="241" spans="1:10">
      <c r="A241" s="27"/>
      <c r="B241" s="27"/>
      <c r="C241" s="27"/>
      <c r="D241" s="27"/>
      <c r="E241" s="27"/>
      <c r="F241" s="27"/>
      <c r="G241" s="27"/>
      <c r="H241" s="27"/>
      <c r="I241" s="27"/>
      <c r="J241" s="27"/>
    </row>
    <row r="242" spans="1:10">
      <c r="A242" s="27"/>
      <c r="B242" s="27"/>
      <c r="C242" s="27"/>
      <c r="D242" s="27"/>
      <c r="E242" s="27"/>
      <c r="F242" s="27"/>
      <c r="G242" s="27"/>
      <c r="H242" s="27"/>
      <c r="I242" s="27"/>
      <c r="J242" s="27"/>
    </row>
    <row r="243" spans="1:10">
      <c r="A243" s="27"/>
      <c r="B243" s="27"/>
      <c r="C243" s="27"/>
      <c r="D243" s="27"/>
      <c r="E243" s="27"/>
      <c r="F243" s="27"/>
      <c r="G243" s="27"/>
      <c r="H243" s="27"/>
      <c r="I243" s="27"/>
      <c r="J243" s="27"/>
    </row>
    <row r="244" spans="1:10">
      <c r="A244" s="27"/>
      <c r="B244" s="27"/>
      <c r="C244" s="27"/>
      <c r="D244" s="27"/>
      <c r="E244" s="27"/>
      <c r="F244" s="27"/>
      <c r="G244" s="27"/>
      <c r="H244" s="27"/>
      <c r="I244" s="27"/>
      <c r="J244" s="27"/>
    </row>
    <row r="245" spans="1:10">
      <c r="A245" s="27"/>
      <c r="B245" s="27"/>
      <c r="C245" s="27"/>
      <c r="D245" s="27"/>
      <c r="E245" s="27"/>
      <c r="F245" s="27"/>
      <c r="G245" s="27"/>
      <c r="H245" s="27"/>
      <c r="I245" s="27"/>
      <c r="J245" s="27"/>
    </row>
    <row r="246" spans="1:10">
      <c r="A246" s="27"/>
      <c r="B246" s="27"/>
      <c r="C246" s="27"/>
      <c r="D246" s="27"/>
      <c r="E246" s="27"/>
      <c r="F246" s="27"/>
      <c r="G246" s="27"/>
      <c r="H246" s="27"/>
      <c r="I246" s="27"/>
      <c r="J246" s="27"/>
    </row>
    <row r="247" spans="1:10">
      <c r="A247" s="27"/>
      <c r="B247" s="27"/>
      <c r="C247" s="27"/>
      <c r="D247" s="27"/>
      <c r="E247" s="27"/>
      <c r="F247" s="27"/>
      <c r="G247" s="27"/>
      <c r="H247" s="27"/>
      <c r="I247" s="27"/>
      <c r="J247" s="27"/>
    </row>
    <row r="248" spans="1:10">
      <c r="A248" s="27"/>
      <c r="B248" s="27"/>
      <c r="C248" s="27"/>
      <c r="D248" s="27"/>
      <c r="E248" s="27"/>
      <c r="F248" s="27"/>
      <c r="G248" s="27"/>
      <c r="H248" s="27"/>
      <c r="I248" s="27"/>
      <c r="J248" s="27"/>
    </row>
    <row r="249" spans="1:10">
      <c r="A249" s="27"/>
      <c r="B249" s="27"/>
      <c r="C249" s="27"/>
      <c r="D249" s="27"/>
      <c r="E249" s="27"/>
      <c r="F249" s="27"/>
      <c r="G249" s="27"/>
      <c r="H249" s="27"/>
      <c r="I249" s="27"/>
      <c r="J249" s="27"/>
    </row>
    <row r="250" spans="1:10">
      <c r="A250" s="27"/>
      <c r="B250" s="27"/>
      <c r="C250" s="27"/>
      <c r="D250" s="27"/>
      <c r="E250" s="27"/>
      <c r="F250" s="27"/>
      <c r="G250" s="27"/>
      <c r="H250" s="27"/>
      <c r="I250" s="27"/>
      <c r="J250" s="27"/>
    </row>
    <row r="251" spans="1:10">
      <c r="A251" s="27"/>
      <c r="B251" s="27"/>
      <c r="C251" s="27"/>
      <c r="D251" s="27"/>
      <c r="E251" s="27"/>
      <c r="F251" s="27"/>
      <c r="G251" s="27"/>
      <c r="H251" s="27"/>
      <c r="I251" s="27"/>
      <c r="J251" s="27"/>
    </row>
    <row r="252" spans="1:10">
      <c r="A252" s="27"/>
      <c r="B252" s="27"/>
      <c r="C252" s="27"/>
      <c r="D252" s="27"/>
      <c r="E252" s="27"/>
      <c r="F252" s="27"/>
      <c r="G252" s="27"/>
      <c r="H252" s="27"/>
      <c r="I252" s="27"/>
      <c r="J252" s="27"/>
    </row>
    <row r="253" spans="1:10">
      <c r="A253" s="27"/>
      <c r="B253" s="27"/>
      <c r="C253" s="27"/>
      <c r="D253" s="27"/>
      <c r="E253" s="27"/>
      <c r="F253" s="27"/>
      <c r="G253" s="27"/>
      <c r="H253" s="27"/>
      <c r="I253" s="27"/>
      <c r="J253" s="27"/>
    </row>
    <row r="254" spans="1:10">
      <c r="A254" s="27"/>
      <c r="B254" s="27"/>
      <c r="C254" s="27"/>
      <c r="D254" s="27"/>
      <c r="E254" s="27"/>
      <c r="F254" s="27"/>
      <c r="G254" s="27"/>
      <c r="H254" s="27"/>
      <c r="I254" s="27"/>
      <c r="J254" s="27"/>
    </row>
    <row r="255" spans="1:10">
      <c r="A255" s="27"/>
      <c r="B255" s="27"/>
      <c r="C255" s="27"/>
      <c r="D255" s="27"/>
      <c r="E255" s="27"/>
      <c r="F255" s="27"/>
      <c r="G255" s="27"/>
      <c r="H255" s="27"/>
      <c r="I255" s="27"/>
      <c r="J255" s="27"/>
    </row>
    <row r="256" spans="1:10">
      <c r="A256" s="27"/>
      <c r="B256" s="27"/>
      <c r="C256" s="27"/>
      <c r="D256" s="27"/>
      <c r="E256" s="27"/>
      <c r="F256" s="27"/>
      <c r="G256" s="27"/>
      <c r="H256" s="27"/>
      <c r="I256" s="27"/>
      <c r="J256" s="27"/>
    </row>
    <row r="257" spans="1:10">
      <c r="A257" s="27"/>
      <c r="B257" s="27"/>
      <c r="C257" s="27"/>
      <c r="D257" s="27"/>
      <c r="E257" s="27"/>
      <c r="F257" s="27"/>
      <c r="G257" s="27"/>
      <c r="H257" s="27"/>
      <c r="I257" s="27"/>
      <c r="J257" s="27"/>
    </row>
    <row r="258" spans="1:10">
      <c r="A258" s="27"/>
      <c r="B258" s="27"/>
      <c r="C258" s="27"/>
      <c r="D258" s="27"/>
      <c r="E258" s="27"/>
      <c r="F258" s="27"/>
      <c r="G258" s="27"/>
      <c r="H258" s="27"/>
      <c r="I258" s="27"/>
      <c r="J258" s="27"/>
    </row>
    <row r="259" spans="1:10">
      <c r="A259" s="27"/>
      <c r="B259" s="27"/>
      <c r="C259" s="27"/>
      <c r="D259" s="27"/>
      <c r="E259" s="27"/>
      <c r="F259" s="27"/>
      <c r="G259" s="27"/>
      <c r="H259" s="27"/>
      <c r="I259" s="27"/>
      <c r="J259" s="27"/>
    </row>
    <row r="260" spans="1:10">
      <c r="A260" s="27"/>
      <c r="B260" s="27"/>
      <c r="C260" s="27"/>
      <c r="D260" s="27"/>
      <c r="E260" s="27"/>
      <c r="F260" s="27"/>
      <c r="G260" s="27"/>
      <c r="H260" s="27"/>
      <c r="I260" s="27"/>
      <c r="J260" s="27"/>
    </row>
    <row r="261" spans="1:10">
      <c r="A261" s="27"/>
      <c r="B261" s="27"/>
      <c r="C261" s="27"/>
      <c r="D261" s="27"/>
      <c r="E261" s="27"/>
      <c r="F261" s="27"/>
      <c r="G261" s="27"/>
      <c r="H261" s="27"/>
      <c r="I261" s="27"/>
      <c r="J261" s="27"/>
    </row>
    <row r="262" spans="1:10">
      <c r="A262" s="27"/>
      <c r="B262" s="27"/>
      <c r="C262" s="27"/>
      <c r="D262" s="27"/>
      <c r="E262" s="27"/>
      <c r="F262" s="27"/>
      <c r="G262" s="27"/>
      <c r="H262" s="27"/>
      <c r="I262" s="27"/>
      <c r="J262" s="27"/>
    </row>
    <row r="263" spans="1:10">
      <c r="A263" s="27"/>
      <c r="B263" s="27"/>
      <c r="C263" s="27"/>
      <c r="D263" s="27"/>
      <c r="E263" s="27"/>
      <c r="F263" s="27"/>
      <c r="G263" s="27"/>
      <c r="H263" s="27"/>
      <c r="I263" s="27"/>
      <c r="J263" s="27"/>
    </row>
    <row r="264" spans="1:10">
      <c r="A264" s="27"/>
      <c r="B264" s="27"/>
      <c r="C264" s="27"/>
      <c r="D264" s="27"/>
      <c r="E264" s="27"/>
      <c r="F264" s="27"/>
      <c r="G264" s="27"/>
      <c r="H264" s="27"/>
      <c r="I264" s="27"/>
      <c r="J264" s="27"/>
    </row>
    <row r="265" spans="1:10">
      <c r="A265" s="27"/>
      <c r="B265" s="27"/>
      <c r="C265" s="27"/>
      <c r="D265" s="27"/>
      <c r="E265" s="27"/>
      <c r="F265" s="27"/>
      <c r="G265" s="27"/>
      <c r="H265" s="27"/>
      <c r="I265" s="27"/>
      <c r="J265" s="27"/>
    </row>
    <row r="266" spans="1:10">
      <c r="A266" s="27"/>
      <c r="B266" s="27"/>
      <c r="C266" s="27"/>
      <c r="D266" s="27"/>
      <c r="E266" s="27"/>
      <c r="F266" s="27"/>
      <c r="G266" s="27"/>
      <c r="H266" s="27"/>
      <c r="I266" s="27"/>
      <c r="J266" s="27"/>
    </row>
    <row r="267" spans="1:10">
      <c r="A267" s="27"/>
      <c r="B267" s="27"/>
      <c r="C267" s="27"/>
      <c r="D267" s="27"/>
      <c r="E267" s="27"/>
      <c r="F267" s="27"/>
      <c r="G267" s="27"/>
      <c r="H267" s="27"/>
      <c r="I267" s="27"/>
      <c r="J267" s="27"/>
    </row>
    <row r="268" spans="1:10">
      <c r="A268" s="27"/>
      <c r="B268" s="27"/>
      <c r="C268" s="27"/>
      <c r="D268" s="27"/>
      <c r="E268" s="27"/>
      <c r="F268" s="27"/>
      <c r="G268" s="27"/>
      <c r="H268" s="27"/>
      <c r="I268" s="27"/>
      <c r="J268" s="27"/>
    </row>
    <row r="269" spans="1:10">
      <c r="A269" s="27"/>
      <c r="B269" s="27"/>
      <c r="C269" s="27"/>
      <c r="D269" s="27"/>
      <c r="E269" s="27"/>
      <c r="F269" s="27"/>
      <c r="G269" s="27"/>
      <c r="H269" s="27"/>
      <c r="I269" s="27"/>
      <c r="J269" s="27"/>
    </row>
    <row r="270" spans="1:10">
      <c r="A270" s="27"/>
      <c r="B270" s="27"/>
      <c r="C270" s="27"/>
      <c r="D270" s="27"/>
      <c r="E270" s="27"/>
      <c r="F270" s="27"/>
      <c r="G270" s="27"/>
      <c r="H270" s="27"/>
      <c r="I270" s="27"/>
      <c r="J270" s="27"/>
    </row>
    <row r="271" spans="1:10">
      <c r="A271" s="27"/>
      <c r="B271" s="27"/>
      <c r="C271" s="27"/>
      <c r="D271" s="27"/>
      <c r="E271" s="27"/>
      <c r="F271" s="27"/>
      <c r="G271" s="27"/>
      <c r="H271" s="27"/>
      <c r="I271" s="27"/>
      <c r="J271" s="27"/>
    </row>
    <row r="272" spans="1:10">
      <c r="A272" s="27"/>
      <c r="B272" s="27"/>
      <c r="C272" s="27"/>
      <c r="D272" s="27"/>
      <c r="E272" s="27"/>
      <c r="F272" s="27"/>
      <c r="G272" s="27"/>
      <c r="H272" s="27"/>
      <c r="I272" s="27"/>
      <c r="J272" s="27"/>
    </row>
    <row r="273" spans="1:10">
      <c r="A273" s="27"/>
      <c r="B273" s="27"/>
      <c r="C273" s="27"/>
      <c r="D273" s="27"/>
      <c r="E273" s="27"/>
      <c r="F273" s="27"/>
      <c r="G273" s="27"/>
      <c r="H273" s="27"/>
      <c r="I273" s="27"/>
      <c r="J273" s="27"/>
    </row>
    <row r="274" spans="1:10">
      <c r="A274" s="27"/>
      <c r="B274" s="27"/>
      <c r="C274" s="27"/>
      <c r="D274" s="27"/>
      <c r="E274" s="27"/>
      <c r="F274" s="27"/>
      <c r="G274" s="27"/>
      <c r="H274" s="27"/>
      <c r="I274" s="27"/>
      <c r="J274" s="27"/>
    </row>
    <row r="275" spans="1:10">
      <c r="A275" s="27"/>
      <c r="B275" s="27"/>
      <c r="C275" s="27"/>
      <c r="D275" s="27"/>
      <c r="E275" s="27"/>
      <c r="F275" s="27"/>
      <c r="G275" s="27"/>
      <c r="H275" s="27"/>
      <c r="I275" s="27"/>
      <c r="J275" s="27"/>
    </row>
    <row r="276" spans="1:10">
      <c r="A276" s="27"/>
      <c r="B276" s="27"/>
      <c r="C276" s="27"/>
      <c r="D276" s="27"/>
      <c r="E276" s="27"/>
      <c r="F276" s="27"/>
      <c r="G276" s="27"/>
      <c r="H276" s="27"/>
      <c r="I276" s="27"/>
      <c r="J276" s="27"/>
    </row>
    <row r="277" spans="1:10">
      <c r="A277" s="27"/>
      <c r="B277" s="27"/>
      <c r="C277" s="27"/>
      <c r="D277" s="27"/>
      <c r="E277" s="27"/>
      <c r="F277" s="27"/>
      <c r="G277" s="27"/>
      <c r="H277" s="27"/>
      <c r="I277" s="27"/>
      <c r="J277" s="27"/>
    </row>
    <row r="278" spans="1:10">
      <c r="A278" s="27"/>
      <c r="B278" s="27"/>
      <c r="C278" s="27"/>
      <c r="D278" s="27"/>
      <c r="E278" s="27"/>
      <c r="F278" s="27"/>
      <c r="G278" s="27"/>
      <c r="H278" s="27"/>
      <c r="I278" s="27"/>
      <c r="J278" s="27"/>
    </row>
    <row r="279" spans="1:10">
      <c r="A279" s="27"/>
      <c r="B279" s="27"/>
      <c r="C279" s="27"/>
      <c r="D279" s="27"/>
      <c r="E279" s="27"/>
      <c r="F279" s="27"/>
      <c r="G279" s="27"/>
      <c r="H279" s="27"/>
      <c r="I279" s="27"/>
      <c r="J279" s="27"/>
    </row>
    <row r="280" spans="1:10">
      <c r="A280" s="27"/>
      <c r="B280" s="27"/>
      <c r="C280" s="27"/>
      <c r="D280" s="27"/>
      <c r="E280" s="27"/>
      <c r="F280" s="27"/>
      <c r="G280" s="27"/>
      <c r="H280" s="27"/>
      <c r="I280" s="27"/>
      <c r="J280" s="27"/>
    </row>
    <row r="281" spans="1:10">
      <c r="A281" s="27"/>
      <c r="B281" s="27"/>
      <c r="C281" s="27"/>
      <c r="D281" s="27"/>
      <c r="E281" s="27"/>
      <c r="F281" s="27"/>
      <c r="G281" s="27"/>
      <c r="H281" s="27"/>
      <c r="I281" s="27"/>
      <c r="J281" s="27"/>
    </row>
    <row r="282" spans="1:10">
      <c r="A282" s="27"/>
      <c r="B282" s="27"/>
      <c r="C282" s="27"/>
      <c r="D282" s="27"/>
      <c r="E282" s="27"/>
      <c r="F282" s="27"/>
      <c r="G282" s="27"/>
      <c r="H282" s="27"/>
      <c r="I282" s="27"/>
      <c r="J282" s="27"/>
    </row>
    <row r="283" spans="1:10">
      <c r="A283" s="27"/>
      <c r="B283" s="27"/>
      <c r="C283" s="27"/>
      <c r="D283" s="27"/>
      <c r="E283" s="27"/>
      <c r="F283" s="27"/>
      <c r="G283" s="27"/>
      <c r="H283" s="27"/>
      <c r="I283" s="27"/>
      <c r="J283" s="27"/>
    </row>
    <row r="284" spans="1:10">
      <c r="A284" s="27"/>
      <c r="B284" s="27"/>
      <c r="C284" s="27"/>
      <c r="D284" s="27"/>
      <c r="E284" s="27"/>
      <c r="F284" s="27"/>
      <c r="G284" s="27"/>
      <c r="H284" s="27"/>
      <c r="I284" s="27"/>
      <c r="J284" s="27"/>
    </row>
    <row r="285" spans="1:10">
      <c r="A285" s="27"/>
      <c r="B285" s="27"/>
      <c r="C285" s="27"/>
      <c r="D285" s="27"/>
      <c r="E285" s="27"/>
      <c r="F285" s="27"/>
      <c r="G285" s="27"/>
      <c r="H285" s="27"/>
      <c r="I285" s="27"/>
      <c r="J285" s="27"/>
    </row>
    <row r="286" spans="1:10">
      <c r="A286" s="27"/>
      <c r="B286" s="27"/>
      <c r="C286" s="27"/>
      <c r="D286" s="27"/>
      <c r="E286" s="27"/>
      <c r="F286" s="27"/>
      <c r="G286" s="27"/>
      <c r="H286" s="27"/>
      <c r="I286" s="27"/>
      <c r="J286" s="27"/>
    </row>
    <row r="287" spans="1:10">
      <c r="A287" s="27"/>
      <c r="B287" s="27"/>
      <c r="C287" s="27"/>
      <c r="D287" s="27"/>
      <c r="E287" s="27"/>
      <c r="F287" s="27"/>
      <c r="G287" s="27"/>
      <c r="H287" s="27"/>
      <c r="I287" s="27"/>
      <c r="J287" s="27"/>
    </row>
    <row r="288" spans="1:10">
      <c r="A288" s="27"/>
      <c r="B288" s="27"/>
      <c r="C288" s="27"/>
      <c r="D288" s="27"/>
      <c r="E288" s="27"/>
      <c r="F288" s="27"/>
      <c r="G288" s="27"/>
      <c r="H288" s="27"/>
      <c r="I288" s="27"/>
      <c r="J288" s="27"/>
    </row>
    <row r="289" spans="1:10">
      <c r="A289" s="27"/>
      <c r="B289" s="27"/>
      <c r="C289" s="27"/>
      <c r="D289" s="27"/>
      <c r="E289" s="27"/>
      <c r="F289" s="27"/>
      <c r="G289" s="27"/>
      <c r="H289" s="27"/>
      <c r="I289" s="27"/>
      <c r="J289" s="27"/>
    </row>
    <row r="290" spans="1:10">
      <c r="A290" s="27"/>
      <c r="B290" s="27"/>
      <c r="C290" s="27"/>
      <c r="D290" s="27"/>
      <c r="E290" s="27"/>
      <c r="F290" s="27"/>
      <c r="G290" s="27"/>
      <c r="H290" s="27"/>
      <c r="I290" s="27"/>
      <c r="J290" s="27"/>
    </row>
    <row r="291" spans="1:10">
      <c r="A291" s="27"/>
      <c r="B291" s="27"/>
      <c r="C291" s="27"/>
      <c r="D291" s="27"/>
      <c r="E291" s="27"/>
      <c r="F291" s="27"/>
      <c r="G291" s="27"/>
      <c r="H291" s="27"/>
      <c r="I291" s="27"/>
      <c r="J291" s="27"/>
    </row>
    <row r="292" spans="1:10">
      <c r="A292" s="27"/>
      <c r="B292" s="27"/>
      <c r="C292" s="27"/>
      <c r="D292" s="27"/>
      <c r="E292" s="27"/>
      <c r="F292" s="27"/>
      <c r="G292" s="27"/>
      <c r="H292" s="27"/>
      <c r="I292" s="27"/>
      <c r="J292" s="27"/>
    </row>
    <row r="293" spans="1:10">
      <c r="A293" s="27"/>
      <c r="B293" s="27"/>
      <c r="C293" s="27"/>
      <c r="D293" s="27"/>
      <c r="E293" s="27"/>
      <c r="F293" s="27"/>
      <c r="G293" s="27"/>
      <c r="H293" s="27"/>
      <c r="I293" s="27"/>
      <c r="J293" s="27"/>
    </row>
    <row r="294" spans="1:10">
      <c r="A294" s="27"/>
      <c r="B294" s="27"/>
      <c r="C294" s="27"/>
      <c r="D294" s="27"/>
      <c r="E294" s="27"/>
      <c r="F294" s="27"/>
      <c r="G294" s="27"/>
      <c r="H294" s="27"/>
      <c r="I294" s="27"/>
      <c r="J294" s="27"/>
    </row>
    <row r="295" spans="1:10">
      <c r="A295" s="27"/>
      <c r="B295" s="27"/>
      <c r="C295" s="27"/>
      <c r="D295" s="27"/>
      <c r="E295" s="27"/>
      <c r="F295" s="27"/>
      <c r="G295" s="27"/>
      <c r="H295" s="27"/>
      <c r="I295" s="27"/>
      <c r="J295" s="27"/>
    </row>
    <row r="296" spans="1:10">
      <c r="A296" s="27"/>
      <c r="B296" s="27"/>
      <c r="C296" s="27"/>
      <c r="D296" s="27"/>
      <c r="E296" s="27"/>
      <c r="F296" s="27"/>
      <c r="G296" s="27"/>
      <c r="H296" s="27"/>
      <c r="I296" s="27"/>
      <c r="J296" s="27"/>
    </row>
    <row r="297" spans="1:10">
      <c r="A297" s="27"/>
      <c r="B297" s="27"/>
      <c r="C297" s="27"/>
      <c r="D297" s="27"/>
      <c r="E297" s="27"/>
      <c r="F297" s="27"/>
      <c r="G297" s="27"/>
      <c r="H297" s="27"/>
      <c r="I297" s="27"/>
      <c r="J297" s="27"/>
    </row>
    <row r="298" spans="1:10">
      <c r="A298" s="27"/>
      <c r="B298" s="27"/>
      <c r="C298" s="27"/>
      <c r="D298" s="27"/>
      <c r="E298" s="27"/>
      <c r="F298" s="27"/>
      <c r="G298" s="27"/>
      <c r="H298" s="27"/>
      <c r="I298" s="27"/>
      <c r="J298" s="27"/>
    </row>
    <row r="299" spans="1:10">
      <c r="A299" s="27"/>
      <c r="B299" s="27"/>
      <c r="C299" s="27"/>
      <c r="D299" s="27"/>
      <c r="E299" s="27"/>
      <c r="F299" s="27"/>
      <c r="G299" s="27"/>
      <c r="H299" s="27"/>
      <c r="I299" s="27"/>
      <c r="J299" s="27"/>
    </row>
    <row r="300" spans="1:10">
      <c r="A300" s="27"/>
      <c r="B300" s="27"/>
      <c r="C300" s="27"/>
      <c r="D300" s="27"/>
      <c r="E300" s="27"/>
      <c r="F300" s="27"/>
      <c r="G300" s="27"/>
      <c r="H300" s="27"/>
      <c r="I300" s="27"/>
      <c r="J300" s="27"/>
    </row>
    <row r="301" spans="1:10">
      <c r="A301" s="27"/>
      <c r="B301" s="27"/>
      <c r="C301" s="27"/>
      <c r="D301" s="27"/>
      <c r="E301" s="27"/>
      <c r="F301" s="27"/>
      <c r="G301" s="27"/>
      <c r="H301" s="27"/>
      <c r="I301" s="27"/>
      <c r="J301" s="27"/>
    </row>
    <row r="302" spans="1:10">
      <c r="A302" s="27"/>
      <c r="B302" s="27"/>
      <c r="C302" s="27"/>
      <c r="D302" s="27"/>
      <c r="E302" s="27"/>
      <c r="F302" s="27"/>
      <c r="G302" s="27"/>
      <c r="H302" s="27"/>
      <c r="I302" s="27"/>
      <c r="J302" s="27"/>
    </row>
    <row r="303" spans="1:10">
      <c r="A303" s="27"/>
      <c r="B303" s="27"/>
      <c r="C303" s="27"/>
      <c r="D303" s="27"/>
      <c r="E303" s="27"/>
      <c r="F303" s="27"/>
      <c r="G303" s="27"/>
      <c r="H303" s="27"/>
      <c r="I303" s="27"/>
      <c r="J303" s="27"/>
    </row>
    <row r="304" spans="1:10">
      <c r="A304" s="27"/>
      <c r="B304" s="27"/>
      <c r="C304" s="27"/>
      <c r="D304" s="27"/>
      <c r="E304" s="27"/>
      <c r="F304" s="27"/>
      <c r="G304" s="27"/>
      <c r="H304" s="27"/>
      <c r="I304" s="27"/>
      <c r="J304" s="27"/>
    </row>
    <row r="305" spans="1:10">
      <c r="A305" s="27"/>
      <c r="B305" s="27"/>
      <c r="C305" s="27"/>
      <c r="D305" s="27"/>
      <c r="E305" s="27"/>
      <c r="F305" s="27"/>
      <c r="G305" s="27"/>
      <c r="H305" s="27"/>
      <c r="I305" s="27"/>
      <c r="J305" s="27"/>
    </row>
    <row r="306" spans="1:10">
      <c r="A306" s="27"/>
      <c r="B306" s="27"/>
      <c r="C306" s="27"/>
      <c r="D306" s="27"/>
      <c r="E306" s="27"/>
      <c r="F306" s="27"/>
      <c r="G306" s="27"/>
      <c r="H306" s="27"/>
      <c r="I306" s="27"/>
      <c r="J306" s="27"/>
    </row>
    <row r="307" spans="1:10">
      <c r="A307" s="27"/>
      <c r="B307" s="27"/>
      <c r="C307" s="27"/>
      <c r="D307" s="27"/>
      <c r="E307" s="27"/>
      <c r="F307" s="27"/>
      <c r="G307" s="27"/>
      <c r="H307" s="27"/>
      <c r="I307" s="27"/>
      <c r="J307" s="27"/>
    </row>
    <row r="308" spans="1:10">
      <c r="A308" s="27"/>
      <c r="B308" s="27"/>
      <c r="C308" s="27"/>
      <c r="D308" s="27"/>
      <c r="E308" s="27"/>
      <c r="F308" s="27"/>
      <c r="G308" s="27"/>
      <c r="H308" s="27"/>
      <c r="I308" s="27"/>
      <c r="J308" s="27"/>
    </row>
    <row r="309" spans="1:10">
      <c r="A309" s="27"/>
      <c r="B309" s="27"/>
      <c r="C309" s="27"/>
      <c r="D309" s="27"/>
      <c r="E309" s="27"/>
      <c r="F309" s="27"/>
      <c r="G309" s="27"/>
      <c r="H309" s="27"/>
      <c r="I309" s="27"/>
      <c r="J309" s="27"/>
    </row>
    <row r="310" spans="1:10">
      <c r="A310" s="27"/>
      <c r="B310" s="27"/>
      <c r="C310" s="27"/>
      <c r="D310" s="27"/>
      <c r="E310" s="27"/>
      <c r="F310" s="27"/>
      <c r="G310" s="27"/>
      <c r="H310" s="27"/>
      <c r="I310" s="27"/>
      <c r="J310" s="27"/>
    </row>
    <row r="311" spans="1:10">
      <c r="A311" s="27"/>
      <c r="B311" s="27"/>
      <c r="C311" s="27"/>
      <c r="D311" s="27"/>
      <c r="E311" s="27"/>
      <c r="F311" s="27"/>
      <c r="G311" s="27"/>
      <c r="H311" s="27"/>
      <c r="I311" s="27"/>
      <c r="J311" s="27"/>
    </row>
    <row r="312" spans="1:10">
      <c r="A312" s="27"/>
      <c r="B312" s="27"/>
      <c r="C312" s="27"/>
      <c r="D312" s="27"/>
      <c r="E312" s="27"/>
      <c r="F312" s="27"/>
      <c r="G312" s="27"/>
      <c r="H312" s="27"/>
      <c r="I312" s="27"/>
      <c r="J312" s="27"/>
    </row>
    <row r="313" spans="1:10">
      <c r="A313" s="27"/>
      <c r="B313" s="27"/>
      <c r="C313" s="27"/>
      <c r="D313" s="27"/>
      <c r="E313" s="27"/>
      <c r="F313" s="27"/>
      <c r="G313" s="27"/>
      <c r="H313" s="27"/>
      <c r="I313" s="27"/>
      <c r="J313" s="27"/>
    </row>
    <row r="314" spans="1:10">
      <c r="A314" s="27"/>
      <c r="B314" s="27"/>
      <c r="C314" s="27"/>
      <c r="D314" s="27"/>
      <c r="E314" s="27"/>
      <c r="F314" s="27"/>
      <c r="G314" s="27"/>
      <c r="H314" s="27"/>
      <c r="I314" s="27"/>
      <c r="J314" s="27"/>
    </row>
    <row r="315" spans="1:10">
      <c r="A315" s="27"/>
      <c r="B315" s="27"/>
      <c r="C315" s="27"/>
      <c r="D315" s="27"/>
      <c r="E315" s="27"/>
      <c r="F315" s="27"/>
      <c r="G315" s="27"/>
      <c r="H315" s="27"/>
      <c r="I315" s="27"/>
      <c r="J315" s="27"/>
    </row>
    <row r="316" spans="1:10">
      <c r="A316" s="27"/>
      <c r="B316" s="27"/>
      <c r="C316" s="27"/>
      <c r="D316" s="27"/>
      <c r="E316" s="27"/>
      <c r="F316" s="27"/>
      <c r="G316" s="27"/>
      <c r="H316" s="27"/>
      <c r="I316" s="27"/>
      <c r="J316" s="27"/>
    </row>
    <row r="317" spans="1:10">
      <c r="A317" s="27"/>
      <c r="B317" s="27"/>
      <c r="C317" s="27"/>
      <c r="D317" s="27"/>
      <c r="E317" s="27"/>
      <c r="F317" s="27"/>
      <c r="G317" s="27"/>
      <c r="H317" s="27"/>
      <c r="I317" s="27"/>
      <c r="J317" s="27"/>
    </row>
    <row r="318" spans="1:10">
      <c r="A318" s="27"/>
      <c r="B318" s="27"/>
      <c r="C318" s="27"/>
      <c r="D318" s="27"/>
      <c r="E318" s="27"/>
      <c r="F318" s="27"/>
      <c r="G318" s="27"/>
      <c r="H318" s="27"/>
      <c r="I318" s="27"/>
      <c r="J318" s="27"/>
    </row>
    <row r="319" spans="1:10">
      <c r="A319" s="27"/>
      <c r="B319" s="27"/>
      <c r="C319" s="27"/>
      <c r="D319" s="27"/>
      <c r="E319" s="27"/>
      <c r="F319" s="27"/>
      <c r="G319" s="27"/>
      <c r="H319" s="27"/>
      <c r="I319" s="27"/>
      <c r="J319" s="27"/>
    </row>
    <row r="320" spans="1:10">
      <c r="A320" s="27"/>
      <c r="B320" s="27"/>
      <c r="C320" s="27"/>
      <c r="D320" s="27"/>
      <c r="E320" s="27"/>
      <c r="F320" s="27"/>
      <c r="G320" s="27"/>
      <c r="H320" s="27"/>
      <c r="I320" s="27"/>
      <c r="J320" s="27"/>
    </row>
    <row r="321" spans="1:10">
      <c r="A321" s="27"/>
      <c r="B321" s="27"/>
      <c r="C321" s="27"/>
      <c r="D321" s="27"/>
      <c r="E321" s="27"/>
      <c r="F321" s="27"/>
      <c r="G321" s="27"/>
      <c r="H321" s="27"/>
      <c r="I321" s="27"/>
      <c r="J321" s="27"/>
    </row>
    <row r="322" spans="1:10">
      <c r="A322" s="27"/>
      <c r="B322" s="27"/>
      <c r="C322" s="27"/>
      <c r="D322" s="27"/>
      <c r="E322" s="27"/>
      <c r="F322" s="27"/>
      <c r="G322" s="27"/>
      <c r="H322" s="27"/>
      <c r="I322" s="27"/>
      <c r="J322" s="27"/>
    </row>
    <row r="323" spans="1:10">
      <c r="A323" s="27"/>
      <c r="B323" s="27"/>
      <c r="C323" s="27"/>
      <c r="D323" s="27"/>
      <c r="E323" s="27"/>
      <c r="F323" s="27"/>
      <c r="G323" s="27"/>
      <c r="H323" s="27"/>
      <c r="I323" s="27"/>
      <c r="J323" s="27"/>
    </row>
    <row r="324" spans="1:10">
      <c r="A324" s="27"/>
      <c r="B324" s="27"/>
      <c r="C324" s="27"/>
      <c r="D324" s="27"/>
      <c r="E324" s="27"/>
      <c r="F324" s="27"/>
      <c r="G324" s="27"/>
      <c r="H324" s="27"/>
      <c r="I324" s="27"/>
      <c r="J324" s="27"/>
    </row>
    <row r="325" spans="1:10">
      <c r="A325" s="27"/>
      <c r="B325" s="27"/>
      <c r="C325" s="27"/>
      <c r="D325" s="27"/>
      <c r="E325" s="27"/>
      <c r="F325" s="27"/>
      <c r="G325" s="27"/>
      <c r="H325" s="27"/>
      <c r="I325" s="27"/>
      <c r="J325" s="27"/>
    </row>
    <row r="326" spans="1:10">
      <c r="A326" s="27"/>
      <c r="B326" s="27"/>
      <c r="C326" s="27"/>
      <c r="D326" s="27"/>
      <c r="E326" s="27"/>
      <c r="F326" s="27"/>
      <c r="G326" s="27"/>
      <c r="H326" s="27"/>
      <c r="I326" s="27"/>
      <c r="J326" s="27"/>
    </row>
    <row r="327" spans="1:10">
      <c r="A327" s="27"/>
      <c r="B327" s="27"/>
      <c r="C327" s="27"/>
      <c r="D327" s="27"/>
      <c r="E327" s="27"/>
      <c r="F327" s="27"/>
      <c r="G327" s="27"/>
      <c r="H327" s="27"/>
      <c r="I327" s="27"/>
      <c r="J327" s="27"/>
    </row>
    <row r="328" spans="1:10">
      <c r="A328" s="27"/>
      <c r="B328" s="27"/>
      <c r="C328" s="27"/>
      <c r="D328" s="27"/>
      <c r="E328" s="27"/>
      <c r="F328" s="27"/>
      <c r="G328" s="27"/>
      <c r="H328" s="27"/>
      <c r="I328" s="27"/>
      <c r="J328" s="27"/>
    </row>
    <row r="329" spans="1:10">
      <c r="A329" s="27"/>
      <c r="B329" s="27"/>
      <c r="C329" s="27"/>
      <c r="D329" s="27"/>
      <c r="E329" s="27"/>
      <c r="F329" s="27"/>
      <c r="G329" s="27"/>
      <c r="H329" s="27"/>
      <c r="I329" s="27"/>
      <c r="J329" s="27"/>
    </row>
    <row r="330" spans="1:10">
      <c r="A330" s="27"/>
      <c r="B330" s="27"/>
      <c r="C330" s="27"/>
      <c r="D330" s="27"/>
      <c r="E330" s="27"/>
      <c r="F330" s="27"/>
      <c r="G330" s="27"/>
      <c r="H330" s="27"/>
      <c r="I330" s="27"/>
      <c r="J330" s="27"/>
    </row>
    <row r="331" spans="1:10">
      <c r="A331" s="27"/>
      <c r="B331" s="27"/>
      <c r="C331" s="27"/>
      <c r="D331" s="27"/>
      <c r="E331" s="27"/>
      <c r="F331" s="27"/>
      <c r="G331" s="27"/>
      <c r="H331" s="27"/>
      <c r="I331" s="27"/>
      <c r="J331" s="27"/>
    </row>
    <row r="332" spans="1:10">
      <c r="A332" s="27"/>
      <c r="B332" s="27"/>
      <c r="C332" s="27"/>
      <c r="D332" s="27"/>
      <c r="E332" s="27"/>
      <c r="F332" s="27"/>
      <c r="G332" s="27"/>
      <c r="H332" s="27"/>
      <c r="I332" s="27"/>
      <c r="J332" s="27"/>
    </row>
    <row r="333" spans="1:10">
      <c r="A333" s="27"/>
      <c r="B333" s="27"/>
      <c r="C333" s="27"/>
      <c r="D333" s="27"/>
      <c r="E333" s="27"/>
      <c r="F333" s="27"/>
      <c r="G333" s="27"/>
      <c r="H333" s="27"/>
      <c r="I333" s="27"/>
      <c r="J333" s="27"/>
    </row>
    <row r="334" spans="1:10">
      <c r="A334" s="27"/>
      <c r="B334" s="27"/>
      <c r="C334" s="27"/>
      <c r="D334" s="27"/>
      <c r="E334" s="27"/>
      <c r="F334" s="27"/>
      <c r="G334" s="27"/>
      <c r="H334" s="27"/>
      <c r="I334" s="27"/>
      <c r="J334" s="27"/>
    </row>
    <row r="335" spans="1:10">
      <c r="A335" s="27"/>
      <c r="B335" s="27"/>
      <c r="C335" s="27"/>
      <c r="D335" s="27"/>
      <c r="E335" s="27"/>
      <c r="F335" s="27"/>
      <c r="G335" s="27"/>
      <c r="H335" s="27"/>
      <c r="I335" s="27"/>
      <c r="J335" s="27"/>
    </row>
    <row r="336" spans="1:10">
      <c r="A336" s="27"/>
      <c r="B336" s="27"/>
      <c r="C336" s="27"/>
      <c r="D336" s="27"/>
      <c r="E336" s="27"/>
      <c r="F336" s="27"/>
      <c r="G336" s="27"/>
      <c r="H336" s="27"/>
      <c r="I336" s="27"/>
      <c r="J336" s="27"/>
    </row>
    <row r="337" spans="1:10">
      <c r="A337" s="27"/>
      <c r="B337" s="27"/>
      <c r="C337" s="27"/>
      <c r="D337" s="27"/>
      <c r="E337" s="27"/>
      <c r="F337" s="27"/>
      <c r="G337" s="27"/>
      <c r="H337" s="27"/>
      <c r="I337" s="27"/>
      <c r="J337" s="27"/>
    </row>
    <row r="338" spans="1:10">
      <c r="A338" s="27"/>
      <c r="B338" s="27"/>
      <c r="C338" s="27"/>
      <c r="D338" s="27"/>
      <c r="E338" s="27"/>
      <c r="F338" s="27"/>
      <c r="G338" s="27"/>
      <c r="H338" s="27"/>
      <c r="I338" s="27"/>
      <c r="J338" s="27"/>
    </row>
    <row r="339" spans="1:10">
      <c r="A339" s="27"/>
      <c r="B339" s="27"/>
      <c r="C339" s="27"/>
      <c r="D339" s="27"/>
      <c r="E339" s="27"/>
      <c r="F339" s="27"/>
      <c r="G339" s="27"/>
      <c r="H339" s="27"/>
      <c r="I339" s="27"/>
      <c r="J339" s="27"/>
    </row>
    <row r="340" spans="1:10">
      <c r="A340" s="27"/>
      <c r="B340" s="27"/>
      <c r="C340" s="27"/>
      <c r="D340" s="27"/>
      <c r="E340" s="27"/>
      <c r="F340" s="27"/>
      <c r="G340" s="27"/>
      <c r="H340" s="27"/>
      <c r="I340" s="27"/>
      <c r="J340" s="27"/>
    </row>
    <row r="341" spans="1:10">
      <c r="A341" s="27"/>
      <c r="B341" s="27"/>
      <c r="C341" s="27"/>
      <c r="D341" s="27"/>
      <c r="E341" s="27"/>
      <c r="F341" s="27"/>
      <c r="G341" s="27"/>
      <c r="H341" s="27"/>
      <c r="I341" s="27"/>
      <c r="J341" s="27"/>
    </row>
    <row r="342" spans="1:10">
      <c r="A342" s="27"/>
      <c r="B342" s="27"/>
      <c r="C342" s="27"/>
      <c r="D342" s="27"/>
      <c r="E342" s="27"/>
      <c r="F342" s="27"/>
      <c r="G342" s="27"/>
      <c r="H342" s="27"/>
      <c r="I342" s="27"/>
      <c r="J342" s="27"/>
    </row>
    <row r="343" spans="1:10">
      <c r="A343" s="27"/>
      <c r="B343" s="27"/>
      <c r="C343" s="27"/>
      <c r="D343" s="27"/>
      <c r="E343" s="27"/>
      <c r="F343" s="27"/>
      <c r="G343" s="27"/>
      <c r="H343" s="27"/>
      <c r="I343" s="27"/>
      <c r="J343" s="27"/>
    </row>
    <row r="344" spans="1:10">
      <c r="A344" s="27"/>
      <c r="B344" s="27"/>
      <c r="C344" s="27"/>
      <c r="D344" s="27"/>
      <c r="E344" s="27"/>
      <c r="F344" s="27"/>
      <c r="G344" s="27"/>
      <c r="H344" s="27"/>
      <c r="I344" s="27"/>
      <c r="J344" s="27"/>
    </row>
    <row r="345" spans="1:10">
      <c r="A345" s="27"/>
      <c r="B345" s="27"/>
      <c r="C345" s="27"/>
      <c r="D345" s="27"/>
      <c r="E345" s="27"/>
      <c r="F345" s="27"/>
      <c r="G345" s="27"/>
      <c r="H345" s="27"/>
      <c r="I345" s="27"/>
      <c r="J345" s="27"/>
    </row>
    <row r="346" spans="1:10">
      <c r="A346" s="27"/>
      <c r="B346" s="27"/>
      <c r="C346" s="27"/>
      <c r="D346" s="27"/>
      <c r="E346" s="27"/>
      <c r="F346" s="27"/>
      <c r="G346" s="27"/>
      <c r="H346" s="27"/>
      <c r="I346" s="27"/>
      <c r="J346" s="27"/>
    </row>
    <row r="347" spans="1:10">
      <c r="A347" s="27"/>
      <c r="B347" s="27"/>
      <c r="C347" s="27"/>
      <c r="D347" s="27"/>
      <c r="E347" s="27"/>
      <c r="F347" s="27"/>
      <c r="G347" s="27"/>
      <c r="H347" s="27"/>
      <c r="I347" s="27"/>
      <c r="J347" s="27"/>
    </row>
    <row r="348" spans="1:10">
      <c r="A348" s="27"/>
      <c r="B348" s="27"/>
      <c r="C348" s="27"/>
      <c r="D348" s="27"/>
      <c r="E348" s="27"/>
      <c r="F348" s="27"/>
      <c r="G348" s="27"/>
      <c r="H348" s="27"/>
      <c r="I348" s="27"/>
      <c r="J348" s="27"/>
    </row>
    <row r="349" spans="1:10">
      <c r="A349" s="27"/>
      <c r="B349" s="27"/>
      <c r="C349" s="27"/>
      <c r="D349" s="27"/>
      <c r="E349" s="27"/>
      <c r="F349" s="27"/>
      <c r="G349" s="27"/>
      <c r="H349" s="27"/>
      <c r="I349" s="27"/>
      <c r="J349" s="27"/>
    </row>
    <row r="350" spans="1:10">
      <c r="A350" s="27"/>
      <c r="B350" s="27"/>
      <c r="C350" s="27"/>
      <c r="D350" s="27"/>
      <c r="E350" s="27"/>
      <c r="F350" s="27"/>
      <c r="G350" s="27"/>
      <c r="H350" s="27"/>
      <c r="I350" s="27"/>
      <c r="J350" s="27"/>
    </row>
    <row r="351" spans="1:10">
      <c r="A351" s="27"/>
      <c r="B351" s="27"/>
      <c r="C351" s="27"/>
      <c r="D351" s="27"/>
      <c r="E351" s="27"/>
      <c r="F351" s="27"/>
      <c r="G351" s="27"/>
      <c r="H351" s="27"/>
      <c r="I351" s="27"/>
      <c r="J351" s="27"/>
    </row>
    <row r="352" spans="1:10">
      <c r="A352" s="27"/>
      <c r="B352" s="27"/>
      <c r="C352" s="27"/>
      <c r="D352" s="27"/>
      <c r="E352" s="27"/>
      <c r="F352" s="27"/>
      <c r="G352" s="27"/>
      <c r="H352" s="27"/>
      <c r="I352" s="27"/>
      <c r="J352" s="27"/>
    </row>
    <row r="353" spans="1:10">
      <c r="A353" s="27"/>
      <c r="B353" s="27"/>
      <c r="C353" s="27"/>
      <c r="D353" s="27"/>
      <c r="E353" s="27"/>
      <c r="F353" s="27"/>
      <c r="G353" s="27"/>
      <c r="H353" s="27"/>
      <c r="I353" s="27"/>
      <c r="J353" s="27"/>
    </row>
    <row r="354" spans="1:10">
      <c r="A354" s="27"/>
      <c r="B354" s="27"/>
      <c r="C354" s="27"/>
      <c r="D354" s="27"/>
      <c r="E354" s="27"/>
      <c r="F354" s="27"/>
      <c r="G354" s="27"/>
      <c r="H354" s="27"/>
      <c r="I354" s="27"/>
      <c r="J354" s="27"/>
    </row>
    <row r="355" spans="1:10">
      <c r="A355" s="27"/>
      <c r="B355" s="27"/>
      <c r="C355" s="27"/>
      <c r="D355" s="27"/>
      <c r="E355" s="27"/>
      <c r="F355" s="27"/>
      <c r="G355" s="27"/>
      <c r="H355" s="27"/>
      <c r="I355" s="27"/>
      <c r="J355" s="27"/>
    </row>
    <row r="356" spans="1:10">
      <c r="A356" s="27"/>
      <c r="B356" s="27"/>
      <c r="C356" s="27"/>
      <c r="D356" s="27"/>
      <c r="E356" s="27"/>
      <c r="F356" s="27"/>
      <c r="G356" s="27"/>
      <c r="H356" s="27"/>
      <c r="I356" s="27"/>
      <c r="J356" s="27"/>
    </row>
    <row r="357" spans="1:10">
      <c r="A357" s="27"/>
      <c r="B357" s="27"/>
      <c r="C357" s="27"/>
      <c r="D357" s="27"/>
      <c r="E357" s="27"/>
      <c r="F357" s="27"/>
      <c r="G357" s="27"/>
      <c r="H357" s="27"/>
      <c r="I357" s="27"/>
      <c r="J357" s="27"/>
    </row>
    <row r="358" spans="1:10">
      <c r="A358" s="27"/>
      <c r="B358" s="27"/>
      <c r="C358" s="27"/>
      <c r="D358" s="27"/>
      <c r="E358" s="27"/>
      <c r="F358" s="27"/>
      <c r="G358" s="27"/>
      <c r="H358" s="27"/>
      <c r="I358" s="27"/>
      <c r="J358" s="27"/>
    </row>
    <row r="359" spans="1:10">
      <c r="A359" s="27"/>
      <c r="B359" s="27"/>
      <c r="C359" s="27"/>
      <c r="D359" s="27"/>
      <c r="E359" s="27"/>
      <c r="F359" s="27"/>
      <c r="G359" s="27"/>
      <c r="H359" s="27"/>
      <c r="I359" s="27"/>
      <c r="J359" s="27"/>
    </row>
    <row r="360" spans="1:10">
      <c r="A360" s="27"/>
      <c r="B360" s="27"/>
      <c r="C360" s="27"/>
      <c r="D360" s="27"/>
      <c r="E360" s="27"/>
      <c r="F360" s="27"/>
      <c r="G360" s="27"/>
      <c r="H360" s="27"/>
      <c r="I360" s="27"/>
      <c r="J360" s="27"/>
    </row>
    <row r="361" spans="1:10">
      <c r="A361" s="27"/>
      <c r="B361" s="27"/>
      <c r="C361" s="27"/>
      <c r="D361" s="27"/>
      <c r="E361" s="27"/>
      <c r="F361" s="27"/>
      <c r="G361" s="27"/>
      <c r="H361" s="27"/>
      <c r="I361" s="27"/>
      <c r="J361" s="27"/>
    </row>
    <row r="362" spans="1:10">
      <c r="A362" s="27"/>
      <c r="B362" s="27"/>
      <c r="C362" s="27"/>
      <c r="D362" s="27"/>
      <c r="E362" s="27"/>
      <c r="F362" s="27"/>
      <c r="G362" s="27"/>
      <c r="H362" s="27"/>
      <c r="I362" s="27"/>
      <c r="J362" s="27"/>
    </row>
    <row r="363" spans="1:10">
      <c r="A363" s="27"/>
      <c r="B363" s="27"/>
      <c r="C363" s="27"/>
      <c r="D363" s="27"/>
      <c r="E363" s="27"/>
      <c r="F363" s="27"/>
      <c r="G363" s="27"/>
      <c r="H363" s="27"/>
      <c r="I363" s="27"/>
      <c r="J363" s="27"/>
    </row>
    <row r="364" spans="1:10">
      <c r="A364" s="27"/>
      <c r="B364" s="27"/>
      <c r="C364" s="27"/>
      <c r="D364" s="27"/>
      <c r="E364" s="27"/>
      <c r="F364" s="27"/>
      <c r="G364" s="27"/>
      <c r="H364" s="27"/>
      <c r="I364" s="27"/>
      <c r="J364" s="27"/>
    </row>
    <row r="365" spans="1:10">
      <c r="A365" s="27"/>
      <c r="B365" s="27"/>
      <c r="C365" s="27"/>
      <c r="D365" s="27"/>
      <c r="E365" s="27"/>
      <c r="F365" s="27"/>
      <c r="G365" s="27"/>
      <c r="H365" s="27"/>
      <c r="I365" s="27"/>
      <c r="J365" s="27"/>
    </row>
    <row r="366" spans="1:10">
      <c r="A366" s="27"/>
      <c r="B366" s="27"/>
      <c r="C366" s="27"/>
      <c r="D366" s="27"/>
      <c r="E366" s="27"/>
      <c r="F366" s="27"/>
      <c r="G366" s="27"/>
      <c r="H366" s="27"/>
      <c r="I366" s="27"/>
      <c r="J366" s="27"/>
    </row>
    <row r="367" spans="1:10">
      <c r="A367" s="27"/>
      <c r="B367" s="27"/>
      <c r="C367" s="27"/>
      <c r="D367" s="27"/>
      <c r="E367" s="27"/>
      <c r="F367" s="27"/>
      <c r="G367" s="27"/>
      <c r="H367" s="27"/>
      <c r="I367" s="27"/>
      <c r="J367" s="27"/>
    </row>
    <row r="368" spans="1:10">
      <c r="A368" s="27"/>
      <c r="B368" s="27"/>
      <c r="C368" s="27"/>
      <c r="D368" s="27"/>
      <c r="E368" s="27"/>
      <c r="F368" s="27"/>
      <c r="G368" s="27"/>
      <c r="H368" s="27"/>
      <c r="I368" s="27"/>
      <c r="J368" s="27"/>
    </row>
    <row r="369" spans="1:10">
      <c r="A369" s="27"/>
      <c r="B369" s="27"/>
      <c r="C369" s="27"/>
      <c r="D369" s="27"/>
      <c r="E369" s="27"/>
      <c r="F369" s="27"/>
      <c r="G369" s="27"/>
      <c r="H369" s="27"/>
      <c r="I369" s="27"/>
      <c r="J369" s="27"/>
    </row>
    <row r="370" spans="1:10">
      <c r="A370" s="27"/>
      <c r="B370" s="27"/>
      <c r="C370" s="27"/>
      <c r="D370" s="27"/>
      <c r="E370" s="27"/>
      <c r="F370" s="27"/>
      <c r="G370" s="27"/>
      <c r="H370" s="27"/>
      <c r="I370" s="27"/>
      <c r="J370" s="27"/>
    </row>
    <row r="371" spans="1:10">
      <c r="A371" s="27"/>
      <c r="B371" s="27"/>
      <c r="C371" s="27"/>
      <c r="D371" s="27"/>
      <c r="E371" s="27"/>
      <c r="F371" s="27"/>
      <c r="G371" s="27"/>
      <c r="H371" s="27"/>
      <c r="I371" s="27"/>
      <c r="J371" s="27"/>
    </row>
    <row r="372" spans="1:10">
      <c r="A372" s="27"/>
      <c r="B372" s="27"/>
      <c r="C372" s="27"/>
      <c r="D372" s="27"/>
      <c r="E372" s="27"/>
      <c r="F372" s="27"/>
      <c r="G372" s="27"/>
      <c r="H372" s="27"/>
      <c r="I372" s="27"/>
      <c r="J372" s="27"/>
    </row>
    <row r="373" spans="1:10">
      <c r="A373" s="27"/>
      <c r="B373" s="27"/>
      <c r="C373" s="27"/>
      <c r="D373" s="27"/>
      <c r="E373" s="27"/>
      <c r="F373" s="27"/>
      <c r="G373" s="27"/>
      <c r="H373" s="27"/>
      <c r="I373" s="27"/>
      <c r="J373" s="27"/>
    </row>
    <row r="374" spans="1:10">
      <c r="A374" s="27"/>
      <c r="B374" s="27"/>
      <c r="C374" s="27"/>
      <c r="D374" s="27"/>
      <c r="E374" s="27"/>
      <c r="F374" s="27"/>
      <c r="G374" s="27"/>
      <c r="H374" s="27"/>
      <c r="I374" s="27"/>
      <c r="J374" s="27"/>
    </row>
    <row r="375" spans="1:10">
      <c r="A375" s="27"/>
      <c r="B375" s="27"/>
      <c r="C375" s="27"/>
      <c r="D375" s="27"/>
      <c r="E375" s="27"/>
      <c r="F375" s="27"/>
      <c r="G375" s="27"/>
      <c r="H375" s="27"/>
      <c r="I375" s="27"/>
      <c r="J375" s="27"/>
    </row>
    <row r="376" spans="1:10">
      <c r="A376" s="27"/>
      <c r="B376" s="27"/>
      <c r="C376" s="27"/>
      <c r="D376" s="27"/>
      <c r="E376" s="27"/>
      <c r="F376" s="27"/>
      <c r="G376" s="27"/>
      <c r="H376" s="27"/>
      <c r="I376" s="27"/>
      <c r="J376" s="27"/>
    </row>
    <row r="377" spans="1:10">
      <c r="A377" s="27"/>
      <c r="B377" s="27"/>
      <c r="C377" s="27"/>
      <c r="D377" s="27"/>
      <c r="E377" s="27"/>
      <c r="F377" s="27"/>
      <c r="G377" s="27"/>
      <c r="H377" s="27"/>
      <c r="I377" s="27"/>
      <c r="J377" s="27"/>
    </row>
    <row r="378" spans="1:10">
      <c r="A378" s="27"/>
      <c r="B378" s="27"/>
      <c r="C378" s="27"/>
      <c r="D378" s="27"/>
      <c r="E378" s="27"/>
      <c r="F378" s="27"/>
      <c r="G378" s="27"/>
      <c r="H378" s="27"/>
      <c r="I378" s="27"/>
      <c r="J378" s="27"/>
    </row>
    <row r="379" spans="1:10">
      <c r="A379" s="27"/>
      <c r="B379" s="27"/>
      <c r="C379" s="27"/>
      <c r="D379" s="27"/>
      <c r="E379" s="27"/>
      <c r="F379" s="27"/>
      <c r="G379" s="27"/>
      <c r="H379" s="27"/>
      <c r="I379" s="27"/>
      <c r="J379" s="27"/>
    </row>
    <row r="380" spans="1:10">
      <c r="A380" s="27"/>
      <c r="B380" s="27"/>
      <c r="C380" s="27"/>
      <c r="D380" s="27"/>
      <c r="E380" s="27"/>
      <c r="F380" s="27"/>
      <c r="G380" s="27"/>
      <c r="H380" s="27"/>
      <c r="I380" s="27"/>
      <c r="J380" s="27"/>
    </row>
    <row r="381" spans="1:10">
      <c r="A381" s="27"/>
      <c r="B381" s="27"/>
      <c r="C381" s="27"/>
      <c r="D381" s="27"/>
      <c r="E381" s="27"/>
      <c r="F381" s="27"/>
      <c r="G381" s="27"/>
      <c r="H381" s="27"/>
      <c r="I381" s="27"/>
      <c r="J381" s="27"/>
    </row>
    <row r="382" spans="1:10">
      <c r="A382" s="27"/>
      <c r="B382" s="27"/>
      <c r="C382" s="27"/>
      <c r="D382" s="27"/>
      <c r="E382" s="27"/>
      <c r="F382" s="27"/>
      <c r="G382" s="27"/>
      <c r="H382" s="27"/>
      <c r="I382" s="27"/>
      <c r="J382" s="27"/>
    </row>
    <row r="383" spans="1:10">
      <c r="A383" s="27"/>
      <c r="B383" s="27"/>
      <c r="C383" s="27"/>
      <c r="D383" s="27"/>
      <c r="E383" s="27"/>
      <c r="F383" s="27"/>
      <c r="G383" s="27"/>
      <c r="H383" s="27"/>
      <c r="I383" s="27"/>
      <c r="J383" s="27"/>
    </row>
    <row r="384" spans="1:10">
      <c r="A384" s="27"/>
      <c r="B384" s="27"/>
      <c r="C384" s="27"/>
      <c r="D384" s="27"/>
      <c r="E384" s="27"/>
      <c r="F384" s="27"/>
      <c r="G384" s="27"/>
      <c r="H384" s="27"/>
      <c r="I384" s="27"/>
      <c r="J384" s="27"/>
    </row>
    <row r="385" spans="1:10">
      <c r="A385" s="27"/>
      <c r="B385" s="27"/>
      <c r="C385" s="27"/>
      <c r="D385" s="27"/>
      <c r="E385" s="27"/>
      <c r="F385" s="27"/>
      <c r="G385" s="27"/>
      <c r="H385" s="27"/>
      <c r="I385" s="27"/>
      <c r="J385" s="27"/>
    </row>
    <row r="386" spans="1:10">
      <c r="A386" s="27"/>
      <c r="B386" s="27"/>
      <c r="C386" s="27"/>
      <c r="D386" s="27"/>
      <c r="E386" s="27"/>
      <c r="F386" s="27"/>
      <c r="G386" s="27"/>
      <c r="H386" s="27"/>
      <c r="I386" s="27"/>
      <c r="J386" s="27"/>
    </row>
    <row r="387" spans="1:10">
      <c r="A387" s="27"/>
      <c r="B387" s="27"/>
      <c r="C387" s="27"/>
      <c r="D387" s="27"/>
      <c r="E387" s="27"/>
      <c r="F387" s="27"/>
      <c r="G387" s="27"/>
      <c r="H387" s="27"/>
      <c r="I387" s="27"/>
      <c r="J387" s="27"/>
    </row>
    <row r="388" spans="1:10">
      <c r="A388" s="27"/>
      <c r="B388" s="27"/>
      <c r="C388" s="27"/>
      <c r="D388" s="27"/>
      <c r="E388" s="27"/>
      <c r="F388" s="27"/>
      <c r="G388" s="27"/>
      <c r="H388" s="27"/>
      <c r="I388" s="27"/>
      <c r="J388" s="27"/>
    </row>
    <row r="389" spans="1:10">
      <c r="A389" s="27"/>
      <c r="B389" s="27"/>
      <c r="C389" s="27"/>
      <c r="D389" s="27"/>
      <c r="E389" s="27"/>
      <c r="F389" s="27"/>
      <c r="G389" s="27"/>
      <c r="H389" s="27"/>
      <c r="I389" s="27"/>
      <c r="J389" s="27"/>
    </row>
    <row r="390" spans="1:10">
      <c r="A390" s="27"/>
      <c r="B390" s="27"/>
      <c r="C390" s="27"/>
      <c r="D390" s="27"/>
      <c r="E390" s="27"/>
      <c r="F390" s="27"/>
      <c r="G390" s="27"/>
      <c r="H390" s="27"/>
      <c r="I390" s="27"/>
      <c r="J390" s="27"/>
    </row>
    <row r="391" spans="1:10">
      <c r="A391" s="27"/>
      <c r="B391" s="27"/>
      <c r="C391" s="27"/>
      <c r="D391" s="27"/>
      <c r="E391" s="27"/>
      <c r="F391" s="27"/>
      <c r="G391" s="27"/>
      <c r="H391" s="27"/>
      <c r="I391" s="27"/>
      <c r="J391" s="27"/>
    </row>
    <row r="392" spans="1:10">
      <c r="A392" s="27"/>
      <c r="B392" s="27"/>
      <c r="C392" s="27"/>
      <c r="D392" s="27"/>
      <c r="E392" s="27"/>
      <c r="F392" s="27"/>
      <c r="G392" s="27"/>
      <c r="H392" s="27"/>
      <c r="I392" s="27"/>
      <c r="J392" s="27"/>
    </row>
    <row r="393" spans="1:10">
      <c r="A393" s="27"/>
      <c r="B393" s="27"/>
      <c r="C393" s="27"/>
      <c r="D393" s="27"/>
      <c r="E393" s="27"/>
      <c r="F393" s="27"/>
      <c r="G393" s="27"/>
      <c r="H393" s="27"/>
      <c r="I393" s="27"/>
      <c r="J393" s="27"/>
    </row>
    <row r="394" spans="1:10">
      <c r="A394" s="27"/>
      <c r="B394" s="27"/>
      <c r="C394" s="27"/>
      <c r="D394" s="27"/>
      <c r="E394" s="27"/>
      <c r="F394" s="27"/>
      <c r="G394" s="27"/>
      <c r="H394" s="27"/>
      <c r="I394" s="27"/>
      <c r="J394" s="27"/>
    </row>
    <row r="395" spans="1:10">
      <c r="A395" s="27"/>
      <c r="B395" s="27"/>
      <c r="C395" s="27"/>
      <c r="D395" s="27"/>
      <c r="E395" s="27"/>
      <c r="F395" s="27"/>
      <c r="G395" s="27"/>
      <c r="H395" s="27"/>
      <c r="I395" s="27"/>
      <c r="J395" s="27"/>
    </row>
    <row r="396" spans="1:10">
      <c r="A396" s="27"/>
      <c r="B396" s="27"/>
      <c r="C396" s="27"/>
      <c r="D396" s="27"/>
      <c r="E396" s="27"/>
      <c r="F396" s="27"/>
      <c r="G396" s="27"/>
      <c r="H396" s="27"/>
      <c r="I396" s="27"/>
      <c r="J396" s="27"/>
    </row>
    <row r="397" spans="1:10">
      <c r="A397" s="27"/>
      <c r="B397" s="27"/>
      <c r="C397" s="27"/>
      <c r="D397" s="27"/>
      <c r="E397" s="27"/>
      <c r="F397" s="27"/>
      <c r="G397" s="27"/>
      <c r="H397" s="27"/>
      <c r="I397" s="27"/>
      <c r="J397" s="27"/>
    </row>
    <row r="398" spans="1:10">
      <c r="A398" s="27"/>
      <c r="B398" s="27"/>
      <c r="C398" s="27"/>
      <c r="D398" s="27"/>
      <c r="E398" s="27"/>
      <c r="F398" s="27"/>
      <c r="G398" s="27"/>
      <c r="H398" s="27"/>
      <c r="I398" s="27"/>
      <c r="J398" s="27"/>
    </row>
    <row r="399" spans="1:10">
      <c r="A399" s="27"/>
      <c r="B399" s="27"/>
      <c r="C399" s="27"/>
      <c r="D399" s="27"/>
      <c r="E399" s="27"/>
      <c r="F399" s="27"/>
      <c r="G399" s="27"/>
      <c r="H399" s="27"/>
      <c r="I399" s="27"/>
      <c r="J399" s="27"/>
    </row>
    <row r="400" spans="1:10">
      <c r="A400" s="27"/>
      <c r="B400" s="27"/>
      <c r="C400" s="27"/>
      <c r="D400" s="27"/>
      <c r="E400" s="27"/>
      <c r="F400" s="27"/>
      <c r="G400" s="27"/>
      <c r="H400" s="27"/>
      <c r="I400" s="27"/>
      <c r="J400" s="27"/>
    </row>
    <row r="401" spans="1:10">
      <c r="A401" s="27"/>
      <c r="B401" s="27"/>
      <c r="C401" s="27"/>
      <c r="D401" s="27"/>
      <c r="E401" s="27"/>
      <c r="F401" s="27"/>
      <c r="G401" s="27"/>
      <c r="H401" s="27"/>
      <c r="I401" s="27"/>
      <c r="J401" s="27"/>
    </row>
    <row r="402" spans="1:10">
      <c r="A402" s="27"/>
      <c r="B402" s="27"/>
      <c r="C402" s="27"/>
      <c r="D402" s="27"/>
      <c r="E402" s="27"/>
      <c r="F402" s="27"/>
      <c r="G402" s="27"/>
      <c r="H402" s="27"/>
      <c r="I402" s="27"/>
      <c r="J402" s="27"/>
    </row>
    <row r="403" spans="1:10">
      <c r="A403" s="27"/>
      <c r="B403" s="27"/>
      <c r="C403" s="27"/>
      <c r="D403" s="27"/>
      <c r="E403" s="27"/>
      <c r="F403" s="27"/>
      <c r="G403" s="27"/>
      <c r="H403" s="27"/>
      <c r="I403" s="27"/>
      <c r="J403" s="27"/>
    </row>
    <row r="404" spans="1:10">
      <c r="A404" s="27"/>
      <c r="B404" s="27"/>
      <c r="C404" s="27"/>
      <c r="D404" s="27"/>
      <c r="E404" s="27"/>
      <c r="F404" s="27"/>
      <c r="G404" s="27"/>
      <c r="H404" s="27"/>
      <c r="I404" s="27"/>
      <c r="J404" s="27"/>
    </row>
    <row r="405" spans="1:10">
      <c r="A405" s="27"/>
      <c r="B405" s="27"/>
      <c r="C405" s="27"/>
      <c r="D405" s="27"/>
      <c r="E405" s="27"/>
      <c r="F405" s="27"/>
      <c r="G405" s="27"/>
      <c r="H405" s="27"/>
      <c r="I405" s="27"/>
      <c r="J405" s="27"/>
    </row>
    <row r="406" spans="1:10">
      <c r="A406" s="27"/>
      <c r="B406" s="27"/>
      <c r="C406" s="27"/>
      <c r="D406" s="27"/>
      <c r="E406" s="27"/>
      <c r="F406" s="27"/>
      <c r="G406" s="27"/>
      <c r="H406" s="27"/>
      <c r="I406" s="27"/>
      <c r="J406" s="27"/>
    </row>
    <row r="407" spans="1:10">
      <c r="A407" s="27"/>
      <c r="B407" s="27"/>
      <c r="C407" s="27"/>
      <c r="D407" s="27"/>
      <c r="E407" s="27"/>
      <c r="F407" s="27"/>
      <c r="G407" s="27"/>
      <c r="H407" s="27"/>
      <c r="I407" s="27"/>
      <c r="J407" s="27"/>
    </row>
    <row r="408" spans="1:10">
      <c r="A408" s="27"/>
      <c r="B408" s="27"/>
      <c r="C408" s="27"/>
      <c r="D408" s="27"/>
      <c r="E408" s="27"/>
      <c r="F408" s="27"/>
      <c r="G408" s="27"/>
      <c r="H408" s="27"/>
      <c r="I408" s="27"/>
      <c r="J408" s="27"/>
    </row>
    <row r="409" spans="1:10">
      <c r="A409" s="27"/>
      <c r="B409" s="27"/>
      <c r="C409" s="27"/>
      <c r="D409" s="27"/>
      <c r="E409" s="27"/>
      <c r="F409" s="27"/>
      <c r="G409" s="27"/>
      <c r="H409" s="27"/>
      <c r="I409" s="27"/>
      <c r="J409" s="27"/>
    </row>
    <row r="410" spans="1:10">
      <c r="A410" s="27"/>
      <c r="B410" s="27"/>
      <c r="C410" s="27"/>
      <c r="D410" s="27"/>
      <c r="E410" s="27"/>
      <c r="F410" s="27"/>
      <c r="G410" s="27"/>
      <c r="H410" s="27"/>
      <c r="I410" s="27"/>
      <c r="J410" s="27"/>
    </row>
    <row r="411" spans="1:10">
      <c r="A411" s="27"/>
      <c r="B411" s="27"/>
      <c r="C411" s="27"/>
      <c r="D411" s="27"/>
      <c r="E411" s="27"/>
      <c r="F411" s="27"/>
      <c r="G411" s="27"/>
      <c r="H411" s="27"/>
      <c r="I411" s="27"/>
      <c r="J411" s="27"/>
    </row>
    <row r="412" spans="1:10">
      <c r="A412" s="27"/>
      <c r="B412" s="27"/>
      <c r="C412" s="27"/>
      <c r="D412" s="27"/>
      <c r="E412" s="27"/>
      <c r="F412" s="27"/>
      <c r="G412" s="27"/>
      <c r="H412" s="27"/>
      <c r="I412" s="27"/>
      <c r="J412" s="27"/>
    </row>
    <row r="413" spans="1:10">
      <c r="A413" s="27"/>
      <c r="B413" s="27"/>
      <c r="C413" s="27"/>
      <c r="D413" s="27"/>
      <c r="E413" s="27"/>
      <c r="F413" s="27"/>
      <c r="G413" s="27"/>
      <c r="H413" s="27"/>
      <c r="I413" s="27"/>
      <c r="J413" s="27"/>
    </row>
    <row r="414" spans="1:10">
      <c r="A414" s="27"/>
      <c r="B414" s="27"/>
      <c r="C414" s="27"/>
      <c r="D414" s="27"/>
      <c r="E414" s="27"/>
      <c r="F414" s="27"/>
      <c r="G414" s="27"/>
      <c r="H414" s="27"/>
      <c r="I414" s="27"/>
      <c r="J414" s="27"/>
    </row>
    <row r="415" spans="1:10">
      <c r="A415" s="27"/>
      <c r="B415" s="27"/>
      <c r="C415" s="27"/>
      <c r="D415" s="27"/>
      <c r="E415" s="27"/>
      <c r="F415" s="27"/>
      <c r="G415" s="27"/>
      <c r="H415" s="27"/>
      <c r="I415" s="27"/>
      <c r="J415" s="27"/>
    </row>
    <row r="416" spans="1:10">
      <c r="A416" s="27"/>
      <c r="B416" s="27"/>
      <c r="C416" s="27"/>
      <c r="D416" s="27"/>
      <c r="E416" s="27"/>
      <c r="F416" s="27"/>
      <c r="G416" s="27"/>
      <c r="H416" s="27"/>
      <c r="I416" s="27"/>
      <c r="J416" s="27"/>
    </row>
    <row r="417" spans="1:10">
      <c r="A417" s="27"/>
      <c r="B417" s="27"/>
      <c r="C417" s="27"/>
      <c r="D417" s="27"/>
      <c r="E417" s="27"/>
      <c r="F417" s="27"/>
      <c r="G417" s="27"/>
      <c r="H417" s="27"/>
      <c r="I417" s="27"/>
      <c r="J417" s="27"/>
    </row>
    <row r="418" spans="1:10">
      <c r="A418" s="27"/>
      <c r="B418" s="27"/>
      <c r="C418" s="27"/>
      <c r="D418" s="27"/>
      <c r="E418" s="27"/>
      <c r="F418" s="27"/>
      <c r="G418" s="27"/>
      <c r="H418" s="27"/>
      <c r="I418" s="27"/>
      <c r="J418" s="27"/>
    </row>
    <row r="419" spans="1:10">
      <c r="A419" s="27"/>
      <c r="B419" s="27"/>
      <c r="C419" s="27"/>
      <c r="D419" s="27"/>
      <c r="E419" s="27"/>
      <c r="F419" s="27"/>
      <c r="G419" s="27"/>
      <c r="H419" s="27"/>
      <c r="I419" s="27"/>
      <c r="J419" s="27"/>
    </row>
    <row r="420" spans="1:10">
      <c r="A420" s="27"/>
      <c r="B420" s="27"/>
      <c r="C420" s="27"/>
      <c r="D420" s="27"/>
      <c r="E420" s="27"/>
      <c r="F420" s="27"/>
      <c r="G420" s="27"/>
      <c r="H420" s="27"/>
      <c r="I420" s="27"/>
      <c r="J420" s="27"/>
    </row>
    <row r="421" spans="1:10">
      <c r="A421" s="27"/>
      <c r="B421" s="27"/>
      <c r="C421" s="27"/>
      <c r="D421" s="27"/>
      <c r="E421" s="27"/>
      <c r="F421" s="27"/>
      <c r="G421" s="27"/>
      <c r="H421" s="27"/>
      <c r="I421" s="27"/>
      <c r="J421" s="27"/>
    </row>
    <row r="422" spans="1:10">
      <c r="A422" s="27"/>
      <c r="B422" s="27"/>
      <c r="C422" s="27"/>
      <c r="D422" s="27"/>
      <c r="E422" s="27"/>
      <c r="F422" s="27"/>
      <c r="G422" s="27"/>
      <c r="H422" s="27"/>
      <c r="I422" s="27"/>
      <c r="J422" s="27"/>
    </row>
    <row r="423" spans="1:10">
      <c r="A423" s="27"/>
      <c r="B423" s="27"/>
      <c r="C423" s="27"/>
      <c r="D423" s="27"/>
      <c r="E423" s="27"/>
      <c r="F423" s="27"/>
      <c r="G423" s="27"/>
      <c r="H423" s="27"/>
      <c r="I423" s="27"/>
      <c r="J423" s="27"/>
    </row>
    <row r="424" spans="1:10">
      <c r="A424" s="27"/>
      <c r="B424" s="27"/>
      <c r="C424" s="27"/>
      <c r="D424" s="27"/>
      <c r="E424" s="27"/>
      <c r="F424" s="27"/>
      <c r="G424" s="27"/>
      <c r="H424" s="27"/>
      <c r="I424" s="27"/>
      <c r="J424" s="27"/>
    </row>
    <row r="425" spans="1:10">
      <c r="A425" s="27"/>
      <c r="B425" s="27"/>
      <c r="C425" s="27"/>
      <c r="D425" s="27"/>
      <c r="E425" s="27"/>
      <c r="F425" s="27"/>
      <c r="G425" s="27"/>
      <c r="H425" s="27"/>
      <c r="I425" s="27"/>
      <c r="J425" s="27"/>
    </row>
    <row r="426" spans="1:10">
      <c r="A426" s="27"/>
      <c r="B426" s="27"/>
      <c r="C426" s="27"/>
      <c r="D426" s="27"/>
      <c r="E426" s="27"/>
      <c r="F426" s="27"/>
      <c r="G426" s="27"/>
      <c r="H426" s="27"/>
      <c r="I426" s="27"/>
      <c r="J426" s="27"/>
    </row>
    <row r="427" spans="1:10">
      <c r="A427" s="27"/>
      <c r="B427" s="27"/>
      <c r="C427" s="27"/>
      <c r="D427" s="27"/>
      <c r="E427" s="27"/>
      <c r="F427" s="27"/>
      <c r="G427" s="27"/>
      <c r="H427" s="27"/>
      <c r="I427" s="27"/>
      <c r="J427" s="27"/>
    </row>
    <row r="428" spans="1:10">
      <c r="A428" s="27"/>
      <c r="B428" s="27"/>
      <c r="C428" s="27"/>
      <c r="D428" s="27"/>
      <c r="E428" s="27"/>
      <c r="F428" s="27"/>
      <c r="G428" s="27"/>
      <c r="H428" s="27"/>
      <c r="I428" s="27"/>
      <c r="J428" s="27"/>
    </row>
    <row r="429" spans="1:10">
      <c r="A429" s="27"/>
      <c r="B429" s="27"/>
      <c r="C429" s="27"/>
      <c r="D429" s="27"/>
      <c r="E429" s="27"/>
      <c r="F429" s="27"/>
      <c r="G429" s="27"/>
      <c r="H429" s="27"/>
      <c r="I429" s="27"/>
      <c r="J429" s="27"/>
    </row>
    <row r="430" spans="1:10">
      <c r="A430" s="27"/>
      <c r="B430" s="27"/>
      <c r="C430" s="27"/>
      <c r="D430" s="27"/>
      <c r="E430" s="27"/>
      <c r="F430" s="27"/>
      <c r="G430" s="27"/>
      <c r="H430" s="27"/>
      <c r="I430" s="27"/>
      <c r="J430" s="27"/>
    </row>
    <row r="431" spans="1:10">
      <c r="A431" s="27"/>
      <c r="B431" s="27"/>
      <c r="C431" s="27"/>
      <c r="D431" s="27"/>
      <c r="E431" s="27"/>
      <c r="F431" s="27"/>
      <c r="G431" s="27"/>
      <c r="H431" s="27"/>
      <c r="I431" s="27"/>
      <c r="J431" s="27"/>
    </row>
    <row r="432" spans="1:10">
      <c r="A432" s="27"/>
      <c r="B432" s="27"/>
      <c r="C432" s="27"/>
      <c r="D432" s="27"/>
      <c r="E432" s="27"/>
      <c r="F432" s="27"/>
      <c r="G432" s="27"/>
      <c r="H432" s="27"/>
      <c r="I432" s="27"/>
      <c r="J432" s="27"/>
    </row>
    <row r="433" spans="1:10">
      <c r="A433" s="27"/>
      <c r="B433" s="27"/>
      <c r="C433" s="27"/>
      <c r="D433" s="27"/>
      <c r="E433" s="27"/>
      <c r="F433" s="27"/>
      <c r="G433" s="27"/>
      <c r="H433" s="27"/>
      <c r="I433" s="27"/>
      <c r="J433" s="27"/>
    </row>
    <row r="434" spans="1:10">
      <c r="A434" s="27"/>
      <c r="B434" s="27"/>
      <c r="C434" s="27"/>
      <c r="D434" s="27"/>
      <c r="E434" s="27"/>
      <c r="F434" s="27"/>
      <c r="G434" s="27"/>
      <c r="H434" s="27"/>
      <c r="I434" s="27"/>
      <c r="J434" s="27"/>
    </row>
    <row r="435" spans="1:10">
      <c r="A435" s="27"/>
      <c r="B435" s="27"/>
      <c r="C435" s="27"/>
      <c r="D435" s="27"/>
      <c r="E435" s="27"/>
      <c r="F435" s="27"/>
      <c r="G435" s="27"/>
      <c r="H435" s="27"/>
      <c r="I435" s="27"/>
      <c r="J435" s="27"/>
    </row>
    <row r="436" spans="1:10">
      <c r="A436" s="27"/>
      <c r="B436" s="27"/>
      <c r="C436" s="27"/>
      <c r="D436" s="27"/>
      <c r="E436" s="27"/>
      <c r="F436" s="27"/>
      <c r="G436" s="27"/>
      <c r="H436" s="27"/>
      <c r="I436" s="27"/>
      <c r="J436" s="27"/>
    </row>
    <row r="437" spans="1:10">
      <c r="A437" s="27"/>
      <c r="B437" s="27"/>
      <c r="C437" s="27"/>
      <c r="D437" s="27"/>
      <c r="E437" s="27"/>
      <c r="F437" s="27"/>
      <c r="G437" s="27"/>
      <c r="H437" s="27"/>
      <c r="I437" s="27"/>
      <c r="J437" s="27"/>
    </row>
    <row r="438" spans="1:10">
      <c r="A438" s="27"/>
      <c r="B438" s="27"/>
      <c r="C438" s="27"/>
      <c r="D438" s="27"/>
      <c r="E438" s="27"/>
      <c r="F438" s="27"/>
      <c r="G438" s="27"/>
      <c r="H438" s="27"/>
      <c r="I438" s="27"/>
      <c r="J438" s="27"/>
    </row>
    <row r="439" spans="1:10">
      <c r="A439" s="27"/>
      <c r="B439" s="27"/>
      <c r="C439" s="27"/>
      <c r="D439" s="27"/>
      <c r="E439" s="27"/>
      <c r="F439" s="27"/>
      <c r="G439" s="27"/>
      <c r="H439" s="27"/>
      <c r="I439" s="27"/>
      <c r="J439" s="27"/>
    </row>
    <row r="440" spans="1:10">
      <c r="A440" s="27"/>
      <c r="B440" s="27"/>
      <c r="C440" s="27"/>
      <c r="D440" s="27"/>
      <c r="E440" s="27"/>
      <c r="F440" s="27"/>
      <c r="G440" s="27"/>
      <c r="H440" s="27"/>
      <c r="I440" s="27"/>
      <c r="J440" s="27"/>
    </row>
    <row r="441" spans="1:10">
      <c r="A441" s="27"/>
      <c r="B441" s="27"/>
      <c r="C441" s="27"/>
      <c r="D441" s="27"/>
      <c r="E441" s="27"/>
      <c r="F441" s="27"/>
      <c r="G441" s="27"/>
      <c r="H441" s="27"/>
      <c r="I441" s="27"/>
      <c r="J441" s="27"/>
    </row>
    <row r="442" spans="1:10">
      <c r="A442" s="27"/>
      <c r="B442" s="27"/>
      <c r="C442" s="27"/>
      <c r="D442" s="27"/>
      <c r="E442" s="27"/>
      <c r="F442" s="27"/>
      <c r="G442" s="27"/>
      <c r="H442" s="27"/>
      <c r="I442" s="27"/>
      <c r="J442" s="27"/>
    </row>
    <row r="443" spans="1:10">
      <c r="A443" s="27"/>
      <c r="B443" s="27"/>
      <c r="C443" s="27"/>
      <c r="D443" s="27"/>
      <c r="E443" s="27"/>
      <c r="F443" s="27"/>
      <c r="G443" s="27"/>
      <c r="H443" s="27"/>
      <c r="I443" s="27"/>
      <c r="J443" s="27"/>
    </row>
    <row r="444" spans="1:10">
      <c r="A444" s="27"/>
      <c r="B444" s="27"/>
      <c r="C444" s="27"/>
      <c r="D444" s="27"/>
      <c r="E444" s="27"/>
      <c r="F444" s="27"/>
      <c r="G444" s="27"/>
      <c r="H444" s="27"/>
      <c r="I444" s="27"/>
      <c r="J444" s="27"/>
    </row>
    <row r="445" spans="1:10">
      <c r="A445" s="27"/>
      <c r="B445" s="27"/>
      <c r="C445" s="27"/>
      <c r="D445" s="27"/>
      <c r="E445" s="27"/>
      <c r="F445" s="27"/>
      <c r="G445" s="27"/>
      <c r="H445" s="27"/>
      <c r="I445" s="27"/>
      <c r="J445" s="27"/>
    </row>
    <row r="446" spans="1:10">
      <c r="A446" s="27"/>
      <c r="B446" s="27"/>
      <c r="C446" s="27"/>
      <c r="D446" s="27"/>
      <c r="E446" s="27"/>
      <c r="F446" s="27"/>
      <c r="G446" s="27"/>
      <c r="H446" s="27"/>
      <c r="I446" s="27"/>
      <c r="J446" s="27"/>
    </row>
    <row r="447" spans="1:10">
      <c r="A447" s="27"/>
      <c r="B447" s="27"/>
      <c r="C447" s="27"/>
      <c r="D447" s="27"/>
      <c r="E447" s="27"/>
      <c r="F447" s="27"/>
      <c r="G447" s="27"/>
      <c r="H447" s="27"/>
      <c r="I447" s="27"/>
      <c r="J447" s="27"/>
    </row>
    <row r="448" spans="1:10">
      <c r="A448" s="27"/>
      <c r="B448" s="27"/>
      <c r="C448" s="27"/>
      <c r="D448" s="27"/>
      <c r="E448" s="27"/>
      <c r="F448" s="27"/>
      <c r="G448" s="27"/>
      <c r="H448" s="27"/>
      <c r="I448" s="27"/>
      <c r="J448" s="27"/>
    </row>
    <row r="449" spans="1:10">
      <c r="A449" s="27"/>
      <c r="B449" s="27"/>
      <c r="C449" s="27"/>
      <c r="D449" s="27"/>
      <c r="E449" s="27"/>
      <c r="F449" s="27"/>
      <c r="G449" s="27"/>
      <c r="H449" s="27"/>
      <c r="I449" s="27"/>
      <c r="J449" s="27"/>
    </row>
    <row r="450" spans="1:10">
      <c r="A450" s="27"/>
      <c r="B450" s="27"/>
      <c r="C450" s="27"/>
      <c r="D450" s="27"/>
      <c r="E450" s="27"/>
      <c r="F450" s="27"/>
      <c r="G450" s="27"/>
      <c r="H450" s="27"/>
      <c r="I450" s="27"/>
      <c r="J450" s="27"/>
    </row>
    <row r="451" spans="1:10">
      <c r="A451" s="27"/>
      <c r="B451" s="27"/>
      <c r="C451" s="27"/>
      <c r="D451" s="27"/>
      <c r="E451" s="27"/>
      <c r="F451" s="27"/>
      <c r="G451" s="27"/>
      <c r="H451" s="27"/>
      <c r="I451" s="27"/>
      <c r="J451" s="27"/>
    </row>
    <row r="452" spans="1:10">
      <c r="A452" s="27"/>
      <c r="B452" s="27"/>
      <c r="C452" s="27"/>
      <c r="D452" s="27"/>
      <c r="E452" s="27"/>
      <c r="F452" s="27"/>
      <c r="G452" s="27"/>
      <c r="H452" s="27"/>
      <c r="I452" s="27"/>
      <c r="J452" s="27"/>
    </row>
    <row r="453" spans="1:10">
      <c r="A453" s="27"/>
      <c r="B453" s="27"/>
      <c r="C453" s="27"/>
      <c r="D453" s="27"/>
      <c r="E453" s="27"/>
      <c r="F453" s="27"/>
      <c r="G453" s="27"/>
      <c r="H453" s="27"/>
      <c r="I453" s="27"/>
      <c r="J453" s="27"/>
    </row>
    <row r="454" spans="1:10">
      <c r="A454" s="27"/>
      <c r="B454" s="27"/>
      <c r="C454" s="27"/>
      <c r="D454" s="27"/>
      <c r="E454" s="27"/>
      <c r="F454" s="27"/>
      <c r="G454" s="27"/>
      <c r="H454" s="27"/>
      <c r="I454" s="27"/>
      <c r="J454" s="27"/>
    </row>
    <row r="455" spans="1:10">
      <c r="A455" s="27"/>
      <c r="B455" s="27"/>
      <c r="C455" s="27"/>
      <c r="D455" s="27"/>
      <c r="E455" s="27"/>
      <c r="F455" s="27"/>
      <c r="G455" s="27"/>
      <c r="H455" s="27"/>
      <c r="I455" s="27"/>
      <c r="J455" s="27"/>
    </row>
    <row r="456" spans="1:10">
      <c r="A456" s="27"/>
      <c r="B456" s="27"/>
      <c r="C456" s="27"/>
      <c r="D456" s="27"/>
      <c r="E456" s="27"/>
      <c r="F456" s="27"/>
      <c r="G456" s="27"/>
      <c r="H456" s="27"/>
      <c r="I456" s="27"/>
      <c r="J456" s="27"/>
    </row>
    <row r="457" spans="1:10">
      <c r="A457" s="27"/>
      <c r="B457" s="27"/>
      <c r="C457" s="27"/>
      <c r="D457" s="27"/>
      <c r="E457" s="27"/>
      <c r="F457" s="27"/>
      <c r="G457" s="27"/>
      <c r="H457" s="27"/>
      <c r="I457" s="27"/>
      <c r="J457" s="27"/>
    </row>
    <row r="458" spans="1:10">
      <c r="A458" s="27"/>
      <c r="B458" s="27"/>
      <c r="C458" s="27"/>
      <c r="D458" s="27"/>
      <c r="E458" s="27"/>
      <c r="F458" s="27"/>
      <c r="G458" s="27"/>
      <c r="H458" s="27"/>
      <c r="I458" s="27"/>
      <c r="J458" s="27"/>
    </row>
    <row r="459" spans="1:10">
      <c r="A459" s="27"/>
      <c r="B459" s="27"/>
      <c r="C459" s="27"/>
      <c r="D459" s="27"/>
      <c r="E459" s="27"/>
      <c r="F459" s="27"/>
      <c r="G459" s="27"/>
      <c r="H459" s="27"/>
      <c r="I459" s="27"/>
      <c r="J459" s="27"/>
    </row>
    <row r="460" spans="1:10">
      <c r="A460" s="27"/>
      <c r="B460" s="27"/>
      <c r="C460" s="27"/>
      <c r="D460" s="27"/>
      <c r="E460" s="27"/>
      <c r="F460" s="27"/>
      <c r="G460" s="27"/>
      <c r="H460" s="27"/>
      <c r="I460" s="27"/>
      <c r="J460" s="27"/>
    </row>
    <row r="461" spans="1:10">
      <c r="A461" s="27"/>
      <c r="B461" s="27"/>
      <c r="C461" s="27"/>
      <c r="D461" s="27"/>
      <c r="E461" s="27"/>
      <c r="F461" s="27"/>
      <c r="G461" s="27"/>
      <c r="H461" s="27"/>
      <c r="I461" s="27"/>
      <c r="J461" s="27"/>
    </row>
    <row r="462" spans="1:10">
      <c r="A462" s="27"/>
      <c r="B462" s="27"/>
      <c r="C462" s="27"/>
      <c r="D462" s="27"/>
      <c r="E462" s="27"/>
      <c r="F462" s="27"/>
      <c r="G462" s="27"/>
      <c r="H462" s="27"/>
      <c r="I462" s="27"/>
      <c r="J462" s="27"/>
    </row>
    <row r="463" spans="1:10">
      <c r="A463" s="27"/>
      <c r="B463" s="27"/>
      <c r="C463" s="27"/>
      <c r="D463" s="27"/>
      <c r="E463" s="27"/>
      <c r="F463" s="27"/>
      <c r="G463" s="27"/>
      <c r="H463" s="27"/>
      <c r="I463" s="27"/>
      <c r="J463" s="27"/>
    </row>
    <row r="464" spans="1:10">
      <c r="A464" s="27"/>
      <c r="B464" s="27"/>
      <c r="C464" s="27"/>
      <c r="D464" s="27"/>
      <c r="E464" s="27"/>
      <c r="F464" s="27"/>
      <c r="G464" s="27"/>
      <c r="H464" s="27"/>
      <c r="I464" s="27"/>
      <c r="J464" s="27"/>
    </row>
    <row r="465" spans="1:10">
      <c r="A465" s="27"/>
      <c r="B465" s="27"/>
      <c r="C465" s="27"/>
      <c r="D465" s="27"/>
      <c r="E465" s="27"/>
      <c r="F465" s="27"/>
      <c r="G465" s="27"/>
      <c r="H465" s="27"/>
      <c r="I465" s="27"/>
      <c r="J465" s="27"/>
    </row>
    <row r="466" spans="1:10">
      <c r="A466" s="27"/>
      <c r="B466" s="27"/>
      <c r="C466" s="27"/>
      <c r="D466" s="27"/>
      <c r="E466" s="27"/>
      <c r="F466" s="27"/>
      <c r="G466" s="27"/>
      <c r="H466" s="27"/>
      <c r="I466" s="27"/>
      <c r="J466" s="27"/>
    </row>
    <row r="467" spans="1:10">
      <c r="A467" s="27"/>
      <c r="B467" s="27"/>
      <c r="C467" s="27"/>
      <c r="D467" s="27"/>
      <c r="E467" s="27"/>
      <c r="F467" s="27"/>
      <c r="G467" s="27"/>
      <c r="H467" s="27"/>
      <c r="I467" s="27"/>
      <c r="J467" s="27"/>
    </row>
    <row r="468" spans="1:10">
      <c r="A468" s="27"/>
      <c r="B468" s="27"/>
      <c r="C468" s="27"/>
      <c r="D468" s="27"/>
      <c r="E468" s="27"/>
      <c r="F468" s="27"/>
      <c r="G468" s="27"/>
      <c r="H468" s="27"/>
      <c r="I468" s="27"/>
      <c r="J468" s="27"/>
    </row>
    <row r="469" spans="1:10">
      <c r="A469" s="27"/>
      <c r="B469" s="27"/>
      <c r="C469" s="27"/>
      <c r="D469" s="27"/>
      <c r="E469" s="27"/>
      <c r="F469" s="27"/>
      <c r="G469" s="27"/>
      <c r="H469" s="27"/>
      <c r="I469" s="27"/>
      <c r="J469" s="27"/>
    </row>
    <row r="470" spans="1:10">
      <c r="A470" s="27"/>
      <c r="B470" s="27"/>
      <c r="C470" s="27"/>
      <c r="D470" s="27"/>
      <c r="E470" s="27"/>
      <c r="F470" s="27"/>
      <c r="G470" s="27"/>
      <c r="H470" s="27"/>
      <c r="I470" s="27"/>
      <c r="J470" s="27"/>
    </row>
    <row r="471" spans="1:10">
      <c r="A471" s="27"/>
      <c r="B471" s="27"/>
      <c r="C471" s="27"/>
      <c r="D471" s="27"/>
      <c r="E471" s="27"/>
      <c r="F471" s="27"/>
      <c r="G471" s="27"/>
      <c r="H471" s="27"/>
      <c r="I471" s="27"/>
      <c r="J471" s="27"/>
    </row>
    <row r="472" spans="1:10">
      <c r="A472" s="27"/>
      <c r="B472" s="27"/>
      <c r="C472" s="27"/>
      <c r="D472" s="27"/>
      <c r="E472" s="27"/>
      <c r="F472" s="27"/>
      <c r="G472" s="27"/>
      <c r="H472" s="27"/>
      <c r="I472" s="27"/>
      <c r="J472" s="27"/>
    </row>
    <row r="473" spans="1:10">
      <c r="A473" s="27"/>
      <c r="B473" s="27"/>
      <c r="C473" s="27"/>
      <c r="D473" s="27"/>
      <c r="E473" s="27"/>
      <c r="F473" s="27"/>
      <c r="G473" s="27"/>
      <c r="H473" s="27"/>
      <c r="I473" s="27"/>
      <c r="J473" s="27"/>
    </row>
    <row r="474" spans="1:10">
      <c r="A474" s="27"/>
      <c r="B474" s="27"/>
      <c r="C474" s="27"/>
      <c r="D474" s="27"/>
      <c r="E474" s="27"/>
      <c r="F474" s="27"/>
      <c r="G474" s="27"/>
      <c r="H474" s="27"/>
      <c r="I474" s="27"/>
      <c r="J474" s="27"/>
    </row>
    <row r="475" spans="1:10">
      <c r="A475" s="27"/>
      <c r="B475" s="27"/>
      <c r="C475" s="27"/>
      <c r="D475" s="27"/>
      <c r="E475" s="27"/>
      <c r="F475" s="27"/>
      <c r="G475" s="27"/>
      <c r="H475" s="27"/>
      <c r="I475" s="27"/>
      <c r="J475" s="27"/>
    </row>
    <row r="476" spans="1:10">
      <c r="A476" s="27"/>
      <c r="B476" s="27"/>
      <c r="C476" s="27"/>
      <c r="D476" s="27"/>
      <c r="E476" s="27"/>
      <c r="F476" s="27"/>
      <c r="G476" s="27"/>
      <c r="H476" s="27"/>
      <c r="I476" s="27"/>
      <c r="J476" s="27"/>
    </row>
    <row r="477" spans="1:10">
      <c r="A477" s="27"/>
      <c r="B477" s="27"/>
      <c r="C477" s="27"/>
      <c r="D477" s="27"/>
      <c r="E477" s="27"/>
      <c r="F477" s="27"/>
      <c r="G477" s="27"/>
      <c r="H477" s="27"/>
      <c r="I477" s="27"/>
      <c r="J477" s="27"/>
    </row>
    <row r="478" spans="1:10">
      <c r="A478" s="27"/>
      <c r="B478" s="27"/>
      <c r="C478" s="27"/>
      <c r="D478" s="27"/>
      <c r="E478" s="27"/>
      <c r="F478" s="27"/>
      <c r="G478" s="27"/>
      <c r="H478" s="27"/>
      <c r="I478" s="27"/>
      <c r="J478" s="27"/>
    </row>
    <row r="479" spans="1:10">
      <c r="A479" s="27"/>
      <c r="B479" s="27"/>
      <c r="C479" s="27"/>
      <c r="D479" s="27"/>
      <c r="E479" s="27"/>
      <c r="F479" s="27"/>
      <c r="G479" s="27"/>
      <c r="H479" s="27"/>
      <c r="I479" s="27"/>
      <c r="J479" s="27"/>
    </row>
    <row r="480" spans="1:10">
      <c r="A480" s="27"/>
      <c r="B480" s="27"/>
      <c r="C480" s="27"/>
      <c r="D480" s="27"/>
      <c r="E480" s="27"/>
      <c r="F480" s="27"/>
      <c r="G480" s="27"/>
      <c r="H480" s="27"/>
      <c r="I480" s="27"/>
      <c r="J480" s="27"/>
    </row>
    <row r="481" spans="1:10">
      <c r="A481" s="27"/>
      <c r="B481" s="27"/>
      <c r="C481" s="27"/>
      <c r="D481" s="27"/>
      <c r="E481" s="27"/>
      <c r="F481" s="27"/>
      <c r="G481" s="27"/>
      <c r="H481" s="27"/>
      <c r="I481" s="27"/>
      <c r="J481" s="27"/>
    </row>
    <row r="482" spans="1:10">
      <c r="A482" s="27"/>
      <c r="B482" s="27"/>
      <c r="C482" s="27"/>
      <c r="D482" s="27"/>
      <c r="E482" s="27"/>
      <c r="F482" s="27"/>
      <c r="G482" s="27"/>
      <c r="H482" s="27"/>
      <c r="I482" s="27"/>
      <c r="J482" s="27"/>
    </row>
    <row r="483" spans="1:10">
      <c r="A483" s="27"/>
      <c r="B483" s="27"/>
      <c r="C483" s="27"/>
      <c r="D483" s="27"/>
      <c r="E483" s="27"/>
      <c r="F483" s="27"/>
      <c r="G483" s="27"/>
      <c r="H483" s="27"/>
      <c r="I483" s="27"/>
      <c r="J483" s="27"/>
    </row>
    <row r="484" spans="1:10">
      <c r="A484" s="27"/>
      <c r="B484" s="27"/>
      <c r="C484" s="27"/>
      <c r="D484" s="27"/>
      <c r="E484" s="27"/>
      <c r="F484" s="27"/>
      <c r="G484" s="27"/>
      <c r="H484" s="27"/>
      <c r="I484" s="27"/>
      <c r="J484" s="27"/>
    </row>
    <row r="485" spans="1:10">
      <c r="A485" s="27"/>
      <c r="B485" s="27"/>
      <c r="C485" s="27"/>
      <c r="D485" s="27"/>
      <c r="E485" s="27"/>
      <c r="F485" s="27"/>
      <c r="G485" s="27"/>
      <c r="H485" s="27"/>
      <c r="I485" s="27"/>
      <c r="J485" s="27"/>
    </row>
    <row r="486" spans="1:10">
      <c r="A486" s="27"/>
      <c r="B486" s="27"/>
      <c r="C486" s="27"/>
      <c r="D486" s="27"/>
      <c r="E486" s="27"/>
      <c r="F486" s="27"/>
      <c r="G486" s="27"/>
      <c r="H486" s="27"/>
      <c r="I486" s="27"/>
      <c r="J486" s="27"/>
    </row>
    <row r="487" spans="1:10">
      <c r="A487" s="27"/>
      <c r="B487" s="27"/>
      <c r="C487" s="27"/>
      <c r="D487" s="27"/>
      <c r="E487" s="27"/>
      <c r="F487" s="27"/>
      <c r="G487" s="27"/>
      <c r="H487" s="27"/>
      <c r="I487" s="27"/>
      <c r="J487" s="27"/>
    </row>
    <row r="488" spans="1:10">
      <c r="A488" s="27"/>
      <c r="B488" s="27"/>
      <c r="C488" s="27"/>
      <c r="D488" s="27"/>
      <c r="E488" s="27"/>
      <c r="F488" s="27"/>
      <c r="G488" s="27"/>
      <c r="H488" s="27"/>
      <c r="I488" s="27"/>
      <c r="J488" s="27"/>
    </row>
    <row r="489" spans="1:10">
      <c r="A489" s="27"/>
      <c r="B489" s="27"/>
      <c r="C489" s="27"/>
      <c r="D489" s="27"/>
      <c r="E489" s="27"/>
      <c r="F489" s="27"/>
      <c r="G489" s="27"/>
      <c r="H489" s="27"/>
      <c r="I489" s="27"/>
      <c r="J489" s="27"/>
    </row>
    <row r="490" spans="1:10">
      <c r="A490" s="27"/>
      <c r="B490" s="27"/>
      <c r="C490" s="27"/>
      <c r="D490" s="27"/>
      <c r="E490" s="27"/>
      <c r="F490" s="27"/>
      <c r="G490" s="27"/>
      <c r="H490" s="27"/>
      <c r="I490" s="27"/>
      <c r="J490" s="27"/>
    </row>
    <row r="491" spans="1:10">
      <c r="A491" s="27"/>
      <c r="B491" s="27"/>
      <c r="C491" s="27"/>
      <c r="D491" s="27"/>
      <c r="E491" s="27"/>
      <c r="F491" s="27"/>
      <c r="G491" s="27"/>
      <c r="H491" s="27"/>
      <c r="I491" s="27"/>
      <c r="J491" s="27"/>
    </row>
    <row r="492" spans="1:10">
      <c r="A492" s="27"/>
      <c r="B492" s="27"/>
      <c r="C492" s="27"/>
      <c r="D492" s="27"/>
      <c r="E492" s="27"/>
      <c r="F492" s="27"/>
      <c r="G492" s="27"/>
      <c r="H492" s="27"/>
      <c r="I492" s="27"/>
      <c r="J492" s="27"/>
    </row>
    <row r="493" spans="1:10">
      <c r="A493" s="27"/>
      <c r="B493" s="27"/>
      <c r="C493" s="27"/>
      <c r="D493" s="27"/>
      <c r="E493" s="27"/>
      <c r="F493" s="27"/>
      <c r="G493" s="27"/>
      <c r="H493" s="27"/>
      <c r="I493" s="27"/>
      <c r="J493" s="27"/>
    </row>
    <row r="494" spans="1:10">
      <c r="A494" s="27"/>
      <c r="B494" s="27"/>
      <c r="C494" s="27"/>
      <c r="D494" s="27"/>
      <c r="E494" s="27"/>
      <c r="F494" s="27"/>
      <c r="G494" s="27"/>
      <c r="H494" s="27"/>
      <c r="I494" s="27"/>
      <c r="J494" s="27"/>
    </row>
    <row r="495" spans="1:10">
      <c r="A495" s="27"/>
      <c r="B495" s="27"/>
      <c r="C495" s="27"/>
      <c r="D495" s="27"/>
      <c r="E495" s="27"/>
      <c r="F495" s="27"/>
      <c r="G495" s="27"/>
      <c r="H495" s="27"/>
      <c r="I495" s="27"/>
      <c r="J495" s="27"/>
    </row>
    <row r="496" spans="1:10">
      <c r="A496" s="27"/>
      <c r="B496" s="27"/>
      <c r="C496" s="27"/>
      <c r="D496" s="27"/>
      <c r="E496" s="27"/>
      <c r="F496" s="27"/>
      <c r="G496" s="27"/>
      <c r="H496" s="27"/>
      <c r="I496" s="27"/>
      <c r="J496" s="27"/>
    </row>
    <row r="497" spans="1:10">
      <c r="A497" s="27"/>
      <c r="B497" s="27"/>
      <c r="C497" s="27"/>
      <c r="D497" s="27"/>
      <c r="E497" s="27"/>
      <c r="F497" s="27"/>
      <c r="G497" s="27"/>
      <c r="H497" s="27"/>
      <c r="I497" s="27"/>
      <c r="J497" s="27"/>
    </row>
    <row r="498" spans="1:10">
      <c r="A498" s="27"/>
      <c r="B498" s="27"/>
      <c r="C498" s="27"/>
      <c r="D498" s="27"/>
      <c r="E498" s="27"/>
      <c r="F498" s="27"/>
      <c r="G498" s="27"/>
      <c r="H498" s="27"/>
      <c r="I498" s="27"/>
      <c r="J498" s="27"/>
    </row>
    <row r="499" spans="1:10">
      <c r="A499" s="27"/>
      <c r="B499" s="27"/>
      <c r="C499" s="27"/>
      <c r="D499" s="27"/>
      <c r="E499" s="27"/>
      <c r="F499" s="27"/>
      <c r="G499" s="27"/>
      <c r="H499" s="27"/>
      <c r="I499" s="27"/>
      <c r="J499" s="27"/>
    </row>
    <row r="500" spans="1:10">
      <c r="A500" s="27"/>
      <c r="B500" s="27"/>
      <c r="C500" s="27"/>
      <c r="D500" s="27"/>
      <c r="E500" s="27"/>
      <c r="F500" s="27"/>
      <c r="G500" s="27"/>
      <c r="H500" s="27"/>
      <c r="I500" s="27"/>
      <c r="J500" s="27"/>
    </row>
    <row r="501" spans="1:10">
      <c r="A501" s="27"/>
      <c r="B501" s="27"/>
      <c r="C501" s="27"/>
      <c r="D501" s="27"/>
      <c r="E501" s="27"/>
      <c r="F501" s="27"/>
      <c r="G501" s="27"/>
      <c r="H501" s="27"/>
      <c r="I501" s="27"/>
      <c r="J501" s="27"/>
    </row>
    <row r="502" spans="1:10">
      <c r="A502" s="27"/>
      <c r="B502" s="27"/>
      <c r="C502" s="27"/>
      <c r="D502" s="27"/>
      <c r="E502" s="27"/>
      <c r="F502" s="27"/>
      <c r="G502" s="27"/>
      <c r="H502" s="27"/>
      <c r="I502" s="27"/>
      <c r="J502" s="27"/>
    </row>
    <row r="503" spans="1:10">
      <c r="A503" s="27"/>
      <c r="B503" s="27"/>
      <c r="C503" s="27"/>
      <c r="D503" s="27"/>
      <c r="E503" s="27"/>
      <c r="F503" s="27"/>
      <c r="G503" s="27"/>
      <c r="H503" s="27"/>
      <c r="I503" s="27"/>
      <c r="J503" s="27"/>
    </row>
    <row r="504" spans="1:10">
      <c r="A504" s="27"/>
      <c r="B504" s="27"/>
      <c r="C504" s="27"/>
      <c r="D504" s="27"/>
      <c r="E504" s="27"/>
      <c r="F504" s="27"/>
      <c r="G504" s="27"/>
      <c r="H504" s="27"/>
      <c r="I504" s="27"/>
      <c r="J504" s="27"/>
    </row>
    <row r="505" spans="1:10">
      <c r="A505" s="27"/>
      <c r="B505" s="27"/>
      <c r="C505" s="27"/>
      <c r="D505" s="27"/>
      <c r="E505" s="27"/>
      <c r="F505" s="27"/>
      <c r="G505" s="27"/>
      <c r="H505" s="27"/>
      <c r="I505" s="27"/>
      <c r="J505" s="27"/>
    </row>
    <row r="506" spans="1:10">
      <c r="A506" s="27"/>
      <c r="B506" s="27"/>
      <c r="C506" s="27"/>
      <c r="D506" s="27"/>
      <c r="E506" s="27"/>
      <c r="F506" s="27"/>
      <c r="G506" s="27"/>
      <c r="H506" s="27"/>
      <c r="I506" s="27"/>
      <c r="J506" s="27"/>
    </row>
    <row r="507" spans="1:10">
      <c r="A507" s="27"/>
      <c r="B507" s="27"/>
      <c r="C507" s="27"/>
      <c r="D507" s="27"/>
      <c r="E507" s="27"/>
      <c r="F507" s="27"/>
      <c r="G507" s="27"/>
      <c r="H507" s="27"/>
      <c r="I507" s="27"/>
      <c r="J507" s="27"/>
    </row>
    <row r="508" spans="1:10">
      <c r="A508" s="27"/>
      <c r="B508" s="27"/>
      <c r="C508" s="27"/>
      <c r="D508" s="27"/>
      <c r="E508" s="27"/>
      <c r="F508" s="27"/>
      <c r="G508" s="27"/>
      <c r="H508" s="27"/>
      <c r="I508" s="27"/>
      <c r="J508" s="27"/>
    </row>
    <row r="509" spans="1:10">
      <c r="A509" s="27"/>
      <c r="B509" s="27"/>
      <c r="C509" s="27"/>
      <c r="D509" s="27"/>
      <c r="E509" s="27"/>
      <c r="F509" s="27"/>
      <c r="G509" s="27"/>
      <c r="H509" s="27"/>
      <c r="I509" s="27"/>
      <c r="J509" s="27"/>
    </row>
    <row r="510" spans="1:10">
      <c r="A510" s="27"/>
      <c r="B510" s="27"/>
      <c r="C510" s="27"/>
      <c r="D510" s="27"/>
      <c r="E510" s="27"/>
      <c r="F510" s="27"/>
      <c r="G510" s="27"/>
      <c r="H510" s="27"/>
      <c r="I510" s="27"/>
      <c r="J510" s="27"/>
    </row>
    <row r="511" spans="1:10">
      <c r="A511" s="27"/>
      <c r="B511" s="27"/>
      <c r="C511" s="27"/>
      <c r="D511" s="27"/>
      <c r="E511" s="27"/>
      <c r="F511" s="27"/>
      <c r="G511" s="27"/>
      <c r="H511" s="27"/>
      <c r="I511" s="27"/>
      <c r="J511" s="27"/>
    </row>
    <row r="512" spans="1:10">
      <c r="A512" s="27"/>
      <c r="B512" s="27"/>
      <c r="C512" s="27"/>
      <c r="D512" s="27"/>
      <c r="E512" s="27"/>
      <c r="F512" s="27"/>
      <c r="G512" s="27"/>
      <c r="H512" s="27"/>
      <c r="I512" s="27"/>
      <c r="J512" s="27"/>
    </row>
    <row r="513" spans="1:10">
      <c r="A513" s="27"/>
      <c r="B513" s="27"/>
      <c r="C513" s="27"/>
      <c r="D513" s="27"/>
      <c r="E513" s="27"/>
      <c r="F513" s="27"/>
      <c r="G513" s="27"/>
      <c r="H513" s="27"/>
      <c r="I513" s="27"/>
      <c r="J513" s="27"/>
    </row>
    <row r="514" spans="1:10">
      <c r="A514" s="27"/>
      <c r="B514" s="27"/>
      <c r="C514" s="27"/>
      <c r="D514" s="27"/>
      <c r="E514" s="27"/>
      <c r="F514" s="27"/>
      <c r="G514" s="27"/>
      <c r="H514" s="27"/>
      <c r="I514" s="27"/>
      <c r="J514" s="27"/>
    </row>
    <row r="515" spans="1:10">
      <c r="A515" s="27"/>
      <c r="B515" s="27"/>
      <c r="C515" s="27"/>
      <c r="D515" s="27"/>
      <c r="E515" s="27"/>
      <c r="F515" s="27"/>
      <c r="G515" s="27"/>
      <c r="H515" s="27"/>
      <c r="I515" s="27"/>
      <c r="J515" s="27"/>
    </row>
    <row r="516" spans="1:10">
      <c r="A516" s="27"/>
      <c r="B516" s="27"/>
      <c r="C516" s="27"/>
      <c r="D516" s="27"/>
      <c r="E516" s="27"/>
      <c r="F516" s="27"/>
      <c r="G516" s="27"/>
      <c r="H516" s="27"/>
      <c r="I516" s="27"/>
      <c r="J516" s="27"/>
    </row>
    <row r="517" spans="1:10">
      <c r="A517" s="27"/>
      <c r="B517" s="27"/>
      <c r="C517" s="27"/>
      <c r="D517" s="27"/>
      <c r="E517" s="27"/>
      <c r="F517" s="27"/>
      <c r="G517" s="27"/>
      <c r="H517" s="27"/>
      <c r="I517" s="27"/>
      <c r="J517" s="27"/>
    </row>
    <row r="518" spans="1:10">
      <c r="A518" s="27"/>
      <c r="B518" s="27"/>
      <c r="C518" s="27"/>
      <c r="D518" s="27"/>
      <c r="E518" s="27"/>
      <c r="F518" s="27"/>
      <c r="G518" s="27"/>
      <c r="H518" s="27"/>
      <c r="I518" s="27"/>
      <c r="J518" s="27"/>
    </row>
    <row r="519" spans="1:10">
      <c r="A519" s="27"/>
      <c r="B519" s="27"/>
      <c r="C519" s="27"/>
      <c r="D519" s="27"/>
      <c r="E519" s="27"/>
      <c r="F519" s="27"/>
      <c r="G519" s="27"/>
      <c r="H519" s="27"/>
      <c r="I519" s="27"/>
      <c r="J519" s="27"/>
    </row>
    <row r="520" spans="1:10">
      <c r="A520" s="27"/>
      <c r="B520" s="27"/>
      <c r="C520" s="27"/>
      <c r="D520" s="27"/>
      <c r="E520" s="27"/>
      <c r="F520" s="27"/>
      <c r="G520" s="27"/>
      <c r="H520" s="27"/>
      <c r="I520" s="27"/>
      <c r="J520" s="27"/>
    </row>
    <row r="521" spans="1:10">
      <c r="A521" s="27"/>
      <c r="B521" s="27"/>
      <c r="C521" s="27"/>
      <c r="D521" s="27"/>
      <c r="E521" s="27"/>
      <c r="F521" s="27"/>
      <c r="G521" s="27"/>
      <c r="H521" s="27"/>
      <c r="I521" s="27"/>
      <c r="J521" s="27"/>
    </row>
    <row r="522" spans="1:10">
      <c r="A522" s="27"/>
      <c r="B522" s="27"/>
      <c r="C522" s="27"/>
      <c r="D522" s="27"/>
      <c r="E522" s="27"/>
      <c r="F522" s="27"/>
      <c r="G522" s="27"/>
      <c r="H522" s="27"/>
      <c r="I522" s="27"/>
      <c r="J522" s="27"/>
    </row>
    <row r="523" spans="1:10">
      <c r="A523" s="27"/>
      <c r="B523" s="27"/>
      <c r="C523" s="27"/>
      <c r="D523" s="27"/>
      <c r="E523" s="27"/>
      <c r="F523" s="27"/>
      <c r="G523" s="27"/>
      <c r="H523" s="27"/>
      <c r="I523" s="27"/>
      <c r="J523" s="27"/>
    </row>
    <row r="524" spans="1:10">
      <c r="A524" s="27"/>
      <c r="B524" s="27"/>
      <c r="C524" s="27"/>
      <c r="D524" s="27"/>
      <c r="E524" s="27"/>
      <c r="F524" s="27"/>
      <c r="G524" s="27"/>
      <c r="H524" s="27"/>
      <c r="I524" s="27"/>
      <c r="J524" s="27"/>
    </row>
    <row r="525" spans="1:10">
      <c r="A525" s="27"/>
      <c r="B525" s="27"/>
      <c r="C525" s="27"/>
      <c r="D525" s="27"/>
      <c r="E525" s="27"/>
      <c r="F525" s="27"/>
      <c r="G525" s="27"/>
      <c r="H525" s="27"/>
      <c r="I525" s="27"/>
      <c r="J525" s="27"/>
    </row>
    <row r="526" spans="1:10">
      <c r="A526" s="27"/>
      <c r="B526" s="27"/>
      <c r="C526" s="27"/>
      <c r="D526" s="27"/>
      <c r="E526" s="27"/>
      <c r="F526" s="27"/>
      <c r="G526" s="27"/>
      <c r="H526" s="27"/>
      <c r="I526" s="27"/>
      <c r="J526" s="27"/>
    </row>
    <row r="527" spans="1:10">
      <c r="A527" s="27"/>
      <c r="B527" s="27"/>
      <c r="C527" s="27"/>
      <c r="D527" s="27"/>
      <c r="E527" s="27"/>
      <c r="F527" s="27"/>
      <c r="G527" s="27"/>
      <c r="H527" s="27"/>
      <c r="I527" s="27"/>
      <c r="J527" s="27"/>
    </row>
    <row r="528" spans="1:10">
      <c r="A528" s="27"/>
      <c r="B528" s="27"/>
      <c r="C528" s="27"/>
      <c r="D528" s="27"/>
      <c r="E528" s="27"/>
      <c r="F528" s="27"/>
      <c r="G528" s="27"/>
      <c r="H528" s="27"/>
      <c r="I528" s="27"/>
      <c r="J528" s="27"/>
    </row>
    <row r="529" spans="1:10">
      <c r="A529" s="27"/>
      <c r="B529" s="27"/>
      <c r="C529" s="27"/>
      <c r="D529" s="27"/>
      <c r="E529" s="27"/>
      <c r="F529" s="27"/>
      <c r="G529" s="27"/>
      <c r="H529" s="27"/>
      <c r="I529" s="27"/>
      <c r="J529" s="27"/>
    </row>
    <row r="530" spans="1:10">
      <c r="A530" s="27"/>
      <c r="B530" s="27"/>
      <c r="C530" s="27"/>
      <c r="D530" s="27"/>
      <c r="E530" s="27"/>
      <c r="F530" s="27"/>
      <c r="G530" s="27"/>
      <c r="H530" s="27"/>
      <c r="I530" s="27"/>
      <c r="J530" s="27"/>
    </row>
    <row r="531" spans="1:10">
      <c r="A531" s="27"/>
      <c r="B531" s="27"/>
      <c r="C531" s="27"/>
      <c r="D531" s="27"/>
      <c r="E531" s="27"/>
      <c r="F531" s="27"/>
      <c r="G531" s="27"/>
      <c r="H531" s="27"/>
      <c r="I531" s="27"/>
      <c r="J531" s="27"/>
    </row>
    <row r="532" spans="1:10">
      <c r="A532" s="27"/>
      <c r="B532" s="27"/>
      <c r="C532" s="27"/>
      <c r="D532" s="27"/>
      <c r="E532" s="27"/>
      <c r="F532" s="27"/>
      <c r="G532" s="27"/>
      <c r="H532" s="27"/>
      <c r="I532" s="27"/>
      <c r="J532" s="27"/>
    </row>
    <row r="533" spans="1:10">
      <c r="A533" s="27"/>
      <c r="B533" s="27"/>
      <c r="C533" s="27"/>
      <c r="D533" s="27"/>
      <c r="E533" s="27"/>
      <c r="F533" s="27"/>
      <c r="G533" s="27"/>
      <c r="H533" s="27"/>
      <c r="I533" s="27"/>
      <c r="J533" s="27"/>
    </row>
    <row r="534" spans="1:10">
      <c r="A534" s="27"/>
      <c r="B534" s="27"/>
      <c r="C534" s="27"/>
      <c r="D534" s="27"/>
      <c r="E534" s="27"/>
      <c r="F534" s="27"/>
      <c r="G534" s="27"/>
      <c r="H534" s="27"/>
      <c r="I534" s="27"/>
      <c r="J534" s="27"/>
    </row>
    <row r="535" spans="1:10">
      <c r="A535" s="27"/>
      <c r="B535" s="27"/>
      <c r="C535" s="27"/>
      <c r="D535" s="27"/>
      <c r="E535" s="27"/>
      <c r="F535" s="27"/>
      <c r="G535" s="27"/>
      <c r="H535" s="27"/>
      <c r="I535" s="27"/>
      <c r="J535" s="27"/>
    </row>
    <row r="536" spans="1:10">
      <c r="A536" s="27"/>
      <c r="B536" s="27"/>
      <c r="C536" s="27"/>
      <c r="D536" s="27"/>
      <c r="E536" s="27"/>
      <c r="F536" s="27"/>
      <c r="G536" s="27"/>
      <c r="H536" s="27"/>
      <c r="I536" s="27"/>
      <c r="J536" s="27"/>
    </row>
    <row r="537" spans="1:10">
      <c r="A537" s="27"/>
      <c r="B537" s="27"/>
      <c r="C537" s="27"/>
      <c r="D537" s="27"/>
      <c r="E537" s="27"/>
      <c r="F537" s="27"/>
      <c r="G537" s="27"/>
      <c r="H537" s="27"/>
      <c r="I537" s="27"/>
      <c r="J537" s="27"/>
    </row>
    <row r="538" spans="1:10">
      <c r="A538" s="27"/>
      <c r="B538" s="27"/>
      <c r="C538" s="27"/>
      <c r="D538" s="27"/>
      <c r="E538" s="27"/>
      <c r="F538" s="27"/>
      <c r="G538" s="27"/>
      <c r="H538" s="27"/>
      <c r="I538" s="27"/>
      <c r="J538" s="27"/>
    </row>
    <row r="539" spans="1:10">
      <c r="A539" s="27"/>
      <c r="B539" s="27"/>
      <c r="C539" s="27"/>
      <c r="D539" s="27"/>
      <c r="E539" s="27"/>
      <c r="F539" s="27"/>
      <c r="G539" s="27"/>
      <c r="H539" s="27"/>
      <c r="I539" s="27"/>
      <c r="J539" s="27"/>
    </row>
    <row r="540" spans="1:10">
      <c r="A540" s="27"/>
      <c r="B540" s="27"/>
      <c r="C540" s="27"/>
      <c r="D540" s="27"/>
      <c r="E540" s="27"/>
      <c r="F540" s="27"/>
      <c r="G540" s="27"/>
      <c r="H540" s="27"/>
      <c r="I540" s="27"/>
      <c r="J540" s="27"/>
    </row>
    <row r="541" spans="1:10">
      <c r="A541" s="27"/>
      <c r="B541" s="27"/>
      <c r="C541" s="27"/>
      <c r="D541" s="27"/>
      <c r="E541" s="27"/>
      <c r="F541" s="27"/>
      <c r="G541" s="27"/>
      <c r="H541" s="27"/>
      <c r="I541" s="27"/>
      <c r="J541" s="27"/>
    </row>
    <row r="542" spans="1:10">
      <c r="A542" s="27"/>
      <c r="B542" s="27"/>
      <c r="C542" s="27"/>
      <c r="D542" s="27"/>
      <c r="E542" s="27"/>
      <c r="F542" s="27"/>
      <c r="G542" s="27"/>
      <c r="H542" s="27"/>
      <c r="I542" s="27"/>
      <c r="J542" s="27"/>
    </row>
    <row r="543" spans="1:10">
      <c r="A543" s="27"/>
      <c r="B543" s="27"/>
      <c r="C543" s="27"/>
      <c r="D543" s="27"/>
      <c r="E543" s="27"/>
      <c r="F543" s="27"/>
      <c r="G543" s="27"/>
      <c r="H543" s="27"/>
      <c r="I543" s="27"/>
      <c r="J543" s="27"/>
    </row>
    <row r="544" spans="1:10">
      <c r="A544" s="27"/>
      <c r="B544" s="27"/>
      <c r="C544" s="27"/>
      <c r="D544" s="27"/>
      <c r="E544" s="27"/>
      <c r="F544" s="27"/>
      <c r="G544" s="27"/>
      <c r="H544" s="27"/>
      <c r="I544" s="27"/>
      <c r="J544" s="27"/>
    </row>
    <row r="545" spans="1:10">
      <c r="A545" s="27"/>
      <c r="B545" s="27"/>
      <c r="C545" s="27"/>
      <c r="D545" s="27"/>
      <c r="E545" s="27"/>
      <c r="F545" s="27"/>
      <c r="G545" s="27"/>
      <c r="H545" s="27"/>
      <c r="I545" s="27"/>
      <c r="J545" s="27"/>
    </row>
    <row r="546" spans="1:10">
      <c r="A546" s="27"/>
      <c r="B546" s="27"/>
      <c r="C546" s="27"/>
      <c r="D546" s="27"/>
      <c r="E546" s="27"/>
      <c r="F546" s="27"/>
      <c r="G546" s="27"/>
      <c r="H546" s="27"/>
      <c r="I546" s="27"/>
      <c r="J546" s="27"/>
    </row>
    <row r="547" spans="1:10">
      <c r="A547" s="27"/>
      <c r="B547" s="27"/>
      <c r="C547" s="27"/>
      <c r="D547" s="27"/>
      <c r="E547" s="27"/>
      <c r="F547" s="27"/>
      <c r="G547" s="27"/>
      <c r="H547" s="27"/>
      <c r="I547" s="27"/>
      <c r="J547" s="27"/>
    </row>
    <row r="548" spans="1:10">
      <c r="A548" s="27"/>
      <c r="B548" s="27"/>
      <c r="C548" s="27"/>
      <c r="D548" s="27"/>
      <c r="E548" s="27"/>
      <c r="F548" s="27"/>
      <c r="G548" s="27"/>
      <c r="H548" s="27"/>
      <c r="I548" s="27"/>
      <c r="J548" s="27"/>
    </row>
    <row r="549" spans="1:10">
      <c r="A549" s="27"/>
      <c r="B549" s="27"/>
      <c r="C549" s="27"/>
      <c r="D549" s="27"/>
      <c r="E549" s="27"/>
      <c r="F549" s="27"/>
      <c r="G549" s="27"/>
      <c r="H549" s="27"/>
      <c r="I549" s="27"/>
      <c r="J549" s="27"/>
    </row>
    <row r="550" spans="1:10">
      <c r="A550" s="27"/>
      <c r="B550" s="27"/>
      <c r="C550" s="27"/>
      <c r="D550" s="27"/>
      <c r="E550" s="27"/>
      <c r="F550" s="27"/>
      <c r="G550" s="27"/>
      <c r="H550" s="27"/>
      <c r="I550" s="27"/>
      <c r="J550" s="27"/>
    </row>
    <row r="551" spans="1:10">
      <c r="A551" s="27"/>
      <c r="B551" s="27"/>
      <c r="C551" s="27"/>
      <c r="D551" s="27"/>
      <c r="E551" s="27"/>
      <c r="F551" s="27"/>
      <c r="G551" s="27"/>
      <c r="H551" s="27"/>
      <c r="I551" s="27"/>
      <c r="J551" s="27"/>
    </row>
    <row r="552" spans="1:10">
      <c r="A552" s="27"/>
      <c r="B552" s="27"/>
      <c r="C552" s="27"/>
      <c r="D552" s="27"/>
      <c r="E552" s="27"/>
      <c r="F552" s="27"/>
      <c r="G552" s="27"/>
      <c r="H552" s="27"/>
      <c r="I552" s="27"/>
      <c r="J552" s="27"/>
    </row>
    <row r="553" spans="1:10">
      <c r="A553" s="27"/>
      <c r="B553" s="27"/>
      <c r="C553" s="27"/>
      <c r="D553" s="27"/>
      <c r="E553" s="27"/>
      <c r="F553" s="27"/>
      <c r="G553" s="27"/>
      <c r="H553" s="27"/>
      <c r="I553" s="27"/>
      <c r="J553" s="27"/>
    </row>
    <row r="554" spans="1:10">
      <c r="A554" s="27"/>
      <c r="B554" s="27"/>
      <c r="C554" s="27"/>
      <c r="D554" s="27"/>
      <c r="E554" s="27"/>
      <c r="F554" s="27"/>
      <c r="G554" s="27"/>
      <c r="H554" s="27"/>
      <c r="I554" s="27"/>
      <c r="J554" s="27"/>
    </row>
    <row r="555" spans="1:10">
      <c r="A555" s="27"/>
      <c r="B555" s="27"/>
      <c r="C555" s="27"/>
      <c r="D555" s="27"/>
      <c r="E555" s="27"/>
      <c r="F555" s="27"/>
      <c r="G555" s="27"/>
      <c r="H555" s="27"/>
      <c r="I555" s="27"/>
      <c r="J555" s="27"/>
    </row>
    <row r="556" spans="1:10">
      <c r="A556" s="27"/>
      <c r="B556" s="27"/>
      <c r="C556" s="27"/>
      <c r="D556" s="27"/>
      <c r="E556" s="27"/>
      <c r="F556" s="27"/>
      <c r="G556" s="27"/>
      <c r="H556" s="27"/>
      <c r="I556" s="27"/>
      <c r="J556" s="27"/>
    </row>
    <row r="557" spans="1:10">
      <c r="A557" s="27"/>
      <c r="B557" s="27"/>
      <c r="C557" s="27"/>
      <c r="D557" s="27"/>
      <c r="E557" s="27"/>
      <c r="F557" s="27"/>
      <c r="G557" s="27"/>
      <c r="H557" s="27"/>
      <c r="I557" s="27"/>
      <c r="J557" s="27"/>
    </row>
    <row r="558" spans="1:10">
      <c r="A558" s="27"/>
      <c r="B558" s="27"/>
      <c r="C558" s="27"/>
      <c r="D558" s="27"/>
      <c r="E558" s="27"/>
      <c r="F558" s="27"/>
      <c r="G558" s="27"/>
      <c r="H558" s="27"/>
      <c r="I558" s="27"/>
      <c r="J558" s="27"/>
    </row>
    <row r="559" spans="1:10">
      <c r="A559" s="27"/>
      <c r="B559" s="27"/>
      <c r="C559" s="27"/>
      <c r="D559" s="27"/>
      <c r="E559" s="27"/>
      <c r="F559" s="27"/>
      <c r="G559" s="27"/>
      <c r="H559" s="27"/>
      <c r="I559" s="27"/>
      <c r="J559" s="27"/>
    </row>
    <row r="560" spans="1:10">
      <c r="A560" s="27"/>
      <c r="B560" s="27"/>
      <c r="C560" s="27"/>
      <c r="D560" s="27"/>
      <c r="E560" s="27"/>
      <c r="F560" s="27"/>
      <c r="G560" s="27"/>
      <c r="H560" s="27"/>
      <c r="I560" s="27"/>
      <c r="J560" s="27"/>
    </row>
    <row r="561" spans="1:10">
      <c r="A561" s="27"/>
      <c r="B561" s="27"/>
      <c r="C561" s="27"/>
      <c r="D561" s="27"/>
      <c r="E561" s="27"/>
      <c r="F561" s="27"/>
      <c r="G561" s="27"/>
      <c r="H561" s="27"/>
      <c r="I561" s="27"/>
      <c r="J561" s="27"/>
    </row>
    <row r="562" spans="1:10">
      <c r="A562" s="27"/>
      <c r="B562" s="27"/>
      <c r="C562" s="27"/>
      <c r="D562" s="27"/>
      <c r="E562" s="27"/>
      <c r="F562" s="27"/>
      <c r="G562" s="27"/>
      <c r="H562" s="27"/>
      <c r="I562" s="27"/>
      <c r="J562" s="27"/>
    </row>
    <row r="563" spans="1:10">
      <c r="A563" s="27"/>
      <c r="B563" s="27"/>
      <c r="C563" s="27"/>
      <c r="D563" s="27"/>
      <c r="E563" s="27"/>
      <c r="F563" s="27"/>
      <c r="G563" s="27"/>
      <c r="H563" s="27"/>
      <c r="I563" s="27"/>
      <c r="J563" s="27"/>
    </row>
    <row r="564" spans="1:10">
      <c r="A564" s="27"/>
      <c r="B564" s="27"/>
      <c r="C564" s="27"/>
      <c r="D564" s="27"/>
      <c r="E564" s="27"/>
      <c r="F564" s="27"/>
      <c r="G564" s="27"/>
      <c r="H564" s="27"/>
      <c r="I564" s="27"/>
      <c r="J564" s="27"/>
    </row>
    <row r="565" spans="1:10">
      <c r="A565" s="27"/>
      <c r="B565" s="27"/>
      <c r="C565" s="27"/>
      <c r="D565" s="27"/>
      <c r="E565" s="27"/>
      <c r="F565" s="27"/>
      <c r="G565" s="27"/>
      <c r="H565" s="27"/>
      <c r="I565" s="27"/>
      <c r="J565" s="27"/>
    </row>
    <row r="566" spans="1:10">
      <c r="A566" s="27"/>
      <c r="B566" s="27"/>
      <c r="C566" s="27"/>
      <c r="D566" s="27"/>
      <c r="E566" s="27"/>
      <c r="F566" s="27"/>
      <c r="G566" s="27"/>
      <c r="H566" s="27"/>
      <c r="I566" s="27"/>
      <c r="J566" s="27"/>
    </row>
    <row r="567" spans="1:10">
      <c r="A567" s="27"/>
      <c r="B567" s="27"/>
      <c r="C567" s="27"/>
      <c r="D567" s="27"/>
      <c r="E567" s="27"/>
      <c r="F567" s="27"/>
      <c r="G567" s="27"/>
      <c r="H567" s="27"/>
      <c r="I567" s="27"/>
      <c r="J567" s="27"/>
    </row>
    <row r="568" spans="1:10">
      <c r="A568" s="27"/>
      <c r="B568" s="27"/>
      <c r="C568" s="27"/>
      <c r="D568" s="27"/>
      <c r="E568" s="27"/>
      <c r="F568" s="27"/>
      <c r="G568" s="27"/>
      <c r="H568" s="27"/>
      <c r="I568" s="27"/>
      <c r="J568" s="27"/>
    </row>
    <row r="569" spans="1:10">
      <c r="A569" s="27"/>
      <c r="B569" s="27"/>
      <c r="C569" s="27"/>
      <c r="D569" s="27"/>
      <c r="E569" s="27"/>
      <c r="F569" s="27"/>
      <c r="G569" s="27"/>
      <c r="H569" s="27"/>
      <c r="I569" s="27"/>
      <c r="J569" s="27"/>
    </row>
    <row r="570" spans="1:10">
      <c r="A570" s="27"/>
      <c r="B570" s="27"/>
      <c r="C570" s="27"/>
      <c r="D570" s="27"/>
      <c r="E570" s="27"/>
      <c r="F570" s="27"/>
      <c r="G570" s="27"/>
      <c r="H570" s="27"/>
      <c r="I570" s="27"/>
      <c r="J570" s="27"/>
    </row>
    <row r="571" spans="1:10">
      <c r="A571" s="27"/>
      <c r="B571" s="27"/>
      <c r="C571" s="27"/>
      <c r="D571" s="27"/>
      <c r="E571" s="27"/>
      <c r="F571" s="27"/>
      <c r="G571" s="27"/>
      <c r="H571" s="27"/>
      <c r="I571" s="27"/>
      <c r="J571" s="27"/>
    </row>
    <row r="572" spans="1:10">
      <c r="A572" s="27"/>
      <c r="B572" s="27"/>
      <c r="C572" s="27"/>
      <c r="D572" s="27"/>
      <c r="E572" s="27"/>
      <c r="F572" s="27"/>
      <c r="G572" s="27"/>
      <c r="H572" s="27"/>
      <c r="I572" s="27"/>
      <c r="J572" s="27"/>
    </row>
    <row r="573" spans="1:10">
      <c r="A573" s="27"/>
      <c r="B573" s="27"/>
      <c r="C573" s="27"/>
      <c r="D573" s="27"/>
      <c r="E573" s="27"/>
      <c r="F573" s="27"/>
      <c r="G573" s="27"/>
      <c r="H573" s="27"/>
      <c r="I573" s="27"/>
      <c r="J573" s="27"/>
    </row>
    <row r="574" spans="1:10">
      <c r="A574" s="27"/>
      <c r="B574" s="27"/>
      <c r="C574" s="27"/>
      <c r="D574" s="27"/>
      <c r="E574" s="27"/>
      <c r="F574" s="27"/>
      <c r="G574" s="27"/>
      <c r="H574" s="27"/>
      <c r="I574" s="27"/>
      <c r="J574" s="27"/>
    </row>
    <row r="575" spans="1:10">
      <c r="A575" s="27"/>
      <c r="B575" s="27"/>
      <c r="C575" s="27"/>
      <c r="D575" s="27"/>
      <c r="E575" s="27"/>
      <c r="F575" s="27"/>
      <c r="G575" s="27"/>
      <c r="H575" s="27"/>
      <c r="I575" s="27"/>
      <c r="J575" s="27"/>
    </row>
    <row r="576" spans="1:10">
      <c r="A576" s="27"/>
      <c r="B576" s="27"/>
      <c r="C576" s="27"/>
      <c r="D576" s="27"/>
      <c r="E576" s="27"/>
      <c r="F576" s="27"/>
      <c r="G576" s="27"/>
      <c r="H576" s="27"/>
      <c r="I576" s="27"/>
      <c r="J576" s="27"/>
    </row>
    <row r="577" spans="1:10">
      <c r="A577" s="27"/>
      <c r="B577" s="27"/>
      <c r="C577" s="27"/>
      <c r="D577" s="27"/>
      <c r="E577" s="27"/>
      <c r="F577" s="27"/>
      <c r="G577" s="27"/>
      <c r="H577" s="27"/>
      <c r="I577" s="27"/>
      <c r="J577" s="27"/>
    </row>
    <row r="578" spans="1:10">
      <c r="A578" s="27"/>
      <c r="B578" s="27"/>
      <c r="C578" s="27"/>
      <c r="D578" s="27"/>
      <c r="E578" s="27"/>
      <c r="F578" s="27"/>
      <c r="G578" s="27"/>
      <c r="H578" s="27"/>
      <c r="I578" s="27"/>
      <c r="J578" s="27"/>
    </row>
    <row r="579" spans="1:10">
      <c r="A579" s="27"/>
      <c r="B579" s="27"/>
      <c r="C579" s="27"/>
      <c r="D579" s="27"/>
      <c r="E579" s="27"/>
      <c r="F579" s="27"/>
      <c r="G579" s="27"/>
      <c r="H579" s="27"/>
      <c r="I579" s="27"/>
      <c r="J579" s="27"/>
    </row>
    <row r="580" spans="1:10">
      <c r="A580" s="27"/>
      <c r="B580" s="27"/>
      <c r="C580" s="27"/>
      <c r="D580" s="27"/>
      <c r="E580" s="27"/>
      <c r="F580" s="27"/>
      <c r="G580" s="27"/>
      <c r="H580" s="27"/>
      <c r="I580" s="27"/>
      <c r="J580" s="27"/>
    </row>
    <row r="581" spans="1:10">
      <c r="A581" s="27"/>
      <c r="B581" s="27"/>
      <c r="C581" s="27"/>
      <c r="D581" s="27"/>
      <c r="E581" s="27"/>
      <c r="F581" s="27"/>
      <c r="G581" s="27"/>
      <c r="H581" s="27"/>
      <c r="I581" s="27"/>
      <c r="J581" s="27"/>
    </row>
    <row r="582" spans="1:10">
      <c r="A582" s="27"/>
      <c r="B582" s="27"/>
      <c r="C582" s="27"/>
      <c r="D582" s="27"/>
      <c r="E582" s="27"/>
      <c r="F582" s="27"/>
      <c r="G582" s="27"/>
      <c r="H582" s="27"/>
      <c r="I582" s="27"/>
      <c r="J582" s="27"/>
    </row>
    <row r="583" spans="1:10">
      <c r="A583" s="27"/>
      <c r="B583" s="27"/>
      <c r="C583" s="27"/>
      <c r="D583" s="27"/>
      <c r="E583" s="27"/>
      <c r="F583" s="27"/>
      <c r="G583" s="27"/>
      <c r="H583" s="27"/>
      <c r="I583" s="27"/>
      <c r="J583" s="27"/>
    </row>
    <row r="584" spans="1:10">
      <c r="A584" s="27"/>
      <c r="B584" s="27"/>
      <c r="C584" s="27"/>
      <c r="D584" s="27"/>
      <c r="E584" s="27"/>
      <c r="F584" s="27"/>
      <c r="G584" s="27"/>
      <c r="H584" s="27"/>
      <c r="I584" s="27"/>
      <c r="J584" s="27"/>
    </row>
    <row r="585" spans="1:10">
      <c r="A585" s="27"/>
      <c r="B585" s="27"/>
      <c r="C585" s="27"/>
      <c r="D585" s="27"/>
      <c r="E585" s="27"/>
      <c r="F585" s="27"/>
      <c r="G585" s="27"/>
      <c r="H585" s="27"/>
      <c r="I585" s="27"/>
      <c r="J585" s="27"/>
    </row>
    <row r="586" spans="1:10">
      <c r="A586" s="27"/>
      <c r="B586" s="27"/>
      <c r="C586" s="27"/>
      <c r="D586" s="27"/>
      <c r="E586" s="27"/>
      <c r="F586" s="27"/>
      <c r="G586" s="27"/>
      <c r="H586" s="27"/>
      <c r="I586" s="27"/>
      <c r="J586" s="27"/>
    </row>
    <row r="587" spans="1:10">
      <c r="A587" s="27"/>
      <c r="B587" s="27"/>
      <c r="C587" s="27"/>
      <c r="D587" s="27"/>
      <c r="E587" s="27"/>
      <c r="F587" s="27"/>
      <c r="G587" s="27"/>
      <c r="H587" s="27"/>
      <c r="I587" s="27"/>
      <c r="J587" s="27"/>
    </row>
    <row r="588" spans="1:10">
      <c r="A588" s="27"/>
      <c r="B588" s="27"/>
      <c r="C588" s="27"/>
      <c r="D588" s="27"/>
      <c r="E588" s="27"/>
      <c r="F588" s="27"/>
      <c r="G588" s="27"/>
      <c r="H588" s="27"/>
      <c r="I588" s="27"/>
      <c r="J588" s="27"/>
    </row>
    <row r="589" spans="1:10">
      <c r="A589" s="27"/>
      <c r="B589" s="27"/>
      <c r="C589" s="27"/>
      <c r="D589" s="27"/>
      <c r="E589" s="27"/>
      <c r="F589" s="27"/>
      <c r="G589" s="27"/>
      <c r="H589" s="27"/>
      <c r="I589" s="27"/>
      <c r="J589" s="27"/>
    </row>
    <row r="590" spans="1:10">
      <c r="A590" s="27"/>
      <c r="B590" s="27"/>
      <c r="C590" s="27"/>
      <c r="D590" s="27"/>
      <c r="E590" s="27"/>
      <c r="F590" s="27"/>
      <c r="G590" s="27"/>
      <c r="H590" s="27"/>
      <c r="I590" s="27"/>
      <c r="J590" s="27"/>
    </row>
    <row r="591" spans="1:10">
      <c r="A591" s="27"/>
      <c r="B591" s="27"/>
      <c r="C591" s="27"/>
      <c r="D591" s="27"/>
      <c r="E591" s="27"/>
      <c r="F591" s="27"/>
      <c r="G591" s="27"/>
      <c r="H591" s="27"/>
      <c r="I591" s="27"/>
      <c r="J591" s="27"/>
    </row>
    <row r="592" spans="1:10">
      <c r="A592" s="27"/>
      <c r="B592" s="27"/>
      <c r="C592" s="27"/>
      <c r="D592" s="27"/>
      <c r="E592" s="27"/>
      <c r="F592" s="27"/>
      <c r="G592" s="27"/>
      <c r="H592" s="27"/>
      <c r="I592" s="27"/>
      <c r="J592" s="27"/>
    </row>
    <row r="593" spans="1:10">
      <c r="A593" s="27"/>
      <c r="B593" s="27"/>
      <c r="C593" s="27"/>
      <c r="D593" s="27"/>
      <c r="E593" s="27"/>
      <c r="F593" s="27"/>
      <c r="G593" s="27"/>
      <c r="H593" s="27"/>
      <c r="I593" s="27"/>
      <c r="J593" s="27"/>
    </row>
    <row r="594" spans="1:10">
      <c r="A594" s="27"/>
      <c r="B594" s="27"/>
      <c r="C594" s="27"/>
      <c r="D594" s="27"/>
      <c r="E594" s="27"/>
      <c r="F594" s="27"/>
      <c r="G594" s="27"/>
      <c r="H594" s="27"/>
      <c r="I594" s="27"/>
      <c r="J594" s="27"/>
    </row>
    <row r="595" spans="1:10">
      <c r="A595" s="27"/>
      <c r="B595" s="27"/>
      <c r="C595" s="27"/>
      <c r="D595" s="27"/>
      <c r="E595" s="27"/>
      <c r="F595" s="27"/>
      <c r="G595" s="27"/>
      <c r="H595" s="27"/>
      <c r="I595" s="27"/>
      <c r="J595" s="27"/>
    </row>
    <row r="596" spans="1:10">
      <c r="A596" s="27"/>
      <c r="B596" s="27"/>
      <c r="C596" s="27"/>
      <c r="D596" s="27"/>
      <c r="E596" s="27"/>
      <c r="F596" s="27"/>
      <c r="G596" s="27"/>
      <c r="H596" s="27"/>
      <c r="I596" s="27"/>
      <c r="J596" s="27"/>
    </row>
    <row r="597" spans="1:10">
      <c r="A597" s="27"/>
      <c r="B597" s="27"/>
      <c r="C597" s="27"/>
      <c r="D597" s="27"/>
      <c r="E597" s="27"/>
      <c r="F597" s="27"/>
      <c r="G597" s="27"/>
      <c r="H597" s="27"/>
      <c r="I597" s="27"/>
      <c r="J597" s="27"/>
    </row>
    <row r="598" spans="1:10">
      <c r="A598" s="27"/>
      <c r="B598" s="27"/>
      <c r="C598" s="27"/>
      <c r="D598" s="27"/>
      <c r="E598" s="27"/>
      <c r="F598" s="27"/>
      <c r="G598" s="27"/>
      <c r="H598" s="27"/>
      <c r="I598" s="27"/>
      <c r="J598" s="27"/>
    </row>
    <row r="599" spans="1:10">
      <c r="A599" s="27"/>
      <c r="B599" s="27"/>
      <c r="C599" s="27"/>
      <c r="D599" s="27"/>
      <c r="E599" s="27"/>
      <c r="F599" s="27"/>
      <c r="G599" s="27"/>
      <c r="H599" s="27"/>
      <c r="I599" s="27"/>
      <c r="J599" s="27"/>
    </row>
    <row r="600" spans="1:10">
      <c r="A600" s="27"/>
      <c r="B600" s="27"/>
      <c r="C600" s="27"/>
      <c r="D600" s="27"/>
      <c r="E600" s="27"/>
      <c r="F600" s="27"/>
      <c r="G600" s="27"/>
      <c r="H600" s="27"/>
      <c r="I600" s="27"/>
      <c r="J600" s="27"/>
    </row>
    <row r="601" spans="1:10">
      <c r="A601" s="27"/>
      <c r="B601" s="27"/>
      <c r="C601" s="27"/>
      <c r="D601" s="27"/>
      <c r="E601" s="27"/>
      <c r="F601" s="27"/>
      <c r="G601" s="27"/>
      <c r="H601" s="27"/>
      <c r="I601" s="27"/>
      <c r="J601" s="27"/>
    </row>
    <row r="602" spans="1:10">
      <c r="A602" s="27"/>
      <c r="B602" s="27"/>
      <c r="C602" s="27"/>
      <c r="D602" s="27"/>
      <c r="E602" s="27"/>
      <c r="F602" s="27"/>
      <c r="G602" s="27"/>
      <c r="H602" s="27"/>
      <c r="I602" s="27"/>
      <c r="J602" s="27"/>
    </row>
    <row r="603" spans="1:10">
      <c r="A603" s="27"/>
      <c r="B603" s="27"/>
      <c r="C603" s="27"/>
      <c r="D603" s="27"/>
      <c r="E603" s="27"/>
      <c r="F603" s="27"/>
      <c r="G603" s="27"/>
      <c r="H603" s="27"/>
      <c r="I603" s="27"/>
      <c r="J603" s="27"/>
    </row>
    <row r="604" spans="1:10">
      <c r="A604" s="27"/>
      <c r="B604" s="27"/>
      <c r="C604" s="27"/>
      <c r="D604" s="27"/>
      <c r="E604" s="27"/>
      <c r="F604" s="27"/>
      <c r="G604" s="27"/>
      <c r="H604" s="27"/>
      <c r="I604" s="27"/>
      <c r="J604" s="27"/>
    </row>
    <row r="605" spans="1:10">
      <c r="A605" s="27"/>
      <c r="B605" s="27"/>
      <c r="C605" s="27"/>
      <c r="D605" s="27"/>
      <c r="E605" s="27"/>
      <c r="F605" s="27"/>
      <c r="G605" s="27"/>
      <c r="H605" s="27"/>
      <c r="I605" s="27"/>
      <c r="J605" s="27"/>
    </row>
    <row r="606" spans="1:10">
      <c r="A606" s="27"/>
      <c r="B606" s="27"/>
      <c r="C606" s="27"/>
      <c r="D606" s="27"/>
      <c r="E606" s="27"/>
      <c r="F606" s="27"/>
      <c r="G606" s="27"/>
      <c r="H606" s="27"/>
      <c r="I606" s="27"/>
      <c r="J606" s="27"/>
    </row>
    <row r="607" spans="1:10">
      <c r="A607" s="27"/>
      <c r="B607" s="27"/>
      <c r="C607" s="27"/>
      <c r="D607" s="27"/>
      <c r="E607" s="27"/>
      <c r="F607" s="27"/>
      <c r="G607" s="27"/>
      <c r="H607" s="27"/>
      <c r="I607" s="27"/>
      <c r="J607" s="27"/>
    </row>
    <row r="608" spans="1:10">
      <c r="A608" s="27"/>
      <c r="B608" s="27"/>
      <c r="C608" s="27"/>
      <c r="D608" s="27"/>
      <c r="E608" s="27"/>
      <c r="F608" s="27"/>
      <c r="G608" s="27"/>
      <c r="H608" s="27"/>
      <c r="I608" s="27"/>
      <c r="J608" s="27"/>
    </row>
    <row r="609" spans="1:10">
      <c r="A609" s="27"/>
      <c r="B609" s="27"/>
      <c r="C609" s="27"/>
      <c r="D609" s="27"/>
      <c r="E609" s="27"/>
      <c r="F609" s="27"/>
      <c r="G609" s="27"/>
      <c r="H609" s="27"/>
      <c r="I609" s="27"/>
      <c r="J609" s="27"/>
    </row>
    <row r="610" spans="1:10">
      <c r="A610" s="27"/>
      <c r="B610" s="27"/>
      <c r="C610" s="27"/>
      <c r="D610" s="27"/>
      <c r="E610" s="27"/>
      <c r="F610" s="27"/>
      <c r="G610" s="27"/>
      <c r="H610" s="27"/>
      <c r="I610" s="27"/>
      <c r="J610" s="27"/>
    </row>
    <row r="611" spans="1:10">
      <c r="A611" s="27"/>
      <c r="B611" s="27"/>
      <c r="C611" s="27"/>
      <c r="D611" s="27"/>
      <c r="E611" s="27"/>
      <c r="F611" s="27"/>
      <c r="G611" s="27"/>
      <c r="H611" s="27"/>
      <c r="I611" s="27"/>
      <c r="J611" s="27"/>
    </row>
    <row r="612" spans="1:10">
      <c r="A612" s="27"/>
      <c r="B612" s="27"/>
      <c r="C612" s="27"/>
      <c r="D612" s="27"/>
      <c r="E612" s="27"/>
      <c r="F612" s="27"/>
      <c r="G612" s="27"/>
      <c r="H612" s="27"/>
      <c r="I612" s="27"/>
      <c r="J612" s="27"/>
    </row>
    <row r="613" spans="1:10">
      <c r="A613" s="27"/>
      <c r="B613" s="27"/>
      <c r="C613" s="27"/>
      <c r="D613" s="27"/>
      <c r="E613" s="27"/>
      <c r="F613" s="27"/>
      <c r="G613" s="27"/>
      <c r="H613" s="27"/>
      <c r="I613" s="27"/>
      <c r="J613" s="27"/>
    </row>
    <row r="614" spans="1:10">
      <c r="A614" s="27"/>
      <c r="B614" s="27"/>
      <c r="C614" s="27"/>
      <c r="D614" s="27"/>
      <c r="E614" s="27"/>
      <c r="F614" s="27"/>
      <c r="G614" s="27"/>
      <c r="H614" s="27"/>
      <c r="I614" s="27"/>
      <c r="J614" s="27"/>
    </row>
    <row r="615" spans="1:10">
      <c r="A615" s="27"/>
      <c r="B615" s="27"/>
      <c r="C615" s="27"/>
      <c r="D615" s="27"/>
      <c r="E615" s="27"/>
      <c r="F615" s="27"/>
      <c r="G615" s="27"/>
      <c r="H615" s="27"/>
      <c r="I615" s="27"/>
      <c r="J615" s="27"/>
    </row>
    <row r="616" spans="1:10">
      <c r="A616" s="27"/>
      <c r="B616" s="27"/>
      <c r="C616" s="27"/>
      <c r="D616" s="27"/>
      <c r="E616" s="27"/>
      <c r="F616" s="27"/>
      <c r="G616" s="27"/>
      <c r="H616" s="27"/>
      <c r="I616" s="27"/>
      <c r="J616" s="27"/>
    </row>
    <row r="617" spans="1:10">
      <c r="A617" s="27"/>
      <c r="B617" s="27"/>
      <c r="C617" s="27"/>
      <c r="D617" s="27"/>
      <c r="E617" s="27"/>
      <c r="F617" s="27"/>
      <c r="G617" s="27"/>
      <c r="H617" s="27"/>
      <c r="I617" s="27"/>
      <c r="J617" s="27"/>
    </row>
    <row r="618" spans="1:10">
      <c r="A618" s="27"/>
      <c r="B618" s="27"/>
      <c r="C618" s="27"/>
      <c r="D618" s="27"/>
      <c r="E618" s="27"/>
      <c r="F618" s="27"/>
      <c r="G618" s="27"/>
      <c r="H618" s="27"/>
      <c r="I618" s="27"/>
      <c r="J618" s="27"/>
    </row>
    <row r="619" spans="1:10">
      <c r="A619" s="27"/>
      <c r="B619" s="27"/>
      <c r="C619" s="27"/>
      <c r="D619" s="27"/>
      <c r="E619" s="27"/>
      <c r="F619" s="27"/>
      <c r="G619" s="27"/>
      <c r="H619" s="27"/>
      <c r="I619" s="27"/>
      <c r="J619" s="27"/>
    </row>
    <row r="620" spans="1:10">
      <c r="A620" s="27"/>
      <c r="B620" s="27"/>
      <c r="C620" s="27"/>
      <c r="D620" s="27"/>
      <c r="E620" s="27"/>
      <c r="F620" s="27"/>
      <c r="G620" s="27"/>
      <c r="H620" s="27"/>
      <c r="I620" s="27"/>
      <c r="J620" s="27"/>
    </row>
    <row r="621" spans="1:10">
      <c r="A621" s="27"/>
      <c r="B621" s="27"/>
      <c r="C621" s="27"/>
      <c r="D621" s="27"/>
      <c r="E621" s="27"/>
      <c r="F621" s="27"/>
      <c r="G621" s="27"/>
      <c r="H621" s="27"/>
      <c r="I621" s="27"/>
      <c r="J621" s="27"/>
    </row>
    <row r="622" spans="1:10">
      <c r="A622" s="27"/>
      <c r="B622" s="27"/>
      <c r="C622" s="27"/>
      <c r="D622" s="27"/>
      <c r="E622" s="27"/>
      <c r="F622" s="27"/>
      <c r="G622" s="27"/>
      <c r="H622" s="27"/>
      <c r="I622" s="27"/>
      <c r="J622" s="27"/>
    </row>
    <row r="623" spans="1:10">
      <c r="A623" s="27"/>
      <c r="B623" s="27"/>
      <c r="C623" s="27"/>
      <c r="D623" s="27"/>
      <c r="E623" s="27"/>
      <c r="F623" s="27"/>
      <c r="G623" s="27"/>
      <c r="H623" s="27"/>
      <c r="I623" s="27"/>
      <c r="J623" s="27"/>
    </row>
    <row r="624" spans="1:10">
      <c r="A624" s="27"/>
      <c r="B624" s="27"/>
      <c r="C624" s="27"/>
      <c r="D624" s="27"/>
      <c r="E624" s="27"/>
      <c r="F624" s="27"/>
      <c r="G624" s="27"/>
      <c r="H624" s="27"/>
      <c r="I624" s="27"/>
      <c r="J624" s="27"/>
    </row>
    <row r="625" spans="1:10">
      <c r="A625" s="27"/>
      <c r="B625" s="27"/>
      <c r="C625" s="27"/>
      <c r="D625" s="27"/>
      <c r="E625" s="27"/>
      <c r="F625" s="27"/>
      <c r="G625" s="27"/>
      <c r="H625" s="27"/>
      <c r="I625" s="27"/>
      <c r="J625" s="27"/>
    </row>
    <row r="626" spans="1:10">
      <c r="A626" s="27"/>
      <c r="B626" s="27"/>
      <c r="C626" s="27"/>
      <c r="D626" s="27"/>
      <c r="E626" s="27"/>
      <c r="F626" s="27"/>
      <c r="G626" s="27"/>
      <c r="H626" s="27"/>
      <c r="I626" s="27"/>
      <c r="J626" s="27"/>
    </row>
    <row r="627" spans="1:10">
      <c r="A627" s="27"/>
      <c r="B627" s="27"/>
      <c r="C627" s="27"/>
      <c r="D627" s="27"/>
      <c r="E627" s="27"/>
      <c r="F627" s="27"/>
      <c r="G627" s="27"/>
      <c r="H627" s="27"/>
      <c r="I627" s="27"/>
      <c r="J627" s="27"/>
    </row>
    <row r="628" spans="1:10">
      <c r="A628" s="27"/>
      <c r="B628" s="27"/>
      <c r="C628" s="27"/>
      <c r="D628" s="27"/>
      <c r="E628" s="27"/>
      <c r="F628" s="27"/>
      <c r="G628" s="27"/>
      <c r="H628" s="27"/>
      <c r="I628" s="27"/>
      <c r="J628" s="27"/>
    </row>
    <row r="629" spans="1:10">
      <c r="A629" s="27"/>
      <c r="B629" s="27"/>
      <c r="C629" s="27"/>
      <c r="D629" s="27"/>
      <c r="E629" s="27"/>
      <c r="F629" s="27"/>
      <c r="G629" s="27"/>
      <c r="H629" s="27"/>
      <c r="I629" s="27"/>
      <c r="J629" s="27"/>
    </row>
    <row r="630" spans="1:10">
      <c r="A630" s="27"/>
      <c r="B630" s="27"/>
      <c r="C630" s="27"/>
      <c r="D630" s="27"/>
      <c r="E630" s="27"/>
      <c r="F630" s="27"/>
      <c r="G630" s="27"/>
      <c r="H630" s="27"/>
      <c r="I630" s="27"/>
      <c r="J630" s="27"/>
    </row>
    <row r="631" spans="1:10">
      <c r="A631" s="27"/>
      <c r="B631" s="27"/>
      <c r="C631" s="27"/>
      <c r="D631" s="27"/>
      <c r="E631" s="27"/>
      <c r="F631" s="27"/>
      <c r="G631" s="27"/>
      <c r="H631" s="27"/>
      <c r="I631" s="27"/>
      <c r="J631" s="27"/>
    </row>
    <row r="632" spans="1:10">
      <c r="A632" s="27"/>
      <c r="B632" s="27"/>
      <c r="C632" s="27"/>
      <c r="D632" s="27"/>
      <c r="E632" s="27"/>
      <c r="F632" s="27"/>
      <c r="G632" s="27"/>
      <c r="H632" s="27"/>
      <c r="I632" s="27"/>
      <c r="J632" s="27"/>
    </row>
    <row r="633" spans="1:10">
      <c r="A633" s="27"/>
      <c r="B633" s="27"/>
      <c r="C633" s="27"/>
      <c r="D633" s="27"/>
      <c r="E633" s="27"/>
      <c r="F633" s="27"/>
      <c r="G633" s="27"/>
      <c r="H633" s="27"/>
      <c r="I633" s="27"/>
      <c r="J633" s="27"/>
    </row>
    <row r="634" spans="1:10">
      <c r="A634" s="27"/>
      <c r="B634" s="27"/>
      <c r="C634" s="27"/>
      <c r="D634" s="27"/>
      <c r="E634" s="27"/>
      <c r="F634" s="27"/>
      <c r="G634" s="27"/>
      <c r="H634" s="27"/>
      <c r="I634" s="27"/>
      <c r="J634" s="27"/>
    </row>
    <row r="635" spans="1:10">
      <c r="A635" s="27"/>
      <c r="B635" s="27"/>
      <c r="C635" s="27"/>
      <c r="D635" s="27"/>
      <c r="E635" s="27"/>
      <c r="F635" s="27"/>
      <c r="G635" s="27"/>
      <c r="H635" s="27"/>
      <c r="I635" s="27"/>
      <c r="J635" s="27"/>
    </row>
    <row r="636" spans="1:10">
      <c r="A636" s="27"/>
      <c r="B636" s="27"/>
      <c r="C636" s="27"/>
      <c r="D636" s="27"/>
      <c r="E636" s="27"/>
      <c r="F636" s="27"/>
      <c r="G636" s="27"/>
      <c r="H636" s="27"/>
      <c r="I636" s="27"/>
      <c r="J636" s="27"/>
    </row>
    <row r="637" spans="1:10">
      <c r="A637" s="27"/>
      <c r="B637" s="27"/>
      <c r="C637" s="27"/>
      <c r="D637" s="27"/>
      <c r="E637" s="27"/>
      <c r="F637" s="27"/>
      <c r="G637" s="27"/>
      <c r="H637" s="27"/>
      <c r="I637" s="27"/>
      <c r="J637" s="27"/>
    </row>
    <row r="638" spans="1:10">
      <c r="A638" s="27"/>
      <c r="B638" s="27"/>
      <c r="C638" s="27"/>
      <c r="D638" s="27"/>
      <c r="E638" s="27"/>
      <c r="F638" s="27"/>
      <c r="G638" s="27"/>
      <c r="H638" s="27"/>
      <c r="I638" s="27"/>
      <c r="J638" s="27"/>
    </row>
    <row r="639" spans="1:10">
      <c r="A639" s="27"/>
      <c r="B639" s="27"/>
      <c r="C639" s="27"/>
      <c r="D639" s="27"/>
      <c r="E639" s="27"/>
      <c r="F639" s="27"/>
      <c r="G639" s="27"/>
      <c r="H639" s="27"/>
      <c r="I639" s="27"/>
      <c r="J639" s="27"/>
    </row>
    <row r="640" spans="1:10">
      <c r="A640" s="27"/>
      <c r="B640" s="27"/>
      <c r="C640" s="27"/>
      <c r="D640" s="27"/>
      <c r="E640" s="27"/>
      <c r="F640" s="27"/>
      <c r="G640" s="27"/>
      <c r="H640" s="27"/>
      <c r="I640" s="27"/>
      <c r="J640" s="27"/>
    </row>
    <row r="641" spans="1:10">
      <c r="A641" s="27"/>
      <c r="B641" s="27"/>
      <c r="C641" s="27"/>
      <c r="D641" s="27"/>
      <c r="E641" s="27"/>
      <c r="F641" s="27"/>
      <c r="G641" s="27"/>
      <c r="H641" s="27"/>
      <c r="I641" s="27"/>
      <c r="J641" s="27"/>
    </row>
    <row r="642" spans="1:10">
      <c r="A642" s="27"/>
      <c r="B642" s="27"/>
      <c r="C642" s="27"/>
      <c r="D642" s="27"/>
      <c r="E642" s="27"/>
      <c r="F642" s="27"/>
      <c r="G642" s="27"/>
      <c r="H642" s="27"/>
      <c r="I642" s="27"/>
      <c r="J642" s="27"/>
    </row>
    <row r="643" spans="1:10">
      <c r="A643" s="27"/>
      <c r="B643" s="27"/>
      <c r="C643" s="27"/>
      <c r="D643" s="27"/>
      <c r="E643" s="27"/>
      <c r="F643" s="27"/>
      <c r="G643" s="27"/>
      <c r="H643" s="27"/>
      <c r="I643" s="27"/>
      <c r="J643" s="27"/>
    </row>
    <row r="644" spans="1:10">
      <c r="A644" s="27"/>
      <c r="B644" s="27"/>
      <c r="C644" s="27"/>
      <c r="D644" s="27"/>
      <c r="E644" s="27"/>
      <c r="F644" s="27"/>
      <c r="G644" s="27"/>
      <c r="H644" s="27"/>
      <c r="I644" s="27"/>
      <c r="J644" s="27"/>
    </row>
    <row r="645" spans="1:10">
      <c r="A645" s="27"/>
      <c r="B645" s="27"/>
      <c r="C645" s="27"/>
      <c r="D645" s="27"/>
      <c r="E645" s="27"/>
      <c r="F645" s="27"/>
      <c r="G645" s="27"/>
      <c r="H645" s="27"/>
      <c r="I645" s="27"/>
      <c r="J645" s="27"/>
    </row>
    <row r="646" spans="1:10">
      <c r="A646" s="27"/>
      <c r="B646" s="27"/>
      <c r="C646" s="27"/>
      <c r="D646" s="27"/>
      <c r="E646" s="27"/>
      <c r="F646" s="27"/>
      <c r="G646" s="27"/>
      <c r="H646" s="27"/>
      <c r="I646" s="27"/>
      <c r="J646" s="27"/>
    </row>
    <row r="647" spans="1:10">
      <c r="A647" s="27"/>
      <c r="B647" s="27"/>
      <c r="C647" s="27"/>
      <c r="D647" s="27"/>
      <c r="E647" s="27"/>
      <c r="F647" s="27"/>
      <c r="G647" s="27"/>
      <c r="H647" s="27"/>
      <c r="I647" s="27"/>
      <c r="J647" s="27"/>
    </row>
    <row r="648" spans="1:10">
      <c r="A648" s="27"/>
      <c r="B648" s="27"/>
      <c r="C648" s="27"/>
      <c r="D648" s="27"/>
      <c r="E648" s="27"/>
      <c r="F648" s="27"/>
      <c r="G648" s="27"/>
      <c r="H648" s="27"/>
      <c r="I648" s="27"/>
      <c r="J648" s="27"/>
    </row>
    <row r="649" spans="1:10">
      <c r="A649" s="27"/>
      <c r="B649" s="27"/>
      <c r="C649" s="27"/>
      <c r="D649" s="27"/>
      <c r="E649" s="27"/>
      <c r="F649" s="27"/>
      <c r="G649" s="27"/>
      <c r="H649" s="27"/>
      <c r="I649" s="27"/>
      <c r="J649" s="27"/>
    </row>
    <row r="650" spans="1:10">
      <c r="A650" s="27"/>
      <c r="B650" s="27"/>
      <c r="C650" s="27"/>
      <c r="D650" s="27"/>
      <c r="E650" s="27"/>
      <c r="F650" s="27"/>
      <c r="G650" s="27"/>
      <c r="H650" s="27"/>
      <c r="I650" s="27"/>
      <c r="J650" s="27"/>
    </row>
    <row r="651" spans="1:10">
      <c r="A651" s="27"/>
      <c r="B651" s="27"/>
      <c r="C651" s="27"/>
      <c r="D651" s="27"/>
      <c r="E651" s="27"/>
      <c r="F651" s="27"/>
      <c r="G651" s="27"/>
      <c r="H651" s="27"/>
      <c r="I651" s="27"/>
      <c r="J651" s="27"/>
    </row>
    <row r="652" spans="1:10">
      <c r="A652" s="27"/>
      <c r="B652" s="27"/>
      <c r="C652" s="27"/>
      <c r="D652" s="27"/>
      <c r="E652" s="27"/>
      <c r="F652" s="27"/>
      <c r="G652" s="27"/>
      <c r="H652" s="27"/>
      <c r="I652" s="27"/>
      <c r="J652" s="27"/>
    </row>
    <row r="653" spans="1:10">
      <c r="A653" s="27"/>
      <c r="B653" s="27"/>
      <c r="C653" s="27"/>
      <c r="D653" s="27"/>
      <c r="E653" s="27"/>
      <c r="F653" s="27"/>
      <c r="G653" s="27"/>
      <c r="H653" s="27"/>
      <c r="I653" s="27"/>
      <c r="J653" s="27"/>
    </row>
    <row r="654" spans="1:10">
      <c r="A654" s="27"/>
      <c r="B654" s="27"/>
      <c r="C654" s="27"/>
      <c r="D654" s="27"/>
      <c r="E654" s="27"/>
      <c r="F654" s="27"/>
      <c r="G654" s="27"/>
      <c r="H654" s="27"/>
      <c r="I654" s="27"/>
      <c r="J654" s="27"/>
    </row>
    <row r="655" spans="1:10">
      <c r="A655" s="27"/>
      <c r="B655" s="27"/>
      <c r="C655" s="27"/>
      <c r="D655" s="27"/>
      <c r="E655" s="27"/>
      <c r="F655" s="27"/>
      <c r="G655" s="27"/>
      <c r="H655" s="27"/>
      <c r="I655" s="27"/>
      <c r="J655" s="27"/>
    </row>
    <row r="656" spans="1:10">
      <c r="A656" s="27"/>
      <c r="B656" s="27"/>
      <c r="C656" s="27"/>
      <c r="D656" s="27"/>
      <c r="E656" s="27"/>
      <c r="F656" s="27"/>
      <c r="G656" s="27"/>
      <c r="H656" s="27"/>
      <c r="I656" s="27"/>
      <c r="J656" s="27"/>
    </row>
    <row r="657" spans="1:10">
      <c r="A657" s="27"/>
      <c r="B657" s="27"/>
      <c r="C657" s="27"/>
      <c r="D657" s="27"/>
      <c r="E657" s="27"/>
      <c r="F657" s="27"/>
      <c r="G657" s="27"/>
      <c r="H657" s="27"/>
      <c r="I657" s="27"/>
      <c r="J657" s="27"/>
    </row>
    <row r="658" spans="1:10">
      <c r="A658" s="27"/>
      <c r="B658" s="27"/>
      <c r="C658" s="27"/>
      <c r="D658" s="27"/>
      <c r="E658" s="27"/>
      <c r="F658" s="27"/>
      <c r="G658" s="27"/>
      <c r="H658" s="27"/>
      <c r="I658" s="27"/>
      <c r="J658" s="27"/>
    </row>
  </sheetData>
  <sortState ref="D12:D146">
    <sortCondition ref="D12"/>
  </sortState>
  <mergeCells count="1">
    <mergeCell ref="A1:I1"/>
  </mergeCells>
  <pageMargins left="0.7" right="0.7" top="0.75" bottom="0.75" header="0.3" footer="0.3"/>
  <pageSetup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
  <sheetViews>
    <sheetView zoomScaleNormal="100" workbookViewId="0">
      <pane ySplit="6" topLeftCell="A7" activePane="bottomLeft" state="frozen"/>
      <selection pane="bottomLeft" activeCell="B44" sqref="B44"/>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24" t="s">
        <v>850</v>
      </c>
      <c r="B1" s="1025"/>
      <c r="C1" s="1025"/>
      <c r="D1" s="1025"/>
      <c r="E1" s="1025"/>
      <c r="F1" s="1025"/>
      <c r="G1" s="1025"/>
      <c r="H1" s="1188"/>
      <c r="I1" s="253"/>
      <c r="J1" s="253"/>
      <c r="K1" s="411" t="s">
        <v>761</v>
      </c>
      <c r="L1" s="252">
        <f>SUM(G7:G101)</f>
        <v>350.29</v>
      </c>
      <c r="M1" s="253" t="s">
        <v>87</v>
      </c>
    </row>
    <row r="2" spans="1:26" ht="18">
      <c r="A2" s="1027"/>
      <c r="B2" s="1028"/>
      <c r="C2" s="1028"/>
      <c r="D2" s="1028"/>
      <c r="E2" s="1028"/>
      <c r="F2" s="1028"/>
      <c r="G2" s="1028"/>
      <c r="H2" s="1189"/>
      <c r="J2" s="312"/>
      <c r="K2" s="412" t="s">
        <v>654</v>
      </c>
      <c r="L2" s="252">
        <f>SUM(H7:H101)</f>
        <v>108.48526136363635</v>
      </c>
      <c r="M2" s="253" t="s">
        <v>607</v>
      </c>
    </row>
    <row r="3" spans="1:26" ht="16.5" thickBot="1">
      <c r="A3" s="1030"/>
      <c r="B3" s="1031"/>
      <c r="C3" s="1031"/>
      <c r="D3" s="1031"/>
      <c r="E3" s="1031"/>
      <c r="F3" s="1031"/>
      <c r="G3" s="1031"/>
      <c r="H3" s="1190"/>
      <c r="I3" s="16"/>
      <c r="L3" s="7"/>
      <c r="M3" s="7"/>
      <c r="N3" s="7"/>
      <c r="O3" s="7"/>
      <c r="P3" s="7"/>
      <c r="Q3" s="7"/>
      <c r="R3" s="7"/>
      <c r="S3" s="7"/>
      <c r="T3" s="7"/>
      <c r="U3" s="7"/>
      <c r="V3" s="7"/>
      <c r="W3" s="7"/>
      <c r="X3" s="7"/>
      <c r="Y3" s="7"/>
      <c r="Z3" s="7"/>
    </row>
    <row r="4" spans="1:26" ht="15.75" customHeight="1">
      <c r="A4" s="43"/>
      <c r="B4" s="45"/>
      <c r="C4" s="44" t="s">
        <v>204</v>
      </c>
      <c r="D4" s="45"/>
      <c r="E4" s="46"/>
      <c r="F4" s="44"/>
      <c r="G4" s="45"/>
      <c r="H4" s="206"/>
      <c r="I4" s="4" t="s">
        <v>604</v>
      </c>
      <c r="J4" s="4" t="s">
        <v>604</v>
      </c>
      <c r="K4" s="4" t="s">
        <v>604</v>
      </c>
      <c r="L4" s="81"/>
      <c r="O4" s="80"/>
      <c r="U4" s="80"/>
      <c r="Y4" s="80"/>
    </row>
    <row r="5" spans="1:26" ht="15.75">
      <c r="A5" s="47" t="s">
        <v>180</v>
      </c>
      <c r="B5" s="48"/>
      <c r="C5" s="48" t="s">
        <v>137</v>
      </c>
      <c r="D5" s="48"/>
      <c r="E5" s="48"/>
      <c r="F5" s="48" t="s">
        <v>183</v>
      </c>
      <c r="G5" s="48" t="s">
        <v>184</v>
      </c>
      <c r="H5" s="207" t="s">
        <v>540</v>
      </c>
      <c r="I5" s="4" t="s">
        <v>605</v>
      </c>
      <c r="J5" s="4" t="s">
        <v>605</v>
      </c>
      <c r="K5" s="4" t="s">
        <v>605</v>
      </c>
      <c r="L5" s="81"/>
      <c r="M5" s="250"/>
      <c r="O5" s="80"/>
      <c r="Q5" s="250"/>
      <c r="U5" s="80"/>
      <c r="Y5" s="80"/>
    </row>
    <row r="6" spans="1:26" ht="16.5" thickBot="1">
      <c r="A6" s="49" t="s">
        <v>181</v>
      </c>
      <c r="B6" s="50" t="s">
        <v>136</v>
      </c>
      <c r="C6" s="51" t="s">
        <v>138</v>
      </c>
      <c r="D6" s="50" t="s">
        <v>139</v>
      </c>
      <c r="E6" s="50" t="s">
        <v>140</v>
      </c>
      <c r="F6" s="51" t="s">
        <v>141</v>
      </c>
      <c r="G6" s="51" t="s">
        <v>142</v>
      </c>
      <c r="H6" s="208" t="s">
        <v>587</v>
      </c>
      <c r="I6" s="4" t="s">
        <v>602</v>
      </c>
      <c r="J6" s="249" t="s">
        <v>603</v>
      </c>
      <c r="K6" s="249" t="s">
        <v>651</v>
      </c>
      <c r="L6" s="81"/>
      <c r="O6" s="80"/>
      <c r="P6" s="1"/>
      <c r="Q6" s="32"/>
      <c r="R6" s="1"/>
      <c r="X6" s="1"/>
      <c r="Y6" s="32"/>
      <c r="Z6" s="1"/>
    </row>
    <row r="7" spans="1:26" ht="15.75" thickTop="1">
      <c r="A7" s="469">
        <v>1</v>
      </c>
      <c r="B7" s="606">
        <v>18785</v>
      </c>
      <c r="C7" s="607">
        <v>0.83750000000000002</v>
      </c>
      <c r="D7" s="470" t="s">
        <v>114</v>
      </c>
      <c r="E7" s="608" t="s">
        <v>125</v>
      </c>
      <c r="F7" s="609">
        <v>100</v>
      </c>
      <c r="G7" s="609">
        <v>10.4</v>
      </c>
      <c r="H7" s="832">
        <f>+(F7/1760)*G7</f>
        <v>0.59090909090909094</v>
      </c>
      <c r="I7" s="1">
        <f>LN(F7)</f>
        <v>4.6051701859880918</v>
      </c>
      <c r="J7" s="1">
        <f>LN(G7)</f>
        <v>2.341805806147327</v>
      </c>
      <c r="K7" s="1">
        <f>LN(H7)</f>
        <v>-0.52609309589677911</v>
      </c>
    </row>
    <row r="8" spans="1:26">
      <c r="A8" s="483">
        <f>+A7+1</f>
        <v>2</v>
      </c>
      <c r="B8" s="485">
        <v>20197</v>
      </c>
      <c r="C8" s="473">
        <v>0.78125</v>
      </c>
      <c r="D8" s="484" t="s">
        <v>116</v>
      </c>
      <c r="E8" s="472" t="s">
        <v>125</v>
      </c>
      <c r="F8" s="486">
        <v>100</v>
      </c>
      <c r="G8" s="486">
        <v>8.9</v>
      </c>
      <c r="H8" s="833">
        <f t="shared" ref="H8:H59" si="0">+(F8/1760)*G8</f>
        <v>0.50568181818181823</v>
      </c>
      <c r="I8" s="1">
        <f t="shared" ref="I8:J59" si="1">LN(F8)</f>
        <v>4.6051701859880918</v>
      </c>
      <c r="J8" s="1">
        <f t="shared" si="1"/>
        <v>2.1860512767380942</v>
      </c>
      <c r="K8" s="1">
        <f t="shared" ref="K8:K59" si="2">LN(H8)</f>
        <v>-0.68184762530601184</v>
      </c>
    </row>
    <row r="9" spans="1:26">
      <c r="A9" s="483">
        <f t="shared" ref="A9:A49" si="3">+A8+1</f>
        <v>3</v>
      </c>
      <c r="B9" s="485">
        <v>20257</v>
      </c>
      <c r="C9" s="473">
        <v>0.79861111111111116</v>
      </c>
      <c r="D9" s="484" t="s">
        <v>121</v>
      </c>
      <c r="E9" s="472" t="s">
        <v>125</v>
      </c>
      <c r="F9" s="486">
        <v>67</v>
      </c>
      <c r="G9" s="486">
        <v>16.2</v>
      </c>
      <c r="H9" s="833">
        <f t="shared" si="0"/>
        <v>0.61670454545454545</v>
      </c>
      <c r="I9" s="1">
        <f t="shared" si="1"/>
        <v>4.2046926193909657</v>
      </c>
      <c r="J9" s="1">
        <f t="shared" si="1"/>
        <v>2.7850112422383382</v>
      </c>
      <c r="K9" s="1">
        <f t="shared" si="2"/>
        <v>-0.48336522640289303</v>
      </c>
    </row>
    <row r="10" spans="1:26">
      <c r="A10" s="483">
        <f t="shared" si="3"/>
        <v>4</v>
      </c>
      <c r="B10" s="485">
        <v>20955</v>
      </c>
      <c r="C10" s="473">
        <v>0.75</v>
      </c>
      <c r="D10" s="484" t="s">
        <v>120</v>
      </c>
      <c r="E10" s="472" t="s">
        <v>125</v>
      </c>
      <c r="F10" s="486">
        <v>50</v>
      </c>
      <c r="G10" s="486">
        <v>10.199999999999999</v>
      </c>
      <c r="H10" s="833">
        <f t="shared" si="0"/>
        <v>0.28977272727272724</v>
      </c>
      <c r="I10" s="1">
        <f t="shared" si="1"/>
        <v>3.912023005428146</v>
      </c>
      <c r="J10" s="1">
        <f t="shared" si="1"/>
        <v>2.3223877202902252</v>
      </c>
      <c r="K10" s="1">
        <f t="shared" si="2"/>
        <v>-1.2386583623138261</v>
      </c>
    </row>
    <row r="11" spans="1:26">
      <c r="A11" s="483">
        <f t="shared" si="3"/>
        <v>5</v>
      </c>
      <c r="B11" s="485">
        <v>22793</v>
      </c>
      <c r="C11" s="473">
        <v>0.72916666666666663</v>
      </c>
      <c r="D11" s="484" t="s">
        <v>105</v>
      </c>
      <c r="E11" s="472" t="s">
        <v>125</v>
      </c>
      <c r="F11" s="486">
        <v>200</v>
      </c>
      <c r="G11" s="486">
        <v>4.5</v>
      </c>
      <c r="H11" s="833">
        <f t="shared" si="0"/>
        <v>0.51136363636363635</v>
      </c>
      <c r="I11" s="1">
        <f t="shared" si="1"/>
        <v>5.2983173665480363</v>
      </c>
      <c r="J11" s="1">
        <f t="shared" si="1"/>
        <v>1.5040773967762742</v>
      </c>
      <c r="K11" s="1">
        <f t="shared" si="2"/>
        <v>-0.67067432470788668</v>
      </c>
    </row>
    <row r="12" spans="1:26">
      <c r="A12" s="483">
        <f t="shared" si="3"/>
        <v>6</v>
      </c>
      <c r="B12" s="485">
        <v>23207</v>
      </c>
      <c r="C12" s="473">
        <v>0.84375</v>
      </c>
      <c r="D12" s="484" t="s">
        <v>101</v>
      </c>
      <c r="E12" s="472" t="s">
        <v>125</v>
      </c>
      <c r="F12" s="486">
        <v>10</v>
      </c>
      <c r="G12" s="486">
        <v>0.1</v>
      </c>
      <c r="H12" s="833">
        <f t="shared" si="0"/>
        <v>5.6818181818181826E-4</v>
      </c>
      <c r="I12" s="1">
        <f t="shared" si="1"/>
        <v>2.3025850929940459</v>
      </c>
      <c r="J12" s="1">
        <f t="shared" si="1"/>
        <v>-2.3025850929940455</v>
      </c>
      <c r="K12" s="1">
        <f t="shared" si="2"/>
        <v>-7.4730690880321973</v>
      </c>
    </row>
    <row r="13" spans="1:26">
      <c r="A13" s="483">
        <f t="shared" si="3"/>
        <v>7</v>
      </c>
      <c r="B13" s="485">
        <v>23896</v>
      </c>
      <c r="C13" s="473">
        <v>0.91666666666666663</v>
      </c>
      <c r="D13" s="484" t="s">
        <v>121</v>
      </c>
      <c r="E13" s="472" t="s">
        <v>125</v>
      </c>
      <c r="F13" s="486">
        <v>33</v>
      </c>
      <c r="G13" s="486">
        <v>8.8000000000000007</v>
      </c>
      <c r="H13" s="833">
        <f t="shared" si="0"/>
        <v>0.16500000000000001</v>
      </c>
      <c r="I13" s="1">
        <f t="shared" si="1"/>
        <v>3.4965075614664802</v>
      </c>
      <c r="J13" s="1">
        <f t="shared" si="1"/>
        <v>2.174751721484161</v>
      </c>
      <c r="K13" s="1">
        <f t="shared" si="2"/>
        <v>-1.8018098050815563</v>
      </c>
    </row>
    <row r="14" spans="1:26">
      <c r="A14" s="483">
        <f t="shared" si="3"/>
        <v>8</v>
      </c>
      <c r="B14" s="485">
        <v>23897</v>
      </c>
      <c r="C14" s="473">
        <v>0.875</v>
      </c>
      <c r="D14" s="484" t="s">
        <v>116</v>
      </c>
      <c r="E14" s="472" t="s">
        <v>125</v>
      </c>
      <c r="F14" s="486">
        <v>50</v>
      </c>
      <c r="G14" s="486">
        <v>6.8</v>
      </c>
      <c r="H14" s="833">
        <f t="shared" si="0"/>
        <v>0.19318181818181818</v>
      </c>
      <c r="I14" s="1">
        <f t="shared" si="1"/>
        <v>3.912023005428146</v>
      </c>
      <c r="J14" s="1">
        <f t="shared" si="1"/>
        <v>1.9169226121820611</v>
      </c>
      <c r="K14" s="1">
        <f t="shared" si="2"/>
        <v>-1.6441234704219905</v>
      </c>
    </row>
    <row r="15" spans="1:26">
      <c r="A15" s="483">
        <f t="shared" si="3"/>
        <v>9</v>
      </c>
      <c r="B15" s="485">
        <v>24656</v>
      </c>
      <c r="C15" s="473">
        <v>0.89583333333333337</v>
      </c>
      <c r="D15" s="484" t="s">
        <v>116</v>
      </c>
      <c r="E15" s="472" t="s">
        <v>125</v>
      </c>
      <c r="F15" s="486">
        <v>33</v>
      </c>
      <c r="G15" s="486">
        <v>2.2999999999999998</v>
      </c>
      <c r="H15" s="833">
        <f t="shared" si="0"/>
        <v>4.3124999999999997E-2</v>
      </c>
      <c r="I15" s="1">
        <f t="shared" si="1"/>
        <v>3.4965075614664802</v>
      </c>
      <c r="J15" s="1">
        <f t="shared" si="1"/>
        <v>0.83290912293510388</v>
      </c>
      <c r="K15" s="1">
        <f t="shared" si="2"/>
        <v>-3.1436524036306133</v>
      </c>
    </row>
    <row r="16" spans="1:26">
      <c r="A16" s="483">
        <f t="shared" si="3"/>
        <v>10</v>
      </c>
      <c r="B16" s="485">
        <v>24964</v>
      </c>
      <c r="C16" s="473">
        <v>0.67013888888888884</v>
      </c>
      <c r="D16" s="484" t="s">
        <v>110</v>
      </c>
      <c r="E16" s="472" t="s">
        <v>125</v>
      </c>
      <c r="F16" s="486">
        <v>100</v>
      </c>
      <c r="G16" s="486">
        <v>0.5</v>
      </c>
      <c r="H16" s="833">
        <f t="shared" si="0"/>
        <v>2.8409090909090908E-2</v>
      </c>
      <c r="I16" s="1">
        <f t="shared" si="1"/>
        <v>4.6051701859880918</v>
      </c>
      <c r="J16" s="1">
        <f t="shared" si="1"/>
        <v>-0.69314718055994529</v>
      </c>
      <c r="K16" s="1">
        <f t="shared" si="2"/>
        <v>-3.5610460826040513</v>
      </c>
    </row>
    <row r="17" spans="1:11">
      <c r="A17" s="483">
        <f t="shared" si="3"/>
        <v>11</v>
      </c>
      <c r="B17" s="485">
        <v>26042</v>
      </c>
      <c r="C17" s="473">
        <v>2.0833333333333332E-2</v>
      </c>
      <c r="D17" s="484" t="s">
        <v>117</v>
      </c>
      <c r="E17" s="472" t="s">
        <v>125</v>
      </c>
      <c r="F17" s="486">
        <v>133</v>
      </c>
      <c r="G17" s="486">
        <v>6.1</v>
      </c>
      <c r="H17" s="833">
        <f t="shared" si="0"/>
        <v>0.46096590909090901</v>
      </c>
      <c r="I17" s="1">
        <f t="shared" si="1"/>
        <v>4.8903491282217537</v>
      </c>
      <c r="J17" s="1">
        <f t="shared" si="1"/>
        <v>1.8082887711792655</v>
      </c>
      <c r="K17" s="1">
        <f t="shared" si="2"/>
        <v>-0.77443118863117832</v>
      </c>
    </row>
    <row r="18" spans="1:11">
      <c r="A18" s="483">
        <f t="shared" si="3"/>
        <v>12</v>
      </c>
      <c r="B18" s="485">
        <v>26089</v>
      </c>
      <c r="C18" s="473">
        <v>0.75</v>
      </c>
      <c r="D18" s="484" t="s">
        <v>109</v>
      </c>
      <c r="E18" s="472" t="s">
        <v>125</v>
      </c>
      <c r="F18" s="486">
        <v>1320</v>
      </c>
      <c r="G18" s="486">
        <v>4.7</v>
      </c>
      <c r="H18" s="833">
        <f t="shared" si="0"/>
        <v>3.5250000000000004</v>
      </c>
      <c r="I18" s="1">
        <f t="shared" si="1"/>
        <v>7.1853870155804165</v>
      </c>
      <c r="J18" s="1">
        <f t="shared" si="1"/>
        <v>1.547562508716013</v>
      </c>
      <c r="K18" s="1">
        <f t="shared" si="2"/>
        <v>1.2598804362642322</v>
      </c>
    </row>
    <row r="19" spans="1:11">
      <c r="A19" s="483">
        <f t="shared" si="3"/>
        <v>13</v>
      </c>
      <c r="B19" s="485">
        <v>26223</v>
      </c>
      <c r="C19" s="473">
        <v>0.89583333333333337</v>
      </c>
      <c r="D19" s="484" t="s">
        <v>114</v>
      </c>
      <c r="E19" s="472" t="s">
        <v>125</v>
      </c>
      <c r="F19" s="486">
        <v>100</v>
      </c>
      <c r="G19" s="486">
        <v>2.2999999999999998</v>
      </c>
      <c r="H19" s="833">
        <f t="shared" si="0"/>
        <v>0.13068181818181818</v>
      </c>
      <c r="I19" s="1">
        <f t="shared" si="1"/>
        <v>4.6051701859880918</v>
      </c>
      <c r="J19" s="1">
        <f t="shared" si="1"/>
        <v>0.83290912293510388</v>
      </c>
      <c r="K19" s="1">
        <f t="shared" si="2"/>
        <v>-2.0349897791090021</v>
      </c>
    </row>
    <row r="20" spans="1:11">
      <c r="A20" s="483">
        <f t="shared" si="3"/>
        <v>14</v>
      </c>
      <c r="B20" s="485">
        <v>27479</v>
      </c>
      <c r="C20" s="473">
        <v>0.99305555555555547</v>
      </c>
      <c r="D20" s="484" t="s">
        <v>115</v>
      </c>
      <c r="E20" s="472" t="s">
        <v>125</v>
      </c>
      <c r="F20" s="486">
        <v>220</v>
      </c>
      <c r="G20" s="486">
        <v>1</v>
      </c>
      <c r="H20" s="833">
        <f t="shared" si="0"/>
        <v>0.125</v>
      </c>
      <c r="I20" s="1">
        <f t="shared" si="1"/>
        <v>5.393627546352362</v>
      </c>
      <c r="J20" s="1">
        <f t="shared" si="1"/>
        <v>0</v>
      </c>
      <c r="K20" s="1">
        <f t="shared" si="2"/>
        <v>-2.0794415416798357</v>
      </c>
    </row>
    <row r="21" spans="1:11">
      <c r="A21" s="483">
        <f t="shared" si="3"/>
        <v>15</v>
      </c>
      <c r="B21" s="485">
        <v>28261</v>
      </c>
      <c r="C21" s="473">
        <v>0.63194444444444442</v>
      </c>
      <c r="D21" s="484" t="s">
        <v>121</v>
      </c>
      <c r="E21" s="472" t="s">
        <v>125</v>
      </c>
      <c r="F21" s="486">
        <v>500</v>
      </c>
      <c r="G21" s="486">
        <v>16.7</v>
      </c>
      <c r="H21" s="833">
        <f t="shared" si="0"/>
        <v>4.7443181818181817</v>
      </c>
      <c r="I21" s="1">
        <f t="shared" si="1"/>
        <v>6.2146080984221914</v>
      </c>
      <c r="J21" s="1">
        <f t="shared" si="1"/>
        <v>2.8154087194227095</v>
      </c>
      <c r="K21" s="1">
        <f t="shared" si="2"/>
        <v>1.5569477298127037</v>
      </c>
    </row>
    <row r="22" spans="1:11">
      <c r="A22" s="483">
        <f t="shared" si="3"/>
        <v>16</v>
      </c>
      <c r="B22" s="485">
        <v>28261</v>
      </c>
      <c r="C22" s="473">
        <v>0.67013888888888884</v>
      </c>
      <c r="D22" s="484" t="s">
        <v>121</v>
      </c>
      <c r="E22" s="472" t="s">
        <v>125</v>
      </c>
      <c r="F22" s="486">
        <v>500</v>
      </c>
      <c r="G22" s="486">
        <v>3</v>
      </c>
      <c r="H22" s="833">
        <f t="shared" si="0"/>
        <v>0.85227272727272729</v>
      </c>
      <c r="I22" s="1">
        <f t="shared" si="1"/>
        <v>6.2146080984221914</v>
      </c>
      <c r="J22" s="1">
        <f t="shared" si="1"/>
        <v>1.0986122886681098</v>
      </c>
      <c r="K22" s="1">
        <f t="shared" si="2"/>
        <v>-0.15984870094189602</v>
      </c>
    </row>
    <row r="23" spans="1:11">
      <c r="A23" s="483">
        <f t="shared" si="3"/>
        <v>17</v>
      </c>
      <c r="B23" s="485">
        <v>28261</v>
      </c>
      <c r="C23" s="473">
        <v>0.67569444444444438</v>
      </c>
      <c r="D23" s="484" t="s">
        <v>116</v>
      </c>
      <c r="E23" s="472" t="s">
        <v>125</v>
      </c>
      <c r="F23" s="486">
        <v>500</v>
      </c>
      <c r="G23" s="486">
        <v>12</v>
      </c>
      <c r="H23" s="833">
        <f t="shared" si="0"/>
        <v>3.4090909090909092</v>
      </c>
      <c r="I23" s="1">
        <f t="shared" si="1"/>
        <v>6.2146080984221914</v>
      </c>
      <c r="J23" s="1">
        <f t="shared" si="1"/>
        <v>2.4849066497880004</v>
      </c>
      <c r="K23" s="1">
        <f t="shared" si="2"/>
        <v>1.2264456601779945</v>
      </c>
    </row>
    <row r="24" spans="1:11">
      <c r="A24" s="483">
        <f t="shared" si="3"/>
        <v>18</v>
      </c>
      <c r="B24" s="485">
        <v>28610</v>
      </c>
      <c r="C24" s="473">
        <v>0.68611111111111101</v>
      </c>
      <c r="D24" s="484" t="s">
        <v>106</v>
      </c>
      <c r="E24" s="472" t="s">
        <v>125</v>
      </c>
      <c r="F24" s="486">
        <v>100</v>
      </c>
      <c r="G24" s="486">
        <v>14.4</v>
      </c>
      <c r="H24" s="833">
        <f t="shared" si="0"/>
        <v>0.81818181818181812</v>
      </c>
      <c r="I24" s="1">
        <f t="shared" si="1"/>
        <v>4.6051701859880918</v>
      </c>
      <c r="J24" s="1">
        <f t="shared" si="1"/>
        <v>2.6672282065819548</v>
      </c>
      <c r="K24" s="1">
        <f t="shared" si="2"/>
        <v>-0.20067069546215124</v>
      </c>
    </row>
    <row r="25" spans="1:11">
      <c r="A25" s="483">
        <f t="shared" si="3"/>
        <v>19</v>
      </c>
      <c r="B25" s="485">
        <v>30029</v>
      </c>
      <c r="C25" s="473">
        <v>4.1666666666666664E-2</v>
      </c>
      <c r="D25" s="484" t="s">
        <v>101</v>
      </c>
      <c r="E25" s="472" t="s">
        <v>125</v>
      </c>
      <c r="F25" s="486">
        <v>880</v>
      </c>
      <c r="G25" s="486">
        <v>29</v>
      </c>
      <c r="H25" s="831">
        <f t="shared" si="0"/>
        <v>14.5</v>
      </c>
      <c r="I25" s="1">
        <f t="shared" si="1"/>
        <v>6.7799219074722519</v>
      </c>
      <c r="J25" s="1">
        <f t="shared" si="1"/>
        <v>3.3672958299864741</v>
      </c>
      <c r="K25" s="1">
        <f t="shared" si="2"/>
        <v>2.6741486494265287</v>
      </c>
    </row>
    <row r="26" spans="1:11">
      <c r="A26" s="483">
        <f t="shared" si="3"/>
        <v>20</v>
      </c>
      <c r="B26" s="485">
        <v>30080</v>
      </c>
      <c r="C26" s="473">
        <v>0.7993055555555556</v>
      </c>
      <c r="D26" s="484" t="s">
        <v>118</v>
      </c>
      <c r="E26" s="472" t="s">
        <v>125</v>
      </c>
      <c r="F26" s="486">
        <v>40</v>
      </c>
      <c r="G26" s="486">
        <v>2</v>
      </c>
      <c r="H26" s="833">
        <f t="shared" si="0"/>
        <v>4.5454545454545456E-2</v>
      </c>
      <c r="I26" s="1">
        <f t="shared" si="1"/>
        <v>3.6888794541139363</v>
      </c>
      <c r="J26" s="1">
        <f t="shared" si="1"/>
        <v>0.69314718055994529</v>
      </c>
      <c r="K26" s="1">
        <f t="shared" si="2"/>
        <v>-3.0910424533583156</v>
      </c>
    </row>
    <row r="27" spans="1:11">
      <c r="A27" s="483">
        <f t="shared" si="3"/>
        <v>21</v>
      </c>
      <c r="B27" s="485">
        <v>30080</v>
      </c>
      <c r="C27" s="473">
        <v>0.80208333333333337</v>
      </c>
      <c r="D27" s="484" t="s">
        <v>113</v>
      </c>
      <c r="E27" s="472" t="s">
        <v>125</v>
      </c>
      <c r="F27" s="486">
        <v>40</v>
      </c>
      <c r="G27" s="486">
        <v>6</v>
      </c>
      <c r="H27" s="833">
        <f t="shared" si="0"/>
        <v>0.13636363636363635</v>
      </c>
      <c r="I27" s="1">
        <f t="shared" si="1"/>
        <v>3.6888794541139363</v>
      </c>
      <c r="J27" s="1">
        <f t="shared" si="1"/>
        <v>1.791759469228055</v>
      </c>
      <c r="K27" s="1">
        <f t="shared" si="2"/>
        <v>-1.9924301646902063</v>
      </c>
    </row>
    <row r="28" spans="1:11">
      <c r="A28" s="483">
        <f t="shared" si="3"/>
        <v>22</v>
      </c>
      <c r="B28" s="485">
        <v>30090</v>
      </c>
      <c r="C28" s="473">
        <v>0.72430555555555554</v>
      </c>
      <c r="D28" s="484" t="s">
        <v>115</v>
      </c>
      <c r="E28" s="472" t="s">
        <v>125</v>
      </c>
      <c r="F28" s="486">
        <v>587</v>
      </c>
      <c r="G28" s="486">
        <v>1.5</v>
      </c>
      <c r="H28" s="833">
        <f t="shared" si="0"/>
        <v>0.50028409090909087</v>
      </c>
      <c r="I28" s="1">
        <f t="shared" si="1"/>
        <v>6.3750248198280968</v>
      </c>
      <c r="J28" s="1">
        <f t="shared" si="1"/>
        <v>0.40546510810816438</v>
      </c>
      <c r="K28" s="1">
        <f t="shared" si="2"/>
        <v>-0.69257916009593667</v>
      </c>
    </row>
    <row r="29" spans="1:11">
      <c r="A29" s="483">
        <f t="shared" si="3"/>
        <v>23</v>
      </c>
      <c r="B29" s="485">
        <v>30090</v>
      </c>
      <c r="C29" s="473">
        <v>0.74513888888888891</v>
      </c>
      <c r="D29" s="484" t="s">
        <v>115</v>
      </c>
      <c r="E29" s="472" t="s">
        <v>125</v>
      </c>
      <c r="F29" s="486">
        <v>880</v>
      </c>
      <c r="G29" s="486">
        <v>4</v>
      </c>
      <c r="H29" s="833">
        <f t="shared" si="0"/>
        <v>2</v>
      </c>
      <c r="I29" s="1">
        <f t="shared" si="1"/>
        <v>6.7799219074722519</v>
      </c>
      <c r="J29" s="1">
        <f t="shared" si="1"/>
        <v>1.3862943611198906</v>
      </c>
      <c r="K29" s="1">
        <f t="shared" si="2"/>
        <v>0.69314718055994529</v>
      </c>
    </row>
    <row r="30" spans="1:11">
      <c r="A30" s="483">
        <f t="shared" si="3"/>
        <v>24</v>
      </c>
      <c r="B30" s="485">
        <v>30090</v>
      </c>
      <c r="C30" s="473">
        <v>0.76736111111111116</v>
      </c>
      <c r="D30" s="484" t="s">
        <v>115</v>
      </c>
      <c r="E30" s="472" t="s">
        <v>125</v>
      </c>
      <c r="F30" s="486">
        <v>100</v>
      </c>
      <c r="G30" s="486">
        <v>2</v>
      </c>
      <c r="H30" s="833">
        <f t="shared" si="0"/>
        <v>0.11363636363636363</v>
      </c>
      <c r="I30" s="1">
        <f t="shared" si="1"/>
        <v>4.6051701859880918</v>
      </c>
      <c r="J30" s="1">
        <f t="shared" si="1"/>
        <v>0.69314718055994529</v>
      </c>
      <c r="K30" s="1">
        <f t="shared" si="2"/>
        <v>-2.174751721484161</v>
      </c>
    </row>
    <row r="31" spans="1:11">
      <c r="A31" s="483">
        <f t="shared" si="3"/>
        <v>25</v>
      </c>
      <c r="B31" s="485">
        <v>31539</v>
      </c>
      <c r="C31" s="473">
        <v>0.69097222222222221</v>
      </c>
      <c r="D31" s="484" t="s">
        <v>111</v>
      </c>
      <c r="E31" s="472" t="s">
        <v>125</v>
      </c>
      <c r="F31" s="486">
        <v>300</v>
      </c>
      <c r="G31" s="486">
        <v>7</v>
      </c>
      <c r="H31" s="833">
        <f t="shared" si="0"/>
        <v>1.1931818181818181</v>
      </c>
      <c r="I31" s="1">
        <f t="shared" si="1"/>
        <v>5.7037824746562009</v>
      </c>
      <c r="J31" s="1">
        <f t="shared" si="1"/>
        <v>1.9459101490553132</v>
      </c>
      <c r="K31" s="1">
        <f t="shared" si="2"/>
        <v>0.17662353567931685</v>
      </c>
    </row>
    <row r="32" spans="1:11">
      <c r="A32" s="483">
        <f t="shared" si="3"/>
        <v>26</v>
      </c>
      <c r="B32" s="485">
        <v>31858</v>
      </c>
      <c r="C32" s="473">
        <v>0.73958333333333337</v>
      </c>
      <c r="D32" s="484" t="s">
        <v>106</v>
      </c>
      <c r="E32" s="472" t="s">
        <v>125</v>
      </c>
      <c r="F32" s="486">
        <v>440</v>
      </c>
      <c r="G32" s="486">
        <v>30</v>
      </c>
      <c r="H32" s="833">
        <f t="shared" si="0"/>
        <v>7.5</v>
      </c>
      <c r="I32" s="1">
        <f t="shared" si="1"/>
        <v>6.0867747269123065</v>
      </c>
      <c r="J32" s="1">
        <f t="shared" si="1"/>
        <v>3.4011973816621555</v>
      </c>
      <c r="K32" s="1">
        <f t="shared" si="2"/>
        <v>2.0149030205422647</v>
      </c>
    </row>
    <row r="33" spans="1:11">
      <c r="A33" s="483">
        <f t="shared" si="3"/>
        <v>27</v>
      </c>
      <c r="B33" s="485">
        <v>31922</v>
      </c>
      <c r="C33" s="473">
        <v>0.72222222222222221</v>
      </c>
      <c r="D33" s="484" t="s">
        <v>104</v>
      </c>
      <c r="E33" s="472" t="s">
        <v>125</v>
      </c>
      <c r="F33" s="486">
        <v>530</v>
      </c>
      <c r="G33" s="486">
        <v>3</v>
      </c>
      <c r="H33" s="833">
        <f t="shared" si="0"/>
        <v>0.90340909090909094</v>
      </c>
      <c r="I33" s="1">
        <f t="shared" si="1"/>
        <v>6.2728770065461674</v>
      </c>
      <c r="J33" s="1">
        <f t="shared" si="1"/>
        <v>1.0986122886681098</v>
      </c>
      <c r="K33" s="1">
        <f t="shared" si="2"/>
        <v>-0.10157979281792022</v>
      </c>
    </row>
    <row r="34" spans="1:11">
      <c r="A34" s="483">
        <f t="shared" si="3"/>
        <v>28</v>
      </c>
      <c r="B34" s="485">
        <v>31922</v>
      </c>
      <c r="C34" s="473">
        <v>0.8</v>
      </c>
      <c r="D34" s="484" t="s">
        <v>105</v>
      </c>
      <c r="E34" s="472" t="s">
        <v>125</v>
      </c>
      <c r="F34" s="486">
        <v>700</v>
      </c>
      <c r="G34" s="486">
        <v>3</v>
      </c>
      <c r="H34" s="833">
        <f t="shared" si="0"/>
        <v>1.1931818181818181</v>
      </c>
      <c r="I34" s="1">
        <f t="shared" si="1"/>
        <v>6.5510803350434044</v>
      </c>
      <c r="J34" s="1">
        <f t="shared" si="1"/>
        <v>1.0986122886681098</v>
      </c>
      <c r="K34" s="1">
        <f t="shared" si="2"/>
        <v>0.17662353567931685</v>
      </c>
    </row>
    <row r="35" spans="1:11">
      <c r="A35" s="483">
        <f t="shared" si="3"/>
        <v>29</v>
      </c>
      <c r="B35" s="485">
        <v>33024</v>
      </c>
      <c r="C35" s="473">
        <v>0.7368055555555556</v>
      </c>
      <c r="D35" s="484" t="s">
        <v>105</v>
      </c>
      <c r="E35" s="472" t="s">
        <v>125</v>
      </c>
      <c r="F35" s="486">
        <v>1407</v>
      </c>
      <c r="G35" s="486">
        <v>14</v>
      </c>
      <c r="H35" s="833">
        <f t="shared" si="0"/>
        <v>11.192045454545454</v>
      </c>
      <c r="I35" s="1">
        <f t="shared" si="1"/>
        <v>7.2492150571143892</v>
      </c>
      <c r="J35" s="1">
        <f t="shared" si="1"/>
        <v>2.6390573296152584</v>
      </c>
      <c r="K35" s="1">
        <f t="shared" si="2"/>
        <v>2.4152032986974503</v>
      </c>
    </row>
    <row r="36" spans="1:11">
      <c r="A36" s="483">
        <f t="shared" si="3"/>
        <v>30</v>
      </c>
      <c r="B36" s="485">
        <v>33373</v>
      </c>
      <c r="C36" s="473">
        <v>0.84513888888888899</v>
      </c>
      <c r="D36" s="484" t="s">
        <v>121</v>
      </c>
      <c r="E36" s="472" t="s">
        <v>125</v>
      </c>
      <c r="F36" s="486">
        <v>450</v>
      </c>
      <c r="G36" s="486">
        <v>12</v>
      </c>
      <c r="H36" s="833">
        <f t="shared" si="0"/>
        <v>3.0681818181818183</v>
      </c>
      <c r="I36" s="1">
        <f t="shared" si="1"/>
        <v>6.1092475827643655</v>
      </c>
      <c r="J36" s="1">
        <f t="shared" si="1"/>
        <v>2.4849066497880004</v>
      </c>
      <c r="K36" s="1">
        <f t="shared" si="2"/>
        <v>1.1210851445201684</v>
      </c>
    </row>
    <row r="37" spans="1:11">
      <c r="A37" s="483">
        <f t="shared" si="3"/>
        <v>31</v>
      </c>
      <c r="B37" s="485">
        <v>33373</v>
      </c>
      <c r="C37" s="473">
        <v>0.87361111111111101</v>
      </c>
      <c r="D37" s="484" t="s">
        <v>116</v>
      </c>
      <c r="E37" s="472" t="s">
        <v>125</v>
      </c>
      <c r="F37" s="486">
        <v>450</v>
      </c>
      <c r="G37" s="486">
        <v>4</v>
      </c>
      <c r="H37" s="833">
        <f t="shared" si="0"/>
        <v>1.0227272727272727</v>
      </c>
      <c r="I37" s="1">
        <f t="shared" si="1"/>
        <v>6.1092475827643655</v>
      </c>
      <c r="J37" s="1">
        <f t="shared" si="1"/>
        <v>1.3862943611198906</v>
      </c>
      <c r="K37" s="1">
        <f t="shared" si="2"/>
        <v>2.2472855852058576E-2</v>
      </c>
    </row>
    <row r="38" spans="1:11">
      <c r="A38" s="483">
        <f t="shared" si="3"/>
        <v>32</v>
      </c>
      <c r="B38" s="485">
        <v>33782</v>
      </c>
      <c r="C38" s="473">
        <v>0.73402777777777783</v>
      </c>
      <c r="D38" s="484" t="s">
        <v>108</v>
      </c>
      <c r="E38" s="472" t="s">
        <v>125</v>
      </c>
      <c r="F38" s="486">
        <v>300</v>
      </c>
      <c r="G38" s="486">
        <v>5</v>
      </c>
      <c r="H38" s="833">
        <f t="shared" si="0"/>
        <v>0.85227272727272718</v>
      </c>
      <c r="I38" s="1">
        <f t="shared" si="1"/>
        <v>5.7037824746562009</v>
      </c>
      <c r="J38" s="1">
        <f t="shared" si="1"/>
        <v>1.6094379124341003</v>
      </c>
      <c r="K38" s="1">
        <f t="shared" si="2"/>
        <v>-0.15984870094189613</v>
      </c>
    </row>
    <row r="39" spans="1:11">
      <c r="A39" s="483">
        <f t="shared" si="3"/>
        <v>33</v>
      </c>
      <c r="B39" s="485">
        <v>34094</v>
      </c>
      <c r="C39" s="473">
        <v>0.73472222222222217</v>
      </c>
      <c r="D39" s="484" t="s">
        <v>100</v>
      </c>
      <c r="E39" s="472" t="s">
        <v>125</v>
      </c>
      <c r="F39" s="486">
        <v>500</v>
      </c>
      <c r="G39" s="486">
        <v>4</v>
      </c>
      <c r="H39" s="833">
        <f t="shared" si="0"/>
        <v>1.1363636363636365</v>
      </c>
      <c r="I39" s="1">
        <f t="shared" si="1"/>
        <v>6.2146080984221914</v>
      </c>
      <c r="J39" s="1">
        <f t="shared" si="1"/>
        <v>1.3862943611198906</v>
      </c>
      <c r="K39" s="1">
        <f t="shared" si="2"/>
        <v>0.127833371509885</v>
      </c>
    </row>
    <row r="40" spans="1:11">
      <c r="A40" s="483">
        <f t="shared" si="3"/>
        <v>34</v>
      </c>
      <c r="B40" s="485">
        <v>34094</v>
      </c>
      <c r="C40" s="473">
        <v>0.78749999999999998</v>
      </c>
      <c r="D40" s="484" t="s">
        <v>100</v>
      </c>
      <c r="E40" s="472" t="s">
        <v>125</v>
      </c>
      <c r="F40" s="486">
        <v>1200</v>
      </c>
      <c r="G40" s="486">
        <v>11</v>
      </c>
      <c r="H40" s="833">
        <f t="shared" si="0"/>
        <v>7.4999999999999991</v>
      </c>
      <c r="I40" s="1">
        <f t="shared" si="1"/>
        <v>7.0900768357760917</v>
      </c>
      <c r="J40" s="1">
        <f t="shared" si="1"/>
        <v>2.3978952727983707</v>
      </c>
      <c r="K40" s="1">
        <f t="shared" si="2"/>
        <v>2.0149030205422647</v>
      </c>
    </row>
    <row r="41" spans="1:11">
      <c r="A41" s="483">
        <f t="shared" si="3"/>
        <v>35</v>
      </c>
      <c r="B41" s="485">
        <v>35592</v>
      </c>
      <c r="C41" s="473">
        <v>0.7402777777777777</v>
      </c>
      <c r="D41" s="484" t="s">
        <v>116</v>
      </c>
      <c r="E41" s="472" t="s">
        <v>125</v>
      </c>
      <c r="F41" s="486">
        <v>600</v>
      </c>
      <c r="G41" s="486">
        <v>9</v>
      </c>
      <c r="H41" s="833">
        <f t="shared" si="0"/>
        <v>3.0681818181818179</v>
      </c>
      <c r="I41" s="1">
        <f t="shared" si="1"/>
        <v>6.3969296552161463</v>
      </c>
      <c r="J41" s="1">
        <f t="shared" si="1"/>
        <v>2.1972245773362196</v>
      </c>
      <c r="K41" s="1">
        <f t="shared" si="2"/>
        <v>1.1210851445201682</v>
      </c>
    </row>
    <row r="42" spans="1:11">
      <c r="A42" s="483">
        <f t="shared" si="3"/>
        <v>36</v>
      </c>
      <c r="B42" s="485">
        <v>37040</v>
      </c>
      <c r="C42" s="473">
        <v>0.76041666666666663</v>
      </c>
      <c r="D42" s="484" t="s">
        <v>114</v>
      </c>
      <c r="E42" s="472" t="s">
        <v>125</v>
      </c>
      <c r="F42" s="486">
        <v>440</v>
      </c>
      <c r="G42" s="486">
        <v>10</v>
      </c>
      <c r="H42" s="833">
        <f t="shared" si="0"/>
        <v>2.5</v>
      </c>
      <c r="I42" s="1">
        <f t="shared" si="1"/>
        <v>6.0867747269123065</v>
      </c>
      <c r="J42" s="1">
        <f t="shared" si="1"/>
        <v>2.3025850929940459</v>
      </c>
      <c r="K42" s="1">
        <f t="shared" si="2"/>
        <v>0.91629073187415511</v>
      </c>
    </row>
    <row r="43" spans="1:11">
      <c r="A43" s="483">
        <f t="shared" si="3"/>
        <v>37</v>
      </c>
      <c r="B43" s="485">
        <v>39169</v>
      </c>
      <c r="C43" s="473">
        <v>0.77708333333333324</v>
      </c>
      <c r="D43" s="484" t="s">
        <v>120</v>
      </c>
      <c r="E43" s="472" t="s">
        <v>163</v>
      </c>
      <c r="F43" s="486">
        <v>600</v>
      </c>
      <c r="G43" s="486">
        <v>3.35</v>
      </c>
      <c r="H43" s="833">
        <f t="shared" si="0"/>
        <v>1.1420454545454546</v>
      </c>
      <c r="I43" s="1">
        <f t="shared" si="1"/>
        <v>6.3969296552161463</v>
      </c>
      <c r="J43" s="1">
        <f t="shared" si="1"/>
        <v>1.2089603458369751</v>
      </c>
      <c r="K43" s="1">
        <f t="shared" si="2"/>
        <v>0.132820913020924</v>
      </c>
    </row>
    <row r="44" spans="1:11">
      <c r="A44" s="483">
        <f t="shared" si="3"/>
        <v>38</v>
      </c>
      <c r="B44" s="485">
        <v>39169</v>
      </c>
      <c r="C44" s="473">
        <v>0.78333333333333333</v>
      </c>
      <c r="D44" s="484" t="s">
        <v>115</v>
      </c>
      <c r="E44" s="472" t="s">
        <v>163</v>
      </c>
      <c r="F44" s="486">
        <v>600</v>
      </c>
      <c r="G44" s="486">
        <v>3</v>
      </c>
      <c r="H44" s="833">
        <f t="shared" si="0"/>
        <v>1.0227272727272727</v>
      </c>
      <c r="I44" s="1">
        <f t="shared" si="1"/>
        <v>6.3969296552161463</v>
      </c>
      <c r="J44" s="1">
        <f t="shared" si="1"/>
        <v>1.0986122886681098</v>
      </c>
      <c r="K44" s="1">
        <f t="shared" si="2"/>
        <v>2.2472855852058576E-2</v>
      </c>
    </row>
    <row r="45" spans="1:11">
      <c r="A45" s="483">
        <f t="shared" si="3"/>
        <v>39</v>
      </c>
      <c r="B45" s="485">
        <v>39169</v>
      </c>
      <c r="C45" s="473">
        <v>0.82291666666666663</v>
      </c>
      <c r="D45" s="484" t="s">
        <v>115</v>
      </c>
      <c r="E45" s="472" t="s">
        <v>163</v>
      </c>
      <c r="F45" s="486">
        <v>1760</v>
      </c>
      <c r="G45" s="486">
        <v>7.99</v>
      </c>
      <c r="H45" s="833">
        <f t="shared" si="0"/>
        <v>7.99</v>
      </c>
      <c r="I45" s="1">
        <f t="shared" si="1"/>
        <v>7.4730690880321973</v>
      </c>
      <c r="J45" s="1">
        <f t="shared" si="1"/>
        <v>2.0781907597781832</v>
      </c>
      <c r="K45" s="1">
        <f t="shared" si="2"/>
        <v>2.0781907597781832</v>
      </c>
    </row>
    <row r="46" spans="1:11">
      <c r="A46" s="483">
        <f t="shared" si="3"/>
        <v>40</v>
      </c>
      <c r="B46" s="485">
        <v>39169</v>
      </c>
      <c r="C46" s="473">
        <v>0.85416666666666663</v>
      </c>
      <c r="D46" s="484" t="s">
        <v>111</v>
      </c>
      <c r="E46" s="472" t="s">
        <v>163</v>
      </c>
      <c r="F46" s="486">
        <v>1408</v>
      </c>
      <c r="G46" s="486">
        <v>7.77</v>
      </c>
      <c r="H46" s="833">
        <f t="shared" si="0"/>
        <v>6.2160000000000002</v>
      </c>
      <c r="I46" s="1">
        <f t="shared" si="1"/>
        <v>7.2499255367179876</v>
      </c>
      <c r="J46" s="1">
        <f t="shared" si="1"/>
        <v>2.050270164379556</v>
      </c>
      <c r="K46" s="1">
        <f t="shared" si="2"/>
        <v>1.8271266130653463</v>
      </c>
    </row>
    <row r="47" spans="1:11">
      <c r="A47" s="483">
        <f t="shared" si="3"/>
        <v>41</v>
      </c>
      <c r="B47" s="502">
        <v>42324</v>
      </c>
      <c r="C47" s="504">
        <v>0.76388888888888884</v>
      </c>
      <c r="D47" s="563" t="s">
        <v>115</v>
      </c>
      <c r="E47" s="472" t="s">
        <v>163</v>
      </c>
      <c r="F47" s="763">
        <v>750</v>
      </c>
      <c r="G47" s="763">
        <v>23.16</v>
      </c>
      <c r="H47" s="833">
        <f t="shared" si="0"/>
        <v>9.8693181818181817</v>
      </c>
      <c r="I47" s="1">
        <f t="shared" si="1"/>
        <v>6.620073206530356</v>
      </c>
      <c r="J47" s="1">
        <f t="shared" si="1"/>
        <v>3.1424266527047946</v>
      </c>
      <c r="K47" s="1">
        <f t="shared" si="2"/>
        <v>2.2894307712029534</v>
      </c>
    </row>
    <row r="48" spans="1:11">
      <c r="A48" s="483">
        <f t="shared" si="3"/>
        <v>42</v>
      </c>
      <c r="B48" s="502">
        <v>42324</v>
      </c>
      <c r="C48" s="504">
        <v>0.79166666666666663</v>
      </c>
      <c r="D48" s="707" t="s">
        <v>110</v>
      </c>
      <c r="E48" s="472" t="s">
        <v>163</v>
      </c>
      <c r="F48" s="763">
        <v>750</v>
      </c>
      <c r="G48" s="763">
        <v>8.6999999999999993</v>
      </c>
      <c r="H48" s="833">
        <f t="shared" si="0"/>
        <v>3.7073863636363633</v>
      </c>
      <c r="I48" s="1">
        <f t="shared" si="1"/>
        <v>6.620073206530356</v>
      </c>
      <c r="J48" s="1">
        <f t="shared" si="1"/>
        <v>2.1633230256605378</v>
      </c>
      <c r="K48" s="1">
        <f t="shared" si="2"/>
        <v>1.3103271441586966</v>
      </c>
    </row>
    <row r="49" spans="1:12">
      <c r="A49" s="483">
        <f t="shared" si="3"/>
        <v>43</v>
      </c>
      <c r="B49" s="502">
        <v>42324</v>
      </c>
      <c r="C49" s="504">
        <v>0.79583333333333339</v>
      </c>
      <c r="D49" s="707" t="s">
        <v>115</v>
      </c>
      <c r="E49" s="472" t="s">
        <v>163</v>
      </c>
      <c r="F49" s="763">
        <v>500</v>
      </c>
      <c r="G49" s="763">
        <v>10.92</v>
      </c>
      <c r="H49" s="833">
        <f t="shared" si="0"/>
        <v>3.1022727272727275</v>
      </c>
      <c r="I49" s="1">
        <f t="shared" si="1"/>
        <v>6.2146080984221914</v>
      </c>
      <c r="J49" s="1">
        <f t="shared" si="1"/>
        <v>2.3905959703167592</v>
      </c>
      <c r="K49" s="1">
        <f t="shared" si="2"/>
        <v>1.1321349807067533</v>
      </c>
    </row>
    <row r="50" spans="1:12">
      <c r="A50" s="483"/>
      <c r="B50" s="772"/>
      <c r="C50" s="76"/>
      <c r="D50" s="76"/>
      <c r="E50" s="658" t="s">
        <v>163</v>
      </c>
      <c r="F50" s="76"/>
      <c r="G50" s="76"/>
      <c r="H50" s="834">
        <f t="shared" si="0"/>
        <v>0</v>
      </c>
      <c r="I50" s="1" t="e">
        <f t="shared" si="1"/>
        <v>#NUM!</v>
      </c>
      <c r="J50" s="1" t="e">
        <f t="shared" si="1"/>
        <v>#NUM!</v>
      </c>
      <c r="K50" s="1" t="e">
        <f t="shared" si="2"/>
        <v>#NUM!</v>
      </c>
    </row>
    <row r="51" spans="1:12">
      <c r="A51" s="483"/>
      <c r="B51" s="772"/>
      <c r="C51" s="76"/>
      <c r="D51" s="76"/>
      <c r="E51" s="658" t="s">
        <v>163</v>
      </c>
      <c r="F51" s="76"/>
      <c r="G51" s="76"/>
      <c r="H51" s="834">
        <f t="shared" si="0"/>
        <v>0</v>
      </c>
      <c r="I51" s="1" t="e">
        <f t="shared" si="1"/>
        <v>#NUM!</v>
      </c>
      <c r="J51" s="1" t="e">
        <f t="shared" si="1"/>
        <v>#NUM!</v>
      </c>
      <c r="K51" s="1" t="e">
        <f t="shared" si="2"/>
        <v>#NUM!</v>
      </c>
    </row>
    <row r="52" spans="1:12">
      <c r="A52" s="483"/>
      <c r="B52" s="772"/>
      <c r="C52" s="76"/>
      <c r="D52" s="76"/>
      <c r="E52" s="658" t="s">
        <v>163</v>
      </c>
      <c r="F52" s="76"/>
      <c r="G52" s="76"/>
      <c r="H52" s="834">
        <f t="shared" si="0"/>
        <v>0</v>
      </c>
      <c r="I52" s="1" t="e">
        <f t="shared" si="1"/>
        <v>#NUM!</v>
      </c>
      <c r="J52" s="1" t="e">
        <f t="shared" si="1"/>
        <v>#NUM!</v>
      </c>
      <c r="K52" s="1" t="e">
        <f t="shared" si="2"/>
        <v>#NUM!</v>
      </c>
    </row>
    <row r="53" spans="1:12">
      <c r="A53" s="483"/>
      <c r="B53" s="772"/>
      <c r="C53" s="76"/>
      <c r="D53" s="76"/>
      <c r="E53" s="658" t="s">
        <v>163</v>
      </c>
      <c r="F53" s="76"/>
      <c r="G53" s="76"/>
      <c r="H53" s="834">
        <f t="shared" si="0"/>
        <v>0</v>
      </c>
      <c r="I53" s="1" t="e">
        <f t="shared" si="1"/>
        <v>#NUM!</v>
      </c>
      <c r="J53" s="1" t="e">
        <f t="shared" si="1"/>
        <v>#NUM!</v>
      </c>
      <c r="K53" s="1" t="e">
        <f t="shared" si="2"/>
        <v>#NUM!</v>
      </c>
    </row>
    <row r="54" spans="1:12">
      <c r="A54" s="483"/>
      <c r="B54" s="772"/>
      <c r="C54" s="76"/>
      <c r="D54" s="76"/>
      <c r="E54" s="658" t="s">
        <v>163</v>
      </c>
      <c r="F54" s="76"/>
      <c r="G54" s="76"/>
      <c r="H54" s="834">
        <f t="shared" si="0"/>
        <v>0</v>
      </c>
      <c r="I54" s="1" t="e">
        <f t="shared" si="1"/>
        <v>#NUM!</v>
      </c>
      <c r="J54" s="1" t="e">
        <f t="shared" si="1"/>
        <v>#NUM!</v>
      </c>
      <c r="K54" s="1" t="e">
        <f t="shared" si="2"/>
        <v>#NUM!</v>
      </c>
    </row>
    <row r="55" spans="1:12">
      <c r="A55" s="483"/>
      <c r="B55" s="772"/>
      <c r="C55" s="76"/>
      <c r="D55" s="76"/>
      <c r="E55" s="658" t="s">
        <v>163</v>
      </c>
      <c r="F55" s="76"/>
      <c r="G55" s="76"/>
      <c r="H55" s="834">
        <f t="shared" si="0"/>
        <v>0</v>
      </c>
      <c r="I55" s="1" t="e">
        <f t="shared" si="1"/>
        <v>#NUM!</v>
      </c>
      <c r="J55" s="1" t="e">
        <f t="shared" si="1"/>
        <v>#NUM!</v>
      </c>
      <c r="K55" s="1" t="e">
        <f t="shared" si="2"/>
        <v>#NUM!</v>
      </c>
    </row>
    <row r="56" spans="1:12">
      <c r="A56" s="483"/>
      <c r="B56" s="772"/>
      <c r="C56" s="76"/>
      <c r="D56" s="76"/>
      <c r="E56" s="658" t="s">
        <v>163</v>
      </c>
      <c r="F56" s="76"/>
      <c r="G56" s="76"/>
      <c r="H56" s="834">
        <f t="shared" si="0"/>
        <v>0</v>
      </c>
      <c r="I56" s="1" t="e">
        <f t="shared" si="1"/>
        <v>#NUM!</v>
      </c>
      <c r="J56" s="1" t="e">
        <f t="shared" si="1"/>
        <v>#NUM!</v>
      </c>
      <c r="K56" s="1" t="e">
        <f t="shared" si="2"/>
        <v>#NUM!</v>
      </c>
    </row>
    <row r="57" spans="1:12">
      <c r="A57" s="483"/>
      <c r="B57" s="772"/>
      <c r="C57" s="76"/>
      <c r="D57" s="76"/>
      <c r="E57" s="658" t="s">
        <v>163</v>
      </c>
      <c r="F57" s="76"/>
      <c r="G57" s="76"/>
      <c r="H57" s="834">
        <f t="shared" si="0"/>
        <v>0</v>
      </c>
      <c r="I57" s="1" t="e">
        <f t="shared" si="1"/>
        <v>#NUM!</v>
      </c>
      <c r="J57" s="1" t="e">
        <f t="shared" si="1"/>
        <v>#NUM!</v>
      </c>
      <c r="K57" s="1" t="e">
        <f t="shared" si="2"/>
        <v>#NUM!</v>
      </c>
    </row>
    <row r="58" spans="1:12">
      <c r="A58" s="483"/>
      <c r="B58" s="772"/>
      <c r="C58" s="76"/>
      <c r="D58" s="76"/>
      <c r="E58" s="658" t="s">
        <v>163</v>
      </c>
      <c r="F58" s="76"/>
      <c r="G58" s="76"/>
      <c r="H58" s="834">
        <f t="shared" si="0"/>
        <v>0</v>
      </c>
      <c r="I58" s="1" t="e">
        <f t="shared" si="1"/>
        <v>#NUM!</v>
      </c>
      <c r="J58" s="1" t="e">
        <f t="shared" si="1"/>
        <v>#NUM!</v>
      </c>
      <c r="K58" s="1" t="e">
        <f t="shared" si="2"/>
        <v>#NUM!</v>
      </c>
    </row>
    <row r="59" spans="1:12">
      <c r="A59" s="483"/>
      <c r="B59" s="772"/>
      <c r="C59" s="76"/>
      <c r="D59" s="76"/>
      <c r="E59" s="658" t="s">
        <v>163</v>
      </c>
      <c r="F59" s="76"/>
      <c r="G59" s="76"/>
      <c r="H59" s="834">
        <f t="shared" si="0"/>
        <v>0</v>
      </c>
      <c r="I59" s="1" t="e">
        <f t="shared" si="1"/>
        <v>#NUM!</v>
      </c>
      <c r="J59" s="1" t="e">
        <f t="shared" si="1"/>
        <v>#NUM!</v>
      </c>
      <c r="K59" s="1" t="e">
        <f t="shared" si="2"/>
        <v>#NUM!</v>
      </c>
    </row>
    <row r="60" spans="1:12">
      <c r="A60" s="483"/>
      <c r="B60" s="772"/>
      <c r="C60" s="76"/>
      <c r="D60" s="76"/>
      <c r="E60" s="658" t="s">
        <v>163</v>
      </c>
      <c r="F60" s="76"/>
      <c r="G60" s="76"/>
      <c r="H60" s="834">
        <f t="shared" ref="H60:H101" si="4">+(F60/1760)*G60</f>
        <v>0</v>
      </c>
      <c r="I60" s="1" t="e">
        <f t="shared" ref="I60:I101" si="5">LN(F60)</f>
        <v>#NUM!</v>
      </c>
      <c r="J60" s="1" t="e">
        <f t="shared" ref="J60:J101" si="6">LN(G60)</f>
        <v>#NUM!</v>
      </c>
      <c r="K60" s="1" t="e">
        <f t="shared" ref="K60:K101" si="7">LN(H60)</f>
        <v>#NUM!</v>
      </c>
    </row>
    <row r="61" spans="1:12">
      <c r="A61" s="483"/>
      <c r="B61" s="772"/>
      <c r="C61" s="76"/>
      <c r="D61" s="76"/>
      <c r="E61" s="658" t="s">
        <v>163</v>
      </c>
      <c r="F61" s="76"/>
      <c r="G61" s="76"/>
      <c r="H61" s="834">
        <f t="shared" si="4"/>
        <v>0</v>
      </c>
      <c r="I61" s="1" t="e">
        <f t="shared" si="5"/>
        <v>#NUM!</v>
      </c>
      <c r="J61" s="1" t="e">
        <f t="shared" si="6"/>
        <v>#NUM!</v>
      </c>
      <c r="K61" s="1" t="e">
        <f t="shared" si="7"/>
        <v>#NUM!</v>
      </c>
    </row>
    <row r="62" spans="1:12">
      <c r="A62" s="483"/>
      <c r="B62" s="772"/>
      <c r="C62" s="76"/>
      <c r="D62" s="76"/>
      <c r="E62" s="658" t="s">
        <v>163</v>
      </c>
      <c r="F62" s="76"/>
      <c r="G62" s="76"/>
      <c r="H62" s="834">
        <f t="shared" si="4"/>
        <v>0</v>
      </c>
      <c r="I62" s="1" t="e">
        <f t="shared" si="5"/>
        <v>#NUM!</v>
      </c>
      <c r="J62" s="1" t="e">
        <f t="shared" si="6"/>
        <v>#NUM!</v>
      </c>
      <c r="K62" s="1" t="e">
        <f t="shared" si="7"/>
        <v>#NUM!</v>
      </c>
    </row>
    <row r="63" spans="1:12">
      <c r="A63" s="483"/>
      <c r="B63" s="76"/>
      <c r="C63" s="76"/>
      <c r="D63" s="76"/>
      <c r="E63" s="658" t="s">
        <v>163</v>
      </c>
      <c r="F63" s="76"/>
      <c r="G63" s="76"/>
      <c r="H63" s="834">
        <f t="shared" si="4"/>
        <v>0</v>
      </c>
      <c r="I63" s="1" t="e">
        <f t="shared" si="5"/>
        <v>#NUM!</v>
      </c>
      <c r="J63" s="1" t="e">
        <f t="shared" si="6"/>
        <v>#NUM!</v>
      </c>
      <c r="K63" s="1" t="e">
        <f t="shared" si="7"/>
        <v>#NUM!</v>
      </c>
      <c r="L63" s="1"/>
    </row>
    <row r="64" spans="1:12">
      <c r="A64" s="483"/>
      <c r="B64" s="76"/>
      <c r="C64" s="76"/>
      <c r="D64" s="76"/>
      <c r="E64" s="658" t="s">
        <v>163</v>
      </c>
      <c r="F64" s="76"/>
      <c r="G64" s="76"/>
      <c r="H64" s="834">
        <f t="shared" si="4"/>
        <v>0</v>
      </c>
      <c r="I64" s="1" t="e">
        <f t="shared" si="5"/>
        <v>#NUM!</v>
      </c>
      <c r="J64" s="1" t="e">
        <f t="shared" si="6"/>
        <v>#NUM!</v>
      </c>
      <c r="K64" s="1" t="e">
        <f t="shared" si="7"/>
        <v>#NUM!</v>
      </c>
    </row>
    <row r="65" spans="1:11">
      <c r="A65" s="483"/>
      <c r="B65" s="76"/>
      <c r="C65" s="76"/>
      <c r="D65" s="76"/>
      <c r="E65" s="658" t="s">
        <v>163</v>
      </c>
      <c r="F65" s="76"/>
      <c r="G65" s="76"/>
      <c r="H65" s="834">
        <f t="shared" si="4"/>
        <v>0</v>
      </c>
      <c r="I65" s="1" t="e">
        <f t="shared" si="5"/>
        <v>#NUM!</v>
      </c>
      <c r="J65" s="1" t="e">
        <f t="shared" si="6"/>
        <v>#NUM!</v>
      </c>
      <c r="K65" s="1" t="e">
        <f t="shared" si="7"/>
        <v>#NUM!</v>
      </c>
    </row>
    <row r="66" spans="1:11">
      <c r="A66" s="483"/>
      <c r="B66" s="76"/>
      <c r="C66" s="76"/>
      <c r="D66" s="76"/>
      <c r="E66" s="658" t="s">
        <v>163</v>
      </c>
      <c r="F66" s="76"/>
      <c r="G66" s="76"/>
      <c r="H66" s="834">
        <f t="shared" si="4"/>
        <v>0</v>
      </c>
      <c r="I66" s="1" t="e">
        <f t="shared" si="5"/>
        <v>#NUM!</v>
      </c>
      <c r="J66" s="1" t="e">
        <f t="shared" si="6"/>
        <v>#NUM!</v>
      </c>
      <c r="K66" s="1" t="e">
        <f t="shared" si="7"/>
        <v>#NUM!</v>
      </c>
    </row>
    <row r="67" spans="1:11">
      <c r="A67" s="483"/>
      <c r="B67" s="76"/>
      <c r="C67" s="76"/>
      <c r="D67" s="76"/>
      <c r="E67" s="658" t="s">
        <v>163</v>
      </c>
      <c r="F67" s="76"/>
      <c r="G67" s="76"/>
      <c r="H67" s="834">
        <f t="shared" si="4"/>
        <v>0</v>
      </c>
      <c r="I67" s="1" t="e">
        <f t="shared" si="5"/>
        <v>#NUM!</v>
      </c>
      <c r="J67" s="1" t="e">
        <f t="shared" si="6"/>
        <v>#NUM!</v>
      </c>
      <c r="K67" s="1" t="e">
        <f t="shared" si="7"/>
        <v>#NUM!</v>
      </c>
    </row>
    <row r="68" spans="1:11">
      <c r="A68" s="483"/>
      <c r="B68" s="76"/>
      <c r="C68" s="76"/>
      <c r="D68" s="76"/>
      <c r="E68" s="658" t="s">
        <v>163</v>
      </c>
      <c r="F68" s="76"/>
      <c r="G68" s="76"/>
      <c r="H68" s="834">
        <f t="shared" si="4"/>
        <v>0</v>
      </c>
      <c r="I68" s="1" t="e">
        <f t="shared" si="5"/>
        <v>#NUM!</v>
      </c>
      <c r="J68" s="1" t="e">
        <f t="shared" si="6"/>
        <v>#NUM!</v>
      </c>
      <c r="K68" s="1" t="e">
        <f t="shared" si="7"/>
        <v>#NUM!</v>
      </c>
    </row>
    <row r="69" spans="1:11">
      <c r="A69" s="483"/>
      <c r="B69" s="76"/>
      <c r="C69" s="76"/>
      <c r="D69" s="76"/>
      <c r="E69" s="658" t="s">
        <v>163</v>
      </c>
      <c r="F69" s="76"/>
      <c r="G69" s="76"/>
      <c r="H69" s="834">
        <f t="shared" si="4"/>
        <v>0</v>
      </c>
      <c r="I69" s="1" t="e">
        <f t="shared" si="5"/>
        <v>#NUM!</v>
      </c>
      <c r="J69" s="1" t="e">
        <f t="shared" si="6"/>
        <v>#NUM!</v>
      </c>
      <c r="K69" s="1" t="e">
        <f t="shared" si="7"/>
        <v>#NUM!</v>
      </c>
    </row>
    <row r="70" spans="1:11">
      <c r="A70" s="483"/>
      <c r="B70" s="76"/>
      <c r="C70" s="76"/>
      <c r="D70" s="76"/>
      <c r="E70" s="658" t="s">
        <v>163</v>
      </c>
      <c r="F70" s="76"/>
      <c r="G70" s="76"/>
      <c r="H70" s="834">
        <f t="shared" si="4"/>
        <v>0</v>
      </c>
      <c r="I70" s="1" t="e">
        <f t="shared" si="5"/>
        <v>#NUM!</v>
      </c>
      <c r="J70" s="1" t="e">
        <f t="shared" si="6"/>
        <v>#NUM!</v>
      </c>
      <c r="K70" s="1" t="e">
        <f t="shared" si="7"/>
        <v>#NUM!</v>
      </c>
    </row>
    <row r="71" spans="1:11">
      <c r="A71" s="483"/>
      <c r="B71" s="76"/>
      <c r="C71" s="76"/>
      <c r="D71" s="76"/>
      <c r="E71" s="658" t="s">
        <v>163</v>
      </c>
      <c r="F71" s="76"/>
      <c r="G71" s="76"/>
      <c r="H71" s="834">
        <f t="shared" si="4"/>
        <v>0</v>
      </c>
      <c r="I71" s="1" t="e">
        <f t="shared" si="5"/>
        <v>#NUM!</v>
      </c>
      <c r="J71" s="1" t="e">
        <f t="shared" si="6"/>
        <v>#NUM!</v>
      </c>
      <c r="K71" s="1" t="e">
        <f t="shared" si="7"/>
        <v>#NUM!</v>
      </c>
    </row>
    <row r="72" spans="1:11">
      <c r="A72" s="483"/>
      <c r="B72" s="76"/>
      <c r="C72" s="76"/>
      <c r="D72" s="76"/>
      <c r="E72" s="658" t="s">
        <v>163</v>
      </c>
      <c r="F72" s="76"/>
      <c r="G72" s="76"/>
      <c r="H72" s="834">
        <f t="shared" si="4"/>
        <v>0</v>
      </c>
      <c r="I72" s="1" t="e">
        <f t="shared" si="5"/>
        <v>#NUM!</v>
      </c>
      <c r="J72" s="1" t="e">
        <f t="shared" si="6"/>
        <v>#NUM!</v>
      </c>
      <c r="K72" s="1" t="e">
        <f t="shared" si="7"/>
        <v>#NUM!</v>
      </c>
    </row>
    <row r="73" spans="1:11">
      <c r="A73" s="483"/>
      <c r="B73" s="76"/>
      <c r="C73" s="76"/>
      <c r="D73" s="76"/>
      <c r="E73" s="658" t="s">
        <v>163</v>
      </c>
      <c r="F73" s="76"/>
      <c r="G73" s="76"/>
      <c r="H73" s="834">
        <f t="shared" si="4"/>
        <v>0</v>
      </c>
      <c r="I73" s="1" t="e">
        <f t="shared" si="5"/>
        <v>#NUM!</v>
      </c>
      <c r="J73" s="1" t="e">
        <f t="shared" si="6"/>
        <v>#NUM!</v>
      </c>
      <c r="K73" s="1" t="e">
        <f t="shared" si="7"/>
        <v>#NUM!</v>
      </c>
    </row>
    <row r="74" spans="1:11">
      <c r="A74" s="483"/>
      <c r="B74" s="76"/>
      <c r="C74" s="76"/>
      <c r="D74" s="76"/>
      <c r="E74" s="658" t="s">
        <v>163</v>
      </c>
      <c r="F74" s="76"/>
      <c r="G74" s="76"/>
      <c r="H74" s="834">
        <f t="shared" si="4"/>
        <v>0</v>
      </c>
      <c r="I74" s="1" t="e">
        <f t="shared" si="5"/>
        <v>#NUM!</v>
      </c>
      <c r="J74" s="1" t="e">
        <f t="shared" si="6"/>
        <v>#NUM!</v>
      </c>
      <c r="K74" s="1" t="e">
        <f t="shared" si="7"/>
        <v>#NUM!</v>
      </c>
    </row>
    <row r="75" spans="1:11">
      <c r="A75" s="483"/>
      <c r="B75" s="76"/>
      <c r="C75" s="76"/>
      <c r="D75" s="76"/>
      <c r="E75" s="658" t="s">
        <v>163</v>
      </c>
      <c r="F75" s="76"/>
      <c r="G75" s="76"/>
      <c r="H75" s="834">
        <f t="shared" si="4"/>
        <v>0</v>
      </c>
      <c r="I75" s="1" t="e">
        <f t="shared" si="5"/>
        <v>#NUM!</v>
      </c>
      <c r="J75" s="1" t="e">
        <f t="shared" si="6"/>
        <v>#NUM!</v>
      </c>
      <c r="K75" s="1" t="e">
        <f t="shared" si="7"/>
        <v>#NUM!</v>
      </c>
    </row>
    <row r="76" spans="1:11">
      <c r="A76" s="483"/>
      <c r="B76" s="76"/>
      <c r="C76" s="76"/>
      <c r="D76" s="76"/>
      <c r="E76" s="658" t="s">
        <v>163</v>
      </c>
      <c r="F76" s="76"/>
      <c r="G76" s="76"/>
      <c r="H76" s="834">
        <f t="shared" si="4"/>
        <v>0</v>
      </c>
      <c r="I76" s="1" t="e">
        <f t="shared" si="5"/>
        <v>#NUM!</v>
      </c>
      <c r="J76" s="1" t="e">
        <f t="shared" si="6"/>
        <v>#NUM!</v>
      </c>
      <c r="K76" s="1" t="e">
        <f t="shared" si="7"/>
        <v>#NUM!</v>
      </c>
    </row>
    <row r="77" spans="1:11">
      <c r="A77" s="483"/>
      <c r="B77" s="76"/>
      <c r="C77" s="76"/>
      <c r="D77" s="76"/>
      <c r="E77" s="658" t="s">
        <v>163</v>
      </c>
      <c r="F77" s="76"/>
      <c r="G77" s="76"/>
      <c r="H77" s="834">
        <f t="shared" si="4"/>
        <v>0</v>
      </c>
      <c r="I77" s="1" t="e">
        <f t="shared" si="5"/>
        <v>#NUM!</v>
      </c>
      <c r="J77" s="1" t="e">
        <f t="shared" si="6"/>
        <v>#NUM!</v>
      </c>
      <c r="K77" s="1" t="e">
        <f t="shared" si="7"/>
        <v>#NUM!</v>
      </c>
    </row>
    <row r="78" spans="1:11">
      <c r="A78" s="483"/>
      <c r="B78" s="76"/>
      <c r="C78" s="76"/>
      <c r="D78" s="76"/>
      <c r="E78" s="658" t="s">
        <v>163</v>
      </c>
      <c r="F78" s="76"/>
      <c r="G78" s="76"/>
      <c r="H78" s="834">
        <f t="shared" si="4"/>
        <v>0</v>
      </c>
      <c r="I78" s="1" t="e">
        <f t="shared" si="5"/>
        <v>#NUM!</v>
      </c>
      <c r="J78" s="1" t="e">
        <f t="shared" si="6"/>
        <v>#NUM!</v>
      </c>
      <c r="K78" s="1" t="e">
        <f t="shared" si="7"/>
        <v>#NUM!</v>
      </c>
    </row>
    <row r="79" spans="1:11">
      <c r="A79" s="483"/>
      <c r="B79" s="76"/>
      <c r="C79" s="76"/>
      <c r="D79" s="76"/>
      <c r="E79" s="658" t="s">
        <v>163</v>
      </c>
      <c r="F79" s="76"/>
      <c r="G79" s="76"/>
      <c r="H79" s="834">
        <f t="shared" si="4"/>
        <v>0</v>
      </c>
      <c r="I79" s="1" t="e">
        <f t="shared" si="5"/>
        <v>#NUM!</v>
      </c>
      <c r="J79" s="1" t="e">
        <f t="shared" si="6"/>
        <v>#NUM!</v>
      </c>
      <c r="K79" s="1" t="e">
        <f t="shared" si="7"/>
        <v>#NUM!</v>
      </c>
    </row>
    <row r="80" spans="1:11">
      <c r="A80" s="483"/>
      <c r="B80" s="76"/>
      <c r="C80" s="76"/>
      <c r="D80" s="76"/>
      <c r="E80" s="658" t="s">
        <v>163</v>
      </c>
      <c r="F80" s="76"/>
      <c r="G80" s="76"/>
      <c r="H80" s="834">
        <f t="shared" si="4"/>
        <v>0</v>
      </c>
      <c r="I80" s="1" t="e">
        <f t="shared" si="5"/>
        <v>#NUM!</v>
      </c>
      <c r="J80" s="1" t="e">
        <f t="shared" si="6"/>
        <v>#NUM!</v>
      </c>
      <c r="K80" s="1" t="e">
        <f t="shared" si="7"/>
        <v>#NUM!</v>
      </c>
    </row>
    <row r="81" spans="1:11">
      <c r="A81" s="483"/>
      <c r="B81" s="76"/>
      <c r="C81" s="76"/>
      <c r="D81" s="76"/>
      <c r="E81" s="658" t="s">
        <v>163</v>
      </c>
      <c r="F81" s="76"/>
      <c r="G81" s="76"/>
      <c r="H81" s="834">
        <f t="shared" si="4"/>
        <v>0</v>
      </c>
      <c r="I81" s="1" t="e">
        <f t="shared" si="5"/>
        <v>#NUM!</v>
      </c>
      <c r="J81" s="1" t="e">
        <f t="shared" si="6"/>
        <v>#NUM!</v>
      </c>
      <c r="K81" s="1" t="e">
        <f t="shared" si="7"/>
        <v>#NUM!</v>
      </c>
    </row>
    <row r="82" spans="1:11">
      <c r="A82" s="483"/>
      <c r="B82" s="76"/>
      <c r="C82" s="76"/>
      <c r="D82" s="76"/>
      <c r="E82" s="658" t="s">
        <v>163</v>
      </c>
      <c r="F82" s="76"/>
      <c r="G82" s="76"/>
      <c r="H82" s="834">
        <f t="shared" si="4"/>
        <v>0</v>
      </c>
      <c r="I82" s="1" t="e">
        <f t="shared" si="5"/>
        <v>#NUM!</v>
      </c>
      <c r="J82" s="1" t="e">
        <f t="shared" si="6"/>
        <v>#NUM!</v>
      </c>
      <c r="K82" s="1" t="e">
        <f t="shared" si="7"/>
        <v>#NUM!</v>
      </c>
    </row>
    <row r="83" spans="1:11">
      <c r="A83" s="483"/>
      <c r="B83" s="76"/>
      <c r="C83" s="76"/>
      <c r="D83" s="76"/>
      <c r="E83" s="658" t="s">
        <v>163</v>
      </c>
      <c r="F83" s="76"/>
      <c r="G83" s="76"/>
      <c r="H83" s="834">
        <f t="shared" si="4"/>
        <v>0</v>
      </c>
      <c r="I83" s="1" t="e">
        <f t="shared" si="5"/>
        <v>#NUM!</v>
      </c>
      <c r="J83" s="1" t="e">
        <f t="shared" si="6"/>
        <v>#NUM!</v>
      </c>
      <c r="K83" s="1" t="e">
        <f t="shared" si="7"/>
        <v>#NUM!</v>
      </c>
    </row>
    <row r="84" spans="1:11">
      <c r="A84" s="483"/>
      <c r="B84" s="76"/>
      <c r="C84" s="76"/>
      <c r="D84" s="76"/>
      <c r="E84" s="658" t="s">
        <v>163</v>
      </c>
      <c r="F84" s="76"/>
      <c r="G84" s="76"/>
      <c r="H84" s="834">
        <f t="shared" si="4"/>
        <v>0</v>
      </c>
      <c r="I84" s="1" t="e">
        <f t="shared" si="5"/>
        <v>#NUM!</v>
      </c>
      <c r="J84" s="1" t="e">
        <f t="shared" si="6"/>
        <v>#NUM!</v>
      </c>
      <c r="K84" s="1" t="e">
        <f t="shared" si="7"/>
        <v>#NUM!</v>
      </c>
    </row>
    <row r="85" spans="1:11">
      <c r="A85" s="483"/>
      <c r="B85" s="76"/>
      <c r="C85" s="76"/>
      <c r="D85" s="76"/>
      <c r="E85" s="658" t="s">
        <v>163</v>
      </c>
      <c r="F85" s="76"/>
      <c r="G85" s="76"/>
      <c r="H85" s="834">
        <f t="shared" si="4"/>
        <v>0</v>
      </c>
      <c r="I85" s="1" t="e">
        <f t="shared" si="5"/>
        <v>#NUM!</v>
      </c>
      <c r="J85" s="1" t="e">
        <f t="shared" si="6"/>
        <v>#NUM!</v>
      </c>
      <c r="K85" s="1" t="e">
        <f t="shared" si="7"/>
        <v>#NUM!</v>
      </c>
    </row>
    <row r="86" spans="1:11">
      <c r="A86" s="483"/>
      <c r="B86" s="76"/>
      <c r="C86" s="76"/>
      <c r="D86" s="76"/>
      <c r="E86" s="658" t="s">
        <v>163</v>
      </c>
      <c r="F86" s="76"/>
      <c r="G86" s="76"/>
      <c r="H86" s="834">
        <f t="shared" si="4"/>
        <v>0</v>
      </c>
      <c r="I86" s="1" t="e">
        <f t="shared" si="5"/>
        <v>#NUM!</v>
      </c>
      <c r="J86" s="1" t="e">
        <f t="shared" si="6"/>
        <v>#NUM!</v>
      </c>
      <c r="K86" s="1" t="e">
        <f t="shared" si="7"/>
        <v>#NUM!</v>
      </c>
    </row>
    <row r="87" spans="1:11">
      <c r="A87" s="483"/>
      <c r="B87" s="76"/>
      <c r="C87" s="76"/>
      <c r="D87" s="76"/>
      <c r="E87" s="658" t="s">
        <v>163</v>
      </c>
      <c r="F87" s="76"/>
      <c r="G87" s="76"/>
      <c r="H87" s="834">
        <f t="shared" si="4"/>
        <v>0</v>
      </c>
      <c r="I87" s="1" t="e">
        <f t="shared" si="5"/>
        <v>#NUM!</v>
      </c>
      <c r="J87" s="1" t="e">
        <f t="shared" si="6"/>
        <v>#NUM!</v>
      </c>
      <c r="K87" s="1" t="e">
        <f t="shared" si="7"/>
        <v>#NUM!</v>
      </c>
    </row>
    <row r="88" spans="1:11">
      <c r="A88" s="483"/>
      <c r="B88" s="76"/>
      <c r="C88" s="76"/>
      <c r="D88" s="76"/>
      <c r="E88" s="658" t="s">
        <v>163</v>
      </c>
      <c r="F88" s="76"/>
      <c r="G88" s="76"/>
      <c r="H88" s="834">
        <f t="shared" si="4"/>
        <v>0</v>
      </c>
      <c r="I88" s="1" t="e">
        <f t="shared" si="5"/>
        <v>#NUM!</v>
      </c>
      <c r="J88" s="1" t="e">
        <f t="shared" si="6"/>
        <v>#NUM!</v>
      </c>
      <c r="K88" s="1" t="e">
        <f t="shared" si="7"/>
        <v>#NUM!</v>
      </c>
    </row>
    <row r="89" spans="1:11">
      <c r="A89" s="483"/>
      <c r="B89" s="76"/>
      <c r="C89" s="76"/>
      <c r="D89" s="76"/>
      <c r="E89" s="658" t="s">
        <v>163</v>
      </c>
      <c r="F89" s="76"/>
      <c r="G89" s="76"/>
      <c r="H89" s="834">
        <f t="shared" si="4"/>
        <v>0</v>
      </c>
      <c r="I89" s="1" t="e">
        <f t="shared" si="5"/>
        <v>#NUM!</v>
      </c>
      <c r="J89" s="1" t="e">
        <f t="shared" si="6"/>
        <v>#NUM!</v>
      </c>
      <c r="K89" s="1" t="e">
        <f t="shared" si="7"/>
        <v>#NUM!</v>
      </c>
    </row>
    <row r="90" spans="1:11">
      <c r="A90" s="483"/>
      <c r="B90" s="76"/>
      <c r="C90" s="76"/>
      <c r="D90" s="76"/>
      <c r="E90" s="658" t="s">
        <v>163</v>
      </c>
      <c r="F90" s="76"/>
      <c r="G90" s="76"/>
      <c r="H90" s="834">
        <f t="shared" si="4"/>
        <v>0</v>
      </c>
      <c r="I90" s="1" t="e">
        <f t="shared" si="5"/>
        <v>#NUM!</v>
      </c>
      <c r="J90" s="1" t="e">
        <f t="shared" si="6"/>
        <v>#NUM!</v>
      </c>
      <c r="K90" s="1" t="e">
        <f t="shared" si="7"/>
        <v>#NUM!</v>
      </c>
    </row>
    <row r="91" spans="1:11">
      <c r="A91" s="483"/>
      <c r="B91" s="76"/>
      <c r="C91" s="76"/>
      <c r="D91" s="76"/>
      <c r="E91" s="658" t="s">
        <v>163</v>
      </c>
      <c r="F91" s="76"/>
      <c r="G91" s="76"/>
      <c r="H91" s="834">
        <f t="shared" si="4"/>
        <v>0</v>
      </c>
      <c r="I91" s="1" t="e">
        <f t="shared" si="5"/>
        <v>#NUM!</v>
      </c>
      <c r="J91" s="1" t="e">
        <f t="shared" si="6"/>
        <v>#NUM!</v>
      </c>
      <c r="K91" s="1" t="e">
        <f t="shared" si="7"/>
        <v>#NUM!</v>
      </c>
    </row>
    <row r="92" spans="1:11">
      <c r="A92" s="483"/>
      <c r="B92" s="76"/>
      <c r="C92" s="76"/>
      <c r="D92" s="76"/>
      <c r="E92" s="658" t="s">
        <v>163</v>
      </c>
      <c r="F92" s="76"/>
      <c r="G92" s="76"/>
      <c r="H92" s="834">
        <f t="shared" si="4"/>
        <v>0</v>
      </c>
      <c r="I92" s="1" t="e">
        <f t="shared" si="5"/>
        <v>#NUM!</v>
      </c>
      <c r="J92" s="1" t="e">
        <f t="shared" si="6"/>
        <v>#NUM!</v>
      </c>
      <c r="K92" s="1" t="e">
        <f t="shared" si="7"/>
        <v>#NUM!</v>
      </c>
    </row>
    <row r="93" spans="1:11">
      <c r="A93" s="483"/>
      <c r="B93" s="76"/>
      <c r="C93" s="76"/>
      <c r="D93" s="76"/>
      <c r="E93" s="658" t="s">
        <v>163</v>
      </c>
      <c r="F93" s="76"/>
      <c r="G93" s="76"/>
      <c r="H93" s="834">
        <f t="shared" si="4"/>
        <v>0</v>
      </c>
      <c r="I93" s="1" t="e">
        <f t="shared" si="5"/>
        <v>#NUM!</v>
      </c>
      <c r="J93" s="1" t="e">
        <f t="shared" si="6"/>
        <v>#NUM!</v>
      </c>
      <c r="K93" s="1" t="e">
        <f t="shared" si="7"/>
        <v>#NUM!</v>
      </c>
    </row>
    <row r="94" spans="1:11">
      <c r="A94" s="483"/>
      <c r="B94" s="76"/>
      <c r="C94" s="76"/>
      <c r="D94" s="76"/>
      <c r="E94" s="658" t="s">
        <v>163</v>
      </c>
      <c r="F94" s="76"/>
      <c r="G94" s="76"/>
      <c r="H94" s="834">
        <f t="shared" si="4"/>
        <v>0</v>
      </c>
      <c r="I94" s="1" t="e">
        <f t="shared" si="5"/>
        <v>#NUM!</v>
      </c>
      <c r="J94" s="1" t="e">
        <f t="shared" si="6"/>
        <v>#NUM!</v>
      </c>
      <c r="K94" s="1" t="e">
        <f t="shared" si="7"/>
        <v>#NUM!</v>
      </c>
    </row>
    <row r="95" spans="1:11">
      <c r="A95" s="483"/>
      <c r="B95" s="76"/>
      <c r="C95" s="76"/>
      <c r="D95" s="76"/>
      <c r="E95" s="658" t="s">
        <v>163</v>
      </c>
      <c r="F95" s="76"/>
      <c r="G95" s="76"/>
      <c r="H95" s="834">
        <f t="shared" si="4"/>
        <v>0</v>
      </c>
      <c r="I95" s="1" t="e">
        <f t="shared" si="5"/>
        <v>#NUM!</v>
      </c>
      <c r="J95" s="1" t="e">
        <f t="shared" si="6"/>
        <v>#NUM!</v>
      </c>
      <c r="K95" s="1" t="e">
        <f t="shared" si="7"/>
        <v>#NUM!</v>
      </c>
    </row>
    <row r="96" spans="1:11">
      <c r="A96" s="483"/>
      <c r="B96" s="76"/>
      <c r="C96" s="76"/>
      <c r="D96" s="76"/>
      <c r="E96" s="658" t="s">
        <v>163</v>
      </c>
      <c r="F96" s="76"/>
      <c r="G96" s="76"/>
      <c r="H96" s="834">
        <f t="shared" si="4"/>
        <v>0</v>
      </c>
      <c r="I96" s="1" t="e">
        <f t="shared" si="5"/>
        <v>#NUM!</v>
      </c>
      <c r="J96" s="1" t="e">
        <f t="shared" si="6"/>
        <v>#NUM!</v>
      </c>
      <c r="K96" s="1" t="e">
        <f t="shared" si="7"/>
        <v>#NUM!</v>
      </c>
    </row>
    <row r="97" spans="1:11">
      <c r="A97" s="483"/>
      <c r="B97" s="76"/>
      <c r="C97" s="76"/>
      <c r="D97" s="76"/>
      <c r="E97" s="658" t="s">
        <v>163</v>
      </c>
      <c r="F97" s="76"/>
      <c r="G97" s="76"/>
      <c r="H97" s="834">
        <f t="shared" si="4"/>
        <v>0</v>
      </c>
      <c r="I97" s="1" t="e">
        <f t="shared" si="5"/>
        <v>#NUM!</v>
      </c>
      <c r="J97" s="1" t="e">
        <f t="shared" si="6"/>
        <v>#NUM!</v>
      </c>
      <c r="K97" s="1" t="e">
        <f t="shared" si="7"/>
        <v>#NUM!</v>
      </c>
    </row>
    <row r="98" spans="1:11">
      <c r="A98" s="483"/>
      <c r="B98" s="76"/>
      <c r="C98" s="76"/>
      <c r="D98" s="76"/>
      <c r="E98" s="658" t="s">
        <v>163</v>
      </c>
      <c r="F98" s="76"/>
      <c r="G98" s="76"/>
      <c r="H98" s="834">
        <f t="shared" si="4"/>
        <v>0</v>
      </c>
      <c r="I98" s="1" t="e">
        <f t="shared" si="5"/>
        <v>#NUM!</v>
      </c>
      <c r="J98" s="1" t="e">
        <f t="shared" si="6"/>
        <v>#NUM!</v>
      </c>
      <c r="K98" s="1" t="e">
        <f t="shared" si="7"/>
        <v>#NUM!</v>
      </c>
    </row>
    <row r="99" spans="1:11">
      <c r="A99" s="483"/>
      <c r="B99" s="76"/>
      <c r="C99" s="76"/>
      <c r="D99" s="76"/>
      <c r="E99" s="658" t="s">
        <v>163</v>
      </c>
      <c r="F99" s="76"/>
      <c r="G99" s="76"/>
      <c r="H99" s="834">
        <f t="shared" si="4"/>
        <v>0</v>
      </c>
      <c r="I99" s="1" t="e">
        <f t="shared" si="5"/>
        <v>#NUM!</v>
      </c>
      <c r="J99" s="1" t="e">
        <f t="shared" si="6"/>
        <v>#NUM!</v>
      </c>
      <c r="K99" s="1" t="e">
        <f t="shared" si="7"/>
        <v>#NUM!</v>
      </c>
    </row>
    <row r="100" spans="1:11">
      <c r="A100" s="483"/>
      <c r="B100" s="76"/>
      <c r="C100" s="76"/>
      <c r="D100" s="76"/>
      <c r="E100" s="658" t="s">
        <v>163</v>
      </c>
      <c r="F100" s="76"/>
      <c r="G100" s="76"/>
      <c r="H100" s="834">
        <f t="shared" si="4"/>
        <v>0</v>
      </c>
      <c r="I100" s="1" t="e">
        <f t="shared" si="5"/>
        <v>#NUM!</v>
      </c>
      <c r="J100" s="1" t="e">
        <f t="shared" si="6"/>
        <v>#NUM!</v>
      </c>
      <c r="K100" s="1" t="e">
        <f t="shared" si="7"/>
        <v>#NUM!</v>
      </c>
    </row>
    <row r="101" spans="1:11">
      <c r="A101" s="483"/>
      <c r="B101" s="76"/>
      <c r="C101" s="76"/>
      <c r="D101" s="76"/>
      <c r="E101" s="658" t="s">
        <v>163</v>
      </c>
      <c r="F101" s="76"/>
      <c r="G101" s="76"/>
      <c r="H101" s="834">
        <f t="shared" si="4"/>
        <v>0</v>
      </c>
      <c r="I101" s="1" t="e">
        <f t="shared" si="5"/>
        <v>#NUM!</v>
      </c>
      <c r="J101" s="1" t="e">
        <f t="shared" si="6"/>
        <v>#NUM!</v>
      </c>
      <c r="K101" s="1" t="e">
        <f t="shared" si="7"/>
        <v>#NUM!</v>
      </c>
    </row>
  </sheetData>
  <customSheetViews>
    <customSheetView guid="{CFA9FB8A-52FF-44B9-AE70-27339693E196}" scale="90" topLeftCell="I1">
      <pane ySplit="6" topLeftCell="A49" activePane="bottomLeft" state="frozen"/>
      <selection pane="bottomLeft" activeCell="K2" sqref="K2"/>
      <pageMargins left="0.75" right="0.75" top="1" bottom="1" header="0.5" footer="0.5"/>
      <pageSetup orientation="portrait" r:id="rId1"/>
      <headerFooter alignWithMargins="0"/>
    </customSheetView>
  </customSheetViews>
  <mergeCells count="1">
    <mergeCell ref="A1:H3"/>
  </mergeCells>
  <phoneticPr fontId="18" type="noConversion"/>
  <dataValidations count="1">
    <dataValidation type="list" allowBlank="1" showInputMessage="1" showErrorMessage="1" sqref="D47:D101">
      <formula1>counties</formula1>
    </dataValidation>
  </dataValidations>
  <printOptions horizontalCentered="1"/>
  <pageMargins left="0.75" right="0.75" top="1.25" bottom="0.5" header="0.5" footer="0"/>
  <pageSetup scale="74" firstPageNumber="167" fitToHeight="3" orientation="landscape" useFirstPageNumber="1" r:id="rId2"/>
  <headerFooter scaleWithDoc="0">
    <oddFooter>&amp;CPage &amp;P of 172</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8"/>
  <sheetViews>
    <sheetView workbookViewId="0">
      <pane ySplit="11" topLeftCell="A45" activePane="bottomLeft" state="frozen"/>
      <selection pane="bottomLeft" activeCell="E3" sqref="E3"/>
    </sheetView>
  </sheetViews>
  <sheetFormatPr defaultRowHeight="15"/>
  <cols>
    <col min="5" max="5" width="8.109375" customWidth="1"/>
    <col min="11" max="11" width="7.88671875" bestFit="1" customWidth="1"/>
  </cols>
  <sheetData>
    <row r="1" spans="1:16" ht="30" customHeight="1" thickTop="1" thickBot="1">
      <c r="A1" s="1185" t="s">
        <v>1166</v>
      </c>
      <c r="B1" s="1186"/>
      <c r="C1" s="1186"/>
      <c r="D1" s="1186"/>
      <c r="E1" s="1186"/>
      <c r="F1" s="1186"/>
      <c r="G1" s="1186"/>
      <c r="H1" s="1186"/>
      <c r="I1" s="1187"/>
    </row>
    <row r="2" spans="1:16" ht="16.5" thickTop="1">
      <c r="A2" s="749"/>
      <c r="B2" s="4"/>
      <c r="C2" s="4" t="s">
        <v>183</v>
      </c>
      <c r="D2" s="4" t="s">
        <v>184</v>
      </c>
      <c r="E2" s="4" t="s">
        <v>540</v>
      </c>
      <c r="I2" s="750"/>
    </row>
    <row r="3" spans="1:16">
      <c r="A3" s="749"/>
      <c r="B3" s="27" t="s">
        <v>947</v>
      </c>
      <c r="C3" s="27">
        <f>COUNT(G12:G110)</f>
        <v>43</v>
      </c>
      <c r="D3" s="27">
        <f>COUNT(H12:H110)</f>
        <v>43</v>
      </c>
      <c r="E3" s="27">
        <f>COUNT(I12:I110)</f>
        <v>43</v>
      </c>
      <c r="I3" s="750"/>
    </row>
    <row r="4" spans="1:16">
      <c r="A4" s="749"/>
      <c r="B4" s="27">
        <v>0.05</v>
      </c>
      <c r="C4" s="671">
        <f>EXP(INDEX(G12:G54,C3*$B$4)+(INDEX(G12:G54,C3*$B$4+1)-INDEX(G12:G54,C3*$B$4))*(C3*$B$4-INT(C3*$B$4)))</f>
        <v>33</v>
      </c>
      <c r="D4" s="671">
        <f>EXP(INDEX(H12:H54,D3*$B$4)+(INDEX(H12:H54,D3*$B$4+1)-INDEX(H12:H54,D3*$B$4))*(D3*$B$4-INT(D3*$B$4)))</f>
        <v>0.55478473603392242</v>
      </c>
      <c r="E4" s="671">
        <f>EXP(INDEX(I12:I54,E3*$B$4)+(INDEX(I12:I54,E3*$B$4+1)-INDEX(I12:I54,E3*$B$4))*(E3*$B$4-INT(E3*$B$4)))</f>
        <v>3.0244617907203251E-2</v>
      </c>
      <c r="I4" s="750"/>
    </row>
    <row r="5" spans="1:16">
      <c r="A5" s="749"/>
      <c r="B5" s="27" t="s">
        <v>948</v>
      </c>
      <c r="C5" s="671">
        <f>EXP(MODE(G12:G54))</f>
        <v>100.00000000000004</v>
      </c>
      <c r="D5" s="671">
        <f>EXP(MODE(H12:H54))</f>
        <v>3.0000000000000004</v>
      </c>
      <c r="E5" s="671">
        <f>EXP(MODE(I12:I54))</f>
        <v>1.0227272727272727</v>
      </c>
      <c r="I5" s="750"/>
    </row>
    <row r="6" spans="1:16">
      <c r="A6" s="749"/>
      <c r="B6" s="27" t="s">
        <v>949</v>
      </c>
      <c r="C6" s="671">
        <f>EXP(MEDIAN(G12:G54))</f>
        <v>450.00000000000006</v>
      </c>
      <c r="D6" s="671">
        <f>EXP(MEDIAN(H12:H54))</f>
        <v>6.8000000000000007</v>
      </c>
      <c r="E6" s="671">
        <f>EXP(MEDIAN(I12:I54))</f>
        <v>1.0227272727272727</v>
      </c>
      <c r="I6" s="750"/>
    </row>
    <row r="7" spans="1:16">
      <c r="A7" s="749"/>
      <c r="B7" s="27" t="s">
        <v>950</v>
      </c>
      <c r="C7" s="671">
        <f>EXP(AVERAGE(G12:G54))</f>
        <v>266.83740026715475</v>
      </c>
      <c r="D7" s="671">
        <f>EXP(AVERAGE(H12:H54))</f>
        <v>5.4283881777173013</v>
      </c>
      <c r="E7" s="671">
        <f>EXP(AVERAGE(I12:I54))</f>
        <v>0.82300965283127403</v>
      </c>
      <c r="I7" s="750"/>
    </row>
    <row r="8" spans="1:16">
      <c r="A8" s="749"/>
      <c r="B8" s="27" t="s">
        <v>131</v>
      </c>
      <c r="C8" s="671">
        <f>AVERAGE(B12:B54)</f>
        <v>472.74418604651163</v>
      </c>
      <c r="D8" s="671">
        <f>AVERAGE(C12:C54)</f>
        <v>8.1462790697674432</v>
      </c>
      <c r="E8" s="671">
        <f>AVERAGE(D12:D54)</f>
        <v>2.5229130549682872</v>
      </c>
      <c r="I8" s="750"/>
    </row>
    <row r="9" spans="1:16">
      <c r="A9" s="749"/>
      <c r="B9" s="27">
        <v>0.95</v>
      </c>
      <c r="C9" s="671">
        <f>EXP(INDEX(G12:G54,C3*$B$9)+(INDEX(G12:G54,C3*$B$9+1)-INDEX(G12:G54,C3*$B$9))*(C3*$B$9-INT(C3*$B$9)))</f>
        <v>1393.5933731496023</v>
      </c>
      <c r="D9" s="671">
        <f>EXP(INDEX(H12:H54,D3*$B$9)+(INDEX(H12:H54,D3*$B$9+1)-INDEX(H12:H54,D3*$B$9))*(D3*$B$9-INT(D3*$B$9)))</f>
        <v>22.051353047584414</v>
      </c>
      <c r="E9" s="671">
        <f>EXP(INDEX(I12:I54,E3*$B$9)+(INDEX(I12:I54,E3*$B$9+1)-INDEX(I12:I54,E3*$B$9))*(E3*$B$9-INT(E3*$B$9)))</f>
        <v>9.5615014434839534</v>
      </c>
      <c r="I9" s="750"/>
    </row>
    <row r="10" spans="1:16" ht="15.75" thickBot="1">
      <c r="A10" s="749"/>
      <c r="I10" s="750"/>
    </row>
    <row r="11" spans="1:16" s="7" customFormat="1" ht="17.25" thickTop="1" thickBot="1">
      <c r="A11" s="751" t="s">
        <v>941</v>
      </c>
      <c r="B11" s="751" t="s">
        <v>183</v>
      </c>
      <c r="C11" s="751" t="s">
        <v>184</v>
      </c>
      <c r="D11" s="751" t="s">
        <v>540</v>
      </c>
      <c r="E11" s="752" t="s">
        <v>942</v>
      </c>
      <c r="F11" s="751" t="s">
        <v>943</v>
      </c>
      <c r="G11" s="751" t="s">
        <v>944</v>
      </c>
      <c r="H11" s="751" t="s">
        <v>945</v>
      </c>
      <c r="I11" s="751" t="s">
        <v>946</v>
      </c>
      <c r="J11" s="4"/>
      <c r="O11" s="4"/>
      <c r="P11" s="4"/>
    </row>
    <row r="12" spans="1:16" ht="15.75" thickTop="1">
      <c r="A12" s="27">
        <v>1</v>
      </c>
      <c r="B12" s="27">
        <v>10</v>
      </c>
      <c r="C12" s="27">
        <v>0.1</v>
      </c>
      <c r="D12" s="27">
        <v>5.6818181818181826E-4</v>
      </c>
      <c r="E12" s="27">
        <f>(A12-0.5)/43</f>
        <v>1.1627906976744186E-2</v>
      </c>
      <c r="F12" s="27">
        <f>NORMSINV(E12)</f>
        <v>-2.2692057962849637</v>
      </c>
      <c r="G12" s="27">
        <f>LN(B12)</f>
        <v>2.3025850929940459</v>
      </c>
      <c r="H12" s="27">
        <f>LN(C12)</f>
        <v>-2.3025850929940455</v>
      </c>
      <c r="I12" s="27">
        <f>LN(D12)</f>
        <v>-7.4730690880321973</v>
      </c>
      <c r="J12" s="27"/>
      <c r="O12" s="27"/>
      <c r="P12" s="27"/>
    </row>
    <row r="13" spans="1:16">
      <c r="A13" s="27">
        <v>2</v>
      </c>
      <c r="B13" s="27">
        <v>33</v>
      </c>
      <c r="C13" s="27">
        <v>0.5</v>
      </c>
      <c r="D13" s="27">
        <v>2.8409090909090908E-2</v>
      </c>
      <c r="E13" s="27">
        <f t="shared" ref="E13:E54" si="0">(A13-0.5)/43</f>
        <v>3.4883720930232558E-2</v>
      </c>
      <c r="F13" s="27">
        <f t="shared" ref="F13:F54" si="1">NORMSINV(E13)</f>
        <v>-1.8134175686740344</v>
      </c>
      <c r="G13" s="27">
        <f t="shared" ref="G13:I51" si="2">LN(B13)</f>
        <v>3.4965075614664802</v>
      </c>
      <c r="H13" s="27">
        <f t="shared" si="2"/>
        <v>-0.69314718055994529</v>
      </c>
      <c r="I13" s="27">
        <f t="shared" si="2"/>
        <v>-3.5610460826040513</v>
      </c>
      <c r="J13" s="27"/>
      <c r="O13" s="27"/>
      <c r="P13" s="27"/>
    </row>
    <row r="14" spans="1:16">
      <c r="A14" s="27">
        <v>3</v>
      </c>
      <c r="B14" s="27">
        <v>33</v>
      </c>
      <c r="C14" s="27">
        <v>1</v>
      </c>
      <c r="D14" s="27">
        <v>4.3124999999999997E-2</v>
      </c>
      <c r="E14" s="27">
        <f t="shared" si="0"/>
        <v>5.8139534883720929E-2</v>
      </c>
      <c r="F14" s="27">
        <f t="shared" si="1"/>
        <v>-1.5705850285674188</v>
      </c>
      <c r="G14" s="27">
        <f t="shared" si="2"/>
        <v>3.4965075614664802</v>
      </c>
      <c r="H14" s="27">
        <f t="shared" si="2"/>
        <v>0</v>
      </c>
      <c r="I14" s="27">
        <f t="shared" si="2"/>
        <v>-3.1436524036306133</v>
      </c>
      <c r="J14" s="27"/>
      <c r="O14" s="27"/>
      <c r="P14" s="27"/>
    </row>
    <row r="15" spans="1:16">
      <c r="A15" s="27">
        <v>4</v>
      </c>
      <c r="B15" s="27">
        <v>40</v>
      </c>
      <c r="C15" s="27">
        <v>1.5</v>
      </c>
      <c r="D15" s="27">
        <v>4.5454545454545456E-2</v>
      </c>
      <c r="E15" s="27">
        <f t="shared" si="0"/>
        <v>8.1395348837209308E-2</v>
      </c>
      <c r="F15" s="27">
        <f t="shared" si="1"/>
        <v>-1.39574699294967</v>
      </c>
      <c r="G15" s="27">
        <f t="shared" si="2"/>
        <v>3.6888794541139363</v>
      </c>
      <c r="H15" s="27">
        <f t="shared" si="2"/>
        <v>0.40546510810816438</v>
      </c>
      <c r="I15" s="27">
        <f t="shared" si="2"/>
        <v>-3.0910424533583156</v>
      </c>
      <c r="J15" s="27"/>
      <c r="O15" s="27"/>
      <c r="P15" s="27"/>
    </row>
    <row r="16" spans="1:16">
      <c r="A16" s="27">
        <v>5</v>
      </c>
      <c r="B16" s="27">
        <v>40</v>
      </c>
      <c r="C16" s="27">
        <v>2</v>
      </c>
      <c r="D16" s="27">
        <v>0.11363636363636363</v>
      </c>
      <c r="E16" s="27">
        <f t="shared" si="0"/>
        <v>0.10465116279069768</v>
      </c>
      <c r="F16" s="27">
        <f t="shared" si="1"/>
        <v>-1.2554861698244286</v>
      </c>
      <c r="G16" s="27">
        <f t="shared" si="2"/>
        <v>3.6888794541139363</v>
      </c>
      <c r="H16" s="27">
        <f t="shared" si="2"/>
        <v>0.69314718055994529</v>
      </c>
      <c r="I16" s="27">
        <f t="shared" si="2"/>
        <v>-2.174751721484161</v>
      </c>
      <c r="J16" s="27"/>
      <c r="O16" s="27"/>
      <c r="P16" s="27"/>
    </row>
    <row r="17" spans="1:16">
      <c r="A17" s="27">
        <v>6</v>
      </c>
      <c r="B17" s="27">
        <v>50</v>
      </c>
      <c r="C17" s="27">
        <v>2</v>
      </c>
      <c r="D17" s="27">
        <v>0.125</v>
      </c>
      <c r="E17" s="27">
        <f t="shared" si="0"/>
        <v>0.12790697674418605</v>
      </c>
      <c r="F17" s="27">
        <f t="shared" si="1"/>
        <v>-1.1363408192553905</v>
      </c>
      <c r="G17" s="27">
        <f t="shared" si="2"/>
        <v>3.912023005428146</v>
      </c>
      <c r="H17" s="27">
        <f t="shared" si="2"/>
        <v>0.69314718055994529</v>
      </c>
      <c r="I17" s="27">
        <f t="shared" si="2"/>
        <v>-2.0794415416798357</v>
      </c>
      <c r="J17" s="27"/>
      <c r="O17" s="27"/>
      <c r="P17" s="27"/>
    </row>
    <row r="18" spans="1:16">
      <c r="A18" s="27">
        <v>7</v>
      </c>
      <c r="B18" s="27">
        <v>50</v>
      </c>
      <c r="C18" s="27">
        <v>2.2999999999999998</v>
      </c>
      <c r="D18" s="27">
        <v>0.13068181818181818</v>
      </c>
      <c r="E18" s="27">
        <f t="shared" si="0"/>
        <v>0.15116279069767441</v>
      </c>
      <c r="F18" s="27">
        <f t="shared" si="1"/>
        <v>-1.0314590939212436</v>
      </c>
      <c r="G18" s="27">
        <f t="shared" si="2"/>
        <v>3.912023005428146</v>
      </c>
      <c r="H18" s="27">
        <f t="shared" si="2"/>
        <v>0.83290912293510388</v>
      </c>
      <c r="I18" s="27">
        <f t="shared" si="2"/>
        <v>-2.0349897791090021</v>
      </c>
      <c r="J18" s="27"/>
      <c r="O18" s="27"/>
      <c r="P18" s="27"/>
    </row>
    <row r="19" spans="1:16">
      <c r="A19" s="27">
        <v>8</v>
      </c>
      <c r="B19" s="27">
        <v>67</v>
      </c>
      <c r="C19" s="27">
        <v>2.2999999999999998</v>
      </c>
      <c r="D19" s="27">
        <v>0.13636363636363635</v>
      </c>
      <c r="E19" s="27">
        <f t="shared" si="0"/>
        <v>0.1744186046511628</v>
      </c>
      <c r="F19" s="27">
        <f t="shared" si="1"/>
        <v>-0.93684710835836804</v>
      </c>
      <c r="G19" s="27">
        <f t="shared" si="2"/>
        <v>4.2046926193909657</v>
      </c>
      <c r="H19" s="27">
        <f t="shared" si="2"/>
        <v>0.83290912293510388</v>
      </c>
      <c r="I19" s="27">
        <f t="shared" si="2"/>
        <v>-1.9924301646902063</v>
      </c>
      <c r="J19" s="27"/>
      <c r="M19" s="27"/>
      <c r="N19" s="27"/>
      <c r="O19" s="27"/>
      <c r="P19" s="27"/>
    </row>
    <row r="20" spans="1:16">
      <c r="A20" s="27">
        <v>9</v>
      </c>
      <c r="B20" s="27">
        <v>100</v>
      </c>
      <c r="C20" s="27">
        <v>3</v>
      </c>
      <c r="D20" s="27">
        <v>0.16500000000000001</v>
      </c>
      <c r="E20" s="27">
        <f t="shared" si="0"/>
        <v>0.19767441860465115</v>
      </c>
      <c r="F20" s="27">
        <f t="shared" si="1"/>
        <v>-0.8499572808920578</v>
      </c>
      <c r="G20" s="27">
        <f t="shared" si="2"/>
        <v>4.6051701859880918</v>
      </c>
      <c r="H20" s="27">
        <f t="shared" si="2"/>
        <v>1.0986122886681098</v>
      </c>
      <c r="I20" s="27">
        <f t="shared" si="2"/>
        <v>-1.8018098050815563</v>
      </c>
      <c r="J20" s="27"/>
      <c r="M20" s="27"/>
      <c r="N20" s="27"/>
      <c r="O20" s="27"/>
      <c r="P20" s="27"/>
    </row>
    <row r="21" spans="1:16">
      <c r="A21" s="27">
        <v>10</v>
      </c>
      <c r="B21" s="27">
        <v>100</v>
      </c>
      <c r="C21" s="27">
        <v>3</v>
      </c>
      <c r="D21" s="27">
        <v>0.19318181818181818</v>
      </c>
      <c r="E21" s="27">
        <f t="shared" si="0"/>
        <v>0.22093023255813954</v>
      </c>
      <c r="F21" s="27">
        <f t="shared" si="1"/>
        <v>-0.76905532945127975</v>
      </c>
      <c r="G21" s="27">
        <f t="shared" si="2"/>
        <v>4.6051701859880918</v>
      </c>
      <c r="H21" s="27">
        <f t="shared" si="2"/>
        <v>1.0986122886681098</v>
      </c>
      <c r="I21" s="27">
        <f t="shared" si="2"/>
        <v>-1.6441234704219905</v>
      </c>
      <c r="J21" s="27"/>
      <c r="M21" s="27"/>
      <c r="N21" s="27"/>
      <c r="O21" s="27"/>
      <c r="P21" s="27"/>
    </row>
    <row r="22" spans="1:16">
      <c r="A22" s="27">
        <v>11</v>
      </c>
      <c r="B22" s="27">
        <v>100</v>
      </c>
      <c r="C22" s="27">
        <v>3</v>
      </c>
      <c r="D22" s="27">
        <v>0.28977272727272724</v>
      </c>
      <c r="E22" s="27">
        <f t="shared" si="0"/>
        <v>0.2441860465116279</v>
      </c>
      <c r="F22" s="27">
        <f t="shared" si="1"/>
        <v>-0.69290034522758903</v>
      </c>
      <c r="G22" s="27">
        <f t="shared" si="2"/>
        <v>4.6051701859880918</v>
      </c>
      <c r="H22" s="27">
        <f t="shared" si="2"/>
        <v>1.0986122886681098</v>
      </c>
      <c r="I22" s="27">
        <f t="shared" si="2"/>
        <v>-1.2386583623138261</v>
      </c>
      <c r="J22" s="27"/>
      <c r="M22" s="27"/>
      <c r="N22" s="27"/>
      <c r="O22" s="27"/>
      <c r="P22" s="27"/>
    </row>
    <row r="23" spans="1:16">
      <c r="A23" s="27">
        <v>12</v>
      </c>
      <c r="B23" s="27">
        <v>100</v>
      </c>
      <c r="C23" s="27">
        <v>3</v>
      </c>
      <c r="D23" s="27">
        <v>0.46096590909090901</v>
      </c>
      <c r="E23" s="27">
        <f t="shared" si="0"/>
        <v>0.26744186046511625</v>
      </c>
      <c r="F23" s="27">
        <f t="shared" si="1"/>
        <v>-0.62056827180753826</v>
      </c>
      <c r="G23" s="27">
        <f t="shared" si="2"/>
        <v>4.6051701859880918</v>
      </c>
      <c r="H23" s="27">
        <f t="shared" si="2"/>
        <v>1.0986122886681098</v>
      </c>
      <c r="I23" s="27">
        <f t="shared" si="2"/>
        <v>-0.77443118863117832</v>
      </c>
      <c r="J23" s="27"/>
      <c r="K23" s="27"/>
      <c r="L23" s="27"/>
      <c r="M23" s="27"/>
      <c r="N23" s="27"/>
      <c r="O23" s="27"/>
      <c r="P23" s="27"/>
    </row>
    <row r="24" spans="1:16">
      <c r="A24" s="27">
        <v>13</v>
      </c>
      <c r="B24" s="27">
        <v>100</v>
      </c>
      <c r="C24" s="27">
        <v>3.35</v>
      </c>
      <c r="D24" s="27">
        <v>0.50028409090909087</v>
      </c>
      <c r="E24" s="27">
        <f t="shared" si="0"/>
        <v>0.29069767441860467</v>
      </c>
      <c r="F24" s="27">
        <f t="shared" si="1"/>
        <v>-0.55134769512053772</v>
      </c>
      <c r="G24" s="27">
        <f t="shared" si="2"/>
        <v>4.6051701859880918</v>
      </c>
      <c r="H24" s="27">
        <f t="shared" si="2"/>
        <v>1.2089603458369751</v>
      </c>
      <c r="I24" s="27">
        <f t="shared" si="2"/>
        <v>-0.69257916009593667</v>
      </c>
      <c r="J24" s="27"/>
      <c r="K24" s="27"/>
      <c r="L24" s="27"/>
      <c r="M24" s="27"/>
      <c r="N24" s="27"/>
      <c r="O24" s="27"/>
      <c r="P24" s="27"/>
    </row>
    <row r="25" spans="1:16">
      <c r="A25" s="27">
        <v>14</v>
      </c>
      <c r="B25" s="27">
        <v>100</v>
      </c>
      <c r="C25" s="27">
        <v>4</v>
      </c>
      <c r="D25" s="27">
        <v>0.50568181818181823</v>
      </c>
      <c r="E25" s="27">
        <f t="shared" si="0"/>
        <v>0.31395348837209303</v>
      </c>
      <c r="F25" s="27">
        <f t="shared" si="1"/>
        <v>-0.48467489602278113</v>
      </c>
      <c r="G25" s="27">
        <f t="shared" si="2"/>
        <v>4.6051701859880918</v>
      </c>
      <c r="H25" s="27">
        <f t="shared" si="2"/>
        <v>1.3862943611198906</v>
      </c>
      <c r="I25" s="27">
        <f t="shared" si="2"/>
        <v>-0.68184762530601184</v>
      </c>
      <c r="J25" s="27"/>
      <c r="K25" s="27"/>
      <c r="L25" s="27"/>
      <c r="M25" s="27"/>
      <c r="N25" s="27"/>
      <c r="O25" s="27"/>
      <c r="P25" s="27"/>
    </row>
    <row r="26" spans="1:16">
      <c r="A26" s="27">
        <v>15</v>
      </c>
      <c r="B26" s="27">
        <v>133</v>
      </c>
      <c r="C26" s="27">
        <v>4</v>
      </c>
      <c r="D26" s="27">
        <v>0.51136363636363635</v>
      </c>
      <c r="E26" s="27">
        <f t="shared" si="0"/>
        <v>0.33720930232558138</v>
      </c>
      <c r="F26" s="27">
        <f t="shared" si="1"/>
        <v>-0.4200915099394113</v>
      </c>
      <c r="G26" s="27">
        <f t="shared" si="2"/>
        <v>4.8903491282217537</v>
      </c>
      <c r="H26" s="27">
        <f t="shared" si="2"/>
        <v>1.3862943611198906</v>
      </c>
      <c r="I26" s="27">
        <f t="shared" si="2"/>
        <v>-0.67067432470788668</v>
      </c>
      <c r="J26" s="27"/>
      <c r="K26" s="27"/>
      <c r="L26" s="27"/>
      <c r="M26" s="27"/>
      <c r="N26" s="27"/>
      <c r="O26" s="27"/>
      <c r="P26" s="27"/>
    </row>
    <row r="27" spans="1:16">
      <c r="A27" s="27">
        <v>16</v>
      </c>
      <c r="B27" s="27">
        <v>200</v>
      </c>
      <c r="C27" s="27">
        <v>4</v>
      </c>
      <c r="D27" s="27">
        <v>0.59090909090909094</v>
      </c>
      <c r="E27" s="27">
        <f t="shared" si="0"/>
        <v>0.36046511627906974</v>
      </c>
      <c r="F27" s="27">
        <f t="shared" si="1"/>
        <v>-0.35721583463458467</v>
      </c>
      <c r="G27" s="27">
        <f t="shared" si="2"/>
        <v>5.2983173665480363</v>
      </c>
      <c r="H27" s="27">
        <f t="shared" si="2"/>
        <v>1.3862943611198906</v>
      </c>
      <c r="I27" s="27">
        <f t="shared" si="2"/>
        <v>-0.52609309589677911</v>
      </c>
      <c r="J27" s="27"/>
      <c r="K27" s="27"/>
      <c r="L27" s="27"/>
      <c r="M27" s="27"/>
      <c r="N27" s="27"/>
      <c r="O27" s="27"/>
      <c r="P27" s="27"/>
    </row>
    <row r="28" spans="1:16">
      <c r="A28" s="27">
        <v>17</v>
      </c>
      <c r="B28" s="27">
        <v>220</v>
      </c>
      <c r="C28" s="27">
        <v>4.5</v>
      </c>
      <c r="D28" s="27">
        <v>0.61670454545454545</v>
      </c>
      <c r="E28" s="27">
        <f t="shared" si="0"/>
        <v>0.38372093023255816</v>
      </c>
      <c r="F28" s="27">
        <f t="shared" si="1"/>
        <v>-0.29572269945216134</v>
      </c>
      <c r="G28" s="27">
        <f t="shared" si="2"/>
        <v>5.393627546352362</v>
      </c>
      <c r="H28" s="27">
        <f t="shared" si="2"/>
        <v>1.5040773967762742</v>
      </c>
      <c r="I28" s="27">
        <f t="shared" si="2"/>
        <v>-0.48336522640289303</v>
      </c>
      <c r="J28" s="27"/>
      <c r="K28" s="27"/>
      <c r="L28" s="27"/>
      <c r="M28" s="27"/>
      <c r="N28" s="27"/>
      <c r="O28" s="27"/>
      <c r="P28" s="27"/>
    </row>
    <row r="29" spans="1:16">
      <c r="A29" s="27">
        <v>18</v>
      </c>
      <c r="B29" s="27">
        <v>300</v>
      </c>
      <c r="C29" s="27">
        <v>4.7</v>
      </c>
      <c r="D29" s="27">
        <v>0.81818181818181812</v>
      </c>
      <c r="E29" s="27">
        <f t="shared" si="0"/>
        <v>0.40697674418604651</v>
      </c>
      <c r="F29" s="27">
        <f t="shared" si="1"/>
        <v>-0.23532887106951692</v>
      </c>
      <c r="G29" s="27">
        <f t="shared" si="2"/>
        <v>5.7037824746562009</v>
      </c>
      <c r="H29" s="27">
        <f t="shared" si="2"/>
        <v>1.547562508716013</v>
      </c>
      <c r="I29" s="27">
        <f t="shared" si="2"/>
        <v>-0.20067069546215124</v>
      </c>
      <c r="J29" s="27"/>
      <c r="K29" s="27"/>
      <c r="L29" s="27"/>
      <c r="M29" s="27"/>
      <c r="N29" s="27"/>
      <c r="O29" s="27"/>
      <c r="P29" s="27"/>
    </row>
    <row r="30" spans="1:16">
      <c r="A30" s="27">
        <v>19</v>
      </c>
      <c r="B30" s="27">
        <v>300</v>
      </c>
      <c r="C30" s="27">
        <v>5</v>
      </c>
      <c r="D30" s="27">
        <v>0.85227272727272718</v>
      </c>
      <c r="E30" s="27">
        <f t="shared" si="0"/>
        <v>0.43023255813953487</v>
      </c>
      <c r="F30" s="27">
        <f t="shared" si="1"/>
        <v>-0.17578212101566829</v>
      </c>
      <c r="G30" s="27">
        <f t="shared" si="2"/>
        <v>5.7037824746562009</v>
      </c>
      <c r="H30" s="27">
        <f t="shared" si="2"/>
        <v>1.6094379124341003</v>
      </c>
      <c r="I30" s="27">
        <f t="shared" si="2"/>
        <v>-0.15984870094189613</v>
      </c>
      <c r="J30" s="27"/>
      <c r="K30" s="27"/>
      <c r="L30" s="27"/>
      <c r="M30" s="27"/>
      <c r="N30" s="27"/>
      <c r="O30" s="27"/>
      <c r="P30" s="27"/>
    </row>
    <row r="31" spans="1:16">
      <c r="A31" s="27">
        <v>20</v>
      </c>
      <c r="B31" s="27">
        <v>440</v>
      </c>
      <c r="C31" s="27">
        <v>6</v>
      </c>
      <c r="D31" s="27">
        <v>0.85227272727272729</v>
      </c>
      <c r="E31" s="27">
        <f t="shared" si="0"/>
        <v>0.45348837209302323</v>
      </c>
      <c r="F31" s="27">
        <f t="shared" si="1"/>
        <v>-0.116852746716332</v>
      </c>
      <c r="G31" s="27">
        <f t="shared" si="2"/>
        <v>6.0867747269123065</v>
      </c>
      <c r="H31" s="27">
        <f t="shared" si="2"/>
        <v>1.791759469228055</v>
      </c>
      <c r="I31" s="27">
        <f t="shared" si="2"/>
        <v>-0.15984870094189602</v>
      </c>
      <c r="J31" s="27"/>
    </row>
    <row r="32" spans="1:16">
      <c r="A32" s="27">
        <v>21</v>
      </c>
      <c r="B32" s="27">
        <v>440</v>
      </c>
      <c r="C32" s="27">
        <v>6.1</v>
      </c>
      <c r="D32" s="27">
        <v>0.90340909090909094</v>
      </c>
      <c r="E32" s="27">
        <f t="shared" si="0"/>
        <v>0.47674418604651164</v>
      </c>
      <c r="F32" s="27">
        <f t="shared" si="1"/>
        <v>-5.8326735272993049E-2</v>
      </c>
      <c r="G32" s="27">
        <f t="shared" si="2"/>
        <v>6.0867747269123065</v>
      </c>
      <c r="H32" s="27">
        <f t="shared" si="2"/>
        <v>1.8082887711792655</v>
      </c>
      <c r="I32" s="27">
        <f t="shared" si="2"/>
        <v>-0.10157979281792022</v>
      </c>
      <c r="J32" s="27"/>
      <c r="M32" s="125"/>
    </row>
    <row r="33" spans="1:16">
      <c r="A33" s="27">
        <v>22</v>
      </c>
      <c r="B33" s="27">
        <v>450</v>
      </c>
      <c r="C33" s="27">
        <v>6.8</v>
      </c>
      <c r="D33" s="27">
        <v>1.0227272727272727</v>
      </c>
      <c r="E33" s="27">
        <f t="shared" si="0"/>
        <v>0.5</v>
      </c>
      <c r="F33" s="27">
        <f t="shared" si="1"/>
        <v>0</v>
      </c>
      <c r="G33" s="27">
        <f t="shared" si="2"/>
        <v>6.1092475827643655</v>
      </c>
      <c r="H33" s="27">
        <f t="shared" si="2"/>
        <v>1.9169226121820611</v>
      </c>
      <c r="I33" s="27">
        <f t="shared" si="2"/>
        <v>2.2472855852058576E-2</v>
      </c>
      <c r="J33" s="27"/>
    </row>
    <row r="34" spans="1:16">
      <c r="A34" s="27">
        <v>23</v>
      </c>
      <c r="B34" s="27">
        <v>450</v>
      </c>
      <c r="C34" s="27">
        <v>7</v>
      </c>
      <c r="D34" s="27">
        <v>1.0227272727272727</v>
      </c>
      <c r="E34" s="27">
        <f t="shared" si="0"/>
        <v>0.52325581395348841</v>
      </c>
      <c r="F34" s="27">
        <f t="shared" si="1"/>
        <v>5.8326735272993181E-2</v>
      </c>
      <c r="G34" s="27">
        <f t="shared" si="2"/>
        <v>6.1092475827643655</v>
      </c>
      <c r="H34" s="27">
        <f t="shared" si="2"/>
        <v>1.9459101490553132</v>
      </c>
      <c r="I34" s="27">
        <f t="shared" si="2"/>
        <v>2.2472855852058576E-2</v>
      </c>
      <c r="J34" s="27"/>
      <c r="K34" s="27"/>
      <c r="N34" s="27"/>
      <c r="O34" s="27"/>
      <c r="P34" s="27"/>
    </row>
    <row r="35" spans="1:16">
      <c r="A35" s="27">
        <v>24</v>
      </c>
      <c r="B35" s="27">
        <v>500</v>
      </c>
      <c r="C35" s="27">
        <v>7.77</v>
      </c>
      <c r="D35" s="27">
        <v>1.1363636363636365</v>
      </c>
      <c r="E35" s="27">
        <f t="shared" si="0"/>
        <v>0.54651162790697672</v>
      </c>
      <c r="F35" s="27">
        <f t="shared" si="1"/>
        <v>0.11685274671633186</v>
      </c>
      <c r="G35" s="27">
        <f t="shared" si="2"/>
        <v>6.2146080984221914</v>
      </c>
      <c r="H35" s="27">
        <f t="shared" si="2"/>
        <v>2.050270164379556</v>
      </c>
      <c r="I35" s="27">
        <f t="shared" si="2"/>
        <v>0.127833371509885</v>
      </c>
      <c r="J35" s="27"/>
      <c r="K35" s="27"/>
      <c r="N35" s="27"/>
      <c r="O35" s="27"/>
      <c r="P35" s="27"/>
    </row>
    <row r="36" spans="1:16">
      <c r="A36" s="27">
        <v>25</v>
      </c>
      <c r="B36" s="27">
        <v>500</v>
      </c>
      <c r="C36" s="27">
        <v>7.99</v>
      </c>
      <c r="D36" s="27">
        <v>1.1420454545454546</v>
      </c>
      <c r="E36" s="27">
        <f t="shared" si="0"/>
        <v>0.56976744186046513</v>
      </c>
      <c r="F36" s="27">
        <f t="shared" si="1"/>
        <v>0.17578212101566829</v>
      </c>
      <c r="G36" s="27">
        <f t="shared" si="2"/>
        <v>6.2146080984221914</v>
      </c>
      <c r="H36" s="27">
        <f t="shared" si="2"/>
        <v>2.0781907597781832</v>
      </c>
      <c r="I36" s="27">
        <f t="shared" si="2"/>
        <v>0.132820913020924</v>
      </c>
      <c r="J36" s="27"/>
      <c r="K36" s="27"/>
      <c r="N36" s="27"/>
      <c r="O36" s="27"/>
      <c r="P36" s="27"/>
    </row>
    <row r="37" spans="1:16">
      <c r="A37" s="27">
        <v>26</v>
      </c>
      <c r="B37" s="27">
        <v>500</v>
      </c>
      <c r="C37" s="27">
        <v>8.6999999999999993</v>
      </c>
      <c r="D37" s="27">
        <v>1.1931818181818181</v>
      </c>
      <c r="E37" s="27">
        <f t="shared" si="0"/>
        <v>0.59302325581395354</v>
      </c>
      <c r="F37" s="27">
        <f t="shared" si="1"/>
        <v>0.23532887106951708</v>
      </c>
      <c r="G37" s="27">
        <f t="shared" si="2"/>
        <v>6.2146080984221914</v>
      </c>
      <c r="H37" s="27">
        <f t="shared" si="2"/>
        <v>2.1633230256605378</v>
      </c>
      <c r="I37" s="27">
        <f t="shared" si="2"/>
        <v>0.17662353567931685</v>
      </c>
      <c r="J37" s="27"/>
      <c r="K37" s="27"/>
      <c r="N37" s="27"/>
      <c r="O37" s="27"/>
      <c r="P37" s="27"/>
    </row>
    <row r="38" spans="1:16">
      <c r="A38" s="27">
        <v>27</v>
      </c>
      <c r="B38" s="27">
        <v>500</v>
      </c>
      <c r="C38" s="27">
        <v>8.8000000000000007</v>
      </c>
      <c r="D38" s="27">
        <v>1.1931818181818181</v>
      </c>
      <c r="E38" s="27">
        <f t="shared" si="0"/>
        <v>0.61627906976744184</v>
      </c>
      <c r="F38" s="27">
        <f t="shared" si="1"/>
        <v>0.29572269945216134</v>
      </c>
      <c r="G38" s="27">
        <f t="shared" si="2"/>
        <v>6.2146080984221914</v>
      </c>
      <c r="H38" s="27">
        <f t="shared" si="2"/>
        <v>2.174751721484161</v>
      </c>
      <c r="I38" s="27">
        <f t="shared" si="2"/>
        <v>0.17662353567931685</v>
      </c>
      <c r="J38" s="27"/>
      <c r="K38" s="27"/>
      <c r="N38" s="27"/>
      <c r="O38" s="27"/>
      <c r="P38" s="27"/>
    </row>
    <row r="39" spans="1:16">
      <c r="A39" s="27">
        <v>28</v>
      </c>
      <c r="B39" s="27">
        <v>500</v>
      </c>
      <c r="C39" s="27">
        <v>8.9</v>
      </c>
      <c r="D39" s="27">
        <v>2</v>
      </c>
      <c r="E39" s="27">
        <f t="shared" si="0"/>
        <v>0.63953488372093026</v>
      </c>
      <c r="F39" s="27">
        <f t="shared" si="1"/>
        <v>0.35721583463458467</v>
      </c>
      <c r="G39" s="27">
        <f t="shared" si="2"/>
        <v>6.2146080984221914</v>
      </c>
      <c r="H39" s="27">
        <f t="shared" si="2"/>
        <v>2.1860512767380942</v>
      </c>
      <c r="I39" s="27">
        <f t="shared" si="2"/>
        <v>0.69314718055994529</v>
      </c>
      <c r="J39" s="27"/>
      <c r="K39" s="27"/>
      <c r="N39" s="27"/>
      <c r="O39" s="27"/>
      <c r="P39" s="27"/>
    </row>
    <row r="40" spans="1:16">
      <c r="A40" s="27">
        <v>29</v>
      </c>
      <c r="B40" s="27">
        <v>530</v>
      </c>
      <c r="C40" s="27">
        <v>9</v>
      </c>
      <c r="D40" s="27">
        <v>2.5</v>
      </c>
      <c r="E40" s="27">
        <f t="shared" si="0"/>
        <v>0.66279069767441856</v>
      </c>
      <c r="F40" s="27">
        <f t="shared" si="1"/>
        <v>0.42009150993941113</v>
      </c>
      <c r="G40" s="27">
        <f t="shared" si="2"/>
        <v>6.2728770065461674</v>
      </c>
      <c r="H40" s="27">
        <f t="shared" si="2"/>
        <v>2.1972245773362196</v>
      </c>
      <c r="I40" s="27">
        <f t="shared" si="2"/>
        <v>0.91629073187415511</v>
      </c>
      <c r="J40" s="27"/>
      <c r="K40" s="27"/>
      <c r="N40" s="27"/>
      <c r="O40" s="27"/>
      <c r="P40" s="27"/>
    </row>
    <row r="41" spans="1:16">
      <c r="A41" s="27">
        <v>30</v>
      </c>
      <c r="B41" s="27">
        <v>587</v>
      </c>
      <c r="C41" s="27">
        <v>10</v>
      </c>
      <c r="D41" s="27">
        <v>3.0681818181818179</v>
      </c>
      <c r="E41" s="27">
        <f t="shared" si="0"/>
        <v>0.68604651162790697</v>
      </c>
      <c r="F41" s="27">
        <f t="shared" si="1"/>
        <v>0.48467489602278113</v>
      </c>
      <c r="G41" s="27">
        <f t="shared" si="2"/>
        <v>6.3750248198280968</v>
      </c>
      <c r="H41" s="27">
        <f t="shared" si="2"/>
        <v>2.3025850929940459</v>
      </c>
      <c r="I41" s="27">
        <f t="shared" si="2"/>
        <v>1.1210851445201682</v>
      </c>
      <c r="J41" s="27"/>
      <c r="K41" s="27"/>
      <c r="N41" s="27"/>
      <c r="O41" s="27"/>
      <c r="P41" s="27"/>
    </row>
    <row r="42" spans="1:16">
      <c r="A42" s="27">
        <v>31</v>
      </c>
      <c r="B42" s="27">
        <v>600</v>
      </c>
      <c r="C42" s="27">
        <v>10.199999999999999</v>
      </c>
      <c r="D42" s="27">
        <v>3.0681818181818183</v>
      </c>
      <c r="E42" s="27">
        <f t="shared" si="0"/>
        <v>0.70930232558139539</v>
      </c>
      <c r="F42" s="27">
        <f t="shared" si="1"/>
        <v>0.55134769512053794</v>
      </c>
      <c r="G42" s="27">
        <f t="shared" si="2"/>
        <v>6.3969296552161463</v>
      </c>
      <c r="H42" s="27">
        <f t="shared" si="2"/>
        <v>2.3223877202902252</v>
      </c>
      <c r="I42" s="27">
        <f t="shared" si="2"/>
        <v>1.1210851445201684</v>
      </c>
      <c r="J42" s="27"/>
      <c r="K42" s="27"/>
      <c r="N42" s="27"/>
      <c r="O42" s="27"/>
      <c r="P42" s="27"/>
    </row>
    <row r="43" spans="1:16">
      <c r="A43" s="27">
        <v>32</v>
      </c>
      <c r="B43" s="27">
        <v>600</v>
      </c>
      <c r="C43" s="27">
        <v>10.4</v>
      </c>
      <c r="D43" s="27">
        <v>3.1022727272727275</v>
      </c>
      <c r="E43" s="27">
        <f t="shared" si="0"/>
        <v>0.73255813953488369</v>
      </c>
      <c r="F43" s="27">
        <f t="shared" si="1"/>
        <v>0.62056827180753793</v>
      </c>
      <c r="G43" s="27">
        <f t="shared" si="2"/>
        <v>6.3969296552161463</v>
      </c>
      <c r="H43" s="27">
        <f t="shared" si="2"/>
        <v>2.341805806147327</v>
      </c>
      <c r="I43" s="27">
        <f t="shared" si="2"/>
        <v>1.1321349807067533</v>
      </c>
      <c r="J43" s="27"/>
      <c r="K43" s="27"/>
      <c r="N43" s="27"/>
      <c r="O43" s="27"/>
      <c r="P43" s="27"/>
    </row>
    <row r="44" spans="1:16">
      <c r="A44" s="27">
        <v>33</v>
      </c>
      <c r="B44" s="27">
        <v>600</v>
      </c>
      <c r="C44" s="27">
        <v>10.92</v>
      </c>
      <c r="D44" s="27">
        <v>3.4090909090909092</v>
      </c>
      <c r="E44" s="27">
        <f t="shared" si="0"/>
        <v>0.7558139534883721</v>
      </c>
      <c r="F44" s="27">
        <f t="shared" si="1"/>
        <v>0.69290034522758903</v>
      </c>
      <c r="G44" s="27">
        <f t="shared" si="2"/>
        <v>6.3969296552161463</v>
      </c>
      <c r="H44" s="27">
        <f t="shared" si="2"/>
        <v>2.3905959703167592</v>
      </c>
      <c r="I44" s="27">
        <f t="shared" si="2"/>
        <v>1.2264456601779945</v>
      </c>
      <c r="J44" s="27"/>
      <c r="K44" s="27"/>
      <c r="N44" s="27"/>
      <c r="O44" s="27"/>
      <c r="P44" s="27"/>
    </row>
    <row r="45" spans="1:16">
      <c r="A45" s="27">
        <v>34</v>
      </c>
      <c r="B45" s="27">
        <v>700</v>
      </c>
      <c r="C45" s="27">
        <v>11</v>
      </c>
      <c r="D45" s="27">
        <v>3.5249999999999999</v>
      </c>
      <c r="E45" s="27">
        <f t="shared" si="0"/>
        <v>0.77906976744186052</v>
      </c>
      <c r="F45" s="27">
        <f t="shared" si="1"/>
        <v>0.76905532945128019</v>
      </c>
      <c r="G45" s="27">
        <f t="shared" si="2"/>
        <v>6.5510803350434044</v>
      </c>
      <c r="H45" s="27">
        <f t="shared" si="2"/>
        <v>2.3978952727983707</v>
      </c>
      <c r="I45" s="27">
        <f t="shared" si="2"/>
        <v>1.259880436264232</v>
      </c>
      <c r="J45" s="27"/>
      <c r="K45" s="27"/>
      <c r="N45" s="27"/>
      <c r="O45" s="27"/>
      <c r="P45" s="27"/>
    </row>
    <row r="46" spans="1:16">
      <c r="A46" s="27">
        <v>35</v>
      </c>
      <c r="B46" s="27">
        <v>750</v>
      </c>
      <c r="C46" s="27">
        <v>12</v>
      </c>
      <c r="D46" s="27">
        <v>3.7073863636363633</v>
      </c>
      <c r="E46" s="27">
        <f t="shared" si="0"/>
        <v>0.80232558139534882</v>
      </c>
      <c r="F46" s="27">
        <f t="shared" si="1"/>
        <v>0.8499572808920578</v>
      </c>
      <c r="G46" s="27">
        <f t="shared" si="2"/>
        <v>6.620073206530356</v>
      </c>
      <c r="H46" s="27">
        <f t="shared" si="2"/>
        <v>2.4849066497880004</v>
      </c>
      <c r="I46" s="27">
        <f t="shared" si="2"/>
        <v>1.3103271441586966</v>
      </c>
      <c r="J46" s="27"/>
      <c r="K46" s="27"/>
      <c r="N46" s="27"/>
      <c r="O46" s="27"/>
      <c r="P46" s="27"/>
    </row>
    <row r="47" spans="1:16">
      <c r="A47" s="27">
        <v>36</v>
      </c>
      <c r="B47" s="27">
        <v>750</v>
      </c>
      <c r="C47" s="27">
        <v>12</v>
      </c>
      <c r="D47" s="27">
        <v>4.7443181818181817</v>
      </c>
      <c r="E47" s="27">
        <f t="shared" si="0"/>
        <v>0.82558139534883723</v>
      </c>
      <c r="F47" s="27">
        <f t="shared" si="1"/>
        <v>0.93684710835836804</v>
      </c>
      <c r="G47" s="27">
        <f t="shared" si="2"/>
        <v>6.620073206530356</v>
      </c>
      <c r="H47" s="27">
        <f t="shared" si="2"/>
        <v>2.4849066497880004</v>
      </c>
      <c r="I47" s="27">
        <f t="shared" si="2"/>
        <v>1.5569477298127037</v>
      </c>
      <c r="J47" s="27"/>
      <c r="K47" s="27"/>
      <c r="N47" s="27"/>
      <c r="O47" s="27"/>
      <c r="P47" s="27"/>
    </row>
    <row r="48" spans="1:16">
      <c r="A48" s="27">
        <v>37</v>
      </c>
      <c r="B48" s="27">
        <v>880</v>
      </c>
      <c r="C48" s="27">
        <v>14</v>
      </c>
      <c r="D48" s="27">
        <v>6.2160000000000002</v>
      </c>
      <c r="E48" s="27">
        <f t="shared" si="0"/>
        <v>0.84883720930232553</v>
      </c>
      <c r="F48" s="27">
        <f t="shared" si="1"/>
        <v>1.0314590939212447</v>
      </c>
      <c r="G48" s="27">
        <f t="shared" si="2"/>
        <v>6.7799219074722519</v>
      </c>
      <c r="H48" s="27">
        <f t="shared" si="2"/>
        <v>2.6390573296152584</v>
      </c>
      <c r="I48" s="27">
        <f t="shared" si="2"/>
        <v>1.8271266130653463</v>
      </c>
      <c r="J48" s="27"/>
      <c r="K48" s="27"/>
      <c r="N48" s="27"/>
      <c r="O48" s="27"/>
      <c r="P48" s="27"/>
    </row>
    <row r="49" spans="1:16">
      <c r="A49" s="27">
        <v>38</v>
      </c>
      <c r="B49" s="27">
        <v>880</v>
      </c>
      <c r="C49" s="27">
        <v>14.4</v>
      </c>
      <c r="D49" s="27">
        <v>7.5</v>
      </c>
      <c r="E49" s="27">
        <f t="shared" si="0"/>
        <v>0.87209302325581395</v>
      </c>
      <c r="F49" s="27">
        <f t="shared" si="1"/>
        <v>1.1363408192553905</v>
      </c>
      <c r="G49" s="27">
        <f t="shared" si="2"/>
        <v>6.7799219074722519</v>
      </c>
      <c r="H49" s="27">
        <f t="shared" si="2"/>
        <v>2.6672282065819548</v>
      </c>
      <c r="I49" s="27">
        <f t="shared" si="2"/>
        <v>2.0149030205422647</v>
      </c>
      <c r="J49" s="27"/>
      <c r="K49" s="27"/>
      <c r="N49" s="27"/>
      <c r="O49" s="27"/>
      <c r="P49" s="27"/>
    </row>
    <row r="50" spans="1:16">
      <c r="A50" s="27">
        <v>39</v>
      </c>
      <c r="B50" s="27">
        <v>1200</v>
      </c>
      <c r="C50" s="27">
        <v>16.2</v>
      </c>
      <c r="D50" s="27">
        <v>7.5</v>
      </c>
      <c r="E50" s="27">
        <f t="shared" si="0"/>
        <v>0.89534883720930236</v>
      </c>
      <c r="F50" s="27">
        <f t="shared" si="1"/>
        <v>1.2554861698244288</v>
      </c>
      <c r="G50" s="27">
        <f t="shared" si="2"/>
        <v>7.0900768357760917</v>
      </c>
      <c r="H50" s="27">
        <f t="shared" si="2"/>
        <v>2.7850112422383382</v>
      </c>
      <c r="I50" s="27">
        <f t="shared" si="2"/>
        <v>2.0149030205422647</v>
      </c>
      <c r="J50" s="27"/>
      <c r="K50" s="27"/>
      <c r="N50" s="27"/>
      <c r="O50" s="27"/>
      <c r="P50" s="27"/>
    </row>
    <row r="51" spans="1:16">
      <c r="A51" s="27">
        <v>40</v>
      </c>
      <c r="B51" s="27">
        <v>1320</v>
      </c>
      <c r="C51" s="27">
        <v>16.7</v>
      </c>
      <c r="D51" s="27">
        <v>7.99</v>
      </c>
      <c r="E51" s="27">
        <f t="shared" si="0"/>
        <v>0.91860465116279066</v>
      </c>
      <c r="F51" s="27">
        <f t="shared" si="1"/>
        <v>1.39574699294967</v>
      </c>
      <c r="G51" s="27">
        <f t="shared" si="2"/>
        <v>7.1853870155804165</v>
      </c>
      <c r="H51" s="27">
        <f t="shared" si="2"/>
        <v>2.8154087194227095</v>
      </c>
      <c r="I51" s="27">
        <f t="shared" si="2"/>
        <v>2.0781907597781832</v>
      </c>
      <c r="J51" s="27"/>
      <c r="K51" s="27"/>
      <c r="N51" s="27"/>
      <c r="O51" s="27"/>
      <c r="P51" s="27"/>
    </row>
    <row r="52" spans="1:16">
      <c r="A52" s="27">
        <v>41</v>
      </c>
      <c r="B52" s="27">
        <v>1407</v>
      </c>
      <c r="C52" s="27">
        <v>23.16</v>
      </c>
      <c r="D52" s="27">
        <v>9.8693181818181817</v>
      </c>
      <c r="E52" s="27">
        <f t="shared" si="0"/>
        <v>0.94186046511627908</v>
      </c>
      <c r="F52" s="27">
        <f t="shared" si="1"/>
        <v>1.5705850285674188</v>
      </c>
      <c r="G52" s="27">
        <f t="shared" ref="G52:G54" si="3">LN(B52)</f>
        <v>7.2492150571143892</v>
      </c>
      <c r="H52" s="27">
        <f t="shared" ref="H52:H54" si="4">LN(C52)</f>
        <v>3.1424266527047946</v>
      </c>
      <c r="I52" s="27">
        <f t="shared" ref="I52:I54" si="5">LN(D52)</f>
        <v>2.2894307712029534</v>
      </c>
      <c r="J52" s="27"/>
      <c r="K52" s="27"/>
      <c r="N52" s="27"/>
      <c r="O52" s="27"/>
      <c r="P52" s="27"/>
    </row>
    <row r="53" spans="1:16">
      <c r="A53" s="27">
        <v>42</v>
      </c>
      <c r="B53" s="27">
        <v>1408</v>
      </c>
      <c r="C53" s="27">
        <v>29</v>
      </c>
      <c r="D53" s="27">
        <v>11.192045454545454</v>
      </c>
      <c r="E53" s="27">
        <f t="shared" si="0"/>
        <v>0.96511627906976749</v>
      </c>
      <c r="F53" s="27">
        <f t="shared" si="1"/>
        <v>1.813417568674035</v>
      </c>
      <c r="G53" s="27">
        <f t="shared" si="3"/>
        <v>7.2499255367179876</v>
      </c>
      <c r="H53" s="27">
        <f t="shared" si="4"/>
        <v>3.3672958299864741</v>
      </c>
      <c r="I53" s="27">
        <f t="shared" si="5"/>
        <v>2.4152032986974503</v>
      </c>
      <c r="J53" s="27"/>
    </row>
    <row r="54" spans="1:16">
      <c r="A54" s="27">
        <v>43</v>
      </c>
      <c r="B54" s="27">
        <v>1760</v>
      </c>
      <c r="C54" s="27">
        <v>30</v>
      </c>
      <c r="D54" s="27">
        <v>14.5</v>
      </c>
      <c r="E54" s="27">
        <f t="shared" si="0"/>
        <v>0.98837209302325579</v>
      </c>
      <c r="F54" s="27">
        <f t="shared" si="1"/>
        <v>2.2692057962849623</v>
      </c>
      <c r="G54" s="27">
        <f t="shared" si="3"/>
        <v>7.4730690880321973</v>
      </c>
      <c r="H54" s="27">
        <f t="shared" si="4"/>
        <v>3.4011973816621555</v>
      </c>
      <c r="I54" s="27">
        <f t="shared" si="5"/>
        <v>2.6741486494265287</v>
      </c>
      <c r="J54" s="27"/>
    </row>
    <row r="55" spans="1:16">
      <c r="A55" s="671"/>
      <c r="B55" s="671"/>
      <c r="C55" s="671"/>
      <c r="D55" s="671"/>
      <c r="E55" s="671"/>
      <c r="F55" s="671"/>
      <c r="G55" s="671"/>
      <c r="H55" s="671"/>
      <c r="I55" s="671"/>
      <c r="J55" s="27"/>
    </row>
    <row r="56" spans="1:16">
      <c r="A56" s="671"/>
      <c r="B56" s="671"/>
      <c r="C56" s="671"/>
      <c r="D56" s="671"/>
      <c r="E56" s="671"/>
      <c r="F56" s="671"/>
      <c r="G56" s="671"/>
      <c r="H56" s="671"/>
      <c r="I56" s="671"/>
      <c r="J56" s="27"/>
    </row>
    <row r="57" spans="1:16">
      <c r="A57" s="671"/>
      <c r="B57" s="671"/>
      <c r="C57" s="671"/>
      <c r="D57" s="671"/>
      <c r="E57" s="671"/>
      <c r="F57" s="671"/>
      <c r="G57" s="671"/>
      <c r="H57" s="671"/>
      <c r="I57" s="671"/>
      <c r="J57" s="27"/>
    </row>
    <row r="58" spans="1:16">
      <c r="A58" s="671"/>
      <c r="B58" s="671"/>
      <c r="C58" s="671"/>
      <c r="D58" s="671"/>
      <c r="E58" s="671"/>
      <c r="F58" s="671"/>
      <c r="G58" s="671"/>
      <c r="H58" s="671"/>
      <c r="I58" s="671"/>
      <c r="J58" s="27"/>
    </row>
    <row r="59" spans="1:16">
      <c r="A59" s="671"/>
      <c r="B59" s="671"/>
      <c r="C59" s="671"/>
      <c r="D59" s="671"/>
      <c r="E59" s="671"/>
      <c r="F59" s="671"/>
      <c r="G59" s="671"/>
      <c r="H59" s="671"/>
      <c r="I59" s="671"/>
      <c r="J59" s="27"/>
    </row>
    <row r="60" spans="1:16">
      <c r="A60" s="671"/>
      <c r="B60" s="671"/>
      <c r="C60" s="671"/>
      <c r="D60" s="671"/>
      <c r="E60" s="671"/>
      <c r="F60" s="671"/>
      <c r="G60" s="671"/>
      <c r="H60" s="671"/>
      <c r="I60" s="671"/>
      <c r="J60" s="27"/>
    </row>
    <row r="61" spans="1:16">
      <c r="A61" s="671"/>
      <c r="B61" s="671"/>
      <c r="C61" s="671"/>
      <c r="D61" s="671"/>
      <c r="E61" s="671"/>
      <c r="F61" s="671"/>
      <c r="G61" s="671"/>
      <c r="H61" s="671"/>
      <c r="I61" s="671"/>
      <c r="J61" s="27"/>
    </row>
    <row r="62" spans="1:16">
      <c r="A62" s="671"/>
      <c r="B62" s="671"/>
      <c r="C62" s="671"/>
      <c r="D62" s="671"/>
      <c r="E62" s="671"/>
      <c r="F62" s="671"/>
      <c r="G62" s="671"/>
      <c r="H62" s="671"/>
      <c r="I62" s="671"/>
      <c r="J62" s="27"/>
    </row>
    <row r="63" spans="1:16">
      <c r="A63" s="671"/>
      <c r="B63" s="671"/>
      <c r="C63" s="671"/>
      <c r="D63" s="671"/>
      <c r="E63" s="671"/>
      <c r="F63" s="671"/>
      <c r="G63" s="671"/>
      <c r="H63" s="671"/>
      <c r="I63" s="671"/>
      <c r="J63" s="27"/>
    </row>
    <row r="64" spans="1:16">
      <c r="A64" s="671"/>
      <c r="B64" s="671"/>
      <c r="C64" s="671"/>
      <c r="D64" s="671"/>
      <c r="E64" s="671"/>
      <c r="F64" s="671"/>
      <c r="G64" s="671"/>
      <c r="H64" s="671"/>
      <c r="I64" s="671"/>
      <c r="J64" s="27"/>
    </row>
    <row r="65" spans="1:10">
      <c r="A65" s="671"/>
      <c r="B65" s="671"/>
      <c r="C65" s="671"/>
      <c r="D65" s="671"/>
      <c r="E65" s="671"/>
      <c r="F65" s="671"/>
      <c r="G65" s="671"/>
      <c r="H65" s="671"/>
      <c r="I65" s="671"/>
      <c r="J65" s="27"/>
    </row>
    <row r="66" spans="1:10">
      <c r="A66" s="671"/>
      <c r="B66" s="671"/>
      <c r="C66" s="671"/>
      <c r="D66" s="671"/>
      <c r="E66" s="671"/>
      <c r="F66" s="671"/>
      <c r="G66" s="671"/>
      <c r="H66" s="671"/>
      <c r="I66" s="671"/>
      <c r="J66" s="27"/>
    </row>
    <row r="67" spans="1:10">
      <c r="A67" s="671"/>
      <c r="B67" s="671"/>
      <c r="C67" s="671"/>
      <c r="D67" s="671"/>
      <c r="E67" s="671"/>
      <c r="F67" s="671"/>
      <c r="G67" s="671"/>
      <c r="H67" s="671"/>
      <c r="I67" s="671"/>
      <c r="J67" s="27"/>
    </row>
    <row r="68" spans="1:10">
      <c r="A68" s="671"/>
      <c r="B68" s="671"/>
      <c r="C68" s="671"/>
      <c r="D68" s="671"/>
      <c r="E68" s="671"/>
      <c r="F68" s="671"/>
      <c r="G68" s="671"/>
      <c r="H68" s="671"/>
      <c r="I68" s="671"/>
      <c r="J68" s="27"/>
    </row>
    <row r="69" spans="1:10">
      <c r="A69" s="671"/>
      <c r="B69" s="671"/>
      <c r="C69" s="671"/>
      <c r="D69" s="671"/>
      <c r="E69" s="671"/>
      <c r="F69" s="671"/>
      <c r="G69" s="671"/>
      <c r="H69" s="671"/>
      <c r="I69" s="671"/>
      <c r="J69" s="27"/>
    </row>
    <row r="70" spans="1:10">
      <c r="A70" s="671"/>
      <c r="B70" s="671"/>
      <c r="C70" s="671"/>
      <c r="D70" s="671"/>
      <c r="E70" s="671"/>
      <c r="F70" s="671"/>
      <c r="G70" s="671"/>
      <c r="H70" s="671"/>
      <c r="I70" s="671"/>
      <c r="J70" s="27"/>
    </row>
    <row r="71" spans="1:10">
      <c r="A71" s="671"/>
      <c r="B71" s="671"/>
      <c r="C71" s="671"/>
      <c r="D71" s="671"/>
      <c r="E71" s="671"/>
      <c r="F71" s="671"/>
      <c r="G71" s="671"/>
      <c r="H71" s="671"/>
      <c r="I71" s="671"/>
      <c r="J71" s="27"/>
    </row>
    <row r="72" spans="1:10">
      <c r="A72" s="671"/>
      <c r="B72" s="671"/>
      <c r="C72" s="671"/>
      <c r="D72" s="671"/>
      <c r="E72" s="671"/>
      <c r="F72" s="671"/>
      <c r="G72" s="671"/>
      <c r="H72" s="671"/>
      <c r="I72" s="671"/>
      <c r="J72" s="27"/>
    </row>
    <row r="73" spans="1:10">
      <c r="A73" s="671"/>
      <c r="B73" s="671"/>
      <c r="C73" s="671"/>
      <c r="D73" s="671"/>
      <c r="E73" s="671"/>
      <c r="F73" s="671"/>
      <c r="G73" s="671"/>
      <c r="H73" s="671"/>
      <c r="I73" s="671"/>
      <c r="J73" s="27"/>
    </row>
    <row r="74" spans="1:10">
      <c r="A74" s="671"/>
      <c r="B74" s="671"/>
      <c r="C74" s="671"/>
      <c r="D74" s="671"/>
      <c r="E74" s="671"/>
      <c r="F74" s="671"/>
      <c r="G74" s="671"/>
      <c r="H74" s="671"/>
      <c r="I74" s="671"/>
      <c r="J74" s="27"/>
    </row>
    <row r="75" spans="1:10">
      <c r="A75" s="671"/>
      <c r="B75" s="671"/>
      <c r="C75" s="671"/>
      <c r="D75" s="671"/>
      <c r="E75" s="671"/>
      <c r="F75" s="671"/>
      <c r="G75" s="671"/>
      <c r="H75" s="671"/>
      <c r="I75" s="671"/>
      <c r="J75" s="27"/>
    </row>
    <row r="76" spans="1:10">
      <c r="A76" s="671"/>
      <c r="B76" s="671"/>
      <c r="C76" s="671"/>
      <c r="D76" s="671"/>
      <c r="E76" s="671"/>
      <c r="F76" s="671"/>
      <c r="G76" s="671"/>
      <c r="H76" s="671"/>
      <c r="I76" s="671"/>
      <c r="J76" s="27"/>
    </row>
    <row r="77" spans="1:10">
      <c r="A77" s="671"/>
      <c r="B77" s="671"/>
      <c r="C77" s="671"/>
      <c r="D77" s="671"/>
      <c r="E77" s="671"/>
      <c r="F77" s="671"/>
      <c r="G77" s="671"/>
      <c r="H77" s="671"/>
      <c r="I77" s="671"/>
      <c r="J77" s="27"/>
    </row>
    <row r="78" spans="1:10">
      <c r="A78" s="671"/>
      <c r="B78" s="671"/>
      <c r="C78" s="671"/>
      <c r="D78" s="671"/>
      <c r="E78" s="671"/>
      <c r="F78" s="671"/>
      <c r="G78" s="671"/>
      <c r="H78" s="671"/>
      <c r="I78" s="671"/>
      <c r="J78" s="27"/>
    </row>
    <row r="79" spans="1:10">
      <c r="A79" s="671"/>
      <c r="B79" s="671"/>
      <c r="C79" s="671"/>
      <c r="D79" s="671"/>
      <c r="E79" s="671"/>
      <c r="F79" s="671"/>
      <c r="G79" s="671"/>
      <c r="H79" s="671"/>
      <c r="I79" s="671"/>
      <c r="J79" s="27"/>
    </row>
    <row r="80" spans="1:10">
      <c r="A80" s="671"/>
      <c r="B80" s="671"/>
      <c r="C80" s="671"/>
      <c r="D80" s="671"/>
      <c r="E80" s="671"/>
      <c r="F80" s="671"/>
      <c r="G80" s="671"/>
      <c r="H80" s="671"/>
      <c r="I80" s="671"/>
      <c r="J80" s="27"/>
    </row>
    <row r="81" spans="1:10">
      <c r="A81" s="671"/>
      <c r="B81" s="671"/>
      <c r="C81" s="671"/>
      <c r="D81" s="671"/>
      <c r="E81" s="671"/>
      <c r="F81" s="671"/>
      <c r="G81" s="671"/>
      <c r="H81" s="671"/>
      <c r="I81" s="671"/>
      <c r="J81" s="27"/>
    </row>
    <row r="82" spans="1:10">
      <c r="A82" s="671"/>
      <c r="B82" s="671"/>
      <c r="C82" s="671"/>
      <c r="D82" s="671"/>
      <c r="E82" s="671"/>
      <c r="F82" s="671"/>
      <c r="G82" s="671"/>
      <c r="H82" s="671"/>
      <c r="I82" s="671"/>
      <c r="J82" s="27"/>
    </row>
    <row r="83" spans="1:10">
      <c r="A83" s="671"/>
      <c r="B83" s="671"/>
      <c r="C83" s="671"/>
      <c r="D83" s="671"/>
      <c r="E83" s="671"/>
      <c r="F83" s="671"/>
      <c r="G83" s="671"/>
      <c r="H83" s="671"/>
      <c r="I83" s="671"/>
      <c r="J83" s="27"/>
    </row>
    <row r="84" spans="1:10">
      <c r="A84" s="671"/>
      <c r="B84" s="671"/>
      <c r="C84" s="671"/>
      <c r="D84" s="671"/>
      <c r="E84" s="671"/>
      <c r="F84" s="671"/>
      <c r="G84" s="671"/>
      <c r="H84" s="671"/>
      <c r="I84" s="671"/>
      <c r="J84" s="27"/>
    </row>
    <row r="85" spans="1:10">
      <c r="A85" s="671"/>
      <c r="B85" s="671"/>
      <c r="C85" s="671"/>
      <c r="D85" s="671"/>
      <c r="E85" s="671"/>
      <c r="F85" s="671"/>
      <c r="G85" s="671"/>
      <c r="H85" s="671"/>
      <c r="I85" s="671"/>
      <c r="J85" s="27"/>
    </row>
    <row r="86" spans="1:10">
      <c r="A86" s="671"/>
      <c r="B86" s="671"/>
      <c r="C86" s="671"/>
      <c r="D86" s="671"/>
      <c r="E86" s="671"/>
      <c r="F86" s="671"/>
      <c r="G86" s="671"/>
      <c r="H86" s="671"/>
      <c r="I86" s="671"/>
      <c r="J86" s="27"/>
    </row>
    <row r="87" spans="1:10">
      <c r="A87" s="671"/>
      <c r="B87" s="671"/>
      <c r="C87" s="671"/>
      <c r="D87" s="671"/>
      <c r="E87" s="671"/>
      <c r="F87" s="671"/>
      <c r="G87" s="671"/>
      <c r="H87" s="671"/>
      <c r="I87" s="671"/>
      <c r="J87" s="27"/>
    </row>
    <row r="88" spans="1:10">
      <c r="A88" s="671"/>
      <c r="B88" s="671"/>
      <c r="C88" s="671"/>
      <c r="D88" s="671"/>
      <c r="E88" s="671"/>
      <c r="F88" s="671"/>
      <c r="G88" s="671"/>
      <c r="H88" s="671"/>
      <c r="I88" s="671"/>
      <c r="J88" s="27"/>
    </row>
    <row r="89" spans="1:10">
      <c r="A89" s="671"/>
      <c r="B89" s="671"/>
      <c r="C89" s="671"/>
      <c r="D89" s="671"/>
      <c r="E89" s="671"/>
      <c r="F89" s="671"/>
      <c r="G89" s="671"/>
      <c r="H89" s="671"/>
      <c r="I89" s="671"/>
      <c r="J89" s="27"/>
    </row>
    <row r="90" spans="1:10">
      <c r="A90" s="671"/>
      <c r="B90" s="671"/>
      <c r="C90" s="671"/>
      <c r="D90" s="671"/>
      <c r="E90" s="671"/>
      <c r="F90" s="671"/>
      <c r="G90" s="671"/>
      <c r="H90" s="671"/>
      <c r="I90" s="671"/>
      <c r="J90" s="27"/>
    </row>
    <row r="91" spans="1:10">
      <c r="A91" s="671"/>
      <c r="B91" s="671"/>
      <c r="C91" s="671"/>
      <c r="D91" s="671"/>
      <c r="E91" s="671"/>
      <c r="F91" s="671"/>
      <c r="G91" s="671"/>
      <c r="H91" s="671"/>
      <c r="I91" s="671"/>
      <c r="J91" s="27"/>
    </row>
    <row r="92" spans="1:10">
      <c r="A92" s="671"/>
      <c r="B92" s="671"/>
      <c r="C92" s="671"/>
      <c r="D92" s="671"/>
      <c r="E92" s="671"/>
      <c r="F92" s="671"/>
      <c r="G92" s="671"/>
      <c r="H92" s="671"/>
      <c r="I92" s="671"/>
      <c r="J92" s="27"/>
    </row>
    <row r="93" spans="1:10">
      <c r="A93" s="671"/>
      <c r="B93" s="671"/>
      <c r="C93" s="671"/>
      <c r="D93" s="671"/>
      <c r="E93" s="671"/>
      <c r="F93" s="671"/>
      <c r="G93" s="671"/>
      <c r="H93" s="671"/>
      <c r="I93" s="671"/>
      <c r="J93" s="27"/>
    </row>
    <row r="94" spans="1:10">
      <c r="A94" s="671"/>
      <c r="B94" s="671"/>
      <c r="C94" s="671"/>
      <c r="D94" s="671"/>
      <c r="E94" s="671"/>
      <c r="F94" s="671"/>
      <c r="G94" s="671"/>
      <c r="H94" s="671"/>
      <c r="I94" s="671"/>
      <c r="J94" s="27"/>
    </row>
    <row r="95" spans="1:10">
      <c r="A95" s="671"/>
      <c r="B95" s="671"/>
      <c r="C95" s="671"/>
      <c r="D95" s="671"/>
      <c r="E95" s="671"/>
      <c r="F95" s="671"/>
      <c r="G95" s="671"/>
      <c r="H95" s="671"/>
      <c r="I95" s="671"/>
      <c r="J95" s="27"/>
    </row>
    <row r="96" spans="1:10">
      <c r="A96" s="671"/>
      <c r="B96" s="671"/>
      <c r="C96" s="671"/>
      <c r="D96" s="671"/>
      <c r="E96" s="671"/>
      <c r="F96" s="671"/>
      <c r="G96" s="671"/>
      <c r="H96" s="671"/>
      <c r="I96" s="671"/>
      <c r="J96" s="27"/>
    </row>
    <row r="97" spans="1:10">
      <c r="A97" s="671"/>
      <c r="B97" s="671"/>
      <c r="C97" s="671"/>
      <c r="D97" s="671"/>
      <c r="E97" s="671"/>
      <c r="F97" s="671"/>
      <c r="G97" s="671"/>
      <c r="H97" s="671"/>
      <c r="I97" s="671"/>
      <c r="J97" s="27"/>
    </row>
    <row r="98" spans="1:10">
      <c r="A98" s="671"/>
      <c r="B98" s="671"/>
      <c r="C98" s="671"/>
      <c r="D98" s="671"/>
      <c r="E98" s="671"/>
      <c r="F98" s="671"/>
      <c r="G98" s="671"/>
      <c r="H98" s="671"/>
      <c r="I98" s="671"/>
      <c r="J98" s="27"/>
    </row>
    <row r="99" spans="1:10">
      <c r="A99" s="671"/>
      <c r="B99" s="671"/>
      <c r="C99" s="671"/>
      <c r="D99" s="671"/>
      <c r="E99" s="671"/>
      <c r="F99" s="671"/>
      <c r="G99" s="671"/>
      <c r="H99" s="671"/>
      <c r="I99" s="671"/>
      <c r="J99" s="27"/>
    </row>
    <row r="100" spans="1:10">
      <c r="A100" s="671"/>
      <c r="B100" s="671"/>
      <c r="C100" s="671"/>
      <c r="D100" s="671"/>
      <c r="E100" s="671"/>
      <c r="F100" s="671"/>
      <c r="G100" s="671"/>
      <c r="H100" s="671"/>
      <c r="I100" s="671"/>
      <c r="J100" s="27"/>
    </row>
    <row r="101" spans="1:10">
      <c r="A101" s="671"/>
      <c r="B101" s="671"/>
      <c r="C101" s="671"/>
      <c r="D101" s="671"/>
      <c r="E101" s="671"/>
      <c r="F101" s="671"/>
      <c r="G101" s="671"/>
      <c r="H101" s="671"/>
      <c r="I101" s="671"/>
      <c r="J101" s="27"/>
    </row>
    <row r="102" spans="1:10">
      <c r="A102" s="671"/>
      <c r="B102" s="671"/>
      <c r="C102" s="671"/>
      <c r="D102" s="671"/>
      <c r="E102" s="671"/>
      <c r="F102" s="671"/>
      <c r="G102" s="671"/>
      <c r="H102" s="671"/>
      <c r="I102" s="671"/>
      <c r="J102" s="27"/>
    </row>
    <row r="103" spans="1:10">
      <c r="A103" s="671"/>
      <c r="B103" s="671"/>
      <c r="C103" s="671"/>
      <c r="D103" s="671"/>
      <c r="E103" s="671"/>
      <c r="F103" s="671"/>
      <c r="G103" s="671"/>
      <c r="H103" s="671"/>
      <c r="I103" s="671"/>
      <c r="J103" s="27"/>
    </row>
    <row r="104" spans="1:10">
      <c r="A104" s="671"/>
      <c r="B104" s="671"/>
      <c r="C104" s="671"/>
      <c r="D104" s="671"/>
      <c r="E104" s="671"/>
      <c r="F104" s="671"/>
      <c r="G104" s="671"/>
      <c r="H104" s="671"/>
      <c r="I104" s="671"/>
      <c r="J104" s="27"/>
    </row>
    <row r="105" spans="1:10">
      <c r="A105" s="671"/>
      <c r="B105" s="671"/>
      <c r="C105" s="671"/>
      <c r="D105" s="671"/>
      <c r="E105" s="671"/>
      <c r="F105" s="671"/>
      <c r="G105" s="671"/>
      <c r="H105" s="671"/>
      <c r="I105" s="671"/>
      <c r="J105" s="27"/>
    </row>
    <row r="106" spans="1:10">
      <c r="A106" s="671"/>
      <c r="B106" s="671"/>
      <c r="C106" s="671"/>
      <c r="D106" s="671"/>
      <c r="E106" s="671"/>
      <c r="F106" s="671"/>
      <c r="G106" s="671"/>
      <c r="H106" s="671"/>
      <c r="I106" s="671"/>
      <c r="J106" s="27"/>
    </row>
    <row r="107" spans="1:10">
      <c r="A107" s="671"/>
      <c r="B107" s="671"/>
      <c r="C107" s="671"/>
      <c r="D107" s="671"/>
      <c r="E107" s="671"/>
      <c r="F107" s="671"/>
      <c r="G107" s="671"/>
      <c r="H107" s="671"/>
      <c r="I107" s="671"/>
      <c r="J107" s="27"/>
    </row>
    <row r="108" spans="1:10">
      <c r="A108" s="671"/>
      <c r="B108" s="671"/>
      <c r="C108" s="671"/>
      <c r="D108" s="671"/>
      <c r="E108" s="671"/>
      <c r="F108" s="671"/>
      <c r="G108" s="671"/>
      <c r="H108" s="671"/>
      <c r="I108" s="671"/>
      <c r="J108" s="27"/>
    </row>
    <row r="109" spans="1:10">
      <c r="A109" s="671"/>
      <c r="B109" s="671"/>
      <c r="C109" s="671"/>
      <c r="D109" s="671"/>
      <c r="E109" s="671"/>
      <c r="F109" s="671"/>
      <c r="G109" s="671"/>
      <c r="H109" s="671"/>
      <c r="I109" s="671"/>
      <c r="J109" s="27"/>
    </row>
    <row r="110" spans="1:10">
      <c r="A110" s="671"/>
      <c r="B110" s="671"/>
      <c r="C110" s="671"/>
      <c r="D110" s="671"/>
      <c r="E110" s="671"/>
      <c r="F110" s="671"/>
      <c r="G110" s="671"/>
      <c r="H110" s="671"/>
      <c r="I110" s="671"/>
      <c r="J110" s="27"/>
    </row>
    <row r="111" spans="1:10">
      <c r="A111" s="27"/>
      <c r="B111" s="27"/>
      <c r="C111" s="27"/>
      <c r="D111" s="27"/>
      <c r="E111" s="27"/>
      <c r="F111" s="27"/>
      <c r="G111" s="27"/>
      <c r="H111" s="27"/>
      <c r="I111" s="27"/>
      <c r="J111" s="27"/>
    </row>
    <row r="112" spans="1:10">
      <c r="A112" s="27"/>
      <c r="B112" s="27"/>
      <c r="C112" s="27"/>
      <c r="D112" s="27"/>
      <c r="E112" s="27"/>
      <c r="F112" s="27"/>
      <c r="G112" s="27"/>
      <c r="H112" s="27"/>
      <c r="I112" s="27"/>
      <c r="J112" s="27"/>
    </row>
    <row r="113" spans="1:10">
      <c r="A113" s="27"/>
      <c r="B113" s="27"/>
      <c r="C113" s="27"/>
      <c r="D113" s="27"/>
      <c r="E113" s="27"/>
      <c r="F113" s="27"/>
      <c r="G113" s="27"/>
      <c r="H113" s="27"/>
      <c r="I113" s="27"/>
      <c r="J113" s="27"/>
    </row>
    <row r="114" spans="1:10">
      <c r="A114" s="27"/>
      <c r="B114" s="27"/>
      <c r="C114" s="27"/>
      <c r="D114" s="27"/>
      <c r="E114" s="27"/>
      <c r="F114" s="27"/>
      <c r="G114" s="27"/>
      <c r="H114" s="27"/>
      <c r="I114" s="27"/>
      <c r="J114" s="27"/>
    </row>
    <row r="115" spans="1:10">
      <c r="A115" s="27"/>
      <c r="B115" s="27"/>
      <c r="C115" s="27"/>
      <c r="D115" s="27"/>
      <c r="E115" s="27"/>
      <c r="F115" s="27"/>
      <c r="G115" s="27"/>
      <c r="H115" s="27"/>
      <c r="I115" s="27"/>
      <c r="J115" s="27"/>
    </row>
    <row r="116" spans="1:10">
      <c r="A116" s="27"/>
      <c r="B116" s="27"/>
      <c r="C116" s="27"/>
      <c r="D116" s="27"/>
      <c r="E116" s="27"/>
      <c r="F116" s="27"/>
      <c r="G116" s="27"/>
      <c r="H116" s="27"/>
      <c r="I116" s="27"/>
      <c r="J116" s="27"/>
    </row>
    <row r="117" spans="1:10">
      <c r="A117" s="27"/>
      <c r="B117" s="27"/>
      <c r="C117" s="27"/>
      <c r="D117" s="27"/>
      <c r="E117" s="27"/>
      <c r="F117" s="27"/>
      <c r="G117" s="27"/>
      <c r="H117" s="27"/>
      <c r="I117" s="27"/>
      <c r="J117" s="27"/>
    </row>
    <row r="118" spans="1:10">
      <c r="A118" s="27"/>
      <c r="B118" s="27"/>
      <c r="C118" s="27"/>
      <c r="D118" s="27"/>
      <c r="E118" s="27"/>
      <c r="F118" s="27"/>
      <c r="G118" s="27"/>
      <c r="H118" s="27"/>
      <c r="I118" s="27"/>
      <c r="J118" s="27"/>
    </row>
    <row r="119" spans="1:10">
      <c r="A119" s="27"/>
      <c r="B119" s="27"/>
      <c r="C119" s="27"/>
      <c r="D119" s="27"/>
      <c r="E119" s="27"/>
      <c r="F119" s="27"/>
      <c r="G119" s="27"/>
      <c r="H119" s="27"/>
      <c r="I119" s="27"/>
      <c r="J119" s="27"/>
    </row>
    <row r="120" spans="1:10">
      <c r="A120" s="27"/>
      <c r="B120" s="27"/>
      <c r="C120" s="27"/>
      <c r="D120" s="27"/>
      <c r="E120" s="27"/>
      <c r="F120" s="27"/>
      <c r="G120" s="27"/>
      <c r="H120" s="27"/>
      <c r="I120" s="27"/>
      <c r="J120" s="27"/>
    </row>
    <row r="121" spans="1:10">
      <c r="A121" s="27"/>
      <c r="B121" s="27"/>
      <c r="C121" s="27"/>
      <c r="D121" s="27"/>
      <c r="E121" s="27"/>
      <c r="F121" s="27"/>
      <c r="G121" s="27"/>
      <c r="H121" s="27"/>
      <c r="I121" s="27"/>
      <c r="J121" s="27"/>
    </row>
    <row r="122" spans="1:10">
      <c r="A122" s="27"/>
      <c r="B122" s="27"/>
      <c r="C122" s="27"/>
      <c r="D122" s="27"/>
      <c r="E122" s="27"/>
      <c r="F122" s="27"/>
      <c r="G122" s="27"/>
      <c r="H122" s="27"/>
      <c r="I122" s="27"/>
      <c r="J122" s="27"/>
    </row>
    <row r="123" spans="1:10">
      <c r="A123" s="27"/>
      <c r="B123" s="27"/>
      <c r="C123" s="27"/>
      <c r="D123" s="27"/>
      <c r="E123" s="27"/>
      <c r="F123" s="27"/>
      <c r="G123" s="27"/>
      <c r="H123" s="27"/>
      <c r="I123" s="27"/>
      <c r="J123" s="27"/>
    </row>
    <row r="124" spans="1:10">
      <c r="A124" s="27"/>
      <c r="B124" s="27"/>
      <c r="C124" s="27"/>
      <c r="D124" s="27"/>
      <c r="E124" s="27"/>
      <c r="F124" s="27"/>
      <c r="G124" s="27"/>
      <c r="H124" s="27"/>
      <c r="I124" s="27"/>
      <c r="J124" s="27"/>
    </row>
    <row r="125" spans="1:10">
      <c r="A125" s="27"/>
      <c r="B125" s="27"/>
      <c r="C125" s="27"/>
      <c r="D125" s="27"/>
      <c r="E125" s="27"/>
      <c r="F125" s="27"/>
      <c r="G125" s="27"/>
      <c r="H125" s="27"/>
      <c r="I125" s="27"/>
      <c r="J125" s="27"/>
    </row>
    <row r="126" spans="1:10">
      <c r="A126" s="27"/>
      <c r="B126" s="27"/>
      <c r="C126" s="27"/>
      <c r="D126" s="27"/>
      <c r="E126" s="27"/>
      <c r="F126" s="27"/>
      <c r="G126" s="27"/>
      <c r="H126" s="27"/>
      <c r="I126" s="27"/>
      <c r="J126" s="27"/>
    </row>
    <row r="127" spans="1:10">
      <c r="A127" s="27"/>
      <c r="B127" s="27"/>
      <c r="C127" s="27"/>
      <c r="D127" s="27"/>
      <c r="E127" s="27"/>
      <c r="F127" s="27"/>
      <c r="G127" s="27"/>
      <c r="H127" s="27"/>
      <c r="I127" s="27"/>
      <c r="J127" s="27"/>
    </row>
    <row r="128" spans="1:10">
      <c r="A128" s="27"/>
      <c r="B128" s="27"/>
      <c r="C128" s="27"/>
      <c r="D128" s="27"/>
      <c r="E128" s="27"/>
      <c r="F128" s="27"/>
      <c r="G128" s="27"/>
      <c r="H128" s="27"/>
      <c r="I128" s="27"/>
      <c r="J128" s="27"/>
    </row>
    <row r="129" spans="1:10">
      <c r="A129" s="27"/>
      <c r="B129" s="27"/>
      <c r="C129" s="27"/>
      <c r="D129" s="27"/>
      <c r="E129" s="27"/>
      <c r="F129" s="27"/>
      <c r="G129" s="27"/>
      <c r="H129" s="27"/>
      <c r="I129" s="27"/>
      <c r="J129" s="27"/>
    </row>
    <row r="130" spans="1:10">
      <c r="A130" s="27"/>
      <c r="B130" s="27"/>
      <c r="C130" s="27"/>
      <c r="D130" s="27"/>
      <c r="E130" s="27"/>
      <c r="F130" s="27"/>
      <c r="G130" s="27"/>
      <c r="H130" s="27"/>
      <c r="I130" s="27"/>
      <c r="J130" s="27"/>
    </row>
    <row r="131" spans="1:10">
      <c r="A131" s="27"/>
      <c r="B131" s="27"/>
      <c r="C131" s="27"/>
      <c r="D131" s="27"/>
      <c r="E131" s="27"/>
      <c r="F131" s="27"/>
      <c r="G131" s="27"/>
      <c r="H131" s="27"/>
      <c r="I131" s="27"/>
      <c r="J131" s="27"/>
    </row>
    <row r="132" spans="1:10">
      <c r="A132" s="27"/>
      <c r="B132" s="27"/>
      <c r="C132" s="27"/>
      <c r="D132" s="27"/>
      <c r="E132" s="27"/>
      <c r="F132" s="27"/>
      <c r="G132" s="27"/>
      <c r="H132" s="27"/>
      <c r="I132" s="27"/>
      <c r="J132" s="27"/>
    </row>
    <row r="133" spans="1:10">
      <c r="A133" s="27"/>
      <c r="B133" s="27"/>
      <c r="C133" s="27"/>
      <c r="D133" s="27"/>
      <c r="E133" s="27"/>
      <c r="F133" s="27"/>
      <c r="G133" s="27"/>
      <c r="H133" s="27"/>
      <c r="I133" s="27"/>
      <c r="J133" s="27"/>
    </row>
    <row r="134" spans="1:10">
      <c r="A134" s="27"/>
      <c r="B134" s="27"/>
      <c r="C134" s="27"/>
      <c r="D134" s="27"/>
      <c r="E134" s="27"/>
      <c r="F134" s="27"/>
      <c r="G134" s="27"/>
      <c r="H134" s="27"/>
      <c r="I134" s="27"/>
      <c r="J134" s="27"/>
    </row>
    <row r="135" spans="1:10">
      <c r="A135" s="27"/>
      <c r="B135" s="27"/>
      <c r="C135" s="27"/>
      <c r="D135" s="27"/>
      <c r="E135" s="27"/>
      <c r="F135" s="27"/>
      <c r="G135" s="27"/>
      <c r="H135" s="27"/>
      <c r="I135" s="27"/>
      <c r="J135" s="27"/>
    </row>
    <row r="136" spans="1:10">
      <c r="A136" s="27"/>
      <c r="B136" s="27"/>
      <c r="C136" s="27"/>
      <c r="D136" s="27"/>
      <c r="E136" s="27"/>
      <c r="F136" s="27"/>
      <c r="G136" s="27"/>
      <c r="H136" s="27"/>
      <c r="I136" s="27"/>
      <c r="J136" s="27"/>
    </row>
    <row r="137" spans="1:10">
      <c r="A137" s="27"/>
      <c r="B137" s="27"/>
      <c r="C137" s="27"/>
      <c r="D137" s="27"/>
      <c r="E137" s="27"/>
      <c r="F137" s="27"/>
      <c r="G137" s="27"/>
      <c r="H137" s="27"/>
      <c r="I137" s="27"/>
      <c r="J137" s="27"/>
    </row>
    <row r="138" spans="1:10">
      <c r="A138" s="27"/>
      <c r="B138" s="27"/>
      <c r="C138" s="27"/>
      <c r="D138" s="27"/>
      <c r="E138" s="27"/>
      <c r="F138" s="27"/>
      <c r="G138" s="27"/>
      <c r="H138" s="27"/>
      <c r="I138" s="27"/>
      <c r="J138" s="27"/>
    </row>
    <row r="139" spans="1:10">
      <c r="A139" s="27"/>
      <c r="B139" s="27"/>
      <c r="C139" s="27"/>
      <c r="D139" s="27"/>
      <c r="E139" s="27"/>
      <c r="F139" s="27"/>
      <c r="G139" s="27"/>
      <c r="H139" s="27"/>
      <c r="I139" s="27"/>
      <c r="J139" s="27"/>
    </row>
    <row r="140" spans="1:10">
      <c r="A140" s="27"/>
      <c r="B140" s="27"/>
      <c r="C140" s="27"/>
      <c r="D140" s="27"/>
      <c r="E140" s="27"/>
      <c r="F140" s="27"/>
      <c r="G140" s="27"/>
      <c r="H140" s="27"/>
      <c r="I140" s="27"/>
      <c r="J140" s="27"/>
    </row>
    <row r="141" spans="1:10">
      <c r="A141" s="27"/>
      <c r="B141" s="27"/>
      <c r="C141" s="27"/>
      <c r="D141" s="27"/>
      <c r="E141" s="27"/>
      <c r="F141" s="27"/>
      <c r="G141" s="27"/>
      <c r="H141" s="27"/>
      <c r="I141" s="27"/>
      <c r="J141" s="27"/>
    </row>
    <row r="142" spans="1:10">
      <c r="A142" s="27"/>
      <c r="B142" s="27"/>
      <c r="C142" s="27"/>
      <c r="D142" s="27"/>
      <c r="E142" s="27"/>
      <c r="F142" s="27"/>
      <c r="G142" s="27"/>
      <c r="H142" s="27"/>
      <c r="I142" s="27"/>
      <c r="J142" s="27"/>
    </row>
    <row r="143" spans="1:10">
      <c r="A143" s="27"/>
      <c r="B143" s="27"/>
      <c r="C143" s="27"/>
      <c r="D143" s="27"/>
      <c r="E143" s="27"/>
      <c r="F143" s="27"/>
      <c r="G143" s="27"/>
      <c r="H143" s="27"/>
      <c r="I143" s="27"/>
      <c r="J143" s="27"/>
    </row>
    <row r="144" spans="1:10">
      <c r="A144" s="27"/>
      <c r="B144" s="27"/>
      <c r="C144" s="27"/>
      <c r="D144" s="27"/>
      <c r="E144" s="27"/>
      <c r="F144" s="27"/>
      <c r="G144" s="27"/>
      <c r="H144" s="27"/>
      <c r="I144" s="27"/>
      <c r="J144" s="27"/>
    </row>
    <row r="145" spans="1:10">
      <c r="A145" s="27"/>
      <c r="B145" s="27"/>
      <c r="C145" s="27"/>
      <c r="D145" s="27"/>
      <c r="E145" s="27"/>
      <c r="F145" s="27"/>
      <c r="G145" s="27"/>
      <c r="H145" s="27"/>
      <c r="I145" s="27"/>
      <c r="J145" s="27"/>
    </row>
    <row r="146" spans="1:10">
      <c r="A146" s="27"/>
      <c r="B146" s="27"/>
      <c r="C146" s="27"/>
      <c r="D146" s="27"/>
      <c r="E146" s="27"/>
      <c r="F146" s="27"/>
      <c r="G146" s="27"/>
      <c r="H146" s="27"/>
      <c r="I146" s="27"/>
      <c r="J146" s="27"/>
    </row>
    <row r="147" spans="1:10">
      <c r="A147" s="27"/>
      <c r="B147" s="27"/>
      <c r="C147" s="27"/>
      <c r="D147" s="27"/>
      <c r="E147" s="27"/>
      <c r="F147" s="27"/>
      <c r="G147" s="27"/>
      <c r="H147" s="27"/>
      <c r="I147" s="27"/>
      <c r="J147" s="27"/>
    </row>
    <row r="148" spans="1:10">
      <c r="A148" s="27"/>
      <c r="B148" s="27"/>
      <c r="C148" s="27"/>
      <c r="D148" s="27"/>
      <c r="E148" s="27"/>
      <c r="F148" s="27"/>
      <c r="G148" s="27"/>
      <c r="H148" s="27"/>
      <c r="I148" s="27"/>
      <c r="J148" s="27"/>
    </row>
    <row r="149" spans="1:10">
      <c r="A149" s="27"/>
      <c r="B149" s="27"/>
      <c r="C149" s="27"/>
      <c r="D149" s="27"/>
      <c r="E149" s="27"/>
      <c r="F149" s="27"/>
      <c r="G149" s="27"/>
      <c r="H149" s="27"/>
      <c r="I149" s="27"/>
      <c r="J149" s="27"/>
    </row>
    <row r="150" spans="1:10">
      <c r="A150" s="27"/>
      <c r="B150" s="27"/>
      <c r="C150" s="27"/>
      <c r="D150" s="27"/>
      <c r="E150" s="27"/>
      <c r="F150" s="27"/>
      <c r="G150" s="27"/>
      <c r="H150" s="27"/>
      <c r="I150" s="27"/>
      <c r="J150" s="27"/>
    </row>
    <row r="151" spans="1:10">
      <c r="A151" s="27"/>
      <c r="B151" s="27"/>
      <c r="C151" s="27"/>
      <c r="D151" s="27"/>
      <c r="E151" s="27"/>
      <c r="F151" s="27"/>
      <c r="G151" s="27"/>
      <c r="H151" s="27"/>
      <c r="I151" s="27"/>
      <c r="J151" s="27"/>
    </row>
    <row r="152" spans="1:10">
      <c r="A152" s="27"/>
      <c r="B152" s="27"/>
      <c r="C152" s="27"/>
      <c r="D152" s="27"/>
      <c r="E152" s="27"/>
      <c r="F152" s="27"/>
      <c r="G152" s="27"/>
      <c r="H152" s="27"/>
      <c r="I152" s="27"/>
      <c r="J152" s="27"/>
    </row>
    <row r="153" spans="1:10">
      <c r="A153" s="27"/>
      <c r="B153" s="27"/>
      <c r="C153" s="27"/>
      <c r="D153" s="27"/>
      <c r="E153" s="27"/>
      <c r="F153" s="27"/>
      <c r="G153" s="27"/>
      <c r="H153" s="27"/>
      <c r="I153" s="27"/>
      <c r="J153" s="27"/>
    </row>
    <row r="154" spans="1:10">
      <c r="A154" s="27"/>
      <c r="B154" s="27"/>
      <c r="C154" s="27"/>
      <c r="D154" s="27"/>
      <c r="E154" s="27"/>
      <c r="F154" s="27"/>
      <c r="G154" s="27"/>
      <c r="H154" s="27"/>
      <c r="I154" s="27"/>
      <c r="J154" s="27"/>
    </row>
    <row r="155" spans="1:10">
      <c r="A155" s="27"/>
      <c r="B155" s="27"/>
      <c r="C155" s="27"/>
      <c r="D155" s="27"/>
      <c r="E155" s="27"/>
      <c r="F155" s="27"/>
      <c r="G155" s="27"/>
      <c r="H155" s="27"/>
      <c r="I155" s="27"/>
      <c r="J155" s="27"/>
    </row>
    <row r="156" spans="1:10">
      <c r="A156" s="27"/>
      <c r="B156" s="27"/>
      <c r="C156" s="27"/>
      <c r="D156" s="27"/>
      <c r="E156" s="27"/>
      <c r="F156" s="27"/>
      <c r="G156" s="27"/>
      <c r="H156" s="27"/>
      <c r="I156" s="27"/>
      <c r="J156" s="27"/>
    </row>
    <row r="157" spans="1:10">
      <c r="A157" s="27"/>
      <c r="B157" s="27"/>
      <c r="C157" s="27"/>
      <c r="D157" s="27"/>
      <c r="E157" s="27"/>
      <c r="F157" s="27"/>
      <c r="G157" s="27"/>
      <c r="H157" s="27"/>
      <c r="I157" s="27"/>
      <c r="J157" s="27"/>
    </row>
    <row r="158" spans="1:10">
      <c r="A158" s="27"/>
      <c r="B158" s="27"/>
      <c r="C158" s="27"/>
      <c r="D158" s="27"/>
      <c r="E158" s="27"/>
      <c r="F158" s="27"/>
      <c r="G158" s="27"/>
      <c r="H158" s="27"/>
      <c r="I158" s="27"/>
      <c r="J158" s="27"/>
    </row>
    <row r="159" spans="1:10">
      <c r="A159" s="27"/>
      <c r="B159" s="27"/>
      <c r="C159" s="27"/>
      <c r="D159" s="27"/>
      <c r="E159" s="27"/>
      <c r="F159" s="27"/>
      <c r="G159" s="27"/>
      <c r="H159" s="27"/>
      <c r="I159" s="27"/>
      <c r="J159" s="27"/>
    </row>
    <row r="160" spans="1:10">
      <c r="A160" s="27"/>
      <c r="B160" s="27"/>
      <c r="C160" s="27"/>
      <c r="D160" s="27"/>
      <c r="E160" s="27"/>
      <c r="F160" s="27"/>
      <c r="G160" s="27"/>
      <c r="H160" s="27"/>
      <c r="I160" s="27"/>
      <c r="J160" s="27"/>
    </row>
    <row r="161" spans="1:10">
      <c r="A161" s="27"/>
      <c r="B161" s="27"/>
      <c r="C161" s="27"/>
      <c r="D161" s="27"/>
      <c r="E161" s="27"/>
      <c r="F161" s="27"/>
      <c r="G161" s="27"/>
      <c r="H161" s="27"/>
      <c r="I161" s="27"/>
      <c r="J161" s="27"/>
    </row>
    <row r="162" spans="1:10">
      <c r="A162" s="27"/>
      <c r="B162" s="27"/>
      <c r="C162" s="27"/>
      <c r="D162" s="27"/>
      <c r="E162" s="27"/>
      <c r="F162" s="27"/>
      <c r="G162" s="27"/>
      <c r="H162" s="27"/>
      <c r="I162" s="27"/>
      <c r="J162" s="27"/>
    </row>
    <row r="163" spans="1:10">
      <c r="A163" s="27"/>
      <c r="B163" s="27"/>
      <c r="C163" s="27"/>
      <c r="D163" s="27"/>
      <c r="E163" s="27"/>
      <c r="F163" s="27"/>
      <c r="G163" s="27"/>
      <c r="H163" s="27"/>
      <c r="I163" s="27"/>
      <c r="J163" s="27"/>
    </row>
    <row r="164" spans="1:10">
      <c r="A164" s="27"/>
      <c r="B164" s="27"/>
      <c r="C164" s="27"/>
      <c r="D164" s="27"/>
      <c r="E164" s="27"/>
      <c r="F164" s="27"/>
      <c r="G164" s="27"/>
      <c r="H164" s="27"/>
      <c r="I164" s="27"/>
      <c r="J164" s="27"/>
    </row>
    <row r="165" spans="1:10">
      <c r="A165" s="27"/>
      <c r="B165" s="27"/>
      <c r="C165" s="27"/>
      <c r="D165" s="27"/>
      <c r="E165" s="27"/>
      <c r="F165" s="27"/>
      <c r="G165" s="27"/>
      <c r="H165" s="27"/>
      <c r="I165" s="27"/>
      <c r="J165" s="27"/>
    </row>
    <row r="166" spans="1:10">
      <c r="A166" s="27"/>
      <c r="B166" s="27"/>
      <c r="C166" s="27"/>
      <c r="D166" s="27"/>
      <c r="E166" s="27"/>
      <c r="F166" s="27"/>
      <c r="G166" s="27"/>
      <c r="H166" s="27"/>
      <c r="I166" s="27"/>
      <c r="J166" s="27"/>
    </row>
    <row r="167" spans="1:10">
      <c r="A167" s="27"/>
      <c r="B167" s="27"/>
      <c r="C167" s="27"/>
      <c r="D167" s="27"/>
      <c r="E167" s="27"/>
      <c r="F167" s="27"/>
      <c r="G167" s="27"/>
      <c r="H167" s="27"/>
      <c r="I167" s="27"/>
      <c r="J167" s="27"/>
    </row>
    <row r="168" spans="1:10">
      <c r="A168" s="27"/>
      <c r="B168" s="27"/>
      <c r="C168" s="27"/>
      <c r="D168" s="27"/>
      <c r="E168" s="27"/>
      <c r="F168" s="27"/>
      <c r="G168" s="27"/>
      <c r="H168" s="27"/>
      <c r="I168" s="27"/>
      <c r="J168" s="27"/>
    </row>
    <row r="169" spans="1:10">
      <c r="A169" s="27"/>
      <c r="B169" s="27"/>
      <c r="C169" s="27"/>
      <c r="D169" s="27"/>
      <c r="E169" s="27"/>
      <c r="F169" s="27"/>
      <c r="G169" s="27"/>
      <c r="H169" s="27"/>
      <c r="I169" s="27"/>
      <c r="J169" s="27"/>
    </row>
    <row r="170" spans="1:10">
      <c r="A170" s="27"/>
      <c r="B170" s="27"/>
      <c r="C170" s="27"/>
      <c r="D170" s="27"/>
      <c r="E170" s="27"/>
      <c r="F170" s="27"/>
      <c r="G170" s="27"/>
      <c r="H170" s="27"/>
      <c r="I170" s="27"/>
      <c r="J170" s="27"/>
    </row>
    <row r="171" spans="1:10">
      <c r="A171" s="27"/>
      <c r="B171" s="27"/>
      <c r="C171" s="27"/>
      <c r="D171" s="27"/>
      <c r="E171" s="27"/>
      <c r="F171" s="27"/>
      <c r="G171" s="27"/>
      <c r="H171" s="27"/>
      <c r="I171" s="27"/>
      <c r="J171" s="27"/>
    </row>
    <row r="172" spans="1:10">
      <c r="A172" s="27"/>
      <c r="B172" s="27"/>
      <c r="C172" s="27"/>
      <c r="D172" s="27"/>
      <c r="E172" s="27"/>
      <c r="F172" s="27"/>
      <c r="G172" s="27"/>
      <c r="H172" s="27"/>
      <c r="I172" s="27"/>
      <c r="J172" s="27"/>
    </row>
    <row r="173" spans="1:10">
      <c r="A173" s="27"/>
      <c r="B173" s="27"/>
      <c r="C173" s="27"/>
      <c r="D173" s="27"/>
      <c r="E173" s="27"/>
      <c r="F173" s="27"/>
      <c r="G173" s="27"/>
      <c r="H173" s="27"/>
      <c r="I173" s="27"/>
      <c r="J173" s="27"/>
    </row>
    <row r="174" spans="1:10">
      <c r="A174" s="27"/>
      <c r="B174" s="27"/>
      <c r="C174" s="27"/>
      <c r="D174" s="27"/>
      <c r="E174" s="27"/>
      <c r="F174" s="27"/>
      <c r="G174" s="27"/>
      <c r="H174" s="27"/>
      <c r="I174" s="27"/>
      <c r="J174" s="27"/>
    </row>
    <row r="175" spans="1:10">
      <c r="A175" s="27"/>
      <c r="B175" s="27"/>
      <c r="C175" s="27"/>
      <c r="D175" s="27"/>
      <c r="E175" s="27"/>
      <c r="F175" s="27"/>
      <c r="G175" s="27"/>
      <c r="H175" s="27"/>
      <c r="I175" s="27"/>
      <c r="J175" s="27"/>
    </row>
    <row r="176" spans="1:10">
      <c r="A176" s="27"/>
      <c r="B176" s="27"/>
      <c r="C176" s="27"/>
      <c r="D176" s="27"/>
      <c r="E176" s="27"/>
      <c r="F176" s="27"/>
      <c r="G176" s="27"/>
      <c r="H176" s="27"/>
      <c r="I176" s="27"/>
      <c r="J176" s="27"/>
    </row>
    <row r="177" spans="1:10">
      <c r="A177" s="27"/>
      <c r="B177" s="27"/>
      <c r="C177" s="27"/>
      <c r="D177" s="27"/>
      <c r="E177" s="27"/>
      <c r="F177" s="27"/>
      <c r="G177" s="27"/>
      <c r="H177" s="27"/>
      <c r="I177" s="27"/>
      <c r="J177" s="27"/>
    </row>
    <row r="178" spans="1:10">
      <c r="A178" s="27"/>
      <c r="B178" s="27"/>
      <c r="C178" s="27"/>
      <c r="D178" s="27"/>
      <c r="E178" s="27"/>
      <c r="F178" s="27"/>
      <c r="G178" s="27"/>
      <c r="H178" s="27"/>
      <c r="I178" s="27"/>
      <c r="J178" s="27"/>
    </row>
    <row r="179" spans="1:10">
      <c r="A179" s="27"/>
      <c r="B179" s="27"/>
      <c r="C179" s="27"/>
      <c r="D179" s="27"/>
      <c r="E179" s="27"/>
      <c r="F179" s="27"/>
      <c r="G179" s="27"/>
      <c r="H179" s="27"/>
      <c r="I179" s="27"/>
      <c r="J179" s="27"/>
    </row>
    <row r="180" spans="1:10">
      <c r="A180" s="27"/>
      <c r="B180" s="27"/>
      <c r="C180" s="27"/>
      <c r="D180" s="27"/>
      <c r="E180" s="27"/>
      <c r="F180" s="27"/>
      <c r="G180" s="27"/>
      <c r="H180" s="27"/>
      <c r="I180" s="27"/>
      <c r="J180" s="27"/>
    </row>
    <row r="181" spans="1:10">
      <c r="A181" s="27"/>
      <c r="B181" s="27"/>
      <c r="C181" s="27"/>
      <c r="D181" s="27"/>
      <c r="E181" s="27"/>
      <c r="F181" s="27"/>
      <c r="G181" s="27"/>
      <c r="H181" s="27"/>
      <c r="I181" s="27"/>
      <c r="J181" s="27"/>
    </row>
    <row r="182" spans="1:10">
      <c r="A182" s="27"/>
      <c r="B182" s="27"/>
      <c r="C182" s="27"/>
      <c r="D182" s="27"/>
      <c r="E182" s="27"/>
      <c r="F182" s="27"/>
      <c r="G182" s="27"/>
      <c r="H182" s="27"/>
      <c r="I182" s="27"/>
      <c r="J182" s="27"/>
    </row>
    <row r="183" spans="1:10">
      <c r="A183" s="27"/>
      <c r="B183" s="27"/>
      <c r="C183" s="27"/>
      <c r="D183" s="27"/>
      <c r="E183" s="27"/>
      <c r="F183" s="27"/>
      <c r="G183" s="27"/>
      <c r="H183" s="27"/>
      <c r="I183" s="27"/>
      <c r="J183" s="27"/>
    </row>
    <row r="184" spans="1:10">
      <c r="A184" s="27"/>
      <c r="B184" s="27"/>
      <c r="C184" s="27"/>
      <c r="D184" s="27"/>
      <c r="E184" s="27"/>
      <c r="F184" s="27"/>
      <c r="G184" s="27"/>
      <c r="H184" s="27"/>
      <c r="I184" s="27"/>
      <c r="J184" s="27"/>
    </row>
    <row r="185" spans="1:10">
      <c r="A185" s="27"/>
      <c r="B185" s="27"/>
      <c r="C185" s="27"/>
      <c r="D185" s="27"/>
      <c r="E185" s="27"/>
      <c r="F185" s="27"/>
      <c r="G185" s="27"/>
      <c r="H185" s="27"/>
      <c r="I185" s="27"/>
      <c r="J185" s="27"/>
    </row>
    <row r="186" spans="1:10">
      <c r="A186" s="27"/>
      <c r="B186" s="27"/>
      <c r="C186" s="27"/>
      <c r="D186" s="27"/>
      <c r="E186" s="27"/>
      <c r="F186" s="27"/>
      <c r="G186" s="27"/>
      <c r="H186" s="27"/>
      <c r="I186" s="27"/>
      <c r="J186" s="27"/>
    </row>
    <row r="187" spans="1:10">
      <c r="A187" s="27"/>
      <c r="B187" s="27"/>
      <c r="C187" s="27"/>
      <c r="D187" s="27"/>
      <c r="E187" s="27"/>
      <c r="F187" s="27"/>
      <c r="G187" s="27"/>
      <c r="H187" s="27"/>
      <c r="I187" s="27"/>
      <c r="J187" s="27"/>
    </row>
    <row r="188" spans="1:10">
      <c r="A188" s="27"/>
      <c r="B188" s="27"/>
      <c r="C188" s="27"/>
      <c r="D188" s="27"/>
      <c r="E188" s="27"/>
      <c r="F188" s="27"/>
      <c r="G188" s="27"/>
      <c r="H188" s="27"/>
      <c r="I188" s="27"/>
      <c r="J188" s="27"/>
    </row>
    <row r="189" spans="1:10">
      <c r="A189" s="27"/>
      <c r="B189" s="27"/>
      <c r="C189" s="27"/>
      <c r="D189" s="27"/>
      <c r="E189" s="27"/>
      <c r="F189" s="27"/>
      <c r="G189" s="27"/>
      <c r="H189" s="27"/>
      <c r="I189" s="27"/>
      <c r="J189" s="27"/>
    </row>
    <row r="190" spans="1:10">
      <c r="A190" s="27"/>
      <c r="B190" s="27"/>
      <c r="C190" s="27"/>
      <c r="D190" s="27"/>
      <c r="E190" s="27"/>
      <c r="F190" s="27"/>
      <c r="G190" s="27"/>
      <c r="H190" s="27"/>
      <c r="I190" s="27"/>
      <c r="J190" s="27"/>
    </row>
    <row r="191" spans="1:10">
      <c r="A191" s="27"/>
      <c r="B191" s="27"/>
      <c r="C191" s="27"/>
      <c r="D191" s="27"/>
      <c r="E191" s="27"/>
      <c r="F191" s="27"/>
      <c r="G191" s="27"/>
      <c r="H191" s="27"/>
      <c r="I191" s="27"/>
      <c r="J191" s="27"/>
    </row>
    <row r="192" spans="1:10">
      <c r="A192" s="27"/>
      <c r="B192" s="27"/>
      <c r="C192" s="27"/>
      <c r="D192" s="27"/>
      <c r="E192" s="27"/>
      <c r="F192" s="27"/>
      <c r="G192" s="27"/>
      <c r="H192" s="27"/>
      <c r="I192" s="27"/>
      <c r="J192" s="27"/>
    </row>
    <row r="193" spans="1:10">
      <c r="A193" s="27"/>
      <c r="B193" s="27"/>
      <c r="C193" s="27"/>
      <c r="D193" s="27"/>
      <c r="E193" s="27"/>
      <c r="F193" s="27"/>
      <c r="G193" s="27"/>
      <c r="H193" s="27"/>
      <c r="I193" s="27"/>
      <c r="J193" s="27"/>
    </row>
    <row r="194" spans="1:10">
      <c r="A194" s="27"/>
      <c r="B194" s="27"/>
      <c r="C194" s="27"/>
      <c r="D194" s="27"/>
      <c r="E194" s="27"/>
      <c r="F194" s="27"/>
      <c r="G194" s="27"/>
      <c r="H194" s="27"/>
      <c r="I194" s="27"/>
      <c r="J194" s="27"/>
    </row>
    <row r="195" spans="1:10">
      <c r="A195" s="27"/>
      <c r="B195" s="27"/>
      <c r="C195" s="27"/>
      <c r="D195" s="27"/>
      <c r="E195" s="27"/>
      <c r="F195" s="27"/>
      <c r="G195" s="27"/>
      <c r="H195" s="27"/>
      <c r="I195" s="27"/>
      <c r="J195" s="27"/>
    </row>
    <row r="196" spans="1:10">
      <c r="A196" s="27"/>
      <c r="B196" s="27"/>
      <c r="C196" s="27"/>
      <c r="D196" s="27"/>
      <c r="E196" s="27"/>
      <c r="F196" s="27"/>
      <c r="G196" s="27"/>
      <c r="H196" s="27"/>
      <c r="I196" s="27"/>
      <c r="J196" s="27"/>
    </row>
    <row r="197" spans="1:10">
      <c r="A197" s="27"/>
      <c r="B197" s="27"/>
      <c r="C197" s="27"/>
      <c r="D197" s="27"/>
      <c r="E197" s="27"/>
      <c r="F197" s="27"/>
      <c r="G197" s="27"/>
      <c r="H197" s="27"/>
      <c r="I197" s="27"/>
      <c r="J197" s="27"/>
    </row>
    <row r="198" spans="1:10">
      <c r="A198" s="27"/>
      <c r="B198" s="27"/>
      <c r="C198" s="27"/>
      <c r="D198" s="27"/>
      <c r="E198" s="27"/>
      <c r="F198" s="27"/>
      <c r="G198" s="27"/>
      <c r="H198" s="27"/>
      <c r="I198" s="27"/>
      <c r="J198" s="27"/>
    </row>
    <row r="199" spans="1:10">
      <c r="A199" s="27"/>
      <c r="B199" s="27"/>
      <c r="C199" s="27"/>
      <c r="D199" s="27"/>
      <c r="E199" s="27"/>
      <c r="F199" s="27"/>
      <c r="G199" s="27"/>
      <c r="H199" s="27"/>
      <c r="I199" s="27"/>
      <c r="J199" s="27"/>
    </row>
    <row r="200" spans="1:10">
      <c r="A200" s="27"/>
      <c r="B200" s="27"/>
      <c r="C200" s="27"/>
      <c r="D200" s="27"/>
      <c r="E200" s="27"/>
      <c r="F200" s="27"/>
      <c r="G200" s="27"/>
      <c r="H200" s="27"/>
      <c r="I200" s="27"/>
      <c r="J200" s="27"/>
    </row>
    <row r="201" spans="1:10">
      <c r="A201" s="27"/>
      <c r="B201" s="27"/>
      <c r="C201" s="27"/>
      <c r="D201" s="27"/>
      <c r="E201" s="27"/>
      <c r="F201" s="27"/>
      <c r="G201" s="27"/>
      <c r="H201" s="27"/>
      <c r="I201" s="27"/>
      <c r="J201" s="27"/>
    </row>
    <row r="202" spans="1:10">
      <c r="A202" s="27"/>
      <c r="B202" s="27"/>
      <c r="C202" s="27"/>
      <c r="D202" s="27"/>
      <c r="E202" s="27"/>
      <c r="F202" s="27"/>
      <c r="G202" s="27"/>
      <c r="H202" s="27"/>
      <c r="I202" s="27"/>
      <c r="J202" s="27"/>
    </row>
    <row r="203" spans="1:10">
      <c r="A203" s="27"/>
      <c r="B203" s="27"/>
      <c r="C203" s="27"/>
      <c r="D203" s="27"/>
      <c r="E203" s="27"/>
      <c r="F203" s="27"/>
      <c r="G203" s="27"/>
      <c r="H203" s="27"/>
      <c r="I203" s="27"/>
      <c r="J203" s="27"/>
    </row>
    <row r="204" spans="1:10">
      <c r="A204" s="27"/>
      <c r="B204" s="27"/>
      <c r="C204" s="27"/>
      <c r="D204" s="27"/>
      <c r="E204" s="27"/>
      <c r="F204" s="27"/>
      <c r="G204" s="27"/>
      <c r="H204" s="27"/>
      <c r="I204" s="27"/>
      <c r="J204" s="27"/>
    </row>
    <row r="205" spans="1:10">
      <c r="A205" s="27"/>
      <c r="B205" s="27"/>
      <c r="C205" s="27"/>
      <c r="D205" s="27"/>
      <c r="E205" s="27"/>
      <c r="F205" s="27"/>
      <c r="G205" s="27"/>
      <c r="H205" s="27"/>
      <c r="I205" s="27"/>
      <c r="J205" s="27"/>
    </row>
    <row r="206" spans="1:10">
      <c r="A206" s="27"/>
      <c r="B206" s="27"/>
      <c r="C206" s="27"/>
      <c r="D206" s="27"/>
      <c r="E206" s="27"/>
      <c r="F206" s="27"/>
      <c r="G206" s="27"/>
      <c r="H206" s="27"/>
      <c r="I206" s="27"/>
      <c r="J206" s="27"/>
    </row>
    <row r="207" spans="1:10">
      <c r="A207" s="27"/>
      <c r="B207" s="27"/>
      <c r="C207" s="27"/>
      <c r="D207" s="27"/>
      <c r="E207" s="27"/>
      <c r="F207" s="27"/>
      <c r="G207" s="27"/>
      <c r="H207" s="27"/>
      <c r="I207" s="27"/>
      <c r="J207" s="27"/>
    </row>
    <row r="208" spans="1:10">
      <c r="A208" s="27"/>
      <c r="B208" s="27"/>
      <c r="C208" s="27"/>
      <c r="D208" s="27"/>
      <c r="E208" s="27"/>
      <c r="F208" s="27"/>
      <c r="G208" s="27"/>
      <c r="H208" s="27"/>
      <c r="I208" s="27"/>
      <c r="J208" s="27"/>
    </row>
    <row r="209" spans="1:10">
      <c r="A209" s="27"/>
      <c r="B209" s="27"/>
      <c r="C209" s="27"/>
      <c r="D209" s="27"/>
      <c r="E209" s="27"/>
      <c r="F209" s="27"/>
      <c r="G209" s="27"/>
      <c r="H209" s="27"/>
      <c r="I209" s="27"/>
      <c r="J209" s="27"/>
    </row>
    <row r="210" spans="1:10">
      <c r="A210" s="27"/>
      <c r="B210" s="27"/>
      <c r="C210" s="27"/>
      <c r="D210" s="27"/>
      <c r="E210" s="27"/>
      <c r="F210" s="27"/>
      <c r="G210" s="27"/>
      <c r="H210" s="27"/>
      <c r="I210" s="27"/>
      <c r="J210" s="27"/>
    </row>
    <row r="211" spans="1:10">
      <c r="A211" s="27"/>
      <c r="B211" s="27"/>
      <c r="C211" s="27"/>
      <c r="D211" s="27"/>
      <c r="E211" s="27"/>
      <c r="F211" s="27"/>
      <c r="G211" s="27"/>
      <c r="H211" s="27"/>
      <c r="I211" s="27"/>
      <c r="J211" s="27"/>
    </row>
    <row r="212" spans="1:10">
      <c r="A212" s="27"/>
      <c r="B212" s="27"/>
      <c r="C212" s="27"/>
      <c r="D212" s="27"/>
      <c r="E212" s="27"/>
      <c r="F212" s="27"/>
      <c r="G212" s="27"/>
      <c r="H212" s="27"/>
      <c r="I212" s="27"/>
      <c r="J212" s="27"/>
    </row>
    <row r="213" spans="1:10">
      <c r="A213" s="27"/>
      <c r="B213" s="27"/>
      <c r="C213" s="27"/>
      <c r="D213" s="27"/>
      <c r="E213" s="27"/>
      <c r="F213" s="27"/>
      <c r="G213" s="27"/>
      <c r="H213" s="27"/>
      <c r="I213" s="27"/>
      <c r="J213" s="27"/>
    </row>
    <row r="214" spans="1:10">
      <c r="A214" s="27"/>
      <c r="B214" s="27"/>
      <c r="C214" s="27"/>
      <c r="D214" s="27"/>
      <c r="E214" s="27"/>
      <c r="F214" s="27"/>
      <c r="G214" s="27"/>
      <c r="H214" s="27"/>
      <c r="I214" s="27"/>
      <c r="J214" s="27"/>
    </row>
    <row r="215" spans="1:10">
      <c r="A215" s="27"/>
      <c r="B215" s="27"/>
      <c r="C215" s="27"/>
      <c r="D215" s="27"/>
      <c r="E215" s="27"/>
      <c r="F215" s="27"/>
      <c r="G215" s="27"/>
      <c r="H215" s="27"/>
      <c r="I215" s="27"/>
      <c r="J215" s="27"/>
    </row>
    <row r="216" spans="1:10">
      <c r="A216" s="27"/>
      <c r="B216" s="27"/>
      <c r="C216" s="27"/>
      <c r="D216" s="27"/>
      <c r="E216" s="27"/>
      <c r="F216" s="27"/>
      <c r="G216" s="27"/>
      <c r="H216" s="27"/>
      <c r="I216" s="27"/>
      <c r="J216" s="27"/>
    </row>
    <row r="217" spans="1:10">
      <c r="A217" s="27"/>
      <c r="B217" s="27"/>
      <c r="C217" s="27"/>
      <c r="D217" s="27"/>
      <c r="E217" s="27"/>
      <c r="F217" s="27"/>
      <c r="G217" s="27"/>
      <c r="H217" s="27"/>
      <c r="I217" s="27"/>
      <c r="J217" s="27"/>
    </row>
    <row r="218" spans="1:10">
      <c r="A218" s="27"/>
      <c r="B218" s="27"/>
      <c r="C218" s="27"/>
      <c r="D218" s="27"/>
      <c r="E218" s="27"/>
      <c r="F218" s="27"/>
      <c r="G218" s="27"/>
      <c r="H218" s="27"/>
      <c r="I218" s="27"/>
      <c r="J218" s="27"/>
    </row>
    <row r="219" spans="1:10">
      <c r="A219" s="27"/>
      <c r="B219" s="27"/>
      <c r="C219" s="27"/>
      <c r="D219" s="27"/>
      <c r="E219" s="27"/>
      <c r="F219" s="27"/>
      <c r="G219" s="27"/>
      <c r="H219" s="27"/>
      <c r="I219" s="27"/>
      <c r="J219" s="27"/>
    </row>
    <row r="220" spans="1:10">
      <c r="A220" s="27"/>
      <c r="B220" s="27"/>
      <c r="C220" s="27"/>
      <c r="D220" s="27"/>
      <c r="E220" s="27"/>
      <c r="F220" s="27"/>
      <c r="G220" s="27"/>
      <c r="H220" s="27"/>
      <c r="I220" s="27"/>
      <c r="J220" s="27"/>
    </row>
    <row r="221" spans="1:10">
      <c r="A221" s="27"/>
      <c r="B221" s="27"/>
      <c r="C221" s="27"/>
      <c r="D221" s="27"/>
      <c r="E221" s="27"/>
      <c r="F221" s="27"/>
      <c r="G221" s="27"/>
      <c r="H221" s="27"/>
      <c r="I221" s="27"/>
      <c r="J221" s="27"/>
    </row>
    <row r="222" spans="1:10">
      <c r="A222" s="27"/>
      <c r="B222" s="27"/>
      <c r="C222" s="27"/>
      <c r="D222" s="27"/>
      <c r="E222" s="27"/>
      <c r="F222" s="27"/>
      <c r="G222" s="27"/>
      <c r="H222" s="27"/>
      <c r="I222" s="27"/>
      <c r="J222" s="27"/>
    </row>
    <row r="223" spans="1:10">
      <c r="A223" s="27"/>
      <c r="B223" s="27"/>
      <c r="C223" s="27"/>
      <c r="D223" s="27"/>
      <c r="E223" s="27"/>
      <c r="F223" s="27"/>
      <c r="G223" s="27"/>
      <c r="H223" s="27"/>
      <c r="I223" s="27"/>
      <c r="J223" s="27"/>
    </row>
    <row r="224" spans="1:10">
      <c r="A224" s="27"/>
      <c r="B224" s="27"/>
      <c r="C224" s="27"/>
      <c r="D224" s="27"/>
      <c r="E224" s="27"/>
      <c r="F224" s="27"/>
      <c r="G224" s="27"/>
      <c r="H224" s="27"/>
      <c r="I224" s="27"/>
      <c r="J224" s="27"/>
    </row>
    <row r="225" spans="1:10">
      <c r="A225" s="27"/>
      <c r="B225" s="27"/>
      <c r="C225" s="27"/>
      <c r="D225" s="27"/>
      <c r="E225" s="27"/>
      <c r="F225" s="27"/>
      <c r="G225" s="27"/>
      <c r="H225" s="27"/>
      <c r="I225" s="27"/>
      <c r="J225" s="27"/>
    </row>
    <row r="226" spans="1:10">
      <c r="A226" s="27"/>
      <c r="B226" s="27"/>
      <c r="C226" s="27"/>
      <c r="D226" s="27"/>
      <c r="E226" s="27"/>
      <c r="F226" s="27"/>
      <c r="G226" s="27"/>
      <c r="H226" s="27"/>
      <c r="I226" s="27"/>
      <c r="J226" s="27"/>
    </row>
    <row r="227" spans="1:10">
      <c r="A227" s="27"/>
      <c r="B227" s="27"/>
      <c r="C227" s="27"/>
      <c r="D227" s="27"/>
      <c r="E227" s="27"/>
      <c r="F227" s="27"/>
      <c r="G227" s="27"/>
      <c r="H227" s="27"/>
      <c r="I227" s="27"/>
      <c r="J227" s="27"/>
    </row>
    <row r="228" spans="1:10">
      <c r="A228" s="27"/>
      <c r="B228" s="27"/>
      <c r="C228" s="27"/>
      <c r="D228" s="27"/>
      <c r="E228" s="27"/>
      <c r="F228" s="27"/>
      <c r="G228" s="27"/>
      <c r="H228" s="27"/>
      <c r="I228" s="27"/>
      <c r="J228" s="27"/>
    </row>
    <row r="229" spans="1:10">
      <c r="A229" s="27"/>
      <c r="B229" s="27"/>
      <c r="C229" s="27"/>
      <c r="D229" s="27"/>
      <c r="E229" s="27"/>
      <c r="F229" s="27"/>
      <c r="G229" s="27"/>
      <c r="H229" s="27"/>
      <c r="I229" s="27"/>
      <c r="J229" s="27"/>
    </row>
    <row r="230" spans="1:10">
      <c r="A230" s="27"/>
      <c r="B230" s="27"/>
      <c r="C230" s="27"/>
      <c r="D230" s="27"/>
      <c r="E230" s="27"/>
      <c r="F230" s="27"/>
      <c r="G230" s="27"/>
      <c r="H230" s="27"/>
      <c r="I230" s="27"/>
      <c r="J230" s="27"/>
    </row>
    <row r="231" spans="1:10">
      <c r="A231" s="27"/>
      <c r="B231" s="27"/>
      <c r="C231" s="27"/>
      <c r="D231" s="27"/>
      <c r="E231" s="27"/>
      <c r="F231" s="27"/>
      <c r="G231" s="27"/>
      <c r="H231" s="27"/>
      <c r="I231" s="27"/>
      <c r="J231" s="27"/>
    </row>
    <row r="232" spans="1:10">
      <c r="A232" s="27"/>
      <c r="B232" s="27"/>
      <c r="C232" s="27"/>
      <c r="D232" s="27"/>
      <c r="E232" s="27"/>
      <c r="F232" s="27"/>
      <c r="G232" s="27"/>
      <c r="H232" s="27"/>
      <c r="I232" s="27"/>
      <c r="J232" s="27"/>
    </row>
    <row r="233" spans="1:10">
      <c r="A233" s="27"/>
      <c r="B233" s="27"/>
      <c r="C233" s="27"/>
      <c r="D233" s="27"/>
      <c r="E233" s="27"/>
      <c r="F233" s="27"/>
      <c r="G233" s="27"/>
      <c r="H233" s="27"/>
      <c r="I233" s="27"/>
      <c r="J233" s="27"/>
    </row>
    <row r="234" spans="1:10">
      <c r="A234" s="27"/>
      <c r="B234" s="27"/>
      <c r="C234" s="27"/>
      <c r="D234" s="27"/>
      <c r="E234" s="27"/>
      <c r="F234" s="27"/>
      <c r="G234" s="27"/>
      <c r="H234" s="27"/>
      <c r="I234" s="27"/>
      <c r="J234" s="27"/>
    </row>
    <row r="235" spans="1:10">
      <c r="A235" s="27"/>
      <c r="B235" s="27"/>
      <c r="C235" s="27"/>
      <c r="D235" s="27"/>
      <c r="E235" s="27"/>
      <c r="F235" s="27"/>
      <c r="G235" s="27"/>
      <c r="H235" s="27"/>
      <c r="I235" s="27"/>
      <c r="J235" s="27"/>
    </row>
    <row r="236" spans="1:10">
      <c r="A236" s="27"/>
      <c r="B236" s="27"/>
      <c r="C236" s="27"/>
      <c r="D236" s="27"/>
      <c r="E236" s="27"/>
      <c r="F236" s="27"/>
      <c r="G236" s="27"/>
      <c r="H236" s="27"/>
      <c r="I236" s="27"/>
      <c r="J236" s="27"/>
    </row>
    <row r="237" spans="1:10">
      <c r="A237" s="27"/>
      <c r="B237" s="27"/>
      <c r="C237" s="27"/>
      <c r="D237" s="27"/>
      <c r="E237" s="27"/>
      <c r="F237" s="27"/>
      <c r="G237" s="27"/>
      <c r="H237" s="27"/>
      <c r="I237" s="27"/>
      <c r="J237" s="27"/>
    </row>
    <row r="238" spans="1:10">
      <c r="A238" s="27"/>
      <c r="B238" s="27"/>
      <c r="C238" s="27"/>
      <c r="D238" s="27"/>
      <c r="E238" s="27"/>
      <c r="F238" s="27"/>
      <c r="G238" s="27"/>
      <c r="H238" s="27"/>
      <c r="I238" s="27"/>
      <c r="J238" s="27"/>
    </row>
    <row r="239" spans="1:10">
      <c r="A239" s="27"/>
      <c r="B239" s="27"/>
      <c r="C239" s="27"/>
      <c r="D239" s="27"/>
      <c r="E239" s="27"/>
      <c r="F239" s="27"/>
      <c r="G239" s="27"/>
      <c r="H239" s="27"/>
      <c r="I239" s="27"/>
      <c r="J239" s="27"/>
    </row>
    <row r="240" spans="1:10">
      <c r="A240" s="27"/>
      <c r="B240" s="27"/>
      <c r="C240" s="27"/>
      <c r="D240" s="27"/>
      <c r="E240" s="27"/>
      <c r="F240" s="27"/>
      <c r="G240" s="27"/>
      <c r="H240" s="27"/>
      <c r="I240" s="27"/>
      <c r="J240" s="27"/>
    </row>
    <row r="241" spans="1:10">
      <c r="A241" s="27"/>
      <c r="B241" s="27"/>
      <c r="C241" s="27"/>
      <c r="D241" s="27"/>
      <c r="E241" s="27"/>
      <c r="F241" s="27"/>
      <c r="G241" s="27"/>
      <c r="H241" s="27"/>
      <c r="I241" s="27"/>
      <c r="J241" s="27"/>
    </row>
    <row r="242" spans="1:10">
      <c r="A242" s="27"/>
      <c r="B242" s="27"/>
      <c r="C242" s="27"/>
      <c r="D242" s="27"/>
      <c r="E242" s="27"/>
      <c r="F242" s="27"/>
      <c r="G242" s="27"/>
      <c r="H242" s="27"/>
      <c r="I242" s="27"/>
      <c r="J242" s="27"/>
    </row>
    <row r="243" spans="1:10">
      <c r="A243" s="27"/>
      <c r="B243" s="27"/>
      <c r="C243" s="27"/>
      <c r="D243" s="27"/>
      <c r="E243" s="27"/>
      <c r="F243" s="27"/>
      <c r="G243" s="27"/>
      <c r="H243" s="27"/>
      <c r="I243" s="27"/>
      <c r="J243" s="27"/>
    </row>
    <row r="244" spans="1:10">
      <c r="A244" s="27"/>
      <c r="B244" s="27"/>
      <c r="C244" s="27"/>
      <c r="D244" s="27"/>
      <c r="E244" s="27"/>
      <c r="F244" s="27"/>
      <c r="G244" s="27"/>
      <c r="H244" s="27"/>
      <c r="I244" s="27"/>
      <c r="J244" s="27"/>
    </row>
    <row r="245" spans="1:10">
      <c r="A245" s="27"/>
      <c r="B245" s="27"/>
      <c r="C245" s="27"/>
      <c r="D245" s="27"/>
      <c r="E245" s="27"/>
      <c r="F245" s="27"/>
      <c r="G245" s="27"/>
      <c r="H245" s="27"/>
      <c r="I245" s="27"/>
      <c r="J245" s="27"/>
    </row>
    <row r="246" spans="1:10">
      <c r="A246" s="27"/>
      <c r="B246" s="27"/>
      <c r="C246" s="27"/>
      <c r="D246" s="27"/>
      <c r="E246" s="27"/>
      <c r="F246" s="27"/>
      <c r="G246" s="27"/>
      <c r="H246" s="27"/>
      <c r="I246" s="27"/>
      <c r="J246" s="27"/>
    </row>
    <row r="247" spans="1:10">
      <c r="A247" s="27"/>
      <c r="B247" s="27"/>
      <c r="C247" s="27"/>
      <c r="D247" s="27"/>
      <c r="E247" s="27"/>
      <c r="F247" s="27"/>
      <c r="G247" s="27"/>
      <c r="H247" s="27"/>
      <c r="I247" s="27"/>
      <c r="J247" s="27"/>
    </row>
    <row r="248" spans="1:10">
      <c r="A248" s="27"/>
      <c r="B248" s="27"/>
      <c r="C248" s="27"/>
      <c r="D248" s="27"/>
      <c r="E248" s="27"/>
      <c r="F248" s="27"/>
      <c r="G248" s="27"/>
      <c r="H248" s="27"/>
      <c r="I248" s="27"/>
      <c r="J248" s="27"/>
    </row>
    <row r="249" spans="1:10">
      <c r="A249" s="27"/>
      <c r="B249" s="27"/>
      <c r="C249" s="27"/>
      <c r="D249" s="27"/>
      <c r="E249" s="27"/>
      <c r="F249" s="27"/>
      <c r="G249" s="27"/>
      <c r="H249" s="27"/>
      <c r="I249" s="27"/>
      <c r="J249" s="27"/>
    </row>
    <row r="250" spans="1:10">
      <c r="A250" s="27"/>
      <c r="B250" s="27"/>
      <c r="C250" s="27"/>
      <c r="D250" s="27"/>
      <c r="E250" s="27"/>
      <c r="F250" s="27"/>
      <c r="G250" s="27"/>
      <c r="H250" s="27"/>
      <c r="I250" s="27"/>
      <c r="J250" s="27"/>
    </row>
    <row r="251" spans="1:10">
      <c r="A251" s="27"/>
      <c r="B251" s="27"/>
      <c r="C251" s="27"/>
      <c r="D251" s="27"/>
      <c r="E251" s="27"/>
      <c r="F251" s="27"/>
      <c r="G251" s="27"/>
      <c r="H251" s="27"/>
      <c r="I251" s="27"/>
      <c r="J251" s="27"/>
    </row>
    <row r="252" spans="1:10">
      <c r="A252" s="27"/>
      <c r="B252" s="27"/>
      <c r="C252" s="27"/>
      <c r="D252" s="27"/>
      <c r="E252" s="27"/>
      <c r="F252" s="27"/>
      <c r="G252" s="27"/>
      <c r="H252" s="27"/>
      <c r="I252" s="27"/>
      <c r="J252" s="27"/>
    </row>
    <row r="253" spans="1:10">
      <c r="A253" s="27"/>
      <c r="B253" s="27"/>
      <c r="C253" s="27"/>
      <c r="D253" s="27"/>
      <c r="E253" s="27"/>
      <c r="F253" s="27"/>
      <c r="G253" s="27"/>
      <c r="H253" s="27"/>
      <c r="I253" s="27"/>
      <c r="J253" s="27"/>
    </row>
    <row r="254" spans="1:10">
      <c r="A254" s="27"/>
      <c r="B254" s="27"/>
      <c r="C254" s="27"/>
      <c r="D254" s="27"/>
      <c r="E254" s="27"/>
      <c r="F254" s="27"/>
      <c r="G254" s="27"/>
      <c r="H254" s="27"/>
      <c r="I254" s="27"/>
      <c r="J254" s="27"/>
    </row>
    <row r="255" spans="1:10">
      <c r="A255" s="27"/>
      <c r="B255" s="27"/>
      <c r="C255" s="27"/>
      <c r="D255" s="27"/>
      <c r="E255" s="27"/>
      <c r="F255" s="27"/>
      <c r="G255" s="27"/>
      <c r="H255" s="27"/>
      <c r="I255" s="27"/>
      <c r="J255" s="27"/>
    </row>
    <row r="256" spans="1:10">
      <c r="A256" s="27"/>
      <c r="B256" s="27"/>
      <c r="C256" s="27"/>
      <c r="D256" s="27"/>
      <c r="E256" s="27"/>
      <c r="F256" s="27"/>
      <c r="G256" s="27"/>
      <c r="H256" s="27"/>
      <c r="I256" s="27"/>
      <c r="J256" s="27"/>
    </row>
    <row r="257" spans="1:10">
      <c r="A257" s="27"/>
      <c r="B257" s="27"/>
      <c r="C257" s="27"/>
      <c r="D257" s="27"/>
      <c r="E257" s="27"/>
      <c r="F257" s="27"/>
      <c r="G257" s="27"/>
      <c r="H257" s="27"/>
      <c r="I257" s="27"/>
      <c r="J257" s="27"/>
    </row>
    <row r="258" spans="1:10">
      <c r="A258" s="27"/>
      <c r="B258" s="27"/>
      <c r="C258" s="27"/>
      <c r="D258" s="27"/>
      <c r="E258" s="27"/>
      <c r="F258" s="27"/>
      <c r="G258" s="27"/>
      <c r="H258" s="27"/>
      <c r="I258" s="27"/>
      <c r="J258" s="27"/>
    </row>
    <row r="259" spans="1:10">
      <c r="A259" s="27"/>
      <c r="B259" s="27"/>
      <c r="C259" s="27"/>
      <c r="D259" s="27"/>
      <c r="E259" s="27"/>
      <c r="F259" s="27"/>
      <c r="G259" s="27"/>
      <c r="H259" s="27"/>
      <c r="I259" s="27"/>
      <c r="J259" s="27"/>
    </row>
    <row r="260" spans="1:10">
      <c r="A260" s="27"/>
      <c r="B260" s="27"/>
      <c r="C260" s="27"/>
      <c r="D260" s="27"/>
      <c r="E260" s="27"/>
      <c r="F260" s="27"/>
      <c r="G260" s="27"/>
      <c r="H260" s="27"/>
      <c r="I260" s="27"/>
      <c r="J260" s="27"/>
    </row>
    <row r="261" spans="1:10">
      <c r="A261" s="27"/>
      <c r="B261" s="27"/>
      <c r="C261" s="27"/>
      <c r="D261" s="27"/>
      <c r="E261" s="27"/>
      <c r="F261" s="27"/>
      <c r="G261" s="27"/>
      <c r="H261" s="27"/>
      <c r="I261" s="27"/>
      <c r="J261" s="27"/>
    </row>
    <row r="262" spans="1:10">
      <c r="A262" s="27"/>
      <c r="B262" s="27"/>
      <c r="C262" s="27"/>
      <c r="D262" s="27"/>
      <c r="E262" s="27"/>
      <c r="F262" s="27"/>
      <c r="G262" s="27"/>
      <c r="H262" s="27"/>
      <c r="I262" s="27"/>
      <c r="J262" s="27"/>
    </row>
    <row r="263" spans="1:10">
      <c r="A263" s="27"/>
      <c r="B263" s="27"/>
      <c r="C263" s="27"/>
      <c r="D263" s="27"/>
      <c r="E263" s="27"/>
      <c r="F263" s="27"/>
      <c r="G263" s="27"/>
      <c r="H263" s="27"/>
      <c r="I263" s="27"/>
      <c r="J263" s="27"/>
    </row>
    <row r="264" spans="1:10">
      <c r="A264" s="27"/>
      <c r="B264" s="27"/>
      <c r="C264" s="27"/>
      <c r="D264" s="27"/>
      <c r="E264" s="27"/>
      <c r="F264" s="27"/>
      <c r="G264" s="27"/>
      <c r="H264" s="27"/>
      <c r="I264" s="27"/>
      <c r="J264" s="27"/>
    </row>
    <row r="265" spans="1:10">
      <c r="A265" s="27"/>
      <c r="B265" s="27"/>
      <c r="C265" s="27"/>
      <c r="D265" s="27"/>
      <c r="E265" s="27"/>
      <c r="F265" s="27"/>
      <c r="G265" s="27"/>
      <c r="H265" s="27"/>
      <c r="I265" s="27"/>
      <c r="J265" s="27"/>
    </row>
    <row r="266" spans="1:10">
      <c r="A266" s="27"/>
      <c r="B266" s="27"/>
      <c r="C266" s="27"/>
      <c r="D266" s="27"/>
      <c r="E266" s="27"/>
      <c r="F266" s="27"/>
      <c r="G266" s="27"/>
      <c r="H266" s="27"/>
      <c r="I266" s="27"/>
      <c r="J266" s="27"/>
    </row>
    <row r="267" spans="1:10">
      <c r="A267" s="27"/>
      <c r="B267" s="27"/>
      <c r="C267" s="27"/>
      <c r="D267" s="27"/>
      <c r="E267" s="27"/>
      <c r="F267" s="27"/>
      <c r="G267" s="27"/>
      <c r="H267" s="27"/>
      <c r="I267" s="27"/>
      <c r="J267" s="27"/>
    </row>
    <row r="268" spans="1:10">
      <c r="A268" s="27"/>
      <c r="B268" s="27"/>
      <c r="C268" s="27"/>
      <c r="D268" s="27"/>
      <c r="E268" s="27"/>
      <c r="F268" s="27"/>
      <c r="G268" s="27"/>
      <c r="H268" s="27"/>
      <c r="I268" s="27"/>
      <c r="J268" s="27"/>
    </row>
    <row r="269" spans="1:10">
      <c r="A269" s="27"/>
      <c r="B269" s="27"/>
      <c r="C269" s="27"/>
      <c r="D269" s="27"/>
      <c r="E269" s="27"/>
      <c r="F269" s="27"/>
      <c r="G269" s="27"/>
      <c r="H269" s="27"/>
      <c r="I269" s="27"/>
      <c r="J269" s="27"/>
    </row>
    <row r="270" spans="1:10">
      <c r="A270" s="27"/>
      <c r="B270" s="27"/>
      <c r="C270" s="27"/>
      <c r="D270" s="27"/>
      <c r="E270" s="27"/>
      <c r="F270" s="27"/>
      <c r="G270" s="27"/>
      <c r="H270" s="27"/>
      <c r="I270" s="27"/>
      <c r="J270" s="27"/>
    </row>
    <row r="271" spans="1:10">
      <c r="A271" s="27"/>
      <c r="B271" s="27"/>
      <c r="C271" s="27"/>
      <c r="D271" s="27"/>
      <c r="E271" s="27"/>
      <c r="F271" s="27"/>
      <c r="G271" s="27"/>
      <c r="H271" s="27"/>
      <c r="I271" s="27"/>
      <c r="J271" s="27"/>
    </row>
    <row r="272" spans="1:10">
      <c r="A272" s="27"/>
      <c r="B272" s="27"/>
      <c r="C272" s="27"/>
      <c r="D272" s="27"/>
      <c r="E272" s="27"/>
      <c r="F272" s="27"/>
      <c r="G272" s="27"/>
      <c r="H272" s="27"/>
      <c r="I272" s="27"/>
      <c r="J272" s="27"/>
    </row>
    <row r="273" spans="1:10">
      <c r="A273" s="27"/>
      <c r="B273" s="27"/>
      <c r="C273" s="27"/>
      <c r="D273" s="27"/>
      <c r="E273" s="27"/>
      <c r="F273" s="27"/>
      <c r="G273" s="27"/>
      <c r="H273" s="27"/>
      <c r="I273" s="27"/>
      <c r="J273" s="27"/>
    </row>
    <row r="274" spans="1:10">
      <c r="A274" s="27"/>
      <c r="B274" s="27"/>
      <c r="C274" s="27"/>
      <c r="D274" s="27"/>
      <c r="E274" s="27"/>
      <c r="F274" s="27"/>
      <c r="G274" s="27"/>
      <c r="H274" s="27"/>
      <c r="I274" s="27"/>
      <c r="J274" s="27"/>
    </row>
    <row r="275" spans="1:10">
      <c r="A275" s="27"/>
      <c r="B275" s="27"/>
      <c r="C275" s="27"/>
      <c r="D275" s="27"/>
      <c r="E275" s="27"/>
      <c r="F275" s="27"/>
      <c r="G275" s="27"/>
      <c r="H275" s="27"/>
      <c r="I275" s="27"/>
      <c r="J275" s="27"/>
    </row>
    <row r="276" spans="1:10">
      <c r="A276" s="27"/>
      <c r="B276" s="27"/>
      <c r="C276" s="27"/>
      <c r="D276" s="27"/>
      <c r="E276" s="27"/>
      <c r="F276" s="27"/>
      <c r="G276" s="27"/>
      <c r="H276" s="27"/>
      <c r="I276" s="27"/>
      <c r="J276" s="27"/>
    </row>
    <row r="277" spans="1:10">
      <c r="A277" s="27"/>
      <c r="B277" s="27"/>
      <c r="C277" s="27"/>
      <c r="D277" s="27"/>
      <c r="E277" s="27"/>
      <c r="F277" s="27"/>
      <c r="G277" s="27"/>
      <c r="H277" s="27"/>
      <c r="I277" s="27"/>
      <c r="J277" s="27"/>
    </row>
    <row r="278" spans="1:10">
      <c r="A278" s="27"/>
      <c r="B278" s="27"/>
      <c r="C278" s="27"/>
      <c r="D278" s="27"/>
      <c r="E278" s="27"/>
      <c r="F278" s="27"/>
      <c r="G278" s="27"/>
      <c r="H278" s="27"/>
      <c r="I278" s="27"/>
      <c r="J278" s="27"/>
    </row>
    <row r="279" spans="1:10">
      <c r="A279" s="27"/>
      <c r="B279" s="27"/>
      <c r="C279" s="27"/>
      <c r="D279" s="27"/>
      <c r="E279" s="27"/>
      <c r="F279" s="27"/>
      <c r="G279" s="27"/>
      <c r="H279" s="27"/>
      <c r="I279" s="27"/>
      <c r="J279" s="27"/>
    </row>
    <row r="280" spans="1:10">
      <c r="A280" s="27"/>
      <c r="B280" s="27"/>
      <c r="C280" s="27"/>
      <c r="D280" s="27"/>
      <c r="E280" s="27"/>
      <c r="F280" s="27"/>
      <c r="G280" s="27"/>
      <c r="H280" s="27"/>
      <c r="I280" s="27"/>
      <c r="J280" s="27"/>
    </row>
    <row r="281" spans="1:10">
      <c r="A281" s="27"/>
      <c r="B281" s="27"/>
      <c r="C281" s="27"/>
      <c r="D281" s="27"/>
      <c r="E281" s="27"/>
      <c r="F281" s="27"/>
      <c r="G281" s="27"/>
      <c r="H281" s="27"/>
      <c r="I281" s="27"/>
      <c r="J281" s="27"/>
    </row>
    <row r="282" spans="1:10">
      <c r="A282" s="27"/>
      <c r="B282" s="27"/>
      <c r="C282" s="27"/>
      <c r="D282" s="27"/>
      <c r="E282" s="27"/>
      <c r="F282" s="27"/>
      <c r="G282" s="27"/>
      <c r="H282" s="27"/>
      <c r="I282" s="27"/>
      <c r="J282" s="27"/>
    </row>
    <row r="283" spans="1:10">
      <c r="A283" s="27"/>
      <c r="B283" s="27"/>
      <c r="C283" s="27"/>
      <c r="D283" s="27"/>
      <c r="E283" s="27"/>
      <c r="F283" s="27"/>
      <c r="G283" s="27"/>
      <c r="H283" s="27"/>
      <c r="I283" s="27"/>
      <c r="J283" s="27"/>
    </row>
    <row r="284" spans="1:10">
      <c r="A284" s="27"/>
      <c r="B284" s="27"/>
      <c r="C284" s="27"/>
      <c r="D284" s="27"/>
      <c r="E284" s="27"/>
      <c r="F284" s="27"/>
      <c r="G284" s="27"/>
      <c r="H284" s="27"/>
      <c r="I284" s="27"/>
      <c r="J284" s="27"/>
    </row>
    <row r="285" spans="1:10">
      <c r="A285" s="27"/>
      <c r="B285" s="27"/>
      <c r="C285" s="27"/>
      <c r="D285" s="27"/>
      <c r="E285" s="27"/>
      <c r="F285" s="27"/>
      <c r="G285" s="27"/>
      <c r="H285" s="27"/>
      <c r="I285" s="27"/>
      <c r="J285" s="27"/>
    </row>
    <row r="286" spans="1:10">
      <c r="A286" s="27"/>
      <c r="B286" s="27"/>
      <c r="C286" s="27"/>
      <c r="D286" s="27"/>
      <c r="E286" s="27"/>
      <c r="F286" s="27"/>
      <c r="G286" s="27"/>
      <c r="H286" s="27"/>
      <c r="I286" s="27"/>
      <c r="J286" s="27"/>
    </row>
    <row r="287" spans="1:10">
      <c r="A287" s="27"/>
      <c r="B287" s="27"/>
      <c r="C287" s="27"/>
      <c r="D287" s="27"/>
      <c r="E287" s="27"/>
      <c r="F287" s="27"/>
      <c r="G287" s="27"/>
      <c r="H287" s="27"/>
      <c r="I287" s="27"/>
      <c r="J287" s="27"/>
    </row>
    <row r="288" spans="1:10">
      <c r="A288" s="27"/>
      <c r="B288" s="27"/>
      <c r="C288" s="27"/>
      <c r="D288" s="27"/>
      <c r="E288" s="27"/>
      <c r="F288" s="27"/>
      <c r="G288" s="27"/>
      <c r="H288" s="27"/>
      <c r="I288" s="27"/>
      <c r="J288" s="27"/>
    </row>
    <row r="289" spans="1:10">
      <c r="A289" s="27"/>
      <c r="B289" s="27"/>
      <c r="C289" s="27"/>
      <c r="D289" s="27"/>
      <c r="E289" s="27"/>
      <c r="F289" s="27"/>
      <c r="G289" s="27"/>
      <c r="H289" s="27"/>
      <c r="I289" s="27"/>
      <c r="J289" s="27"/>
    </row>
    <row r="290" spans="1:10">
      <c r="A290" s="27"/>
      <c r="B290" s="27"/>
      <c r="C290" s="27"/>
      <c r="D290" s="27"/>
      <c r="E290" s="27"/>
      <c r="F290" s="27"/>
      <c r="G290" s="27"/>
      <c r="H290" s="27"/>
      <c r="I290" s="27"/>
      <c r="J290" s="27"/>
    </row>
    <row r="291" spans="1:10">
      <c r="A291" s="27"/>
      <c r="B291" s="27"/>
      <c r="C291" s="27"/>
      <c r="D291" s="27"/>
      <c r="E291" s="27"/>
      <c r="F291" s="27"/>
      <c r="G291" s="27"/>
      <c r="H291" s="27"/>
      <c r="I291" s="27"/>
      <c r="J291" s="27"/>
    </row>
    <row r="292" spans="1:10">
      <c r="A292" s="27"/>
      <c r="B292" s="27"/>
      <c r="C292" s="27"/>
      <c r="D292" s="27"/>
      <c r="E292" s="27"/>
      <c r="F292" s="27"/>
      <c r="G292" s="27"/>
      <c r="H292" s="27"/>
      <c r="I292" s="27"/>
      <c r="J292" s="27"/>
    </row>
    <row r="293" spans="1:10">
      <c r="A293" s="27"/>
      <c r="B293" s="27"/>
      <c r="C293" s="27"/>
      <c r="D293" s="27"/>
      <c r="E293" s="27"/>
      <c r="F293" s="27"/>
      <c r="G293" s="27"/>
      <c r="H293" s="27"/>
      <c r="I293" s="27"/>
      <c r="J293" s="27"/>
    </row>
    <row r="294" spans="1:10">
      <c r="A294" s="27"/>
      <c r="B294" s="27"/>
      <c r="C294" s="27"/>
      <c r="D294" s="27"/>
      <c r="E294" s="27"/>
      <c r="F294" s="27"/>
      <c r="G294" s="27"/>
      <c r="H294" s="27"/>
      <c r="I294" s="27"/>
      <c r="J294" s="27"/>
    </row>
    <row r="295" spans="1:10">
      <c r="A295" s="27"/>
      <c r="B295" s="27"/>
      <c r="C295" s="27"/>
      <c r="D295" s="27"/>
      <c r="E295" s="27"/>
      <c r="F295" s="27"/>
      <c r="G295" s="27"/>
      <c r="H295" s="27"/>
      <c r="I295" s="27"/>
      <c r="J295" s="27"/>
    </row>
    <row r="296" spans="1:10">
      <c r="A296" s="27"/>
      <c r="B296" s="27"/>
      <c r="C296" s="27"/>
      <c r="D296" s="27"/>
      <c r="E296" s="27"/>
      <c r="F296" s="27"/>
      <c r="G296" s="27"/>
      <c r="H296" s="27"/>
      <c r="I296" s="27"/>
      <c r="J296" s="27"/>
    </row>
    <row r="297" spans="1:10">
      <c r="A297" s="27"/>
      <c r="B297" s="27"/>
      <c r="C297" s="27"/>
      <c r="D297" s="27"/>
      <c r="E297" s="27"/>
      <c r="F297" s="27"/>
      <c r="G297" s="27"/>
      <c r="H297" s="27"/>
      <c r="I297" s="27"/>
      <c r="J297" s="27"/>
    </row>
    <row r="298" spans="1:10">
      <c r="A298" s="27"/>
      <c r="B298" s="27"/>
      <c r="C298" s="27"/>
      <c r="D298" s="27"/>
      <c r="E298" s="27"/>
      <c r="F298" s="27"/>
      <c r="G298" s="27"/>
      <c r="H298" s="27"/>
      <c r="I298" s="27"/>
      <c r="J298" s="27"/>
    </row>
    <row r="299" spans="1:10">
      <c r="A299" s="27"/>
      <c r="B299" s="27"/>
      <c r="C299" s="27"/>
      <c r="D299" s="27"/>
      <c r="E299" s="27"/>
      <c r="F299" s="27"/>
      <c r="G299" s="27"/>
      <c r="H299" s="27"/>
      <c r="I299" s="27"/>
      <c r="J299" s="27"/>
    </row>
    <row r="300" spans="1:10">
      <c r="A300" s="27"/>
      <c r="B300" s="27"/>
      <c r="C300" s="27"/>
      <c r="D300" s="27"/>
      <c r="E300" s="27"/>
      <c r="F300" s="27"/>
      <c r="G300" s="27"/>
      <c r="H300" s="27"/>
      <c r="I300" s="27"/>
      <c r="J300" s="27"/>
    </row>
    <row r="301" spans="1:10">
      <c r="A301" s="27"/>
      <c r="B301" s="27"/>
      <c r="C301" s="27"/>
      <c r="D301" s="27"/>
      <c r="E301" s="27"/>
      <c r="F301" s="27"/>
      <c r="G301" s="27"/>
      <c r="H301" s="27"/>
      <c r="I301" s="27"/>
      <c r="J301" s="27"/>
    </row>
    <row r="302" spans="1:10">
      <c r="A302" s="27"/>
      <c r="B302" s="27"/>
      <c r="C302" s="27"/>
      <c r="D302" s="27"/>
      <c r="E302" s="27"/>
      <c r="F302" s="27"/>
      <c r="G302" s="27"/>
      <c r="H302" s="27"/>
      <c r="I302" s="27"/>
      <c r="J302" s="27"/>
    </row>
    <row r="303" spans="1:10">
      <c r="A303" s="27"/>
      <c r="B303" s="27"/>
      <c r="C303" s="27"/>
      <c r="D303" s="27"/>
      <c r="E303" s="27"/>
      <c r="F303" s="27"/>
      <c r="G303" s="27"/>
      <c r="H303" s="27"/>
      <c r="I303" s="27"/>
      <c r="J303" s="27"/>
    </row>
    <row r="304" spans="1:10">
      <c r="A304" s="27"/>
      <c r="B304" s="27"/>
      <c r="C304" s="27"/>
      <c r="D304" s="27"/>
      <c r="E304" s="27"/>
      <c r="F304" s="27"/>
      <c r="G304" s="27"/>
      <c r="H304" s="27"/>
      <c r="I304" s="27"/>
      <c r="J304" s="27"/>
    </row>
    <row r="305" spans="1:10">
      <c r="A305" s="27"/>
      <c r="B305" s="27"/>
      <c r="C305" s="27"/>
      <c r="D305" s="27"/>
      <c r="E305" s="27"/>
      <c r="F305" s="27"/>
      <c r="G305" s="27"/>
      <c r="H305" s="27"/>
      <c r="I305" s="27"/>
      <c r="J305" s="27"/>
    </row>
    <row r="306" spans="1:10">
      <c r="A306" s="27"/>
      <c r="B306" s="27"/>
      <c r="C306" s="27"/>
      <c r="D306" s="27"/>
      <c r="E306" s="27"/>
      <c r="F306" s="27"/>
      <c r="G306" s="27"/>
      <c r="H306" s="27"/>
      <c r="I306" s="27"/>
      <c r="J306" s="27"/>
    </row>
    <row r="307" spans="1:10">
      <c r="A307" s="27"/>
      <c r="B307" s="27"/>
      <c r="C307" s="27"/>
      <c r="D307" s="27"/>
      <c r="E307" s="27"/>
      <c r="F307" s="27"/>
      <c r="G307" s="27"/>
      <c r="H307" s="27"/>
      <c r="I307" s="27"/>
      <c r="J307" s="27"/>
    </row>
    <row r="308" spans="1:10">
      <c r="A308" s="27"/>
      <c r="B308" s="27"/>
      <c r="C308" s="27"/>
      <c r="D308" s="27"/>
      <c r="E308" s="27"/>
      <c r="F308" s="27"/>
      <c r="G308" s="27"/>
      <c r="H308" s="27"/>
      <c r="I308" s="27"/>
      <c r="J308" s="27"/>
    </row>
    <row r="309" spans="1:10">
      <c r="A309" s="27"/>
      <c r="B309" s="27"/>
      <c r="C309" s="27"/>
      <c r="D309" s="27"/>
      <c r="E309" s="27"/>
      <c r="F309" s="27"/>
      <c r="G309" s="27"/>
      <c r="H309" s="27"/>
      <c r="I309" s="27"/>
      <c r="J309" s="27"/>
    </row>
    <row r="310" spans="1:10">
      <c r="A310" s="27"/>
      <c r="B310" s="27"/>
      <c r="C310" s="27"/>
      <c r="D310" s="27"/>
      <c r="E310" s="27"/>
      <c r="F310" s="27"/>
      <c r="G310" s="27"/>
      <c r="H310" s="27"/>
      <c r="I310" s="27"/>
      <c r="J310" s="27"/>
    </row>
    <row r="311" spans="1:10">
      <c r="A311" s="27"/>
      <c r="B311" s="27"/>
      <c r="C311" s="27"/>
      <c r="D311" s="27"/>
      <c r="E311" s="27"/>
      <c r="F311" s="27"/>
      <c r="G311" s="27"/>
      <c r="H311" s="27"/>
      <c r="I311" s="27"/>
      <c r="J311" s="27"/>
    </row>
    <row r="312" spans="1:10">
      <c r="A312" s="27"/>
      <c r="B312" s="27"/>
      <c r="C312" s="27"/>
      <c r="D312" s="27"/>
      <c r="E312" s="27"/>
      <c r="F312" s="27"/>
      <c r="G312" s="27"/>
      <c r="H312" s="27"/>
      <c r="I312" s="27"/>
      <c r="J312" s="27"/>
    </row>
    <row r="313" spans="1:10">
      <c r="A313" s="27"/>
      <c r="B313" s="27"/>
      <c r="C313" s="27"/>
      <c r="D313" s="27"/>
      <c r="E313" s="27"/>
      <c r="F313" s="27"/>
      <c r="G313" s="27"/>
      <c r="H313" s="27"/>
      <c r="I313" s="27"/>
      <c r="J313" s="27"/>
    </row>
    <row r="314" spans="1:10">
      <c r="A314" s="27"/>
      <c r="B314" s="27"/>
      <c r="C314" s="27"/>
      <c r="D314" s="27"/>
      <c r="E314" s="27"/>
      <c r="F314" s="27"/>
      <c r="G314" s="27"/>
      <c r="H314" s="27"/>
      <c r="I314" s="27"/>
      <c r="J314" s="27"/>
    </row>
    <row r="315" spans="1:10">
      <c r="A315" s="27"/>
      <c r="B315" s="27"/>
      <c r="C315" s="27"/>
      <c r="D315" s="27"/>
      <c r="E315" s="27"/>
      <c r="F315" s="27"/>
      <c r="G315" s="27"/>
      <c r="H315" s="27"/>
      <c r="I315" s="27"/>
      <c r="J315" s="27"/>
    </row>
    <row r="316" spans="1:10">
      <c r="A316" s="27"/>
      <c r="B316" s="27"/>
      <c r="C316" s="27"/>
      <c r="D316" s="27"/>
      <c r="E316" s="27"/>
      <c r="F316" s="27"/>
      <c r="G316" s="27"/>
      <c r="H316" s="27"/>
      <c r="I316" s="27"/>
      <c r="J316" s="27"/>
    </row>
    <row r="317" spans="1:10">
      <c r="A317" s="27"/>
      <c r="B317" s="27"/>
      <c r="C317" s="27"/>
      <c r="D317" s="27"/>
      <c r="E317" s="27"/>
      <c r="F317" s="27"/>
      <c r="G317" s="27"/>
      <c r="H317" s="27"/>
      <c r="I317" s="27"/>
      <c r="J317" s="27"/>
    </row>
    <row r="318" spans="1:10">
      <c r="A318" s="27"/>
      <c r="B318" s="27"/>
      <c r="C318" s="27"/>
      <c r="D318" s="27"/>
      <c r="E318" s="27"/>
      <c r="F318" s="27"/>
      <c r="G318" s="27"/>
      <c r="H318" s="27"/>
      <c r="I318" s="27"/>
      <c r="J318" s="27"/>
    </row>
    <row r="319" spans="1:10">
      <c r="A319" s="27"/>
      <c r="B319" s="27"/>
      <c r="C319" s="27"/>
      <c r="D319" s="27"/>
      <c r="E319" s="27"/>
      <c r="F319" s="27"/>
      <c r="G319" s="27"/>
      <c r="H319" s="27"/>
      <c r="I319" s="27"/>
      <c r="J319" s="27"/>
    </row>
    <row r="320" spans="1:10">
      <c r="A320" s="27"/>
      <c r="B320" s="27"/>
      <c r="C320" s="27"/>
      <c r="D320" s="27"/>
      <c r="E320" s="27"/>
      <c r="F320" s="27"/>
      <c r="G320" s="27"/>
      <c r="H320" s="27"/>
      <c r="I320" s="27"/>
      <c r="J320" s="27"/>
    </row>
    <row r="321" spans="1:10">
      <c r="A321" s="27"/>
      <c r="B321" s="27"/>
      <c r="C321" s="27"/>
      <c r="D321" s="27"/>
      <c r="E321" s="27"/>
      <c r="F321" s="27"/>
      <c r="G321" s="27"/>
      <c r="H321" s="27"/>
      <c r="I321" s="27"/>
      <c r="J321" s="27"/>
    </row>
    <row r="322" spans="1:10">
      <c r="A322" s="27"/>
      <c r="B322" s="27"/>
      <c r="C322" s="27"/>
      <c r="D322" s="27"/>
      <c r="E322" s="27"/>
      <c r="F322" s="27"/>
      <c r="G322" s="27"/>
      <c r="H322" s="27"/>
      <c r="I322" s="27"/>
      <c r="J322" s="27"/>
    </row>
    <row r="323" spans="1:10">
      <c r="A323" s="27"/>
      <c r="B323" s="27"/>
      <c r="C323" s="27"/>
      <c r="D323" s="27"/>
      <c r="E323" s="27"/>
      <c r="F323" s="27"/>
      <c r="G323" s="27"/>
      <c r="H323" s="27"/>
      <c r="I323" s="27"/>
      <c r="J323" s="27"/>
    </row>
    <row r="324" spans="1:10">
      <c r="A324" s="27"/>
      <c r="B324" s="27"/>
      <c r="C324" s="27"/>
      <c r="D324" s="27"/>
      <c r="E324" s="27"/>
      <c r="F324" s="27"/>
      <c r="G324" s="27"/>
      <c r="H324" s="27"/>
      <c r="I324" s="27"/>
      <c r="J324" s="27"/>
    </row>
    <row r="325" spans="1:10">
      <c r="A325" s="27"/>
      <c r="B325" s="27"/>
      <c r="C325" s="27"/>
      <c r="D325" s="27"/>
      <c r="E325" s="27"/>
      <c r="F325" s="27"/>
      <c r="G325" s="27"/>
      <c r="H325" s="27"/>
      <c r="I325" s="27"/>
      <c r="J325" s="27"/>
    </row>
    <row r="326" spans="1:10">
      <c r="A326" s="27"/>
      <c r="B326" s="27"/>
      <c r="C326" s="27"/>
      <c r="D326" s="27"/>
      <c r="E326" s="27"/>
      <c r="F326" s="27"/>
      <c r="G326" s="27"/>
      <c r="H326" s="27"/>
      <c r="I326" s="27"/>
      <c r="J326" s="27"/>
    </row>
    <row r="327" spans="1:10">
      <c r="A327" s="27"/>
      <c r="B327" s="27"/>
      <c r="C327" s="27"/>
      <c r="D327" s="27"/>
      <c r="E327" s="27"/>
      <c r="F327" s="27"/>
      <c r="G327" s="27"/>
      <c r="H327" s="27"/>
      <c r="I327" s="27"/>
      <c r="J327" s="27"/>
    </row>
    <row r="328" spans="1:10">
      <c r="A328" s="27"/>
      <c r="B328" s="27"/>
      <c r="C328" s="27"/>
      <c r="D328" s="27"/>
      <c r="E328" s="27"/>
      <c r="F328" s="27"/>
      <c r="G328" s="27"/>
      <c r="H328" s="27"/>
      <c r="I328" s="27"/>
      <c r="J328" s="27"/>
    </row>
    <row r="329" spans="1:10">
      <c r="A329" s="27"/>
      <c r="B329" s="27"/>
      <c r="C329" s="27"/>
      <c r="D329" s="27"/>
      <c r="E329" s="27"/>
      <c r="F329" s="27"/>
      <c r="G329" s="27"/>
      <c r="H329" s="27"/>
      <c r="I329" s="27"/>
      <c r="J329" s="27"/>
    </row>
    <row r="330" spans="1:10">
      <c r="A330" s="27"/>
      <c r="B330" s="27"/>
      <c r="C330" s="27"/>
      <c r="D330" s="27"/>
      <c r="E330" s="27"/>
      <c r="F330" s="27"/>
      <c r="G330" s="27"/>
      <c r="H330" s="27"/>
      <c r="I330" s="27"/>
      <c r="J330" s="27"/>
    </row>
    <row r="331" spans="1:10">
      <c r="A331" s="27"/>
      <c r="B331" s="27"/>
      <c r="C331" s="27"/>
      <c r="D331" s="27"/>
      <c r="E331" s="27"/>
      <c r="F331" s="27"/>
      <c r="G331" s="27"/>
      <c r="H331" s="27"/>
      <c r="I331" s="27"/>
      <c r="J331" s="27"/>
    </row>
    <row r="332" spans="1:10">
      <c r="A332" s="27"/>
      <c r="B332" s="27"/>
      <c r="C332" s="27"/>
      <c r="D332" s="27"/>
      <c r="E332" s="27"/>
      <c r="F332" s="27"/>
      <c r="G332" s="27"/>
      <c r="H332" s="27"/>
      <c r="I332" s="27"/>
      <c r="J332" s="27"/>
    </row>
    <row r="333" spans="1:10">
      <c r="A333" s="27"/>
      <c r="B333" s="27"/>
      <c r="C333" s="27"/>
      <c r="D333" s="27"/>
      <c r="E333" s="27"/>
      <c r="F333" s="27"/>
      <c r="G333" s="27"/>
      <c r="H333" s="27"/>
      <c r="I333" s="27"/>
      <c r="J333" s="27"/>
    </row>
    <row r="334" spans="1:10">
      <c r="A334" s="27"/>
      <c r="B334" s="27"/>
      <c r="C334" s="27"/>
      <c r="D334" s="27"/>
      <c r="E334" s="27"/>
      <c r="F334" s="27"/>
      <c r="G334" s="27"/>
      <c r="H334" s="27"/>
      <c r="I334" s="27"/>
      <c r="J334" s="27"/>
    </row>
    <row r="335" spans="1:10">
      <c r="A335" s="27"/>
      <c r="B335" s="27"/>
      <c r="C335" s="27"/>
      <c r="D335" s="27"/>
      <c r="E335" s="27"/>
      <c r="F335" s="27"/>
      <c r="G335" s="27"/>
      <c r="H335" s="27"/>
      <c r="I335" s="27"/>
      <c r="J335" s="27"/>
    </row>
    <row r="336" spans="1:10">
      <c r="A336" s="27"/>
      <c r="B336" s="27"/>
      <c r="C336" s="27"/>
      <c r="D336" s="27"/>
      <c r="E336" s="27"/>
      <c r="F336" s="27"/>
      <c r="G336" s="27"/>
      <c r="H336" s="27"/>
      <c r="I336" s="27"/>
      <c r="J336" s="27"/>
    </row>
    <row r="337" spans="1:10">
      <c r="A337" s="27"/>
      <c r="B337" s="27"/>
      <c r="C337" s="27"/>
      <c r="D337" s="27"/>
      <c r="E337" s="27"/>
      <c r="F337" s="27"/>
      <c r="G337" s="27"/>
      <c r="H337" s="27"/>
      <c r="I337" s="27"/>
      <c r="J337" s="27"/>
    </row>
    <row r="338" spans="1:10">
      <c r="A338" s="27"/>
      <c r="B338" s="27"/>
      <c r="C338" s="27"/>
      <c r="D338" s="27"/>
      <c r="E338" s="27"/>
      <c r="F338" s="27"/>
      <c r="G338" s="27"/>
      <c r="H338" s="27"/>
      <c r="I338" s="27"/>
      <c r="J338" s="27"/>
    </row>
    <row r="339" spans="1:10">
      <c r="A339" s="27"/>
      <c r="B339" s="27"/>
      <c r="C339" s="27"/>
      <c r="D339" s="27"/>
      <c r="E339" s="27"/>
      <c r="F339" s="27"/>
      <c r="G339" s="27"/>
      <c r="H339" s="27"/>
      <c r="I339" s="27"/>
      <c r="J339" s="27"/>
    </row>
    <row r="340" spans="1:10">
      <c r="A340" s="27"/>
      <c r="B340" s="27"/>
      <c r="C340" s="27"/>
      <c r="D340" s="27"/>
      <c r="E340" s="27"/>
      <c r="F340" s="27"/>
      <c r="G340" s="27"/>
      <c r="H340" s="27"/>
      <c r="I340" s="27"/>
      <c r="J340" s="27"/>
    </row>
    <row r="341" spans="1:10">
      <c r="A341" s="27"/>
      <c r="B341" s="27"/>
      <c r="C341" s="27"/>
      <c r="D341" s="27"/>
      <c r="E341" s="27"/>
      <c r="F341" s="27"/>
      <c r="G341" s="27"/>
      <c r="H341" s="27"/>
      <c r="I341" s="27"/>
      <c r="J341" s="27"/>
    </row>
    <row r="342" spans="1:10">
      <c r="A342" s="27"/>
      <c r="B342" s="27"/>
      <c r="C342" s="27"/>
      <c r="D342" s="27"/>
      <c r="E342" s="27"/>
      <c r="F342" s="27"/>
      <c r="G342" s="27"/>
      <c r="H342" s="27"/>
      <c r="I342" s="27"/>
      <c r="J342" s="27"/>
    </row>
    <row r="343" spans="1:10">
      <c r="A343" s="27"/>
      <c r="B343" s="27"/>
      <c r="C343" s="27"/>
      <c r="D343" s="27"/>
      <c r="E343" s="27"/>
      <c r="F343" s="27"/>
      <c r="G343" s="27"/>
      <c r="H343" s="27"/>
      <c r="I343" s="27"/>
      <c r="J343" s="27"/>
    </row>
    <row r="344" spans="1:10">
      <c r="A344" s="27"/>
      <c r="B344" s="27"/>
      <c r="C344" s="27"/>
      <c r="D344" s="27"/>
      <c r="E344" s="27"/>
      <c r="F344" s="27"/>
      <c r="G344" s="27"/>
      <c r="H344" s="27"/>
      <c r="I344" s="27"/>
      <c r="J344" s="27"/>
    </row>
    <row r="345" spans="1:10">
      <c r="A345" s="27"/>
      <c r="B345" s="27"/>
      <c r="C345" s="27"/>
      <c r="D345" s="27"/>
      <c r="E345" s="27"/>
      <c r="F345" s="27"/>
      <c r="G345" s="27"/>
      <c r="H345" s="27"/>
      <c r="I345" s="27"/>
      <c r="J345" s="27"/>
    </row>
    <row r="346" spans="1:10">
      <c r="A346" s="27"/>
      <c r="B346" s="27"/>
      <c r="C346" s="27"/>
      <c r="D346" s="27"/>
      <c r="E346" s="27"/>
      <c r="F346" s="27"/>
      <c r="G346" s="27"/>
      <c r="H346" s="27"/>
      <c r="I346" s="27"/>
      <c r="J346" s="27"/>
    </row>
    <row r="347" spans="1:10">
      <c r="A347" s="27"/>
      <c r="B347" s="27"/>
      <c r="C347" s="27"/>
      <c r="D347" s="27"/>
      <c r="E347" s="27"/>
      <c r="F347" s="27"/>
      <c r="G347" s="27"/>
      <c r="H347" s="27"/>
      <c r="I347" s="27"/>
      <c r="J347" s="27"/>
    </row>
    <row r="348" spans="1:10">
      <c r="A348" s="27"/>
      <c r="B348" s="27"/>
      <c r="C348" s="27"/>
      <c r="D348" s="27"/>
      <c r="E348" s="27"/>
      <c r="F348" s="27"/>
      <c r="G348" s="27"/>
      <c r="H348" s="27"/>
      <c r="I348" s="27"/>
      <c r="J348" s="27"/>
    </row>
    <row r="349" spans="1:10">
      <c r="A349" s="27"/>
      <c r="B349" s="27"/>
      <c r="C349" s="27"/>
      <c r="D349" s="27"/>
      <c r="E349" s="27"/>
      <c r="F349" s="27"/>
      <c r="G349" s="27"/>
      <c r="H349" s="27"/>
      <c r="I349" s="27"/>
      <c r="J349" s="27"/>
    </row>
    <row r="350" spans="1:10">
      <c r="A350" s="27"/>
      <c r="B350" s="27"/>
      <c r="C350" s="27"/>
      <c r="D350" s="27"/>
      <c r="E350" s="27"/>
      <c r="F350" s="27"/>
      <c r="G350" s="27"/>
      <c r="H350" s="27"/>
      <c r="I350" s="27"/>
      <c r="J350" s="27"/>
    </row>
    <row r="351" spans="1:10">
      <c r="A351" s="27"/>
      <c r="B351" s="27"/>
      <c r="C351" s="27"/>
      <c r="D351" s="27"/>
      <c r="E351" s="27"/>
      <c r="F351" s="27"/>
      <c r="G351" s="27"/>
      <c r="H351" s="27"/>
      <c r="I351" s="27"/>
      <c r="J351" s="27"/>
    </row>
    <row r="352" spans="1:10">
      <c r="A352" s="27"/>
      <c r="B352" s="27"/>
      <c r="C352" s="27"/>
      <c r="D352" s="27"/>
      <c r="E352" s="27"/>
      <c r="F352" s="27"/>
      <c r="G352" s="27"/>
      <c r="H352" s="27"/>
      <c r="I352" s="27"/>
      <c r="J352" s="27"/>
    </row>
    <row r="353" spans="1:10">
      <c r="A353" s="27"/>
      <c r="B353" s="27"/>
      <c r="C353" s="27"/>
      <c r="D353" s="27"/>
      <c r="E353" s="27"/>
      <c r="F353" s="27"/>
      <c r="G353" s="27"/>
      <c r="H353" s="27"/>
      <c r="I353" s="27"/>
      <c r="J353" s="27"/>
    </row>
    <row r="354" spans="1:10">
      <c r="A354" s="27"/>
      <c r="B354" s="27"/>
      <c r="C354" s="27"/>
      <c r="D354" s="27"/>
      <c r="E354" s="27"/>
      <c r="F354" s="27"/>
      <c r="G354" s="27"/>
      <c r="H354" s="27"/>
      <c r="I354" s="27"/>
      <c r="J354" s="27"/>
    </row>
    <row r="355" spans="1:10">
      <c r="A355" s="27"/>
      <c r="B355" s="27"/>
      <c r="C355" s="27"/>
      <c r="D355" s="27"/>
      <c r="E355" s="27"/>
      <c r="F355" s="27"/>
      <c r="G355" s="27"/>
      <c r="H355" s="27"/>
      <c r="I355" s="27"/>
      <c r="J355" s="27"/>
    </row>
    <row r="356" spans="1:10">
      <c r="A356" s="27"/>
      <c r="B356" s="27"/>
      <c r="C356" s="27"/>
      <c r="D356" s="27"/>
      <c r="E356" s="27"/>
      <c r="F356" s="27"/>
      <c r="G356" s="27"/>
      <c r="H356" s="27"/>
      <c r="I356" s="27"/>
      <c r="J356" s="27"/>
    </row>
    <row r="357" spans="1:10">
      <c r="A357" s="27"/>
      <c r="B357" s="27"/>
      <c r="C357" s="27"/>
      <c r="D357" s="27"/>
      <c r="E357" s="27"/>
      <c r="F357" s="27"/>
      <c r="G357" s="27"/>
      <c r="H357" s="27"/>
      <c r="I357" s="27"/>
      <c r="J357" s="27"/>
    </row>
    <row r="358" spans="1:10">
      <c r="A358" s="27"/>
      <c r="B358" s="27"/>
      <c r="C358" s="27"/>
      <c r="D358" s="27"/>
      <c r="E358" s="27"/>
      <c r="F358" s="27"/>
      <c r="G358" s="27"/>
      <c r="H358" s="27"/>
      <c r="I358" s="27"/>
      <c r="J358" s="27"/>
    </row>
    <row r="359" spans="1:10">
      <c r="A359" s="27"/>
      <c r="B359" s="27"/>
      <c r="C359" s="27"/>
      <c r="D359" s="27"/>
      <c r="E359" s="27"/>
      <c r="F359" s="27"/>
      <c r="G359" s="27"/>
      <c r="H359" s="27"/>
      <c r="I359" s="27"/>
      <c r="J359" s="27"/>
    </row>
    <row r="360" spans="1:10">
      <c r="A360" s="27"/>
      <c r="B360" s="27"/>
      <c r="C360" s="27"/>
      <c r="D360" s="27"/>
      <c r="E360" s="27"/>
      <c r="F360" s="27"/>
      <c r="G360" s="27"/>
      <c r="H360" s="27"/>
      <c r="I360" s="27"/>
      <c r="J360" s="27"/>
    </row>
    <row r="361" spans="1:10">
      <c r="A361" s="27"/>
      <c r="B361" s="27"/>
      <c r="C361" s="27"/>
      <c r="D361" s="27"/>
      <c r="E361" s="27"/>
      <c r="F361" s="27"/>
      <c r="G361" s="27"/>
      <c r="H361" s="27"/>
      <c r="I361" s="27"/>
      <c r="J361" s="27"/>
    </row>
    <row r="362" spans="1:10">
      <c r="A362" s="27"/>
      <c r="B362" s="27"/>
      <c r="C362" s="27"/>
      <c r="D362" s="27"/>
      <c r="E362" s="27"/>
      <c r="F362" s="27"/>
      <c r="G362" s="27"/>
      <c r="H362" s="27"/>
      <c r="I362" s="27"/>
      <c r="J362" s="27"/>
    </row>
    <row r="363" spans="1:10">
      <c r="A363" s="27"/>
      <c r="B363" s="27"/>
      <c r="C363" s="27"/>
      <c r="D363" s="27"/>
      <c r="E363" s="27"/>
      <c r="F363" s="27"/>
      <c r="G363" s="27"/>
      <c r="H363" s="27"/>
      <c r="I363" s="27"/>
      <c r="J363" s="27"/>
    </row>
    <row r="364" spans="1:10">
      <c r="A364" s="27"/>
      <c r="B364" s="27"/>
      <c r="C364" s="27"/>
      <c r="D364" s="27"/>
      <c r="E364" s="27"/>
      <c r="F364" s="27"/>
      <c r="G364" s="27"/>
      <c r="H364" s="27"/>
      <c r="I364" s="27"/>
      <c r="J364" s="27"/>
    </row>
    <row r="365" spans="1:10">
      <c r="A365" s="27"/>
      <c r="B365" s="27"/>
      <c r="C365" s="27"/>
      <c r="D365" s="27"/>
      <c r="E365" s="27"/>
      <c r="F365" s="27"/>
      <c r="G365" s="27"/>
      <c r="H365" s="27"/>
      <c r="I365" s="27"/>
      <c r="J365" s="27"/>
    </row>
    <row r="366" spans="1:10">
      <c r="A366" s="27"/>
      <c r="B366" s="27"/>
      <c r="C366" s="27"/>
      <c r="D366" s="27"/>
      <c r="E366" s="27"/>
      <c r="F366" s="27"/>
      <c r="G366" s="27"/>
      <c r="H366" s="27"/>
      <c r="I366" s="27"/>
      <c r="J366" s="27"/>
    </row>
    <row r="367" spans="1:10">
      <c r="A367" s="27"/>
      <c r="B367" s="27"/>
      <c r="C367" s="27"/>
      <c r="D367" s="27"/>
      <c r="E367" s="27"/>
      <c r="F367" s="27"/>
      <c r="G367" s="27"/>
      <c r="H367" s="27"/>
      <c r="I367" s="27"/>
      <c r="J367" s="27"/>
    </row>
    <row r="368" spans="1:10">
      <c r="A368" s="27"/>
      <c r="B368" s="27"/>
      <c r="C368" s="27"/>
      <c r="D368" s="27"/>
      <c r="E368" s="27"/>
      <c r="F368" s="27"/>
      <c r="G368" s="27"/>
      <c r="H368" s="27"/>
      <c r="I368" s="27"/>
      <c r="J368" s="27"/>
    </row>
    <row r="369" spans="1:10">
      <c r="A369" s="27"/>
      <c r="B369" s="27"/>
      <c r="C369" s="27"/>
      <c r="D369" s="27"/>
      <c r="E369" s="27"/>
      <c r="F369" s="27"/>
      <c r="G369" s="27"/>
      <c r="H369" s="27"/>
      <c r="I369" s="27"/>
      <c r="J369" s="27"/>
    </row>
    <row r="370" spans="1:10">
      <c r="A370" s="27"/>
      <c r="B370" s="27"/>
      <c r="C370" s="27"/>
      <c r="D370" s="27"/>
      <c r="E370" s="27"/>
      <c r="F370" s="27"/>
      <c r="G370" s="27"/>
      <c r="H370" s="27"/>
      <c r="I370" s="27"/>
      <c r="J370" s="27"/>
    </row>
    <row r="371" spans="1:10">
      <c r="A371" s="27"/>
      <c r="B371" s="27"/>
      <c r="C371" s="27"/>
      <c r="D371" s="27"/>
      <c r="E371" s="27"/>
      <c r="F371" s="27"/>
      <c r="G371" s="27"/>
      <c r="H371" s="27"/>
      <c r="I371" s="27"/>
      <c r="J371" s="27"/>
    </row>
    <row r="372" spans="1:10">
      <c r="A372" s="27"/>
      <c r="B372" s="27"/>
      <c r="C372" s="27"/>
      <c r="D372" s="27"/>
      <c r="E372" s="27"/>
      <c r="F372" s="27"/>
      <c r="G372" s="27"/>
      <c r="H372" s="27"/>
      <c r="I372" s="27"/>
      <c r="J372" s="27"/>
    </row>
    <row r="373" spans="1:10">
      <c r="A373" s="27"/>
      <c r="B373" s="27"/>
      <c r="C373" s="27"/>
      <c r="D373" s="27"/>
      <c r="E373" s="27"/>
      <c r="F373" s="27"/>
      <c r="G373" s="27"/>
      <c r="H373" s="27"/>
      <c r="I373" s="27"/>
      <c r="J373" s="27"/>
    </row>
    <row r="374" spans="1:10">
      <c r="A374" s="27"/>
      <c r="B374" s="27"/>
      <c r="C374" s="27"/>
      <c r="D374" s="27"/>
      <c r="E374" s="27"/>
      <c r="F374" s="27"/>
      <c r="G374" s="27"/>
      <c r="H374" s="27"/>
      <c r="I374" s="27"/>
      <c r="J374" s="27"/>
    </row>
    <row r="375" spans="1:10">
      <c r="A375" s="27"/>
      <c r="B375" s="27"/>
      <c r="C375" s="27"/>
      <c r="D375" s="27"/>
      <c r="E375" s="27"/>
      <c r="F375" s="27"/>
      <c r="G375" s="27"/>
      <c r="H375" s="27"/>
      <c r="I375" s="27"/>
      <c r="J375" s="27"/>
    </row>
    <row r="376" spans="1:10">
      <c r="A376" s="27"/>
      <c r="B376" s="27"/>
      <c r="C376" s="27"/>
      <c r="D376" s="27"/>
      <c r="E376" s="27"/>
      <c r="F376" s="27"/>
      <c r="G376" s="27"/>
      <c r="H376" s="27"/>
      <c r="I376" s="27"/>
      <c r="J376" s="27"/>
    </row>
    <row r="377" spans="1:10">
      <c r="A377" s="27"/>
      <c r="B377" s="27"/>
      <c r="C377" s="27"/>
      <c r="D377" s="27"/>
      <c r="E377" s="27"/>
      <c r="F377" s="27"/>
      <c r="G377" s="27"/>
      <c r="H377" s="27"/>
      <c r="I377" s="27"/>
      <c r="J377" s="27"/>
    </row>
    <row r="378" spans="1:10">
      <c r="A378" s="27"/>
      <c r="B378" s="27"/>
      <c r="C378" s="27"/>
      <c r="D378" s="27"/>
      <c r="E378" s="27"/>
      <c r="F378" s="27"/>
      <c r="G378" s="27"/>
      <c r="H378" s="27"/>
      <c r="I378" s="27"/>
      <c r="J378" s="27"/>
    </row>
    <row r="379" spans="1:10">
      <c r="A379" s="27"/>
      <c r="B379" s="27"/>
      <c r="C379" s="27"/>
      <c r="D379" s="27"/>
      <c r="E379" s="27"/>
      <c r="F379" s="27"/>
      <c r="G379" s="27"/>
      <c r="H379" s="27"/>
      <c r="I379" s="27"/>
      <c r="J379" s="27"/>
    </row>
    <row r="380" spans="1:10">
      <c r="A380" s="27"/>
      <c r="B380" s="27"/>
      <c r="C380" s="27"/>
      <c r="D380" s="27"/>
      <c r="E380" s="27"/>
      <c r="F380" s="27"/>
      <c r="G380" s="27"/>
      <c r="H380" s="27"/>
      <c r="I380" s="27"/>
      <c r="J380" s="27"/>
    </row>
    <row r="381" spans="1:10">
      <c r="A381" s="27"/>
      <c r="B381" s="27"/>
      <c r="C381" s="27"/>
      <c r="D381" s="27"/>
      <c r="E381" s="27"/>
      <c r="F381" s="27"/>
      <c r="G381" s="27"/>
      <c r="H381" s="27"/>
      <c r="I381" s="27"/>
      <c r="J381" s="27"/>
    </row>
    <row r="382" spans="1:10">
      <c r="A382" s="27"/>
      <c r="B382" s="27"/>
      <c r="C382" s="27"/>
      <c r="D382" s="27"/>
      <c r="E382" s="27"/>
      <c r="F382" s="27"/>
      <c r="G382" s="27"/>
      <c r="H382" s="27"/>
      <c r="I382" s="27"/>
      <c r="J382" s="27"/>
    </row>
    <row r="383" spans="1:10">
      <c r="A383" s="27"/>
      <c r="B383" s="27"/>
      <c r="C383" s="27"/>
      <c r="D383" s="27"/>
      <c r="E383" s="27"/>
      <c r="F383" s="27"/>
      <c r="G383" s="27"/>
      <c r="H383" s="27"/>
      <c r="I383" s="27"/>
      <c r="J383" s="27"/>
    </row>
    <row r="384" spans="1:10">
      <c r="A384" s="27"/>
      <c r="B384" s="27"/>
      <c r="C384" s="27"/>
      <c r="D384" s="27"/>
      <c r="E384" s="27"/>
      <c r="F384" s="27"/>
      <c r="G384" s="27"/>
      <c r="H384" s="27"/>
      <c r="I384" s="27"/>
      <c r="J384" s="27"/>
    </row>
    <row r="385" spans="1:10">
      <c r="A385" s="27"/>
      <c r="B385" s="27"/>
      <c r="C385" s="27"/>
      <c r="D385" s="27"/>
      <c r="E385" s="27"/>
      <c r="F385" s="27"/>
      <c r="G385" s="27"/>
      <c r="H385" s="27"/>
      <c r="I385" s="27"/>
      <c r="J385" s="27"/>
    </row>
    <row r="386" spans="1:10">
      <c r="A386" s="27"/>
      <c r="B386" s="27"/>
      <c r="C386" s="27"/>
      <c r="D386" s="27"/>
      <c r="E386" s="27"/>
      <c r="F386" s="27"/>
      <c r="G386" s="27"/>
      <c r="H386" s="27"/>
      <c r="I386" s="27"/>
      <c r="J386" s="27"/>
    </row>
    <row r="387" spans="1:10">
      <c r="A387" s="27"/>
      <c r="B387" s="27"/>
      <c r="C387" s="27"/>
      <c r="D387" s="27"/>
      <c r="E387" s="27"/>
      <c r="F387" s="27"/>
      <c r="G387" s="27"/>
      <c r="H387" s="27"/>
      <c r="I387" s="27"/>
      <c r="J387" s="27"/>
    </row>
    <row r="388" spans="1:10">
      <c r="A388" s="27"/>
      <c r="B388" s="27"/>
      <c r="C388" s="27"/>
      <c r="D388" s="27"/>
      <c r="E388" s="27"/>
      <c r="F388" s="27"/>
      <c r="G388" s="27"/>
      <c r="H388" s="27"/>
      <c r="I388" s="27"/>
      <c r="J388" s="27"/>
    </row>
    <row r="389" spans="1:10">
      <c r="A389" s="27"/>
      <c r="B389" s="27"/>
      <c r="C389" s="27"/>
      <c r="D389" s="27"/>
      <c r="E389" s="27"/>
      <c r="F389" s="27"/>
      <c r="G389" s="27"/>
      <c r="H389" s="27"/>
      <c r="I389" s="27"/>
      <c r="J389" s="27"/>
    </row>
    <row r="390" spans="1:10">
      <c r="A390" s="27"/>
      <c r="B390" s="27"/>
      <c r="C390" s="27"/>
      <c r="D390" s="27"/>
      <c r="E390" s="27"/>
      <c r="F390" s="27"/>
      <c r="G390" s="27"/>
      <c r="H390" s="27"/>
      <c r="I390" s="27"/>
      <c r="J390" s="27"/>
    </row>
    <row r="391" spans="1:10">
      <c r="A391" s="27"/>
      <c r="B391" s="27"/>
      <c r="C391" s="27"/>
      <c r="D391" s="27"/>
      <c r="E391" s="27"/>
      <c r="F391" s="27"/>
      <c r="G391" s="27"/>
      <c r="H391" s="27"/>
      <c r="I391" s="27"/>
      <c r="J391" s="27"/>
    </row>
    <row r="392" spans="1:10">
      <c r="A392" s="27"/>
      <c r="B392" s="27"/>
      <c r="C392" s="27"/>
      <c r="D392" s="27"/>
      <c r="E392" s="27"/>
      <c r="F392" s="27"/>
      <c r="G392" s="27"/>
      <c r="H392" s="27"/>
      <c r="I392" s="27"/>
      <c r="J392" s="27"/>
    </row>
    <row r="393" spans="1:10">
      <c r="A393" s="27"/>
      <c r="B393" s="27"/>
      <c r="C393" s="27"/>
      <c r="D393" s="27"/>
      <c r="E393" s="27"/>
      <c r="F393" s="27"/>
      <c r="G393" s="27"/>
      <c r="H393" s="27"/>
      <c r="I393" s="27"/>
      <c r="J393" s="27"/>
    </row>
    <row r="394" spans="1:10">
      <c r="A394" s="27"/>
      <c r="B394" s="27"/>
      <c r="C394" s="27"/>
      <c r="D394" s="27"/>
      <c r="E394" s="27"/>
      <c r="F394" s="27"/>
      <c r="G394" s="27"/>
      <c r="H394" s="27"/>
      <c r="I394" s="27"/>
      <c r="J394" s="27"/>
    </row>
    <row r="395" spans="1:10">
      <c r="A395" s="27"/>
      <c r="B395" s="27"/>
      <c r="C395" s="27"/>
      <c r="D395" s="27"/>
      <c r="E395" s="27"/>
      <c r="F395" s="27"/>
      <c r="G395" s="27"/>
      <c r="H395" s="27"/>
      <c r="I395" s="27"/>
      <c r="J395" s="27"/>
    </row>
    <row r="396" spans="1:10">
      <c r="A396" s="27"/>
      <c r="B396" s="27"/>
      <c r="C396" s="27"/>
      <c r="D396" s="27"/>
      <c r="E396" s="27"/>
      <c r="F396" s="27"/>
      <c r="G396" s="27"/>
      <c r="H396" s="27"/>
      <c r="I396" s="27"/>
      <c r="J396" s="27"/>
    </row>
    <row r="397" spans="1:10">
      <c r="A397" s="27"/>
      <c r="B397" s="27"/>
      <c r="C397" s="27"/>
      <c r="D397" s="27"/>
      <c r="E397" s="27"/>
      <c r="F397" s="27"/>
      <c r="G397" s="27"/>
      <c r="H397" s="27"/>
      <c r="I397" s="27"/>
      <c r="J397" s="27"/>
    </row>
    <row r="398" spans="1:10">
      <c r="A398" s="27"/>
      <c r="B398" s="27"/>
      <c r="C398" s="27"/>
      <c r="D398" s="27"/>
      <c r="E398" s="27"/>
      <c r="F398" s="27"/>
      <c r="G398" s="27"/>
      <c r="H398" s="27"/>
      <c r="I398" s="27"/>
      <c r="J398" s="27"/>
    </row>
    <row r="399" spans="1:10">
      <c r="A399" s="27"/>
      <c r="B399" s="27"/>
      <c r="C399" s="27"/>
      <c r="D399" s="27"/>
      <c r="E399" s="27"/>
      <c r="F399" s="27"/>
      <c r="G399" s="27"/>
      <c r="H399" s="27"/>
      <c r="I399" s="27"/>
      <c r="J399" s="27"/>
    </row>
    <row r="400" spans="1:10">
      <c r="A400" s="27"/>
      <c r="B400" s="27"/>
      <c r="C400" s="27"/>
      <c r="D400" s="27"/>
      <c r="E400" s="27"/>
      <c r="F400" s="27"/>
      <c r="G400" s="27"/>
      <c r="H400" s="27"/>
      <c r="I400" s="27"/>
      <c r="J400" s="27"/>
    </row>
    <row r="401" spans="1:10">
      <c r="A401" s="27"/>
      <c r="B401" s="27"/>
      <c r="C401" s="27"/>
      <c r="D401" s="27"/>
      <c r="E401" s="27"/>
      <c r="F401" s="27"/>
      <c r="G401" s="27"/>
      <c r="H401" s="27"/>
      <c r="I401" s="27"/>
      <c r="J401" s="27"/>
    </row>
    <row r="402" spans="1:10">
      <c r="A402" s="27"/>
      <c r="B402" s="27"/>
      <c r="C402" s="27"/>
      <c r="D402" s="27"/>
      <c r="E402" s="27"/>
      <c r="F402" s="27"/>
      <c r="G402" s="27"/>
      <c r="H402" s="27"/>
      <c r="I402" s="27"/>
      <c r="J402" s="27"/>
    </row>
    <row r="403" spans="1:10">
      <c r="A403" s="27"/>
      <c r="B403" s="27"/>
      <c r="C403" s="27"/>
      <c r="D403" s="27"/>
      <c r="E403" s="27"/>
      <c r="F403" s="27"/>
      <c r="G403" s="27"/>
      <c r="H403" s="27"/>
      <c r="I403" s="27"/>
      <c r="J403" s="27"/>
    </row>
    <row r="404" spans="1:10">
      <c r="A404" s="27"/>
      <c r="B404" s="27"/>
      <c r="C404" s="27"/>
      <c r="D404" s="27"/>
      <c r="E404" s="27"/>
      <c r="F404" s="27"/>
      <c r="G404" s="27"/>
      <c r="H404" s="27"/>
      <c r="I404" s="27"/>
      <c r="J404" s="27"/>
    </row>
    <row r="405" spans="1:10">
      <c r="A405" s="27"/>
      <c r="B405" s="27"/>
      <c r="C405" s="27"/>
      <c r="D405" s="27"/>
      <c r="E405" s="27"/>
      <c r="F405" s="27"/>
      <c r="G405" s="27"/>
      <c r="H405" s="27"/>
      <c r="I405" s="27"/>
      <c r="J405" s="27"/>
    </row>
    <row r="406" spans="1:10">
      <c r="A406" s="27"/>
      <c r="B406" s="27"/>
      <c r="C406" s="27"/>
      <c r="D406" s="27"/>
      <c r="E406" s="27"/>
      <c r="F406" s="27"/>
      <c r="G406" s="27"/>
      <c r="H406" s="27"/>
      <c r="I406" s="27"/>
      <c r="J406" s="27"/>
    </row>
    <row r="407" spans="1:10">
      <c r="A407" s="27"/>
      <c r="B407" s="27"/>
      <c r="C407" s="27"/>
      <c r="D407" s="27"/>
      <c r="E407" s="27"/>
      <c r="F407" s="27"/>
      <c r="G407" s="27"/>
      <c r="H407" s="27"/>
      <c r="I407" s="27"/>
      <c r="J407" s="27"/>
    </row>
    <row r="408" spans="1:10">
      <c r="A408" s="27"/>
      <c r="B408" s="27"/>
      <c r="C408" s="27"/>
      <c r="D408" s="27"/>
      <c r="E408" s="27"/>
      <c r="F408" s="27"/>
      <c r="G408" s="27"/>
      <c r="H408" s="27"/>
      <c r="I408" s="27"/>
      <c r="J408" s="27"/>
    </row>
    <row r="409" spans="1:10">
      <c r="A409" s="27"/>
      <c r="B409" s="27"/>
      <c r="C409" s="27"/>
      <c r="D409" s="27"/>
      <c r="E409" s="27"/>
      <c r="F409" s="27"/>
      <c r="G409" s="27"/>
      <c r="H409" s="27"/>
      <c r="I409" s="27"/>
      <c r="J409" s="27"/>
    </row>
    <row r="410" spans="1:10">
      <c r="A410" s="27"/>
      <c r="B410" s="27"/>
      <c r="C410" s="27"/>
      <c r="D410" s="27"/>
      <c r="E410" s="27"/>
      <c r="F410" s="27"/>
      <c r="G410" s="27"/>
      <c r="H410" s="27"/>
      <c r="I410" s="27"/>
      <c r="J410" s="27"/>
    </row>
    <row r="411" spans="1:10">
      <c r="A411" s="27"/>
      <c r="B411" s="27"/>
      <c r="C411" s="27"/>
      <c r="D411" s="27"/>
      <c r="E411" s="27"/>
      <c r="F411" s="27"/>
      <c r="G411" s="27"/>
      <c r="H411" s="27"/>
      <c r="I411" s="27"/>
      <c r="J411" s="27"/>
    </row>
    <row r="412" spans="1:10">
      <c r="A412" s="27"/>
      <c r="B412" s="27"/>
      <c r="C412" s="27"/>
      <c r="D412" s="27"/>
      <c r="E412" s="27"/>
      <c r="F412" s="27"/>
      <c r="G412" s="27"/>
      <c r="H412" s="27"/>
      <c r="I412" s="27"/>
      <c r="J412" s="27"/>
    </row>
    <row r="413" spans="1:10">
      <c r="A413" s="27"/>
      <c r="B413" s="27"/>
      <c r="C413" s="27"/>
      <c r="D413" s="27"/>
      <c r="E413" s="27"/>
      <c r="F413" s="27"/>
      <c r="G413" s="27"/>
      <c r="H413" s="27"/>
      <c r="I413" s="27"/>
      <c r="J413" s="27"/>
    </row>
    <row r="414" spans="1:10">
      <c r="A414" s="27"/>
      <c r="B414" s="27"/>
      <c r="C414" s="27"/>
      <c r="D414" s="27"/>
      <c r="E414" s="27"/>
      <c r="F414" s="27"/>
      <c r="G414" s="27"/>
      <c r="H414" s="27"/>
      <c r="I414" s="27"/>
      <c r="J414" s="27"/>
    </row>
    <row r="415" spans="1:10">
      <c r="A415" s="27"/>
      <c r="B415" s="27"/>
      <c r="C415" s="27"/>
      <c r="D415" s="27"/>
      <c r="E415" s="27"/>
      <c r="F415" s="27"/>
      <c r="G415" s="27"/>
      <c r="H415" s="27"/>
      <c r="I415" s="27"/>
      <c r="J415" s="27"/>
    </row>
    <row r="416" spans="1:10">
      <c r="A416" s="27"/>
      <c r="B416" s="27"/>
      <c r="C416" s="27"/>
      <c r="D416" s="27"/>
      <c r="E416" s="27"/>
      <c r="F416" s="27"/>
      <c r="G416" s="27"/>
      <c r="H416" s="27"/>
      <c r="I416" s="27"/>
      <c r="J416" s="27"/>
    </row>
    <row r="417" spans="1:10">
      <c r="A417" s="27"/>
      <c r="B417" s="27"/>
      <c r="C417" s="27"/>
      <c r="D417" s="27"/>
      <c r="E417" s="27"/>
      <c r="F417" s="27"/>
      <c r="G417" s="27"/>
      <c r="H417" s="27"/>
      <c r="I417" s="27"/>
      <c r="J417" s="27"/>
    </row>
    <row r="418" spans="1:10">
      <c r="A418" s="27"/>
      <c r="B418" s="27"/>
      <c r="C418" s="27"/>
      <c r="D418" s="27"/>
      <c r="E418" s="27"/>
      <c r="F418" s="27"/>
      <c r="G418" s="27"/>
      <c r="H418" s="27"/>
      <c r="I418" s="27"/>
      <c r="J418" s="27"/>
    </row>
    <row r="419" spans="1:10">
      <c r="A419" s="27"/>
      <c r="B419" s="27"/>
      <c r="C419" s="27"/>
      <c r="D419" s="27"/>
      <c r="E419" s="27"/>
      <c r="F419" s="27"/>
      <c r="G419" s="27"/>
      <c r="H419" s="27"/>
      <c r="I419" s="27"/>
      <c r="J419" s="27"/>
    </row>
    <row r="420" spans="1:10">
      <c r="A420" s="27"/>
      <c r="B420" s="27"/>
      <c r="C420" s="27"/>
      <c r="D420" s="27"/>
      <c r="E420" s="27"/>
      <c r="F420" s="27"/>
      <c r="G420" s="27"/>
      <c r="H420" s="27"/>
      <c r="I420" s="27"/>
      <c r="J420" s="27"/>
    </row>
    <row r="421" spans="1:10">
      <c r="A421" s="27"/>
      <c r="B421" s="27"/>
      <c r="C421" s="27"/>
      <c r="D421" s="27"/>
      <c r="E421" s="27"/>
      <c r="F421" s="27"/>
      <c r="G421" s="27"/>
      <c r="H421" s="27"/>
      <c r="I421" s="27"/>
      <c r="J421" s="27"/>
    </row>
    <row r="422" spans="1:10">
      <c r="A422" s="27"/>
      <c r="B422" s="27"/>
      <c r="C422" s="27"/>
      <c r="D422" s="27"/>
      <c r="E422" s="27"/>
      <c r="F422" s="27"/>
      <c r="G422" s="27"/>
      <c r="H422" s="27"/>
      <c r="I422" s="27"/>
      <c r="J422" s="27"/>
    </row>
    <row r="423" spans="1:10">
      <c r="A423" s="27"/>
      <c r="B423" s="27"/>
      <c r="C423" s="27"/>
      <c r="D423" s="27"/>
      <c r="E423" s="27"/>
      <c r="F423" s="27"/>
      <c r="G423" s="27"/>
      <c r="H423" s="27"/>
      <c r="I423" s="27"/>
      <c r="J423" s="27"/>
    </row>
    <row r="424" spans="1:10">
      <c r="A424" s="27"/>
      <c r="B424" s="27"/>
      <c r="C424" s="27"/>
      <c r="D424" s="27"/>
      <c r="E424" s="27"/>
      <c r="F424" s="27"/>
      <c r="G424" s="27"/>
      <c r="H424" s="27"/>
      <c r="I424" s="27"/>
      <c r="J424" s="27"/>
    </row>
    <row r="425" spans="1:10">
      <c r="A425" s="27"/>
      <c r="B425" s="27"/>
      <c r="C425" s="27"/>
      <c r="D425" s="27"/>
      <c r="E425" s="27"/>
      <c r="F425" s="27"/>
      <c r="G425" s="27"/>
      <c r="H425" s="27"/>
      <c r="I425" s="27"/>
      <c r="J425" s="27"/>
    </row>
    <row r="426" spans="1:10">
      <c r="A426" s="27"/>
      <c r="B426" s="27"/>
      <c r="C426" s="27"/>
      <c r="D426" s="27"/>
      <c r="E426" s="27"/>
      <c r="F426" s="27"/>
      <c r="G426" s="27"/>
      <c r="H426" s="27"/>
      <c r="I426" s="27"/>
      <c r="J426" s="27"/>
    </row>
    <row r="427" spans="1:10">
      <c r="A427" s="27"/>
      <c r="B427" s="27"/>
      <c r="C427" s="27"/>
      <c r="D427" s="27"/>
      <c r="E427" s="27"/>
      <c r="F427" s="27"/>
      <c r="G427" s="27"/>
      <c r="H427" s="27"/>
      <c r="I427" s="27"/>
      <c r="J427" s="27"/>
    </row>
    <row r="428" spans="1:10">
      <c r="A428" s="27"/>
      <c r="B428" s="27"/>
      <c r="C428" s="27"/>
      <c r="D428" s="27"/>
      <c r="E428" s="27"/>
      <c r="F428" s="27"/>
      <c r="G428" s="27"/>
      <c r="H428" s="27"/>
      <c r="I428" s="27"/>
      <c r="J428" s="27"/>
    </row>
    <row r="429" spans="1:10">
      <c r="A429" s="27"/>
      <c r="B429" s="27"/>
      <c r="C429" s="27"/>
      <c r="D429" s="27"/>
      <c r="E429" s="27"/>
      <c r="F429" s="27"/>
      <c r="G429" s="27"/>
      <c r="H429" s="27"/>
      <c r="I429" s="27"/>
      <c r="J429" s="27"/>
    </row>
    <row r="430" spans="1:10">
      <c r="A430" s="27"/>
      <c r="B430" s="27"/>
      <c r="C430" s="27"/>
      <c r="D430" s="27"/>
      <c r="E430" s="27"/>
      <c r="F430" s="27"/>
      <c r="G430" s="27"/>
      <c r="H430" s="27"/>
      <c r="I430" s="27"/>
      <c r="J430" s="27"/>
    </row>
    <row r="431" spans="1:10">
      <c r="A431" s="27"/>
      <c r="B431" s="27"/>
      <c r="C431" s="27"/>
      <c r="D431" s="27"/>
      <c r="E431" s="27"/>
      <c r="F431" s="27"/>
      <c r="G431" s="27"/>
      <c r="H431" s="27"/>
      <c r="I431" s="27"/>
      <c r="J431" s="27"/>
    </row>
    <row r="432" spans="1:10">
      <c r="A432" s="27"/>
      <c r="B432" s="27"/>
      <c r="C432" s="27"/>
      <c r="D432" s="27"/>
      <c r="E432" s="27"/>
      <c r="F432" s="27"/>
      <c r="G432" s="27"/>
      <c r="H432" s="27"/>
      <c r="I432" s="27"/>
      <c r="J432" s="27"/>
    </row>
    <row r="433" spans="1:10">
      <c r="A433" s="27"/>
      <c r="B433" s="27"/>
      <c r="C433" s="27"/>
      <c r="D433" s="27"/>
      <c r="E433" s="27"/>
      <c r="F433" s="27"/>
      <c r="G433" s="27"/>
      <c r="H433" s="27"/>
      <c r="I433" s="27"/>
      <c r="J433" s="27"/>
    </row>
    <row r="434" spans="1:10">
      <c r="A434" s="27"/>
      <c r="B434" s="27"/>
      <c r="C434" s="27"/>
      <c r="D434" s="27"/>
      <c r="E434" s="27"/>
      <c r="F434" s="27"/>
      <c r="G434" s="27"/>
      <c r="H434" s="27"/>
      <c r="I434" s="27"/>
      <c r="J434" s="27"/>
    </row>
    <row r="435" spans="1:10">
      <c r="A435" s="27"/>
      <c r="B435" s="27"/>
      <c r="C435" s="27"/>
      <c r="D435" s="27"/>
      <c r="E435" s="27"/>
      <c r="F435" s="27"/>
      <c r="G435" s="27"/>
      <c r="H435" s="27"/>
      <c r="I435" s="27"/>
      <c r="J435" s="27"/>
    </row>
    <row r="436" spans="1:10">
      <c r="A436" s="27"/>
      <c r="B436" s="27"/>
      <c r="C436" s="27"/>
      <c r="D436" s="27"/>
      <c r="E436" s="27"/>
      <c r="F436" s="27"/>
      <c r="G436" s="27"/>
      <c r="H436" s="27"/>
      <c r="I436" s="27"/>
      <c r="J436" s="27"/>
    </row>
    <row r="437" spans="1:10">
      <c r="A437" s="27"/>
      <c r="B437" s="27"/>
      <c r="C437" s="27"/>
      <c r="D437" s="27"/>
      <c r="E437" s="27"/>
      <c r="F437" s="27"/>
      <c r="G437" s="27"/>
      <c r="H437" s="27"/>
      <c r="I437" s="27"/>
      <c r="J437" s="27"/>
    </row>
    <row r="438" spans="1:10">
      <c r="A438" s="27"/>
      <c r="B438" s="27"/>
      <c r="C438" s="27"/>
      <c r="D438" s="27"/>
      <c r="E438" s="27"/>
      <c r="F438" s="27"/>
      <c r="G438" s="27"/>
      <c r="H438" s="27"/>
      <c r="I438" s="27"/>
      <c r="J438" s="27"/>
    </row>
    <row r="439" spans="1:10">
      <c r="A439" s="27"/>
      <c r="B439" s="27"/>
      <c r="C439" s="27"/>
      <c r="D439" s="27"/>
      <c r="E439" s="27"/>
      <c r="F439" s="27"/>
      <c r="G439" s="27"/>
      <c r="H439" s="27"/>
      <c r="I439" s="27"/>
      <c r="J439" s="27"/>
    </row>
    <row r="440" spans="1:10">
      <c r="A440" s="27"/>
      <c r="B440" s="27"/>
      <c r="C440" s="27"/>
      <c r="D440" s="27"/>
      <c r="E440" s="27"/>
      <c r="F440" s="27"/>
      <c r="G440" s="27"/>
      <c r="H440" s="27"/>
      <c r="I440" s="27"/>
      <c r="J440" s="27"/>
    </row>
    <row r="441" spans="1:10">
      <c r="A441" s="27"/>
      <c r="B441" s="27"/>
      <c r="C441" s="27"/>
      <c r="D441" s="27"/>
      <c r="E441" s="27"/>
      <c r="F441" s="27"/>
      <c r="G441" s="27"/>
      <c r="H441" s="27"/>
      <c r="I441" s="27"/>
      <c r="J441" s="27"/>
    </row>
    <row r="442" spans="1:10">
      <c r="A442" s="27"/>
      <c r="B442" s="27"/>
      <c r="C442" s="27"/>
      <c r="D442" s="27"/>
      <c r="E442" s="27"/>
      <c r="F442" s="27"/>
      <c r="G442" s="27"/>
      <c r="H442" s="27"/>
      <c r="I442" s="27"/>
      <c r="J442" s="27"/>
    </row>
    <row r="443" spans="1:10">
      <c r="A443" s="27"/>
      <c r="B443" s="27"/>
      <c r="C443" s="27"/>
      <c r="D443" s="27"/>
      <c r="E443" s="27"/>
      <c r="F443" s="27"/>
      <c r="G443" s="27"/>
      <c r="H443" s="27"/>
      <c r="I443" s="27"/>
      <c r="J443" s="27"/>
    </row>
    <row r="444" spans="1:10">
      <c r="A444" s="27"/>
      <c r="B444" s="27"/>
      <c r="C444" s="27"/>
      <c r="D444" s="27"/>
      <c r="E444" s="27"/>
      <c r="F444" s="27"/>
      <c r="G444" s="27"/>
      <c r="H444" s="27"/>
      <c r="I444" s="27"/>
      <c r="J444" s="27"/>
    </row>
    <row r="445" spans="1:10">
      <c r="A445" s="27"/>
      <c r="B445" s="27"/>
      <c r="C445" s="27"/>
      <c r="D445" s="27"/>
      <c r="E445" s="27"/>
      <c r="F445" s="27"/>
      <c r="G445" s="27"/>
      <c r="H445" s="27"/>
      <c r="I445" s="27"/>
      <c r="J445" s="27"/>
    </row>
    <row r="446" spans="1:10">
      <c r="A446" s="27"/>
      <c r="B446" s="27"/>
      <c r="C446" s="27"/>
      <c r="D446" s="27"/>
      <c r="E446" s="27"/>
      <c r="F446" s="27"/>
      <c r="G446" s="27"/>
      <c r="H446" s="27"/>
      <c r="I446" s="27"/>
      <c r="J446" s="27"/>
    </row>
    <row r="447" spans="1:10">
      <c r="A447" s="27"/>
      <c r="B447" s="27"/>
      <c r="C447" s="27"/>
      <c r="D447" s="27"/>
      <c r="E447" s="27"/>
      <c r="F447" s="27"/>
      <c r="G447" s="27"/>
      <c r="H447" s="27"/>
      <c r="I447" s="27"/>
      <c r="J447" s="27"/>
    </row>
    <row r="448" spans="1:10">
      <c r="A448" s="27"/>
      <c r="B448" s="27"/>
      <c r="C448" s="27"/>
      <c r="D448" s="27"/>
      <c r="E448" s="27"/>
      <c r="F448" s="27"/>
      <c r="G448" s="27"/>
      <c r="H448" s="27"/>
      <c r="I448" s="27"/>
      <c r="J448" s="27"/>
    </row>
    <row r="449" spans="1:10">
      <c r="A449" s="27"/>
      <c r="B449" s="27"/>
      <c r="C449" s="27"/>
      <c r="D449" s="27"/>
      <c r="E449" s="27"/>
      <c r="F449" s="27"/>
      <c r="G449" s="27"/>
      <c r="H449" s="27"/>
      <c r="I449" s="27"/>
      <c r="J449" s="27"/>
    </row>
    <row r="450" spans="1:10">
      <c r="A450" s="27"/>
      <c r="B450" s="27"/>
      <c r="C450" s="27"/>
      <c r="D450" s="27"/>
      <c r="E450" s="27"/>
      <c r="F450" s="27"/>
      <c r="G450" s="27"/>
      <c r="H450" s="27"/>
      <c r="I450" s="27"/>
      <c r="J450" s="27"/>
    </row>
    <row r="451" spans="1:10">
      <c r="A451" s="27"/>
      <c r="B451" s="27"/>
      <c r="C451" s="27"/>
      <c r="D451" s="27"/>
      <c r="E451" s="27"/>
      <c r="F451" s="27"/>
      <c r="G451" s="27"/>
      <c r="H451" s="27"/>
      <c r="I451" s="27"/>
      <c r="J451" s="27"/>
    </row>
    <row r="452" spans="1:10">
      <c r="A452" s="27"/>
      <c r="B452" s="27"/>
      <c r="C452" s="27"/>
      <c r="D452" s="27"/>
      <c r="E452" s="27"/>
      <c r="F452" s="27"/>
      <c r="G452" s="27"/>
      <c r="H452" s="27"/>
      <c r="I452" s="27"/>
      <c r="J452" s="27"/>
    </row>
    <row r="453" spans="1:10">
      <c r="A453" s="27"/>
      <c r="B453" s="27"/>
      <c r="C453" s="27"/>
      <c r="D453" s="27"/>
      <c r="E453" s="27"/>
      <c r="F453" s="27"/>
      <c r="G453" s="27"/>
      <c r="H453" s="27"/>
      <c r="I453" s="27"/>
      <c r="J453" s="27"/>
    </row>
    <row r="454" spans="1:10">
      <c r="A454" s="27"/>
      <c r="B454" s="27"/>
      <c r="C454" s="27"/>
      <c r="D454" s="27"/>
      <c r="E454" s="27"/>
      <c r="F454" s="27"/>
      <c r="G454" s="27"/>
      <c r="H454" s="27"/>
      <c r="I454" s="27"/>
      <c r="J454" s="27"/>
    </row>
    <row r="455" spans="1:10">
      <c r="A455" s="27"/>
      <c r="B455" s="27"/>
      <c r="C455" s="27"/>
      <c r="D455" s="27"/>
      <c r="E455" s="27"/>
      <c r="F455" s="27"/>
      <c r="G455" s="27"/>
      <c r="H455" s="27"/>
      <c r="I455" s="27"/>
      <c r="J455" s="27"/>
    </row>
    <row r="456" spans="1:10">
      <c r="A456" s="27"/>
      <c r="B456" s="27"/>
      <c r="C456" s="27"/>
      <c r="D456" s="27"/>
      <c r="E456" s="27"/>
      <c r="F456" s="27"/>
      <c r="G456" s="27"/>
      <c r="H456" s="27"/>
      <c r="I456" s="27"/>
      <c r="J456" s="27"/>
    </row>
    <row r="457" spans="1:10">
      <c r="A457" s="27"/>
      <c r="B457" s="27"/>
      <c r="C457" s="27"/>
      <c r="D457" s="27"/>
      <c r="E457" s="27"/>
      <c r="F457" s="27"/>
      <c r="G457" s="27"/>
      <c r="H457" s="27"/>
      <c r="I457" s="27"/>
      <c r="J457" s="27"/>
    </row>
    <row r="458" spans="1:10">
      <c r="A458" s="27"/>
      <c r="B458" s="27"/>
      <c r="C458" s="27"/>
      <c r="D458" s="27"/>
      <c r="E458" s="27"/>
      <c r="F458" s="27"/>
      <c r="G458" s="27"/>
      <c r="H458" s="27"/>
      <c r="I458" s="27"/>
      <c r="J458" s="27"/>
    </row>
    <row r="459" spans="1:10">
      <c r="A459" s="27"/>
      <c r="B459" s="27"/>
      <c r="C459" s="27"/>
      <c r="D459" s="27"/>
      <c r="E459" s="27"/>
      <c r="F459" s="27"/>
      <c r="G459" s="27"/>
      <c r="H459" s="27"/>
      <c r="I459" s="27"/>
      <c r="J459" s="27"/>
    </row>
    <row r="460" spans="1:10">
      <c r="A460" s="27"/>
      <c r="B460" s="27"/>
      <c r="C460" s="27"/>
      <c r="D460" s="27"/>
      <c r="E460" s="27"/>
      <c r="F460" s="27"/>
      <c r="G460" s="27"/>
      <c r="H460" s="27"/>
      <c r="I460" s="27"/>
      <c r="J460" s="27"/>
    </row>
    <row r="461" spans="1:10">
      <c r="A461" s="27"/>
      <c r="B461" s="27"/>
      <c r="C461" s="27"/>
      <c r="D461" s="27"/>
      <c r="E461" s="27"/>
      <c r="F461" s="27"/>
      <c r="G461" s="27"/>
      <c r="H461" s="27"/>
      <c r="I461" s="27"/>
      <c r="J461" s="27"/>
    </row>
    <row r="462" spans="1:10">
      <c r="A462" s="27"/>
      <c r="B462" s="27"/>
      <c r="C462" s="27"/>
      <c r="D462" s="27"/>
      <c r="E462" s="27"/>
      <c r="F462" s="27"/>
      <c r="G462" s="27"/>
      <c r="H462" s="27"/>
      <c r="I462" s="27"/>
      <c r="J462" s="27"/>
    </row>
    <row r="463" spans="1:10">
      <c r="A463" s="27"/>
      <c r="B463" s="27"/>
      <c r="C463" s="27"/>
      <c r="D463" s="27"/>
      <c r="E463" s="27"/>
      <c r="F463" s="27"/>
      <c r="G463" s="27"/>
      <c r="H463" s="27"/>
      <c r="I463" s="27"/>
      <c r="J463" s="27"/>
    </row>
    <row r="464" spans="1:10">
      <c r="A464" s="27"/>
      <c r="B464" s="27"/>
      <c r="C464" s="27"/>
      <c r="D464" s="27"/>
      <c r="E464" s="27"/>
      <c r="F464" s="27"/>
      <c r="G464" s="27"/>
      <c r="H464" s="27"/>
      <c r="I464" s="27"/>
      <c r="J464" s="27"/>
    </row>
    <row r="465" spans="1:10">
      <c r="A465" s="27"/>
      <c r="B465" s="27"/>
      <c r="C465" s="27"/>
      <c r="D465" s="27"/>
      <c r="E465" s="27"/>
      <c r="F465" s="27"/>
      <c r="G465" s="27"/>
      <c r="H465" s="27"/>
      <c r="I465" s="27"/>
      <c r="J465" s="27"/>
    </row>
    <row r="466" spans="1:10">
      <c r="A466" s="27"/>
      <c r="B466" s="27"/>
      <c r="C466" s="27"/>
      <c r="D466" s="27"/>
      <c r="E466" s="27"/>
      <c r="F466" s="27"/>
      <c r="G466" s="27"/>
      <c r="H466" s="27"/>
      <c r="I466" s="27"/>
      <c r="J466" s="27"/>
    </row>
    <row r="467" spans="1:10">
      <c r="A467" s="27"/>
      <c r="B467" s="27"/>
      <c r="C467" s="27"/>
      <c r="D467" s="27"/>
      <c r="E467" s="27"/>
      <c r="F467" s="27"/>
      <c r="G467" s="27"/>
      <c r="H467" s="27"/>
      <c r="I467" s="27"/>
      <c r="J467" s="27"/>
    </row>
    <row r="468" spans="1:10">
      <c r="A468" s="27"/>
      <c r="B468" s="27"/>
      <c r="C468" s="27"/>
      <c r="D468" s="27"/>
      <c r="E468" s="27"/>
      <c r="F468" s="27"/>
      <c r="G468" s="27"/>
      <c r="H468" s="27"/>
      <c r="I468" s="27"/>
      <c r="J468" s="27"/>
    </row>
    <row r="469" spans="1:10">
      <c r="A469" s="27"/>
      <c r="B469" s="27"/>
      <c r="C469" s="27"/>
      <c r="D469" s="27"/>
      <c r="E469" s="27"/>
      <c r="F469" s="27"/>
      <c r="G469" s="27"/>
      <c r="H469" s="27"/>
      <c r="I469" s="27"/>
      <c r="J469" s="27"/>
    </row>
    <row r="470" spans="1:10">
      <c r="A470" s="27"/>
      <c r="B470" s="27"/>
      <c r="C470" s="27"/>
      <c r="D470" s="27"/>
      <c r="E470" s="27"/>
      <c r="F470" s="27"/>
      <c r="G470" s="27"/>
      <c r="H470" s="27"/>
      <c r="I470" s="27"/>
      <c r="J470" s="27"/>
    </row>
    <row r="471" spans="1:10">
      <c r="A471" s="27"/>
      <c r="B471" s="27"/>
      <c r="C471" s="27"/>
      <c r="D471" s="27"/>
      <c r="E471" s="27"/>
      <c r="F471" s="27"/>
      <c r="G471" s="27"/>
      <c r="H471" s="27"/>
      <c r="I471" s="27"/>
      <c r="J471" s="27"/>
    </row>
    <row r="472" spans="1:10">
      <c r="A472" s="27"/>
      <c r="B472" s="27"/>
      <c r="C472" s="27"/>
      <c r="D472" s="27"/>
      <c r="E472" s="27"/>
      <c r="F472" s="27"/>
      <c r="G472" s="27"/>
      <c r="H472" s="27"/>
      <c r="I472" s="27"/>
      <c r="J472" s="27"/>
    </row>
    <row r="473" spans="1:10">
      <c r="A473" s="27"/>
      <c r="B473" s="27"/>
      <c r="C473" s="27"/>
      <c r="D473" s="27"/>
      <c r="E473" s="27"/>
      <c r="F473" s="27"/>
      <c r="G473" s="27"/>
      <c r="H473" s="27"/>
      <c r="I473" s="27"/>
      <c r="J473" s="27"/>
    </row>
    <row r="474" spans="1:10">
      <c r="A474" s="27"/>
      <c r="B474" s="27"/>
      <c r="C474" s="27"/>
      <c r="D474" s="27"/>
      <c r="E474" s="27"/>
      <c r="F474" s="27"/>
      <c r="G474" s="27"/>
      <c r="H474" s="27"/>
      <c r="I474" s="27"/>
      <c r="J474" s="27"/>
    </row>
    <row r="475" spans="1:10">
      <c r="A475" s="27"/>
      <c r="B475" s="27"/>
      <c r="C475" s="27"/>
      <c r="D475" s="27"/>
      <c r="E475" s="27"/>
      <c r="F475" s="27"/>
      <c r="G475" s="27"/>
      <c r="H475" s="27"/>
      <c r="I475" s="27"/>
      <c r="J475" s="27"/>
    </row>
    <row r="476" spans="1:10">
      <c r="A476" s="27"/>
      <c r="B476" s="27"/>
      <c r="C476" s="27"/>
      <c r="D476" s="27"/>
      <c r="E476" s="27"/>
      <c r="F476" s="27"/>
      <c r="G476" s="27"/>
      <c r="H476" s="27"/>
      <c r="I476" s="27"/>
      <c r="J476" s="27"/>
    </row>
    <row r="477" spans="1:10">
      <c r="A477" s="27"/>
      <c r="B477" s="27"/>
      <c r="C477" s="27"/>
      <c r="D477" s="27"/>
      <c r="E477" s="27"/>
      <c r="F477" s="27"/>
      <c r="G477" s="27"/>
      <c r="H477" s="27"/>
      <c r="I477" s="27"/>
      <c r="J477" s="27"/>
    </row>
    <row r="478" spans="1:10">
      <c r="A478" s="27"/>
      <c r="B478" s="27"/>
      <c r="C478" s="27"/>
      <c r="D478" s="27"/>
      <c r="E478" s="27"/>
      <c r="F478" s="27"/>
      <c r="G478" s="27"/>
      <c r="H478" s="27"/>
      <c r="I478" s="27"/>
      <c r="J478" s="27"/>
    </row>
    <row r="479" spans="1:10">
      <c r="A479" s="27"/>
      <c r="B479" s="27"/>
      <c r="C479" s="27"/>
      <c r="D479" s="27"/>
      <c r="E479" s="27"/>
      <c r="F479" s="27"/>
      <c r="G479" s="27"/>
      <c r="H479" s="27"/>
      <c r="I479" s="27"/>
      <c r="J479" s="27"/>
    </row>
    <row r="480" spans="1:10">
      <c r="A480" s="27"/>
      <c r="B480" s="27"/>
      <c r="C480" s="27"/>
      <c r="D480" s="27"/>
      <c r="E480" s="27"/>
      <c r="F480" s="27"/>
      <c r="G480" s="27"/>
      <c r="H480" s="27"/>
      <c r="I480" s="27"/>
      <c r="J480" s="27"/>
    </row>
    <row r="481" spans="1:10">
      <c r="A481" s="27"/>
      <c r="B481" s="27"/>
      <c r="C481" s="27"/>
      <c r="D481" s="27"/>
      <c r="E481" s="27"/>
      <c r="F481" s="27"/>
      <c r="G481" s="27"/>
      <c r="H481" s="27"/>
      <c r="I481" s="27"/>
      <c r="J481" s="27"/>
    </row>
    <row r="482" spans="1:10">
      <c r="A482" s="27"/>
      <c r="B482" s="27"/>
      <c r="C482" s="27"/>
      <c r="D482" s="27"/>
      <c r="E482" s="27"/>
      <c r="F482" s="27"/>
      <c r="G482" s="27"/>
      <c r="H482" s="27"/>
      <c r="I482" s="27"/>
      <c r="J482" s="27"/>
    </row>
    <row r="483" spans="1:10">
      <c r="A483" s="27"/>
      <c r="B483" s="27"/>
      <c r="C483" s="27"/>
      <c r="D483" s="27"/>
      <c r="E483" s="27"/>
      <c r="F483" s="27"/>
      <c r="G483" s="27"/>
      <c r="H483" s="27"/>
      <c r="I483" s="27"/>
      <c r="J483" s="27"/>
    </row>
    <row r="484" spans="1:10">
      <c r="A484" s="27"/>
      <c r="B484" s="27"/>
      <c r="C484" s="27"/>
      <c r="D484" s="27"/>
      <c r="E484" s="27"/>
      <c r="F484" s="27"/>
      <c r="G484" s="27"/>
      <c r="H484" s="27"/>
      <c r="I484" s="27"/>
      <c r="J484" s="27"/>
    </row>
    <row r="485" spans="1:10">
      <c r="A485" s="27"/>
      <c r="B485" s="27"/>
      <c r="C485" s="27"/>
      <c r="D485" s="27"/>
      <c r="E485" s="27"/>
      <c r="F485" s="27"/>
      <c r="G485" s="27"/>
      <c r="H485" s="27"/>
      <c r="I485" s="27"/>
      <c r="J485" s="27"/>
    </row>
    <row r="486" spans="1:10">
      <c r="A486" s="27"/>
      <c r="B486" s="27"/>
      <c r="C486" s="27"/>
      <c r="D486" s="27"/>
      <c r="E486" s="27"/>
      <c r="F486" s="27"/>
      <c r="G486" s="27"/>
      <c r="H486" s="27"/>
      <c r="I486" s="27"/>
      <c r="J486" s="27"/>
    </row>
    <row r="487" spans="1:10">
      <c r="A487" s="27"/>
      <c r="B487" s="27"/>
      <c r="C487" s="27"/>
      <c r="D487" s="27"/>
      <c r="E487" s="27"/>
      <c r="F487" s="27"/>
      <c r="G487" s="27"/>
      <c r="H487" s="27"/>
      <c r="I487" s="27"/>
      <c r="J487" s="27"/>
    </row>
    <row r="488" spans="1:10">
      <c r="A488" s="27"/>
      <c r="B488" s="27"/>
      <c r="C488" s="27"/>
      <c r="D488" s="27"/>
      <c r="E488" s="27"/>
      <c r="F488" s="27"/>
      <c r="G488" s="27"/>
      <c r="H488" s="27"/>
      <c r="I488" s="27"/>
      <c r="J488" s="27"/>
    </row>
    <row r="489" spans="1:10">
      <c r="A489" s="27"/>
      <c r="B489" s="27"/>
      <c r="C489" s="27"/>
      <c r="D489" s="27"/>
      <c r="E489" s="27"/>
      <c r="F489" s="27"/>
      <c r="G489" s="27"/>
      <c r="H489" s="27"/>
      <c r="I489" s="27"/>
      <c r="J489" s="27"/>
    </row>
    <row r="490" spans="1:10">
      <c r="A490" s="27"/>
      <c r="B490" s="27"/>
      <c r="C490" s="27"/>
      <c r="D490" s="27"/>
      <c r="E490" s="27"/>
      <c r="F490" s="27"/>
      <c r="G490" s="27"/>
      <c r="H490" s="27"/>
      <c r="I490" s="27"/>
      <c r="J490" s="27"/>
    </row>
    <row r="491" spans="1:10">
      <c r="A491" s="27"/>
      <c r="B491" s="27"/>
      <c r="C491" s="27"/>
      <c r="D491" s="27"/>
      <c r="E491" s="27"/>
      <c r="F491" s="27"/>
      <c r="G491" s="27"/>
      <c r="H491" s="27"/>
      <c r="I491" s="27"/>
      <c r="J491" s="27"/>
    </row>
    <row r="492" spans="1:10">
      <c r="A492" s="27"/>
      <c r="B492" s="27"/>
      <c r="C492" s="27"/>
      <c r="D492" s="27"/>
      <c r="E492" s="27"/>
      <c r="F492" s="27"/>
      <c r="G492" s="27"/>
      <c r="H492" s="27"/>
      <c r="I492" s="27"/>
      <c r="J492" s="27"/>
    </row>
    <row r="493" spans="1:10">
      <c r="A493" s="27"/>
      <c r="B493" s="27"/>
      <c r="C493" s="27"/>
      <c r="D493" s="27"/>
      <c r="E493" s="27"/>
      <c r="F493" s="27"/>
      <c r="G493" s="27"/>
      <c r="H493" s="27"/>
      <c r="I493" s="27"/>
      <c r="J493" s="27"/>
    </row>
    <row r="494" spans="1:10">
      <c r="A494" s="27"/>
      <c r="B494" s="27"/>
      <c r="C494" s="27"/>
      <c r="D494" s="27"/>
      <c r="E494" s="27"/>
      <c r="F494" s="27"/>
      <c r="G494" s="27"/>
      <c r="H494" s="27"/>
      <c r="I494" s="27"/>
      <c r="J494" s="27"/>
    </row>
    <row r="495" spans="1:10">
      <c r="A495" s="27"/>
      <c r="B495" s="27"/>
      <c r="C495" s="27"/>
      <c r="D495" s="27"/>
      <c r="E495" s="27"/>
      <c r="F495" s="27"/>
      <c r="G495" s="27"/>
      <c r="H495" s="27"/>
      <c r="I495" s="27"/>
      <c r="J495" s="27"/>
    </row>
    <row r="496" spans="1:10">
      <c r="A496" s="27"/>
      <c r="B496" s="27"/>
      <c r="C496" s="27"/>
      <c r="D496" s="27"/>
      <c r="E496" s="27"/>
      <c r="F496" s="27"/>
      <c r="G496" s="27"/>
      <c r="H496" s="27"/>
      <c r="I496" s="27"/>
      <c r="J496" s="27"/>
    </row>
    <row r="497" spans="1:10">
      <c r="A497" s="27"/>
      <c r="B497" s="27"/>
      <c r="C497" s="27"/>
      <c r="D497" s="27"/>
      <c r="E497" s="27"/>
      <c r="F497" s="27"/>
      <c r="G497" s="27"/>
      <c r="H497" s="27"/>
      <c r="I497" s="27"/>
      <c r="J497" s="27"/>
    </row>
    <row r="498" spans="1:10">
      <c r="A498" s="27"/>
      <c r="B498" s="27"/>
      <c r="C498" s="27"/>
      <c r="D498" s="27"/>
      <c r="E498" s="27"/>
      <c r="F498" s="27"/>
      <c r="G498" s="27"/>
      <c r="H498" s="27"/>
      <c r="I498" s="27"/>
      <c r="J498" s="27"/>
    </row>
    <row r="499" spans="1:10">
      <c r="A499" s="27"/>
      <c r="B499" s="27"/>
      <c r="C499" s="27"/>
      <c r="D499" s="27"/>
      <c r="E499" s="27"/>
      <c r="F499" s="27"/>
      <c r="G499" s="27"/>
      <c r="H499" s="27"/>
      <c r="I499" s="27"/>
      <c r="J499" s="27"/>
    </row>
    <row r="500" spans="1:10">
      <c r="A500" s="27"/>
      <c r="B500" s="27"/>
      <c r="C500" s="27"/>
      <c r="D500" s="27"/>
      <c r="E500" s="27"/>
      <c r="F500" s="27"/>
      <c r="G500" s="27"/>
      <c r="H500" s="27"/>
      <c r="I500" s="27"/>
      <c r="J500" s="27"/>
    </row>
    <row r="501" spans="1:10">
      <c r="A501" s="27"/>
      <c r="B501" s="27"/>
      <c r="C501" s="27"/>
      <c r="D501" s="27"/>
      <c r="E501" s="27"/>
      <c r="F501" s="27"/>
      <c r="G501" s="27"/>
      <c r="H501" s="27"/>
      <c r="I501" s="27"/>
      <c r="J501" s="27"/>
    </row>
    <row r="502" spans="1:10">
      <c r="A502" s="27"/>
      <c r="B502" s="27"/>
      <c r="C502" s="27"/>
      <c r="D502" s="27"/>
      <c r="E502" s="27"/>
      <c r="F502" s="27"/>
      <c r="G502" s="27"/>
      <c r="H502" s="27"/>
      <c r="I502" s="27"/>
      <c r="J502" s="27"/>
    </row>
    <row r="503" spans="1:10">
      <c r="A503" s="27"/>
      <c r="B503" s="27"/>
      <c r="C503" s="27"/>
      <c r="D503" s="27"/>
      <c r="E503" s="27"/>
      <c r="F503" s="27"/>
      <c r="G503" s="27"/>
      <c r="H503" s="27"/>
      <c r="I503" s="27"/>
      <c r="J503" s="27"/>
    </row>
    <row r="504" spans="1:10">
      <c r="A504" s="27"/>
      <c r="B504" s="27"/>
      <c r="C504" s="27"/>
      <c r="D504" s="27"/>
      <c r="E504" s="27"/>
      <c r="F504" s="27"/>
      <c r="G504" s="27"/>
      <c r="H504" s="27"/>
      <c r="I504" s="27"/>
      <c r="J504" s="27"/>
    </row>
    <row r="505" spans="1:10">
      <c r="A505" s="27"/>
      <c r="B505" s="27"/>
      <c r="C505" s="27"/>
      <c r="D505" s="27"/>
      <c r="E505" s="27"/>
      <c r="F505" s="27"/>
      <c r="G505" s="27"/>
      <c r="H505" s="27"/>
      <c r="I505" s="27"/>
      <c r="J505" s="27"/>
    </row>
    <row r="506" spans="1:10">
      <c r="A506" s="27"/>
      <c r="B506" s="27"/>
      <c r="C506" s="27"/>
      <c r="D506" s="27"/>
      <c r="E506" s="27"/>
      <c r="F506" s="27"/>
      <c r="G506" s="27"/>
      <c r="H506" s="27"/>
      <c r="I506" s="27"/>
      <c r="J506" s="27"/>
    </row>
    <row r="507" spans="1:10">
      <c r="A507" s="27"/>
      <c r="B507" s="27"/>
      <c r="C507" s="27"/>
      <c r="D507" s="27"/>
      <c r="E507" s="27"/>
      <c r="F507" s="27"/>
      <c r="G507" s="27"/>
      <c r="H507" s="27"/>
      <c r="I507" s="27"/>
      <c r="J507" s="27"/>
    </row>
    <row r="508" spans="1:10">
      <c r="A508" s="27"/>
      <c r="B508" s="27"/>
      <c r="C508" s="27"/>
      <c r="D508" s="27"/>
      <c r="E508" s="27"/>
      <c r="F508" s="27"/>
      <c r="G508" s="27"/>
      <c r="H508" s="27"/>
      <c r="I508" s="27"/>
      <c r="J508" s="27"/>
    </row>
    <row r="509" spans="1:10">
      <c r="A509" s="27"/>
      <c r="B509" s="27"/>
      <c r="C509" s="27"/>
      <c r="D509" s="27"/>
      <c r="E509" s="27"/>
      <c r="F509" s="27"/>
      <c r="G509" s="27"/>
      <c r="H509" s="27"/>
      <c r="I509" s="27"/>
      <c r="J509" s="27"/>
    </row>
    <row r="510" spans="1:10">
      <c r="A510" s="27"/>
      <c r="B510" s="27"/>
      <c r="C510" s="27"/>
      <c r="D510" s="27"/>
      <c r="E510" s="27"/>
      <c r="F510" s="27"/>
      <c r="G510" s="27"/>
      <c r="H510" s="27"/>
      <c r="I510" s="27"/>
      <c r="J510" s="27"/>
    </row>
    <row r="511" spans="1:10">
      <c r="A511" s="27"/>
      <c r="B511" s="27"/>
      <c r="C511" s="27"/>
      <c r="D511" s="27"/>
      <c r="E511" s="27"/>
      <c r="F511" s="27"/>
      <c r="G511" s="27"/>
      <c r="H511" s="27"/>
      <c r="I511" s="27"/>
      <c r="J511" s="27"/>
    </row>
    <row r="512" spans="1:10">
      <c r="A512" s="27"/>
      <c r="B512" s="27"/>
      <c r="C512" s="27"/>
      <c r="D512" s="27"/>
      <c r="E512" s="27"/>
      <c r="F512" s="27"/>
      <c r="G512" s="27"/>
      <c r="H512" s="27"/>
      <c r="I512" s="27"/>
      <c r="J512" s="27"/>
    </row>
    <row r="513" spans="1:10">
      <c r="A513" s="27"/>
      <c r="B513" s="27"/>
      <c r="C513" s="27"/>
      <c r="D513" s="27"/>
      <c r="E513" s="27"/>
      <c r="F513" s="27"/>
      <c r="G513" s="27"/>
      <c r="H513" s="27"/>
      <c r="I513" s="27"/>
      <c r="J513" s="27"/>
    </row>
    <row r="514" spans="1:10">
      <c r="A514" s="27"/>
      <c r="B514" s="27"/>
      <c r="C514" s="27"/>
      <c r="D514" s="27"/>
      <c r="E514" s="27"/>
      <c r="F514" s="27"/>
      <c r="G514" s="27"/>
      <c r="H514" s="27"/>
      <c r="I514" s="27"/>
      <c r="J514" s="27"/>
    </row>
    <row r="515" spans="1:10">
      <c r="A515" s="27"/>
      <c r="B515" s="27"/>
      <c r="C515" s="27"/>
      <c r="D515" s="27"/>
      <c r="E515" s="27"/>
      <c r="F515" s="27"/>
      <c r="G515" s="27"/>
      <c r="H515" s="27"/>
      <c r="I515" s="27"/>
      <c r="J515" s="27"/>
    </row>
    <row r="516" spans="1:10">
      <c r="A516" s="27"/>
      <c r="B516" s="27"/>
      <c r="C516" s="27"/>
      <c r="D516" s="27"/>
      <c r="E516" s="27"/>
      <c r="F516" s="27"/>
      <c r="G516" s="27"/>
      <c r="H516" s="27"/>
      <c r="I516" s="27"/>
      <c r="J516" s="27"/>
    </row>
    <row r="517" spans="1:10">
      <c r="A517" s="27"/>
      <c r="B517" s="27"/>
      <c r="C517" s="27"/>
      <c r="D517" s="27"/>
      <c r="E517" s="27"/>
      <c r="F517" s="27"/>
      <c r="G517" s="27"/>
      <c r="H517" s="27"/>
      <c r="I517" s="27"/>
      <c r="J517" s="27"/>
    </row>
    <row r="518" spans="1:10">
      <c r="A518" s="27"/>
      <c r="B518" s="27"/>
      <c r="C518" s="27"/>
      <c r="D518" s="27"/>
      <c r="E518" s="27"/>
      <c r="F518" s="27"/>
      <c r="G518" s="27"/>
      <c r="H518" s="27"/>
      <c r="I518" s="27"/>
      <c r="J518" s="27"/>
    </row>
    <row r="519" spans="1:10">
      <c r="A519" s="27"/>
      <c r="B519" s="27"/>
      <c r="C519" s="27"/>
      <c r="D519" s="27"/>
      <c r="E519" s="27"/>
      <c r="F519" s="27"/>
      <c r="G519" s="27"/>
      <c r="H519" s="27"/>
      <c r="I519" s="27"/>
      <c r="J519" s="27"/>
    </row>
    <row r="520" spans="1:10">
      <c r="A520" s="27"/>
      <c r="B520" s="27"/>
      <c r="C520" s="27"/>
      <c r="D520" s="27"/>
      <c r="E520" s="27"/>
      <c r="F520" s="27"/>
      <c r="G520" s="27"/>
      <c r="H520" s="27"/>
      <c r="I520" s="27"/>
      <c r="J520" s="27"/>
    </row>
    <row r="521" spans="1:10">
      <c r="A521" s="27"/>
      <c r="B521" s="27"/>
      <c r="C521" s="27"/>
      <c r="D521" s="27"/>
      <c r="E521" s="27"/>
      <c r="F521" s="27"/>
      <c r="G521" s="27"/>
      <c r="H521" s="27"/>
      <c r="I521" s="27"/>
      <c r="J521" s="27"/>
    </row>
    <row r="522" spans="1:10">
      <c r="A522" s="27"/>
      <c r="B522" s="27"/>
      <c r="C522" s="27"/>
      <c r="D522" s="27"/>
      <c r="E522" s="27"/>
      <c r="F522" s="27"/>
      <c r="G522" s="27"/>
      <c r="H522" s="27"/>
      <c r="I522" s="27"/>
      <c r="J522" s="27"/>
    </row>
    <row r="523" spans="1:10">
      <c r="A523" s="27"/>
      <c r="B523" s="27"/>
      <c r="C523" s="27"/>
      <c r="D523" s="27"/>
      <c r="E523" s="27"/>
      <c r="F523" s="27"/>
      <c r="G523" s="27"/>
      <c r="H523" s="27"/>
      <c r="I523" s="27"/>
      <c r="J523" s="27"/>
    </row>
    <row r="524" spans="1:10">
      <c r="A524" s="27"/>
      <c r="B524" s="27"/>
      <c r="C524" s="27"/>
      <c r="D524" s="27"/>
      <c r="E524" s="27"/>
      <c r="F524" s="27"/>
      <c r="G524" s="27"/>
      <c r="H524" s="27"/>
      <c r="I524" s="27"/>
      <c r="J524" s="27"/>
    </row>
    <row r="525" spans="1:10">
      <c r="A525" s="27"/>
      <c r="B525" s="27"/>
      <c r="C525" s="27"/>
      <c r="D525" s="27"/>
      <c r="E525" s="27"/>
      <c r="F525" s="27"/>
      <c r="G525" s="27"/>
      <c r="H525" s="27"/>
      <c r="I525" s="27"/>
      <c r="J525" s="27"/>
    </row>
    <row r="526" spans="1:10">
      <c r="A526" s="27"/>
      <c r="B526" s="27"/>
      <c r="C526" s="27"/>
      <c r="D526" s="27"/>
      <c r="E526" s="27"/>
      <c r="F526" s="27"/>
      <c r="G526" s="27"/>
      <c r="H526" s="27"/>
      <c r="I526" s="27"/>
      <c r="J526" s="27"/>
    </row>
    <row r="527" spans="1:10">
      <c r="A527" s="27"/>
      <c r="B527" s="27"/>
      <c r="C527" s="27"/>
      <c r="D527" s="27"/>
      <c r="E527" s="27"/>
      <c r="F527" s="27"/>
      <c r="G527" s="27"/>
      <c r="H527" s="27"/>
      <c r="I527" s="27"/>
      <c r="J527" s="27"/>
    </row>
    <row r="528" spans="1:10">
      <c r="A528" s="27"/>
      <c r="B528" s="27"/>
      <c r="C528" s="27"/>
      <c r="D528" s="27"/>
      <c r="E528" s="27"/>
      <c r="F528" s="27"/>
      <c r="G528" s="27"/>
      <c r="H528" s="27"/>
      <c r="I528" s="27"/>
      <c r="J528" s="27"/>
    </row>
    <row r="529" spans="1:10">
      <c r="A529" s="27"/>
      <c r="B529" s="27"/>
      <c r="C529" s="27"/>
      <c r="D529" s="27"/>
      <c r="E529" s="27"/>
      <c r="F529" s="27"/>
      <c r="G529" s="27"/>
      <c r="H529" s="27"/>
      <c r="I529" s="27"/>
      <c r="J529" s="27"/>
    </row>
    <row r="530" spans="1:10">
      <c r="A530" s="27"/>
      <c r="B530" s="27"/>
      <c r="C530" s="27"/>
      <c r="D530" s="27"/>
      <c r="E530" s="27"/>
      <c r="F530" s="27"/>
      <c r="G530" s="27"/>
      <c r="H530" s="27"/>
      <c r="I530" s="27"/>
      <c r="J530" s="27"/>
    </row>
    <row r="531" spans="1:10">
      <c r="A531" s="27"/>
      <c r="B531" s="27"/>
      <c r="C531" s="27"/>
      <c r="D531" s="27"/>
      <c r="E531" s="27"/>
      <c r="F531" s="27"/>
      <c r="G531" s="27"/>
      <c r="H531" s="27"/>
      <c r="I531" s="27"/>
      <c r="J531" s="27"/>
    </row>
    <row r="532" spans="1:10">
      <c r="A532" s="27"/>
      <c r="B532" s="27"/>
      <c r="C532" s="27"/>
      <c r="D532" s="27"/>
      <c r="E532" s="27"/>
      <c r="F532" s="27"/>
      <c r="G532" s="27"/>
      <c r="H532" s="27"/>
      <c r="I532" s="27"/>
      <c r="J532" s="27"/>
    </row>
    <row r="533" spans="1:10">
      <c r="A533" s="27"/>
      <c r="B533" s="27"/>
      <c r="C533" s="27"/>
      <c r="D533" s="27"/>
      <c r="E533" s="27"/>
      <c r="F533" s="27"/>
      <c r="G533" s="27"/>
      <c r="H533" s="27"/>
      <c r="I533" s="27"/>
      <c r="J533" s="27"/>
    </row>
    <row r="534" spans="1:10">
      <c r="A534" s="27"/>
      <c r="B534" s="27"/>
      <c r="C534" s="27"/>
      <c r="D534" s="27"/>
      <c r="E534" s="27"/>
      <c r="F534" s="27"/>
      <c r="G534" s="27"/>
      <c r="H534" s="27"/>
      <c r="I534" s="27"/>
      <c r="J534" s="27"/>
    </row>
    <row r="535" spans="1:10">
      <c r="A535" s="27"/>
      <c r="B535" s="27"/>
      <c r="C535" s="27"/>
      <c r="D535" s="27"/>
      <c r="E535" s="27"/>
      <c r="F535" s="27"/>
      <c r="G535" s="27"/>
      <c r="H535" s="27"/>
      <c r="I535" s="27"/>
      <c r="J535" s="27"/>
    </row>
    <row r="536" spans="1:10">
      <c r="A536" s="27"/>
      <c r="B536" s="27"/>
      <c r="C536" s="27"/>
      <c r="D536" s="27"/>
      <c r="E536" s="27"/>
      <c r="F536" s="27"/>
      <c r="G536" s="27"/>
      <c r="H536" s="27"/>
      <c r="I536" s="27"/>
      <c r="J536" s="27"/>
    </row>
    <row r="537" spans="1:10">
      <c r="A537" s="27"/>
      <c r="B537" s="27"/>
      <c r="C537" s="27"/>
      <c r="D537" s="27"/>
      <c r="E537" s="27"/>
      <c r="F537" s="27"/>
      <c r="G537" s="27"/>
      <c r="H537" s="27"/>
      <c r="I537" s="27"/>
      <c r="J537" s="27"/>
    </row>
    <row r="538" spans="1:10">
      <c r="A538" s="27"/>
      <c r="B538" s="27"/>
      <c r="C538" s="27"/>
      <c r="D538" s="27"/>
      <c r="E538" s="27"/>
      <c r="F538" s="27"/>
      <c r="G538" s="27"/>
      <c r="H538" s="27"/>
      <c r="I538" s="27"/>
      <c r="J538" s="27"/>
    </row>
    <row r="539" spans="1:10">
      <c r="A539" s="27"/>
      <c r="B539" s="27"/>
      <c r="C539" s="27"/>
      <c r="D539" s="27"/>
      <c r="E539" s="27"/>
      <c r="F539" s="27"/>
      <c r="G539" s="27"/>
      <c r="H539" s="27"/>
      <c r="I539" s="27"/>
      <c r="J539" s="27"/>
    </row>
    <row r="540" spans="1:10">
      <c r="A540" s="27"/>
      <c r="B540" s="27"/>
      <c r="C540" s="27"/>
      <c r="D540" s="27"/>
      <c r="E540" s="27"/>
      <c r="F540" s="27"/>
      <c r="G540" s="27"/>
      <c r="H540" s="27"/>
      <c r="I540" s="27"/>
      <c r="J540" s="27"/>
    </row>
    <row r="541" spans="1:10">
      <c r="A541" s="27"/>
      <c r="B541" s="27"/>
      <c r="C541" s="27"/>
      <c r="D541" s="27"/>
      <c r="E541" s="27"/>
      <c r="F541" s="27"/>
      <c r="G541" s="27"/>
      <c r="H541" s="27"/>
      <c r="I541" s="27"/>
      <c r="J541" s="27"/>
    </row>
    <row r="542" spans="1:10">
      <c r="A542" s="27"/>
      <c r="B542" s="27"/>
      <c r="C542" s="27"/>
      <c r="D542" s="27"/>
      <c r="E542" s="27"/>
      <c r="F542" s="27"/>
      <c r="G542" s="27"/>
      <c r="H542" s="27"/>
      <c r="I542" s="27"/>
      <c r="J542" s="27"/>
    </row>
    <row r="543" spans="1:10">
      <c r="A543" s="27"/>
      <c r="B543" s="27"/>
      <c r="C543" s="27"/>
      <c r="D543" s="27"/>
      <c r="E543" s="27"/>
      <c r="F543" s="27"/>
      <c r="G543" s="27"/>
      <c r="H543" s="27"/>
      <c r="I543" s="27"/>
      <c r="J543" s="27"/>
    </row>
    <row r="544" spans="1:10">
      <c r="A544" s="27"/>
      <c r="B544" s="27"/>
      <c r="C544" s="27"/>
      <c r="D544" s="27"/>
      <c r="E544" s="27"/>
      <c r="F544" s="27"/>
      <c r="G544" s="27"/>
      <c r="H544" s="27"/>
      <c r="I544" s="27"/>
      <c r="J544" s="27"/>
    </row>
    <row r="545" spans="1:10">
      <c r="A545" s="27"/>
      <c r="B545" s="27"/>
      <c r="C545" s="27"/>
      <c r="D545" s="27"/>
      <c r="E545" s="27"/>
      <c r="F545" s="27"/>
      <c r="G545" s="27"/>
      <c r="H545" s="27"/>
      <c r="I545" s="27"/>
      <c r="J545" s="27"/>
    </row>
    <row r="546" spans="1:10">
      <c r="A546" s="27"/>
      <c r="B546" s="27"/>
      <c r="C546" s="27"/>
      <c r="D546" s="27"/>
      <c r="E546" s="27"/>
      <c r="F546" s="27"/>
      <c r="G546" s="27"/>
      <c r="H546" s="27"/>
      <c r="I546" s="27"/>
      <c r="J546" s="27"/>
    </row>
    <row r="547" spans="1:10">
      <c r="A547" s="27"/>
      <c r="B547" s="27"/>
      <c r="C547" s="27"/>
      <c r="D547" s="27"/>
      <c r="E547" s="27"/>
      <c r="F547" s="27"/>
      <c r="G547" s="27"/>
      <c r="H547" s="27"/>
      <c r="I547" s="27"/>
      <c r="J547" s="27"/>
    </row>
    <row r="548" spans="1:10">
      <c r="A548" s="27"/>
      <c r="B548" s="27"/>
      <c r="C548" s="27"/>
      <c r="D548" s="27"/>
      <c r="E548" s="27"/>
      <c r="F548" s="27"/>
      <c r="G548" s="27"/>
      <c r="H548" s="27"/>
      <c r="I548" s="27"/>
      <c r="J548" s="27"/>
    </row>
    <row r="549" spans="1:10">
      <c r="A549" s="27"/>
      <c r="B549" s="27"/>
      <c r="C549" s="27"/>
      <c r="D549" s="27"/>
      <c r="E549" s="27"/>
      <c r="F549" s="27"/>
      <c r="G549" s="27"/>
      <c r="H549" s="27"/>
      <c r="I549" s="27"/>
      <c r="J549" s="27"/>
    </row>
    <row r="550" spans="1:10">
      <c r="A550" s="27"/>
      <c r="B550" s="27"/>
      <c r="C550" s="27"/>
      <c r="D550" s="27"/>
      <c r="E550" s="27"/>
      <c r="F550" s="27"/>
      <c r="G550" s="27"/>
      <c r="H550" s="27"/>
      <c r="I550" s="27"/>
      <c r="J550" s="27"/>
    </row>
    <row r="551" spans="1:10">
      <c r="A551" s="27"/>
      <c r="B551" s="27"/>
      <c r="C551" s="27"/>
      <c r="D551" s="27"/>
      <c r="E551" s="27"/>
      <c r="F551" s="27"/>
      <c r="G551" s="27"/>
      <c r="H551" s="27"/>
      <c r="I551" s="27"/>
      <c r="J551" s="27"/>
    </row>
    <row r="552" spans="1:10">
      <c r="A552" s="27"/>
      <c r="B552" s="27"/>
      <c r="C552" s="27"/>
      <c r="D552" s="27"/>
      <c r="E552" s="27"/>
      <c r="F552" s="27"/>
      <c r="G552" s="27"/>
      <c r="H552" s="27"/>
      <c r="I552" s="27"/>
      <c r="J552" s="27"/>
    </row>
    <row r="553" spans="1:10">
      <c r="A553" s="27"/>
      <c r="B553" s="27"/>
      <c r="C553" s="27"/>
      <c r="D553" s="27"/>
      <c r="E553" s="27"/>
      <c r="F553" s="27"/>
      <c r="G553" s="27"/>
      <c r="H553" s="27"/>
      <c r="I553" s="27"/>
      <c r="J553" s="27"/>
    </row>
    <row r="554" spans="1:10">
      <c r="A554" s="27"/>
      <c r="B554" s="27"/>
      <c r="C554" s="27"/>
      <c r="D554" s="27"/>
      <c r="E554" s="27"/>
      <c r="F554" s="27"/>
      <c r="G554" s="27"/>
      <c r="H554" s="27"/>
      <c r="I554" s="27"/>
      <c r="J554" s="27"/>
    </row>
    <row r="555" spans="1:10">
      <c r="A555" s="27"/>
      <c r="B555" s="27"/>
      <c r="C555" s="27"/>
      <c r="D555" s="27"/>
      <c r="E555" s="27"/>
      <c r="F555" s="27"/>
      <c r="G555" s="27"/>
      <c r="H555" s="27"/>
      <c r="I555" s="27"/>
      <c r="J555" s="27"/>
    </row>
    <row r="556" spans="1:10">
      <c r="A556" s="27"/>
      <c r="B556" s="27"/>
      <c r="C556" s="27"/>
      <c r="D556" s="27"/>
      <c r="E556" s="27"/>
      <c r="F556" s="27"/>
      <c r="G556" s="27"/>
      <c r="H556" s="27"/>
      <c r="I556" s="27"/>
      <c r="J556" s="27"/>
    </row>
    <row r="557" spans="1:10">
      <c r="A557" s="27"/>
      <c r="B557" s="27"/>
      <c r="C557" s="27"/>
      <c r="D557" s="27"/>
      <c r="E557" s="27"/>
      <c r="F557" s="27"/>
      <c r="G557" s="27"/>
      <c r="H557" s="27"/>
      <c r="I557" s="27"/>
      <c r="J557" s="27"/>
    </row>
    <row r="558" spans="1:10">
      <c r="A558" s="27"/>
      <c r="B558" s="27"/>
      <c r="C558" s="27"/>
      <c r="D558" s="27"/>
      <c r="E558" s="27"/>
      <c r="F558" s="27"/>
      <c r="G558" s="27"/>
      <c r="H558" s="27"/>
      <c r="I558" s="27"/>
      <c r="J558" s="27"/>
    </row>
    <row r="559" spans="1:10">
      <c r="A559" s="27"/>
      <c r="B559" s="27"/>
      <c r="C559" s="27"/>
      <c r="D559" s="27"/>
      <c r="E559" s="27"/>
      <c r="F559" s="27"/>
      <c r="G559" s="27"/>
      <c r="H559" s="27"/>
      <c r="I559" s="27"/>
      <c r="J559" s="27"/>
    </row>
    <row r="560" spans="1:10">
      <c r="A560" s="27"/>
      <c r="B560" s="27"/>
      <c r="C560" s="27"/>
      <c r="D560" s="27"/>
      <c r="E560" s="27"/>
      <c r="F560" s="27"/>
      <c r="G560" s="27"/>
      <c r="H560" s="27"/>
      <c r="I560" s="27"/>
      <c r="J560" s="27"/>
    </row>
    <row r="561" spans="1:10">
      <c r="A561" s="27"/>
      <c r="B561" s="27"/>
      <c r="C561" s="27"/>
      <c r="D561" s="27"/>
      <c r="E561" s="27"/>
      <c r="F561" s="27"/>
      <c r="G561" s="27"/>
      <c r="H561" s="27"/>
      <c r="I561" s="27"/>
      <c r="J561" s="27"/>
    </row>
    <row r="562" spans="1:10">
      <c r="A562" s="27"/>
      <c r="B562" s="27"/>
      <c r="C562" s="27"/>
      <c r="D562" s="27"/>
      <c r="E562" s="27"/>
      <c r="F562" s="27"/>
      <c r="G562" s="27"/>
      <c r="H562" s="27"/>
      <c r="I562" s="27"/>
      <c r="J562" s="27"/>
    </row>
    <row r="563" spans="1:10">
      <c r="A563" s="27"/>
      <c r="B563" s="27"/>
      <c r="C563" s="27"/>
      <c r="D563" s="27"/>
      <c r="E563" s="27"/>
      <c r="F563" s="27"/>
      <c r="G563" s="27"/>
      <c r="H563" s="27"/>
      <c r="I563" s="27"/>
      <c r="J563" s="27"/>
    </row>
    <row r="564" spans="1:10">
      <c r="A564" s="27"/>
      <c r="B564" s="27"/>
      <c r="C564" s="27"/>
      <c r="D564" s="27"/>
      <c r="E564" s="27"/>
      <c r="F564" s="27"/>
      <c r="G564" s="27"/>
      <c r="H564" s="27"/>
      <c r="I564" s="27"/>
      <c r="J564" s="27"/>
    </row>
    <row r="565" spans="1:10">
      <c r="A565" s="27"/>
      <c r="B565" s="27"/>
      <c r="C565" s="27"/>
      <c r="D565" s="27"/>
      <c r="E565" s="27"/>
      <c r="F565" s="27"/>
      <c r="G565" s="27"/>
      <c r="H565" s="27"/>
      <c r="I565" s="27"/>
      <c r="J565" s="27"/>
    </row>
    <row r="566" spans="1:10">
      <c r="A566" s="27"/>
      <c r="B566" s="27"/>
      <c r="C566" s="27"/>
      <c r="D566" s="27"/>
      <c r="E566" s="27"/>
      <c r="F566" s="27"/>
      <c r="G566" s="27"/>
      <c r="H566" s="27"/>
      <c r="I566" s="27"/>
      <c r="J566" s="27"/>
    </row>
    <row r="567" spans="1:10">
      <c r="A567" s="27"/>
      <c r="B567" s="27"/>
      <c r="C567" s="27"/>
      <c r="D567" s="27"/>
      <c r="E567" s="27"/>
      <c r="F567" s="27"/>
      <c r="G567" s="27"/>
      <c r="H567" s="27"/>
      <c r="I567" s="27"/>
      <c r="J567" s="27"/>
    </row>
    <row r="568" spans="1:10">
      <c r="A568" s="27"/>
      <c r="B568" s="27"/>
      <c r="C568" s="27"/>
      <c r="D568" s="27"/>
      <c r="E568" s="27"/>
      <c r="F568" s="27"/>
      <c r="G568" s="27"/>
      <c r="H568" s="27"/>
      <c r="I568" s="27"/>
      <c r="J568" s="27"/>
    </row>
    <row r="569" spans="1:10">
      <c r="A569" s="27"/>
      <c r="B569" s="27"/>
      <c r="C569" s="27"/>
      <c r="D569" s="27"/>
      <c r="E569" s="27"/>
      <c r="F569" s="27"/>
      <c r="G569" s="27"/>
      <c r="H569" s="27"/>
      <c r="I569" s="27"/>
      <c r="J569" s="27"/>
    </row>
    <row r="570" spans="1:10">
      <c r="A570" s="27"/>
      <c r="B570" s="27"/>
      <c r="C570" s="27"/>
      <c r="D570" s="27"/>
      <c r="E570" s="27"/>
      <c r="F570" s="27"/>
      <c r="G570" s="27"/>
      <c r="H570" s="27"/>
      <c r="I570" s="27"/>
      <c r="J570" s="27"/>
    </row>
    <row r="571" spans="1:10">
      <c r="A571" s="27"/>
      <c r="B571" s="27"/>
      <c r="C571" s="27"/>
      <c r="D571" s="27"/>
      <c r="E571" s="27"/>
      <c r="F571" s="27"/>
      <c r="G571" s="27"/>
      <c r="H571" s="27"/>
      <c r="I571" s="27"/>
      <c r="J571" s="27"/>
    </row>
    <row r="572" spans="1:10">
      <c r="A572" s="27"/>
      <c r="B572" s="27"/>
      <c r="C572" s="27"/>
      <c r="D572" s="27"/>
      <c r="E572" s="27"/>
      <c r="F572" s="27"/>
      <c r="G572" s="27"/>
      <c r="H572" s="27"/>
      <c r="I572" s="27"/>
      <c r="J572" s="27"/>
    </row>
    <row r="573" spans="1:10">
      <c r="A573" s="27"/>
      <c r="B573" s="27"/>
      <c r="C573" s="27"/>
      <c r="D573" s="27"/>
      <c r="E573" s="27"/>
      <c r="F573" s="27"/>
      <c r="G573" s="27"/>
      <c r="H573" s="27"/>
      <c r="I573" s="27"/>
      <c r="J573" s="27"/>
    </row>
    <row r="574" spans="1:10">
      <c r="A574" s="27"/>
      <c r="B574" s="27"/>
      <c r="C574" s="27"/>
      <c r="D574" s="27"/>
      <c r="E574" s="27"/>
      <c r="F574" s="27"/>
      <c r="G574" s="27"/>
      <c r="H574" s="27"/>
      <c r="I574" s="27"/>
      <c r="J574" s="27"/>
    </row>
    <row r="575" spans="1:10">
      <c r="A575" s="27"/>
      <c r="B575" s="27"/>
      <c r="C575" s="27"/>
      <c r="D575" s="27"/>
      <c r="E575" s="27"/>
      <c r="F575" s="27"/>
      <c r="G575" s="27"/>
      <c r="H575" s="27"/>
      <c r="I575" s="27"/>
      <c r="J575" s="27"/>
    </row>
    <row r="576" spans="1:10">
      <c r="A576" s="27"/>
      <c r="B576" s="27"/>
      <c r="C576" s="27"/>
      <c r="D576" s="27"/>
      <c r="E576" s="27"/>
      <c r="F576" s="27"/>
      <c r="G576" s="27"/>
      <c r="H576" s="27"/>
      <c r="I576" s="27"/>
      <c r="J576" s="27"/>
    </row>
    <row r="577" spans="1:10">
      <c r="A577" s="27"/>
      <c r="B577" s="27"/>
      <c r="C577" s="27"/>
      <c r="D577" s="27"/>
      <c r="E577" s="27"/>
      <c r="F577" s="27"/>
      <c r="G577" s="27"/>
      <c r="H577" s="27"/>
      <c r="I577" s="27"/>
      <c r="J577" s="27"/>
    </row>
    <row r="578" spans="1:10">
      <c r="A578" s="27"/>
      <c r="B578" s="27"/>
      <c r="C578" s="27"/>
      <c r="D578" s="27"/>
      <c r="E578" s="27"/>
      <c r="F578" s="27"/>
      <c r="G578" s="27"/>
      <c r="H578" s="27"/>
      <c r="I578" s="27"/>
      <c r="J578" s="27"/>
    </row>
    <row r="579" spans="1:10">
      <c r="A579" s="27"/>
      <c r="B579" s="27"/>
      <c r="C579" s="27"/>
      <c r="D579" s="27"/>
      <c r="E579" s="27"/>
      <c r="F579" s="27"/>
      <c r="G579" s="27"/>
      <c r="H579" s="27"/>
      <c r="I579" s="27"/>
      <c r="J579" s="27"/>
    </row>
    <row r="580" spans="1:10">
      <c r="A580" s="27"/>
      <c r="B580" s="27"/>
      <c r="C580" s="27"/>
      <c r="D580" s="27"/>
      <c r="E580" s="27"/>
      <c r="F580" s="27"/>
      <c r="G580" s="27"/>
      <c r="H580" s="27"/>
      <c r="I580" s="27"/>
      <c r="J580" s="27"/>
    </row>
    <row r="581" spans="1:10">
      <c r="A581" s="27"/>
      <c r="B581" s="27"/>
      <c r="C581" s="27"/>
      <c r="D581" s="27"/>
      <c r="E581" s="27"/>
      <c r="F581" s="27"/>
      <c r="G581" s="27"/>
      <c r="H581" s="27"/>
      <c r="I581" s="27"/>
      <c r="J581" s="27"/>
    </row>
    <row r="582" spans="1:10">
      <c r="A582" s="27"/>
      <c r="B582" s="27"/>
      <c r="C582" s="27"/>
      <c r="D582" s="27"/>
      <c r="E582" s="27"/>
      <c r="F582" s="27"/>
      <c r="G582" s="27"/>
      <c r="H582" s="27"/>
      <c r="I582" s="27"/>
      <c r="J582" s="27"/>
    </row>
    <row r="583" spans="1:10">
      <c r="A583" s="27"/>
      <c r="B583" s="27"/>
      <c r="C583" s="27"/>
      <c r="D583" s="27"/>
      <c r="E583" s="27"/>
      <c r="F583" s="27"/>
      <c r="G583" s="27"/>
      <c r="H583" s="27"/>
      <c r="I583" s="27"/>
      <c r="J583" s="27"/>
    </row>
    <row r="584" spans="1:10">
      <c r="A584" s="27"/>
      <c r="B584" s="27"/>
      <c r="C584" s="27"/>
      <c r="D584" s="27"/>
      <c r="E584" s="27"/>
      <c r="F584" s="27"/>
      <c r="G584" s="27"/>
      <c r="H584" s="27"/>
      <c r="I584" s="27"/>
      <c r="J584" s="27"/>
    </row>
    <row r="585" spans="1:10">
      <c r="A585" s="27"/>
      <c r="B585" s="27"/>
      <c r="C585" s="27"/>
      <c r="D585" s="27"/>
      <c r="E585" s="27"/>
      <c r="F585" s="27"/>
      <c r="G585" s="27"/>
      <c r="H585" s="27"/>
      <c r="I585" s="27"/>
      <c r="J585" s="27"/>
    </row>
    <row r="586" spans="1:10">
      <c r="A586" s="27"/>
      <c r="B586" s="27"/>
      <c r="C586" s="27"/>
      <c r="D586" s="27"/>
      <c r="E586" s="27"/>
      <c r="F586" s="27"/>
      <c r="G586" s="27"/>
      <c r="H586" s="27"/>
      <c r="I586" s="27"/>
      <c r="J586" s="27"/>
    </row>
    <row r="587" spans="1:10">
      <c r="A587" s="27"/>
      <c r="B587" s="27"/>
      <c r="C587" s="27"/>
      <c r="D587" s="27"/>
      <c r="E587" s="27"/>
      <c r="F587" s="27"/>
      <c r="G587" s="27"/>
      <c r="H587" s="27"/>
      <c r="I587" s="27"/>
      <c r="J587" s="27"/>
    </row>
    <row r="588" spans="1:10">
      <c r="A588" s="27"/>
      <c r="B588" s="27"/>
      <c r="C588" s="27"/>
      <c r="D588" s="27"/>
      <c r="E588" s="27"/>
      <c r="F588" s="27"/>
      <c r="G588" s="27"/>
      <c r="H588" s="27"/>
      <c r="I588" s="27"/>
      <c r="J588" s="27"/>
    </row>
    <row r="589" spans="1:10">
      <c r="A589" s="27"/>
      <c r="B589" s="27"/>
      <c r="C589" s="27"/>
      <c r="D589" s="27"/>
      <c r="E589" s="27"/>
      <c r="F589" s="27"/>
      <c r="G589" s="27"/>
      <c r="H589" s="27"/>
      <c r="I589" s="27"/>
      <c r="J589" s="27"/>
    </row>
    <row r="590" spans="1:10">
      <c r="A590" s="27"/>
      <c r="B590" s="27"/>
      <c r="C590" s="27"/>
      <c r="D590" s="27"/>
      <c r="E590" s="27"/>
      <c r="F590" s="27"/>
      <c r="G590" s="27"/>
      <c r="H590" s="27"/>
      <c r="I590" s="27"/>
      <c r="J590" s="27"/>
    </row>
    <row r="591" spans="1:10">
      <c r="A591" s="27"/>
      <c r="B591" s="27"/>
      <c r="C591" s="27"/>
      <c r="D591" s="27"/>
      <c r="E591" s="27"/>
      <c r="F591" s="27"/>
      <c r="G591" s="27"/>
      <c r="H591" s="27"/>
      <c r="I591" s="27"/>
      <c r="J591" s="27"/>
    </row>
    <row r="592" spans="1:10">
      <c r="A592" s="27"/>
      <c r="B592" s="27"/>
      <c r="C592" s="27"/>
      <c r="D592" s="27"/>
      <c r="E592" s="27"/>
      <c r="F592" s="27"/>
      <c r="G592" s="27"/>
      <c r="H592" s="27"/>
      <c r="I592" s="27"/>
      <c r="J592" s="27"/>
    </row>
    <row r="593" spans="1:10">
      <c r="A593" s="27"/>
      <c r="B593" s="27"/>
      <c r="C593" s="27"/>
      <c r="D593" s="27"/>
      <c r="E593" s="27"/>
      <c r="F593" s="27"/>
      <c r="G593" s="27"/>
      <c r="H593" s="27"/>
      <c r="I593" s="27"/>
      <c r="J593" s="27"/>
    </row>
    <row r="594" spans="1:10">
      <c r="A594" s="27"/>
      <c r="B594" s="27"/>
      <c r="C594" s="27"/>
      <c r="D594" s="27"/>
      <c r="E594" s="27"/>
      <c r="F594" s="27"/>
      <c r="G594" s="27"/>
      <c r="H594" s="27"/>
      <c r="I594" s="27"/>
      <c r="J594" s="27"/>
    </row>
    <row r="595" spans="1:10">
      <c r="A595" s="27"/>
      <c r="B595" s="27"/>
      <c r="C595" s="27"/>
      <c r="D595" s="27"/>
      <c r="E595" s="27"/>
      <c r="F595" s="27"/>
      <c r="G595" s="27"/>
      <c r="H595" s="27"/>
      <c r="I595" s="27"/>
      <c r="J595" s="27"/>
    </row>
    <row r="596" spans="1:10">
      <c r="A596" s="27"/>
      <c r="B596" s="27"/>
      <c r="C596" s="27"/>
      <c r="D596" s="27"/>
      <c r="E596" s="27"/>
      <c r="F596" s="27"/>
      <c r="G596" s="27"/>
      <c r="H596" s="27"/>
      <c r="I596" s="27"/>
      <c r="J596" s="27"/>
    </row>
    <row r="597" spans="1:10">
      <c r="A597" s="27"/>
      <c r="B597" s="27"/>
      <c r="C597" s="27"/>
      <c r="D597" s="27"/>
      <c r="E597" s="27"/>
      <c r="F597" s="27"/>
      <c r="G597" s="27"/>
      <c r="H597" s="27"/>
      <c r="I597" s="27"/>
      <c r="J597" s="27"/>
    </row>
    <row r="598" spans="1:10">
      <c r="A598" s="27"/>
      <c r="B598" s="27"/>
      <c r="C598" s="27"/>
      <c r="D598" s="27"/>
      <c r="E598" s="27"/>
      <c r="F598" s="27"/>
      <c r="G598" s="27"/>
      <c r="H598" s="27"/>
      <c r="I598" s="27"/>
      <c r="J598" s="27"/>
    </row>
    <row r="599" spans="1:10">
      <c r="A599" s="27"/>
      <c r="B599" s="27"/>
      <c r="C599" s="27"/>
      <c r="D599" s="27"/>
      <c r="E599" s="27"/>
      <c r="F599" s="27"/>
      <c r="G599" s="27"/>
      <c r="H599" s="27"/>
      <c r="I599" s="27"/>
      <c r="J599" s="27"/>
    </row>
    <row r="600" spans="1:10">
      <c r="A600" s="27"/>
      <c r="B600" s="27"/>
      <c r="C600" s="27"/>
      <c r="D600" s="27"/>
      <c r="E600" s="27"/>
      <c r="F600" s="27"/>
      <c r="G600" s="27"/>
      <c r="H600" s="27"/>
      <c r="I600" s="27"/>
      <c r="J600" s="27"/>
    </row>
    <row r="601" spans="1:10">
      <c r="A601" s="27"/>
      <c r="B601" s="27"/>
      <c r="C601" s="27"/>
      <c r="D601" s="27"/>
      <c r="E601" s="27"/>
      <c r="F601" s="27"/>
      <c r="G601" s="27"/>
      <c r="H601" s="27"/>
      <c r="I601" s="27"/>
      <c r="J601" s="27"/>
    </row>
    <row r="602" spans="1:10">
      <c r="A602" s="27"/>
      <c r="B602" s="27"/>
      <c r="C602" s="27"/>
      <c r="D602" s="27"/>
      <c r="E602" s="27"/>
      <c r="F602" s="27"/>
      <c r="G602" s="27"/>
      <c r="H602" s="27"/>
      <c r="I602" s="27"/>
      <c r="J602" s="27"/>
    </row>
    <row r="603" spans="1:10">
      <c r="A603" s="27"/>
      <c r="B603" s="27"/>
      <c r="C603" s="27"/>
      <c r="D603" s="27"/>
      <c r="E603" s="27"/>
      <c r="F603" s="27"/>
      <c r="G603" s="27"/>
      <c r="H603" s="27"/>
      <c r="I603" s="27"/>
      <c r="J603" s="27"/>
    </row>
    <row r="604" spans="1:10">
      <c r="A604" s="27"/>
      <c r="B604" s="27"/>
      <c r="C604" s="27"/>
      <c r="D604" s="27"/>
      <c r="E604" s="27"/>
      <c r="F604" s="27"/>
      <c r="G604" s="27"/>
      <c r="H604" s="27"/>
      <c r="I604" s="27"/>
      <c r="J604" s="27"/>
    </row>
    <row r="605" spans="1:10">
      <c r="A605" s="27"/>
      <c r="B605" s="27"/>
      <c r="C605" s="27"/>
      <c r="D605" s="27"/>
      <c r="E605" s="27"/>
      <c r="F605" s="27"/>
      <c r="G605" s="27"/>
      <c r="H605" s="27"/>
      <c r="I605" s="27"/>
      <c r="J605" s="27"/>
    </row>
    <row r="606" spans="1:10">
      <c r="A606" s="27"/>
      <c r="B606" s="27"/>
      <c r="C606" s="27"/>
      <c r="D606" s="27"/>
      <c r="E606" s="27"/>
      <c r="F606" s="27"/>
      <c r="G606" s="27"/>
      <c r="H606" s="27"/>
      <c r="I606" s="27"/>
      <c r="J606" s="27"/>
    </row>
    <row r="607" spans="1:10">
      <c r="A607" s="27"/>
      <c r="B607" s="27"/>
      <c r="C607" s="27"/>
      <c r="D607" s="27"/>
      <c r="E607" s="27"/>
      <c r="F607" s="27"/>
      <c r="G607" s="27"/>
      <c r="H607" s="27"/>
      <c r="I607" s="27"/>
      <c r="J607" s="27"/>
    </row>
    <row r="608" spans="1:10">
      <c r="A608" s="27"/>
      <c r="B608" s="27"/>
      <c r="C608" s="27"/>
      <c r="D608" s="27"/>
      <c r="E608" s="27"/>
      <c r="F608" s="27"/>
      <c r="G608" s="27"/>
      <c r="H608" s="27"/>
      <c r="I608" s="27"/>
      <c r="J608" s="27"/>
    </row>
    <row r="609" spans="1:10">
      <c r="A609" s="27"/>
      <c r="B609" s="27"/>
      <c r="C609" s="27"/>
      <c r="D609" s="27"/>
      <c r="E609" s="27"/>
      <c r="F609" s="27"/>
      <c r="G609" s="27"/>
      <c r="H609" s="27"/>
      <c r="I609" s="27"/>
      <c r="J609" s="27"/>
    </row>
    <row r="610" spans="1:10">
      <c r="A610" s="27"/>
      <c r="B610" s="27"/>
      <c r="C610" s="27"/>
      <c r="D610" s="27"/>
      <c r="E610" s="27"/>
      <c r="F610" s="27"/>
      <c r="G610" s="27"/>
      <c r="H610" s="27"/>
      <c r="I610" s="27"/>
      <c r="J610" s="27"/>
    </row>
    <row r="611" spans="1:10">
      <c r="A611" s="27"/>
      <c r="B611" s="27"/>
      <c r="C611" s="27"/>
      <c r="D611" s="27"/>
      <c r="E611" s="27"/>
      <c r="F611" s="27"/>
      <c r="G611" s="27"/>
      <c r="H611" s="27"/>
      <c r="I611" s="27"/>
      <c r="J611" s="27"/>
    </row>
    <row r="612" spans="1:10">
      <c r="A612" s="27"/>
      <c r="B612" s="27"/>
      <c r="C612" s="27"/>
      <c r="D612" s="27"/>
      <c r="E612" s="27"/>
      <c r="F612" s="27"/>
      <c r="G612" s="27"/>
      <c r="H612" s="27"/>
      <c r="I612" s="27"/>
      <c r="J612" s="27"/>
    </row>
    <row r="613" spans="1:10">
      <c r="A613" s="27"/>
      <c r="B613" s="27"/>
      <c r="C613" s="27"/>
      <c r="D613" s="27"/>
      <c r="E613" s="27"/>
      <c r="F613" s="27"/>
      <c r="G613" s="27"/>
      <c r="H613" s="27"/>
      <c r="I613" s="27"/>
      <c r="J613" s="27"/>
    </row>
    <row r="614" spans="1:10">
      <c r="A614" s="27"/>
      <c r="B614" s="27"/>
      <c r="C614" s="27"/>
      <c r="D614" s="27"/>
      <c r="E614" s="27"/>
      <c r="F614" s="27"/>
      <c r="G614" s="27"/>
      <c r="H614" s="27"/>
      <c r="I614" s="27"/>
      <c r="J614" s="27"/>
    </row>
    <row r="615" spans="1:10">
      <c r="A615" s="27"/>
      <c r="B615" s="27"/>
      <c r="C615" s="27"/>
      <c r="D615" s="27"/>
      <c r="E615" s="27"/>
      <c r="F615" s="27"/>
      <c r="G615" s="27"/>
      <c r="H615" s="27"/>
      <c r="I615" s="27"/>
      <c r="J615" s="27"/>
    </row>
    <row r="616" spans="1:10">
      <c r="A616" s="27"/>
      <c r="B616" s="27"/>
      <c r="C616" s="27"/>
      <c r="D616" s="27"/>
      <c r="E616" s="27"/>
      <c r="F616" s="27"/>
      <c r="G616" s="27"/>
      <c r="H616" s="27"/>
      <c r="I616" s="27"/>
      <c r="J616" s="27"/>
    </row>
    <row r="617" spans="1:10">
      <c r="A617" s="27"/>
      <c r="B617" s="27"/>
      <c r="C617" s="27"/>
      <c r="D617" s="27"/>
      <c r="E617" s="27"/>
      <c r="F617" s="27"/>
      <c r="G617" s="27"/>
      <c r="H617" s="27"/>
      <c r="I617" s="27"/>
      <c r="J617" s="27"/>
    </row>
    <row r="618" spans="1:10">
      <c r="A618" s="27"/>
      <c r="B618" s="27"/>
      <c r="C618" s="27"/>
      <c r="D618" s="27"/>
      <c r="E618" s="27"/>
      <c r="F618" s="27"/>
      <c r="G618" s="27"/>
      <c r="H618" s="27"/>
      <c r="I618" s="27"/>
      <c r="J618" s="27"/>
    </row>
    <row r="619" spans="1:10">
      <c r="A619" s="27"/>
      <c r="B619" s="27"/>
      <c r="C619" s="27"/>
      <c r="D619" s="27"/>
      <c r="E619" s="27"/>
      <c r="F619" s="27"/>
      <c r="G619" s="27"/>
      <c r="H619" s="27"/>
      <c r="I619" s="27"/>
      <c r="J619" s="27"/>
    </row>
    <row r="620" spans="1:10">
      <c r="A620" s="27"/>
      <c r="B620" s="27"/>
      <c r="C620" s="27"/>
      <c r="D620" s="27"/>
      <c r="E620" s="27"/>
      <c r="F620" s="27"/>
      <c r="G620" s="27"/>
      <c r="H620" s="27"/>
      <c r="I620" s="27"/>
      <c r="J620" s="27"/>
    </row>
    <row r="621" spans="1:10">
      <c r="A621" s="27"/>
      <c r="B621" s="27"/>
      <c r="C621" s="27"/>
      <c r="D621" s="27"/>
      <c r="E621" s="27"/>
      <c r="F621" s="27"/>
      <c r="G621" s="27"/>
      <c r="H621" s="27"/>
      <c r="I621" s="27"/>
      <c r="J621" s="27"/>
    </row>
    <row r="622" spans="1:10">
      <c r="A622" s="27"/>
      <c r="B622" s="27"/>
      <c r="C622" s="27"/>
      <c r="D622" s="27"/>
      <c r="E622" s="27"/>
      <c r="F622" s="27"/>
      <c r="G622" s="27"/>
      <c r="H622" s="27"/>
      <c r="I622" s="27"/>
      <c r="J622" s="27"/>
    </row>
    <row r="623" spans="1:10">
      <c r="A623" s="27"/>
      <c r="B623" s="27"/>
      <c r="C623" s="27"/>
      <c r="D623" s="27"/>
      <c r="E623" s="27"/>
      <c r="F623" s="27"/>
      <c r="G623" s="27"/>
      <c r="H623" s="27"/>
      <c r="I623" s="27"/>
      <c r="J623" s="27"/>
    </row>
    <row r="624" spans="1:10">
      <c r="A624" s="27"/>
      <c r="B624" s="27"/>
      <c r="C624" s="27"/>
      <c r="D624" s="27"/>
      <c r="E624" s="27"/>
      <c r="F624" s="27"/>
      <c r="G624" s="27"/>
      <c r="H624" s="27"/>
      <c r="I624" s="27"/>
      <c r="J624" s="27"/>
    </row>
    <row r="625" spans="1:10">
      <c r="A625" s="27"/>
      <c r="B625" s="27"/>
      <c r="C625" s="27"/>
      <c r="D625" s="27"/>
      <c r="E625" s="27"/>
      <c r="F625" s="27"/>
      <c r="G625" s="27"/>
      <c r="H625" s="27"/>
      <c r="I625" s="27"/>
      <c r="J625" s="27"/>
    </row>
    <row r="626" spans="1:10">
      <c r="A626" s="27"/>
      <c r="B626" s="27"/>
      <c r="C626" s="27"/>
      <c r="D626" s="27"/>
      <c r="E626" s="27"/>
      <c r="F626" s="27"/>
      <c r="G626" s="27"/>
      <c r="H626" s="27"/>
      <c r="I626" s="27"/>
      <c r="J626" s="27"/>
    </row>
    <row r="627" spans="1:10">
      <c r="A627" s="27"/>
      <c r="B627" s="27"/>
      <c r="C627" s="27"/>
      <c r="D627" s="27"/>
      <c r="E627" s="27"/>
      <c r="F627" s="27"/>
      <c r="G627" s="27"/>
      <c r="H627" s="27"/>
      <c r="I627" s="27"/>
      <c r="J627" s="27"/>
    </row>
    <row r="628" spans="1:10">
      <c r="A628" s="27"/>
      <c r="B628" s="27"/>
      <c r="C628" s="27"/>
      <c r="D628" s="27"/>
      <c r="E628" s="27"/>
      <c r="F628" s="27"/>
      <c r="G628" s="27"/>
      <c r="H628" s="27"/>
      <c r="I628" s="27"/>
      <c r="J628" s="27"/>
    </row>
    <row r="629" spans="1:10">
      <c r="A629" s="27"/>
      <c r="B629" s="27"/>
      <c r="C629" s="27"/>
      <c r="D629" s="27"/>
      <c r="E629" s="27"/>
      <c r="F629" s="27"/>
      <c r="G629" s="27"/>
      <c r="H629" s="27"/>
      <c r="I629" s="27"/>
      <c r="J629" s="27"/>
    </row>
    <row r="630" spans="1:10">
      <c r="A630" s="27"/>
      <c r="B630" s="27"/>
      <c r="C630" s="27"/>
      <c r="D630" s="27"/>
      <c r="E630" s="27"/>
      <c r="F630" s="27"/>
      <c r="G630" s="27"/>
      <c r="H630" s="27"/>
      <c r="I630" s="27"/>
      <c r="J630" s="27"/>
    </row>
    <row r="631" spans="1:10">
      <c r="A631" s="27"/>
      <c r="B631" s="27"/>
      <c r="C631" s="27"/>
      <c r="D631" s="27"/>
      <c r="E631" s="27"/>
      <c r="F631" s="27"/>
      <c r="G631" s="27"/>
      <c r="H631" s="27"/>
      <c r="I631" s="27"/>
      <c r="J631" s="27"/>
    </row>
    <row r="632" spans="1:10">
      <c r="A632" s="27"/>
      <c r="B632" s="27"/>
      <c r="C632" s="27"/>
      <c r="D632" s="27"/>
      <c r="E632" s="27"/>
      <c r="F632" s="27"/>
      <c r="G632" s="27"/>
      <c r="H632" s="27"/>
      <c r="I632" s="27"/>
      <c r="J632" s="27"/>
    </row>
    <row r="633" spans="1:10">
      <c r="A633" s="27"/>
      <c r="B633" s="27"/>
      <c r="C633" s="27"/>
      <c r="D633" s="27"/>
      <c r="E633" s="27"/>
      <c r="F633" s="27"/>
      <c r="G633" s="27"/>
      <c r="H633" s="27"/>
      <c r="I633" s="27"/>
      <c r="J633" s="27"/>
    </row>
    <row r="634" spans="1:10">
      <c r="A634" s="27"/>
      <c r="B634" s="27"/>
      <c r="C634" s="27"/>
      <c r="D634" s="27"/>
      <c r="E634" s="27"/>
      <c r="F634" s="27"/>
      <c r="G634" s="27"/>
      <c r="H634" s="27"/>
      <c r="I634" s="27"/>
      <c r="J634" s="27"/>
    </row>
    <row r="635" spans="1:10">
      <c r="A635" s="27"/>
      <c r="B635" s="27"/>
      <c r="C635" s="27"/>
      <c r="D635" s="27"/>
      <c r="E635" s="27"/>
      <c r="F635" s="27"/>
      <c r="G635" s="27"/>
      <c r="H635" s="27"/>
      <c r="I635" s="27"/>
      <c r="J635" s="27"/>
    </row>
    <row r="636" spans="1:10">
      <c r="A636" s="27"/>
      <c r="B636" s="27"/>
      <c r="C636" s="27"/>
      <c r="D636" s="27"/>
      <c r="E636" s="27"/>
      <c r="F636" s="27"/>
      <c r="G636" s="27"/>
      <c r="H636" s="27"/>
      <c r="I636" s="27"/>
      <c r="J636" s="27"/>
    </row>
    <row r="637" spans="1:10">
      <c r="A637" s="27"/>
      <c r="B637" s="27"/>
      <c r="C637" s="27"/>
      <c r="D637" s="27"/>
      <c r="E637" s="27"/>
      <c r="F637" s="27"/>
      <c r="G637" s="27"/>
      <c r="H637" s="27"/>
      <c r="I637" s="27"/>
      <c r="J637" s="27"/>
    </row>
    <row r="638" spans="1:10">
      <c r="A638" s="27"/>
      <c r="B638" s="27"/>
      <c r="C638" s="27"/>
      <c r="D638" s="27"/>
      <c r="E638" s="27"/>
      <c r="F638" s="27"/>
      <c r="G638" s="27"/>
      <c r="H638" s="27"/>
      <c r="I638" s="27"/>
      <c r="J638" s="27"/>
    </row>
    <row r="639" spans="1:10">
      <c r="A639" s="27"/>
      <c r="B639" s="27"/>
      <c r="C639" s="27"/>
      <c r="D639" s="27"/>
      <c r="E639" s="27"/>
      <c r="F639" s="27"/>
      <c r="G639" s="27"/>
      <c r="H639" s="27"/>
      <c r="I639" s="27"/>
      <c r="J639" s="27"/>
    </row>
    <row r="640" spans="1:10">
      <c r="A640" s="27"/>
      <c r="B640" s="27"/>
      <c r="C640" s="27"/>
      <c r="D640" s="27"/>
      <c r="E640" s="27"/>
      <c r="F640" s="27"/>
      <c r="G640" s="27"/>
      <c r="H640" s="27"/>
      <c r="I640" s="27"/>
      <c r="J640" s="27"/>
    </row>
    <row r="641" spans="1:10">
      <c r="A641" s="27"/>
      <c r="B641" s="27"/>
      <c r="C641" s="27"/>
      <c r="D641" s="27"/>
      <c r="E641" s="27"/>
      <c r="F641" s="27"/>
      <c r="G641" s="27"/>
      <c r="H641" s="27"/>
      <c r="I641" s="27"/>
      <c r="J641" s="27"/>
    </row>
    <row r="642" spans="1:10">
      <c r="A642" s="27"/>
      <c r="B642" s="27"/>
      <c r="C642" s="27"/>
      <c r="D642" s="27"/>
      <c r="E642" s="27"/>
      <c r="F642" s="27"/>
      <c r="G642" s="27"/>
      <c r="H642" s="27"/>
      <c r="I642" s="27"/>
      <c r="J642" s="27"/>
    </row>
    <row r="643" spans="1:10">
      <c r="A643" s="27"/>
      <c r="B643" s="27"/>
      <c r="C643" s="27"/>
      <c r="D643" s="27"/>
      <c r="E643" s="27"/>
      <c r="F643" s="27"/>
      <c r="G643" s="27"/>
      <c r="H643" s="27"/>
      <c r="I643" s="27"/>
      <c r="J643" s="27"/>
    </row>
    <row r="644" spans="1:10">
      <c r="A644" s="27"/>
      <c r="B644" s="27"/>
      <c r="C644" s="27"/>
      <c r="D644" s="27"/>
      <c r="E644" s="27"/>
      <c r="F644" s="27"/>
      <c r="G644" s="27"/>
      <c r="H644" s="27"/>
      <c r="I644" s="27"/>
      <c r="J644" s="27"/>
    </row>
    <row r="645" spans="1:10">
      <c r="A645" s="27"/>
      <c r="B645" s="27"/>
      <c r="C645" s="27"/>
      <c r="D645" s="27"/>
      <c r="E645" s="27"/>
      <c r="F645" s="27"/>
      <c r="G645" s="27"/>
      <c r="H645" s="27"/>
      <c r="I645" s="27"/>
      <c r="J645" s="27"/>
    </row>
    <row r="646" spans="1:10">
      <c r="A646" s="27"/>
      <c r="B646" s="27"/>
      <c r="C646" s="27"/>
      <c r="D646" s="27"/>
      <c r="E646" s="27"/>
      <c r="F646" s="27"/>
      <c r="G646" s="27"/>
      <c r="H646" s="27"/>
      <c r="I646" s="27"/>
      <c r="J646" s="27"/>
    </row>
    <row r="647" spans="1:10">
      <c r="A647" s="27"/>
      <c r="B647" s="27"/>
      <c r="C647" s="27"/>
      <c r="D647" s="27"/>
      <c r="E647" s="27"/>
      <c r="F647" s="27"/>
      <c r="G647" s="27"/>
      <c r="H647" s="27"/>
      <c r="I647" s="27"/>
      <c r="J647" s="27"/>
    </row>
    <row r="648" spans="1:10">
      <c r="A648" s="27"/>
      <c r="B648" s="27"/>
      <c r="C648" s="27"/>
      <c r="D648" s="27"/>
      <c r="E648" s="27"/>
      <c r="F648" s="27"/>
      <c r="G648" s="27"/>
      <c r="H648" s="27"/>
      <c r="I648" s="27"/>
      <c r="J648" s="27"/>
    </row>
    <row r="649" spans="1:10">
      <c r="A649" s="27"/>
      <c r="B649" s="27"/>
      <c r="C649" s="27"/>
      <c r="D649" s="27"/>
      <c r="E649" s="27"/>
      <c r="F649" s="27"/>
      <c r="G649" s="27"/>
      <c r="H649" s="27"/>
      <c r="I649" s="27"/>
      <c r="J649" s="27"/>
    </row>
    <row r="650" spans="1:10">
      <c r="A650" s="27"/>
      <c r="B650" s="27"/>
      <c r="C650" s="27"/>
      <c r="D650" s="27"/>
      <c r="E650" s="27"/>
      <c r="F650" s="27"/>
      <c r="G650" s="27"/>
      <c r="H650" s="27"/>
      <c r="I650" s="27"/>
      <c r="J650" s="27"/>
    </row>
    <row r="651" spans="1:10">
      <c r="A651" s="27"/>
      <c r="B651" s="27"/>
      <c r="C651" s="27"/>
      <c r="D651" s="27"/>
      <c r="E651" s="27"/>
      <c r="F651" s="27"/>
      <c r="G651" s="27"/>
      <c r="H651" s="27"/>
      <c r="I651" s="27"/>
      <c r="J651" s="27"/>
    </row>
    <row r="652" spans="1:10">
      <c r="A652" s="27"/>
      <c r="B652" s="27"/>
      <c r="C652" s="27"/>
      <c r="D652" s="27"/>
      <c r="E652" s="27"/>
      <c r="F652" s="27"/>
      <c r="G652" s="27"/>
      <c r="H652" s="27"/>
      <c r="I652" s="27"/>
      <c r="J652" s="27"/>
    </row>
    <row r="653" spans="1:10">
      <c r="A653" s="27"/>
      <c r="B653" s="27"/>
      <c r="C653" s="27"/>
      <c r="D653" s="27"/>
      <c r="E653" s="27"/>
      <c r="F653" s="27"/>
      <c r="G653" s="27"/>
      <c r="H653" s="27"/>
      <c r="I653" s="27"/>
      <c r="J653" s="27"/>
    </row>
    <row r="654" spans="1:10">
      <c r="A654" s="27"/>
      <c r="B654" s="27"/>
      <c r="C654" s="27"/>
      <c r="D654" s="27"/>
      <c r="E654" s="27"/>
      <c r="F654" s="27"/>
      <c r="G654" s="27"/>
      <c r="H654" s="27"/>
      <c r="I654" s="27"/>
      <c r="J654" s="27"/>
    </row>
    <row r="655" spans="1:10">
      <c r="A655" s="27"/>
      <c r="B655" s="27"/>
      <c r="C655" s="27"/>
      <c r="D655" s="27"/>
      <c r="E655" s="27"/>
      <c r="F655" s="27"/>
      <c r="G655" s="27"/>
      <c r="H655" s="27"/>
      <c r="I655" s="27"/>
      <c r="J655" s="27"/>
    </row>
    <row r="656" spans="1:10">
      <c r="A656" s="27"/>
      <c r="B656" s="27"/>
      <c r="C656" s="27"/>
      <c r="D656" s="27"/>
      <c r="E656" s="27"/>
      <c r="F656" s="27"/>
      <c r="G656" s="27"/>
      <c r="H656" s="27"/>
      <c r="I656" s="27"/>
      <c r="J656" s="27"/>
    </row>
    <row r="657" spans="1:10">
      <c r="A657" s="27"/>
      <c r="B657" s="27"/>
      <c r="C657" s="27"/>
      <c r="D657" s="27"/>
      <c r="E657" s="27"/>
      <c r="F657" s="27"/>
      <c r="G657" s="27"/>
      <c r="H657" s="27"/>
      <c r="I657" s="27"/>
      <c r="J657" s="27"/>
    </row>
    <row r="658" spans="1:10">
      <c r="A658" s="27"/>
      <c r="B658" s="27"/>
      <c r="C658" s="27"/>
      <c r="D658" s="27"/>
      <c r="E658" s="27"/>
      <c r="F658" s="27"/>
      <c r="G658" s="27"/>
      <c r="H658" s="27"/>
      <c r="I658" s="27"/>
      <c r="J658" s="27"/>
    </row>
  </sheetData>
  <sortState ref="D13:D54">
    <sortCondition ref="D13:D54"/>
  </sortState>
  <mergeCells count="1">
    <mergeCell ref="A1:I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6" topLeftCell="A29" activePane="bottomLeft" state="frozen"/>
      <selection pane="bottomLeft" activeCell="H44" sqref="H44"/>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24" t="s">
        <v>851</v>
      </c>
      <c r="B1" s="1025"/>
      <c r="C1" s="1025"/>
      <c r="D1" s="1025"/>
      <c r="E1" s="1025"/>
      <c r="F1" s="1025"/>
      <c r="G1" s="1025"/>
      <c r="H1" s="1188"/>
      <c r="I1" s="253"/>
      <c r="J1" s="253"/>
      <c r="K1" s="411" t="s">
        <v>761</v>
      </c>
      <c r="L1" s="252">
        <f>SUM(G7:G49)</f>
        <v>294.5</v>
      </c>
      <c r="M1" s="253" t="s">
        <v>87</v>
      </c>
    </row>
    <row r="2" spans="1:26" ht="18">
      <c r="A2" s="1027"/>
      <c r="B2" s="1028"/>
      <c r="C2" s="1028"/>
      <c r="D2" s="1028"/>
      <c r="E2" s="1028"/>
      <c r="F2" s="1028"/>
      <c r="G2" s="1028"/>
      <c r="H2" s="1189"/>
      <c r="J2" s="312"/>
      <c r="K2" s="412" t="s">
        <v>654</v>
      </c>
      <c r="L2" s="252">
        <f>SUM(H7:H49)</f>
        <v>158.63068181818184</v>
      </c>
      <c r="M2" s="253" t="s">
        <v>607</v>
      </c>
    </row>
    <row r="3" spans="1:26" ht="16.5" thickBot="1">
      <c r="A3" s="1030"/>
      <c r="B3" s="1031"/>
      <c r="C3" s="1031"/>
      <c r="D3" s="1031"/>
      <c r="E3" s="1031"/>
      <c r="F3" s="1031"/>
      <c r="G3" s="1031"/>
      <c r="H3" s="1190"/>
      <c r="I3" s="16"/>
      <c r="L3" s="7"/>
      <c r="M3" s="7"/>
      <c r="N3" s="7"/>
      <c r="O3" s="7"/>
      <c r="P3" s="7"/>
      <c r="Q3" s="7"/>
      <c r="R3" s="7"/>
      <c r="S3" s="7"/>
      <c r="T3" s="7"/>
      <c r="U3" s="7"/>
      <c r="V3" s="7"/>
      <c r="W3" s="7"/>
      <c r="X3" s="7"/>
      <c r="Y3" s="7"/>
      <c r="Z3" s="7"/>
    </row>
    <row r="4" spans="1:26" ht="15.75" customHeight="1">
      <c r="A4" s="43"/>
      <c r="B4" s="45"/>
      <c r="C4" s="44" t="s">
        <v>204</v>
      </c>
      <c r="D4" s="45"/>
      <c r="E4" s="46"/>
      <c r="F4" s="44"/>
      <c r="G4" s="45"/>
      <c r="H4" s="206"/>
      <c r="I4" s="4" t="s">
        <v>604</v>
      </c>
      <c r="J4" s="4" t="s">
        <v>604</v>
      </c>
      <c r="K4" s="4" t="s">
        <v>604</v>
      </c>
      <c r="L4" s="81"/>
      <c r="O4" s="80"/>
      <c r="U4" s="80"/>
      <c r="Y4" s="80"/>
    </row>
    <row r="5" spans="1:26" ht="15.75">
      <c r="A5" s="47" t="s">
        <v>180</v>
      </c>
      <c r="B5" s="48"/>
      <c r="C5" s="48" t="s">
        <v>137</v>
      </c>
      <c r="D5" s="48"/>
      <c r="E5" s="48"/>
      <c r="F5" s="48" t="s">
        <v>183</v>
      </c>
      <c r="G5" s="48" t="s">
        <v>184</v>
      </c>
      <c r="H5" s="207" t="s">
        <v>540</v>
      </c>
      <c r="I5" s="4" t="s">
        <v>605</v>
      </c>
      <c r="J5" s="4" t="s">
        <v>605</v>
      </c>
      <c r="K5" s="4" t="s">
        <v>605</v>
      </c>
      <c r="L5" s="81"/>
      <c r="M5" s="250"/>
      <c r="O5" s="80"/>
      <c r="Q5" s="250"/>
      <c r="U5" s="32"/>
      <c r="Y5" s="80"/>
    </row>
    <row r="6" spans="1:26" ht="16.5" thickBot="1">
      <c r="A6" s="49" t="s">
        <v>181</v>
      </c>
      <c r="B6" s="50" t="s">
        <v>136</v>
      </c>
      <c r="C6" s="51" t="s">
        <v>138</v>
      </c>
      <c r="D6" s="50" t="s">
        <v>139</v>
      </c>
      <c r="E6" s="50" t="s">
        <v>140</v>
      </c>
      <c r="F6" s="51" t="s">
        <v>141</v>
      </c>
      <c r="G6" s="51" t="s">
        <v>142</v>
      </c>
      <c r="H6" s="208" t="s">
        <v>587</v>
      </c>
      <c r="I6" s="4" t="s">
        <v>602</v>
      </c>
      <c r="J6" s="249" t="s">
        <v>603</v>
      </c>
      <c r="K6" s="249" t="s">
        <v>651</v>
      </c>
      <c r="L6" s="81"/>
      <c r="O6" s="80"/>
      <c r="P6" s="1"/>
      <c r="Q6" s="251"/>
      <c r="R6" s="1"/>
      <c r="X6" s="1"/>
      <c r="Y6" s="251"/>
      <c r="Z6" s="1"/>
    </row>
    <row r="7" spans="1:26" ht="15.75" thickTop="1">
      <c r="A7" s="475">
        <v>1</v>
      </c>
      <c r="B7" s="616">
        <v>20234</v>
      </c>
      <c r="C7" s="617">
        <v>0.63680555555555551</v>
      </c>
      <c r="D7" s="618" t="s">
        <v>121</v>
      </c>
      <c r="E7" s="619" t="s">
        <v>126</v>
      </c>
      <c r="F7" s="620">
        <v>1100</v>
      </c>
      <c r="G7" s="620">
        <v>17</v>
      </c>
      <c r="H7" s="835">
        <f>+(F7/1760)*G7</f>
        <v>10.625</v>
      </c>
      <c r="I7" s="1">
        <f>LN(F7)</f>
        <v>7.0030654587864616</v>
      </c>
      <c r="J7" s="1">
        <f>LN(G7)</f>
        <v>2.8332133440562162</v>
      </c>
      <c r="K7" s="1">
        <f>LN(H7)</f>
        <v>2.3632097148104805</v>
      </c>
    </row>
    <row r="8" spans="1:26">
      <c r="A8" s="475">
        <f>+A7+1</f>
        <v>2</v>
      </c>
      <c r="B8" s="477">
        <v>20234</v>
      </c>
      <c r="C8" s="480">
        <v>0.64930555555555558</v>
      </c>
      <c r="D8" s="476" t="s">
        <v>116</v>
      </c>
      <c r="E8" s="478" t="s">
        <v>126</v>
      </c>
      <c r="F8" s="479">
        <v>1100</v>
      </c>
      <c r="G8" s="479">
        <v>17.5</v>
      </c>
      <c r="H8" s="836">
        <f>+(F8/1760)*G8</f>
        <v>10.9375</v>
      </c>
      <c r="I8" s="1">
        <f t="shared" ref="I8:J40" si="0">LN(F8)</f>
        <v>7.0030654587864616</v>
      </c>
      <c r="J8" s="1">
        <f t="shared" si="0"/>
        <v>2.8622008809294686</v>
      </c>
      <c r="K8" s="1">
        <f t="shared" ref="K8:K40" si="1">LN(H8)</f>
        <v>2.3921972516837329</v>
      </c>
    </row>
    <row r="9" spans="1:26">
      <c r="A9" s="483">
        <f t="shared" ref="A9:A29" si="2">+A8+1</f>
        <v>3</v>
      </c>
      <c r="B9" s="485">
        <v>25675</v>
      </c>
      <c r="C9" s="473">
        <v>0.94444444444444453</v>
      </c>
      <c r="D9" s="484" t="s">
        <v>118</v>
      </c>
      <c r="E9" s="472" t="s">
        <v>126</v>
      </c>
      <c r="F9" s="486">
        <v>75</v>
      </c>
      <c r="G9" s="486">
        <v>20</v>
      </c>
      <c r="H9" s="831">
        <f t="shared" ref="H9:H40" si="3">+(F9/1760)*G9</f>
        <v>0.85227272727272718</v>
      </c>
      <c r="I9" s="1">
        <f t="shared" si="0"/>
        <v>4.3174881135363101</v>
      </c>
      <c r="J9" s="1">
        <f t="shared" si="0"/>
        <v>2.9957322735539909</v>
      </c>
      <c r="K9" s="1">
        <f t="shared" si="1"/>
        <v>-0.15984870094189613</v>
      </c>
    </row>
    <row r="10" spans="1:26">
      <c r="A10" s="483">
        <f t="shared" si="2"/>
        <v>4</v>
      </c>
      <c r="B10" s="485">
        <v>25675</v>
      </c>
      <c r="C10" s="473">
        <v>0.99097222222222225</v>
      </c>
      <c r="D10" s="484" t="s">
        <v>120</v>
      </c>
      <c r="E10" s="472" t="s">
        <v>126</v>
      </c>
      <c r="F10" s="486">
        <v>880</v>
      </c>
      <c r="G10" s="486">
        <v>12</v>
      </c>
      <c r="H10" s="831">
        <f t="shared" si="3"/>
        <v>6</v>
      </c>
      <c r="I10" s="1">
        <f t="shared" si="0"/>
        <v>6.7799219074722519</v>
      </c>
      <c r="J10" s="1">
        <f t="shared" si="0"/>
        <v>2.4849066497880004</v>
      </c>
      <c r="K10" s="1">
        <f t="shared" si="1"/>
        <v>1.791759469228055</v>
      </c>
    </row>
    <row r="11" spans="1:26">
      <c r="A11" s="483">
        <f t="shared" si="2"/>
        <v>5</v>
      </c>
      <c r="B11" s="485">
        <v>25676</v>
      </c>
      <c r="C11" s="473">
        <v>1.7361111111111112E-2</v>
      </c>
      <c r="D11" s="484" t="s">
        <v>115</v>
      </c>
      <c r="E11" s="472" t="s">
        <v>126</v>
      </c>
      <c r="F11" s="486">
        <v>880</v>
      </c>
      <c r="G11" s="486">
        <v>20</v>
      </c>
      <c r="H11" s="831">
        <f t="shared" si="3"/>
        <v>10</v>
      </c>
      <c r="I11" s="1">
        <f t="shared" si="0"/>
        <v>6.7799219074722519</v>
      </c>
      <c r="J11" s="1">
        <f t="shared" si="0"/>
        <v>2.9957322735539909</v>
      </c>
      <c r="K11" s="1">
        <f t="shared" si="1"/>
        <v>2.3025850929940459</v>
      </c>
    </row>
    <row r="12" spans="1:26">
      <c r="A12" s="483">
        <f t="shared" si="2"/>
        <v>6</v>
      </c>
      <c r="B12" s="485">
        <v>25676</v>
      </c>
      <c r="C12" s="473">
        <v>7.5694444444444439E-2</v>
      </c>
      <c r="D12" s="484" t="s">
        <v>120</v>
      </c>
      <c r="E12" s="472" t="s">
        <v>126</v>
      </c>
      <c r="F12" s="486">
        <v>880</v>
      </c>
      <c r="G12" s="486">
        <v>5</v>
      </c>
      <c r="H12" s="831">
        <f t="shared" si="3"/>
        <v>2.5</v>
      </c>
      <c r="I12" s="1">
        <f t="shared" si="0"/>
        <v>6.7799219074722519</v>
      </c>
      <c r="J12" s="1">
        <f t="shared" si="0"/>
        <v>1.6094379124341003</v>
      </c>
      <c r="K12" s="1">
        <f t="shared" si="1"/>
        <v>0.91629073187415511</v>
      </c>
    </row>
    <row r="13" spans="1:26">
      <c r="A13" s="483">
        <f t="shared" si="2"/>
        <v>7</v>
      </c>
      <c r="B13" s="485">
        <v>25676</v>
      </c>
      <c r="C13" s="473">
        <v>8.4027777777777771E-2</v>
      </c>
      <c r="D13" s="484" t="s">
        <v>120</v>
      </c>
      <c r="E13" s="472" t="s">
        <v>126</v>
      </c>
      <c r="F13" s="486">
        <v>880</v>
      </c>
      <c r="G13" s="486">
        <v>5</v>
      </c>
      <c r="H13" s="831">
        <f t="shared" si="3"/>
        <v>2.5</v>
      </c>
      <c r="I13" s="1">
        <f t="shared" si="0"/>
        <v>6.7799219074722519</v>
      </c>
      <c r="J13" s="1">
        <f t="shared" si="0"/>
        <v>1.6094379124341003</v>
      </c>
      <c r="K13" s="1">
        <f t="shared" si="1"/>
        <v>0.91629073187415511</v>
      </c>
    </row>
    <row r="14" spans="1:26">
      <c r="A14" s="483">
        <f t="shared" si="2"/>
        <v>8</v>
      </c>
      <c r="B14" s="485">
        <v>25676</v>
      </c>
      <c r="C14" s="473">
        <v>8.9583333333333334E-2</v>
      </c>
      <c r="D14" s="484" t="s">
        <v>120</v>
      </c>
      <c r="E14" s="472" t="s">
        <v>126</v>
      </c>
      <c r="F14" s="486">
        <v>880</v>
      </c>
      <c r="G14" s="486">
        <v>17</v>
      </c>
      <c r="H14" s="831">
        <f t="shared" si="3"/>
        <v>8.5</v>
      </c>
      <c r="I14" s="1">
        <f t="shared" si="0"/>
        <v>6.7799219074722519</v>
      </c>
      <c r="J14" s="1">
        <f t="shared" si="0"/>
        <v>2.8332133440562162</v>
      </c>
      <c r="K14" s="1">
        <f t="shared" si="1"/>
        <v>2.1400661634962708</v>
      </c>
    </row>
    <row r="15" spans="1:26">
      <c r="A15" s="483">
        <f t="shared" si="2"/>
        <v>9</v>
      </c>
      <c r="B15" s="485">
        <v>25676</v>
      </c>
      <c r="C15" s="473">
        <v>0.11319444444444444</v>
      </c>
      <c r="D15" s="484" t="s">
        <v>115</v>
      </c>
      <c r="E15" s="472" t="s">
        <v>126</v>
      </c>
      <c r="F15" s="486">
        <v>880</v>
      </c>
      <c r="G15" s="486">
        <v>6</v>
      </c>
      <c r="H15" s="831">
        <f t="shared" si="3"/>
        <v>3</v>
      </c>
      <c r="I15" s="1">
        <f t="shared" si="0"/>
        <v>6.7799219074722519</v>
      </c>
      <c r="J15" s="1">
        <f t="shared" si="0"/>
        <v>1.791759469228055</v>
      </c>
      <c r="K15" s="1">
        <f t="shared" si="1"/>
        <v>1.0986122886681098</v>
      </c>
    </row>
    <row r="16" spans="1:26">
      <c r="A16" s="483">
        <f t="shared" si="2"/>
        <v>10</v>
      </c>
      <c r="B16" s="485">
        <v>26093</v>
      </c>
      <c r="C16" s="473">
        <v>0.70833333333333337</v>
      </c>
      <c r="D16" s="484" t="s">
        <v>103</v>
      </c>
      <c r="E16" s="472" t="s">
        <v>126</v>
      </c>
      <c r="F16" s="486">
        <v>1320</v>
      </c>
      <c r="G16" s="486">
        <v>5.9</v>
      </c>
      <c r="H16" s="831">
        <f t="shared" si="3"/>
        <v>4.4250000000000007</v>
      </c>
      <c r="I16" s="1">
        <f t="shared" si="0"/>
        <v>7.1853870155804165</v>
      </c>
      <c r="J16" s="1">
        <f t="shared" si="0"/>
        <v>1.7749523509116738</v>
      </c>
      <c r="K16" s="1">
        <f t="shared" si="1"/>
        <v>1.487270278459893</v>
      </c>
    </row>
    <row r="17" spans="1:11">
      <c r="A17" s="483">
        <f t="shared" si="2"/>
        <v>11</v>
      </c>
      <c r="B17" s="485">
        <v>26093</v>
      </c>
      <c r="C17" s="473">
        <v>0.86805555555555547</v>
      </c>
      <c r="D17" s="484" t="s">
        <v>104</v>
      </c>
      <c r="E17" s="472" t="s">
        <v>126</v>
      </c>
      <c r="F17" s="486">
        <v>1760</v>
      </c>
      <c r="G17" s="486">
        <v>15.9</v>
      </c>
      <c r="H17" s="831">
        <f t="shared" si="3"/>
        <v>15.9</v>
      </c>
      <c r="I17" s="1">
        <f t="shared" si="0"/>
        <v>7.4730690880321973</v>
      </c>
      <c r="J17" s="1">
        <f t="shared" si="0"/>
        <v>2.7663191092261861</v>
      </c>
      <c r="K17" s="1">
        <f t="shared" si="1"/>
        <v>2.7663191092261861</v>
      </c>
    </row>
    <row r="18" spans="1:11">
      <c r="A18" s="483">
        <f t="shared" si="2"/>
        <v>12</v>
      </c>
      <c r="B18" s="485">
        <v>28263</v>
      </c>
      <c r="C18" s="473">
        <v>0.53472222222222221</v>
      </c>
      <c r="D18" s="484" t="s">
        <v>99</v>
      </c>
      <c r="E18" s="472" t="s">
        <v>126</v>
      </c>
      <c r="F18" s="486">
        <v>440</v>
      </c>
      <c r="G18" s="486">
        <v>29.3</v>
      </c>
      <c r="H18" s="831">
        <f t="shared" si="3"/>
        <v>7.3250000000000002</v>
      </c>
      <c r="I18" s="1">
        <f t="shared" si="0"/>
        <v>6.0867747269123065</v>
      </c>
      <c r="J18" s="1">
        <f t="shared" si="0"/>
        <v>3.3775875160230218</v>
      </c>
      <c r="K18" s="1">
        <f t="shared" si="1"/>
        <v>1.991293154903131</v>
      </c>
    </row>
    <row r="19" spans="1:11">
      <c r="A19" s="483">
        <f t="shared" si="2"/>
        <v>13</v>
      </c>
      <c r="B19" s="485">
        <v>30028</v>
      </c>
      <c r="C19" s="473">
        <v>0.99652777777777779</v>
      </c>
      <c r="D19" s="484" t="s">
        <v>108</v>
      </c>
      <c r="E19" s="472" t="s">
        <v>126</v>
      </c>
      <c r="F19" s="486">
        <v>880</v>
      </c>
      <c r="G19" s="486">
        <v>5.9</v>
      </c>
      <c r="H19" s="831">
        <f t="shared" si="3"/>
        <v>2.95</v>
      </c>
      <c r="I19" s="1">
        <f t="shared" si="0"/>
        <v>6.7799219074722519</v>
      </c>
      <c r="J19" s="1">
        <f t="shared" si="0"/>
        <v>1.7749523509116738</v>
      </c>
      <c r="K19" s="1">
        <f t="shared" si="1"/>
        <v>1.0818051703517284</v>
      </c>
    </row>
    <row r="20" spans="1:11">
      <c r="A20" s="483">
        <f t="shared" si="2"/>
        <v>14</v>
      </c>
      <c r="B20" s="485">
        <v>30029</v>
      </c>
      <c r="C20" s="473">
        <v>6.9444444444444447E-4</v>
      </c>
      <c r="D20" s="484" t="s">
        <v>104</v>
      </c>
      <c r="E20" s="472" t="s">
        <v>126</v>
      </c>
      <c r="F20" s="486">
        <v>880</v>
      </c>
      <c r="G20" s="486">
        <v>48</v>
      </c>
      <c r="H20" s="831">
        <f t="shared" si="3"/>
        <v>24</v>
      </c>
      <c r="I20" s="1">
        <f t="shared" si="0"/>
        <v>6.7799219074722519</v>
      </c>
      <c r="J20" s="1">
        <f t="shared" si="0"/>
        <v>3.8712010109078911</v>
      </c>
      <c r="K20" s="1">
        <f t="shared" si="1"/>
        <v>3.1780538303479458</v>
      </c>
    </row>
    <row r="21" spans="1:11">
      <c r="A21" s="483">
        <f t="shared" si="2"/>
        <v>15</v>
      </c>
      <c r="B21" s="485">
        <v>30029</v>
      </c>
      <c r="C21" s="473">
        <v>3.4722222222222224E-2</v>
      </c>
      <c r="D21" s="484" t="s">
        <v>105</v>
      </c>
      <c r="E21" s="472" t="s">
        <v>126</v>
      </c>
      <c r="F21" s="486">
        <v>880</v>
      </c>
      <c r="G21" s="486">
        <v>5</v>
      </c>
      <c r="H21" s="831">
        <f t="shared" si="3"/>
        <v>2.5</v>
      </c>
      <c r="I21" s="1">
        <f t="shared" si="0"/>
        <v>6.7799219074722519</v>
      </c>
      <c r="J21" s="1">
        <f t="shared" si="0"/>
        <v>1.6094379124341003</v>
      </c>
      <c r="K21" s="1">
        <f t="shared" si="1"/>
        <v>0.91629073187415511</v>
      </c>
    </row>
    <row r="22" spans="1:11">
      <c r="A22" s="483">
        <f t="shared" si="2"/>
        <v>16</v>
      </c>
      <c r="B22" s="485">
        <v>33782</v>
      </c>
      <c r="C22" s="473">
        <v>0.7715277777777777</v>
      </c>
      <c r="D22" s="484" t="s">
        <v>108</v>
      </c>
      <c r="E22" s="472" t="s">
        <v>126</v>
      </c>
      <c r="F22" s="486">
        <v>1583</v>
      </c>
      <c r="G22" s="486">
        <v>10</v>
      </c>
      <c r="H22" s="831">
        <f t="shared" si="3"/>
        <v>8.9943181818181817</v>
      </c>
      <c r="I22" s="1">
        <f t="shared" si="0"/>
        <v>7.3670770598810122</v>
      </c>
      <c r="J22" s="1">
        <f t="shared" si="0"/>
        <v>2.3025850929940459</v>
      </c>
      <c r="K22" s="1">
        <f t="shared" si="1"/>
        <v>2.1965930648428604</v>
      </c>
    </row>
    <row r="23" spans="1:11">
      <c r="A23" s="483">
        <f t="shared" si="2"/>
        <v>17</v>
      </c>
      <c r="B23" s="485">
        <v>33782</v>
      </c>
      <c r="C23" s="473">
        <v>0.78819444444444453</v>
      </c>
      <c r="D23" s="484" t="s">
        <v>109</v>
      </c>
      <c r="E23" s="472" t="s">
        <v>126</v>
      </c>
      <c r="F23" s="486">
        <v>1583</v>
      </c>
      <c r="G23" s="486">
        <v>3</v>
      </c>
      <c r="H23" s="831">
        <f t="shared" si="3"/>
        <v>2.6982954545454545</v>
      </c>
      <c r="I23" s="1">
        <f t="shared" si="0"/>
        <v>7.3670770598810122</v>
      </c>
      <c r="J23" s="1">
        <f t="shared" si="0"/>
        <v>1.0986122886681098</v>
      </c>
      <c r="K23" s="1">
        <f t="shared" si="1"/>
        <v>0.99262026051692431</v>
      </c>
    </row>
    <row r="24" spans="1:11">
      <c r="A24" s="483">
        <f t="shared" si="2"/>
        <v>18</v>
      </c>
      <c r="B24" s="485">
        <v>33782</v>
      </c>
      <c r="C24" s="473">
        <v>0.79861111111111116</v>
      </c>
      <c r="D24" s="484" t="s">
        <v>114</v>
      </c>
      <c r="E24" s="472" t="s">
        <v>126</v>
      </c>
      <c r="F24" s="486">
        <v>1583</v>
      </c>
      <c r="G24" s="486">
        <v>5</v>
      </c>
      <c r="H24" s="831">
        <f t="shared" si="3"/>
        <v>4.4971590909090908</v>
      </c>
      <c r="I24" s="1">
        <f t="shared" si="0"/>
        <v>7.3670770598810122</v>
      </c>
      <c r="J24" s="1">
        <f t="shared" si="0"/>
        <v>1.6094379124341003</v>
      </c>
      <c r="K24" s="1">
        <f t="shared" si="1"/>
        <v>1.503445884282915</v>
      </c>
    </row>
    <row r="25" spans="1:11">
      <c r="A25" s="483">
        <f t="shared" si="2"/>
        <v>19</v>
      </c>
      <c r="B25" s="485">
        <v>34858</v>
      </c>
      <c r="C25" s="473">
        <v>0.64652777777777781</v>
      </c>
      <c r="D25" s="484" t="s">
        <v>115</v>
      </c>
      <c r="E25" s="472" t="s">
        <v>126</v>
      </c>
      <c r="F25" s="486">
        <v>200</v>
      </c>
      <c r="G25" s="486">
        <v>3</v>
      </c>
      <c r="H25" s="831">
        <f t="shared" si="3"/>
        <v>0.34090909090909088</v>
      </c>
      <c r="I25" s="1">
        <f t="shared" si="0"/>
        <v>5.2983173665480363</v>
      </c>
      <c r="J25" s="1">
        <f t="shared" si="0"/>
        <v>1.0986122886681098</v>
      </c>
      <c r="K25" s="1">
        <f t="shared" si="1"/>
        <v>-1.0761394328160512</v>
      </c>
    </row>
    <row r="26" spans="1:11">
      <c r="A26" s="483">
        <f t="shared" si="2"/>
        <v>20</v>
      </c>
      <c r="B26" s="485">
        <v>34858</v>
      </c>
      <c r="C26" s="473">
        <v>0.73263888888888884</v>
      </c>
      <c r="D26" s="484" t="s">
        <v>115</v>
      </c>
      <c r="E26" s="472" t="s">
        <v>126</v>
      </c>
      <c r="F26" s="486">
        <v>600</v>
      </c>
      <c r="G26" s="486">
        <v>5</v>
      </c>
      <c r="H26" s="831">
        <f t="shared" si="3"/>
        <v>1.7045454545454544</v>
      </c>
      <c r="I26" s="1">
        <f t="shared" si="0"/>
        <v>6.3969296552161463</v>
      </c>
      <c r="J26" s="1">
        <f t="shared" si="0"/>
        <v>1.6094379124341003</v>
      </c>
      <c r="K26" s="1">
        <f t="shared" si="1"/>
        <v>0.53329847961804921</v>
      </c>
    </row>
    <row r="27" spans="1:11">
      <c r="A27" s="483">
        <f t="shared" si="2"/>
        <v>21</v>
      </c>
      <c r="B27" s="485">
        <v>34858</v>
      </c>
      <c r="C27" s="473">
        <v>0.74652777777777779</v>
      </c>
      <c r="D27" s="484" t="s">
        <v>116</v>
      </c>
      <c r="E27" s="472" t="s">
        <v>126</v>
      </c>
      <c r="F27" s="486">
        <v>800</v>
      </c>
      <c r="G27" s="486">
        <v>24</v>
      </c>
      <c r="H27" s="831">
        <f t="shared" si="3"/>
        <v>10.909090909090908</v>
      </c>
      <c r="I27" s="1">
        <f t="shared" si="0"/>
        <v>6.6846117276679271</v>
      </c>
      <c r="J27" s="1">
        <f t="shared" si="0"/>
        <v>3.1780538303479458</v>
      </c>
      <c r="K27" s="1">
        <f t="shared" si="1"/>
        <v>2.3895964699836756</v>
      </c>
    </row>
    <row r="28" spans="1:11">
      <c r="A28" s="483">
        <f t="shared" si="2"/>
        <v>22</v>
      </c>
      <c r="B28" s="485">
        <v>34858</v>
      </c>
      <c r="C28" s="473">
        <v>0.78125</v>
      </c>
      <c r="D28" s="484" t="s">
        <v>116</v>
      </c>
      <c r="E28" s="472" t="s">
        <v>126</v>
      </c>
      <c r="F28" s="486">
        <v>2200</v>
      </c>
      <c r="G28" s="486">
        <v>10</v>
      </c>
      <c r="H28" s="831">
        <f t="shared" si="3"/>
        <v>12.5</v>
      </c>
      <c r="I28" s="1">
        <f t="shared" si="0"/>
        <v>7.696212639346407</v>
      </c>
      <c r="J28" s="1">
        <f t="shared" si="0"/>
        <v>2.3025850929940459</v>
      </c>
      <c r="K28" s="1">
        <f t="shared" si="1"/>
        <v>2.5257286443082556</v>
      </c>
    </row>
    <row r="29" spans="1:11">
      <c r="A29" s="483">
        <f t="shared" si="2"/>
        <v>23</v>
      </c>
      <c r="B29" s="485">
        <v>34858</v>
      </c>
      <c r="C29" s="473">
        <v>0.80208333333333337</v>
      </c>
      <c r="D29" s="484" t="s">
        <v>111</v>
      </c>
      <c r="E29" s="472" t="s">
        <v>126</v>
      </c>
      <c r="F29" s="486">
        <v>1750</v>
      </c>
      <c r="G29" s="486">
        <v>5</v>
      </c>
      <c r="H29" s="831">
        <f t="shared" si="3"/>
        <v>4.9715909090909092</v>
      </c>
      <c r="I29" s="1">
        <f t="shared" si="0"/>
        <v>7.4673710669175595</v>
      </c>
      <c r="J29" s="1">
        <f t="shared" si="0"/>
        <v>1.6094379124341003</v>
      </c>
      <c r="K29" s="1">
        <f t="shared" si="1"/>
        <v>1.6037398913194627</v>
      </c>
    </row>
    <row r="30" spans="1:11">
      <c r="A30" s="483"/>
      <c r="B30" s="76"/>
      <c r="C30" s="76"/>
      <c r="D30" s="76"/>
      <c r="E30" s="667" t="s">
        <v>188</v>
      </c>
      <c r="F30" s="76"/>
      <c r="G30" s="76"/>
      <c r="H30" s="830">
        <f t="shared" si="3"/>
        <v>0</v>
      </c>
      <c r="I30" s="1" t="e">
        <f t="shared" si="0"/>
        <v>#NUM!</v>
      </c>
      <c r="J30" s="1" t="e">
        <f t="shared" si="0"/>
        <v>#NUM!</v>
      </c>
      <c r="K30" s="1" t="e">
        <f t="shared" si="1"/>
        <v>#NUM!</v>
      </c>
    </row>
    <row r="31" spans="1:11">
      <c r="A31" s="483"/>
      <c r="B31" s="76"/>
      <c r="C31" s="76"/>
      <c r="D31" s="76"/>
      <c r="E31" s="667" t="s">
        <v>188</v>
      </c>
      <c r="F31" s="76"/>
      <c r="G31" s="76"/>
      <c r="H31" s="830">
        <f t="shared" si="3"/>
        <v>0</v>
      </c>
      <c r="I31" s="1" t="e">
        <f t="shared" si="0"/>
        <v>#NUM!</v>
      </c>
      <c r="J31" s="1" t="e">
        <f t="shared" si="0"/>
        <v>#NUM!</v>
      </c>
      <c r="K31" s="1" t="e">
        <f t="shared" si="1"/>
        <v>#NUM!</v>
      </c>
    </row>
    <row r="32" spans="1:11">
      <c r="A32" s="483"/>
      <c r="B32" s="76"/>
      <c r="C32" s="76"/>
      <c r="D32" s="76"/>
      <c r="E32" s="667" t="s">
        <v>188</v>
      </c>
      <c r="F32" s="76"/>
      <c r="G32" s="76"/>
      <c r="H32" s="830">
        <f t="shared" si="3"/>
        <v>0</v>
      </c>
      <c r="I32" s="1" t="e">
        <f t="shared" si="0"/>
        <v>#NUM!</v>
      </c>
      <c r="J32" s="1" t="e">
        <f t="shared" si="0"/>
        <v>#NUM!</v>
      </c>
      <c r="K32" s="1" t="e">
        <f t="shared" si="1"/>
        <v>#NUM!</v>
      </c>
    </row>
    <row r="33" spans="1:12">
      <c r="A33" s="483"/>
      <c r="B33" s="76"/>
      <c r="C33" s="76"/>
      <c r="D33" s="76"/>
      <c r="E33" s="667" t="s">
        <v>188</v>
      </c>
      <c r="F33" s="76"/>
      <c r="G33" s="76"/>
      <c r="H33" s="830">
        <f t="shared" si="3"/>
        <v>0</v>
      </c>
      <c r="I33" s="1" t="e">
        <f t="shared" si="0"/>
        <v>#NUM!</v>
      </c>
      <c r="J33" s="1" t="e">
        <f t="shared" si="0"/>
        <v>#NUM!</v>
      </c>
      <c r="K33" s="1" t="e">
        <f t="shared" si="1"/>
        <v>#NUM!</v>
      </c>
    </row>
    <row r="34" spans="1:12">
      <c r="A34" s="483"/>
      <c r="B34" s="76"/>
      <c r="C34" s="76"/>
      <c r="D34" s="76"/>
      <c r="E34" s="667" t="s">
        <v>188</v>
      </c>
      <c r="F34" s="76"/>
      <c r="G34" s="76"/>
      <c r="H34" s="830">
        <f t="shared" si="3"/>
        <v>0</v>
      </c>
      <c r="I34" s="1" t="e">
        <f t="shared" si="0"/>
        <v>#NUM!</v>
      </c>
      <c r="J34" s="1" t="e">
        <f t="shared" si="0"/>
        <v>#NUM!</v>
      </c>
      <c r="K34" s="1" t="e">
        <f t="shared" si="1"/>
        <v>#NUM!</v>
      </c>
    </row>
    <row r="35" spans="1:12">
      <c r="A35" s="483"/>
      <c r="B35" s="76"/>
      <c r="C35" s="76"/>
      <c r="D35" s="76"/>
      <c r="E35" s="667" t="s">
        <v>188</v>
      </c>
      <c r="F35" s="76"/>
      <c r="G35" s="76"/>
      <c r="H35" s="830">
        <f t="shared" si="3"/>
        <v>0</v>
      </c>
      <c r="I35" s="1" t="e">
        <f t="shared" si="0"/>
        <v>#NUM!</v>
      </c>
      <c r="J35" s="1" t="e">
        <f t="shared" si="0"/>
        <v>#NUM!</v>
      </c>
      <c r="K35" s="1" t="e">
        <f t="shared" si="1"/>
        <v>#NUM!</v>
      </c>
    </row>
    <row r="36" spans="1:12">
      <c r="A36" s="483"/>
      <c r="B36" s="76"/>
      <c r="C36" s="76"/>
      <c r="D36" s="76"/>
      <c r="E36" s="667" t="s">
        <v>188</v>
      </c>
      <c r="F36" s="76"/>
      <c r="G36" s="76"/>
      <c r="H36" s="830">
        <f t="shared" si="3"/>
        <v>0</v>
      </c>
      <c r="I36" s="1" t="e">
        <f t="shared" si="0"/>
        <v>#NUM!</v>
      </c>
      <c r="J36" s="1" t="e">
        <f t="shared" si="0"/>
        <v>#NUM!</v>
      </c>
      <c r="K36" s="1" t="e">
        <f t="shared" si="1"/>
        <v>#NUM!</v>
      </c>
    </row>
    <row r="37" spans="1:12">
      <c r="A37" s="483"/>
      <c r="B37" s="76"/>
      <c r="C37" s="76"/>
      <c r="D37" s="76"/>
      <c r="E37" s="667" t="s">
        <v>188</v>
      </c>
      <c r="F37" s="76"/>
      <c r="G37" s="76"/>
      <c r="H37" s="830">
        <f t="shared" si="3"/>
        <v>0</v>
      </c>
      <c r="I37" s="1" t="e">
        <f t="shared" si="0"/>
        <v>#NUM!</v>
      </c>
      <c r="J37" s="1" t="e">
        <f t="shared" si="0"/>
        <v>#NUM!</v>
      </c>
      <c r="K37" s="1" t="e">
        <f t="shared" si="1"/>
        <v>#NUM!</v>
      </c>
    </row>
    <row r="38" spans="1:12">
      <c r="A38" s="483"/>
      <c r="B38" s="76"/>
      <c r="C38" s="76"/>
      <c r="D38" s="76"/>
      <c r="E38" s="667" t="s">
        <v>188</v>
      </c>
      <c r="F38" s="76"/>
      <c r="G38" s="76"/>
      <c r="H38" s="830">
        <f t="shared" si="3"/>
        <v>0</v>
      </c>
      <c r="I38" s="1" t="e">
        <f t="shared" si="0"/>
        <v>#NUM!</v>
      </c>
      <c r="J38" s="1" t="e">
        <f t="shared" si="0"/>
        <v>#NUM!</v>
      </c>
      <c r="K38" s="1" t="e">
        <f t="shared" si="1"/>
        <v>#NUM!</v>
      </c>
    </row>
    <row r="39" spans="1:12">
      <c r="A39" s="483"/>
      <c r="B39" s="76"/>
      <c r="C39" s="76"/>
      <c r="D39" s="76"/>
      <c r="E39" s="667" t="s">
        <v>188</v>
      </c>
      <c r="F39" s="76"/>
      <c r="G39" s="76"/>
      <c r="H39" s="830">
        <f t="shared" si="3"/>
        <v>0</v>
      </c>
      <c r="I39" s="1" t="e">
        <f t="shared" si="0"/>
        <v>#NUM!</v>
      </c>
      <c r="J39" s="1" t="e">
        <f t="shared" si="0"/>
        <v>#NUM!</v>
      </c>
      <c r="K39" s="1" t="e">
        <f t="shared" si="1"/>
        <v>#NUM!</v>
      </c>
    </row>
    <row r="40" spans="1:12">
      <c r="A40" s="483"/>
      <c r="B40" s="76"/>
      <c r="C40" s="76"/>
      <c r="D40" s="76"/>
      <c r="E40" s="667" t="s">
        <v>188</v>
      </c>
      <c r="F40" s="76"/>
      <c r="G40" s="76"/>
      <c r="H40" s="830">
        <f t="shared" si="3"/>
        <v>0</v>
      </c>
      <c r="I40" s="1" t="e">
        <f t="shared" si="0"/>
        <v>#NUM!</v>
      </c>
      <c r="J40" s="1" t="e">
        <f t="shared" si="0"/>
        <v>#NUM!</v>
      </c>
      <c r="K40" s="1" t="e">
        <f t="shared" si="1"/>
        <v>#NUM!</v>
      </c>
    </row>
    <row r="41" spans="1:12">
      <c r="A41" s="483"/>
      <c r="B41" s="76"/>
      <c r="C41" s="76"/>
      <c r="D41" s="76"/>
      <c r="E41" s="667" t="s">
        <v>188</v>
      </c>
      <c r="F41" s="76"/>
      <c r="G41" s="76"/>
      <c r="H41" s="830">
        <f t="shared" ref="H41:H47" si="4">+(F41/1760)*G41</f>
        <v>0</v>
      </c>
      <c r="I41" s="1" t="e">
        <f t="shared" ref="I41:I47" si="5">LN(F41)</f>
        <v>#NUM!</v>
      </c>
      <c r="J41" s="1" t="e">
        <f t="shared" ref="J41:J47" si="6">LN(G41)</f>
        <v>#NUM!</v>
      </c>
      <c r="K41" s="1" t="e">
        <f t="shared" ref="K41:K47" si="7">LN(H41)</f>
        <v>#NUM!</v>
      </c>
    </row>
    <row r="42" spans="1:12">
      <c r="A42" s="483"/>
      <c r="B42" s="76"/>
      <c r="C42" s="76"/>
      <c r="D42" s="76"/>
      <c r="E42" s="667" t="s">
        <v>188</v>
      </c>
      <c r="F42" s="76"/>
      <c r="G42" s="76"/>
      <c r="H42" s="830">
        <f t="shared" si="4"/>
        <v>0</v>
      </c>
      <c r="I42" s="1" t="e">
        <f t="shared" si="5"/>
        <v>#NUM!</v>
      </c>
      <c r="J42" s="1" t="e">
        <f t="shared" si="6"/>
        <v>#NUM!</v>
      </c>
      <c r="K42" s="1" t="e">
        <f t="shared" si="7"/>
        <v>#NUM!</v>
      </c>
    </row>
    <row r="43" spans="1:12">
      <c r="A43" s="483"/>
      <c r="B43" s="76"/>
      <c r="C43" s="76"/>
      <c r="D43" s="76"/>
      <c r="E43" s="667" t="s">
        <v>188</v>
      </c>
      <c r="F43" s="76"/>
      <c r="G43" s="76"/>
      <c r="H43" s="830">
        <f t="shared" si="4"/>
        <v>0</v>
      </c>
      <c r="I43" s="1" t="e">
        <f t="shared" si="5"/>
        <v>#NUM!</v>
      </c>
      <c r="J43" s="1" t="e">
        <f t="shared" si="6"/>
        <v>#NUM!</v>
      </c>
      <c r="K43" s="1" t="e">
        <f t="shared" si="7"/>
        <v>#NUM!</v>
      </c>
    </row>
    <row r="44" spans="1:12">
      <c r="A44" s="483"/>
      <c r="B44" s="76"/>
      <c r="C44" s="76"/>
      <c r="D44" s="76"/>
      <c r="E44" s="667" t="s">
        <v>188</v>
      </c>
      <c r="F44" s="76"/>
      <c r="G44" s="76"/>
      <c r="H44" s="830">
        <f t="shared" si="4"/>
        <v>0</v>
      </c>
      <c r="I44" s="1" t="e">
        <f t="shared" si="5"/>
        <v>#NUM!</v>
      </c>
      <c r="J44" s="1" t="e">
        <f t="shared" si="6"/>
        <v>#NUM!</v>
      </c>
      <c r="K44" s="1" t="e">
        <f t="shared" si="7"/>
        <v>#NUM!</v>
      </c>
      <c r="L44" s="1"/>
    </row>
    <row r="45" spans="1:12">
      <c r="A45" s="483"/>
      <c r="B45" s="76"/>
      <c r="C45" s="76"/>
      <c r="D45" s="76"/>
      <c r="E45" s="667" t="s">
        <v>188</v>
      </c>
      <c r="F45" s="76"/>
      <c r="G45" s="76"/>
      <c r="H45" s="830">
        <f t="shared" si="4"/>
        <v>0</v>
      </c>
      <c r="I45" s="1" t="e">
        <f t="shared" si="5"/>
        <v>#NUM!</v>
      </c>
      <c r="J45" s="1" t="e">
        <f t="shared" si="6"/>
        <v>#NUM!</v>
      </c>
      <c r="K45" s="1" t="e">
        <f t="shared" si="7"/>
        <v>#NUM!</v>
      </c>
    </row>
    <row r="46" spans="1:12">
      <c r="A46" s="483"/>
      <c r="B46" s="76"/>
      <c r="C46" s="76"/>
      <c r="D46" s="76"/>
      <c r="E46" s="667" t="s">
        <v>188</v>
      </c>
      <c r="F46" s="76"/>
      <c r="G46" s="76"/>
      <c r="H46" s="830">
        <f t="shared" si="4"/>
        <v>0</v>
      </c>
      <c r="I46" s="1" t="e">
        <f t="shared" si="5"/>
        <v>#NUM!</v>
      </c>
      <c r="J46" s="1" t="e">
        <f t="shared" si="6"/>
        <v>#NUM!</v>
      </c>
      <c r="K46" s="1" t="e">
        <f t="shared" si="7"/>
        <v>#NUM!</v>
      </c>
    </row>
    <row r="47" spans="1:12">
      <c r="A47" s="483"/>
      <c r="B47" s="76"/>
      <c r="C47" s="76"/>
      <c r="D47" s="76"/>
      <c r="E47" s="667" t="s">
        <v>188</v>
      </c>
      <c r="F47" s="76"/>
      <c r="G47" s="76"/>
      <c r="H47" s="830">
        <f t="shared" si="4"/>
        <v>0</v>
      </c>
      <c r="I47" s="1" t="e">
        <f t="shared" si="5"/>
        <v>#NUM!</v>
      </c>
      <c r="J47" s="1" t="e">
        <f t="shared" si="6"/>
        <v>#NUM!</v>
      </c>
      <c r="K47" s="1" t="e">
        <f t="shared" si="7"/>
        <v>#NUM!</v>
      </c>
    </row>
    <row r="48" spans="1:12">
      <c r="A48" s="483"/>
      <c r="B48" s="76"/>
      <c r="C48" s="76"/>
      <c r="D48" s="76"/>
      <c r="E48" s="667" t="s">
        <v>188</v>
      </c>
      <c r="F48" s="76"/>
      <c r="G48" s="76"/>
      <c r="H48" s="830">
        <f>+(F48/1760)*G48</f>
        <v>0</v>
      </c>
      <c r="I48" s="1" t="e">
        <f t="shared" ref="I48:K49" si="8">LN(F48)</f>
        <v>#NUM!</v>
      </c>
      <c r="J48" s="1" t="e">
        <f t="shared" si="8"/>
        <v>#NUM!</v>
      </c>
      <c r="K48" s="1" t="e">
        <f t="shared" si="8"/>
        <v>#NUM!</v>
      </c>
    </row>
    <row r="49" spans="1:11">
      <c r="A49" s="483"/>
      <c r="B49" s="76"/>
      <c r="C49" s="76"/>
      <c r="D49" s="76"/>
      <c r="E49" s="667" t="s">
        <v>188</v>
      </c>
      <c r="F49" s="76"/>
      <c r="G49" s="76"/>
      <c r="H49" s="830">
        <f>+(F49/1760)*G49</f>
        <v>0</v>
      </c>
      <c r="I49" s="1" t="e">
        <f t="shared" si="8"/>
        <v>#NUM!</v>
      </c>
      <c r="J49" s="1" t="e">
        <f t="shared" si="8"/>
        <v>#NUM!</v>
      </c>
      <c r="K49" s="1" t="e">
        <f t="shared" si="8"/>
        <v>#NUM!</v>
      </c>
    </row>
  </sheetData>
  <customSheetViews>
    <customSheetView guid="{CFA9FB8A-52FF-44B9-AE70-27339693E196}" scale="90" topLeftCell="C1">
      <pane ySplit="6" topLeftCell="A7" activePane="bottomLeft" state="frozen"/>
      <selection pane="bottomLeft" activeCell="K2" sqref="K2"/>
      <pageMargins left="0.75" right="0.75" top="1" bottom="1" header="0.5" footer="0.5"/>
      <pageSetup orientation="portrait" r:id="rId1"/>
      <headerFooter alignWithMargins="0"/>
    </customSheetView>
  </customSheetViews>
  <mergeCells count="1">
    <mergeCell ref="A1:H3"/>
  </mergeCells>
  <phoneticPr fontId="18" type="noConversion"/>
  <dataValidations count="1">
    <dataValidation type="list" allowBlank="1" showInputMessage="1" showErrorMessage="1" sqref="D30:D49">
      <formula1>counties</formula1>
    </dataValidation>
  </dataValidations>
  <printOptions horizontalCentered="1"/>
  <pageMargins left="0.75" right="0.75" top="1.25" bottom="0.5" header="0.5" footer="0"/>
  <pageSetup scale="74" firstPageNumber="170" orientation="landscape" useFirstPageNumber="1" r:id="rId2"/>
  <headerFooter scaleWithDoc="0">
    <oddFooter>&amp;CPage &amp;P of 172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6"/>
  <sheetViews>
    <sheetView zoomScaleNormal="100" workbookViewId="0">
      <pane ySplit="2" topLeftCell="A132" activePane="bottomLeft" state="frozen"/>
      <selection pane="bottomLeft" activeCell="A47" sqref="A47:XFD47"/>
    </sheetView>
  </sheetViews>
  <sheetFormatPr defaultColWidth="0" defaultRowHeight="15" zeroHeight="1"/>
  <cols>
    <col min="1" max="1" width="3.6640625" style="262" customWidth="1"/>
    <col min="2" max="2" width="4.44140625" customWidth="1"/>
    <col min="3" max="3" width="59.6640625" customWidth="1"/>
    <col min="4" max="4" width="8.88671875" style="262" customWidth="1"/>
  </cols>
  <sheetData>
    <row r="1" spans="1:4" s="286" customFormat="1" ht="15.75" thickBot="1">
      <c r="A1" s="285"/>
      <c r="D1" s="273"/>
    </row>
    <row r="2" spans="1:4" s="260" customFormat="1" ht="29.25" customHeight="1" thickTop="1" thickBot="1">
      <c r="A2" s="263"/>
      <c r="B2" s="999" t="s">
        <v>618</v>
      </c>
      <c r="C2" s="1000"/>
      <c r="D2" s="263"/>
    </row>
    <row r="3" spans="1:4" ht="16.5" thickTop="1">
      <c r="B3" s="287"/>
      <c r="C3" s="288"/>
    </row>
    <row r="4" spans="1:4" ht="15.75">
      <c r="B4" s="287"/>
      <c r="C4" s="463" t="s">
        <v>836</v>
      </c>
    </row>
    <row r="5" spans="1:4" ht="15.75">
      <c r="B5" s="287"/>
      <c r="C5" s="463" t="s">
        <v>1058</v>
      </c>
    </row>
    <row r="6" spans="1:4">
      <c r="B6" s="291"/>
      <c r="C6" s="290"/>
    </row>
    <row r="7" spans="1:4" ht="15.75">
      <c r="B7" s="464">
        <v>1</v>
      </c>
      <c r="C7" s="562" t="s">
        <v>781</v>
      </c>
    </row>
    <row r="8" spans="1:4" ht="15.75">
      <c r="B8" s="464"/>
      <c r="C8" s="290" t="s">
        <v>629</v>
      </c>
    </row>
    <row r="9" spans="1:4" ht="15.75">
      <c r="B9" s="464"/>
      <c r="C9" s="290" t="s">
        <v>1602</v>
      </c>
    </row>
    <row r="10" spans="1:4" ht="15.75">
      <c r="B10" s="464"/>
      <c r="C10" s="290"/>
    </row>
    <row r="11" spans="1:4" ht="15.75">
      <c r="B11" s="464"/>
      <c r="C11" s="290"/>
    </row>
    <row r="12" spans="1:4" ht="15.75">
      <c r="B12" s="464">
        <v>2</v>
      </c>
      <c r="C12" s="562" t="s">
        <v>783</v>
      </c>
    </row>
    <row r="13" spans="1:4" ht="15.75">
      <c r="B13" s="464"/>
      <c r="C13" s="290" t="s">
        <v>776</v>
      </c>
    </row>
    <row r="14" spans="1:4" ht="15.75">
      <c r="B14" s="464"/>
      <c r="C14" s="290" t="s">
        <v>907</v>
      </c>
    </row>
    <row r="15" spans="1:4" ht="15.75">
      <c r="B15" s="464"/>
      <c r="C15" s="290" t="s">
        <v>775</v>
      </c>
    </row>
    <row r="16" spans="1:4" ht="15.75">
      <c r="B16" s="464"/>
      <c r="C16" s="290"/>
    </row>
    <row r="17" spans="2:3" ht="15.75">
      <c r="B17" s="464"/>
      <c r="C17" s="290"/>
    </row>
    <row r="18" spans="2:3" ht="15.75">
      <c r="B18" s="464">
        <v>3</v>
      </c>
      <c r="C18" s="562" t="s">
        <v>1038</v>
      </c>
    </row>
    <row r="19" spans="2:3" ht="15.75">
      <c r="B19" s="464"/>
      <c r="C19" s="290" t="s">
        <v>1371</v>
      </c>
    </row>
    <row r="20" spans="2:3" ht="15.75">
      <c r="B20" s="464"/>
      <c r="C20" s="290" t="s">
        <v>1370</v>
      </c>
    </row>
    <row r="21" spans="2:3" ht="15.75">
      <c r="B21" s="464"/>
      <c r="C21" s="290"/>
    </row>
    <row r="22" spans="2:3" ht="15.75">
      <c r="B22" s="464"/>
      <c r="C22" s="290"/>
    </row>
    <row r="23" spans="2:3" ht="15.75">
      <c r="B23" s="287">
        <v>4</v>
      </c>
      <c r="C23" s="562" t="s">
        <v>837</v>
      </c>
    </row>
    <row r="24" spans="2:3">
      <c r="B24" s="289" t="s">
        <v>838</v>
      </c>
      <c r="C24" s="293" t="s">
        <v>617</v>
      </c>
    </row>
    <row r="25" spans="2:3">
      <c r="B25" s="291"/>
      <c r="C25" s="294" t="s">
        <v>633</v>
      </c>
    </row>
    <row r="26" spans="2:3">
      <c r="B26" s="291"/>
      <c r="C26" s="294" t="s">
        <v>634</v>
      </c>
    </row>
    <row r="27" spans="2:3">
      <c r="B27" s="291"/>
      <c r="C27" s="294"/>
    </row>
    <row r="28" spans="2:3">
      <c r="B28" s="291"/>
      <c r="C28" s="294" t="s">
        <v>626</v>
      </c>
    </row>
    <row r="29" spans="2:3">
      <c r="B29" s="291"/>
      <c r="C29" s="294" t="s">
        <v>773</v>
      </c>
    </row>
    <row r="30" spans="2:3">
      <c r="B30" s="291"/>
      <c r="C30" s="294" t="s">
        <v>628</v>
      </c>
    </row>
    <row r="31" spans="2:3">
      <c r="B31" s="291"/>
      <c r="C31" s="290" t="s">
        <v>627</v>
      </c>
    </row>
    <row r="32" spans="2:3">
      <c r="B32" s="291"/>
      <c r="C32" s="290"/>
    </row>
    <row r="33" spans="2:3">
      <c r="B33" s="289" t="s">
        <v>839</v>
      </c>
      <c r="C33" s="293" t="s">
        <v>192</v>
      </c>
    </row>
    <row r="34" spans="2:3">
      <c r="B34" s="291"/>
      <c r="C34" s="290" t="s">
        <v>621</v>
      </c>
    </row>
    <row r="35" spans="2:3">
      <c r="B35" s="291"/>
      <c r="C35" s="290" t="s">
        <v>619</v>
      </c>
    </row>
    <row r="36" spans="2:3">
      <c r="B36" s="291"/>
      <c r="C36" s="290" t="s">
        <v>620</v>
      </c>
    </row>
    <row r="37" spans="2:3">
      <c r="B37" s="291"/>
      <c r="C37" s="290" t="s">
        <v>774</v>
      </c>
    </row>
    <row r="38" spans="2:3">
      <c r="B38" s="291"/>
      <c r="C38" s="290" t="s">
        <v>625</v>
      </c>
    </row>
    <row r="39" spans="2:3">
      <c r="B39" s="291"/>
      <c r="C39" s="290"/>
    </row>
    <row r="40" spans="2:3">
      <c r="B40" s="289" t="s">
        <v>840</v>
      </c>
      <c r="C40" s="293" t="s">
        <v>940</v>
      </c>
    </row>
    <row r="41" spans="2:3">
      <c r="B41" s="291"/>
      <c r="C41" s="290" t="s">
        <v>1376</v>
      </c>
    </row>
    <row r="42" spans="2:3">
      <c r="B42" s="291"/>
      <c r="C42" s="290" t="s">
        <v>1372</v>
      </c>
    </row>
    <row r="43" spans="2:3">
      <c r="B43" s="291"/>
      <c r="C43" s="290" t="s">
        <v>1373</v>
      </c>
    </row>
    <row r="44" spans="2:3">
      <c r="B44" s="291"/>
      <c r="C44" s="290" t="s">
        <v>1374</v>
      </c>
    </row>
    <row r="45" spans="2:3">
      <c r="B45" s="291"/>
      <c r="C45" s="290" t="s">
        <v>1375</v>
      </c>
    </row>
    <row r="46" spans="2:3" ht="15.75">
      <c r="B46" s="464"/>
      <c r="C46" s="290" t="s">
        <v>1607</v>
      </c>
    </row>
    <row r="47" spans="2:3" ht="15.75">
      <c r="B47" s="464"/>
      <c r="C47" s="290"/>
    </row>
    <row r="48" spans="2:3" ht="15.75">
      <c r="B48" s="464"/>
      <c r="C48" s="290"/>
    </row>
    <row r="49" spans="2:3" ht="15.75">
      <c r="B49" s="464">
        <v>5</v>
      </c>
      <c r="C49" s="562" t="s">
        <v>906</v>
      </c>
    </row>
    <row r="50" spans="2:3" ht="15.75">
      <c r="B50" s="464"/>
      <c r="C50" s="290" t="s">
        <v>622</v>
      </c>
    </row>
    <row r="51" spans="2:3" ht="15.75">
      <c r="B51" s="464"/>
      <c r="C51" s="290" t="s">
        <v>630</v>
      </c>
    </row>
    <row r="52" spans="2:3" ht="15.75">
      <c r="B52" s="464"/>
      <c r="C52" s="290"/>
    </row>
    <row r="53" spans="2:3" ht="15.75">
      <c r="B53" s="464"/>
      <c r="C53" s="290"/>
    </row>
    <row r="54" spans="2:3" ht="15.75">
      <c r="B54" s="464">
        <v>6</v>
      </c>
      <c r="C54" s="562" t="s">
        <v>782</v>
      </c>
    </row>
    <row r="55" spans="2:3" ht="15.75">
      <c r="B55" s="464"/>
      <c r="C55" s="290" t="s">
        <v>1046</v>
      </c>
    </row>
    <row r="56" spans="2:3" ht="15.75">
      <c r="B56" s="464"/>
      <c r="C56" s="290" t="s">
        <v>1047</v>
      </c>
    </row>
    <row r="57" spans="2:3" ht="15.75">
      <c r="B57" s="464"/>
      <c r="C57" s="290" t="s">
        <v>1048</v>
      </c>
    </row>
    <row r="58" spans="2:3" ht="15.75">
      <c r="B58" s="464"/>
      <c r="C58" s="290" t="s">
        <v>1382</v>
      </c>
    </row>
    <row r="59" spans="2:3" ht="15.75">
      <c r="B59" s="464"/>
      <c r="C59" s="290" t="s">
        <v>1377</v>
      </c>
    </row>
    <row r="60" spans="2:3" ht="15.75">
      <c r="B60" s="464"/>
      <c r="C60" s="290" t="s">
        <v>1378</v>
      </c>
    </row>
    <row r="61" spans="2:3" ht="15.75">
      <c r="B61" s="464"/>
      <c r="C61" s="290" t="s">
        <v>1379</v>
      </c>
    </row>
    <row r="62" spans="2:3" ht="15.75">
      <c r="B62" s="464"/>
      <c r="C62" s="290" t="s">
        <v>1380</v>
      </c>
    </row>
    <row r="63" spans="2:3" ht="15.75">
      <c r="B63" s="464"/>
      <c r="C63" s="290" t="s">
        <v>1381</v>
      </c>
    </row>
    <row r="64" spans="2:3" ht="15.75">
      <c r="B64" s="464"/>
      <c r="C64" s="290" t="s">
        <v>1590</v>
      </c>
    </row>
    <row r="65" spans="2:3" ht="15.75">
      <c r="B65" s="464"/>
      <c r="C65" s="290"/>
    </row>
    <row r="66" spans="2:3" ht="15.75">
      <c r="B66" s="464"/>
      <c r="C66" s="290"/>
    </row>
    <row r="67" spans="2:3" ht="15.75">
      <c r="B67" s="464">
        <v>7</v>
      </c>
      <c r="C67" s="562" t="s">
        <v>1039</v>
      </c>
    </row>
    <row r="68" spans="2:3" ht="15.75">
      <c r="B68" s="464"/>
      <c r="C68" s="290" t="s">
        <v>1040</v>
      </c>
    </row>
    <row r="69" spans="2:3" ht="15.75">
      <c r="B69" s="464"/>
      <c r="C69" s="290" t="s">
        <v>1471</v>
      </c>
    </row>
    <row r="70" spans="2:3" ht="15.75">
      <c r="B70" s="464"/>
      <c r="C70" s="290" t="s">
        <v>1470</v>
      </c>
    </row>
    <row r="71" spans="2:3" ht="15.75">
      <c r="B71" s="464"/>
      <c r="C71" s="290"/>
    </row>
    <row r="72" spans="2:3" ht="15.75">
      <c r="B72" s="464"/>
      <c r="C72" s="290"/>
    </row>
    <row r="73" spans="2:3" ht="15.75">
      <c r="B73" s="464">
        <v>8</v>
      </c>
      <c r="C73" s="562" t="s">
        <v>1041</v>
      </c>
    </row>
    <row r="74" spans="2:3" ht="15.75">
      <c r="B74" s="464"/>
      <c r="C74" s="290" t="s">
        <v>1385</v>
      </c>
    </row>
    <row r="75" spans="2:3" ht="15.75">
      <c r="B75" s="464"/>
      <c r="C75" s="290" t="s">
        <v>1383</v>
      </c>
    </row>
    <row r="76" spans="2:3" ht="15.75">
      <c r="B76" s="464"/>
      <c r="C76" s="290" t="s">
        <v>1384</v>
      </c>
    </row>
    <row r="77" spans="2:3" ht="15.75">
      <c r="B77" s="464"/>
      <c r="C77" s="290"/>
    </row>
    <row r="78" spans="2:3" ht="15.75">
      <c r="B78" s="464"/>
      <c r="C78" s="290"/>
    </row>
    <row r="79" spans="2:3" ht="15.75">
      <c r="B79" s="464">
        <v>9</v>
      </c>
      <c r="C79" s="562" t="s">
        <v>784</v>
      </c>
    </row>
    <row r="80" spans="2:3" ht="15.75">
      <c r="B80" s="464"/>
      <c r="C80" s="290" t="s">
        <v>623</v>
      </c>
    </row>
    <row r="81" spans="2:3" ht="15.75">
      <c r="B81" s="464"/>
      <c r="C81" s="290" t="s">
        <v>914</v>
      </c>
    </row>
    <row r="82" spans="2:3" ht="15.75">
      <c r="B82" s="464"/>
      <c r="C82" s="290" t="s">
        <v>913</v>
      </c>
    </row>
    <row r="83" spans="2:3" ht="15.75">
      <c r="B83" s="464"/>
      <c r="C83" s="290"/>
    </row>
    <row r="84" spans="2:3" ht="15.75">
      <c r="B84" s="464"/>
      <c r="C84" s="290"/>
    </row>
    <row r="85" spans="2:3" ht="15.75">
      <c r="B85" s="464">
        <v>10</v>
      </c>
      <c r="C85" s="562" t="s">
        <v>791</v>
      </c>
    </row>
    <row r="86" spans="2:3" ht="15.75">
      <c r="B86" s="464"/>
      <c r="C86" s="290" t="s">
        <v>792</v>
      </c>
    </row>
    <row r="87" spans="2:3" ht="15.75">
      <c r="B87" s="464"/>
      <c r="C87" s="290" t="s">
        <v>1294</v>
      </c>
    </row>
    <row r="88" spans="2:3" ht="15.75">
      <c r="B88" s="464"/>
      <c r="C88" s="290" t="s">
        <v>793</v>
      </c>
    </row>
    <row r="89" spans="2:3" ht="15.75">
      <c r="B89" s="464"/>
      <c r="C89" s="290" t="s">
        <v>1591</v>
      </c>
    </row>
    <row r="90" spans="2:3" ht="15.75">
      <c r="B90" s="464"/>
      <c r="C90" s="290" t="s">
        <v>794</v>
      </c>
    </row>
    <row r="91" spans="2:3" ht="15.75">
      <c r="B91" s="464"/>
      <c r="C91" s="290" t="s">
        <v>961</v>
      </c>
    </row>
    <row r="92" spans="2:3" ht="15.75">
      <c r="B92" s="464"/>
      <c r="C92" s="290" t="s">
        <v>1222</v>
      </c>
    </row>
    <row r="93" spans="2:3" ht="15.75">
      <c r="B93" s="464"/>
      <c r="C93" s="290" t="s">
        <v>1386</v>
      </c>
    </row>
    <row r="94" spans="2:3" ht="15.75">
      <c r="B94" s="464"/>
      <c r="C94" s="290" t="s">
        <v>1498</v>
      </c>
    </row>
    <row r="95" spans="2:3" ht="15.75">
      <c r="B95" s="464"/>
      <c r="C95" s="290" t="s">
        <v>1499</v>
      </c>
    </row>
    <row r="96" spans="2:3" ht="15.75">
      <c r="B96" s="464"/>
      <c r="C96" s="290" t="s">
        <v>1500</v>
      </c>
    </row>
    <row r="97" spans="2:3" ht="15.75">
      <c r="B97" s="464"/>
      <c r="C97" s="290" t="s">
        <v>1501</v>
      </c>
    </row>
    <row r="98" spans="2:3" ht="15.75">
      <c r="B98" s="464"/>
      <c r="C98" s="290"/>
    </row>
    <row r="99" spans="2:3" ht="15.75">
      <c r="B99" s="464"/>
      <c r="C99" s="290"/>
    </row>
    <row r="100" spans="2:3" ht="15.75">
      <c r="B100" s="464">
        <v>11</v>
      </c>
      <c r="C100" s="562" t="s">
        <v>785</v>
      </c>
    </row>
    <row r="101" spans="2:3" ht="15.75">
      <c r="B101" s="464"/>
      <c r="C101" s="290" t="s">
        <v>1217</v>
      </c>
    </row>
    <row r="102" spans="2:3" ht="15.75">
      <c r="B102" s="464"/>
      <c r="C102" s="290" t="s">
        <v>1218</v>
      </c>
    </row>
    <row r="103" spans="2:3" ht="15.75">
      <c r="B103" s="464"/>
      <c r="C103" s="290" t="s">
        <v>1219</v>
      </c>
    </row>
    <row r="104" spans="2:3" ht="15.75">
      <c r="B104" s="464"/>
      <c r="C104" s="290"/>
    </row>
    <row r="105" spans="2:3" ht="15.75">
      <c r="B105" s="464"/>
      <c r="C105" s="290"/>
    </row>
    <row r="106" spans="2:3" ht="15.75">
      <c r="B106" s="464">
        <v>12</v>
      </c>
      <c r="C106" s="562" t="s">
        <v>786</v>
      </c>
    </row>
    <row r="107" spans="2:3" ht="15.75">
      <c r="B107" s="464"/>
      <c r="C107" s="290" t="s">
        <v>777</v>
      </c>
    </row>
    <row r="108" spans="2:3" ht="15.75">
      <c r="B108" s="464"/>
      <c r="C108" s="290" t="s">
        <v>778</v>
      </c>
    </row>
    <row r="109" spans="2:3" ht="15.75">
      <c r="B109" s="464"/>
      <c r="C109" s="290" t="s">
        <v>780</v>
      </c>
    </row>
    <row r="110" spans="2:3" ht="15.75">
      <c r="B110" s="464"/>
      <c r="C110" s="290"/>
    </row>
    <row r="111" spans="2:3" ht="15.75">
      <c r="B111" s="464"/>
      <c r="C111" s="290"/>
    </row>
    <row r="112" spans="2:3" ht="15.75">
      <c r="B112" s="464">
        <v>13</v>
      </c>
      <c r="C112" s="562" t="s">
        <v>787</v>
      </c>
    </row>
    <row r="113" spans="2:3" ht="15.75">
      <c r="B113" s="464"/>
      <c r="C113" s="290" t="s">
        <v>908</v>
      </c>
    </row>
    <row r="114" spans="2:3" ht="15.75">
      <c r="B114" s="464"/>
      <c r="C114" s="290" t="s">
        <v>779</v>
      </c>
    </row>
    <row r="115" spans="2:3" ht="15.75">
      <c r="B115" s="464"/>
      <c r="C115" s="290" t="s">
        <v>1477</v>
      </c>
    </row>
    <row r="116" spans="2:3" ht="15.75">
      <c r="B116" s="464"/>
      <c r="C116" s="290" t="s">
        <v>1608</v>
      </c>
    </row>
    <row r="117" spans="2:3" ht="15.75">
      <c r="B117" s="464"/>
      <c r="C117" s="290"/>
    </row>
    <row r="118" spans="2:3" ht="15.75">
      <c r="B118" s="464"/>
      <c r="C118" s="290"/>
    </row>
    <row r="119" spans="2:3" ht="15.75">
      <c r="B119" s="464">
        <v>14</v>
      </c>
      <c r="C119" s="562" t="s">
        <v>624</v>
      </c>
    </row>
    <row r="120" spans="2:3" ht="15.75">
      <c r="B120" s="464"/>
      <c r="C120" s="290" t="s">
        <v>1220</v>
      </c>
    </row>
    <row r="121" spans="2:3" ht="15.75">
      <c r="B121" s="464"/>
      <c r="C121" s="290" t="s">
        <v>1387</v>
      </c>
    </row>
    <row r="122" spans="2:3" ht="15.75">
      <c r="B122" s="464"/>
      <c r="C122" s="290" t="s">
        <v>1391</v>
      </c>
    </row>
    <row r="123" spans="2:3" ht="15.75">
      <c r="B123" s="464"/>
      <c r="C123" s="290" t="s">
        <v>1388</v>
      </c>
    </row>
    <row r="124" spans="2:3" ht="15.75">
      <c r="B124" s="464"/>
      <c r="C124" s="290" t="s">
        <v>1389</v>
      </c>
    </row>
    <row r="125" spans="2:3" ht="15.75">
      <c r="B125" s="464"/>
      <c r="C125" s="290" t="s">
        <v>1390</v>
      </c>
    </row>
    <row r="126" spans="2:3" ht="15.75">
      <c r="B126" s="464"/>
      <c r="C126" s="290" t="s">
        <v>1597</v>
      </c>
    </row>
    <row r="127" spans="2:3" ht="15.75">
      <c r="B127" s="464"/>
      <c r="C127" s="290" t="s">
        <v>1598</v>
      </c>
    </row>
    <row r="128" spans="2:3" ht="15.75">
      <c r="B128" s="464"/>
      <c r="C128" s="290"/>
    </row>
    <row r="129" spans="1:4">
      <c r="B129" s="465"/>
      <c r="C129" s="290"/>
    </row>
    <row r="130" spans="1:4" ht="15.75">
      <c r="B130" s="464">
        <v>15</v>
      </c>
      <c r="C130" s="562" t="s">
        <v>963</v>
      </c>
    </row>
    <row r="131" spans="1:4">
      <c r="B131" s="465"/>
      <c r="C131" s="877" t="s">
        <v>966</v>
      </c>
    </row>
    <row r="132" spans="1:4">
      <c r="B132" s="465"/>
      <c r="C132" s="877" t="s">
        <v>964</v>
      </c>
    </row>
    <row r="133" spans="1:4">
      <c r="B133" s="465"/>
      <c r="C133" s="877" t="s">
        <v>1393</v>
      </c>
    </row>
    <row r="134" spans="1:4">
      <c r="B134" s="465"/>
      <c r="C134" s="877" t="s">
        <v>965</v>
      </c>
    </row>
    <row r="135" spans="1:4">
      <c r="B135" s="465"/>
      <c r="C135" s="877" t="s">
        <v>1221</v>
      </c>
    </row>
    <row r="136" spans="1:4">
      <c r="B136" s="465"/>
      <c r="C136" s="877" t="s">
        <v>1223</v>
      </c>
    </row>
    <row r="137" spans="1:4">
      <c r="B137" s="465"/>
      <c r="C137" s="877" t="s">
        <v>1224</v>
      </c>
    </row>
    <row r="138" spans="1:4">
      <c r="B138" s="465"/>
      <c r="C138" s="877" t="s">
        <v>1230</v>
      </c>
    </row>
    <row r="139" spans="1:4">
      <c r="B139" s="465"/>
      <c r="C139" s="877" t="s">
        <v>1225</v>
      </c>
    </row>
    <row r="140" spans="1:4">
      <c r="B140" s="465"/>
      <c r="C140" s="877" t="s">
        <v>1599</v>
      </c>
    </row>
    <row r="141" spans="1:4">
      <c r="B141" s="465"/>
      <c r="C141" s="877" t="s">
        <v>1392</v>
      </c>
    </row>
    <row r="142" spans="1:4">
      <c r="B142" s="465"/>
      <c r="C142" s="877" t="s">
        <v>1226</v>
      </c>
    </row>
    <row r="143" spans="1:4" s="267" customFormat="1" ht="15.75" hidden="1" thickBot="1">
      <c r="A143" s="262"/>
      <c r="B143" s="295"/>
      <c r="C143" s="878"/>
      <c r="D143" s="266"/>
    </row>
    <row r="144" spans="1:4" s="267" customFormat="1" hidden="1">
      <c r="A144" s="262"/>
      <c r="B144" s="295"/>
      <c r="C144" s="879"/>
      <c r="D144" s="266"/>
    </row>
    <row r="145" spans="1:4" s="267" customFormat="1" hidden="1">
      <c r="A145" s="262"/>
      <c r="B145" s="295"/>
      <c r="C145" s="880"/>
      <c r="D145" s="266"/>
    </row>
    <row r="146" spans="1:4" s="267" customFormat="1" hidden="1">
      <c r="A146" s="262"/>
      <c r="B146" s="295"/>
      <c r="C146" s="880"/>
      <c r="D146" s="266"/>
    </row>
    <row r="147" spans="1:4" s="267" customFormat="1" hidden="1">
      <c r="A147" s="262"/>
      <c r="B147" s="295"/>
      <c r="C147" s="880"/>
      <c r="D147" s="266"/>
    </row>
    <row r="148" spans="1:4" s="267" customFormat="1" hidden="1">
      <c r="A148" s="262"/>
      <c r="B148" s="295"/>
      <c r="C148" s="880"/>
      <c r="D148" s="266"/>
    </row>
    <row r="149" spans="1:4" s="267" customFormat="1" hidden="1">
      <c r="A149" s="262"/>
      <c r="B149" s="295"/>
      <c r="C149" s="880"/>
      <c r="D149" s="266"/>
    </row>
    <row r="150" spans="1:4" s="267" customFormat="1" hidden="1">
      <c r="A150" s="262"/>
      <c r="B150" s="295"/>
      <c r="C150" s="880"/>
      <c r="D150" s="266"/>
    </row>
    <row r="151" spans="1:4" s="271" customFormat="1" hidden="1">
      <c r="A151" s="262"/>
      <c r="B151" s="295"/>
      <c r="C151" s="880"/>
      <c r="D151" s="266"/>
    </row>
    <row r="152" spans="1:4" hidden="1">
      <c r="B152" s="295"/>
      <c r="C152" s="880"/>
    </row>
    <row r="153" spans="1:4" hidden="1">
      <c r="B153" s="295"/>
      <c r="C153" s="880"/>
    </row>
    <row r="154" spans="1:4" hidden="1">
      <c r="B154" s="295"/>
      <c r="C154" s="880"/>
    </row>
    <row r="155" spans="1:4" hidden="1">
      <c r="B155" s="295"/>
      <c r="C155" s="880"/>
    </row>
    <row r="156" spans="1:4" hidden="1">
      <c r="B156" s="295"/>
      <c r="C156" s="880"/>
    </row>
    <row r="157" spans="1:4" hidden="1">
      <c r="B157" s="295"/>
      <c r="C157" s="880"/>
    </row>
    <row r="158" spans="1:4" hidden="1">
      <c r="B158" s="295"/>
      <c r="C158" s="880"/>
    </row>
    <row r="159" spans="1:4" hidden="1">
      <c r="B159" s="295"/>
      <c r="C159" s="880"/>
    </row>
    <row r="160" spans="1:4" hidden="1">
      <c r="B160" s="295"/>
      <c r="C160" s="880"/>
    </row>
    <row r="161" spans="2:3" hidden="1">
      <c r="B161" s="295"/>
      <c r="C161" s="880"/>
    </row>
    <row r="162" spans="2:3" hidden="1">
      <c r="B162" s="295"/>
      <c r="C162" s="880"/>
    </row>
    <row r="163" spans="2:3" hidden="1">
      <c r="B163" s="295"/>
      <c r="C163" s="880"/>
    </row>
    <row r="164" spans="2:3" hidden="1">
      <c r="B164" s="295"/>
      <c r="C164" s="880"/>
    </row>
    <row r="165" spans="2:3" hidden="1">
      <c r="B165" s="295"/>
      <c r="C165" s="880"/>
    </row>
    <row r="166" spans="2:3" hidden="1">
      <c r="B166" s="295"/>
      <c r="C166" s="880"/>
    </row>
    <row r="167" spans="2:3" hidden="1">
      <c r="B167" s="295"/>
      <c r="C167" s="880"/>
    </row>
    <row r="168" spans="2:3" hidden="1">
      <c r="B168" s="295"/>
      <c r="C168" s="880"/>
    </row>
    <row r="169" spans="2:3" hidden="1">
      <c r="B169" s="295"/>
      <c r="C169" s="880"/>
    </row>
    <row r="170" spans="2:3" hidden="1">
      <c r="B170" s="295"/>
      <c r="C170" s="880"/>
    </row>
    <row r="171" spans="2:3" hidden="1">
      <c r="B171" s="295"/>
      <c r="C171" s="880"/>
    </row>
    <row r="172" spans="2:3" hidden="1">
      <c r="B172" s="295"/>
      <c r="C172" s="880"/>
    </row>
    <row r="173" spans="2:3" hidden="1">
      <c r="B173" s="295"/>
      <c r="C173" s="880"/>
    </row>
    <row r="174" spans="2:3" hidden="1">
      <c r="B174" s="295"/>
      <c r="C174" s="880"/>
    </row>
    <row r="175" spans="2:3" hidden="1">
      <c r="B175" s="295"/>
      <c r="C175" s="880"/>
    </row>
    <row r="176" spans="2:3" hidden="1">
      <c r="B176" s="295"/>
      <c r="C176" s="880"/>
    </row>
    <row r="177" spans="2:3" hidden="1">
      <c r="B177" s="295"/>
      <c r="C177" s="880"/>
    </row>
    <row r="178" spans="2:3" hidden="1">
      <c r="B178" s="295"/>
      <c r="C178" s="880"/>
    </row>
    <row r="179" spans="2:3" hidden="1">
      <c r="B179" s="295"/>
      <c r="C179" s="880"/>
    </row>
    <row r="180" spans="2:3" hidden="1">
      <c r="B180" s="295"/>
      <c r="C180" s="880"/>
    </row>
    <row r="181" spans="2:3" hidden="1">
      <c r="B181" s="295"/>
      <c r="C181" s="880"/>
    </row>
    <row r="182" spans="2:3" hidden="1">
      <c r="B182" s="295"/>
      <c r="C182" s="880"/>
    </row>
    <row r="183" spans="2:3" hidden="1">
      <c r="B183" s="295"/>
      <c r="C183" s="880"/>
    </row>
    <row r="184" spans="2:3" hidden="1">
      <c r="B184" s="295"/>
      <c r="C184" s="880"/>
    </row>
    <row r="185" spans="2:3" hidden="1">
      <c r="B185" s="295"/>
      <c r="C185" s="880"/>
    </row>
    <row r="186" spans="2:3" hidden="1">
      <c r="B186" s="295"/>
      <c r="C186" s="880"/>
    </row>
    <row r="187" spans="2:3" hidden="1">
      <c r="B187" s="295"/>
      <c r="C187" s="880"/>
    </row>
    <row r="188" spans="2:3" hidden="1">
      <c r="B188" s="295"/>
      <c r="C188" s="880"/>
    </row>
    <row r="189" spans="2:3" hidden="1">
      <c r="B189" s="295"/>
      <c r="C189" s="880"/>
    </row>
    <row r="190" spans="2:3" hidden="1">
      <c r="B190" s="295"/>
      <c r="C190" s="880"/>
    </row>
    <row r="191" spans="2:3" hidden="1">
      <c r="B191" s="295"/>
      <c r="C191" s="880"/>
    </row>
    <row r="192" spans="2:3" hidden="1">
      <c r="B192" s="295"/>
      <c r="C192" s="880"/>
    </row>
    <row r="193" spans="2:3" hidden="1">
      <c r="B193" s="295"/>
      <c r="C193" s="880"/>
    </row>
    <row r="194" spans="2:3" hidden="1">
      <c r="B194" s="295"/>
      <c r="C194" s="880"/>
    </row>
    <row r="195" spans="2:3" hidden="1">
      <c r="B195" s="295"/>
      <c r="C195" s="880"/>
    </row>
    <row r="196" spans="2:3" hidden="1">
      <c r="B196" s="295"/>
      <c r="C196" s="880"/>
    </row>
    <row r="197" spans="2:3" hidden="1">
      <c r="B197" s="295"/>
      <c r="C197" s="880"/>
    </row>
    <row r="198" spans="2:3" hidden="1">
      <c r="B198" s="295"/>
      <c r="C198" s="880"/>
    </row>
    <row r="199" spans="2:3" hidden="1">
      <c r="B199" s="295"/>
      <c r="C199" s="880"/>
    </row>
    <row r="200" spans="2:3" hidden="1">
      <c r="B200" s="295"/>
      <c r="C200" s="880"/>
    </row>
    <row r="201" spans="2:3" hidden="1">
      <c r="B201" s="295"/>
      <c r="C201" s="880"/>
    </row>
    <row r="202" spans="2:3" hidden="1">
      <c r="B202" s="295"/>
      <c r="C202" s="880"/>
    </row>
    <row r="203" spans="2:3" hidden="1">
      <c r="B203" s="295"/>
      <c r="C203" s="880"/>
    </row>
    <row r="204" spans="2:3" hidden="1">
      <c r="B204" s="295"/>
      <c r="C204" s="880"/>
    </row>
    <row r="205" spans="2:3" hidden="1">
      <c r="B205" s="295"/>
      <c r="C205" s="880"/>
    </row>
    <row r="206" spans="2:3" hidden="1">
      <c r="B206" s="295"/>
      <c r="C206" s="880"/>
    </row>
    <row r="207" spans="2:3" hidden="1">
      <c r="B207" s="295"/>
      <c r="C207" s="880"/>
    </row>
    <row r="208" spans="2:3" hidden="1">
      <c r="B208" s="295"/>
      <c r="C208" s="880"/>
    </row>
    <row r="209" spans="2:3" hidden="1">
      <c r="B209" s="295"/>
      <c r="C209" s="880"/>
    </row>
    <row r="210" spans="2:3" hidden="1">
      <c r="B210" s="295"/>
      <c r="C210" s="880"/>
    </row>
    <row r="211" spans="2:3" hidden="1">
      <c r="B211" s="295"/>
      <c r="C211" s="880"/>
    </row>
    <row r="212" spans="2:3" hidden="1">
      <c r="B212" s="295"/>
      <c r="C212" s="880"/>
    </row>
    <row r="213" spans="2:3" hidden="1">
      <c r="B213" s="295"/>
      <c r="C213" s="880"/>
    </row>
    <row r="214" spans="2:3" hidden="1">
      <c r="B214" s="295"/>
      <c r="C214" s="880"/>
    </row>
    <row r="215" spans="2:3" hidden="1">
      <c r="B215" s="295"/>
      <c r="C215" s="880"/>
    </row>
    <row r="216" spans="2:3" hidden="1">
      <c r="B216" s="295"/>
      <c r="C216" s="880"/>
    </row>
    <row r="217" spans="2:3" hidden="1">
      <c r="B217" s="295"/>
      <c r="C217" s="880"/>
    </row>
    <row r="218" spans="2:3" hidden="1">
      <c r="B218" s="295"/>
      <c r="C218" s="880"/>
    </row>
    <row r="219" spans="2:3" hidden="1">
      <c r="B219" s="295"/>
      <c r="C219" s="880"/>
    </row>
    <row r="220" spans="2:3" hidden="1">
      <c r="B220" s="295"/>
      <c r="C220" s="880"/>
    </row>
    <row r="221" spans="2:3" hidden="1">
      <c r="B221" s="295"/>
      <c r="C221" s="880"/>
    </row>
    <row r="222" spans="2:3" hidden="1">
      <c r="B222" s="295"/>
      <c r="C222" s="880"/>
    </row>
    <row r="223" spans="2:3" hidden="1">
      <c r="B223" s="295"/>
      <c r="C223" s="880"/>
    </row>
    <row r="224" spans="2:3" hidden="1">
      <c r="B224" s="295"/>
      <c r="C224" s="880"/>
    </row>
    <row r="225" spans="2:3" hidden="1">
      <c r="B225" s="295"/>
      <c r="C225" s="880"/>
    </row>
    <row r="226" spans="2:3" hidden="1">
      <c r="B226" s="295"/>
      <c r="C226" s="880"/>
    </row>
    <row r="227" spans="2:3" hidden="1">
      <c r="B227" s="295"/>
      <c r="C227" s="880"/>
    </row>
    <row r="228" spans="2:3" hidden="1">
      <c r="B228" s="295"/>
      <c r="C228" s="880"/>
    </row>
    <row r="229" spans="2:3" hidden="1">
      <c r="B229" s="295"/>
      <c r="C229" s="880"/>
    </row>
    <row r="230" spans="2:3" hidden="1">
      <c r="B230" s="295"/>
      <c r="C230" s="880"/>
    </row>
    <row r="231" spans="2:3" hidden="1">
      <c r="B231" s="295"/>
      <c r="C231" s="880"/>
    </row>
    <row r="232" spans="2:3" hidden="1">
      <c r="B232" s="295"/>
      <c r="C232" s="880"/>
    </row>
    <row r="233" spans="2:3" hidden="1">
      <c r="B233" s="295"/>
      <c r="C233" s="880"/>
    </row>
    <row r="234" spans="2:3" hidden="1">
      <c r="B234" s="267"/>
      <c r="C234" s="880"/>
    </row>
    <row r="235" spans="2:3" hidden="1">
      <c r="B235" s="267"/>
      <c r="C235" s="880"/>
    </row>
    <row r="236" spans="2:3" hidden="1">
      <c r="B236" s="267"/>
      <c r="C236" s="880"/>
    </row>
    <row r="237" spans="2:3" hidden="1">
      <c r="B237" s="267"/>
      <c r="C237" s="880"/>
    </row>
    <row r="238" spans="2:3" hidden="1">
      <c r="B238" s="267"/>
      <c r="C238" s="880"/>
    </row>
    <row r="239" spans="2:3" hidden="1">
      <c r="B239" s="267"/>
      <c r="C239" s="880"/>
    </row>
    <row r="240" spans="2:3" hidden="1">
      <c r="B240" s="267"/>
      <c r="C240" s="880"/>
    </row>
    <row r="241" spans="2:3" hidden="1">
      <c r="B241" s="267"/>
      <c r="C241" s="880"/>
    </row>
    <row r="242" spans="2:3" hidden="1">
      <c r="B242" s="267"/>
      <c r="C242" s="880"/>
    </row>
    <row r="243" spans="2:3" hidden="1">
      <c r="B243" s="267"/>
      <c r="C243" s="880"/>
    </row>
    <row r="244" spans="2:3" hidden="1">
      <c r="B244" s="267"/>
      <c r="C244" s="880"/>
    </row>
    <row r="245" spans="2:3" hidden="1">
      <c r="B245" s="267"/>
      <c r="C245" s="880"/>
    </row>
    <row r="246" spans="2:3" hidden="1">
      <c r="B246" s="267"/>
      <c r="C246" s="880"/>
    </row>
    <row r="247" spans="2:3" hidden="1">
      <c r="B247" s="267"/>
      <c r="C247" s="880"/>
    </row>
    <row r="248" spans="2:3" hidden="1">
      <c r="B248" s="267"/>
      <c r="C248" s="880"/>
    </row>
    <row r="249" spans="2:3" hidden="1">
      <c r="C249" s="880"/>
    </row>
    <row r="250" spans="2:3" hidden="1">
      <c r="C250" s="880"/>
    </row>
    <row r="251" spans="2:3" hidden="1">
      <c r="C251" s="881"/>
    </row>
    <row r="252" spans="2:3" hidden="1">
      <c r="C252" s="881"/>
    </row>
    <row r="253" spans="2:3" hidden="1">
      <c r="C253" s="881"/>
    </row>
    <row r="254" spans="2:3" hidden="1">
      <c r="C254" s="881"/>
    </row>
    <row r="255" spans="2:3" hidden="1">
      <c r="C255" s="881"/>
    </row>
    <row r="256" spans="2:3" hidden="1">
      <c r="C256" s="881"/>
    </row>
    <row r="257" spans="3:3" hidden="1">
      <c r="C257" s="881"/>
    </row>
    <row r="258" spans="3:3" hidden="1">
      <c r="C258" s="881"/>
    </row>
    <row r="259" spans="3:3" hidden="1">
      <c r="C259" s="881"/>
    </row>
    <row r="260" spans="3:3" hidden="1">
      <c r="C260" s="881"/>
    </row>
    <row r="261" spans="3:3" hidden="1">
      <c r="C261" s="881"/>
    </row>
    <row r="262" spans="3:3" hidden="1">
      <c r="C262" s="881"/>
    </row>
    <row r="263" spans="3:3" hidden="1">
      <c r="C263" s="881"/>
    </row>
    <row r="264" spans="3:3" hidden="1">
      <c r="C264" s="881"/>
    </row>
    <row r="265" spans="3:3" hidden="1">
      <c r="C265" s="881"/>
    </row>
    <row r="266" spans="3:3" hidden="1">
      <c r="C266" s="881"/>
    </row>
    <row r="267" spans="3:3" hidden="1">
      <c r="C267" s="881"/>
    </row>
    <row r="268" spans="3:3" hidden="1">
      <c r="C268" s="881"/>
    </row>
    <row r="269" spans="3:3" hidden="1">
      <c r="C269" s="881"/>
    </row>
    <row r="270" spans="3:3" hidden="1">
      <c r="C270" s="881"/>
    </row>
    <row r="271" spans="3:3" hidden="1">
      <c r="C271" s="881"/>
    </row>
    <row r="272" spans="3:3" hidden="1">
      <c r="C272" s="881"/>
    </row>
    <row r="273" spans="3:3" hidden="1">
      <c r="C273" s="881"/>
    </row>
    <row r="274" spans="3:3" hidden="1">
      <c r="C274" s="881"/>
    </row>
    <row r="275" spans="3:3" hidden="1">
      <c r="C275" s="881"/>
    </row>
    <row r="276" spans="3:3" hidden="1">
      <c r="C276" s="881"/>
    </row>
    <row r="277" spans="3:3" hidden="1">
      <c r="C277" s="881"/>
    </row>
    <row r="278" spans="3:3" hidden="1">
      <c r="C278" s="881"/>
    </row>
    <row r="279" spans="3:3" hidden="1">
      <c r="C279" s="881"/>
    </row>
    <row r="280" spans="3:3" hidden="1">
      <c r="C280" s="881"/>
    </row>
    <row r="281" spans="3:3" hidden="1">
      <c r="C281" s="881"/>
    </row>
    <row r="282" spans="3:3" hidden="1">
      <c r="C282" s="881"/>
    </row>
    <row r="283" spans="3:3" hidden="1">
      <c r="C283" s="881"/>
    </row>
    <row r="284" spans="3:3" hidden="1">
      <c r="C284" s="881"/>
    </row>
    <row r="285" spans="3:3" hidden="1">
      <c r="C285" s="881"/>
    </row>
    <row r="286" spans="3:3" hidden="1">
      <c r="C286" s="881"/>
    </row>
    <row r="287" spans="3:3" hidden="1">
      <c r="C287" s="881"/>
    </row>
    <row r="288" spans="3:3" hidden="1">
      <c r="C288" s="881"/>
    </row>
    <row r="289" spans="3:3" hidden="1">
      <c r="C289" s="881"/>
    </row>
    <row r="290" spans="3:3" hidden="1">
      <c r="C290" s="881"/>
    </row>
    <row r="291" spans="3:3" hidden="1">
      <c r="C291" s="881"/>
    </row>
    <row r="292" spans="3:3" hidden="1">
      <c r="C292" s="881"/>
    </row>
    <row r="293" spans="3:3" hidden="1">
      <c r="C293" s="881"/>
    </row>
    <row r="294" spans="3:3" hidden="1">
      <c r="C294" s="881"/>
    </row>
    <row r="295" spans="3:3" hidden="1">
      <c r="C295" s="881"/>
    </row>
    <row r="296" spans="3:3" hidden="1">
      <c r="C296" s="881"/>
    </row>
    <row r="297" spans="3:3" hidden="1">
      <c r="C297" s="881"/>
    </row>
    <row r="298" spans="3:3" hidden="1">
      <c r="C298" s="881"/>
    </row>
    <row r="299" spans="3:3" hidden="1">
      <c r="C299" s="881"/>
    </row>
    <row r="300" spans="3:3" hidden="1">
      <c r="C300" s="881"/>
    </row>
    <row r="301" spans="3:3" hidden="1">
      <c r="C301" s="881"/>
    </row>
    <row r="302" spans="3:3" hidden="1">
      <c r="C302" s="881"/>
    </row>
    <row r="303" spans="3:3" hidden="1">
      <c r="C303" s="881"/>
    </row>
    <row r="304" spans="3:3" hidden="1">
      <c r="C304" s="881"/>
    </row>
    <row r="305" spans="3:3" hidden="1">
      <c r="C305" s="881"/>
    </row>
    <row r="306" spans="3:3" hidden="1">
      <c r="C306" s="881"/>
    </row>
    <row r="307" spans="3:3" hidden="1">
      <c r="C307" s="881"/>
    </row>
    <row r="308" spans="3:3" hidden="1">
      <c r="C308" s="881"/>
    </row>
    <row r="309" spans="3:3" hidden="1">
      <c r="C309" s="881"/>
    </row>
    <row r="310" spans="3:3" hidden="1">
      <c r="C310" s="881"/>
    </row>
    <row r="311" spans="3:3" hidden="1">
      <c r="C311" s="881"/>
    </row>
    <row r="312" spans="3:3" hidden="1">
      <c r="C312" s="881"/>
    </row>
    <row r="313" spans="3:3" hidden="1">
      <c r="C313" s="881"/>
    </row>
    <row r="314" spans="3:3" hidden="1">
      <c r="C314" s="881"/>
    </row>
    <row r="315" spans="3:3" hidden="1">
      <c r="C315" s="881"/>
    </row>
    <row r="316" spans="3:3" hidden="1">
      <c r="C316" s="881"/>
    </row>
    <row r="317" spans="3:3" hidden="1">
      <c r="C317" s="881"/>
    </row>
    <row r="318" spans="3:3" hidden="1">
      <c r="C318" s="881"/>
    </row>
    <row r="319" spans="3:3" hidden="1">
      <c r="C319" s="881"/>
    </row>
    <row r="320" spans="3:3" hidden="1">
      <c r="C320" s="881"/>
    </row>
    <row r="321" spans="3:3" hidden="1">
      <c r="C321" s="881"/>
    </row>
    <row r="322" spans="3:3" hidden="1">
      <c r="C322" s="881"/>
    </row>
    <row r="323" spans="3:3" hidden="1">
      <c r="C323" s="881"/>
    </row>
    <row r="324" spans="3:3" hidden="1">
      <c r="C324" s="881"/>
    </row>
    <row r="325" spans="3:3" hidden="1">
      <c r="C325" s="881"/>
    </row>
    <row r="326" spans="3:3" hidden="1">
      <c r="C326" s="881"/>
    </row>
    <row r="327" spans="3:3" hidden="1">
      <c r="C327" s="881"/>
    </row>
    <row r="328" spans="3:3" hidden="1">
      <c r="C328" s="881"/>
    </row>
    <row r="329" spans="3:3" hidden="1">
      <c r="C329" s="881"/>
    </row>
    <row r="330" spans="3:3" hidden="1">
      <c r="C330" s="881"/>
    </row>
    <row r="331" spans="3:3" hidden="1">
      <c r="C331" s="881"/>
    </row>
    <row r="332" spans="3:3" hidden="1">
      <c r="C332" s="881"/>
    </row>
    <row r="333" spans="3:3" hidden="1">
      <c r="C333" s="881"/>
    </row>
    <row r="334" spans="3:3" hidden="1">
      <c r="C334" s="881"/>
    </row>
    <row r="335" spans="3:3" hidden="1">
      <c r="C335" s="881"/>
    </row>
    <row r="336" spans="3:3" hidden="1">
      <c r="C336" s="881"/>
    </row>
    <row r="337" spans="2:3" hidden="1">
      <c r="C337" s="881"/>
    </row>
    <row r="338" spans="2:3" hidden="1">
      <c r="C338" s="881"/>
    </row>
    <row r="339" spans="2:3" hidden="1">
      <c r="C339" s="881"/>
    </row>
    <row r="340" spans="2:3" hidden="1">
      <c r="C340" s="881"/>
    </row>
    <row r="341" spans="2:3" hidden="1">
      <c r="C341" s="881"/>
    </row>
    <row r="342" spans="2:3" hidden="1">
      <c r="C342" s="881"/>
    </row>
    <row r="343" spans="2:3" hidden="1">
      <c r="C343" s="881"/>
    </row>
    <row r="344" spans="2:3" hidden="1">
      <c r="C344" s="881"/>
    </row>
    <row r="345" spans="2:3" hidden="1">
      <c r="C345" s="881"/>
    </row>
    <row r="346" spans="2:3" hidden="1">
      <c r="C346" s="881"/>
    </row>
    <row r="347" spans="2:3" hidden="1">
      <c r="C347" s="881"/>
    </row>
    <row r="348" spans="2:3" hidden="1">
      <c r="C348" s="881"/>
    </row>
    <row r="349" spans="2:3" hidden="1">
      <c r="C349" s="881"/>
    </row>
    <row r="350" spans="2:3">
      <c r="B350" s="465"/>
      <c r="C350" s="877" t="s">
        <v>1227</v>
      </c>
    </row>
    <row r="351" spans="2:3">
      <c r="B351" s="465"/>
      <c r="C351" s="877" t="s">
        <v>1228</v>
      </c>
    </row>
    <row r="352" spans="2:3">
      <c r="B352" s="465"/>
      <c r="C352" s="877" t="s">
        <v>1297</v>
      </c>
    </row>
    <row r="353" spans="2:3">
      <c r="B353" s="465"/>
      <c r="C353" s="877" t="s">
        <v>1295</v>
      </c>
    </row>
    <row r="354" spans="2:3">
      <c r="B354" s="465"/>
      <c r="C354" s="877" t="s">
        <v>1296</v>
      </c>
    </row>
    <row r="355" spans="2:3">
      <c r="B355" s="465"/>
      <c r="C355" s="290"/>
    </row>
    <row r="356" spans="2:3" ht="15.75" thickBot="1">
      <c r="B356" s="773"/>
      <c r="C356" s="292"/>
    </row>
    <row r="357" spans="2:3" ht="15.75" thickTop="1">
      <c r="C357" s="277"/>
    </row>
    <row r="358" spans="2:3">
      <c r="C358" s="277"/>
    </row>
    <row r="359" spans="2:3">
      <c r="C359" s="277"/>
    </row>
    <row r="360" spans="2:3">
      <c r="C360" s="277"/>
    </row>
    <row r="361" spans="2:3">
      <c r="C361" s="277"/>
    </row>
    <row r="362" spans="2:3">
      <c r="C362" s="277"/>
    </row>
    <row r="363" spans="2:3">
      <c r="C363" s="277"/>
    </row>
    <row r="364" spans="2:3"/>
    <row r="365" spans="2:3"/>
    <row r="366" spans="2:3"/>
    <row r="367" spans="2:3"/>
    <row r="368" spans="2:3"/>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sheetData>
  <mergeCells count="1">
    <mergeCell ref="B2:C2"/>
  </mergeCells>
  <printOptions horizontalCentered="1"/>
  <pageMargins left="0.7" right="0.7" top="1.25" bottom="0.5" header="0.3" footer="0"/>
  <pageSetup scale="98" firstPageNumber="3" orientation="landscape" useFirstPageNumber="1" r:id="rId1"/>
  <headerFooter scaleWithDoc="0">
    <oddFooter>&amp;CPage &amp;P of 172</oddFooter>
  </headerFooter>
  <rowBreaks count="5" manualBreakCount="5">
    <brk id="21" max="3" man="1"/>
    <brk id="52" max="3" man="1"/>
    <brk id="83" max="3" man="1"/>
    <brk id="110" max="3" man="1"/>
    <brk id="128"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8"/>
  <sheetViews>
    <sheetView workbookViewId="0">
      <pane ySplit="11" topLeftCell="A27" activePane="bottomLeft" state="frozen"/>
      <selection pane="bottomLeft" activeCell="E3" sqref="E3"/>
    </sheetView>
  </sheetViews>
  <sheetFormatPr defaultRowHeight="15"/>
  <cols>
    <col min="5" max="5" width="8.109375" customWidth="1"/>
    <col min="11" max="11" width="7.88671875" bestFit="1" customWidth="1"/>
  </cols>
  <sheetData>
    <row r="1" spans="1:16" ht="30" customHeight="1" thickTop="1" thickBot="1">
      <c r="A1" s="1185" t="s">
        <v>1167</v>
      </c>
      <c r="B1" s="1186"/>
      <c r="C1" s="1186"/>
      <c r="D1" s="1186"/>
      <c r="E1" s="1186"/>
      <c r="F1" s="1186"/>
      <c r="G1" s="1186"/>
      <c r="H1" s="1186"/>
      <c r="I1" s="1187"/>
    </row>
    <row r="2" spans="1:16" ht="16.5" thickTop="1">
      <c r="A2" s="749"/>
      <c r="B2" s="4"/>
      <c r="C2" s="4" t="s">
        <v>183</v>
      </c>
      <c r="D2" s="4" t="s">
        <v>184</v>
      </c>
      <c r="E2" s="4" t="s">
        <v>540</v>
      </c>
      <c r="I2" s="750"/>
    </row>
    <row r="3" spans="1:16">
      <c r="A3" s="749"/>
      <c r="B3" s="27" t="s">
        <v>947</v>
      </c>
      <c r="C3" s="27">
        <f>COUNT(G12:G60)</f>
        <v>23</v>
      </c>
      <c r="D3" s="27">
        <f>COUNT(H12:H60)</f>
        <v>23</v>
      </c>
      <c r="E3" s="27">
        <f>COUNT(I12:I60)</f>
        <v>23</v>
      </c>
      <c r="I3" s="750"/>
    </row>
    <row r="4" spans="1:16">
      <c r="A4" s="749"/>
      <c r="B4" s="27">
        <v>0.05</v>
      </c>
      <c r="C4" s="671">
        <f>EXP(INDEX(G12:G34,C3*$B$4)+(INDEX(G12:G34,C3*$B$4+1)-INDEX(G12:G34,C3*$B$4))*(C3*$B$4-INT(C3*$B$4)))</f>
        <v>86.887354295125235</v>
      </c>
      <c r="D4" s="671">
        <f>EXP(INDEX(H12:H34,D3*$B$4)+(INDEX(H12:H34,D3*$B$4+1)-INDEX(H12:H34,D3*$B$4))*(D3*$B$4-INT(D3*$B$4)))</f>
        <v>3.0000000000000004</v>
      </c>
      <c r="E4" s="671">
        <f>EXP(INDEX(I12:I34,E3*$B$4)+(INDEX(I12:I34,E3*$B$4+1)-INDEX(I12:I34,E3*$B$4))*(E3*$B$4-INT(E3*$B$4)))</f>
        <v>0.39113761553283583</v>
      </c>
      <c r="I4" s="750"/>
    </row>
    <row r="5" spans="1:16">
      <c r="A5" s="749"/>
      <c r="B5" s="27" t="s">
        <v>948</v>
      </c>
      <c r="C5" s="671">
        <f>EXP(MODE(G12:G34))</f>
        <v>879.99999999999977</v>
      </c>
      <c r="D5" s="671">
        <f>EXP(MODE(H12:H34))</f>
        <v>4.9999999999999991</v>
      </c>
      <c r="E5" s="671">
        <f>EXP(MODE(I12:I34))</f>
        <v>2.5</v>
      </c>
      <c r="I5" s="750"/>
    </row>
    <row r="6" spans="1:16">
      <c r="A6" s="749"/>
      <c r="B6" s="27" t="s">
        <v>949</v>
      </c>
      <c r="C6" s="671">
        <f>EXP(MEDIAN(G12:G34))</f>
        <v>879.99999999999977</v>
      </c>
      <c r="D6" s="671">
        <f>EXP(MEDIAN(H12:H34))</f>
        <v>10.000000000000002</v>
      </c>
      <c r="E6" s="671">
        <f>EXP(MEDIAN(I12:I34))</f>
        <v>4.9715909090909092</v>
      </c>
      <c r="I6" s="750"/>
    </row>
    <row r="7" spans="1:16">
      <c r="A7" s="749"/>
      <c r="B7" s="27" t="s">
        <v>950</v>
      </c>
      <c r="C7" s="671">
        <f>EXP(AVERAGE(G12:G34))</f>
        <v>872.17684111549693</v>
      </c>
      <c r="D7" s="671">
        <f>EXP(AVERAGE(H12:H34))</f>
        <v>9.5909449521003634</v>
      </c>
      <c r="E7" s="671">
        <f>EXP(AVERAGE(I12:I34))</f>
        <v>4.7528409497929012</v>
      </c>
      <c r="I7" s="750"/>
    </row>
    <row r="8" spans="1:16">
      <c r="A8" s="749"/>
      <c r="B8" s="27" t="s">
        <v>131</v>
      </c>
      <c r="C8" s="671">
        <f>AVERAGE(B12:B34)</f>
        <v>1044.0869565217392</v>
      </c>
      <c r="D8" s="671">
        <f>AVERAGE(C12:C34)</f>
        <v>12.804347826086957</v>
      </c>
      <c r="E8" s="671">
        <f>AVERAGE(D12:D34)</f>
        <v>6.8969861660079053</v>
      </c>
      <c r="I8" s="750"/>
    </row>
    <row r="9" spans="1:16">
      <c r="A9" s="749"/>
      <c r="B9" s="27">
        <v>0.95</v>
      </c>
      <c r="C9" s="671">
        <f>EXP(INDEX(G12:G34,C3*$B$9)+(INDEX(G12:G34,C3*$B$9+1)-INDEX(G12:G34,C3*$B$9))*(C3*$B$9-INT(C3*$B$9)))</f>
        <v>1758.4963650980274</v>
      </c>
      <c r="D9" s="671">
        <f>EXP(INDEX(H12:H34,D3*$B$9)+(INDEX(H12:H34,D3*$B$9+1)-INDEX(H12:H34,D3*$B$9))*(D3*$B$9-INT(D3*$B$9)))</f>
        <v>28.436043083544863</v>
      </c>
      <c r="E9" s="671">
        <f>EXP(INDEX(I12:I34,E3*$B$9)+(INDEX(I12:I34,E3*$B$9+1)-INDEX(I12:I34,E3*$B$9))*(E3*$B$9-INT(E3*$B$9)))</f>
        <v>15.336422263328876</v>
      </c>
      <c r="I9" s="750"/>
    </row>
    <row r="10" spans="1:16" ht="15.75" thickBot="1">
      <c r="A10" s="749"/>
      <c r="I10" s="750"/>
    </row>
    <row r="11" spans="1:16" s="7" customFormat="1" ht="17.25" thickTop="1" thickBot="1">
      <c r="A11" s="751" t="s">
        <v>941</v>
      </c>
      <c r="B11" s="751" t="s">
        <v>183</v>
      </c>
      <c r="C11" s="751" t="s">
        <v>184</v>
      </c>
      <c r="D11" s="751" t="s">
        <v>540</v>
      </c>
      <c r="E11" s="752" t="s">
        <v>942</v>
      </c>
      <c r="F11" s="751" t="s">
        <v>943</v>
      </c>
      <c r="G11" s="751" t="s">
        <v>944</v>
      </c>
      <c r="H11" s="751" t="s">
        <v>945</v>
      </c>
      <c r="I11" s="751" t="s">
        <v>946</v>
      </c>
      <c r="J11" s="4"/>
      <c r="O11" s="4"/>
      <c r="P11" s="4"/>
    </row>
    <row r="12" spans="1:16" ht="15.75" thickTop="1">
      <c r="A12" s="27">
        <v>1</v>
      </c>
      <c r="B12" s="27">
        <v>75</v>
      </c>
      <c r="C12" s="27">
        <v>3</v>
      </c>
      <c r="D12" s="27">
        <v>0.34090909090909088</v>
      </c>
      <c r="E12" s="27">
        <f>(A12-0.5)/23</f>
        <v>2.1739130434782608E-2</v>
      </c>
      <c r="F12" s="27">
        <f t="shared" ref="F12:F32" si="0">NORMSINV(E12)</f>
        <v>-2.0190862005831423</v>
      </c>
      <c r="G12" s="27">
        <f t="shared" ref="G12:I21" si="1">LN(B12)</f>
        <v>4.3174881135363101</v>
      </c>
      <c r="H12" s="27">
        <f t="shared" si="1"/>
        <v>1.0986122886681098</v>
      </c>
      <c r="I12" s="27">
        <f t="shared" si="1"/>
        <v>-1.0761394328160512</v>
      </c>
      <c r="J12" s="27"/>
      <c r="O12" s="27"/>
      <c r="P12" s="27"/>
    </row>
    <row r="13" spans="1:16">
      <c r="A13" s="27">
        <v>2</v>
      </c>
      <c r="B13" s="27">
        <v>200</v>
      </c>
      <c r="C13" s="27">
        <v>3</v>
      </c>
      <c r="D13" s="27">
        <v>0.85227272727272718</v>
      </c>
      <c r="E13" s="27">
        <f t="shared" ref="E13:E34" si="2">(A13-0.5)/23</f>
        <v>6.5217391304347824E-2</v>
      </c>
      <c r="F13" s="27">
        <f t="shared" si="0"/>
        <v>-1.5123895860676801</v>
      </c>
      <c r="G13" s="27">
        <f t="shared" si="1"/>
        <v>5.2983173665480363</v>
      </c>
      <c r="H13" s="27">
        <f t="shared" si="1"/>
        <v>1.0986122886681098</v>
      </c>
      <c r="I13" s="27">
        <f t="shared" si="1"/>
        <v>-0.15984870094189613</v>
      </c>
      <c r="J13" s="27"/>
      <c r="O13" s="27"/>
      <c r="P13" s="27"/>
    </row>
    <row r="14" spans="1:16">
      <c r="A14" s="27">
        <v>3</v>
      </c>
      <c r="B14" s="27">
        <v>440</v>
      </c>
      <c r="C14" s="27">
        <v>5</v>
      </c>
      <c r="D14" s="27">
        <v>1.7045454545454544</v>
      </c>
      <c r="E14" s="27">
        <f t="shared" si="2"/>
        <v>0.10869565217391304</v>
      </c>
      <c r="F14" s="27">
        <f t="shared" si="0"/>
        <v>-1.2334945619686917</v>
      </c>
      <c r="G14" s="27">
        <f t="shared" si="1"/>
        <v>6.0867747269123065</v>
      </c>
      <c r="H14" s="27">
        <f t="shared" si="1"/>
        <v>1.6094379124341003</v>
      </c>
      <c r="I14" s="27">
        <f t="shared" si="1"/>
        <v>0.53329847961804921</v>
      </c>
      <c r="J14" s="27"/>
      <c r="O14" s="27"/>
      <c r="P14" s="27"/>
    </row>
    <row r="15" spans="1:16">
      <c r="A15" s="27">
        <v>4</v>
      </c>
      <c r="B15" s="27">
        <v>600</v>
      </c>
      <c r="C15" s="27">
        <v>5</v>
      </c>
      <c r="D15" s="27">
        <v>2.5</v>
      </c>
      <c r="E15" s="27">
        <f t="shared" si="2"/>
        <v>0.15217391304347827</v>
      </c>
      <c r="F15" s="27">
        <f t="shared" si="0"/>
        <v>-1.0271542729149992</v>
      </c>
      <c r="G15" s="27">
        <f t="shared" si="1"/>
        <v>6.3969296552161463</v>
      </c>
      <c r="H15" s="27">
        <f t="shared" si="1"/>
        <v>1.6094379124341003</v>
      </c>
      <c r="I15" s="27">
        <f t="shared" si="1"/>
        <v>0.91629073187415511</v>
      </c>
      <c r="J15" s="27"/>
      <c r="O15" s="27"/>
      <c r="P15" s="27"/>
    </row>
    <row r="16" spans="1:16">
      <c r="A16" s="27">
        <v>5</v>
      </c>
      <c r="B16" s="27">
        <v>800</v>
      </c>
      <c r="C16" s="27">
        <v>5</v>
      </c>
      <c r="D16" s="27">
        <v>2.5</v>
      </c>
      <c r="E16" s="27">
        <f t="shared" si="2"/>
        <v>0.19565217391304349</v>
      </c>
      <c r="F16" s="27">
        <f t="shared" si="0"/>
        <v>-0.85725432022117776</v>
      </c>
      <c r="G16" s="27">
        <f t="shared" si="1"/>
        <v>6.6846117276679271</v>
      </c>
      <c r="H16" s="27">
        <f t="shared" si="1"/>
        <v>1.6094379124341003</v>
      </c>
      <c r="I16" s="27">
        <f t="shared" si="1"/>
        <v>0.91629073187415511</v>
      </c>
      <c r="J16" s="27"/>
      <c r="O16" s="27"/>
      <c r="P16" s="27"/>
    </row>
    <row r="17" spans="1:16">
      <c r="A17" s="27">
        <v>6</v>
      </c>
      <c r="B17" s="27">
        <v>880</v>
      </c>
      <c r="C17" s="27">
        <v>5</v>
      </c>
      <c r="D17" s="27">
        <v>2.5</v>
      </c>
      <c r="E17" s="27">
        <f t="shared" si="2"/>
        <v>0.2391304347826087</v>
      </c>
      <c r="F17" s="27">
        <f t="shared" si="0"/>
        <v>-0.70910250340902359</v>
      </c>
      <c r="G17" s="27">
        <f t="shared" si="1"/>
        <v>6.7799219074722519</v>
      </c>
      <c r="H17" s="27">
        <f t="shared" si="1"/>
        <v>1.6094379124341003</v>
      </c>
      <c r="I17" s="27">
        <f t="shared" si="1"/>
        <v>0.91629073187415511</v>
      </c>
      <c r="J17" s="27"/>
      <c r="O17" s="27"/>
      <c r="P17" s="27"/>
    </row>
    <row r="18" spans="1:16">
      <c r="A18" s="27">
        <v>7</v>
      </c>
      <c r="B18" s="27">
        <v>880</v>
      </c>
      <c r="C18" s="27">
        <v>5</v>
      </c>
      <c r="D18" s="27">
        <v>2.6982954545454545</v>
      </c>
      <c r="E18" s="27">
        <f t="shared" si="2"/>
        <v>0.28260869565217389</v>
      </c>
      <c r="F18" s="27">
        <f t="shared" si="0"/>
        <v>-0.5751092812784383</v>
      </c>
      <c r="G18" s="27">
        <f t="shared" si="1"/>
        <v>6.7799219074722519</v>
      </c>
      <c r="H18" s="27">
        <f t="shared" si="1"/>
        <v>1.6094379124341003</v>
      </c>
      <c r="I18" s="27">
        <f t="shared" si="1"/>
        <v>0.99262026051692431</v>
      </c>
      <c r="J18" s="27"/>
      <c r="O18" s="27"/>
      <c r="P18" s="27"/>
    </row>
    <row r="19" spans="1:16">
      <c r="A19" s="27">
        <v>8</v>
      </c>
      <c r="B19" s="27">
        <v>880</v>
      </c>
      <c r="C19" s="27">
        <v>5</v>
      </c>
      <c r="D19" s="27">
        <v>2.95</v>
      </c>
      <c r="E19" s="27">
        <f t="shared" si="2"/>
        <v>0.32608695652173914</v>
      </c>
      <c r="F19" s="27">
        <f t="shared" si="0"/>
        <v>-0.4507442126153593</v>
      </c>
      <c r="G19" s="27">
        <f t="shared" si="1"/>
        <v>6.7799219074722519</v>
      </c>
      <c r="H19" s="27">
        <f t="shared" si="1"/>
        <v>1.6094379124341003</v>
      </c>
      <c r="I19" s="27">
        <f t="shared" si="1"/>
        <v>1.0818051703517284</v>
      </c>
      <c r="J19" s="27"/>
      <c r="M19" s="27"/>
      <c r="N19" s="27"/>
      <c r="O19" s="27"/>
      <c r="P19" s="27"/>
    </row>
    <row r="20" spans="1:16">
      <c r="A20" s="27">
        <v>9</v>
      </c>
      <c r="B20" s="27">
        <v>880</v>
      </c>
      <c r="C20" s="27">
        <v>5.9</v>
      </c>
      <c r="D20" s="27">
        <v>3</v>
      </c>
      <c r="E20" s="27">
        <f t="shared" si="2"/>
        <v>0.36956521739130432</v>
      </c>
      <c r="F20" s="27">
        <f t="shared" si="0"/>
        <v>-0.33300509819729662</v>
      </c>
      <c r="G20" s="27">
        <f t="shared" si="1"/>
        <v>6.7799219074722519</v>
      </c>
      <c r="H20" s="27">
        <f t="shared" si="1"/>
        <v>1.7749523509116738</v>
      </c>
      <c r="I20" s="27">
        <f t="shared" si="1"/>
        <v>1.0986122886681098</v>
      </c>
      <c r="J20" s="27"/>
      <c r="M20" s="27"/>
      <c r="N20" s="27"/>
      <c r="O20" s="27"/>
      <c r="P20" s="27"/>
    </row>
    <row r="21" spans="1:16">
      <c r="A21" s="27">
        <v>10</v>
      </c>
      <c r="B21" s="27">
        <v>880</v>
      </c>
      <c r="C21" s="27">
        <v>5.9</v>
      </c>
      <c r="D21" s="27">
        <v>4.4249999999999998</v>
      </c>
      <c r="E21" s="27">
        <f t="shared" si="2"/>
        <v>0.41304347826086957</v>
      </c>
      <c r="F21" s="27">
        <f t="shared" si="0"/>
        <v>-0.21972291581857983</v>
      </c>
      <c r="G21" s="27">
        <f t="shared" si="1"/>
        <v>6.7799219074722519</v>
      </c>
      <c r="H21" s="27">
        <f t="shared" si="1"/>
        <v>1.7749523509116738</v>
      </c>
      <c r="I21" s="27">
        <f t="shared" si="1"/>
        <v>1.4872702784598928</v>
      </c>
      <c r="J21" s="27"/>
      <c r="M21" s="27"/>
      <c r="N21" s="27"/>
      <c r="O21" s="27"/>
      <c r="P21" s="27"/>
    </row>
    <row r="22" spans="1:16">
      <c r="A22" s="27">
        <v>11</v>
      </c>
      <c r="B22" s="27">
        <v>880</v>
      </c>
      <c r="C22" s="27">
        <v>6</v>
      </c>
      <c r="D22" s="27">
        <v>4.4971590909090908</v>
      </c>
      <c r="E22" s="27">
        <f t="shared" si="2"/>
        <v>0.45652173913043476</v>
      </c>
      <c r="F22" s="27">
        <f t="shared" si="0"/>
        <v>-0.10920048169143172</v>
      </c>
      <c r="G22" s="27">
        <f t="shared" ref="G22:G34" si="3">LN(B22)</f>
        <v>6.7799219074722519</v>
      </c>
      <c r="H22" s="27">
        <f t="shared" ref="H22:H34" si="4">LN(C22)</f>
        <v>1.791759469228055</v>
      </c>
      <c r="I22" s="27">
        <f t="shared" ref="I22:I34" si="5">LN(D22)</f>
        <v>1.503445884282915</v>
      </c>
      <c r="J22" s="27"/>
      <c r="M22" s="27"/>
      <c r="N22" s="27"/>
      <c r="O22" s="27"/>
      <c r="P22" s="27"/>
    </row>
    <row r="23" spans="1:16">
      <c r="A23" s="27">
        <v>12</v>
      </c>
      <c r="B23" s="27">
        <v>880</v>
      </c>
      <c r="C23" s="27">
        <v>10</v>
      </c>
      <c r="D23" s="27">
        <v>4.9715909090909092</v>
      </c>
      <c r="E23" s="27">
        <f t="shared" si="2"/>
        <v>0.5</v>
      </c>
      <c r="F23" s="27">
        <f t="shared" si="0"/>
        <v>0</v>
      </c>
      <c r="G23" s="27">
        <f t="shared" si="3"/>
        <v>6.7799219074722519</v>
      </c>
      <c r="H23" s="27">
        <f t="shared" si="4"/>
        <v>2.3025850929940459</v>
      </c>
      <c r="I23" s="27">
        <f t="shared" si="5"/>
        <v>1.6037398913194627</v>
      </c>
      <c r="J23" s="27"/>
      <c r="M23" s="27"/>
      <c r="N23" s="27"/>
      <c r="O23" s="27"/>
      <c r="P23" s="27"/>
    </row>
    <row r="24" spans="1:16">
      <c r="A24" s="27">
        <v>13</v>
      </c>
      <c r="B24" s="27">
        <v>880</v>
      </c>
      <c r="C24" s="27">
        <v>10</v>
      </c>
      <c r="D24" s="27">
        <v>6</v>
      </c>
      <c r="E24" s="27">
        <f t="shared" si="2"/>
        <v>0.54347826086956519</v>
      </c>
      <c r="F24" s="27">
        <f t="shared" si="0"/>
        <v>0.10920048169143155</v>
      </c>
      <c r="G24" s="27">
        <f t="shared" si="3"/>
        <v>6.7799219074722519</v>
      </c>
      <c r="H24" s="27">
        <f t="shared" si="4"/>
        <v>2.3025850929940459</v>
      </c>
      <c r="I24" s="27">
        <f t="shared" si="5"/>
        <v>1.791759469228055</v>
      </c>
      <c r="J24" s="27"/>
      <c r="M24" s="27"/>
      <c r="N24" s="27"/>
      <c r="O24" s="27"/>
      <c r="P24" s="27"/>
    </row>
    <row r="25" spans="1:16">
      <c r="A25" s="27">
        <v>14</v>
      </c>
      <c r="B25" s="27">
        <v>880</v>
      </c>
      <c r="C25" s="27">
        <v>12</v>
      </c>
      <c r="D25" s="27">
        <v>7.3250000000000002</v>
      </c>
      <c r="E25" s="27">
        <f t="shared" si="2"/>
        <v>0.58695652173913049</v>
      </c>
      <c r="F25" s="27">
        <f t="shared" si="0"/>
        <v>0.21972291581858003</v>
      </c>
      <c r="G25" s="27">
        <f t="shared" si="3"/>
        <v>6.7799219074722519</v>
      </c>
      <c r="H25" s="27">
        <f t="shared" si="4"/>
        <v>2.4849066497880004</v>
      </c>
      <c r="I25" s="27">
        <f t="shared" si="5"/>
        <v>1.991293154903131</v>
      </c>
      <c r="J25" s="27"/>
      <c r="M25" s="27"/>
      <c r="N25" s="27"/>
      <c r="O25" s="27"/>
      <c r="P25" s="27"/>
    </row>
    <row r="26" spans="1:16">
      <c r="A26" s="27">
        <v>15</v>
      </c>
      <c r="B26" s="27">
        <v>1100</v>
      </c>
      <c r="C26" s="27">
        <v>15.9</v>
      </c>
      <c r="D26" s="27">
        <v>8.5</v>
      </c>
      <c r="E26" s="27">
        <f t="shared" si="2"/>
        <v>0.63043478260869568</v>
      </c>
      <c r="F26" s="27">
        <f t="shared" si="0"/>
        <v>0.33300509819729662</v>
      </c>
      <c r="G26" s="27">
        <f t="shared" si="3"/>
        <v>7.0030654587864616</v>
      </c>
      <c r="H26" s="27">
        <f t="shared" si="4"/>
        <v>2.7663191092261861</v>
      </c>
      <c r="I26" s="27">
        <f t="shared" si="5"/>
        <v>2.1400661634962708</v>
      </c>
      <c r="J26" s="27"/>
      <c r="M26" s="27"/>
      <c r="N26" s="27"/>
      <c r="O26" s="27"/>
      <c r="P26" s="27"/>
    </row>
    <row r="27" spans="1:16">
      <c r="A27" s="27">
        <v>16</v>
      </c>
      <c r="B27" s="27">
        <v>1100</v>
      </c>
      <c r="C27" s="27">
        <v>17</v>
      </c>
      <c r="D27" s="27">
        <v>8.9943181818181817</v>
      </c>
      <c r="E27" s="27">
        <f t="shared" si="2"/>
        <v>0.67391304347826086</v>
      </c>
      <c r="F27" s="27">
        <f t="shared" si="0"/>
        <v>0.4507442126153593</v>
      </c>
      <c r="G27" s="27">
        <f t="shared" si="3"/>
        <v>7.0030654587864616</v>
      </c>
      <c r="H27" s="27">
        <f t="shared" si="4"/>
        <v>2.8332133440562162</v>
      </c>
      <c r="I27" s="27">
        <f t="shared" si="5"/>
        <v>2.1965930648428604</v>
      </c>
      <c r="J27" s="27"/>
      <c r="M27" s="27"/>
      <c r="N27" s="27"/>
      <c r="O27" s="27"/>
      <c r="P27" s="27"/>
    </row>
    <row r="28" spans="1:16">
      <c r="A28" s="27">
        <v>17</v>
      </c>
      <c r="B28" s="27">
        <v>1320</v>
      </c>
      <c r="C28" s="27">
        <v>17</v>
      </c>
      <c r="D28" s="27">
        <v>10</v>
      </c>
      <c r="E28" s="27">
        <f t="shared" si="2"/>
        <v>0.71739130434782605</v>
      </c>
      <c r="F28" s="27">
        <f t="shared" si="0"/>
        <v>0.57510928127843797</v>
      </c>
      <c r="G28" s="27">
        <f t="shared" si="3"/>
        <v>7.1853870155804165</v>
      </c>
      <c r="H28" s="27">
        <f t="shared" si="4"/>
        <v>2.8332133440562162</v>
      </c>
      <c r="I28" s="27">
        <f t="shared" si="5"/>
        <v>2.3025850929940459</v>
      </c>
      <c r="J28" s="27"/>
      <c r="M28" s="27"/>
      <c r="N28" s="27"/>
      <c r="O28" s="27"/>
      <c r="P28" s="27"/>
    </row>
    <row r="29" spans="1:16">
      <c r="A29" s="27">
        <v>18</v>
      </c>
      <c r="B29" s="27">
        <v>1583</v>
      </c>
      <c r="C29" s="27">
        <v>17.5</v>
      </c>
      <c r="D29" s="27">
        <v>10.625</v>
      </c>
      <c r="E29" s="27">
        <f t="shared" si="2"/>
        <v>0.76086956521739135</v>
      </c>
      <c r="F29" s="27">
        <f t="shared" si="0"/>
        <v>0.70910250340902437</v>
      </c>
      <c r="G29" s="27">
        <f t="shared" si="3"/>
        <v>7.3670770598810122</v>
      </c>
      <c r="H29" s="27">
        <f t="shared" si="4"/>
        <v>2.8622008809294686</v>
      </c>
      <c r="I29" s="27">
        <f t="shared" si="5"/>
        <v>2.3632097148104805</v>
      </c>
      <c r="J29" s="27"/>
      <c r="M29" s="27"/>
      <c r="N29" s="27"/>
      <c r="O29" s="27"/>
      <c r="P29" s="27"/>
    </row>
    <row r="30" spans="1:16">
      <c r="A30" s="27">
        <v>19</v>
      </c>
      <c r="B30" s="27">
        <v>1583</v>
      </c>
      <c r="C30" s="27">
        <v>20</v>
      </c>
      <c r="D30" s="27">
        <v>10.909090909090908</v>
      </c>
      <c r="E30" s="27">
        <f t="shared" si="2"/>
        <v>0.80434782608695654</v>
      </c>
      <c r="F30" s="27">
        <f t="shared" si="0"/>
        <v>0.85725432022117776</v>
      </c>
      <c r="G30" s="27">
        <f t="shared" si="3"/>
        <v>7.3670770598810122</v>
      </c>
      <c r="H30" s="27">
        <f t="shared" si="4"/>
        <v>2.9957322735539909</v>
      </c>
      <c r="I30" s="27">
        <f t="shared" si="5"/>
        <v>2.3895964699836756</v>
      </c>
      <c r="J30" s="27"/>
      <c r="M30" s="27"/>
      <c r="N30" s="27"/>
      <c r="O30" s="27"/>
      <c r="P30" s="27"/>
    </row>
    <row r="31" spans="1:16">
      <c r="A31" s="27">
        <v>20</v>
      </c>
      <c r="B31" s="27">
        <v>1583</v>
      </c>
      <c r="C31" s="27">
        <v>20</v>
      </c>
      <c r="D31" s="27">
        <v>10.9375</v>
      </c>
      <c r="E31" s="27">
        <f t="shared" si="2"/>
        <v>0.84782608695652173</v>
      </c>
      <c r="F31" s="27">
        <f t="shared" si="0"/>
        <v>1.0271542729149992</v>
      </c>
      <c r="G31" s="27">
        <f t="shared" si="3"/>
        <v>7.3670770598810122</v>
      </c>
      <c r="H31" s="27">
        <f t="shared" si="4"/>
        <v>2.9957322735539909</v>
      </c>
      <c r="I31" s="27">
        <f t="shared" si="5"/>
        <v>2.3921972516837329</v>
      </c>
      <c r="J31" s="27"/>
    </row>
    <row r="32" spans="1:16">
      <c r="A32" s="27">
        <v>21</v>
      </c>
      <c r="B32" s="27">
        <v>1750</v>
      </c>
      <c r="C32" s="27">
        <v>24</v>
      </c>
      <c r="D32" s="27">
        <v>12.5</v>
      </c>
      <c r="E32" s="27">
        <f t="shared" si="2"/>
        <v>0.89130434782608692</v>
      </c>
      <c r="F32" s="27">
        <f t="shared" si="0"/>
        <v>1.233494561968691</v>
      </c>
      <c r="G32" s="27">
        <f t="shared" si="3"/>
        <v>7.4673710669175595</v>
      </c>
      <c r="H32" s="27">
        <f t="shared" si="4"/>
        <v>3.1780538303479458</v>
      </c>
      <c r="I32" s="27">
        <f t="shared" si="5"/>
        <v>2.5257286443082556</v>
      </c>
      <c r="J32" s="27"/>
      <c r="M32" s="125"/>
    </row>
    <row r="33" spans="1:16">
      <c r="A33" s="27">
        <v>22</v>
      </c>
      <c r="B33" s="27">
        <v>1760</v>
      </c>
      <c r="C33" s="27">
        <v>29.3</v>
      </c>
      <c r="D33" s="27">
        <v>15.9</v>
      </c>
      <c r="E33" s="27">
        <f t="shared" si="2"/>
        <v>0.93478260869565222</v>
      </c>
      <c r="F33" s="27">
        <f>NORMSINV(E33)</f>
        <v>1.5123895860676808</v>
      </c>
      <c r="G33" s="27">
        <f t="shared" si="3"/>
        <v>7.4730690880321973</v>
      </c>
      <c r="H33" s="27">
        <f t="shared" si="4"/>
        <v>3.3775875160230218</v>
      </c>
      <c r="I33" s="27">
        <f t="shared" si="5"/>
        <v>2.7663191092261861</v>
      </c>
      <c r="J33" s="27"/>
    </row>
    <row r="34" spans="1:16">
      <c r="A34" s="27">
        <v>23</v>
      </c>
      <c r="B34" s="27">
        <v>2200</v>
      </c>
      <c r="C34" s="27">
        <v>48</v>
      </c>
      <c r="D34" s="27">
        <v>24</v>
      </c>
      <c r="E34" s="27">
        <f t="shared" si="2"/>
        <v>0.97826086956521741</v>
      </c>
      <c r="F34" s="27">
        <f>NORMSINV(E34)</f>
        <v>2.0190862005831423</v>
      </c>
      <c r="G34" s="27">
        <f t="shared" si="3"/>
        <v>7.696212639346407</v>
      </c>
      <c r="H34" s="27">
        <f t="shared" si="4"/>
        <v>3.8712010109078911</v>
      </c>
      <c r="I34" s="27">
        <f t="shared" si="5"/>
        <v>3.1780538303479458</v>
      </c>
      <c r="J34" s="27"/>
      <c r="K34" s="27"/>
      <c r="N34" s="27"/>
      <c r="O34" s="27"/>
      <c r="P34" s="27"/>
    </row>
    <row r="35" spans="1:16">
      <c r="A35" s="671"/>
      <c r="B35" s="671"/>
      <c r="C35" s="671"/>
      <c r="D35" s="671"/>
      <c r="E35" s="671"/>
      <c r="F35" s="671"/>
      <c r="G35" s="671"/>
      <c r="H35" s="671"/>
      <c r="I35" s="671"/>
      <c r="J35" s="27"/>
      <c r="K35" s="27"/>
      <c r="N35" s="27"/>
      <c r="O35" s="27"/>
      <c r="P35" s="27"/>
    </row>
    <row r="36" spans="1:16">
      <c r="A36" s="671"/>
      <c r="B36" s="671"/>
      <c r="C36" s="671"/>
      <c r="D36" s="671"/>
      <c r="E36" s="671"/>
      <c r="F36" s="671"/>
      <c r="G36" s="671"/>
      <c r="H36" s="671"/>
      <c r="I36" s="671"/>
      <c r="J36" s="27"/>
      <c r="K36" s="27"/>
      <c r="N36" s="27"/>
      <c r="O36" s="27"/>
      <c r="P36" s="27"/>
    </row>
    <row r="37" spans="1:16">
      <c r="A37" s="671"/>
      <c r="B37" s="671"/>
      <c r="C37" s="671"/>
      <c r="D37" s="671"/>
      <c r="E37" s="671"/>
      <c r="F37" s="671"/>
      <c r="G37" s="671"/>
      <c r="H37" s="671"/>
      <c r="I37" s="671"/>
      <c r="J37" s="27"/>
      <c r="K37" s="27"/>
      <c r="N37" s="27"/>
      <c r="O37" s="27"/>
      <c r="P37" s="27"/>
    </row>
    <row r="38" spans="1:16">
      <c r="A38" s="671"/>
      <c r="B38" s="671"/>
      <c r="C38" s="671"/>
      <c r="D38" s="671"/>
      <c r="E38" s="671"/>
      <c r="F38" s="671"/>
      <c r="G38" s="671"/>
      <c r="H38" s="671"/>
      <c r="I38" s="671"/>
      <c r="J38" s="27"/>
      <c r="K38" s="27"/>
      <c r="N38" s="27"/>
      <c r="O38" s="27"/>
      <c r="P38" s="27"/>
    </row>
    <row r="39" spans="1:16">
      <c r="A39" s="671"/>
      <c r="B39" s="671"/>
      <c r="C39" s="671"/>
      <c r="D39" s="671"/>
      <c r="E39" s="671"/>
      <c r="F39" s="671"/>
      <c r="G39" s="671"/>
      <c r="H39" s="671"/>
      <c r="I39" s="671"/>
      <c r="J39" s="27"/>
      <c r="K39" s="27"/>
      <c r="N39" s="27"/>
      <c r="O39" s="27"/>
      <c r="P39" s="27"/>
    </row>
    <row r="40" spans="1:16">
      <c r="A40" s="671"/>
      <c r="B40" s="671"/>
      <c r="C40" s="671"/>
      <c r="D40" s="671"/>
      <c r="E40" s="671"/>
      <c r="F40" s="671"/>
      <c r="G40" s="671"/>
      <c r="H40" s="671"/>
      <c r="I40" s="671"/>
      <c r="J40" s="27"/>
      <c r="K40" s="27"/>
      <c r="N40" s="27"/>
      <c r="O40" s="27"/>
      <c r="P40" s="27"/>
    </row>
    <row r="41" spans="1:16">
      <c r="A41" s="671"/>
      <c r="B41" s="671"/>
      <c r="C41" s="671"/>
      <c r="D41" s="671"/>
      <c r="E41" s="671"/>
      <c r="F41" s="671"/>
      <c r="G41" s="671"/>
      <c r="H41" s="671"/>
      <c r="I41" s="671"/>
      <c r="J41" s="27"/>
      <c r="K41" s="27"/>
      <c r="N41" s="27"/>
      <c r="O41" s="27"/>
      <c r="P41" s="27"/>
    </row>
    <row r="42" spans="1:16">
      <c r="A42" s="671"/>
      <c r="B42" s="671"/>
      <c r="C42" s="671"/>
      <c r="D42" s="671"/>
      <c r="E42" s="671"/>
      <c r="F42" s="671"/>
      <c r="G42" s="671"/>
      <c r="H42" s="671"/>
      <c r="I42" s="671"/>
      <c r="J42" s="27"/>
      <c r="K42" s="27"/>
      <c r="N42" s="27"/>
      <c r="O42" s="27"/>
      <c r="P42" s="27"/>
    </row>
    <row r="43" spans="1:16">
      <c r="A43" s="671"/>
      <c r="B43" s="671"/>
      <c r="C43" s="671"/>
      <c r="D43" s="671"/>
      <c r="E43" s="671"/>
      <c r="F43" s="671"/>
      <c r="G43" s="671"/>
      <c r="H43" s="671"/>
      <c r="I43" s="671"/>
      <c r="J43" s="27"/>
      <c r="K43" s="27"/>
      <c r="N43" s="27"/>
      <c r="O43" s="27"/>
      <c r="P43" s="27"/>
    </row>
    <row r="44" spans="1:16">
      <c r="A44" s="671"/>
      <c r="B44" s="671"/>
      <c r="C44" s="671"/>
      <c r="D44" s="671"/>
      <c r="E44" s="671"/>
      <c r="F44" s="671"/>
      <c r="G44" s="671"/>
      <c r="H44" s="671"/>
      <c r="I44" s="671"/>
      <c r="J44" s="27"/>
      <c r="K44" s="27"/>
      <c r="N44" s="27"/>
      <c r="O44" s="27"/>
      <c r="P44" s="27"/>
    </row>
    <row r="45" spans="1:16">
      <c r="A45" s="671"/>
      <c r="B45" s="671"/>
      <c r="C45" s="671"/>
      <c r="D45" s="671"/>
      <c r="E45" s="671"/>
      <c r="F45" s="671"/>
      <c r="G45" s="671"/>
      <c r="H45" s="671"/>
      <c r="I45" s="671"/>
      <c r="J45" s="27"/>
      <c r="K45" s="27"/>
      <c r="N45" s="27"/>
      <c r="O45" s="27"/>
      <c r="P45" s="27"/>
    </row>
    <row r="46" spans="1:16">
      <c r="A46" s="671"/>
      <c r="B46" s="671"/>
      <c r="C46" s="671"/>
      <c r="D46" s="671"/>
      <c r="E46" s="671"/>
      <c r="F46" s="671"/>
      <c r="G46" s="671"/>
      <c r="H46" s="671"/>
      <c r="I46" s="671"/>
      <c r="J46" s="27"/>
      <c r="K46" s="27"/>
      <c r="N46" s="27"/>
      <c r="O46" s="27"/>
      <c r="P46" s="27"/>
    </row>
    <row r="47" spans="1:16">
      <c r="A47" s="671"/>
      <c r="B47" s="671"/>
      <c r="C47" s="671"/>
      <c r="D47" s="671"/>
      <c r="E47" s="671"/>
      <c r="F47" s="671"/>
      <c r="G47" s="671"/>
      <c r="H47" s="671"/>
      <c r="I47" s="671"/>
      <c r="J47" s="27"/>
      <c r="K47" s="27"/>
      <c r="N47" s="27"/>
      <c r="O47" s="27"/>
      <c r="P47" s="27"/>
    </row>
    <row r="48" spans="1:16">
      <c r="A48" s="671"/>
      <c r="B48" s="671"/>
      <c r="C48" s="671"/>
      <c r="D48" s="671"/>
      <c r="E48" s="671"/>
      <c r="F48" s="671"/>
      <c r="G48" s="671"/>
      <c r="H48" s="671"/>
      <c r="I48" s="671"/>
      <c r="J48" s="27"/>
      <c r="K48" s="27"/>
      <c r="N48" s="27"/>
      <c r="O48" s="27"/>
      <c r="P48" s="27"/>
    </row>
    <row r="49" spans="1:16">
      <c r="A49" s="671"/>
      <c r="B49" s="671"/>
      <c r="C49" s="671"/>
      <c r="D49" s="671"/>
      <c r="E49" s="671"/>
      <c r="F49" s="671"/>
      <c r="G49" s="671"/>
      <c r="H49" s="671"/>
      <c r="I49" s="671"/>
      <c r="J49" s="27"/>
      <c r="K49" s="27"/>
      <c r="N49" s="27"/>
      <c r="O49" s="27"/>
      <c r="P49" s="27"/>
    </row>
    <row r="50" spans="1:16">
      <c r="A50" s="671"/>
      <c r="B50" s="671"/>
      <c r="C50" s="671"/>
      <c r="D50" s="671"/>
      <c r="E50" s="671"/>
      <c r="F50" s="671"/>
      <c r="G50" s="671"/>
      <c r="H50" s="671"/>
      <c r="I50" s="671"/>
      <c r="J50" s="27"/>
      <c r="K50" s="27"/>
      <c r="N50" s="27"/>
      <c r="O50" s="27"/>
      <c r="P50" s="27"/>
    </row>
    <row r="51" spans="1:16">
      <c r="A51" s="671"/>
      <c r="B51" s="671"/>
      <c r="C51" s="671"/>
      <c r="D51" s="671"/>
      <c r="E51" s="671"/>
      <c r="F51" s="671"/>
      <c r="G51" s="671"/>
      <c r="H51" s="671"/>
      <c r="I51" s="671"/>
      <c r="J51" s="27"/>
      <c r="K51" s="27"/>
      <c r="N51" s="27"/>
      <c r="O51" s="27"/>
      <c r="P51" s="27"/>
    </row>
    <row r="52" spans="1:16">
      <c r="A52" s="671"/>
      <c r="B52" s="671"/>
      <c r="C52" s="671"/>
      <c r="D52" s="671"/>
      <c r="E52" s="671"/>
      <c r="F52" s="671"/>
      <c r="G52" s="671"/>
      <c r="H52" s="671"/>
      <c r="I52" s="671"/>
      <c r="J52" s="27"/>
      <c r="K52" s="27"/>
      <c r="N52" s="27"/>
      <c r="O52" s="27"/>
      <c r="P52" s="27"/>
    </row>
    <row r="53" spans="1:16">
      <c r="A53" s="671"/>
      <c r="B53" s="671"/>
      <c r="C53" s="671"/>
      <c r="D53" s="671"/>
      <c r="E53" s="671"/>
      <c r="F53" s="671"/>
      <c r="G53" s="671"/>
      <c r="H53" s="671"/>
      <c r="I53" s="671"/>
      <c r="J53" s="27"/>
    </row>
    <row r="54" spans="1:16">
      <c r="A54" s="671"/>
      <c r="B54" s="671"/>
      <c r="C54" s="671"/>
      <c r="D54" s="671"/>
      <c r="E54" s="671"/>
      <c r="F54" s="671"/>
      <c r="G54" s="671"/>
      <c r="H54" s="671"/>
      <c r="I54" s="671"/>
      <c r="J54" s="27"/>
    </row>
    <row r="55" spans="1:16">
      <c r="A55" s="671"/>
      <c r="B55" s="671"/>
      <c r="C55" s="671"/>
      <c r="D55" s="671"/>
      <c r="E55" s="671"/>
      <c r="F55" s="671"/>
      <c r="G55" s="671"/>
      <c r="H55" s="671"/>
      <c r="I55" s="671"/>
      <c r="J55" s="27"/>
    </row>
    <row r="56" spans="1:16">
      <c r="A56" s="671"/>
      <c r="B56" s="671"/>
      <c r="C56" s="671"/>
      <c r="D56" s="671"/>
      <c r="E56" s="671"/>
      <c r="F56" s="671"/>
      <c r="G56" s="671"/>
      <c r="H56" s="671"/>
      <c r="I56" s="671"/>
      <c r="J56" s="27"/>
    </row>
    <row r="57" spans="1:16">
      <c r="A57" s="671"/>
      <c r="B57" s="671"/>
      <c r="C57" s="671"/>
      <c r="D57" s="671"/>
      <c r="E57" s="671"/>
      <c r="F57" s="671"/>
      <c r="G57" s="671"/>
      <c r="H57" s="671"/>
      <c r="I57" s="671"/>
      <c r="J57" s="27"/>
    </row>
    <row r="58" spans="1:16">
      <c r="A58" s="671"/>
      <c r="B58" s="671"/>
      <c r="C58" s="671"/>
      <c r="D58" s="671"/>
      <c r="E58" s="671"/>
      <c r="F58" s="671"/>
      <c r="G58" s="671"/>
      <c r="H58" s="671"/>
      <c r="I58" s="671"/>
      <c r="J58" s="27"/>
    </row>
    <row r="59" spans="1:16">
      <c r="A59" s="671"/>
      <c r="B59" s="671"/>
      <c r="C59" s="671"/>
      <c r="D59" s="671"/>
      <c r="E59" s="671"/>
      <c r="F59" s="671"/>
      <c r="G59" s="671"/>
      <c r="H59" s="671"/>
      <c r="I59" s="671"/>
      <c r="J59" s="27"/>
    </row>
    <row r="60" spans="1:16">
      <c r="A60" s="671"/>
      <c r="B60" s="671"/>
      <c r="C60" s="671"/>
      <c r="D60" s="671"/>
      <c r="E60" s="671"/>
      <c r="F60" s="671"/>
      <c r="G60" s="671"/>
      <c r="H60" s="671"/>
      <c r="I60" s="671"/>
      <c r="J60" s="27"/>
    </row>
    <row r="61" spans="1:16">
      <c r="A61" s="27"/>
      <c r="B61" s="27"/>
      <c r="C61" s="27"/>
      <c r="D61" s="27"/>
      <c r="E61" s="27"/>
      <c r="F61" s="27"/>
      <c r="G61" s="27"/>
      <c r="H61" s="27"/>
      <c r="I61" s="27"/>
      <c r="J61" s="27"/>
    </row>
    <row r="62" spans="1:16">
      <c r="A62" s="27"/>
      <c r="B62" s="27"/>
      <c r="C62" s="27"/>
      <c r="D62" s="27"/>
      <c r="E62" s="27"/>
      <c r="F62" s="27"/>
      <c r="G62" s="27"/>
      <c r="H62" s="27"/>
      <c r="I62" s="27"/>
      <c r="J62" s="27"/>
    </row>
    <row r="63" spans="1:16">
      <c r="A63" s="27"/>
      <c r="B63" s="27"/>
      <c r="C63" s="27"/>
      <c r="D63" s="27"/>
      <c r="E63" s="27"/>
      <c r="F63" s="27"/>
      <c r="G63" s="27"/>
      <c r="H63" s="27"/>
      <c r="I63" s="27"/>
      <c r="J63" s="27"/>
    </row>
    <row r="64" spans="1:16">
      <c r="A64" s="27"/>
      <c r="B64" s="27"/>
      <c r="C64" s="27"/>
      <c r="D64" s="27"/>
      <c r="E64" s="27"/>
      <c r="F64" s="27"/>
      <c r="G64" s="27"/>
      <c r="H64" s="27"/>
      <c r="I64" s="27"/>
      <c r="J64" s="27"/>
    </row>
    <row r="65" spans="1:10">
      <c r="A65" s="27"/>
      <c r="B65" s="27"/>
      <c r="C65" s="27"/>
      <c r="D65" s="27"/>
      <c r="E65" s="27"/>
      <c r="F65" s="27"/>
      <c r="G65" s="27"/>
      <c r="H65" s="27"/>
      <c r="I65" s="27"/>
      <c r="J65" s="27"/>
    </row>
    <row r="66" spans="1:10">
      <c r="A66" s="27"/>
      <c r="B66" s="27"/>
      <c r="C66" s="27"/>
      <c r="D66" s="27"/>
      <c r="E66" s="27"/>
      <c r="F66" s="27"/>
      <c r="G66" s="27"/>
      <c r="H66" s="27"/>
      <c r="I66" s="27"/>
      <c r="J66" s="27"/>
    </row>
    <row r="67" spans="1:10">
      <c r="A67" s="27"/>
      <c r="B67" s="27"/>
      <c r="C67" s="27"/>
      <c r="D67" s="27"/>
      <c r="E67" s="27"/>
      <c r="F67" s="27"/>
      <c r="G67" s="27"/>
      <c r="H67" s="27"/>
      <c r="I67" s="27"/>
      <c r="J67" s="27"/>
    </row>
    <row r="68" spans="1:10">
      <c r="A68" s="27"/>
      <c r="B68" s="27"/>
      <c r="C68" s="27"/>
      <c r="D68" s="27"/>
      <c r="E68" s="27"/>
      <c r="F68" s="27"/>
      <c r="G68" s="27"/>
      <c r="H68" s="27"/>
      <c r="I68" s="27"/>
      <c r="J68" s="27"/>
    </row>
    <row r="69" spans="1:10">
      <c r="A69" s="27"/>
      <c r="B69" s="27"/>
      <c r="C69" s="27"/>
      <c r="D69" s="27"/>
      <c r="E69" s="27"/>
      <c r="F69" s="27"/>
      <c r="G69" s="27"/>
      <c r="H69" s="27"/>
      <c r="I69" s="27"/>
      <c r="J69" s="27"/>
    </row>
    <row r="70" spans="1:10">
      <c r="A70" s="27"/>
      <c r="B70" s="27"/>
      <c r="C70" s="27"/>
      <c r="D70" s="27"/>
      <c r="E70" s="27"/>
      <c r="F70" s="27"/>
      <c r="G70" s="27"/>
      <c r="H70" s="27"/>
      <c r="I70" s="27"/>
      <c r="J70" s="27"/>
    </row>
    <row r="71" spans="1:10">
      <c r="A71" s="27"/>
      <c r="B71" s="27"/>
      <c r="C71" s="27"/>
      <c r="D71" s="27"/>
      <c r="E71" s="27"/>
      <c r="F71" s="27"/>
      <c r="G71" s="27"/>
      <c r="H71" s="27"/>
      <c r="I71" s="27"/>
      <c r="J71" s="27"/>
    </row>
    <row r="72" spans="1:10">
      <c r="A72" s="27"/>
      <c r="B72" s="27"/>
      <c r="C72" s="27"/>
      <c r="D72" s="27"/>
      <c r="E72" s="27"/>
      <c r="F72" s="27"/>
      <c r="G72" s="27"/>
      <c r="H72" s="27"/>
      <c r="I72" s="27"/>
      <c r="J72" s="27"/>
    </row>
    <row r="73" spans="1:10">
      <c r="A73" s="27"/>
      <c r="B73" s="27"/>
      <c r="C73" s="27"/>
      <c r="D73" s="27"/>
      <c r="E73" s="27"/>
      <c r="F73" s="27"/>
      <c r="G73" s="27"/>
      <c r="H73" s="27"/>
      <c r="I73" s="27"/>
      <c r="J73" s="27"/>
    </row>
    <row r="74" spans="1:10">
      <c r="A74" s="27"/>
      <c r="B74" s="27"/>
      <c r="C74" s="27"/>
      <c r="D74" s="27"/>
      <c r="E74" s="27"/>
      <c r="F74" s="27"/>
      <c r="G74" s="27"/>
      <c r="H74" s="27"/>
      <c r="I74" s="27"/>
      <c r="J74" s="27"/>
    </row>
    <row r="75" spans="1:10">
      <c r="A75" s="27"/>
      <c r="B75" s="27"/>
      <c r="C75" s="27"/>
      <c r="D75" s="27"/>
      <c r="E75" s="27"/>
      <c r="F75" s="27"/>
      <c r="G75" s="27"/>
      <c r="H75" s="27"/>
      <c r="I75" s="27"/>
      <c r="J75" s="27"/>
    </row>
    <row r="76" spans="1:10">
      <c r="A76" s="27"/>
      <c r="B76" s="27"/>
      <c r="C76" s="27"/>
      <c r="D76" s="27"/>
      <c r="E76" s="27"/>
      <c r="F76" s="27"/>
      <c r="G76" s="27"/>
      <c r="H76" s="27"/>
      <c r="I76" s="27"/>
      <c r="J76" s="27"/>
    </row>
    <row r="77" spans="1:10">
      <c r="A77" s="27"/>
      <c r="B77" s="27"/>
      <c r="C77" s="27"/>
      <c r="D77" s="27"/>
      <c r="E77" s="27"/>
      <c r="F77" s="27"/>
      <c r="G77" s="27"/>
      <c r="H77" s="27"/>
      <c r="I77" s="27"/>
      <c r="J77" s="27"/>
    </row>
    <row r="78" spans="1:10">
      <c r="A78" s="27"/>
      <c r="B78" s="27"/>
      <c r="C78" s="27"/>
      <c r="D78" s="27"/>
      <c r="E78" s="27"/>
      <c r="F78" s="27"/>
      <c r="G78" s="27"/>
      <c r="H78" s="27"/>
      <c r="I78" s="27"/>
      <c r="J78" s="27"/>
    </row>
    <row r="79" spans="1:10">
      <c r="A79" s="27"/>
      <c r="B79" s="27"/>
      <c r="C79" s="27"/>
      <c r="D79" s="27"/>
      <c r="E79" s="27"/>
      <c r="F79" s="27"/>
      <c r="G79" s="27"/>
      <c r="H79" s="27"/>
      <c r="I79" s="27"/>
      <c r="J79" s="27"/>
    </row>
    <row r="80" spans="1:10">
      <c r="A80" s="27"/>
      <c r="B80" s="27"/>
      <c r="C80" s="27"/>
      <c r="D80" s="27"/>
      <c r="E80" s="27"/>
      <c r="F80" s="27"/>
      <c r="G80" s="27"/>
      <c r="H80" s="27"/>
      <c r="I80" s="27"/>
      <c r="J80" s="27"/>
    </row>
    <row r="81" spans="1:10">
      <c r="A81" s="27"/>
      <c r="B81" s="27"/>
      <c r="C81" s="27"/>
      <c r="D81" s="27"/>
      <c r="E81" s="27"/>
      <c r="F81" s="27"/>
      <c r="G81" s="27"/>
      <c r="H81" s="27"/>
      <c r="I81" s="27"/>
      <c r="J81" s="27"/>
    </row>
    <row r="82" spans="1:10">
      <c r="A82" s="27"/>
      <c r="B82" s="27"/>
      <c r="C82" s="27"/>
      <c r="D82" s="27"/>
      <c r="E82" s="27"/>
      <c r="F82" s="27"/>
      <c r="G82" s="27"/>
      <c r="H82" s="27"/>
      <c r="I82" s="27"/>
      <c r="J82" s="27"/>
    </row>
    <row r="83" spans="1:10">
      <c r="A83" s="27"/>
      <c r="B83" s="27"/>
      <c r="C83" s="27"/>
      <c r="D83" s="27"/>
      <c r="E83" s="27"/>
      <c r="F83" s="27"/>
      <c r="G83" s="27"/>
      <c r="H83" s="27"/>
      <c r="I83" s="27"/>
      <c r="J83" s="27"/>
    </row>
    <row r="84" spans="1:10">
      <c r="A84" s="27"/>
      <c r="B84" s="27"/>
      <c r="C84" s="27"/>
      <c r="D84" s="27"/>
      <c r="E84" s="27"/>
      <c r="F84" s="27"/>
      <c r="G84" s="27"/>
      <c r="H84" s="27"/>
      <c r="I84" s="27"/>
      <c r="J84" s="27"/>
    </row>
    <row r="85" spans="1:10">
      <c r="A85" s="27"/>
      <c r="B85" s="27"/>
      <c r="C85" s="27"/>
      <c r="D85" s="27"/>
      <c r="E85" s="27"/>
      <c r="F85" s="27"/>
      <c r="G85" s="27"/>
      <c r="H85" s="27"/>
      <c r="I85" s="27"/>
      <c r="J85" s="27"/>
    </row>
    <row r="86" spans="1:10">
      <c r="A86" s="27"/>
      <c r="B86" s="27"/>
      <c r="C86" s="27"/>
      <c r="D86" s="27"/>
      <c r="E86" s="27"/>
      <c r="F86" s="27"/>
      <c r="G86" s="27"/>
      <c r="H86" s="27"/>
      <c r="I86" s="27"/>
      <c r="J86" s="27"/>
    </row>
    <row r="87" spans="1:10">
      <c r="A87" s="27"/>
      <c r="B87" s="27"/>
      <c r="C87" s="27"/>
      <c r="D87" s="27"/>
      <c r="E87" s="27"/>
      <c r="F87" s="27"/>
      <c r="G87" s="27"/>
      <c r="H87" s="27"/>
      <c r="I87" s="27"/>
      <c r="J87" s="27"/>
    </row>
    <row r="88" spans="1:10">
      <c r="A88" s="27"/>
      <c r="B88" s="27"/>
      <c r="C88" s="27"/>
      <c r="D88" s="27"/>
      <c r="E88" s="27"/>
      <c r="F88" s="27"/>
      <c r="G88" s="27"/>
      <c r="H88" s="27"/>
      <c r="I88" s="27"/>
      <c r="J88" s="27"/>
    </row>
    <row r="89" spans="1:10">
      <c r="A89" s="27"/>
      <c r="B89" s="27"/>
      <c r="C89" s="27"/>
      <c r="D89" s="27"/>
      <c r="E89" s="27"/>
      <c r="F89" s="27"/>
      <c r="G89" s="27"/>
      <c r="H89" s="27"/>
      <c r="I89" s="27"/>
      <c r="J89" s="27"/>
    </row>
    <row r="90" spans="1:10">
      <c r="A90" s="27"/>
      <c r="B90" s="27"/>
      <c r="C90" s="27"/>
      <c r="D90" s="27"/>
      <c r="E90" s="27"/>
      <c r="F90" s="27"/>
      <c r="G90" s="27"/>
      <c r="H90" s="27"/>
      <c r="I90" s="27"/>
      <c r="J90" s="27"/>
    </row>
    <row r="91" spans="1:10">
      <c r="A91" s="27"/>
      <c r="B91" s="27"/>
      <c r="C91" s="27"/>
      <c r="D91" s="27"/>
      <c r="E91" s="27"/>
      <c r="F91" s="27"/>
      <c r="G91" s="27"/>
      <c r="H91" s="27"/>
      <c r="I91" s="27"/>
      <c r="J91" s="27"/>
    </row>
    <row r="92" spans="1:10">
      <c r="A92" s="27"/>
      <c r="B92" s="27"/>
      <c r="C92" s="27"/>
      <c r="D92" s="27"/>
      <c r="E92" s="27"/>
      <c r="F92" s="27"/>
      <c r="G92" s="27"/>
      <c r="H92" s="27"/>
      <c r="I92" s="27"/>
      <c r="J92" s="27"/>
    </row>
    <row r="93" spans="1:10">
      <c r="A93" s="27"/>
      <c r="B93" s="27"/>
      <c r="C93" s="27"/>
      <c r="D93" s="27"/>
      <c r="E93" s="27"/>
      <c r="F93" s="27"/>
      <c r="G93" s="27"/>
      <c r="H93" s="27"/>
      <c r="I93" s="27"/>
      <c r="J93" s="27"/>
    </row>
    <row r="94" spans="1:10">
      <c r="A94" s="27"/>
      <c r="B94" s="27"/>
      <c r="C94" s="27"/>
      <c r="D94" s="27"/>
      <c r="E94" s="27"/>
      <c r="F94" s="27"/>
      <c r="G94" s="27"/>
      <c r="H94" s="27"/>
      <c r="I94" s="27"/>
      <c r="J94" s="27"/>
    </row>
    <row r="95" spans="1:10">
      <c r="A95" s="27"/>
      <c r="B95" s="27"/>
      <c r="C95" s="27"/>
      <c r="D95" s="27"/>
      <c r="E95" s="27"/>
      <c r="F95" s="27"/>
      <c r="G95" s="27"/>
      <c r="H95" s="27"/>
      <c r="I95" s="27"/>
      <c r="J95" s="27"/>
    </row>
    <row r="96" spans="1:10">
      <c r="A96" s="27"/>
      <c r="B96" s="27"/>
      <c r="C96" s="27"/>
      <c r="D96" s="27"/>
      <c r="E96" s="27"/>
      <c r="F96" s="27"/>
      <c r="G96" s="27"/>
      <c r="H96" s="27"/>
      <c r="I96" s="27"/>
      <c r="J96" s="27"/>
    </row>
    <row r="97" spans="1:10">
      <c r="A97" s="27"/>
      <c r="B97" s="27"/>
      <c r="C97" s="27"/>
      <c r="D97" s="27"/>
      <c r="E97" s="27"/>
      <c r="F97" s="27"/>
      <c r="G97" s="27"/>
      <c r="H97" s="27"/>
      <c r="I97" s="27"/>
      <c r="J97" s="27"/>
    </row>
    <row r="98" spans="1:10">
      <c r="A98" s="27"/>
      <c r="B98" s="27"/>
      <c r="C98" s="27"/>
      <c r="D98" s="27"/>
      <c r="E98" s="27"/>
      <c r="F98" s="27"/>
      <c r="G98" s="27"/>
      <c r="H98" s="27"/>
      <c r="I98" s="27"/>
      <c r="J98" s="27"/>
    </row>
    <row r="99" spans="1:10">
      <c r="A99" s="27"/>
      <c r="B99" s="27"/>
      <c r="C99" s="27"/>
      <c r="D99" s="27"/>
      <c r="E99" s="27"/>
      <c r="F99" s="27"/>
      <c r="G99" s="27"/>
      <c r="H99" s="27"/>
      <c r="I99" s="27"/>
      <c r="J99" s="27"/>
    </row>
    <row r="100" spans="1:10">
      <c r="A100" s="27"/>
      <c r="B100" s="27"/>
      <c r="C100" s="27"/>
      <c r="D100" s="27"/>
      <c r="E100" s="27"/>
      <c r="F100" s="27"/>
      <c r="G100" s="27"/>
      <c r="H100" s="27"/>
      <c r="I100" s="27"/>
      <c r="J100" s="27"/>
    </row>
    <row r="101" spans="1:10">
      <c r="A101" s="27"/>
      <c r="B101" s="27"/>
      <c r="C101" s="27"/>
      <c r="D101" s="27"/>
      <c r="E101" s="27"/>
      <c r="F101" s="27"/>
      <c r="G101" s="27"/>
      <c r="H101" s="27"/>
      <c r="I101" s="27"/>
      <c r="J101" s="27"/>
    </row>
    <row r="102" spans="1:10">
      <c r="A102" s="27"/>
      <c r="B102" s="27"/>
      <c r="C102" s="27"/>
      <c r="D102" s="27"/>
      <c r="E102" s="27"/>
      <c r="F102" s="27"/>
      <c r="G102" s="27"/>
      <c r="H102" s="27"/>
      <c r="I102" s="27"/>
      <c r="J102" s="27"/>
    </row>
    <row r="103" spans="1:10">
      <c r="A103" s="27"/>
      <c r="B103" s="27"/>
      <c r="C103" s="27"/>
      <c r="D103" s="27"/>
      <c r="E103" s="27"/>
      <c r="F103" s="27"/>
      <c r="G103" s="27"/>
      <c r="H103" s="27"/>
      <c r="I103" s="27"/>
      <c r="J103" s="27"/>
    </row>
    <row r="104" spans="1:10">
      <c r="A104" s="27"/>
      <c r="B104" s="27"/>
      <c r="C104" s="27"/>
      <c r="D104" s="27"/>
      <c r="E104" s="27"/>
      <c r="F104" s="27"/>
      <c r="G104" s="27"/>
      <c r="H104" s="27"/>
      <c r="I104" s="27"/>
      <c r="J104" s="27"/>
    </row>
    <row r="105" spans="1:10">
      <c r="A105" s="27"/>
      <c r="B105" s="27"/>
      <c r="C105" s="27"/>
      <c r="D105" s="27"/>
      <c r="E105" s="27"/>
      <c r="F105" s="27"/>
      <c r="G105" s="27"/>
      <c r="H105" s="27"/>
      <c r="I105" s="27"/>
      <c r="J105" s="27"/>
    </row>
    <row r="106" spans="1:10">
      <c r="A106" s="27"/>
      <c r="B106" s="27"/>
      <c r="C106" s="27"/>
      <c r="D106" s="27"/>
      <c r="E106" s="27"/>
      <c r="F106" s="27"/>
      <c r="G106" s="27"/>
      <c r="H106" s="27"/>
      <c r="I106" s="27"/>
      <c r="J106" s="27"/>
    </row>
    <row r="107" spans="1:10">
      <c r="A107" s="27"/>
      <c r="B107" s="27"/>
      <c r="C107" s="27"/>
      <c r="D107" s="27"/>
      <c r="E107" s="27"/>
      <c r="F107" s="27"/>
      <c r="G107" s="27"/>
      <c r="H107" s="27"/>
      <c r="I107" s="27"/>
      <c r="J107" s="27"/>
    </row>
    <row r="108" spans="1:10">
      <c r="A108" s="27"/>
      <c r="B108" s="27"/>
      <c r="C108" s="27"/>
      <c r="D108" s="27"/>
      <c r="E108" s="27"/>
      <c r="F108" s="27"/>
      <c r="G108" s="27"/>
      <c r="H108" s="27"/>
      <c r="I108" s="27"/>
      <c r="J108" s="27"/>
    </row>
    <row r="109" spans="1:10">
      <c r="A109" s="27"/>
      <c r="B109" s="27"/>
      <c r="C109" s="27"/>
      <c r="D109" s="27"/>
      <c r="E109" s="27"/>
      <c r="F109" s="27"/>
      <c r="G109" s="27"/>
      <c r="H109" s="27"/>
      <c r="I109" s="27"/>
      <c r="J109" s="27"/>
    </row>
    <row r="110" spans="1:10">
      <c r="A110" s="27"/>
      <c r="B110" s="27"/>
      <c r="C110" s="27"/>
      <c r="D110" s="27"/>
      <c r="E110" s="27"/>
      <c r="F110" s="27"/>
      <c r="G110" s="27"/>
      <c r="H110" s="27"/>
      <c r="I110" s="27"/>
      <c r="J110" s="27"/>
    </row>
    <row r="111" spans="1:10">
      <c r="A111" s="27"/>
      <c r="B111" s="27"/>
      <c r="C111" s="27"/>
      <c r="D111" s="27"/>
      <c r="E111" s="27"/>
      <c r="F111" s="27"/>
      <c r="G111" s="27"/>
      <c r="H111" s="27"/>
      <c r="I111" s="27"/>
      <c r="J111" s="27"/>
    </row>
    <row r="112" spans="1:10">
      <c r="A112" s="27"/>
      <c r="B112" s="27"/>
      <c r="C112" s="27"/>
      <c r="D112" s="27"/>
      <c r="E112" s="27"/>
      <c r="F112" s="27"/>
      <c r="G112" s="27"/>
      <c r="H112" s="27"/>
      <c r="I112" s="27"/>
      <c r="J112" s="27"/>
    </row>
    <row r="113" spans="1:10">
      <c r="A113" s="27"/>
      <c r="B113" s="27"/>
      <c r="C113" s="27"/>
      <c r="D113" s="27"/>
      <c r="E113" s="27"/>
      <c r="F113" s="27"/>
      <c r="G113" s="27"/>
      <c r="H113" s="27"/>
      <c r="I113" s="27"/>
      <c r="J113" s="27"/>
    </row>
    <row r="114" spans="1:10">
      <c r="A114" s="27"/>
      <c r="B114" s="27"/>
      <c r="C114" s="27"/>
      <c r="D114" s="27"/>
      <c r="E114" s="27"/>
      <c r="F114" s="27"/>
      <c r="G114" s="27"/>
      <c r="H114" s="27"/>
      <c r="I114" s="27"/>
      <c r="J114" s="27"/>
    </row>
    <row r="115" spans="1:10">
      <c r="A115" s="27"/>
      <c r="B115" s="27"/>
      <c r="C115" s="27"/>
      <c r="D115" s="27"/>
      <c r="E115" s="27"/>
      <c r="F115" s="27"/>
      <c r="G115" s="27"/>
      <c r="H115" s="27"/>
      <c r="I115" s="27"/>
      <c r="J115" s="27"/>
    </row>
    <row r="116" spans="1:10">
      <c r="A116" s="27"/>
      <c r="B116" s="27"/>
      <c r="C116" s="27"/>
      <c r="D116" s="27"/>
      <c r="E116" s="27"/>
      <c r="F116" s="27"/>
      <c r="G116" s="27"/>
      <c r="H116" s="27"/>
      <c r="I116" s="27"/>
      <c r="J116" s="27"/>
    </row>
    <row r="117" spans="1:10">
      <c r="A117" s="27"/>
      <c r="B117" s="27"/>
      <c r="C117" s="27"/>
      <c r="D117" s="27"/>
      <c r="E117" s="27"/>
      <c r="F117" s="27"/>
      <c r="G117" s="27"/>
      <c r="H117" s="27"/>
      <c r="I117" s="27"/>
      <c r="J117" s="27"/>
    </row>
    <row r="118" spans="1:10">
      <c r="A118" s="27"/>
      <c r="B118" s="27"/>
      <c r="C118" s="27"/>
      <c r="D118" s="27"/>
      <c r="E118" s="27"/>
      <c r="F118" s="27"/>
      <c r="G118" s="27"/>
      <c r="H118" s="27"/>
      <c r="I118" s="27"/>
      <c r="J118" s="27"/>
    </row>
    <row r="119" spans="1:10">
      <c r="A119" s="27"/>
      <c r="B119" s="27"/>
      <c r="C119" s="27"/>
      <c r="D119" s="27"/>
      <c r="E119" s="27"/>
      <c r="F119" s="27"/>
      <c r="G119" s="27"/>
      <c r="H119" s="27"/>
      <c r="I119" s="27"/>
      <c r="J119" s="27"/>
    </row>
    <row r="120" spans="1:10">
      <c r="A120" s="27"/>
      <c r="B120" s="27"/>
      <c r="C120" s="27"/>
      <c r="D120" s="27"/>
      <c r="E120" s="27"/>
      <c r="F120" s="27"/>
      <c r="G120" s="27"/>
      <c r="H120" s="27"/>
      <c r="I120" s="27"/>
      <c r="J120" s="27"/>
    </row>
    <row r="121" spans="1:10">
      <c r="A121" s="27"/>
      <c r="B121" s="27"/>
      <c r="C121" s="27"/>
      <c r="D121" s="27"/>
      <c r="E121" s="27"/>
      <c r="F121" s="27"/>
      <c r="G121" s="27"/>
      <c r="H121" s="27"/>
      <c r="I121" s="27"/>
      <c r="J121" s="27"/>
    </row>
    <row r="122" spans="1:10">
      <c r="A122" s="27"/>
      <c r="B122" s="27"/>
      <c r="C122" s="27"/>
      <c r="D122" s="27"/>
      <c r="E122" s="27"/>
      <c r="F122" s="27"/>
      <c r="G122" s="27"/>
      <c r="H122" s="27"/>
      <c r="I122" s="27"/>
      <c r="J122" s="27"/>
    </row>
    <row r="123" spans="1:10">
      <c r="A123" s="27"/>
      <c r="B123" s="27"/>
      <c r="C123" s="27"/>
      <c r="D123" s="27"/>
      <c r="E123" s="27"/>
      <c r="F123" s="27"/>
      <c r="G123" s="27"/>
      <c r="H123" s="27"/>
      <c r="I123" s="27"/>
      <c r="J123" s="27"/>
    </row>
    <row r="124" spans="1:10">
      <c r="A124" s="27"/>
      <c r="B124" s="27"/>
      <c r="C124" s="27"/>
      <c r="D124" s="27"/>
      <c r="E124" s="27"/>
      <c r="F124" s="27"/>
      <c r="G124" s="27"/>
      <c r="H124" s="27"/>
      <c r="I124" s="27"/>
      <c r="J124" s="27"/>
    </row>
    <row r="125" spans="1:10">
      <c r="A125" s="27"/>
      <c r="B125" s="27"/>
      <c r="C125" s="27"/>
      <c r="D125" s="27"/>
      <c r="E125" s="27"/>
      <c r="F125" s="27"/>
      <c r="G125" s="27"/>
      <c r="H125" s="27"/>
      <c r="I125" s="27"/>
      <c r="J125" s="27"/>
    </row>
    <row r="126" spans="1:10">
      <c r="A126" s="27"/>
      <c r="B126" s="27"/>
      <c r="C126" s="27"/>
      <c r="D126" s="27"/>
      <c r="E126" s="27"/>
      <c r="F126" s="27"/>
      <c r="G126" s="27"/>
      <c r="H126" s="27"/>
      <c r="I126" s="27"/>
      <c r="J126" s="27"/>
    </row>
    <row r="127" spans="1:10">
      <c r="A127" s="27"/>
      <c r="B127" s="27"/>
      <c r="C127" s="27"/>
      <c r="D127" s="27"/>
      <c r="E127" s="27"/>
      <c r="F127" s="27"/>
      <c r="G127" s="27"/>
      <c r="H127" s="27"/>
      <c r="I127" s="27"/>
      <c r="J127" s="27"/>
    </row>
    <row r="128" spans="1:10">
      <c r="A128" s="27"/>
      <c r="B128" s="27"/>
      <c r="C128" s="27"/>
      <c r="D128" s="27"/>
      <c r="E128" s="27"/>
      <c r="F128" s="27"/>
      <c r="G128" s="27"/>
      <c r="H128" s="27"/>
      <c r="I128" s="27"/>
      <c r="J128" s="27"/>
    </row>
    <row r="129" spans="1:10">
      <c r="A129" s="27"/>
      <c r="B129" s="27"/>
      <c r="C129" s="27"/>
      <c r="D129" s="27"/>
      <c r="E129" s="27"/>
      <c r="F129" s="27"/>
      <c r="G129" s="27"/>
      <c r="H129" s="27"/>
      <c r="I129" s="27"/>
      <c r="J129" s="27"/>
    </row>
    <row r="130" spans="1:10">
      <c r="A130" s="27"/>
      <c r="B130" s="27"/>
      <c r="C130" s="27"/>
      <c r="D130" s="27"/>
      <c r="E130" s="27"/>
      <c r="F130" s="27"/>
      <c r="G130" s="27"/>
      <c r="H130" s="27"/>
      <c r="I130" s="27"/>
      <c r="J130" s="27"/>
    </row>
    <row r="131" spans="1:10">
      <c r="A131" s="27"/>
      <c r="B131" s="27"/>
      <c r="C131" s="27"/>
      <c r="D131" s="27"/>
      <c r="E131" s="27"/>
      <c r="F131" s="27"/>
      <c r="G131" s="27"/>
      <c r="H131" s="27"/>
      <c r="I131" s="27"/>
      <c r="J131" s="27"/>
    </row>
    <row r="132" spans="1:10">
      <c r="A132" s="27"/>
      <c r="B132" s="27"/>
      <c r="C132" s="27"/>
      <c r="D132" s="27"/>
      <c r="E132" s="27"/>
      <c r="F132" s="27"/>
      <c r="G132" s="27"/>
      <c r="H132" s="27"/>
      <c r="I132" s="27"/>
      <c r="J132" s="27"/>
    </row>
    <row r="133" spans="1:10">
      <c r="A133" s="27"/>
      <c r="B133" s="27"/>
      <c r="C133" s="27"/>
      <c r="D133" s="27"/>
      <c r="E133" s="27"/>
      <c r="F133" s="27"/>
      <c r="G133" s="27"/>
      <c r="H133" s="27"/>
      <c r="I133" s="27"/>
      <c r="J133" s="27"/>
    </row>
    <row r="134" spans="1:10">
      <c r="A134" s="27"/>
      <c r="B134" s="27"/>
      <c r="C134" s="27"/>
      <c r="D134" s="27"/>
      <c r="E134" s="27"/>
      <c r="F134" s="27"/>
      <c r="G134" s="27"/>
      <c r="H134" s="27"/>
      <c r="I134" s="27"/>
      <c r="J134" s="27"/>
    </row>
    <row r="135" spans="1:10">
      <c r="A135" s="27"/>
      <c r="B135" s="27"/>
      <c r="C135" s="27"/>
      <c r="D135" s="27"/>
      <c r="E135" s="27"/>
      <c r="F135" s="27"/>
      <c r="G135" s="27"/>
      <c r="H135" s="27"/>
      <c r="I135" s="27"/>
      <c r="J135" s="27"/>
    </row>
    <row r="136" spans="1:10">
      <c r="A136" s="27"/>
      <c r="B136" s="27"/>
      <c r="C136" s="27"/>
      <c r="D136" s="27"/>
      <c r="E136" s="27"/>
      <c r="F136" s="27"/>
      <c r="G136" s="27"/>
      <c r="H136" s="27"/>
      <c r="I136" s="27"/>
      <c r="J136" s="27"/>
    </row>
    <row r="137" spans="1:10">
      <c r="A137" s="27"/>
      <c r="B137" s="27"/>
      <c r="C137" s="27"/>
      <c r="D137" s="27"/>
      <c r="E137" s="27"/>
      <c r="F137" s="27"/>
      <c r="G137" s="27"/>
      <c r="H137" s="27"/>
      <c r="I137" s="27"/>
      <c r="J137" s="27"/>
    </row>
    <row r="138" spans="1:10">
      <c r="A138" s="27"/>
      <c r="B138" s="27"/>
      <c r="C138" s="27"/>
      <c r="D138" s="27"/>
      <c r="E138" s="27"/>
      <c r="F138" s="27"/>
      <c r="G138" s="27"/>
      <c r="H138" s="27"/>
      <c r="I138" s="27"/>
      <c r="J138" s="27"/>
    </row>
    <row r="139" spans="1:10">
      <c r="A139" s="27"/>
      <c r="B139" s="27"/>
      <c r="C139" s="27"/>
      <c r="D139" s="27"/>
      <c r="E139" s="27"/>
      <c r="F139" s="27"/>
      <c r="G139" s="27"/>
      <c r="H139" s="27"/>
      <c r="I139" s="27"/>
      <c r="J139" s="27"/>
    </row>
    <row r="140" spans="1:10">
      <c r="A140" s="27"/>
      <c r="B140" s="27"/>
      <c r="C140" s="27"/>
      <c r="D140" s="27"/>
      <c r="E140" s="27"/>
      <c r="F140" s="27"/>
      <c r="G140" s="27"/>
      <c r="H140" s="27"/>
      <c r="I140" s="27"/>
      <c r="J140" s="27"/>
    </row>
    <row r="141" spans="1:10">
      <c r="A141" s="27"/>
      <c r="B141" s="27"/>
      <c r="C141" s="27"/>
      <c r="D141" s="27"/>
      <c r="E141" s="27"/>
      <c r="F141" s="27"/>
      <c r="G141" s="27"/>
      <c r="H141" s="27"/>
      <c r="I141" s="27"/>
      <c r="J141" s="27"/>
    </row>
    <row r="142" spans="1:10">
      <c r="A142" s="27"/>
      <c r="B142" s="27"/>
      <c r="C142" s="27"/>
      <c r="D142" s="27"/>
      <c r="E142" s="27"/>
      <c r="F142" s="27"/>
      <c r="G142" s="27"/>
      <c r="H142" s="27"/>
      <c r="I142" s="27"/>
      <c r="J142" s="27"/>
    </row>
    <row r="143" spans="1:10">
      <c r="A143" s="27"/>
      <c r="B143" s="27"/>
      <c r="C143" s="27"/>
      <c r="D143" s="27"/>
      <c r="E143" s="27"/>
      <c r="F143" s="27"/>
      <c r="G143" s="27"/>
      <c r="H143" s="27"/>
      <c r="I143" s="27"/>
      <c r="J143" s="27"/>
    </row>
    <row r="144" spans="1:10">
      <c r="A144" s="27"/>
      <c r="B144" s="27"/>
      <c r="C144" s="27"/>
      <c r="D144" s="27"/>
      <c r="E144" s="27"/>
      <c r="F144" s="27"/>
      <c r="G144" s="27"/>
      <c r="H144" s="27"/>
      <c r="I144" s="27"/>
      <c r="J144" s="27"/>
    </row>
    <row r="145" spans="1:10">
      <c r="A145" s="27"/>
      <c r="B145" s="27"/>
      <c r="C145" s="27"/>
      <c r="D145" s="27"/>
      <c r="E145" s="27"/>
      <c r="F145" s="27"/>
      <c r="G145" s="27"/>
      <c r="H145" s="27"/>
      <c r="I145" s="27"/>
      <c r="J145" s="27"/>
    </row>
    <row r="146" spans="1:10">
      <c r="A146" s="27"/>
      <c r="B146" s="27"/>
      <c r="C146" s="27"/>
      <c r="D146" s="27"/>
      <c r="E146" s="27"/>
      <c r="F146" s="27"/>
      <c r="G146" s="27"/>
      <c r="H146" s="27"/>
      <c r="I146" s="27"/>
      <c r="J146" s="27"/>
    </row>
    <row r="147" spans="1:10">
      <c r="A147" s="27"/>
      <c r="B147" s="27"/>
      <c r="C147" s="27"/>
      <c r="D147" s="27"/>
      <c r="E147" s="27"/>
      <c r="F147" s="27"/>
      <c r="G147" s="27"/>
      <c r="H147" s="27"/>
      <c r="I147" s="27"/>
      <c r="J147" s="27"/>
    </row>
    <row r="148" spans="1:10">
      <c r="A148" s="27"/>
      <c r="B148" s="27"/>
      <c r="C148" s="27"/>
      <c r="D148" s="27"/>
      <c r="E148" s="27"/>
      <c r="F148" s="27"/>
      <c r="G148" s="27"/>
      <c r="H148" s="27"/>
      <c r="I148" s="27"/>
      <c r="J148" s="27"/>
    </row>
    <row r="149" spans="1:10">
      <c r="A149" s="27"/>
      <c r="B149" s="27"/>
      <c r="C149" s="27"/>
      <c r="D149" s="27"/>
      <c r="E149" s="27"/>
      <c r="F149" s="27"/>
      <c r="G149" s="27"/>
      <c r="H149" s="27"/>
      <c r="I149" s="27"/>
      <c r="J149" s="27"/>
    </row>
    <row r="150" spans="1:10">
      <c r="A150" s="27"/>
      <c r="B150" s="27"/>
      <c r="C150" s="27"/>
      <c r="D150" s="27"/>
      <c r="E150" s="27"/>
      <c r="F150" s="27"/>
      <c r="G150" s="27"/>
      <c r="H150" s="27"/>
      <c r="I150" s="27"/>
      <c r="J150" s="27"/>
    </row>
    <row r="151" spans="1:10">
      <c r="A151" s="27"/>
      <c r="B151" s="27"/>
      <c r="C151" s="27"/>
      <c r="D151" s="27"/>
      <c r="E151" s="27"/>
      <c r="F151" s="27"/>
      <c r="G151" s="27"/>
      <c r="H151" s="27"/>
      <c r="I151" s="27"/>
      <c r="J151" s="27"/>
    </row>
    <row r="152" spans="1:10">
      <c r="A152" s="27"/>
      <c r="B152" s="27"/>
      <c r="C152" s="27"/>
      <c r="D152" s="27"/>
      <c r="E152" s="27"/>
      <c r="F152" s="27"/>
      <c r="G152" s="27"/>
      <c r="H152" s="27"/>
      <c r="I152" s="27"/>
      <c r="J152" s="27"/>
    </row>
    <row r="153" spans="1:10">
      <c r="A153" s="27"/>
      <c r="B153" s="27"/>
      <c r="C153" s="27"/>
      <c r="D153" s="27"/>
      <c r="E153" s="27"/>
      <c r="F153" s="27"/>
      <c r="G153" s="27"/>
      <c r="H153" s="27"/>
      <c r="I153" s="27"/>
      <c r="J153" s="27"/>
    </row>
    <row r="154" spans="1:10">
      <c r="A154" s="27"/>
      <c r="B154" s="27"/>
      <c r="C154" s="27"/>
      <c r="D154" s="27"/>
      <c r="E154" s="27"/>
      <c r="F154" s="27"/>
      <c r="G154" s="27"/>
      <c r="H154" s="27"/>
      <c r="I154" s="27"/>
      <c r="J154" s="27"/>
    </row>
    <row r="155" spans="1:10">
      <c r="A155" s="27"/>
      <c r="B155" s="27"/>
      <c r="C155" s="27"/>
      <c r="D155" s="27"/>
      <c r="E155" s="27"/>
      <c r="F155" s="27"/>
      <c r="G155" s="27"/>
      <c r="H155" s="27"/>
      <c r="I155" s="27"/>
      <c r="J155" s="27"/>
    </row>
    <row r="156" spans="1:10">
      <c r="A156" s="27"/>
      <c r="B156" s="27"/>
      <c r="C156" s="27"/>
      <c r="D156" s="27"/>
      <c r="E156" s="27"/>
      <c r="F156" s="27"/>
      <c r="G156" s="27"/>
      <c r="H156" s="27"/>
      <c r="I156" s="27"/>
      <c r="J156" s="27"/>
    </row>
    <row r="157" spans="1:10">
      <c r="A157" s="27"/>
      <c r="B157" s="27"/>
      <c r="C157" s="27"/>
      <c r="D157" s="27"/>
      <c r="E157" s="27"/>
      <c r="F157" s="27"/>
      <c r="G157" s="27"/>
      <c r="H157" s="27"/>
      <c r="I157" s="27"/>
      <c r="J157" s="27"/>
    </row>
    <row r="158" spans="1:10">
      <c r="A158" s="27"/>
      <c r="B158" s="27"/>
      <c r="C158" s="27"/>
      <c r="D158" s="27"/>
      <c r="E158" s="27"/>
      <c r="F158" s="27"/>
      <c r="G158" s="27"/>
      <c r="H158" s="27"/>
      <c r="I158" s="27"/>
      <c r="J158" s="27"/>
    </row>
    <row r="159" spans="1:10">
      <c r="A159" s="27"/>
      <c r="B159" s="27"/>
      <c r="C159" s="27"/>
      <c r="D159" s="27"/>
      <c r="E159" s="27"/>
      <c r="F159" s="27"/>
      <c r="G159" s="27"/>
      <c r="H159" s="27"/>
      <c r="I159" s="27"/>
      <c r="J159" s="27"/>
    </row>
    <row r="160" spans="1:10">
      <c r="A160" s="27"/>
      <c r="B160" s="27"/>
      <c r="C160" s="27"/>
      <c r="D160" s="27"/>
      <c r="E160" s="27"/>
      <c r="F160" s="27"/>
      <c r="G160" s="27"/>
      <c r="H160" s="27"/>
      <c r="I160" s="27"/>
      <c r="J160" s="27"/>
    </row>
    <row r="161" spans="1:10">
      <c r="A161" s="27"/>
      <c r="B161" s="27"/>
      <c r="C161" s="27"/>
      <c r="D161" s="27"/>
      <c r="E161" s="27"/>
      <c r="F161" s="27"/>
      <c r="G161" s="27"/>
      <c r="H161" s="27"/>
      <c r="I161" s="27"/>
      <c r="J161" s="27"/>
    </row>
    <row r="162" spans="1:10">
      <c r="A162" s="27"/>
      <c r="B162" s="27"/>
      <c r="C162" s="27"/>
      <c r="D162" s="27"/>
      <c r="E162" s="27"/>
      <c r="F162" s="27"/>
      <c r="G162" s="27"/>
      <c r="H162" s="27"/>
      <c r="I162" s="27"/>
      <c r="J162" s="27"/>
    </row>
    <row r="163" spans="1:10">
      <c r="A163" s="27"/>
      <c r="B163" s="27"/>
      <c r="C163" s="27"/>
      <c r="D163" s="27"/>
      <c r="E163" s="27"/>
      <c r="F163" s="27"/>
      <c r="G163" s="27"/>
      <c r="H163" s="27"/>
      <c r="I163" s="27"/>
      <c r="J163" s="27"/>
    </row>
    <row r="164" spans="1:10">
      <c r="A164" s="27"/>
      <c r="B164" s="27"/>
      <c r="C164" s="27"/>
      <c r="D164" s="27"/>
      <c r="E164" s="27"/>
      <c r="F164" s="27"/>
      <c r="G164" s="27"/>
      <c r="H164" s="27"/>
      <c r="I164" s="27"/>
      <c r="J164" s="27"/>
    </row>
    <row r="165" spans="1:10">
      <c r="A165" s="27"/>
      <c r="B165" s="27"/>
      <c r="C165" s="27"/>
      <c r="D165" s="27"/>
      <c r="E165" s="27"/>
      <c r="F165" s="27"/>
      <c r="G165" s="27"/>
      <c r="H165" s="27"/>
      <c r="I165" s="27"/>
      <c r="J165" s="27"/>
    </row>
    <row r="166" spans="1:10">
      <c r="A166" s="27"/>
      <c r="B166" s="27"/>
      <c r="C166" s="27"/>
      <c r="D166" s="27"/>
      <c r="E166" s="27"/>
      <c r="F166" s="27"/>
      <c r="G166" s="27"/>
      <c r="H166" s="27"/>
      <c r="I166" s="27"/>
      <c r="J166" s="27"/>
    </row>
    <row r="167" spans="1:10">
      <c r="A167" s="27"/>
      <c r="B167" s="27"/>
      <c r="C167" s="27"/>
      <c r="D167" s="27"/>
      <c r="E167" s="27"/>
      <c r="F167" s="27"/>
      <c r="G167" s="27"/>
      <c r="H167" s="27"/>
      <c r="I167" s="27"/>
      <c r="J167" s="27"/>
    </row>
    <row r="168" spans="1:10">
      <c r="A168" s="27"/>
      <c r="B168" s="27"/>
      <c r="C168" s="27"/>
      <c r="D168" s="27"/>
      <c r="E168" s="27"/>
      <c r="F168" s="27"/>
      <c r="G168" s="27"/>
      <c r="H168" s="27"/>
      <c r="I168" s="27"/>
      <c r="J168" s="27"/>
    </row>
    <row r="169" spans="1:10">
      <c r="A169" s="27"/>
      <c r="B169" s="27"/>
      <c r="C169" s="27"/>
      <c r="D169" s="27"/>
      <c r="E169" s="27"/>
      <c r="F169" s="27"/>
      <c r="G169" s="27"/>
      <c r="H169" s="27"/>
      <c r="I169" s="27"/>
      <c r="J169" s="27"/>
    </row>
    <row r="170" spans="1:10">
      <c r="A170" s="27"/>
      <c r="B170" s="27"/>
      <c r="C170" s="27"/>
      <c r="D170" s="27"/>
      <c r="E170" s="27"/>
      <c r="F170" s="27"/>
      <c r="G170" s="27"/>
      <c r="H170" s="27"/>
      <c r="I170" s="27"/>
      <c r="J170" s="27"/>
    </row>
    <row r="171" spans="1:10">
      <c r="A171" s="27"/>
      <c r="B171" s="27"/>
      <c r="C171" s="27"/>
      <c r="D171" s="27"/>
      <c r="E171" s="27"/>
      <c r="F171" s="27"/>
      <c r="G171" s="27"/>
      <c r="H171" s="27"/>
      <c r="I171" s="27"/>
      <c r="J171" s="27"/>
    </row>
    <row r="172" spans="1:10">
      <c r="A172" s="27"/>
      <c r="B172" s="27"/>
      <c r="C172" s="27"/>
      <c r="D172" s="27"/>
      <c r="E172" s="27"/>
      <c r="F172" s="27"/>
      <c r="G172" s="27"/>
      <c r="H172" s="27"/>
      <c r="I172" s="27"/>
      <c r="J172" s="27"/>
    </row>
    <row r="173" spans="1:10">
      <c r="A173" s="27"/>
      <c r="B173" s="27"/>
      <c r="C173" s="27"/>
      <c r="D173" s="27"/>
      <c r="E173" s="27"/>
      <c r="F173" s="27"/>
      <c r="G173" s="27"/>
      <c r="H173" s="27"/>
      <c r="I173" s="27"/>
      <c r="J173" s="27"/>
    </row>
    <row r="174" spans="1:10">
      <c r="A174" s="27"/>
      <c r="B174" s="27"/>
      <c r="C174" s="27"/>
      <c r="D174" s="27"/>
      <c r="E174" s="27"/>
      <c r="F174" s="27"/>
      <c r="G174" s="27"/>
      <c r="H174" s="27"/>
      <c r="I174" s="27"/>
      <c r="J174" s="27"/>
    </row>
    <row r="175" spans="1:10">
      <c r="A175" s="27"/>
      <c r="B175" s="27"/>
      <c r="C175" s="27"/>
      <c r="D175" s="27"/>
      <c r="E175" s="27"/>
      <c r="F175" s="27"/>
      <c r="G175" s="27"/>
      <c r="H175" s="27"/>
      <c r="I175" s="27"/>
      <c r="J175" s="27"/>
    </row>
    <row r="176" spans="1:10">
      <c r="A176" s="27"/>
      <c r="B176" s="27"/>
      <c r="C176" s="27"/>
      <c r="D176" s="27"/>
      <c r="E176" s="27"/>
      <c r="F176" s="27"/>
      <c r="G176" s="27"/>
      <c r="H176" s="27"/>
      <c r="I176" s="27"/>
      <c r="J176" s="27"/>
    </row>
    <row r="177" spans="1:10">
      <c r="A177" s="27"/>
      <c r="B177" s="27"/>
      <c r="C177" s="27"/>
      <c r="D177" s="27"/>
      <c r="E177" s="27"/>
      <c r="F177" s="27"/>
      <c r="G177" s="27"/>
      <c r="H177" s="27"/>
      <c r="I177" s="27"/>
      <c r="J177" s="27"/>
    </row>
    <row r="178" spans="1:10">
      <c r="A178" s="27"/>
      <c r="B178" s="27"/>
      <c r="C178" s="27"/>
      <c r="D178" s="27"/>
      <c r="E178" s="27"/>
      <c r="F178" s="27"/>
      <c r="G178" s="27"/>
      <c r="H178" s="27"/>
      <c r="I178" s="27"/>
      <c r="J178" s="27"/>
    </row>
    <row r="179" spans="1:10">
      <c r="A179" s="27"/>
      <c r="B179" s="27"/>
      <c r="C179" s="27"/>
      <c r="D179" s="27"/>
      <c r="E179" s="27"/>
      <c r="F179" s="27"/>
      <c r="G179" s="27"/>
      <c r="H179" s="27"/>
      <c r="I179" s="27"/>
      <c r="J179" s="27"/>
    </row>
    <row r="180" spans="1:10">
      <c r="A180" s="27"/>
      <c r="B180" s="27"/>
      <c r="C180" s="27"/>
      <c r="D180" s="27"/>
      <c r="E180" s="27"/>
      <c r="F180" s="27"/>
      <c r="G180" s="27"/>
      <c r="H180" s="27"/>
      <c r="I180" s="27"/>
      <c r="J180" s="27"/>
    </row>
    <row r="181" spans="1:10">
      <c r="A181" s="27"/>
      <c r="B181" s="27"/>
      <c r="C181" s="27"/>
      <c r="D181" s="27"/>
      <c r="E181" s="27"/>
      <c r="F181" s="27"/>
      <c r="G181" s="27"/>
      <c r="H181" s="27"/>
      <c r="I181" s="27"/>
      <c r="J181" s="27"/>
    </row>
    <row r="182" spans="1:10">
      <c r="A182" s="27"/>
      <c r="B182" s="27"/>
      <c r="C182" s="27"/>
      <c r="D182" s="27"/>
      <c r="E182" s="27"/>
      <c r="F182" s="27"/>
      <c r="G182" s="27"/>
      <c r="H182" s="27"/>
      <c r="I182" s="27"/>
      <c r="J182" s="27"/>
    </row>
    <row r="183" spans="1:10">
      <c r="A183" s="27"/>
      <c r="B183" s="27"/>
      <c r="C183" s="27"/>
      <c r="D183" s="27"/>
      <c r="E183" s="27"/>
      <c r="F183" s="27"/>
      <c r="G183" s="27"/>
      <c r="H183" s="27"/>
      <c r="I183" s="27"/>
      <c r="J183" s="27"/>
    </row>
    <row r="184" spans="1:10">
      <c r="A184" s="27"/>
      <c r="B184" s="27"/>
      <c r="C184" s="27"/>
      <c r="D184" s="27"/>
      <c r="E184" s="27"/>
      <c r="F184" s="27"/>
      <c r="G184" s="27"/>
      <c r="H184" s="27"/>
      <c r="I184" s="27"/>
      <c r="J184" s="27"/>
    </row>
    <row r="185" spans="1:10">
      <c r="A185" s="27"/>
      <c r="B185" s="27"/>
      <c r="C185" s="27"/>
      <c r="D185" s="27"/>
      <c r="E185" s="27"/>
      <c r="F185" s="27"/>
      <c r="G185" s="27"/>
      <c r="H185" s="27"/>
      <c r="I185" s="27"/>
      <c r="J185" s="27"/>
    </row>
    <row r="186" spans="1:10">
      <c r="A186" s="27"/>
      <c r="B186" s="27"/>
      <c r="C186" s="27"/>
      <c r="D186" s="27"/>
      <c r="E186" s="27"/>
      <c r="F186" s="27"/>
      <c r="G186" s="27"/>
      <c r="H186" s="27"/>
      <c r="I186" s="27"/>
      <c r="J186" s="27"/>
    </row>
    <row r="187" spans="1:10">
      <c r="A187" s="27"/>
      <c r="B187" s="27"/>
      <c r="C187" s="27"/>
      <c r="D187" s="27"/>
      <c r="E187" s="27"/>
      <c r="F187" s="27"/>
      <c r="G187" s="27"/>
      <c r="H187" s="27"/>
      <c r="I187" s="27"/>
      <c r="J187" s="27"/>
    </row>
    <row r="188" spans="1:10">
      <c r="A188" s="27"/>
      <c r="B188" s="27"/>
      <c r="C188" s="27"/>
      <c r="D188" s="27"/>
      <c r="E188" s="27"/>
      <c r="F188" s="27"/>
      <c r="G188" s="27"/>
      <c r="H188" s="27"/>
      <c r="I188" s="27"/>
      <c r="J188" s="27"/>
    </row>
    <row r="189" spans="1:10">
      <c r="A189" s="27"/>
      <c r="B189" s="27"/>
      <c r="C189" s="27"/>
      <c r="D189" s="27"/>
      <c r="E189" s="27"/>
      <c r="F189" s="27"/>
      <c r="G189" s="27"/>
      <c r="H189" s="27"/>
      <c r="I189" s="27"/>
      <c r="J189" s="27"/>
    </row>
    <row r="190" spans="1:10">
      <c r="A190" s="27"/>
      <c r="B190" s="27"/>
      <c r="C190" s="27"/>
      <c r="D190" s="27"/>
      <c r="E190" s="27"/>
      <c r="F190" s="27"/>
      <c r="G190" s="27"/>
      <c r="H190" s="27"/>
      <c r="I190" s="27"/>
      <c r="J190" s="27"/>
    </row>
    <row r="191" spans="1:10">
      <c r="A191" s="27"/>
      <c r="B191" s="27"/>
      <c r="C191" s="27"/>
      <c r="D191" s="27"/>
      <c r="E191" s="27"/>
      <c r="F191" s="27"/>
      <c r="G191" s="27"/>
      <c r="H191" s="27"/>
      <c r="I191" s="27"/>
      <c r="J191" s="27"/>
    </row>
    <row r="192" spans="1:10">
      <c r="A192" s="27"/>
      <c r="B192" s="27"/>
      <c r="C192" s="27"/>
      <c r="D192" s="27"/>
      <c r="E192" s="27"/>
      <c r="F192" s="27"/>
      <c r="G192" s="27"/>
      <c r="H192" s="27"/>
      <c r="I192" s="27"/>
      <c r="J192" s="27"/>
    </row>
    <row r="193" spans="1:10">
      <c r="A193" s="27"/>
      <c r="B193" s="27"/>
      <c r="C193" s="27"/>
      <c r="D193" s="27"/>
      <c r="E193" s="27"/>
      <c r="F193" s="27"/>
      <c r="G193" s="27"/>
      <c r="H193" s="27"/>
      <c r="I193" s="27"/>
      <c r="J193" s="27"/>
    </row>
    <row r="194" spans="1:10">
      <c r="A194" s="27"/>
      <c r="B194" s="27"/>
      <c r="C194" s="27"/>
      <c r="D194" s="27"/>
      <c r="E194" s="27"/>
      <c r="F194" s="27"/>
      <c r="G194" s="27"/>
      <c r="H194" s="27"/>
      <c r="I194" s="27"/>
      <c r="J194" s="27"/>
    </row>
    <row r="195" spans="1:10">
      <c r="A195" s="27"/>
      <c r="B195" s="27"/>
      <c r="C195" s="27"/>
      <c r="D195" s="27"/>
      <c r="E195" s="27"/>
      <c r="F195" s="27"/>
      <c r="G195" s="27"/>
      <c r="H195" s="27"/>
      <c r="I195" s="27"/>
      <c r="J195" s="27"/>
    </row>
    <row r="196" spans="1:10">
      <c r="A196" s="27"/>
      <c r="B196" s="27"/>
      <c r="C196" s="27"/>
      <c r="D196" s="27"/>
      <c r="E196" s="27"/>
      <c r="F196" s="27"/>
      <c r="G196" s="27"/>
      <c r="H196" s="27"/>
      <c r="I196" s="27"/>
      <c r="J196" s="27"/>
    </row>
    <row r="197" spans="1:10">
      <c r="A197" s="27"/>
      <c r="B197" s="27"/>
      <c r="C197" s="27"/>
      <c r="D197" s="27"/>
      <c r="E197" s="27"/>
      <c r="F197" s="27"/>
      <c r="G197" s="27"/>
      <c r="H197" s="27"/>
      <c r="I197" s="27"/>
      <c r="J197" s="27"/>
    </row>
    <row r="198" spans="1:10">
      <c r="A198" s="27"/>
      <c r="B198" s="27"/>
      <c r="C198" s="27"/>
      <c r="D198" s="27"/>
      <c r="E198" s="27"/>
      <c r="F198" s="27"/>
      <c r="G198" s="27"/>
      <c r="H198" s="27"/>
      <c r="I198" s="27"/>
      <c r="J198" s="27"/>
    </row>
    <row r="199" spans="1:10">
      <c r="A199" s="27"/>
      <c r="B199" s="27"/>
      <c r="C199" s="27"/>
      <c r="D199" s="27"/>
      <c r="E199" s="27"/>
      <c r="F199" s="27"/>
      <c r="G199" s="27"/>
      <c r="H199" s="27"/>
      <c r="I199" s="27"/>
      <c r="J199" s="27"/>
    </row>
    <row r="200" spans="1:10">
      <c r="A200" s="27"/>
      <c r="B200" s="27"/>
      <c r="C200" s="27"/>
      <c r="D200" s="27"/>
      <c r="E200" s="27"/>
      <c r="F200" s="27"/>
      <c r="G200" s="27"/>
      <c r="H200" s="27"/>
      <c r="I200" s="27"/>
      <c r="J200" s="27"/>
    </row>
    <row r="201" spans="1:10">
      <c r="A201" s="27"/>
      <c r="B201" s="27"/>
      <c r="C201" s="27"/>
      <c r="D201" s="27"/>
      <c r="E201" s="27"/>
      <c r="F201" s="27"/>
      <c r="G201" s="27"/>
      <c r="H201" s="27"/>
      <c r="I201" s="27"/>
      <c r="J201" s="27"/>
    </row>
    <row r="202" spans="1:10">
      <c r="A202" s="27"/>
      <c r="B202" s="27"/>
      <c r="C202" s="27"/>
      <c r="D202" s="27"/>
      <c r="E202" s="27"/>
      <c r="F202" s="27"/>
      <c r="G202" s="27"/>
      <c r="H202" s="27"/>
      <c r="I202" s="27"/>
      <c r="J202" s="27"/>
    </row>
    <row r="203" spans="1:10">
      <c r="A203" s="27"/>
      <c r="B203" s="27"/>
      <c r="C203" s="27"/>
      <c r="D203" s="27"/>
      <c r="E203" s="27"/>
      <c r="F203" s="27"/>
      <c r="G203" s="27"/>
      <c r="H203" s="27"/>
      <c r="I203" s="27"/>
      <c r="J203" s="27"/>
    </row>
    <row r="204" spans="1:10">
      <c r="A204" s="27"/>
      <c r="B204" s="27"/>
      <c r="C204" s="27"/>
      <c r="D204" s="27"/>
      <c r="E204" s="27"/>
      <c r="F204" s="27"/>
      <c r="G204" s="27"/>
      <c r="H204" s="27"/>
      <c r="I204" s="27"/>
      <c r="J204" s="27"/>
    </row>
    <row r="205" spans="1:10">
      <c r="A205" s="27"/>
      <c r="B205" s="27"/>
      <c r="C205" s="27"/>
      <c r="D205" s="27"/>
      <c r="E205" s="27"/>
      <c r="F205" s="27"/>
      <c r="G205" s="27"/>
      <c r="H205" s="27"/>
      <c r="I205" s="27"/>
      <c r="J205" s="27"/>
    </row>
    <row r="206" spans="1:10">
      <c r="A206" s="27"/>
      <c r="B206" s="27"/>
      <c r="C206" s="27"/>
      <c r="D206" s="27"/>
      <c r="E206" s="27"/>
      <c r="F206" s="27"/>
      <c r="G206" s="27"/>
      <c r="H206" s="27"/>
      <c r="I206" s="27"/>
      <c r="J206" s="27"/>
    </row>
    <row r="207" spans="1:10">
      <c r="A207" s="27"/>
      <c r="B207" s="27"/>
      <c r="C207" s="27"/>
      <c r="D207" s="27"/>
      <c r="E207" s="27"/>
      <c r="F207" s="27"/>
      <c r="G207" s="27"/>
      <c r="H207" s="27"/>
      <c r="I207" s="27"/>
      <c r="J207" s="27"/>
    </row>
    <row r="208" spans="1:10">
      <c r="A208" s="27"/>
      <c r="B208" s="27"/>
      <c r="C208" s="27"/>
      <c r="D208" s="27"/>
      <c r="E208" s="27"/>
      <c r="F208" s="27"/>
      <c r="G208" s="27"/>
      <c r="H208" s="27"/>
      <c r="I208" s="27"/>
      <c r="J208" s="27"/>
    </row>
    <row r="209" spans="1:10">
      <c r="A209" s="27"/>
      <c r="B209" s="27"/>
      <c r="C209" s="27"/>
      <c r="D209" s="27"/>
      <c r="E209" s="27"/>
      <c r="F209" s="27"/>
      <c r="G209" s="27"/>
      <c r="H209" s="27"/>
      <c r="I209" s="27"/>
      <c r="J209" s="27"/>
    </row>
    <row r="210" spans="1:10">
      <c r="A210" s="27"/>
      <c r="B210" s="27"/>
      <c r="C210" s="27"/>
      <c r="D210" s="27"/>
      <c r="E210" s="27"/>
      <c r="F210" s="27"/>
      <c r="G210" s="27"/>
      <c r="H210" s="27"/>
      <c r="I210" s="27"/>
      <c r="J210" s="27"/>
    </row>
    <row r="211" spans="1:10">
      <c r="A211" s="27"/>
      <c r="B211" s="27"/>
      <c r="C211" s="27"/>
      <c r="D211" s="27"/>
      <c r="E211" s="27"/>
      <c r="F211" s="27"/>
      <c r="G211" s="27"/>
      <c r="H211" s="27"/>
      <c r="I211" s="27"/>
      <c r="J211" s="27"/>
    </row>
    <row r="212" spans="1:10">
      <c r="A212" s="27"/>
      <c r="B212" s="27"/>
      <c r="C212" s="27"/>
      <c r="D212" s="27"/>
      <c r="E212" s="27"/>
      <c r="F212" s="27"/>
      <c r="G212" s="27"/>
      <c r="H212" s="27"/>
      <c r="I212" s="27"/>
      <c r="J212" s="27"/>
    </row>
    <row r="213" spans="1:10">
      <c r="A213" s="27"/>
      <c r="B213" s="27"/>
      <c r="C213" s="27"/>
      <c r="D213" s="27"/>
      <c r="E213" s="27"/>
      <c r="F213" s="27"/>
      <c r="G213" s="27"/>
      <c r="H213" s="27"/>
      <c r="I213" s="27"/>
      <c r="J213" s="27"/>
    </row>
    <row r="214" spans="1:10">
      <c r="A214" s="27"/>
      <c r="B214" s="27"/>
      <c r="C214" s="27"/>
      <c r="D214" s="27"/>
      <c r="E214" s="27"/>
      <c r="F214" s="27"/>
      <c r="G214" s="27"/>
      <c r="H214" s="27"/>
      <c r="I214" s="27"/>
      <c r="J214" s="27"/>
    </row>
    <row r="215" spans="1:10">
      <c r="A215" s="27"/>
      <c r="B215" s="27"/>
      <c r="C215" s="27"/>
      <c r="D215" s="27"/>
      <c r="E215" s="27"/>
      <c r="F215" s="27"/>
      <c r="G215" s="27"/>
      <c r="H215" s="27"/>
      <c r="I215" s="27"/>
      <c r="J215" s="27"/>
    </row>
    <row r="216" spans="1:10">
      <c r="A216" s="27"/>
      <c r="B216" s="27"/>
      <c r="C216" s="27"/>
      <c r="D216" s="27"/>
      <c r="E216" s="27"/>
      <c r="F216" s="27"/>
      <c r="G216" s="27"/>
      <c r="H216" s="27"/>
      <c r="I216" s="27"/>
      <c r="J216" s="27"/>
    </row>
    <row r="217" spans="1:10">
      <c r="A217" s="27"/>
      <c r="B217" s="27"/>
      <c r="C217" s="27"/>
      <c r="D217" s="27"/>
      <c r="E217" s="27"/>
      <c r="F217" s="27"/>
      <c r="G217" s="27"/>
      <c r="H217" s="27"/>
      <c r="I217" s="27"/>
      <c r="J217" s="27"/>
    </row>
    <row r="218" spans="1:10">
      <c r="A218" s="27"/>
      <c r="B218" s="27"/>
      <c r="C218" s="27"/>
      <c r="D218" s="27"/>
      <c r="E218" s="27"/>
      <c r="F218" s="27"/>
      <c r="G218" s="27"/>
      <c r="H218" s="27"/>
      <c r="I218" s="27"/>
      <c r="J218" s="27"/>
    </row>
    <row r="219" spans="1:10">
      <c r="A219" s="27"/>
      <c r="B219" s="27"/>
      <c r="C219" s="27"/>
      <c r="D219" s="27"/>
      <c r="E219" s="27"/>
      <c r="F219" s="27"/>
      <c r="G219" s="27"/>
      <c r="H219" s="27"/>
      <c r="I219" s="27"/>
      <c r="J219" s="27"/>
    </row>
    <row r="220" spans="1:10">
      <c r="A220" s="27"/>
      <c r="B220" s="27"/>
      <c r="C220" s="27"/>
      <c r="D220" s="27"/>
      <c r="E220" s="27"/>
      <c r="F220" s="27"/>
      <c r="G220" s="27"/>
      <c r="H220" s="27"/>
      <c r="I220" s="27"/>
      <c r="J220" s="27"/>
    </row>
    <row r="221" spans="1:10">
      <c r="A221" s="27"/>
      <c r="B221" s="27"/>
      <c r="C221" s="27"/>
      <c r="D221" s="27"/>
      <c r="E221" s="27"/>
      <c r="F221" s="27"/>
      <c r="G221" s="27"/>
      <c r="H221" s="27"/>
      <c r="I221" s="27"/>
      <c r="J221" s="27"/>
    </row>
    <row r="222" spans="1:10">
      <c r="A222" s="27"/>
      <c r="B222" s="27"/>
      <c r="C222" s="27"/>
      <c r="D222" s="27"/>
      <c r="E222" s="27"/>
      <c r="F222" s="27"/>
      <c r="G222" s="27"/>
      <c r="H222" s="27"/>
      <c r="I222" s="27"/>
      <c r="J222" s="27"/>
    </row>
    <row r="223" spans="1:10">
      <c r="A223" s="27"/>
      <c r="B223" s="27"/>
      <c r="C223" s="27"/>
      <c r="D223" s="27"/>
      <c r="E223" s="27"/>
      <c r="F223" s="27"/>
      <c r="G223" s="27"/>
      <c r="H223" s="27"/>
      <c r="I223" s="27"/>
      <c r="J223" s="27"/>
    </row>
    <row r="224" spans="1:10">
      <c r="A224" s="27"/>
      <c r="B224" s="27"/>
      <c r="C224" s="27"/>
      <c r="D224" s="27"/>
      <c r="E224" s="27"/>
      <c r="F224" s="27"/>
      <c r="G224" s="27"/>
      <c r="H224" s="27"/>
      <c r="I224" s="27"/>
      <c r="J224" s="27"/>
    </row>
    <row r="225" spans="1:10">
      <c r="A225" s="27"/>
      <c r="B225" s="27"/>
      <c r="C225" s="27"/>
      <c r="D225" s="27"/>
      <c r="E225" s="27"/>
      <c r="F225" s="27"/>
      <c r="G225" s="27"/>
      <c r="H225" s="27"/>
      <c r="I225" s="27"/>
      <c r="J225" s="27"/>
    </row>
    <row r="226" spans="1:10">
      <c r="A226" s="27"/>
      <c r="B226" s="27"/>
      <c r="C226" s="27"/>
      <c r="D226" s="27"/>
      <c r="E226" s="27"/>
      <c r="F226" s="27"/>
      <c r="G226" s="27"/>
      <c r="H226" s="27"/>
      <c r="I226" s="27"/>
      <c r="J226" s="27"/>
    </row>
    <row r="227" spans="1:10">
      <c r="A227" s="27"/>
      <c r="B227" s="27"/>
      <c r="C227" s="27"/>
      <c r="D227" s="27"/>
      <c r="E227" s="27"/>
      <c r="F227" s="27"/>
      <c r="G227" s="27"/>
      <c r="H227" s="27"/>
      <c r="I227" s="27"/>
      <c r="J227" s="27"/>
    </row>
    <row r="228" spans="1:10">
      <c r="A228" s="27"/>
      <c r="B228" s="27"/>
      <c r="C228" s="27"/>
      <c r="D228" s="27"/>
      <c r="E228" s="27"/>
      <c r="F228" s="27"/>
      <c r="G228" s="27"/>
      <c r="H228" s="27"/>
      <c r="I228" s="27"/>
      <c r="J228" s="27"/>
    </row>
    <row r="229" spans="1:10">
      <c r="A229" s="27"/>
      <c r="B229" s="27"/>
      <c r="C229" s="27"/>
      <c r="D229" s="27"/>
      <c r="E229" s="27"/>
      <c r="F229" s="27"/>
      <c r="G229" s="27"/>
      <c r="H229" s="27"/>
      <c r="I229" s="27"/>
      <c r="J229" s="27"/>
    </row>
    <row r="230" spans="1:10">
      <c r="A230" s="27"/>
      <c r="B230" s="27"/>
      <c r="C230" s="27"/>
      <c r="D230" s="27"/>
      <c r="E230" s="27"/>
      <c r="F230" s="27"/>
      <c r="G230" s="27"/>
      <c r="H230" s="27"/>
      <c r="I230" s="27"/>
      <c r="J230" s="27"/>
    </row>
    <row r="231" spans="1:10">
      <c r="A231" s="27"/>
      <c r="B231" s="27"/>
      <c r="C231" s="27"/>
      <c r="D231" s="27"/>
      <c r="E231" s="27"/>
      <c r="F231" s="27"/>
      <c r="G231" s="27"/>
      <c r="H231" s="27"/>
      <c r="I231" s="27"/>
      <c r="J231" s="27"/>
    </row>
    <row r="232" spans="1:10">
      <c r="A232" s="27"/>
      <c r="B232" s="27"/>
      <c r="C232" s="27"/>
      <c r="D232" s="27"/>
      <c r="E232" s="27"/>
      <c r="F232" s="27"/>
      <c r="G232" s="27"/>
      <c r="H232" s="27"/>
      <c r="I232" s="27"/>
      <c r="J232" s="27"/>
    </row>
    <row r="233" spans="1:10">
      <c r="A233" s="27"/>
      <c r="B233" s="27"/>
      <c r="C233" s="27"/>
      <c r="D233" s="27"/>
      <c r="E233" s="27"/>
      <c r="F233" s="27"/>
      <c r="G233" s="27"/>
      <c r="H233" s="27"/>
      <c r="I233" s="27"/>
      <c r="J233" s="27"/>
    </row>
    <row r="234" spans="1:10">
      <c r="A234" s="27"/>
      <c r="B234" s="27"/>
      <c r="C234" s="27"/>
      <c r="D234" s="27"/>
      <c r="E234" s="27"/>
      <c r="F234" s="27"/>
      <c r="G234" s="27"/>
      <c r="H234" s="27"/>
      <c r="I234" s="27"/>
      <c r="J234" s="27"/>
    </row>
    <row r="235" spans="1:10">
      <c r="A235" s="27"/>
      <c r="B235" s="27"/>
      <c r="C235" s="27"/>
      <c r="D235" s="27"/>
      <c r="E235" s="27"/>
      <c r="F235" s="27"/>
      <c r="G235" s="27"/>
      <c r="H235" s="27"/>
      <c r="I235" s="27"/>
      <c r="J235" s="27"/>
    </row>
    <row r="236" spans="1:10">
      <c r="A236" s="27"/>
      <c r="B236" s="27"/>
      <c r="C236" s="27"/>
      <c r="D236" s="27"/>
      <c r="E236" s="27"/>
      <c r="F236" s="27"/>
      <c r="G236" s="27"/>
      <c r="H236" s="27"/>
      <c r="I236" s="27"/>
      <c r="J236" s="27"/>
    </row>
    <row r="237" spans="1:10">
      <c r="A237" s="27"/>
      <c r="B237" s="27"/>
      <c r="C237" s="27"/>
      <c r="D237" s="27"/>
      <c r="E237" s="27"/>
      <c r="F237" s="27"/>
      <c r="G237" s="27"/>
      <c r="H237" s="27"/>
      <c r="I237" s="27"/>
      <c r="J237" s="27"/>
    </row>
    <row r="238" spans="1:10">
      <c r="A238" s="27"/>
      <c r="B238" s="27"/>
      <c r="C238" s="27"/>
      <c r="D238" s="27"/>
      <c r="E238" s="27"/>
      <c r="F238" s="27"/>
      <c r="G238" s="27"/>
      <c r="H238" s="27"/>
      <c r="I238" s="27"/>
      <c r="J238" s="27"/>
    </row>
    <row r="239" spans="1:10">
      <c r="A239" s="27"/>
      <c r="B239" s="27"/>
      <c r="C239" s="27"/>
      <c r="D239" s="27"/>
      <c r="E239" s="27"/>
      <c r="F239" s="27"/>
      <c r="G239" s="27"/>
      <c r="H239" s="27"/>
      <c r="I239" s="27"/>
      <c r="J239" s="27"/>
    </row>
    <row r="240" spans="1:10">
      <c r="A240" s="27"/>
      <c r="B240" s="27"/>
      <c r="C240" s="27"/>
      <c r="D240" s="27"/>
      <c r="E240" s="27"/>
      <c r="F240" s="27"/>
      <c r="G240" s="27"/>
      <c r="H240" s="27"/>
      <c r="I240" s="27"/>
      <c r="J240" s="27"/>
    </row>
    <row r="241" spans="1:10">
      <c r="A241" s="27"/>
      <c r="B241" s="27"/>
      <c r="C241" s="27"/>
      <c r="D241" s="27"/>
      <c r="E241" s="27"/>
      <c r="F241" s="27"/>
      <c r="G241" s="27"/>
      <c r="H241" s="27"/>
      <c r="I241" s="27"/>
      <c r="J241" s="27"/>
    </row>
    <row r="242" spans="1:10">
      <c r="A242" s="27"/>
      <c r="B242" s="27"/>
      <c r="C242" s="27"/>
      <c r="D242" s="27"/>
      <c r="E242" s="27"/>
      <c r="F242" s="27"/>
      <c r="G242" s="27"/>
      <c r="H242" s="27"/>
      <c r="I242" s="27"/>
      <c r="J242" s="27"/>
    </row>
    <row r="243" spans="1:10">
      <c r="A243" s="27"/>
      <c r="B243" s="27"/>
      <c r="C243" s="27"/>
      <c r="D243" s="27"/>
      <c r="E243" s="27"/>
      <c r="F243" s="27"/>
      <c r="G243" s="27"/>
      <c r="H243" s="27"/>
      <c r="I243" s="27"/>
      <c r="J243" s="27"/>
    </row>
    <row r="244" spans="1:10">
      <c r="A244" s="27"/>
      <c r="B244" s="27"/>
      <c r="C244" s="27"/>
      <c r="D244" s="27"/>
      <c r="E244" s="27"/>
      <c r="F244" s="27"/>
      <c r="G244" s="27"/>
      <c r="H244" s="27"/>
      <c r="I244" s="27"/>
      <c r="J244" s="27"/>
    </row>
    <row r="245" spans="1:10">
      <c r="A245" s="27"/>
      <c r="B245" s="27"/>
      <c r="C245" s="27"/>
      <c r="D245" s="27"/>
      <c r="E245" s="27"/>
      <c r="F245" s="27"/>
      <c r="G245" s="27"/>
      <c r="H245" s="27"/>
      <c r="I245" s="27"/>
      <c r="J245" s="27"/>
    </row>
    <row r="246" spans="1:10">
      <c r="A246" s="27"/>
      <c r="B246" s="27"/>
      <c r="C246" s="27"/>
      <c r="D246" s="27"/>
      <c r="E246" s="27"/>
      <c r="F246" s="27"/>
      <c r="G246" s="27"/>
      <c r="H246" s="27"/>
      <c r="I246" s="27"/>
      <c r="J246" s="27"/>
    </row>
    <row r="247" spans="1:10">
      <c r="A247" s="27"/>
      <c r="B247" s="27"/>
      <c r="C247" s="27"/>
      <c r="D247" s="27"/>
      <c r="E247" s="27"/>
      <c r="F247" s="27"/>
      <c r="G247" s="27"/>
      <c r="H247" s="27"/>
      <c r="I247" s="27"/>
      <c r="J247" s="27"/>
    </row>
    <row r="248" spans="1:10">
      <c r="A248" s="27"/>
      <c r="B248" s="27"/>
      <c r="C248" s="27"/>
      <c r="D248" s="27"/>
      <c r="E248" s="27"/>
      <c r="F248" s="27"/>
      <c r="G248" s="27"/>
      <c r="H248" s="27"/>
      <c r="I248" s="27"/>
      <c r="J248" s="27"/>
    </row>
    <row r="249" spans="1:10">
      <c r="A249" s="27"/>
      <c r="B249" s="27"/>
      <c r="C249" s="27"/>
      <c r="D249" s="27"/>
      <c r="E249" s="27"/>
      <c r="F249" s="27"/>
      <c r="G249" s="27"/>
      <c r="H249" s="27"/>
      <c r="I249" s="27"/>
      <c r="J249" s="27"/>
    </row>
    <row r="250" spans="1:10">
      <c r="A250" s="27"/>
      <c r="B250" s="27"/>
      <c r="C250" s="27"/>
      <c r="D250" s="27"/>
      <c r="E250" s="27"/>
      <c r="F250" s="27"/>
      <c r="G250" s="27"/>
      <c r="H250" s="27"/>
      <c r="I250" s="27"/>
      <c r="J250" s="27"/>
    </row>
    <row r="251" spans="1:10">
      <c r="A251" s="27"/>
      <c r="B251" s="27"/>
      <c r="C251" s="27"/>
      <c r="D251" s="27"/>
      <c r="E251" s="27"/>
      <c r="F251" s="27"/>
      <c r="G251" s="27"/>
      <c r="H251" s="27"/>
      <c r="I251" s="27"/>
      <c r="J251" s="27"/>
    </row>
    <row r="252" spans="1:10">
      <c r="A252" s="27"/>
      <c r="B252" s="27"/>
      <c r="C252" s="27"/>
      <c r="D252" s="27"/>
      <c r="E252" s="27"/>
      <c r="F252" s="27"/>
      <c r="G252" s="27"/>
      <c r="H252" s="27"/>
      <c r="I252" s="27"/>
      <c r="J252" s="27"/>
    </row>
    <row r="253" spans="1:10">
      <c r="A253" s="27"/>
      <c r="B253" s="27"/>
      <c r="C253" s="27"/>
      <c r="D253" s="27"/>
      <c r="E253" s="27"/>
      <c r="F253" s="27"/>
      <c r="G253" s="27"/>
      <c r="H253" s="27"/>
      <c r="I253" s="27"/>
      <c r="J253" s="27"/>
    </row>
    <row r="254" spans="1:10">
      <c r="A254" s="27"/>
      <c r="B254" s="27"/>
      <c r="C254" s="27"/>
      <c r="D254" s="27"/>
      <c r="E254" s="27"/>
      <c r="F254" s="27"/>
      <c r="G254" s="27"/>
      <c r="H254" s="27"/>
      <c r="I254" s="27"/>
      <c r="J254" s="27"/>
    </row>
    <row r="255" spans="1:10">
      <c r="A255" s="27"/>
      <c r="B255" s="27"/>
      <c r="C255" s="27"/>
      <c r="D255" s="27"/>
      <c r="E255" s="27"/>
      <c r="F255" s="27"/>
      <c r="G255" s="27"/>
      <c r="H255" s="27"/>
      <c r="I255" s="27"/>
      <c r="J255" s="27"/>
    </row>
    <row r="256" spans="1:10">
      <c r="A256" s="27"/>
      <c r="B256" s="27"/>
      <c r="C256" s="27"/>
      <c r="D256" s="27"/>
      <c r="E256" s="27"/>
      <c r="F256" s="27"/>
      <c r="G256" s="27"/>
      <c r="H256" s="27"/>
      <c r="I256" s="27"/>
      <c r="J256" s="27"/>
    </row>
    <row r="257" spans="1:10">
      <c r="A257" s="27"/>
      <c r="B257" s="27"/>
      <c r="C257" s="27"/>
      <c r="D257" s="27"/>
      <c r="E257" s="27"/>
      <c r="F257" s="27"/>
      <c r="G257" s="27"/>
      <c r="H257" s="27"/>
      <c r="I257" s="27"/>
      <c r="J257" s="27"/>
    </row>
    <row r="258" spans="1:10">
      <c r="A258" s="27"/>
      <c r="B258" s="27"/>
      <c r="C258" s="27"/>
      <c r="D258" s="27"/>
      <c r="E258" s="27"/>
      <c r="F258" s="27"/>
      <c r="G258" s="27"/>
      <c r="H258" s="27"/>
      <c r="I258" s="27"/>
      <c r="J258" s="27"/>
    </row>
    <row r="259" spans="1:10">
      <c r="A259" s="27"/>
      <c r="B259" s="27"/>
      <c r="C259" s="27"/>
      <c r="D259" s="27"/>
      <c r="E259" s="27"/>
      <c r="F259" s="27"/>
      <c r="G259" s="27"/>
      <c r="H259" s="27"/>
      <c r="I259" s="27"/>
      <c r="J259" s="27"/>
    </row>
    <row r="260" spans="1:10">
      <c r="A260" s="27"/>
      <c r="B260" s="27"/>
      <c r="C260" s="27"/>
      <c r="D260" s="27"/>
      <c r="E260" s="27"/>
      <c r="F260" s="27"/>
      <c r="G260" s="27"/>
      <c r="H260" s="27"/>
      <c r="I260" s="27"/>
      <c r="J260" s="27"/>
    </row>
    <row r="261" spans="1:10">
      <c r="A261" s="27"/>
      <c r="B261" s="27"/>
      <c r="C261" s="27"/>
      <c r="D261" s="27"/>
      <c r="E261" s="27"/>
      <c r="F261" s="27"/>
      <c r="G261" s="27"/>
      <c r="H261" s="27"/>
      <c r="I261" s="27"/>
      <c r="J261" s="27"/>
    </row>
    <row r="262" spans="1:10">
      <c r="A262" s="27"/>
      <c r="B262" s="27"/>
      <c r="C262" s="27"/>
      <c r="D262" s="27"/>
      <c r="E262" s="27"/>
      <c r="F262" s="27"/>
      <c r="G262" s="27"/>
      <c r="H262" s="27"/>
      <c r="I262" s="27"/>
      <c r="J262" s="27"/>
    </row>
    <row r="263" spans="1:10">
      <c r="A263" s="27"/>
      <c r="B263" s="27"/>
      <c r="C263" s="27"/>
      <c r="D263" s="27"/>
      <c r="E263" s="27"/>
      <c r="F263" s="27"/>
      <c r="G263" s="27"/>
      <c r="H263" s="27"/>
      <c r="I263" s="27"/>
      <c r="J263" s="27"/>
    </row>
    <row r="264" spans="1:10">
      <c r="A264" s="27"/>
      <c r="B264" s="27"/>
      <c r="C264" s="27"/>
      <c r="D264" s="27"/>
      <c r="E264" s="27"/>
      <c r="F264" s="27"/>
      <c r="G264" s="27"/>
      <c r="H264" s="27"/>
      <c r="I264" s="27"/>
      <c r="J264" s="27"/>
    </row>
    <row r="265" spans="1:10">
      <c r="A265" s="27"/>
      <c r="B265" s="27"/>
      <c r="C265" s="27"/>
      <c r="D265" s="27"/>
      <c r="E265" s="27"/>
      <c r="F265" s="27"/>
      <c r="G265" s="27"/>
      <c r="H265" s="27"/>
      <c r="I265" s="27"/>
      <c r="J265" s="27"/>
    </row>
    <row r="266" spans="1:10">
      <c r="A266" s="27"/>
      <c r="B266" s="27"/>
      <c r="C266" s="27"/>
      <c r="D266" s="27"/>
      <c r="E266" s="27"/>
      <c r="F266" s="27"/>
      <c r="G266" s="27"/>
      <c r="H266" s="27"/>
      <c r="I266" s="27"/>
      <c r="J266" s="27"/>
    </row>
    <row r="267" spans="1:10">
      <c r="A267" s="27"/>
      <c r="B267" s="27"/>
      <c r="C267" s="27"/>
      <c r="D267" s="27"/>
      <c r="E267" s="27"/>
      <c r="F267" s="27"/>
      <c r="G267" s="27"/>
      <c r="H267" s="27"/>
      <c r="I267" s="27"/>
      <c r="J267" s="27"/>
    </row>
    <row r="268" spans="1:10">
      <c r="A268" s="27"/>
      <c r="B268" s="27"/>
      <c r="C268" s="27"/>
      <c r="D268" s="27"/>
      <c r="E268" s="27"/>
      <c r="F268" s="27"/>
      <c r="G268" s="27"/>
      <c r="H268" s="27"/>
      <c r="I268" s="27"/>
      <c r="J268" s="27"/>
    </row>
    <row r="269" spans="1:10">
      <c r="A269" s="27"/>
      <c r="B269" s="27"/>
      <c r="C269" s="27"/>
      <c r="D269" s="27"/>
      <c r="E269" s="27"/>
      <c r="F269" s="27"/>
      <c r="G269" s="27"/>
      <c r="H269" s="27"/>
      <c r="I269" s="27"/>
      <c r="J269" s="27"/>
    </row>
    <row r="270" spans="1:10">
      <c r="A270" s="27"/>
      <c r="B270" s="27"/>
      <c r="C270" s="27"/>
      <c r="D270" s="27"/>
      <c r="E270" s="27"/>
      <c r="F270" s="27"/>
      <c r="G270" s="27"/>
      <c r="H270" s="27"/>
      <c r="I270" s="27"/>
      <c r="J270" s="27"/>
    </row>
    <row r="271" spans="1:10">
      <c r="A271" s="27"/>
      <c r="B271" s="27"/>
      <c r="C271" s="27"/>
      <c r="D271" s="27"/>
      <c r="E271" s="27"/>
      <c r="F271" s="27"/>
      <c r="G271" s="27"/>
      <c r="H271" s="27"/>
      <c r="I271" s="27"/>
      <c r="J271" s="27"/>
    </row>
    <row r="272" spans="1:10">
      <c r="A272" s="27"/>
      <c r="B272" s="27"/>
      <c r="C272" s="27"/>
      <c r="D272" s="27"/>
      <c r="E272" s="27"/>
      <c r="F272" s="27"/>
      <c r="G272" s="27"/>
      <c r="H272" s="27"/>
      <c r="I272" s="27"/>
      <c r="J272" s="27"/>
    </row>
    <row r="273" spans="1:10">
      <c r="A273" s="27"/>
      <c r="B273" s="27"/>
      <c r="C273" s="27"/>
      <c r="D273" s="27"/>
      <c r="E273" s="27"/>
      <c r="F273" s="27"/>
      <c r="G273" s="27"/>
      <c r="H273" s="27"/>
      <c r="I273" s="27"/>
      <c r="J273" s="27"/>
    </row>
    <row r="274" spans="1:10">
      <c r="A274" s="27"/>
      <c r="B274" s="27"/>
      <c r="C274" s="27"/>
      <c r="D274" s="27"/>
      <c r="E274" s="27"/>
      <c r="F274" s="27"/>
      <c r="G274" s="27"/>
      <c r="H274" s="27"/>
      <c r="I274" s="27"/>
      <c r="J274" s="27"/>
    </row>
    <row r="275" spans="1:10">
      <c r="A275" s="27"/>
      <c r="B275" s="27"/>
      <c r="C275" s="27"/>
      <c r="D275" s="27"/>
      <c r="E275" s="27"/>
      <c r="F275" s="27"/>
      <c r="G275" s="27"/>
      <c r="H275" s="27"/>
      <c r="I275" s="27"/>
      <c r="J275" s="27"/>
    </row>
    <row r="276" spans="1:10">
      <c r="A276" s="27"/>
      <c r="B276" s="27"/>
      <c r="C276" s="27"/>
      <c r="D276" s="27"/>
      <c r="E276" s="27"/>
      <c r="F276" s="27"/>
      <c r="G276" s="27"/>
      <c r="H276" s="27"/>
      <c r="I276" s="27"/>
      <c r="J276" s="27"/>
    </row>
    <row r="277" spans="1:10">
      <c r="A277" s="27"/>
      <c r="B277" s="27"/>
      <c r="C277" s="27"/>
      <c r="D277" s="27"/>
      <c r="E277" s="27"/>
      <c r="F277" s="27"/>
      <c r="G277" s="27"/>
      <c r="H277" s="27"/>
      <c r="I277" s="27"/>
      <c r="J277" s="27"/>
    </row>
    <row r="278" spans="1:10">
      <c r="A278" s="27"/>
      <c r="B278" s="27"/>
      <c r="C278" s="27"/>
      <c r="D278" s="27"/>
      <c r="E278" s="27"/>
      <c r="F278" s="27"/>
      <c r="G278" s="27"/>
      <c r="H278" s="27"/>
      <c r="I278" s="27"/>
      <c r="J278" s="27"/>
    </row>
    <row r="279" spans="1:10">
      <c r="A279" s="27"/>
      <c r="B279" s="27"/>
      <c r="C279" s="27"/>
      <c r="D279" s="27"/>
      <c r="E279" s="27"/>
      <c r="F279" s="27"/>
      <c r="G279" s="27"/>
      <c r="H279" s="27"/>
      <c r="I279" s="27"/>
      <c r="J279" s="27"/>
    </row>
    <row r="280" spans="1:10">
      <c r="A280" s="27"/>
      <c r="B280" s="27"/>
      <c r="C280" s="27"/>
      <c r="D280" s="27"/>
      <c r="E280" s="27"/>
      <c r="F280" s="27"/>
      <c r="G280" s="27"/>
      <c r="H280" s="27"/>
      <c r="I280" s="27"/>
      <c r="J280" s="27"/>
    </row>
    <row r="281" spans="1:10">
      <c r="A281" s="27"/>
      <c r="B281" s="27"/>
      <c r="C281" s="27"/>
      <c r="D281" s="27"/>
      <c r="E281" s="27"/>
      <c r="F281" s="27"/>
      <c r="G281" s="27"/>
      <c r="H281" s="27"/>
      <c r="I281" s="27"/>
      <c r="J281" s="27"/>
    </row>
    <row r="282" spans="1:10">
      <c r="A282" s="27"/>
      <c r="B282" s="27"/>
      <c r="C282" s="27"/>
      <c r="D282" s="27"/>
      <c r="E282" s="27"/>
      <c r="F282" s="27"/>
      <c r="G282" s="27"/>
      <c r="H282" s="27"/>
      <c r="I282" s="27"/>
      <c r="J282" s="27"/>
    </row>
    <row r="283" spans="1:10">
      <c r="A283" s="27"/>
      <c r="B283" s="27"/>
      <c r="C283" s="27"/>
      <c r="D283" s="27"/>
      <c r="E283" s="27"/>
      <c r="F283" s="27"/>
      <c r="G283" s="27"/>
      <c r="H283" s="27"/>
      <c r="I283" s="27"/>
      <c r="J283" s="27"/>
    </row>
    <row r="284" spans="1:10">
      <c r="A284" s="27"/>
      <c r="B284" s="27"/>
      <c r="C284" s="27"/>
      <c r="D284" s="27"/>
      <c r="E284" s="27"/>
      <c r="F284" s="27"/>
      <c r="G284" s="27"/>
      <c r="H284" s="27"/>
      <c r="I284" s="27"/>
      <c r="J284" s="27"/>
    </row>
    <row r="285" spans="1:10">
      <c r="A285" s="27"/>
      <c r="B285" s="27"/>
      <c r="C285" s="27"/>
      <c r="D285" s="27"/>
      <c r="E285" s="27"/>
      <c r="F285" s="27"/>
      <c r="G285" s="27"/>
      <c r="H285" s="27"/>
      <c r="I285" s="27"/>
      <c r="J285" s="27"/>
    </row>
    <row r="286" spans="1:10">
      <c r="A286" s="27"/>
      <c r="B286" s="27"/>
      <c r="C286" s="27"/>
      <c r="D286" s="27"/>
      <c r="E286" s="27"/>
      <c r="F286" s="27"/>
      <c r="G286" s="27"/>
      <c r="H286" s="27"/>
      <c r="I286" s="27"/>
      <c r="J286" s="27"/>
    </row>
    <row r="287" spans="1:10">
      <c r="A287" s="27"/>
      <c r="B287" s="27"/>
      <c r="C287" s="27"/>
      <c r="D287" s="27"/>
      <c r="E287" s="27"/>
      <c r="F287" s="27"/>
      <c r="G287" s="27"/>
      <c r="H287" s="27"/>
      <c r="I287" s="27"/>
      <c r="J287" s="27"/>
    </row>
    <row r="288" spans="1:10">
      <c r="A288" s="27"/>
      <c r="B288" s="27"/>
      <c r="C288" s="27"/>
      <c r="D288" s="27"/>
      <c r="E288" s="27"/>
      <c r="F288" s="27"/>
      <c r="G288" s="27"/>
      <c r="H288" s="27"/>
      <c r="I288" s="27"/>
      <c r="J288" s="27"/>
    </row>
    <row r="289" spans="1:10">
      <c r="A289" s="27"/>
      <c r="B289" s="27"/>
      <c r="C289" s="27"/>
      <c r="D289" s="27"/>
      <c r="E289" s="27"/>
      <c r="F289" s="27"/>
      <c r="G289" s="27"/>
      <c r="H289" s="27"/>
      <c r="I289" s="27"/>
      <c r="J289" s="27"/>
    </row>
    <row r="290" spans="1:10">
      <c r="A290" s="27"/>
      <c r="B290" s="27"/>
      <c r="C290" s="27"/>
      <c r="D290" s="27"/>
      <c r="E290" s="27"/>
      <c r="F290" s="27"/>
      <c r="G290" s="27"/>
      <c r="H290" s="27"/>
      <c r="I290" s="27"/>
      <c r="J290" s="27"/>
    </row>
    <row r="291" spans="1:10">
      <c r="A291" s="27"/>
      <c r="B291" s="27"/>
      <c r="C291" s="27"/>
      <c r="D291" s="27"/>
      <c r="E291" s="27"/>
      <c r="F291" s="27"/>
      <c r="G291" s="27"/>
      <c r="H291" s="27"/>
      <c r="I291" s="27"/>
      <c r="J291" s="27"/>
    </row>
    <row r="292" spans="1:10">
      <c r="A292" s="27"/>
      <c r="B292" s="27"/>
      <c r="C292" s="27"/>
      <c r="D292" s="27"/>
      <c r="E292" s="27"/>
      <c r="F292" s="27"/>
      <c r="G292" s="27"/>
      <c r="H292" s="27"/>
      <c r="I292" s="27"/>
      <c r="J292" s="27"/>
    </row>
    <row r="293" spans="1:10">
      <c r="A293" s="27"/>
      <c r="B293" s="27"/>
      <c r="C293" s="27"/>
      <c r="D293" s="27"/>
      <c r="E293" s="27"/>
      <c r="F293" s="27"/>
      <c r="G293" s="27"/>
      <c r="H293" s="27"/>
      <c r="I293" s="27"/>
      <c r="J293" s="27"/>
    </row>
    <row r="294" spans="1:10">
      <c r="A294" s="27"/>
      <c r="B294" s="27"/>
      <c r="C294" s="27"/>
      <c r="D294" s="27"/>
      <c r="E294" s="27"/>
      <c r="F294" s="27"/>
      <c r="G294" s="27"/>
      <c r="H294" s="27"/>
      <c r="I294" s="27"/>
      <c r="J294" s="27"/>
    </row>
    <row r="295" spans="1:10">
      <c r="A295" s="27"/>
      <c r="B295" s="27"/>
      <c r="C295" s="27"/>
      <c r="D295" s="27"/>
      <c r="E295" s="27"/>
      <c r="F295" s="27"/>
      <c r="G295" s="27"/>
      <c r="H295" s="27"/>
      <c r="I295" s="27"/>
      <c r="J295" s="27"/>
    </row>
    <row r="296" spans="1:10">
      <c r="A296" s="27"/>
      <c r="B296" s="27"/>
      <c r="C296" s="27"/>
      <c r="D296" s="27"/>
      <c r="E296" s="27"/>
      <c r="F296" s="27"/>
      <c r="G296" s="27"/>
      <c r="H296" s="27"/>
      <c r="I296" s="27"/>
      <c r="J296" s="27"/>
    </row>
    <row r="297" spans="1:10">
      <c r="A297" s="27"/>
      <c r="B297" s="27"/>
      <c r="C297" s="27"/>
      <c r="D297" s="27"/>
      <c r="E297" s="27"/>
      <c r="F297" s="27"/>
      <c r="G297" s="27"/>
      <c r="H297" s="27"/>
      <c r="I297" s="27"/>
      <c r="J297" s="27"/>
    </row>
    <row r="298" spans="1:10">
      <c r="A298" s="27"/>
      <c r="B298" s="27"/>
      <c r="C298" s="27"/>
      <c r="D298" s="27"/>
      <c r="E298" s="27"/>
      <c r="F298" s="27"/>
      <c r="G298" s="27"/>
      <c r="H298" s="27"/>
      <c r="I298" s="27"/>
      <c r="J298" s="27"/>
    </row>
    <row r="299" spans="1:10">
      <c r="A299" s="27"/>
      <c r="B299" s="27"/>
      <c r="C299" s="27"/>
      <c r="D299" s="27"/>
      <c r="E299" s="27"/>
      <c r="F299" s="27"/>
      <c r="G299" s="27"/>
      <c r="H299" s="27"/>
      <c r="I299" s="27"/>
      <c r="J299" s="27"/>
    </row>
    <row r="300" spans="1:10">
      <c r="A300" s="27"/>
      <c r="B300" s="27"/>
      <c r="C300" s="27"/>
      <c r="D300" s="27"/>
      <c r="E300" s="27"/>
      <c r="F300" s="27"/>
      <c r="G300" s="27"/>
      <c r="H300" s="27"/>
      <c r="I300" s="27"/>
      <c r="J300" s="27"/>
    </row>
    <row r="301" spans="1:10">
      <c r="A301" s="27"/>
      <c r="B301" s="27"/>
      <c r="C301" s="27"/>
      <c r="D301" s="27"/>
      <c r="E301" s="27"/>
      <c r="F301" s="27"/>
      <c r="G301" s="27"/>
      <c r="H301" s="27"/>
      <c r="I301" s="27"/>
      <c r="J301" s="27"/>
    </row>
    <row r="302" spans="1:10">
      <c r="A302" s="27"/>
      <c r="B302" s="27"/>
      <c r="C302" s="27"/>
      <c r="D302" s="27"/>
      <c r="E302" s="27"/>
      <c r="F302" s="27"/>
      <c r="G302" s="27"/>
      <c r="H302" s="27"/>
      <c r="I302" s="27"/>
      <c r="J302" s="27"/>
    </row>
    <row r="303" spans="1:10">
      <c r="A303" s="27"/>
      <c r="B303" s="27"/>
      <c r="C303" s="27"/>
      <c r="D303" s="27"/>
      <c r="E303" s="27"/>
      <c r="F303" s="27"/>
      <c r="G303" s="27"/>
      <c r="H303" s="27"/>
      <c r="I303" s="27"/>
      <c r="J303" s="27"/>
    </row>
    <row r="304" spans="1:10">
      <c r="A304" s="27"/>
      <c r="B304" s="27"/>
      <c r="C304" s="27"/>
      <c r="D304" s="27"/>
      <c r="E304" s="27"/>
      <c r="F304" s="27"/>
      <c r="G304" s="27"/>
      <c r="H304" s="27"/>
      <c r="I304" s="27"/>
      <c r="J304" s="27"/>
    </row>
    <row r="305" spans="1:10">
      <c r="A305" s="27"/>
      <c r="B305" s="27"/>
      <c r="C305" s="27"/>
      <c r="D305" s="27"/>
      <c r="E305" s="27"/>
      <c r="F305" s="27"/>
      <c r="G305" s="27"/>
      <c r="H305" s="27"/>
      <c r="I305" s="27"/>
      <c r="J305" s="27"/>
    </row>
    <row r="306" spans="1:10">
      <c r="A306" s="27"/>
      <c r="B306" s="27"/>
      <c r="C306" s="27"/>
      <c r="D306" s="27"/>
      <c r="E306" s="27"/>
      <c r="F306" s="27"/>
      <c r="G306" s="27"/>
      <c r="H306" s="27"/>
      <c r="I306" s="27"/>
      <c r="J306" s="27"/>
    </row>
    <row r="307" spans="1:10">
      <c r="A307" s="27"/>
      <c r="B307" s="27"/>
      <c r="C307" s="27"/>
      <c r="D307" s="27"/>
      <c r="E307" s="27"/>
      <c r="F307" s="27"/>
      <c r="G307" s="27"/>
      <c r="H307" s="27"/>
      <c r="I307" s="27"/>
      <c r="J307" s="27"/>
    </row>
    <row r="308" spans="1:10">
      <c r="A308" s="27"/>
      <c r="B308" s="27"/>
      <c r="C308" s="27"/>
      <c r="D308" s="27"/>
      <c r="E308" s="27"/>
      <c r="F308" s="27"/>
      <c r="G308" s="27"/>
      <c r="H308" s="27"/>
      <c r="I308" s="27"/>
      <c r="J308" s="27"/>
    </row>
    <row r="309" spans="1:10">
      <c r="A309" s="27"/>
      <c r="B309" s="27"/>
      <c r="C309" s="27"/>
      <c r="D309" s="27"/>
      <c r="E309" s="27"/>
      <c r="F309" s="27"/>
      <c r="G309" s="27"/>
      <c r="H309" s="27"/>
      <c r="I309" s="27"/>
      <c r="J309" s="27"/>
    </row>
    <row r="310" spans="1:10">
      <c r="A310" s="27"/>
      <c r="B310" s="27"/>
      <c r="C310" s="27"/>
      <c r="D310" s="27"/>
      <c r="E310" s="27"/>
      <c r="F310" s="27"/>
      <c r="G310" s="27"/>
      <c r="H310" s="27"/>
      <c r="I310" s="27"/>
      <c r="J310" s="27"/>
    </row>
    <row r="311" spans="1:10">
      <c r="A311" s="27"/>
      <c r="B311" s="27"/>
      <c r="C311" s="27"/>
      <c r="D311" s="27"/>
      <c r="E311" s="27"/>
      <c r="F311" s="27"/>
      <c r="G311" s="27"/>
      <c r="H311" s="27"/>
      <c r="I311" s="27"/>
      <c r="J311" s="27"/>
    </row>
    <row r="312" spans="1:10">
      <c r="A312" s="27"/>
      <c r="B312" s="27"/>
      <c r="C312" s="27"/>
      <c r="D312" s="27"/>
      <c r="E312" s="27"/>
      <c r="F312" s="27"/>
      <c r="G312" s="27"/>
      <c r="H312" s="27"/>
      <c r="I312" s="27"/>
      <c r="J312" s="27"/>
    </row>
    <row r="313" spans="1:10">
      <c r="A313" s="27"/>
      <c r="B313" s="27"/>
      <c r="C313" s="27"/>
      <c r="D313" s="27"/>
      <c r="E313" s="27"/>
      <c r="F313" s="27"/>
      <c r="G313" s="27"/>
      <c r="H313" s="27"/>
      <c r="I313" s="27"/>
      <c r="J313" s="27"/>
    </row>
    <row r="314" spans="1:10">
      <c r="A314" s="27"/>
      <c r="B314" s="27"/>
      <c r="C314" s="27"/>
      <c r="D314" s="27"/>
      <c r="E314" s="27"/>
      <c r="F314" s="27"/>
      <c r="G314" s="27"/>
      <c r="H314" s="27"/>
      <c r="I314" s="27"/>
      <c r="J314" s="27"/>
    </row>
    <row r="315" spans="1:10">
      <c r="A315" s="27"/>
      <c r="B315" s="27"/>
      <c r="C315" s="27"/>
      <c r="D315" s="27"/>
      <c r="E315" s="27"/>
      <c r="F315" s="27"/>
      <c r="G315" s="27"/>
      <c r="H315" s="27"/>
      <c r="I315" s="27"/>
      <c r="J315" s="27"/>
    </row>
    <row r="316" spans="1:10">
      <c r="A316" s="27"/>
      <c r="B316" s="27"/>
      <c r="C316" s="27"/>
      <c r="D316" s="27"/>
      <c r="E316" s="27"/>
      <c r="F316" s="27"/>
      <c r="G316" s="27"/>
      <c r="H316" s="27"/>
      <c r="I316" s="27"/>
      <c r="J316" s="27"/>
    </row>
    <row r="317" spans="1:10">
      <c r="A317" s="27"/>
      <c r="B317" s="27"/>
      <c r="C317" s="27"/>
      <c r="D317" s="27"/>
      <c r="E317" s="27"/>
      <c r="F317" s="27"/>
      <c r="G317" s="27"/>
      <c r="H317" s="27"/>
      <c r="I317" s="27"/>
      <c r="J317" s="27"/>
    </row>
    <row r="318" spans="1:10">
      <c r="A318" s="27"/>
      <c r="B318" s="27"/>
      <c r="C318" s="27"/>
      <c r="D318" s="27"/>
      <c r="E318" s="27"/>
      <c r="F318" s="27"/>
      <c r="G318" s="27"/>
      <c r="H318" s="27"/>
      <c r="I318" s="27"/>
      <c r="J318" s="27"/>
    </row>
    <row r="319" spans="1:10">
      <c r="A319" s="27"/>
      <c r="B319" s="27"/>
      <c r="C319" s="27"/>
      <c r="D319" s="27"/>
      <c r="E319" s="27"/>
      <c r="F319" s="27"/>
      <c r="G319" s="27"/>
      <c r="H319" s="27"/>
      <c r="I319" s="27"/>
      <c r="J319" s="27"/>
    </row>
    <row r="320" spans="1:10">
      <c r="A320" s="27"/>
      <c r="B320" s="27"/>
      <c r="C320" s="27"/>
      <c r="D320" s="27"/>
      <c r="E320" s="27"/>
      <c r="F320" s="27"/>
      <c r="G320" s="27"/>
      <c r="H320" s="27"/>
      <c r="I320" s="27"/>
      <c r="J320" s="27"/>
    </row>
    <row r="321" spans="1:10">
      <c r="A321" s="27"/>
      <c r="B321" s="27"/>
      <c r="C321" s="27"/>
      <c r="D321" s="27"/>
      <c r="E321" s="27"/>
      <c r="F321" s="27"/>
      <c r="G321" s="27"/>
      <c r="H321" s="27"/>
      <c r="I321" s="27"/>
      <c r="J321" s="27"/>
    </row>
    <row r="322" spans="1:10">
      <c r="A322" s="27"/>
      <c r="B322" s="27"/>
      <c r="C322" s="27"/>
      <c r="D322" s="27"/>
      <c r="E322" s="27"/>
      <c r="F322" s="27"/>
      <c r="G322" s="27"/>
      <c r="H322" s="27"/>
      <c r="I322" s="27"/>
      <c r="J322" s="27"/>
    </row>
    <row r="323" spans="1:10">
      <c r="A323" s="27"/>
      <c r="B323" s="27"/>
      <c r="C323" s="27"/>
      <c r="D323" s="27"/>
      <c r="E323" s="27"/>
      <c r="F323" s="27"/>
      <c r="G323" s="27"/>
      <c r="H323" s="27"/>
      <c r="I323" s="27"/>
      <c r="J323" s="27"/>
    </row>
    <row r="324" spans="1:10">
      <c r="A324" s="27"/>
      <c r="B324" s="27"/>
      <c r="C324" s="27"/>
      <c r="D324" s="27"/>
      <c r="E324" s="27"/>
      <c r="F324" s="27"/>
      <c r="G324" s="27"/>
      <c r="H324" s="27"/>
      <c r="I324" s="27"/>
      <c r="J324" s="27"/>
    </row>
    <row r="325" spans="1:10">
      <c r="A325" s="27"/>
      <c r="B325" s="27"/>
      <c r="C325" s="27"/>
      <c r="D325" s="27"/>
      <c r="E325" s="27"/>
      <c r="F325" s="27"/>
      <c r="G325" s="27"/>
      <c r="H325" s="27"/>
      <c r="I325" s="27"/>
      <c r="J325" s="27"/>
    </row>
    <row r="326" spans="1:10">
      <c r="A326" s="27"/>
      <c r="B326" s="27"/>
      <c r="C326" s="27"/>
      <c r="D326" s="27"/>
      <c r="E326" s="27"/>
      <c r="F326" s="27"/>
      <c r="G326" s="27"/>
      <c r="H326" s="27"/>
      <c r="I326" s="27"/>
      <c r="J326" s="27"/>
    </row>
    <row r="327" spans="1:10">
      <c r="A327" s="27"/>
      <c r="B327" s="27"/>
      <c r="C327" s="27"/>
      <c r="D327" s="27"/>
      <c r="E327" s="27"/>
      <c r="F327" s="27"/>
      <c r="G327" s="27"/>
      <c r="H327" s="27"/>
      <c r="I327" s="27"/>
      <c r="J327" s="27"/>
    </row>
    <row r="328" spans="1:10">
      <c r="A328" s="27"/>
      <c r="B328" s="27"/>
      <c r="C328" s="27"/>
      <c r="D328" s="27"/>
      <c r="E328" s="27"/>
      <c r="F328" s="27"/>
      <c r="G328" s="27"/>
      <c r="H328" s="27"/>
      <c r="I328" s="27"/>
      <c r="J328" s="27"/>
    </row>
    <row r="329" spans="1:10">
      <c r="A329" s="27"/>
      <c r="B329" s="27"/>
      <c r="C329" s="27"/>
      <c r="D329" s="27"/>
      <c r="E329" s="27"/>
      <c r="F329" s="27"/>
      <c r="G329" s="27"/>
      <c r="H329" s="27"/>
      <c r="I329" s="27"/>
      <c r="J329" s="27"/>
    </row>
    <row r="330" spans="1:10">
      <c r="A330" s="27"/>
      <c r="B330" s="27"/>
      <c r="C330" s="27"/>
      <c r="D330" s="27"/>
      <c r="E330" s="27"/>
      <c r="F330" s="27"/>
      <c r="G330" s="27"/>
      <c r="H330" s="27"/>
      <c r="I330" s="27"/>
      <c r="J330" s="27"/>
    </row>
    <row r="331" spans="1:10">
      <c r="A331" s="27"/>
      <c r="B331" s="27"/>
      <c r="C331" s="27"/>
      <c r="D331" s="27"/>
      <c r="E331" s="27"/>
      <c r="F331" s="27"/>
      <c r="G331" s="27"/>
      <c r="H331" s="27"/>
      <c r="I331" s="27"/>
      <c r="J331" s="27"/>
    </row>
    <row r="332" spans="1:10">
      <c r="A332" s="27"/>
      <c r="B332" s="27"/>
      <c r="C332" s="27"/>
      <c r="D332" s="27"/>
      <c r="E332" s="27"/>
      <c r="F332" s="27"/>
      <c r="G332" s="27"/>
      <c r="H332" s="27"/>
      <c r="I332" s="27"/>
      <c r="J332" s="27"/>
    </row>
    <row r="333" spans="1:10">
      <c r="A333" s="27"/>
      <c r="B333" s="27"/>
      <c r="C333" s="27"/>
      <c r="D333" s="27"/>
      <c r="E333" s="27"/>
      <c r="F333" s="27"/>
      <c r="G333" s="27"/>
      <c r="H333" s="27"/>
      <c r="I333" s="27"/>
      <c r="J333" s="27"/>
    </row>
    <row r="334" spans="1:10">
      <c r="A334" s="27"/>
      <c r="B334" s="27"/>
      <c r="C334" s="27"/>
      <c r="D334" s="27"/>
      <c r="E334" s="27"/>
      <c r="F334" s="27"/>
      <c r="G334" s="27"/>
      <c r="H334" s="27"/>
      <c r="I334" s="27"/>
      <c r="J334" s="27"/>
    </row>
    <row r="335" spans="1:10">
      <c r="A335" s="27"/>
      <c r="B335" s="27"/>
      <c r="C335" s="27"/>
      <c r="D335" s="27"/>
      <c r="E335" s="27"/>
      <c r="F335" s="27"/>
      <c r="G335" s="27"/>
      <c r="H335" s="27"/>
      <c r="I335" s="27"/>
      <c r="J335" s="27"/>
    </row>
    <row r="336" spans="1:10">
      <c r="A336" s="27"/>
      <c r="B336" s="27"/>
      <c r="C336" s="27"/>
      <c r="D336" s="27"/>
      <c r="E336" s="27"/>
      <c r="F336" s="27"/>
      <c r="G336" s="27"/>
      <c r="H336" s="27"/>
      <c r="I336" s="27"/>
      <c r="J336" s="27"/>
    </row>
    <row r="337" spans="1:10">
      <c r="A337" s="27"/>
      <c r="B337" s="27"/>
      <c r="C337" s="27"/>
      <c r="D337" s="27"/>
      <c r="E337" s="27"/>
      <c r="F337" s="27"/>
      <c r="G337" s="27"/>
      <c r="H337" s="27"/>
      <c r="I337" s="27"/>
      <c r="J337" s="27"/>
    </row>
    <row r="338" spans="1:10">
      <c r="A338" s="27"/>
      <c r="B338" s="27"/>
      <c r="C338" s="27"/>
      <c r="D338" s="27"/>
      <c r="E338" s="27"/>
      <c r="F338" s="27"/>
      <c r="G338" s="27"/>
      <c r="H338" s="27"/>
      <c r="I338" s="27"/>
      <c r="J338" s="27"/>
    </row>
    <row r="339" spans="1:10">
      <c r="A339" s="27"/>
      <c r="B339" s="27"/>
      <c r="C339" s="27"/>
      <c r="D339" s="27"/>
      <c r="E339" s="27"/>
      <c r="F339" s="27"/>
      <c r="G339" s="27"/>
      <c r="H339" s="27"/>
      <c r="I339" s="27"/>
      <c r="J339" s="27"/>
    </row>
    <row r="340" spans="1:10">
      <c r="A340" s="27"/>
      <c r="B340" s="27"/>
      <c r="C340" s="27"/>
      <c r="D340" s="27"/>
      <c r="E340" s="27"/>
      <c r="F340" s="27"/>
      <c r="G340" s="27"/>
      <c r="H340" s="27"/>
      <c r="I340" s="27"/>
      <c r="J340" s="27"/>
    </row>
    <row r="341" spans="1:10">
      <c r="A341" s="27"/>
      <c r="B341" s="27"/>
      <c r="C341" s="27"/>
      <c r="D341" s="27"/>
      <c r="E341" s="27"/>
      <c r="F341" s="27"/>
      <c r="G341" s="27"/>
      <c r="H341" s="27"/>
      <c r="I341" s="27"/>
      <c r="J341" s="27"/>
    </row>
    <row r="342" spans="1:10">
      <c r="A342" s="27"/>
      <c r="B342" s="27"/>
      <c r="C342" s="27"/>
      <c r="D342" s="27"/>
      <c r="E342" s="27"/>
      <c r="F342" s="27"/>
      <c r="G342" s="27"/>
      <c r="H342" s="27"/>
      <c r="I342" s="27"/>
      <c r="J342" s="27"/>
    </row>
    <row r="343" spans="1:10">
      <c r="A343" s="27"/>
      <c r="B343" s="27"/>
      <c r="C343" s="27"/>
      <c r="D343" s="27"/>
      <c r="E343" s="27"/>
      <c r="F343" s="27"/>
      <c r="G343" s="27"/>
      <c r="H343" s="27"/>
      <c r="I343" s="27"/>
      <c r="J343" s="27"/>
    </row>
    <row r="344" spans="1:10">
      <c r="A344" s="27"/>
      <c r="B344" s="27"/>
      <c r="C344" s="27"/>
      <c r="D344" s="27"/>
      <c r="E344" s="27"/>
      <c r="F344" s="27"/>
      <c r="G344" s="27"/>
      <c r="H344" s="27"/>
      <c r="I344" s="27"/>
      <c r="J344" s="27"/>
    </row>
    <row r="345" spans="1:10">
      <c r="A345" s="27"/>
      <c r="B345" s="27"/>
      <c r="C345" s="27"/>
      <c r="D345" s="27"/>
      <c r="E345" s="27"/>
      <c r="F345" s="27"/>
      <c r="G345" s="27"/>
      <c r="H345" s="27"/>
      <c r="I345" s="27"/>
      <c r="J345" s="27"/>
    </row>
    <row r="346" spans="1:10">
      <c r="A346" s="27"/>
      <c r="B346" s="27"/>
      <c r="C346" s="27"/>
      <c r="D346" s="27"/>
      <c r="E346" s="27"/>
      <c r="F346" s="27"/>
      <c r="G346" s="27"/>
      <c r="H346" s="27"/>
      <c r="I346" s="27"/>
      <c r="J346" s="27"/>
    </row>
    <row r="347" spans="1:10">
      <c r="A347" s="27"/>
      <c r="B347" s="27"/>
      <c r="C347" s="27"/>
      <c r="D347" s="27"/>
      <c r="E347" s="27"/>
      <c r="F347" s="27"/>
      <c r="G347" s="27"/>
      <c r="H347" s="27"/>
      <c r="I347" s="27"/>
      <c r="J347" s="27"/>
    </row>
    <row r="348" spans="1:10">
      <c r="A348" s="27"/>
      <c r="B348" s="27"/>
      <c r="C348" s="27"/>
      <c r="D348" s="27"/>
      <c r="E348" s="27"/>
      <c r="F348" s="27"/>
      <c r="G348" s="27"/>
      <c r="H348" s="27"/>
      <c r="I348" s="27"/>
      <c r="J348" s="27"/>
    </row>
    <row r="349" spans="1:10">
      <c r="A349" s="27"/>
      <c r="B349" s="27"/>
      <c r="C349" s="27"/>
      <c r="D349" s="27"/>
      <c r="E349" s="27"/>
      <c r="F349" s="27"/>
      <c r="G349" s="27"/>
      <c r="H349" s="27"/>
      <c r="I349" s="27"/>
      <c r="J349" s="27"/>
    </row>
    <row r="350" spans="1:10">
      <c r="A350" s="27"/>
      <c r="B350" s="27"/>
      <c r="C350" s="27"/>
      <c r="D350" s="27"/>
      <c r="E350" s="27"/>
      <c r="F350" s="27"/>
      <c r="G350" s="27"/>
      <c r="H350" s="27"/>
      <c r="I350" s="27"/>
      <c r="J350" s="27"/>
    </row>
    <row r="351" spans="1:10">
      <c r="A351" s="27"/>
      <c r="B351" s="27"/>
      <c r="C351" s="27"/>
      <c r="D351" s="27"/>
      <c r="E351" s="27"/>
      <c r="F351" s="27"/>
      <c r="G351" s="27"/>
      <c r="H351" s="27"/>
      <c r="I351" s="27"/>
      <c r="J351" s="27"/>
    </row>
    <row r="352" spans="1:10">
      <c r="A352" s="27"/>
      <c r="B352" s="27"/>
      <c r="C352" s="27"/>
      <c r="D352" s="27"/>
      <c r="E352" s="27"/>
      <c r="F352" s="27"/>
      <c r="G352" s="27"/>
      <c r="H352" s="27"/>
      <c r="I352" s="27"/>
      <c r="J352" s="27"/>
    </row>
    <row r="353" spans="1:10">
      <c r="A353" s="27"/>
      <c r="B353" s="27"/>
      <c r="C353" s="27"/>
      <c r="D353" s="27"/>
      <c r="E353" s="27"/>
      <c r="F353" s="27"/>
      <c r="G353" s="27"/>
      <c r="H353" s="27"/>
      <c r="I353" s="27"/>
      <c r="J353" s="27"/>
    </row>
    <row r="354" spans="1:10">
      <c r="A354" s="27"/>
      <c r="B354" s="27"/>
      <c r="C354" s="27"/>
      <c r="D354" s="27"/>
      <c r="E354" s="27"/>
      <c r="F354" s="27"/>
      <c r="G354" s="27"/>
      <c r="H354" s="27"/>
      <c r="I354" s="27"/>
      <c r="J354" s="27"/>
    </row>
    <row r="355" spans="1:10">
      <c r="A355" s="27"/>
      <c r="B355" s="27"/>
      <c r="C355" s="27"/>
      <c r="D355" s="27"/>
      <c r="E355" s="27"/>
      <c r="F355" s="27"/>
      <c r="G355" s="27"/>
      <c r="H355" s="27"/>
      <c r="I355" s="27"/>
      <c r="J355" s="27"/>
    </row>
    <row r="356" spans="1:10">
      <c r="A356" s="27"/>
      <c r="B356" s="27"/>
      <c r="C356" s="27"/>
      <c r="D356" s="27"/>
      <c r="E356" s="27"/>
      <c r="F356" s="27"/>
      <c r="G356" s="27"/>
      <c r="H356" s="27"/>
      <c r="I356" s="27"/>
      <c r="J356" s="27"/>
    </row>
    <row r="357" spans="1:10">
      <c r="A357" s="27"/>
      <c r="B357" s="27"/>
      <c r="C357" s="27"/>
      <c r="D357" s="27"/>
      <c r="E357" s="27"/>
      <c r="F357" s="27"/>
      <c r="G357" s="27"/>
      <c r="H357" s="27"/>
      <c r="I357" s="27"/>
      <c r="J357" s="27"/>
    </row>
    <row r="358" spans="1:10">
      <c r="A358" s="27"/>
      <c r="B358" s="27"/>
      <c r="C358" s="27"/>
      <c r="D358" s="27"/>
      <c r="E358" s="27"/>
      <c r="F358" s="27"/>
      <c r="G358" s="27"/>
      <c r="H358" s="27"/>
      <c r="I358" s="27"/>
      <c r="J358" s="27"/>
    </row>
    <row r="359" spans="1:10">
      <c r="A359" s="27"/>
      <c r="B359" s="27"/>
      <c r="C359" s="27"/>
      <c r="D359" s="27"/>
      <c r="E359" s="27"/>
      <c r="F359" s="27"/>
      <c r="G359" s="27"/>
      <c r="H359" s="27"/>
      <c r="I359" s="27"/>
      <c r="J359" s="27"/>
    </row>
    <row r="360" spans="1:10">
      <c r="A360" s="27"/>
      <c r="B360" s="27"/>
      <c r="C360" s="27"/>
      <c r="D360" s="27"/>
      <c r="E360" s="27"/>
      <c r="F360" s="27"/>
      <c r="G360" s="27"/>
      <c r="H360" s="27"/>
      <c r="I360" s="27"/>
      <c r="J360" s="27"/>
    </row>
    <row r="361" spans="1:10">
      <c r="A361" s="27"/>
      <c r="B361" s="27"/>
      <c r="C361" s="27"/>
      <c r="D361" s="27"/>
      <c r="E361" s="27"/>
      <c r="F361" s="27"/>
      <c r="G361" s="27"/>
      <c r="H361" s="27"/>
      <c r="I361" s="27"/>
      <c r="J361" s="27"/>
    </row>
    <row r="362" spans="1:10">
      <c r="A362" s="27"/>
      <c r="B362" s="27"/>
      <c r="C362" s="27"/>
      <c r="D362" s="27"/>
      <c r="E362" s="27"/>
      <c r="F362" s="27"/>
      <c r="G362" s="27"/>
      <c r="H362" s="27"/>
      <c r="I362" s="27"/>
      <c r="J362" s="27"/>
    </row>
    <row r="363" spans="1:10">
      <c r="A363" s="27"/>
      <c r="B363" s="27"/>
      <c r="C363" s="27"/>
      <c r="D363" s="27"/>
      <c r="E363" s="27"/>
      <c r="F363" s="27"/>
      <c r="G363" s="27"/>
      <c r="H363" s="27"/>
      <c r="I363" s="27"/>
      <c r="J363" s="27"/>
    </row>
    <row r="364" spans="1:10">
      <c r="A364" s="27"/>
      <c r="B364" s="27"/>
      <c r="C364" s="27"/>
      <c r="D364" s="27"/>
      <c r="E364" s="27"/>
      <c r="F364" s="27"/>
      <c r="G364" s="27"/>
      <c r="H364" s="27"/>
      <c r="I364" s="27"/>
      <c r="J364" s="27"/>
    </row>
    <row r="365" spans="1:10">
      <c r="A365" s="27"/>
      <c r="B365" s="27"/>
      <c r="C365" s="27"/>
      <c r="D365" s="27"/>
      <c r="E365" s="27"/>
      <c r="F365" s="27"/>
      <c r="G365" s="27"/>
      <c r="H365" s="27"/>
      <c r="I365" s="27"/>
      <c r="J365" s="27"/>
    </row>
    <row r="366" spans="1:10">
      <c r="A366" s="27"/>
      <c r="B366" s="27"/>
      <c r="C366" s="27"/>
      <c r="D366" s="27"/>
      <c r="E366" s="27"/>
      <c r="F366" s="27"/>
      <c r="G366" s="27"/>
      <c r="H366" s="27"/>
      <c r="I366" s="27"/>
      <c r="J366" s="27"/>
    </row>
    <row r="367" spans="1:10">
      <c r="A367" s="27"/>
      <c r="B367" s="27"/>
      <c r="C367" s="27"/>
      <c r="D367" s="27"/>
      <c r="E367" s="27"/>
      <c r="F367" s="27"/>
      <c r="G367" s="27"/>
      <c r="H367" s="27"/>
      <c r="I367" s="27"/>
      <c r="J367" s="27"/>
    </row>
    <row r="368" spans="1:10">
      <c r="A368" s="27"/>
      <c r="B368" s="27"/>
      <c r="C368" s="27"/>
      <c r="D368" s="27"/>
      <c r="E368" s="27"/>
      <c r="F368" s="27"/>
      <c r="G368" s="27"/>
      <c r="H368" s="27"/>
      <c r="I368" s="27"/>
      <c r="J368" s="27"/>
    </row>
    <row r="369" spans="1:10">
      <c r="A369" s="27"/>
      <c r="B369" s="27"/>
      <c r="C369" s="27"/>
      <c r="D369" s="27"/>
      <c r="E369" s="27"/>
      <c r="F369" s="27"/>
      <c r="G369" s="27"/>
      <c r="H369" s="27"/>
      <c r="I369" s="27"/>
      <c r="J369" s="27"/>
    </row>
    <row r="370" spans="1:10">
      <c r="A370" s="27"/>
      <c r="B370" s="27"/>
      <c r="C370" s="27"/>
      <c r="D370" s="27"/>
      <c r="E370" s="27"/>
      <c r="F370" s="27"/>
      <c r="G370" s="27"/>
      <c r="H370" s="27"/>
      <c r="I370" s="27"/>
      <c r="J370" s="27"/>
    </row>
    <row r="371" spans="1:10">
      <c r="A371" s="27"/>
      <c r="B371" s="27"/>
      <c r="C371" s="27"/>
      <c r="D371" s="27"/>
      <c r="E371" s="27"/>
      <c r="F371" s="27"/>
      <c r="G371" s="27"/>
      <c r="H371" s="27"/>
      <c r="I371" s="27"/>
      <c r="J371" s="27"/>
    </row>
    <row r="372" spans="1:10">
      <c r="A372" s="27"/>
      <c r="B372" s="27"/>
      <c r="C372" s="27"/>
      <c r="D372" s="27"/>
      <c r="E372" s="27"/>
      <c r="F372" s="27"/>
      <c r="G372" s="27"/>
      <c r="H372" s="27"/>
      <c r="I372" s="27"/>
      <c r="J372" s="27"/>
    </row>
    <row r="373" spans="1:10">
      <c r="A373" s="27"/>
      <c r="B373" s="27"/>
      <c r="C373" s="27"/>
      <c r="D373" s="27"/>
      <c r="E373" s="27"/>
      <c r="F373" s="27"/>
      <c r="G373" s="27"/>
      <c r="H373" s="27"/>
      <c r="I373" s="27"/>
      <c r="J373" s="27"/>
    </row>
    <row r="374" spans="1:10">
      <c r="A374" s="27"/>
      <c r="B374" s="27"/>
      <c r="C374" s="27"/>
      <c r="D374" s="27"/>
      <c r="E374" s="27"/>
      <c r="F374" s="27"/>
      <c r="G374" s="27"/>
      <c r="H374" s="27"/>
      <c r="I374" s="27"/>
      <c r="J374" s="27"/>
    </row>
    <row r="375" spans="1:10">
      <c r="A375" s="27"/>
      <c r="B375" s="27"/>
      <c r="C375" s="27"/>
      <c r="D375" s="27"/>
      <c r="E375" s="27"/>
      <c r="F375" s="27"/>
      <c r="G375" s="27"/>
      <c r="H375" s="27"/>
      <c r="I375" s="27"/>
      <c r="J375" s="27"/>
    </row>
    <row r="376" spans="1:10">
      <c r="A376" s="27"/>
      <c r="B376" s="27"/>
      <c r="C376" s="27"/>
      <c r="D376" s="27"/>
      <c r="E376" s="27"/>
      <c r="F376" s="27"/>
      <c r="G376" s="27"/>
      <c r="H376" s="27"/>
      <c r="I376" s="27"/>
      <c r="J376" s="27"/>
    </row>
    <row r="377" spans="1:10">
      <c r="A377" s="27"/>
      <c r="B377" s="27"/>
      <c r="C377" s="27"/>
      <c r="D377" s="27"/>
      <c r="E377" s="27"/>
      <c r="F377" s="27"/>
      <c r="G377" s="27"/>
      <c r="H377" s="27"/>
      <c r="I377" s="27"/>
      <c r="J377" s="27"/>
    </row>
    <row r="378" spans="1:10">
      <c r="A378" s="27"/>
      <c r="B378" s="27"/>
      <c r="C378" s="27"/>
      <c r="D378" s="27"/>
      <c r="E378" s="27"/>
      <c r="F378" s="27"/>
      <c r="G378" s="27"/>
      <c r="H378" s="27"/>
      <c r="I378" s="27"/>
      <c r="J378" s="27"/>
    </row>
    <row r="379" spans="1:10">
      <c r="A379" s="27"/>
      <c r="B379" s="27"/>
      <c r="C379" s="27"/>
      <c r="D379" s="27"/>
      <c r="E379" s="27"/>
      <c r="F379" s="27"/>
      <c r="G379" s="27"/>
      <c r="H379" s="27"/>
      <c r="I379" s="27"/>
      <c r="J379" s="27"/>
    </row>
    <row r="380" spans="1:10">
      <c r="A380" s="27"/>
      <c r="B380" s="27"/>
      <c r="C380" s="27"/>
      <c r="D380" s="27"/>
      <c r="E380" s="27"/>
      <c r="F380" s="27"/>
      <c r="G380" s="27"/>
      <c r="H380" s="27"/>
      <c r="I380" s="27"/>
      <c r="J380" s="27"/>
    </row>
    <row r="381" spans="1:10">
      <c r="A381" s="27"/>
      <c r="B381" s="27"/>
      <c r="C381" s="27"/>
      <c r="D381" s="27"/>
      <c r="E381" s="27"/>
      <c r="F381" s="27"/>
      <c r="G381" s="27"/>
      <c r="H381" s="27"/>
      <c r="I381" s="27"/>
      <c r="J381" s="27"/>
    </row>
    <row r="382" spans="1:10">
      <c r="A382" s="27"/>
      <c r="B382" s="27"/>
      <c r="C382" s="27"/>
      <c r="D382" s="27"/>
      <c r="E382" s="27"/>
      <c r="F382" s="27"/>
      <c r="G382" s="27"/>
      <c r="H382" s="27"/>
      <c r="I382" s="27"/>
      <c r="J382" s="27"/>
    </row>
    <row r="383" spans="1:10">
      <c r="A383" s="27"/>
      <c r="B383" s="27"/>
      <c r="C383" s="27"/>
      <c r="D383" s="27"/>
      <c r="E383" s="27"/>
      <c r="F383" s="27"/>
      <c r="G383" s="27"/>
      <c r="H383" s="27"/>
      <c r="I383" s="27"/>
      <c r="J383" s="27"/>
    </row>
    <row r="384" spans="1:10">
      <c r="A384" s="27"/>
      <c r="B384" s="27"/>
      <c r="C384" s="27"/>
      <c r="D384" s="27"/>
      <c r="E384" s="27"/>
      <c r="F384" s="27"/>
      <c r="G384" s="27"/>
      <c r="H384" s="27"/>
      <c r="I384" s="27"/>
      <c r="J384" s="27"/>
    </row>
    <row r="385" spans="1:10">
      <c r="A385" s="27"/>
      <c r="B385" s="27"/>
      <c r="C385" s="27"/>
      <c r="D385" s="27"/>
      <c r="E385" s="27"/>
      <c r="F385" s="27"/>
      <c r="G385" s="27"/>
      <c r="H385" s="27"/>
      <c r="I385" s="27"/>
      <c r="J385" s="27"/>
    </row>
    <row r="386" spans="1:10">
      <c r="A386" s="27"/>
      <c r="B386" s="27"/>
      <c r="C386" s="27"/>
      <c r="D386" s="27"/>
      <c r="E386" s="27"/>
      <c r="F386" s="27"/>
      <c r="G386" s="27"/>
      <c r="H386" s="27"/>
      <c r="I386" s="27"/>
      <c r="J386" s="27"/>
    </row>
    <row r="387" spans="1:10">
      <c r="A387" s="27"/>
      <c r="B387" s="27"/>
      <c r="C387" s="27"/>
      <c r="D387" s="27"/>
      <c r="E387" s="27"/>
      <c r="F387" s="27"/>
      <c r="G387" s="27"/>
      <c r="H387" s="27"/>
      <c r="I387" s="27"/>
      <c r="J387" s="27"/>
    </row>
    <row r="388" spans="1:10">
      <c r="A388" s="27"/>
      <c r="B388" s="27"/>
      <c r="C388" s="27"/>
      <c r="D388" s="27"/>
      <c r="E388" s="27"/>
      <c r="F388" s="27"/>
      <c r="G388" s="27"/>
      <c r="H388" s="27"/>
      <c r="I388" s="27"/>
      <c r="J388" s="27"/>
    </row>
    <row r="389" spans="1:10">
      <c r="A389" s="27"/>
      <c r="B389" s="27"/>
      <c r="C389" s="27"/>
      <c r="D389" s="27"/>
      <c r="E389" s="27"/>
      <c r="F389" s="27"/>
      <c r="G389" s="27"/>
      <c r="H389" s="27"/>
      <c r="I389" s="27"/>
      <c r="J389" s="27"/>
    </row>
    <row r="390" spans="1:10">
      <c r="A390" s="27"/>
      <c r="B390" s="27"/>
      <c r="C390" s="27"/>
      <c r="D390" s="27"/>
      <c r="E390" s="27"/>
      <c r="F390" s="27"/>
      <c r="G390" s="27"/>
      <c r="H390" s="27"/>
      <c r="I390" s="27"/>
      <c r="J390" s="27"/>
    </row>
    <row r="391" spans="1:10">
      <c r="A391" s="27"/>
      <c r="B391" s="27"/>
      <c r="C391" s="27"/>
      <c r="D391" s="27"/>
      <c r="E391" s="27"/>
      <c r="F391" s="27"/>
      <c r="G391" s="27"/>
      <c r="H391" s="27"/>
      <c r="I391" s="27"/>
      <c r="J391" s="27"/>
    </row>
    <row r="392" spans="1:10">
      <c r="A392" s="27"/>
      <c r="B392" s="27"/>
      <c r="C392" s="27"/>
      <c r="D392" s="27"/>
      <c r="E392" s="27"/>
      <c r="F392" s="27"/>
      <c r="G392" s="27"/>
      <c r="H392" s="27"/>
      <c r="I392" s="27"/>
      <c r="J392" s="27"/>
    </row>
    <row r="393" spans="1:10">
      <c r="A393" s="27"/>
      <c r="B393" s="27"/>
      <c r="C393" s="27"/>
      <c r="D393" s="27"/>
      <c r="E393" s="27"/>
      <c r="F393" s="27"/>
      <c r="G393" s="27"/>
      <c r="H393" s="27"/>
      <c r="I393" s="27"/>
      <c r="J393" s="27"/>
    </row>
    <row r="394" spans="1:10">
      <c r="A394" s="27"/>
      <c r="B394" s="27"/>
      <c r="C394" s="27"/>
      <c r="D394" s="27"/>
      <c r="E394" s="27"/>
      <c r="F394" s="27"/>
      <c r="G394" s="27"/>
      <c r="H394" s="27"/>
      <c r="I394" s="27"/>
      <c r="J394" s="27"/>
    </row>
    <row r="395" spans="1:10">
      <c r="A395" s="27"/>
      <c r="B395" s="27"/>
      <c r="C395" s="27"/>
      <c r="D395" s="27"/>
      <c r="E395" s="27"/>
      <c r="F395" s="27"/>
      <c r="G395" s="27"/>
      <c r="H395" s="27"/>
      <c r="I395" s="27"/>
      <c r="J395" s="27"/>
    </row>
    <row r="396" spans="1:10">
      <c r="A396" s="27"/>
      <c r="B396" s="27"/>
      <c r="C396" s="27"/>
      <c r="D396" s="27"/>
      <c r="E396" s="27"/>
      <c r="F396" s="27"/>
      <c r="G396" s="27"/>
      <c r="H396" s="27"/>
      <c r="I396" s="27"/>
      <c r="J396" s="27"/>
    </row>
    <row r="397" spans="1:10">
      <c r="A397" s="27"/>
      <c r="B397" s="27"/>
      <c r="C397" s="27"/>
      <c r="D397" s="27"/>
      <c r="E397" s="27"/>
      <c r="F397" s="27"/>
      <c r="G397" s="27"/>
      <c r="H397" s="27"/>
      <c r="I397" s="27"/>
      <c r="J397" s="27"/>
    </row>
    <row r="398" spans="1:10">
      <c r="A398" s="27"/>
      <c r="B398" s="27"/>
      <c r="C398" s="27"/>
      <c r="D398" s="27"/>
      <c r="E398" s="27"/>
      <c r="F398" s="27"/>
      <c r="G398" s="27"/>
      <c r="H398" s="27"/>
      <c r="I398" s="27"/>
      <c r="J398" s="27"/>
    </row>
    <row r="399" spans="1:10">
      <c r="A399" s="27"/>
      <c r="B399" s="27"/>
      <c r="C399" s="27"/>
      <c r="D399" s="27"/>
      <c r="E399" s="27"/>
      <c r="F399" s="27"/>
      <c r="G399" s="27"/>
      <c r="H399" s="27"/>
      <c r="I399" s="27"/>
      <c r="J399" s="27"/>
    </row>
    <row r="400" spans="1:10">
      <c r="A400" s="27"/>
      <c r="B400" s="27"/>
      <c r="C400" s="27"/>
      <c r="D400" s="27"/>
      <c r="E400" s="27"/>
      <c r="F400" s="27"/>
      <c r="G400" s="27"/>
      <c r="H400" s="27"/>
      <c r="I400" s="27"/>
      <c r="J400" s="27"/>
    </row>
    <row r="401" spans="1:10">
      <c r="A401" s="27"/>
      <c r="B401" s="27"/>
      <c r="C401" s="27"/>
      <c r="D401" s="27"/>
      <c r="E401" s="27"/>
      <c r="F401" s="27"/>
      <c r="G401" s="27"/>
      <c r="H401" s="27"/>
      <c r="I401" s="27"/>
      <c r="J401" s="27"/>
    </row>
    <row r="402" spans="1:10">
      <c r="A402" s="27"/>
      <c r="B402" s="27"/>
      <c r="C402" s="27"/>
      <c r="D402" s="27"/>
      <c r="E402" s="27"/>
      <c r="F402" s="27"/>
      <c r="G402" s="27"/>
      <c r="H402" s="27"/>
      <c r="I402" s="27"/>
      <c r="J402" s="27"/>
    </row>
    <row r="403" spans="1:10">
      <c r="A403" s="27"/>
      <c r="B403" s="27"/>
      <c r="C403" s="27"/>
      <c r="D403" s="27"/>
      <c r="E403" s="27"/>
      <c r="F403" s="27"/>
      <c r="G403" s="27"/>
      <c r="H403" s="27"/>
      <c r="I403" s="27"/>
      <c r="J403" s="27"/>
    </row>
    <row r="404" spans="1:10">
      <c r="A404" s="27"/>
      <c r="B404" s="27"/>
      <c r="C404" s="27"/>
      <c r="D404" s="27"/>
      <c r="E404" s="27"/>
      <c r="F404" s="27"/>
      <c r="G404" s="27"/>
      <c r="H404" s="27"/>
      <c r="I404" s="27"/>
      <c r="J404" s="27"/>
    </row>
    <row r="405" spans="1:10">
      <c r="A405" s="27"/>
      <c r="B405" s="27"/>
      <c r="C405" s="27"/>
      <c r="D405" s="27"/>
      <c r="E405" s="27"/>
      <c r="F405" s="27"/>
      <c r="G405" s="27"/>
      <c r="H405" s="27"/>
      <c r="I405" s="27"/>
      <c r="J405" s="27"/>
    </row>
    <row r="406" spans="1:10">
      <c r="A406" s="27"/>
      <c r="B406" s="27"/>
      <c r="C406" s="27"/>
      <c r="D406" s="27"/>
      <c r="E406" s="27"/>
      <c r="F406" s="27"/>
      <c r="G406" s="27"/>
      <c r="H406" s="27"/>
      <c r="I406" s="27"/>
      <c r="J406" s="27"/>
    </row>
    <row r="407" spans="1:10">
      <c r="A407" s="27"/>
      <c r="B407" s="27"/>
      <c r="C407" s="27"/>
      <c r="D407" s="27"/>
      <c r="E407" s="27"/>
      <c r="F407" s="27"/>
      <c r="G407" s="27"/>
      <c r="H407" s="27"/>
      <c r="I407" s="27"/>
      <c r="J407" s="27"/>
    </row>
    <row r="408" spans="1:10">
      <c r="A408" s="27"/>
      <c r="B408" s="27"/>
      <c r="C408" s="27"/>
      <c r="D408" s="27"/>
      <c r="E408" s="27"/>
      <c r="F408" s="27"/>
      <c r="G408" s="27"/>
      <c r="H408" s="27"/>
      <c r="I408" s="27"/>
      <c r="J408" s="27"/>
    </row>
    <row r="409" spans="1:10">
      <c r="A409" s="27"/>
      <c r="B409" s="27"/>
      <c r="C409" s="27"/>
      <c r="D409" s="27"/>
      <c r="E409" s="27"/>
      <c r="F409" s="27"/>
      <c r="G409" s="27"/>
      <c r="H409" s="27"/>
      <c r="I409" s="27"/>
      <c r="J409" s="27"/>
    </row>
    <row r="410" spans="1:10">
      <c r="A410" s="27"/>
      <c r="B410" s="27"/>
      <c r="C410" s="27"/>
      <c r="D410" s="27"/>
      <c r="E410" s="27"/>
      <c r="F410" s="27"/>
      <c r="G410" s="27"/>
      <c r="H410" s="27"/>
      <c r="I410" s="27"/>
      <c r="J410" s="27"/>
    </row>
    <row r="411" spans="1:10">
      <c r="A411" s="27"/>
      <c r="B411" s="27"/>
      <c r="C411" s="27"/>
      <c r="D411" s="27"/>
      <c r="E411" s="27"/>
      <c r="F411" s="27"/>
      <c r="G411" s="27"/>
      <c r="H411" s="27"/>
      <c r="I411" s="27"/>
      <c r="J411" s="27"/>
    </row>
    <row r="412" spans="1:10">
      <c r="A412" s="27"/>
      <c r="B412" s="27"/>
      <c r="C412" s="27"/>
      <c r="D412" s="27"/>
      <c r="E412" s="27"/>
      <c r="F412" s="27"/>
      <c r="G412" s="27"/>
      <c r="H412" s="27"/>
      <c r="I412" s="27"/>
      <c r="J412" s="27"/>
    </row>
    <row r="413" spans="1:10">
      <c r="A413" s="27"/>
      <c r="B413" s="27"/>
      <c r="C413" s="27"/>
      <c r="D413" s="27"/>
      <c r="E413" s="27"/>
      <c r="F413" s="27"/>
      <c r="G413" s="27"/>
      <c r="H413" s="27"/>
      <c r="I413" s="27"/>
      <c r="J413" s="27"/>
    </row>
    <row r="414" spans="1:10">
      <c r="A414" s="27"/>
      <c r="B414" s="27"/>
      <c r="C414" s="27"/>
      <c r="D414" s="27"/>
      <c r="E414" s="27"/>
      <c r="F414" s="27"/>
      <c r="G414" s="27"/>
      <c r="H414" s="27"/>
      <c r="I414" s="27"/>
      <c r="J414" s="27"/>
    </row>
    <row r="415" spans="1:10">
      <c r="A415" s="27"/>
      <c r="B415" s="27"/>
      <c r="C415" s="27"/>
      <c r="D415" s="27"/>
      <c r="E415" s="27"/>
      <c r="F415" s="27"/>
      <c r="G415" s="27"/>
      <c r="H415" s="27"/>
      <c r="I415" s="27"/>
      <c r="J415" s="27"/>
    </row>
    <row r="416" spans="1:10">
      <c r="A416" s="27"/>
      <c r="B416" s="27"/>
      <c r="C416" s="27"/>
      <c r="D416" s="27"/>
      <c r="E416" s="27"/>
      <c r="F416" s="27"/>
      <c r="G416" s="27"/>
      <c r="H416" s="27"/>
      <c r="I416" s="27"/>
      <c r="J416" s="27"/>
    </row>
    <row r="417" spans="1:10">
      <c r="A417" s="27"/>
      <c r="B417" s="27"/>
      <c r="C417" s="27"/>
      <c r="D417" s="27"/>
      <c r="E417" s="27"/>
      <c r="F417" s="27"/>
      <c r="G417" s="27"/>
      <c r="H417" s="27"/>
      <c r="I417" s="27"/>
      <c r="J417" s="27"/>
    </row>
    <row r="418" spans="1:10">
      <c r="A418" s="27"/>
      <c r="B418" s="27"/>
      <c r="C418" s="27"/>
      <c r="D418" s="27"/>
      <c r="E418" s="27"/>
      <c r="F418" s="27"/>
      <c r="G418" s="27"/>
      <c r="H418" s="27"/>
      <c r="I418" s="27"/>
      <c r="J418" s="27"/>
    </row>
    <row r="419" spans="1:10">
      <c r="A419" s="27"/>
      <c r="B419" s="27"/>
      <c r="C419" s="27"/>
      <c r="D419" s="27"/>
      <c r="E419" s="27"/>
      <c r="F419" s="27"/>
      <c r="G419" s="27"/>
      <c r="H419" s="27"/>
      <c r="I419" s="27"/>
      <c r="J419" s="27"/>
    </row>
    <row r="420" spans="1:10">
      <c r="A420" s="27"/>
      <c r="B420" s="27"/>
      <c r="C420" s="27"/>
      <c r="D420" s="27"/>
      <c r="E420" s="27"/>
      <c r="F420" s="27"/>
      <c r="G420" s="27"/>
      <c r="H420" s="27"/>
      <c r="I420" s="27"/>
      <c r="J420" s="27"/>
    </row>
    <row r="421" spans="1:10">
      <c r="A421" s="27"/>
      <c r="B421" s="27"/>
      <c r="C421" s="27"/>
      <c r="D421" s="27"/>
      <c r="E421" s="27"/>
      <c r="F421" s="27"/>
      <c r="G421" s="27"/>
      <c r="H421" s="27"/>
      <c r="I421" s="27"/>
      <c r="J421" s="27"/>
    </row>
    <row r="422" spans="1:10">
      <c r="A422" s="27"/>
      <c r="B422" s="27"/>
      <c r="C422" s="27"/>
      <c r="D422" s="27"/>
      <c r="E422" s="27"/>
      <c r="F422" s="27"/>
      <c r="G422" s="27"/>
      <c r="H422" s="27"/>
      <c r="I422" s="27"/>
      <c r="J422" s="27"/>
    </row>
    <row r="423" spans="1:10">
      <c r="A423" s="27"/>
      <c r="B423" s="27"/>
      <c r="C423" s="27"/>
      <c r="D423" s="27"/>
      <c r="E423" s="27"/>
      <c r="F423" s="27"/>
      <c r="G423" s="27"/>
      <c r="H423" s="27"/>
      <c r="I423" s="27"/>
      <c r="J423" s="27"/>
    </row>
    <row r="424" spans="1:10">
      <c r="A424" s="27"/>
      <c r="B424" s="27"/>
      <c r="C424" s="27"/>
      <c r="D424" s="27"/>
      <c r="E424" s="27"/>
      <c r="F424" s="27"/>
      <c r="G424" s="27"/>
      <c r="H424" s="27"/>
      <c r="I424" s="27"/>
      <c r="J424" s="27"/>
    </row>
    <row r="425" spans="1:10">
      <c r="A425" s="27"/>
      <c r="B425" s="27"/>
      <c r="C425" s="27"/>
      <c r="D425" s="27"/>
      <c r="E425" s="27"/>
      <c r="F425" s="27"/>
      <c r="G425" s="27"/>
      <c r="H425" s="27"/>
      <c r="I425" s="27"/>
      <c r="J425" s="27"/>
    </row>
    <row r="426" spans="1:10">
      <c r="A426" s="27"/>
      <c r="B426" s="27"/>
      <c r="C426" s="27"/>
      <c r="D426" s="27"/>
      <c r="E426" s="27"/>
      <c r="F426" s="27"/>
      <c r="G426" s="27"/>
      <c r="H426" s="27"/>
      <c r="I426" s="27"/>
      <c r="J426" s="27"/>
    </row>
    <row r="427" spans="1:10">
      <c r="A427" s="27"/>
      <c r="B427" s="27"/>
      <c r="C427" s="27"/>
      <c r="D427" s="27"/>
      <c r="E427" s="27"/>
      <c r="F427" s="27"/>
      <c r="G427" s="27"/>
      <c r="H427" s="27"/>
      <c r="I427" s="27"/>
      <c r="J427" s="27"/>
    </row>
    <row r="428" spans="1:10">
      <c r="A428" s="27"/>
      <c r="B428" s="27"/>
      <c r="C428" s="27"/>
      <c r="D428" s="27"/>
      <c r="E428" s="27"/>
      <c r="F428" s="27"/>
      <c r="G428" s="27"/>
      <c r="H428" s="27"/>
      <c r="I428" s="27"/>
      <c r="J428" s="27"/>
    </row>
    <row r="429" spans="1:10">
      <c r="A429" s="27"/>
      <c r="B429" s="27"/>
      <c r="C429" s="27"/>
      <c r="D429" s="27"/>
      <c r="E429" s="27"/>
      <c r="F429" s="27"/>
      <c r="G429" s="27"/>
      <c r="H429" s="27"/>
      <c r="I429" s="27"/>
      <c r="J429" s="27"/>
    </row>
    <row r="430" spans="1:10">
      <c r="A430" s="27"/>
      <c r="B430" s="27"/>
      <c r="C430" s="27"/>
      <c r="D430" s="27"/>
      <c r="E430" s="27"/>
      <c r="F430" s="27"/>
      <c r="G430" s="27"/>
      <c r="H430" s="27"/>
      <c r="I430" s="27"/>
      <c r="J430" s="27"/>
    </row>
    <row r="431" spans="1:10">
      <c r="A431" s="27"/>
      <c r="B431" s="27"/>
      <c r="C431" s="27"/>
      <c r="D431" s="27"/>
      <c r="E431" s="27"/>
      <c r="F431" s="27"/>
      <c r="G431" s="27"/>
      <c r="H431" s="27"/>
      <c r="I431" s="27"/>
      <c r="J431" s="27"/>
    </row>
    <row r="432" spans="1:10">
      <c r="A432" s="27"/>
      <c r="B432" s="27"/>
      <c r="C432" s="27"/>
      <c r="D432" s="27"/>
      <c r="E432" s="27"/>
      <c r="F432" s="27"/>
      <c r="G432" s="27"/>
      <c r="H432" s="27"/>
      <c r="I432" s="27"/>
      <c r="J432" s="27"/>
    </row>
    <row r="433" spans="1:10">
      <c r="A433" s="27"/>
      <c r="B433" s="27"/>
      <c r="C433" s="27"/>
      <c r="D433" s="27"/>
      <c r="E433" s="27"/>
      <c r="F433" s="27"/>
      <c r="G433" s="27"/>
      <c r="H433" s="27"/>
      <c r="I433" s="27"/>
      <c r="J433" s="27"/>
    </row>
    <row r="434" spans="1:10">
      <c r="A434" s="27"/>
      <c r="B434" s="27"/>
      <c r="C434" s="27"/>
      <c r="D434" s="27"/>
      <c r="E434" s="27"/>
      <c r="F434" s="27"/>
      <c r="G434" s="27"/>
      <c r="H434" s="27"/>
      <c r="I434" s="27"/>
      <c r="J434" s="27"/>
    </row>
    <row r="435" spans="1:10">
      <c r="A435" s="27"/>
      <c r="B435" s="27"/>
      <c r="C435" s="27"/>
      <c r="D435" s="27"/>
      <c r="E435" s="27"/>
      <c r="F435" s="27"/>
      <c r="G435" s="27"/>
      <c r="H435" s="27"/>
      <c r="I435" s="27"/>
      <c r="J435" s="27"/>
    </row>
    <row r="436" spans="1:10">
      <c r="A436" s="27"/>
      <c r="B436" s="27"/>
      <c r="C436" s="27"/>
      <c r="D436" s="27"/>
      <c r="E436" s="27"/>
      <c r="F436" s="27"/>
      <c r="G436" s="27"/>
      <c r="H436" s="27"/>
      <c r="I436" s="27"/>
      <c r="J436" s="27"/>
    </row>
    <row r="437" spans="1:10">
      <c r="A437" s="27"/>
      <c r="B437" s="27"/>
      <c r="C437" s="27"/>
      <c r="D437" s="27"/>
      <c r="E437" s="27"/>
      <c r="F437" s="27"/>
      <c r="G437" s="27"/>
      <c r="H437" s="27"/>
      <c r="I437" s="27"/>
      <c r="J437" s="27"/>
    </row>
    <row r="438" spans="1:10">
      <c r="A438" s="27"/>
      <c r="B438" s="27"/>
      <c r="C438" s="27"/>
      <c r="D438" s="27"/>
      <c r="E438" s="27"/>
      <c r="F438" s="27"/>
      <c r="G438" s="27"/>
      <c r="H438" s="27"/>
      <c r="I438" s="27"/>
      <c r="J438" s="27"/>
    </row>
    <row r="439" spans="1:10">
      <c r="A439" s="27"/>
      <c r="B439" s="27"/>
      <c r="C439" s="27"/>
      <c r="D439" s="27"/>
      <c r="E439" s="27"/>
      <c r="F439" s="27"/>
      <c r="G439" s="27"/>
      <c r="H439" s="27"/>
      <c r="I439" s="27"/>
      <c r="J439" s="27"/>
    </row>
    <row r="440" spans="1:10">
      <c r="A440" s="27"/>
      <c r="B440" s="27"/>
      <c r="C440" s="27"/>
      <c r="D440" s="27"/>
      <c r="E440" s="27"/>
      <c r="F440" s="27"/>
      <c r="G440" s="27"/>
      <c r="H440" s="27"/>
      <c r="I440" s="27"/>
      <c r="J440" s="27"/>
    </row>
    <row r="441" spans="1:10">
      <c r="A441" s="27"/>
      <c r="B441" s="27"/>
      <c r="C441" s="27"/>
      <c r="D441" s="27"/>
      <c r="E441" s="27"/>
      <c r="F441" s="27"/>
      <c r="G441" s="27"/>
      <c r="H441" s="27"/>
      <c r="I441" s="27"/>
      <c r="J441" s="27"/>
    </row>
    <row r="442" spans="1:10">
      <c r="A442" s="27"/>
      <c r="B442" s="27"/>
      <c r="C442" s="27"/>
      <c r="D442" s="27"/>
      <c r="E442" s="27"/>
      <c r="F442" s="27"/>
      <c r="G442" s="27"/>
      <c r="H442" s="27"/>
      <c r="I442" s="27"/>
      <c r="J442" s="27"/>
    </row>
    <row r="443" spans="1:10">
      <c r="A443" s="27"/>
      <c r="B443" s="27"/>
      <c r="C443" s="27"/>
      <c r="D443" s="27"/>
      <c r="E443" s="27"/>
      <c r="F443" s="27"/>
      <c r="G443" s="27"/>
      <c r="H443" s="27"/>
      <c r="I443" s="27"/>
      <c r="J443" s="27"/>
    </row>
    <row r="444" spans="1:10">
      <c r="A444" s="27"/>
      <c r="B444" s="27"/>
      <c r="C444" s="27"/>
      <c r="D444" s="27"/>
      <c r="E444" s="27"/>
      <c r="F444" s="27"/>
      <c r="G444" s="27"/>
      <c r="H444" s="27"/>
      <c r="I444" s="27"/>
      <c r="J444" s="27"/>
    </row>
    <row r="445" spans="1:10">
      <c r="A445" s="27"/>
      <c r="B445" s="27"/>
      <c r="C445" s="27"/>
      <c r="D445" s="27"/>
      <c r="E445" s="27"/>
      <c r="F445" s="27"/>
      <c r="G445" s="27"/>
      <c r="H445" s="27"/>
      <c r="I445" s="27"/>
      <c r="J445" s="27"/>
    </row>
    <row r="446" spans="1:10">
      <c r="A446" s="27"/>
      <c r="B446" s="27"/>
      <c r="C446" s="27"/>
      <c r="D446" s="27"/>
      <c r="E446" s="27"/>
      <c r="F446" s="27"/>
      <c r="G446" s="27"/>
      <c r="H446" s="27"/>
      <c r="I446" s="27"/>
      <c r="J446" s="27"/>
    </row>
    <row r="447" spans="1:10">
      <c r="A447" s="27"/>
      <c r="B447" s="27"/>
      <c r="C447" s="27"/>
      <c r="D447" s="27"/>
      <c r="E447" s="27"/>
      <c r="F447" s="27"/>
      <c r="G447" s="27"/>
      <c r="H447" s="27"/>
      <c r="I447" s="27"/>
      <c r="J447" s="27"/>
    </row>
    <row r="448" spans="1:10">
      <c r="A448" s="27"/>
      <c r="B448" s="27"/>
      <c r="C448" s="27"/>
      <c r="D448" s="27"/>
      <c r="E448" s="27"/>
      <c r="F448" s="27"/>
      <c r="G448" s="27"/>
      <c r="H448" s="27"/>
      <c r="I448" s="27"/>
      <c r="J448" s="27"/>
    </row>
    <row r="449" spans="1:10">
      <c r="A449" s="27"/>
      <c r="B449" s="27"/>
      <c r="C449" s="27"/>
      <c r="D449" s="27"/>
      <c r="E449" s="27"/>
      <c r="F449" s="27"/>
      <c r="G449" s="27"/>
      <c r="H449" s="27"/>
      <c r="I449" s="27"/>
      <c r="J449" s="27"/>
    </row>
    <row r="450" spans="1:10">
      <c r="A450" s="27"/>
      <c r="B450" s="27"/>
      <c r="C450" s="27"/>
      <c r="D450" s="27"/>
      <c r="E450" s="27"/>
      <c r="F450" s="27"/>
      <c r="G450" s="27"/>
      <c r="H450" s="27"/>
      <c r="I450" s="27"/>
      <c r="J450" s="27"/>
    </row>
    <row r="451" spans="1:10">
      <c r="A451" s="27"/>
      <c r="B451" s="27"/>
      <c r="C451" s="27"/>
      <c r="D451" s="27"/>
      <c r="E451" s="27"/>
      <c r="F451" s="27"/>
      <c r="G451" s="27"/>
      <c r="H451" s="27"/>
      <c r="I451" s="27"/>
      <c r="J451" s="27"/>
    </row>
    <row r="452" spans="1:10">
      <c r="A452" s="27"/>
      <c r="B452" s="27"/>
      <c r="C452" s="27"/>
      <c r="D452" s="27"/>
      <c r="E452" s="27"/>
      <c r="F452" s="27"/>
      <c r="G452" s="27"/>
      <c r="H452" s="27"/>
      <c r="I452" s="27"/>
      <c r="J452" s="27"/>
    </row>
    <row r="453" spans="1:10">
      <c r="A453" s="27"/>
      <c r="B453" s="27"/>
      <c r="C453" s="27"/>
      <c r="D453" s="27"/>
      <c r="E453" s="27"/>
      <c r="F453" s="27"/>
      <c r="G453" s="27"/>
      <c r="H453" s="27"/>
      <c r="I453" s="27"/>
      <c r="J453" s="27"/>
    </row>
    <row r="454" spans="1:10">
      <c r="A454" s="27"/>
      <c r="B454" s="27"/>
      <c r="C454" s="27"/>
      <c r="D454" s="27"/>
      <c r="E454" s="27"/>
      <c r="F454" s="27"/>
      <c r="G454" s="27"/>
      <c r="H454" s="27"/>
      <c r="I454" s="27"/>
      <c r="J454" s="27"/>
    </row>
    <row r="455" spans="1:10">
      <c r="A455" s="27"/>
      <c r="B455" s="27"/>
      <c r="C455" s="27"/>
      <c r="D455" s="27"/>
      <c r="E455" s="27"/>
      <c r="F455" s="27"/>
      <c r="G455" s="27"/>
      <c r="H455" s="27"/>
      <c r="I455" s="27"/>
      <c r="J455" s="27"/>
    </row>
    <row r="456" spans="1:10">
      <c r="A456" s="27"/>
      <c r="B456" s="27"/>
      <c r="C456" s="27"/>
      <c r="D456" s="27"/>
      <c r="E456" s="27"/>
      <c r="F456" s="27"/>
      <c r="G456" s="27"/>
      <c r="H456" s="27"/>
      <c r="I456" s="27"/>
      <c r="J456" s="27"/>
    </row>
    <row r="457" spans="1:10">
      <c r="A457" s="27"/>
      <c r="B457" s="27"/>
      <c r="C457" s="27"/>
      <c r="D457" s="27"/>
      <c r="E457" s="27"/>
      <c r="F457" s="27"/>
      <c r="G457" s="27"/>
      <c r="H457" s="27"/>
      <c r="I457" s="27"/>
      <c r="J457" s="27"/>
    </row>
    <row r="458" spans="1:10">
      <c r="A458" s="27"/>
      <c r="B458" s="27"/>
      <c r="C458" s="27"/>
      <c r="D458" s="27"/>
      <c r="E458" s="27"/>
      <c r="F458" s="27"/>
      <c r="G458" s="27"/>
      <c r="H458" s="27"/>
      <c r="I458" s="27"/>
      <c r="J458" s="27"/>
    </row>
    <row r="459" spans="1:10">
      <c r="A459" s="27"/>
      <c r="B459" s="27"/>
      <c r="C459" s="27"/>
      <c r="D459" s="27"/>
      <c r="E459" s="27"/>
      <c r="F459" s="27"/>
      <c r="G459" s="27"/>
      <c r="H459" s="27"/>
      <c r="I459" s="27"/>
      <c r="J459" s="27"/>
    </row>
    <row r="460" spans="1:10">
      <c r="A460" s="27"/>
      <c r="B460" s="27"/>
      <c r="C460" s="27"/>
      <c r="D460" s="27"/>
      <c r="E460" s="27"/>
      <c r="F460" s="27"/>
      <c r="G460" s="27"/>
      <c r="H460" s="27"/>
      <c r="I460" s="27"/>
      <c r="J460" s="27"/>
    </row>
    <row r="461" spans="1:10">
      <c r="A461" s="27"/>
      <c r="B461" s="27"/>
      <c r="C461" s="27"/>
      <c r="D461" s="27"/>
      <c r="E461" s="27"/>
      <c r="F461" s="27"/>
      <c r="G461" s="27"/>
      <c r="H461" s="27"/>
      <c r="I461" s="27"/>
      <c r="J461" s="27"/>
    </row>
    <row r="462" spans="1:10">
      <c r="A462" s="27"/>
      <c r="B462" s="27"/>
      <c r="C462" s="27"/>
      <c r="D462" s="27"/>
      <c r="E462" s="27"/>
      <c r="F462" s="27"/>
      <c r="G462" s="27"/>
      <c r="H462" s="27"/>
      <c r="I462" s="27"/>
      <c r="J462" s="27"/>
    </row>
    <row r="463" spans="1:10">
      <c r="A463" s="27"/>
      <c r="B463" s="27"/>
      <c r="C463" s="27"/>
      <c r="D463" s="27"/>
      <c r="E463" s="27"/>
      <c r="F463" s="27"/>
      <c r="G463" s="27"/>
      <c r="H463" s="27"/>
      <c r="I463" s="27"/>
      <c r="J463" s="27"/>
    </row>
    <row r="464" spans="1:10">
      <c r="A464" s="27"/>
      <c r="B464" s="27"/>
      <c r="C464" s="27"/>
      <c r="D464" s="27"/>
      <c r="E464" s="27"/>
      <c r="F464" s="27"/>
      <c r="G464" s="27"/>
      <c r="H464" s="27"/>
      <c r="I464" s="27"/>
      <c r="J464" s="27"/>
    </row>
    <row r="465" spans="1:10">
      <c r="A465" s="27"/>
      <c r="B465" s="27"/>
      <c r="C465" s="27"/>
      <c r="D465" s="27"/>
      <c r="E465" s="27"/>
      <c r="F465" s="27"/>
      <c r="G465" s="27"/>
      <c r="H465" s="27"/>
      <c r="I465" s="27"/>
      <c r="J465" s="27"/>
    </row>
    <row r="466" spans="1:10">
      <c r="A466" s="27"/>
      <c r="B466" s="27"/>
      <c r="C466" s="27"/>
      <c r="D466" s="27"/>
      <c r="E466" s="27"/>
      <c r="F466" s="27"/>
      <c r="G466" s="27"/>
      <c r="H466" s="27"/>
      <c r="I466" s="27"/>
      <c r="J466" s="27"/>
    </row>
    <row r="467" spans="1:10">
      <c r="A467" s="27"/>
      <c r="B467" s="27"/>
      <c r="C467" s="27"/>
      <c r="D467" s="27"/>
      <c r="E467" s="27"/>
      <c r="F467" s="27"/>
      <c r="G467" s="27"/>
      <c r="H467" s="27"/>
      <c r="I467" s="27"/>
      <c r="J467" s="27"/>
    </row>
    <row r="468" spans="1:10">
      <c r="A468" s="27"/>
      <c r="B468" s="27"/>
      <c r="C468" s="27"/>
      <c r="D468" s="27"/>
      <c r="E468" s="27"/>
      <c r="F468" s="27"/>
      <c r="G468" s="27"/>
      <c r="H468" s="27"/>
      <c r="I468" s="27"/>
      <c r="J468" s="27"/>
    </row>
    <row r="469" spans="1:10">
      <c r="A469" s="27"/>
      <c r="B469" s="27"/>
      <c r="C469" s="27"/>
      <c r="D469" s="27"/>
      <c r="E469" s="27"/>
      <c r="F469" s="27"/>
      <c r="G469" s="27"/>
      <c r="H469" s="27"/>
      <c r="I469" s="27"/>
      <c r="J469" s="27"/>
    </row>
    <row r="470" spans="1:10">
      <c r="A470" s="27"/>
      <c r="B470" s="27"/>
      <c r="C470" s="27"/>
      <c r="D470" s="27"/>
      <c r="E470" s="27"/>
      <c r="F470" s="27"/>
      <c r="G470" s="27"/>
      <c r="H470" s="27"/>
      <c r="I470" s="27"/>
      <c r="J470" s="27"/>
    </row>
    <row r="471" spans="1:10">
      <c r="A471" s="27"/>
      <c r="B471" s="27"/>
      <c r="C471" s="27"/>
      <c r="D471" s="27"/>
      <c r="E471" s="27"/>
      <c r="F471" s="27"/>
      <c r="G471" s="27"/>
      <c r="H471" s="27"/>
      <c r="I471" s="27"/>
      <c r="J471" s="27"/>
    </row>
    <row r="472" spans="1:10">
      <c r="A472" s="27"/>
      <c r="B472" s="27"/>
      <c r="C472" s="27"/>
      <c r="D472" s="27"/>
      <c r="E472" s="27"/>
      <c r="F472" s="27"/>
      <c r="G472" s="27"/>
      <c r="H472" s="27"/>
      <c r="I472" s="27"/>
      <c r="J472" s="27"/>
    </row>
    <row r="473" spans="1:10">
      <c r="A473" s="27"/>
      <c r="B473" s="27"/>
      <c r="C473" s="27"/>
      <c r="D473" s="27"/>
      <c r="E473" s="27"/>
      <c r="F473" s="27"/>
      <c r="G473" s="27"/>
      <c r="H473" s="27"/>
      <c r="I473" s="27"/>
      <c r="J473" s="27"/>
    </row>
    <row r="474" spans="1:10">
      <c r="A474" s="27"/>
      <c r="B474" s="27"/>
      <c r="C474" s="27"/>
      <c r="D474" s="27"/>
      <c r="E474" s="27"/>
      <c r="F474" s="27"/>
      <c r="G474" s="27"/>
      <c r="H474" s="27"/>
      <c r="I474" s="27"/>
      <c r="J474" s="27"/>
    </row>
    <row r="475" spans="1:10">
      <c r="A475" s="27"/>
      <c r="B475" s="27"/>
      <c r="C475" s="27"/>
      <c r="D475" s="27"/>
      <c r="E475" s="27"/>
      <c r="F475" s="27"/>
      <c r="G475" s="27"/>
      <c r="H475" s="27"/>
      <c r="I475" s="27"/>
      <c r="J475" s="27"/>
    </row>
    <row r="476" spans="1:10">
      <c r="A476" s="27"/>
      <c r="B476" s="27"/>
      <c r="C476" s="27"/>
      <c r="D476" s="27"/>
      <c r="E476" s="27"/>
      <c r="F476" s="27"/>
      <c r="G476" s="27"/>
      <c r="H476" s="27"/>
      <c r="I476" s="27"/>
      <c r="J476" s="27"/>
    </row>
    <row r="477" spans="1:10">
      <c r="A477" s="27"/>
      <c r="B477" s="27"/>
      <c r="C477" s="27"/>
      <c r="D477" s="27"/>
      <c r="E477" s="27"/>
      <c r="F477" s="27"/>
      <c r="G477" s="27"/>
      <c r="H477" s="27"/>
      <c r="I477" s="27"/>
      <c r="J477" s="27"/>
    </row>
    <row r="478" spans="1:10">
      <c r="A478" s="27"/>
      <c r="B478" s="27"/>
      <c r="C478" s="27"/>
      <c r="D478" s="27"/>
      <c r="E478" s="27"/>
      <c r="F478" s="27"/>
      <c r="G478" s="27"/>
      <c r="H478" s="27"/>
      <c r="I478" s="27"/>
      <c r="J478" s="27"/>
    </row>
    <row r="479" spans="1:10">
      <c r="A479" s="27"/>
      <c r="B479" s="27"/>
      <c r="C479" s="27"/>
      <c r="D479" s="27"/>
      <c r="E479" s="27"/>
      <c r="F479" s="27"/>
      <c r="G479" s="27"/>
      <c r="H479" s="27"/>
      <c r="I479" s="27"/>
      <c r="J479" s="27"/>
    </row>
    <row r="480" spans="1:10">
      <c r="A480" s="27"/>
      <c r="B480" s="27"/>
      <c r="C480" s="27"/>
      <c r="D480" s="27"/>
      <c r="E480" s="27"/>
      <c r="F480" s="27"/>
      <c r="G480" s="27"/>
      <c r="H480" s="27"/>
      <c r="I480" s="27"/>
      <c r="J480" s="27"/>
    </row>
    <row r="481" spans="1:10">
      <c r="A481" s="27"/>
      <c r="B481" s="27"/>
      <c r="C481" s="27"/>
      <c r="D481" s="27"/>
      <c r="E481" s="27"/>
      <c r="F481" s="27"/>
      <c r="G481" s="27"/>
      <c r="H481" s="27"/>
      <c r="I481" s="27"/>
      <c r="J481" s="27"/>
    </row>
    <row r="482" spans="1:10">
      <c r="A482" s="27"/>
      <c r="B482" s="27"/>
      <c r="C482" s="27"/>
      <c r="D482" s="27"/>
      <c r="E482" s="27"/>
      <c r="F482" s="27"/>
      <c r="G482" s="27"/>
      <c r="H482" s="27"/>
      <c r="I482" s="27"/>
      <c r="J482" s="27"/>
    </row>
    <row r="483" spans="1:10">
      <c r="A483" s="27"/>
      <c r="B483" s="27"/>
      <c r="C483" s="27"/>
      <c r="D483" s="27"/>
      <c r="E483" s="27"/>
      <c r="F483" s="27"/>
      <c r="G483" s="27"/>
      <c r="H483" s="27"/>
      <c r="I483" s="27"/>
      <c r="J483" s="27"/>
    </row>
    <row r="484" spans="1:10">
      <c r="A484" s="27"/>
      <c r="B484" s="27"/>
      <c r="C484" s="27"/>
      <c r="D484" s="27"/>
      <c r="E484" s="27"/>
      <c r="F484" s="27"/>
      <c r="G484" s="27"/>
      <c r="H484" s="27"/>
      <c r="I484" s="27"/>
      <c r="J484" s="27"/>
    </row>
    <row r="485" spans="1:10">
      <c r="A485" s="27"/>
      <c r="B485" s="27"/>
      <c r="C485" s="27"/>
      <c r="D485" s="27"/>
      <c r="E485" s="27"/>
      <c r="F485" s="27"/>
      <c r="G485" s="27"/>
      <c r="H485" s="27"/>
      <c r="I485" s="27"/>
      <c r="J485" s="27"/>
    </row>
    <row r="486" spans="1:10">
      <c r="A486" s="27"/>
      <c r="B486" s="27"/>
      <c r="C486" s="27"/>
      <c r="D486" s="27"/>
      <c r="E486" s="27"/>
      <c r="F486" s="27"/>
      <c r="G486" s="27"/>
      <c r="H486" s="27"/>
      <c r="I486" s="27"/>
      <c r="J486" s="27"/>
    </row>
    <row r="487" spans="1:10">
      <c r="A487" s="27"/>
      <c r="B487" s="27"/>
      <c r="C487" s="27"/>
      <c r="D487" s="27"/>
      <c r="E487" s="27"/>
      <c r="F487" s="27"/>
      <c r="G487" s="27"/>
      <c r="H487" s="27"/>
      <c r="I487" s="27"/>
      <c r="J487" s="27"/>
    </row>
    <row r="488" spans="1:10">
      <c r="A488" s="27"/>
      <c r="B488" s="27"/>
      <c r="C488" s="27"/>
      <c r="D488" s="27"/>
      <c r="E488" s="27"/>
      <c r="F488" s="27"/>
      <c r="G488" s="27"/>
      <c r="H488" s="27"/>
      <c r="I488" s="27"/>
      <c r="J488" s="27"/>
    </row>
    <row r="489" spans="1:10">
      <c r="A489" s="27"/>
      <c r="B489" s="27"/>
      <c r="C489" s="27"/>
      <c r="D489" s="27"/>
      <c r="E489" s="27"/>
      <c r="F489" s="27"/>
      <c r="G489" s="27"/>
      <c r="H489" s="27"/>
      <c r="I489" s="27"/>
      <c r="J489" s="27"/>
    </row>
    <row r="490" spans="1:10">
      <c r="A490" s="27"/>
      <c r="B490" s="27"/>
      <c r="C490" s="27"/>
      <c r="D490" s="27"/>
      <c r="E490" s="27"/>
      <c r="F490" s="27"/>
      <c r="G490" s="27"/>
      <c r="H490" s="27"/>
      <c r="I490" s="27"/>
      <c r="J490" s="27"/>
    </row>
    <row r="491" spans="1:10">
      <c r="A491" s="27"/>
      <c r="B491" s="27"/>
      <c r="C491" s="27"/>
      <c r="D491" s="27"/>
      <c r="E491" s="27"/>
      <c r="F491" s="27"/>
      <c r="G491" s="27"/>
      <c r="H491" s="27"/>
      <c r="I491" s="27"/>
      <c r="J491" s="27"/>
    </row>
    <row r="492" spans="1:10">
      <c r="A492" s="27"/>
      <c r="B492" s="27"/>
      <c r="C492" s="27"/>
      <c r="D492" s="27"/>
      <c r="E492" s="27"/>
      <c r="F492" s="27"/>
      <c r="G492" s="27"/>
      <c r="H492" s="27"/>
      <c r="I492" s="27"/>
      <c r="J492" s="27"/>
    </row>
    <row r="493" spans="1:10">
      <c r="A493" s="27"/>
      <c r="B493" s="27"/>
      <c r="C493" s="27"/>
      <c r="D493" s="27"/>
      <c r="E493" s="27"/>
      <c r="F493" s="27"/>
      <c r="G493" s="27"/>
      <c r="H493" s="27"/>
      <c r="I493" s="27"/>
      <c r="J493" s="27"/>
    </row>
    <row r="494" spans="1:10">
      <c r="A494" s="27"/>
      <c r="B494" s="27"/>
      <c r="C494" s="27"/>
      <c r="D494" s="27"/>
      <c r="E494" s="27"/>
      <c r="F494" s="27"/>
      <c r="G494" s="27"/>
      <c r="H494" s="27"/>
      <c r="I494" s="27"/>
      <c r="J494" s="27"/>
    </row>
    <row r="495" spans="1:10">
      <c r="A495" s="27"/>
      <c r="B495" s="27"/>
      <c r="C495" s="27"/>
      <c r="D495" s="27"/>
      <c r="E495" s="27"/>
      <c r="F495" s="27"/>
      <c r="G495" s="27"/>
      <c r="H495" s="27"/>
      <c r="I495" s="27"/>
      <c r="J495" s="27"/>
    </row>
    <row r="496" spans="1:10">
      <c r="A496" s="27"/>
      <c r="B496" s="27"/>
      <c r="C496" s="27"/>
      <c r="D496" s="27"/>
      <c r="E496" s="27"/>
      <c r="F496" s="27"/>
      <c r="G496" s="27"/>
      <c r="H496" s="27"/>
      <c r="I496" s="27"/>
      <c r="J496" s="27"/>
    </row>
    <row r="497" spans="1:10">
      <c r="A497" s="27"/>
      <c r="B497" s="27"/>
      <c r="C497" s="27"/>
      <c r="D497" s="27"/>
      <c r="E497" s="27"/>
      <c r="F497" s="27"/>
      <c r="G497" s="27"/>
      <c r="H497" s="27"/>
      <c r="I497" s="27"/>
      <c r="J497" s="27"/>
    </row>
    <row r="498" spans="1:10">
      <c r="A498" s="27"/>
      <c r="B498" s="27"/>
      <c r="C498" s="27"/>
      <c r="D498" s="27"/>
      <c r="E498" s="27"/>
      <c r="F498" s="27"/>
      <c r="G498" s="27"/>
      <c r="H498" s="27"/>
      <c r="I498" s="27"/>
      <c r="J498" s="27"/>
    </row>
    <row r="499" spans="1:10">
      <c r="A499" s="27"/>
      <c r="B499" s="27"/>
      <c r="C499" s="27"/>
      <c r="D499" s="27"/>
      <c r="E499" s="27"/>
      <c r="F499" s="27"/>
      <c r="G499" s="27"/>
      <c r="H499" s="27"/>
      <c r="I499" s="27"/>
      <c r="J499" s="27"/>
    </row>
    <row r="500" spans="1:10">
      <c r="A500" s="27"/>
      <c r="B500" s="27"/>
      <c r="C500" s="27"/>
      <c r="D500" s="27"/>
      <c r="E500" s="27"/>
      <c r="F500" s="27"/>
      <c r="G500" s="27"/>
      <c r="H500" s="27"/>
      <c r="I500" s="27"/>
      <c r="J500" s="27"/>
    </row>
    <row r="501" spans="1:10">
      <c r="A501" s="27"/>
      <c r="B501" s="27"/>
      <c r="C501" s="27"/>
      <c r="D501" s="27"/>
      <c r="E501" s="27"/>
      <c r="F501" s="27"/>
      <c r="G501" s="27"/>
      <c r="H501" s="27"/>
      <c r="I501" s="27"/>
      <c r="J501" s="27"/>
    </row>
    <row r="502" spans="1:10">
      <c r="A502" s="27"/>
      <c r="B502" s="27"/>
      <c r="C502" s="27"/>
      <c r="D502" s="27"/>
      <c r="E502" s="27"/>
      <c r="F502" s="27"/>
      <c r="G502" s="27"/>
      <c r="H502" s="27"/>
      <c r="I502" s="27"/>
      <c r="J502" s="27"/>
    </row>
    <row r="503" spans="1:10">
      <c r="A503" s="27"/>
      <c r="B503" s="27"/>
      <c r="C503" s="27"/>
      <c r="D503" s="27"/>
      <c r="E503" s="27"/>
      <c r="F503" s="27"/>
      <c r="G503" s="27"/>
      <c r="H503" s="27"/>
      <c r="I503" s="27"/>
      <c r="J503" s="27"/>
    </row>
    <row r="504" spans="1:10">
      <c r="A504" s="27"/>
      <c r="B504" s="27"/>
      <c r="C504" s="27"/>
      <c r="D504" s="27"/>
      <c r="E504" s="27"/>
      <c r="F504" s="27"/>
      <c r="G504" s="27"/>
      <c r="H504" s="27"/>
      <c r="I504" s="27"/>
      <c r="J504" s="27"/>
    </row>
    <row r="505" spans="1:10">
      <c r="A505" s="27"/>
      <c r="B505" s="27"/>
      <c r="C505" s="27"/>
      <c r="D505" s="27"/>
      <c r="E505" s="27"/>
      <c r="F505" s="27"/>
      <c r="G505" s="27"/>
      <c r="H505" s="27"/>
      <c r="I505" s="27"/>
      <c r="J505" s="27"/>
    </row>
    <row r="506" spans="1:10">
      <c r="A506" s="27"/>
      <c r="B506" s="27"/>
      <c r="C506" s="27"/>
      <c r="D506" s="27"/>
      <c r="E506" s="27"/>
      <c r="F506" s="27"/>
      <c r="G506" s="27"/>
      <c r="H506" s="27"/>
      <c r="I506" s="27"/>
      <c r="J506" s="27"/>
    </row>
    <row r="507" spans="1:10">
      <c r="A507" s="27"/>
      <c r="B507" s="27"/>
      <c r="C507" s="27"/>
      <c r="D507" s="27"/>
      <c r="E507" s="27"/>
      <c r="F507" s="27"/>
      <c r="G507" s="27"/>
      <c r="H507" s="27"/>
      <c r="I507" s="27"/>
      <c r="J507" s="27"/>
    </row>
    <row r="508" spans="1:10">
      <c r="A508" s="27"/>
      <c r="B508" s="27"/>
      <c r="C508" s="27"/>
      <c r="D508" s="27"/>
      <c r="E508" s="27"/>
      <c r="F508" s="27"/>
      <c r="G508" s="27"/>
      <c r="H508" s="27"/>
      <c r="I508" s="27"/>
      <c r="J508" s="27"/>
    </row>
    <row r="509" spans="1:10">
      <c r="A509" s="27"/>
      <c r="B509" s="27"/>
      <c r="C509" s="27"/>
      <c r="D509" s="27"/>
      <c r="E509" s="27"/>
      <c r="F509" s="27"/>
      <c r="G509" s="27"/>
      <c r="H509" s="27"/>
      <c r="I509" s="27"/>
      <c r="J509" s="27"/>
    </row>
    <row r="510" spans="1:10">
      <c r="A510" s="27"/>
      <c r="B510" s="27"/>
      <c r="C510" s="27"/>
      <c r="D510" s="27"/>
      <c r="E510" s="27"/>
      <c r="F510" s="27"/>
      <c r="G510" s="27"/>
      <c r="H510" s="27"/>
      <c r="I510" s="27"/>
      <c r="J510" s="27"/>
    </row>
    <row r="511" spans="1:10">
      <c r="A511" s="27"/>
      <c r="B511" s="27"/>
      <c r="C511" s="27"/>
      <c r="D511" s="27"/>
      <c r="E511" s="27"/>
      <c r="F511" s="27"/>
      <c r="G511" s="27"/>
      <c r="H511" s="27"/>
      <c r="I511" s="27"/>
      <c r="J511" s="27"/>
    </row>
    <row r="512" spans="1:10">
      <c r="A512" s="27"/>
      <c r="B512" s="27"/>
      <c r="C512" s="27"/>
      <c r="D512" s="27"/>
      <c r="E512" s="27"/>
      <c r="F512" s="27"/>
      <c r="G512" s="27"/>
      <c r="H512" s="27"/>
      <c r="I512" s="27"/>
      <c r="J512" s="27"/>
    </row>
    <row r="513" spans="1:10">
      <c r="A513" s="27"/>
      <c r="B513" s="27"/>
      <c r="C513" s="27"/>
      <c r="D513" s="27"/>
      <c r="E513" s="27"/>
      <c r="F513" s="27"/>
      <c r="G513" s="27"/>
      <c r="H513" s="27"/>
      <c r="I513" s="27"/>
      <c r="J513" s="27"/>
    </row>
    <row r="514" spans="1:10">
      <c r="A514" s="27"/>
      <c r="B514" s="27"/>
      <c r="C514" s="27"/>
      <c r="D514" s="27"/>
      <c r="E514" s="27"/>
      <c r="F514" s="27"/>
      <c r="G514" s="27"/>
      <c r="H514" s="27"/>
      <c r="I514" s="27"/>
      <c r="J514" s="27"/>
    </row>
    <row r="515" spans="1:10">
      <c r="A515" s="27"/>
      <c r="B515" s="27"/>
      <c r="C515" s="27"/>
      <c r="D515" s="27"/>
      <c r="E515" s="27"/>
      <c r="F515" s="27"/>
      <c r="G515" s="27"/>
      <c r="H515" s="27"/>
      <c r="I515" s="27"/>
      <c r="J515" s="27"/>
    </row>
    <row r="516" spans="1:10">
      <c r="A516" s="27"/>
      <c r="B516" s="27"/>
      <c r="C516" s="27"/>
      <c r="D516" s="27"/>
      <c r="E516" s="27"/>
      <c r="F516" s="27"/>
      <c r="G516" s="27"/>
      <c r="H516" s="27"/>
      <c r="I516" s="27"/>
      <c r="J516" s="27"/>
    </row>
    <row r="517" spans="1:10">
      <c r="A517" s="27"/>
      <c r="B517" s="27"/>
      <c r="C517" s="27"/>
      <c r="D517" s="27"/>
      <c r="E517" s="27"/>
      <c r="F517" s="27"/>
      <c r="G517" s="27"/>
      <c r="H517" s="27"/>
      <c r="I517" s="27"/>
      <c r="J517" s="27"/>
    </row>
    <row r="518" spans="1:10">
      <c r="A518" s="27"/>
      <c r="B518" s="27"/>
      <c r="C518" s="27"/>
      <c r="D518" s="27"/>
      <c r="E518" s="27"/>
      <c r="F518" s="27"/>
      <c r="G518" s="27"/>
      <c r="H518" s="27"/>
      <c r="I518" s="27"/>
      <c r="J518" s="27"/>
    </row>
    <row r="519" spans="1:10">
      <c r="A519" s="27"/>
      <c r="B519" s="27"/>
      <c r="C519" s="27"/>
      <c r="D519" s="27"/>
      <c r="E519" s="27"/>
      <c r="F519" s="27"/>
      <c r="G519" s="27"/>
      <c r="H519" s="27"/>
      <c r="I519" s="27"/>
      <c r="J519" s="27"/>
    </row>
    <row r="520" spans="1:10">
      <c r="A520" s="27"/>
      <c r="B520" s="27"/>
      <c r="C520" s="27"/>
      <c r="D520" s="27"/>
      <c r="E520" s="27"/>
      <c r="F520" s="27"/>
      <c r="G520" s="27"/>
      <c r="H520" s="27"/>
      <c r="I520" s="27"/>
      <c r="J520" s="27"/>
    </row>
    <row r="521" spans="1:10">
      <c r="A521" s="27"/>
      <c r="B521" s="27"/>
      <c r="C521" s="27"/>
      <c r="D521" s="27"/>
      <c r="E521" s="27"/>
      <c r="F521" s="27"/>
      <c r="G521" s="27"/>
      <c r="H521" s="27"/>
      <c r="I521" s="27"/>
      <c r="J521" s="27"/>
    </row>
    <row r="522" spans="1:10">
      <c r="A522" s="27"/>
      <c r="B522" s="27"/>
      <c r="C522" s="27"/>
      <c r="D522" s="27"/>
      <c r="E522" s="27"/>
      <c r="F522" s="27"/>
      <c r="G522" s="27"/>
      <c r="H522" s="27"/>
      <c r="I522" s="27"/>
      <c r="J522" s="27"/>
    </row>
    <row r="523" spans="1:10">
      <c r="A523" s="27"/>
      <c r="B523" s="27"/>
      <c r="C523" s="27"/>
      <c r="D523" s="27"/>
      <c r="E523" s="27"/>
      <c r="F523" s="27"/>
      <c r="G523" s="27"/>
      <c r="H523" s="27"/>
      <c r="I523" s="27"/>
      <c r="J523" s="27"/>
    </row>
    <row r="524" spans="1:10">
      <c r="A524" s="27"/>
      <c r="B524" s="27"/>
      <c r="C524" s="27"/>
      <c r="D524" s="27"/>
      <c r="E524" s="27"/>
      <c r="F524" s="27"/>
      <c r="G524" s="27"/>
      <c r="H524" s="27"/>
      <c r="I524" s="27"/>
      <c r="J524" s="27"/>
    </row>
    <row r="525" spans="1:10">
      <c r="A525" s="27"/>
      <c r="B525" s="27"/>
      <c r="C525" s="27"/>
      <c r="D525" s="27"/>
      <c r="E525" s="27"/>
      <c r="F525" s="27"/>
      <c r="G525" s="27"/>
      <c r="H525" s="27"/>
      <c r="I525" s="27"/>
      <c r="J525" s="27"/>
    </row>
    <row r="526" spans="1:10">
      <c r="A526" s="27"/>
      <c r="B526" s="27"/>
      <c r="C526" s="27"/>
      <c r="D526" s="27"/>
      <c r="E526" s="27"/>
      <c r="F526" s="27"/>
      <c r="G526" s="27"/>
      <c r="H526" s="27"/>
      <c r="I526" s="27"/>
      <c r="J526" s="27"/>
    </row>
    <row r="527" spans="1:10">
      <c r="A527" s="27"/>
      <c r="B527" s="27"/>
      <c r="C527" s="27"/>
      <c r="D527" s="27"/>
      <c r="E527" s="27"/>
      <c r="F527" s="27"/>
      <c r="G527" s="27"/>
      <c r="H527" s="27"/>
      <c r="I527" s="27"/>
      <c r="J527" s="27"/>
    </row>
    <row r="528" spans="1:10">
      <c r="A528" s="27"/>
      <c r="B528" s="27"/>
      <c r="C528" s="27"/>
      <c r="D528" s="27"/>
      <c r="E528" s="27"/>
      <c r="F528" s="27"/>
      <c r="G528" s="27"/>
      <c r="H528" s="27"/>
      <c r="I528" s="27"/>
      <c r="J528" s="27"/>
    </row>
    <row r="529" spans="1:10">
      <c r="A529" s="27"/>
      <c r="B529" s="27"/>
      <c r="C529" s="27"/>
      <c r="D529" s="27"/>
      <c r="E529" s="27"/>
      <c r="F529" s="27"/>
      <c r="G529" s="27"/>
      <c r="H529" s="27"/>
      <c r="I529" s="27"/>
      <c r="J529" s="27"/>
    </row>
    <row r="530" spans="1:10">
      <c r="A530" s="27"/>
      <c r="B530" s="27"/>
      <c r="C530" s="27"/>
      <c r="D530" s="27"/>
      <c r="E530" s="27"/>
      <c r="F530" s="27"/>
      <c r="G530" s="27"/>
      <c r="H530" s="27"/>
      <c r="I530" s="27"/>
      <c r="J530" s="27"/>
    </row>
    <row r="531" spans="1:10">
      <c r="A531" s="27"/>
      <c r="B531" s="27"/>
      <c r="C531" s="27"/>
      <c r="D531" s="27"/>
      <c r="E531" s="27"/>
      <c r="F531" s="27"/>
      <c r="G531" s="27"/>
      <c r="H531" s="27"/>
      <c r="I531" s="27"/>
      <c r="J531" s="27"/>
    </row>
    <row r="532" spans="1:10">
      <c r="A532" s="27"/>
      <c r="B532" s="27"/>
      <c r="C532" s="27"/>
      <c r="D532" s="27"/>
      <c r="E532" s="27"/>
      <c r="F532" s="27"/>
      <c r="G532" s="27"/>
      <c r="H532" s="27"/>
      <c r="I532" s="27"/>
      <c r="J532" s="27"/>
    </row>
    <row r="533" spans="1:10">
      <c r="A533" s="27"/>
      <c r="B533" s="27"/>
      <c r="C533" s="27"/>
      <c r="D533" s="27"/>
      <c r="E533" s="27"/>
      <c r="F533" s="27"/>
      <c r="G533" s="27"/>
      <c r="H533" s="27"/>
      <c r="I533" s="27"/>
      <c r="J533" s="27"/>
    </row>
    <row r="534" spans="1:10">
      <c r="A534" s="27"/>
      <c r="B534" s="27"/>
      <c r="C534" s="27"/>
      <c r="D534" s="27"/>
      <c r="E534" s="27"/>
      <c r="F534" s="27"/>
      <c r="G534" s="27"/>
      <c r="H534" s="27"/>
      <c r="I534" s="27"/>
      <c r="J534" s="27"/>
    </row>
    <row r="535" spans="1:10">
      <c r="A535" s="27"/>
      <c r="B535" s="27"/>
      <c r="C535" s="27"/>
      <c r="D535" s="27"/>
      <c r="E535" s="27"/>
      <c r="F535" s="27"/>
      <c r="G535" s="27"/>
      <c r="H535" s="27"/>
      <c r="I535" s="27"/>
      <c r="J535" s="27"/>
    </row>
    <row r="536" spans="1:10">
      <c r="A536" s="27"/>
      <c r="B536" s="27"/>
      <c r="C536" s="27"/>
      <c r="D536" s="27"/>
      <c r="E536" s="27"/>
      <c r="F536" s="27"/>
      <c r="G536" s="27"/>
      <c r="H536" s="27"/>
      <c r="I536" s="27"/>
      <c r="J536" s="27"/>
    </row>
    <row r="537" spans="1:10">
      <c r="A537" s="27"/>
      <c r="B537" s="27"/>
      <c r="C537" s="27"/>
      <c r="D537" s="27"/>
      <c r="E537" s="27"/>
      <c r="F537" s="27"/>
      <c r="G537" s="27"/>
      <c r="H537" s="27"/>
      <c r="I537" s="27"/>
      <c r="J537" s="27"/>
    </row>
    <row r="538" spans="1:10">
      <c r="A538" s="27"/>
      <c r="B538" s="27"/>
      <c r="C538" s="27"/>
      <c r="D538" s="27"/>
      <c r="E538" s="27"/>
      <c r="F538" s="27"/>
      <c r="G538" s="27"/>
      <c r="H538" s="27"/>
      <c r="I538" s="27"/>
      <c r="J538" s="27"/>
    </row>
    <row r="539" spans="1:10">
      <c r="A539" s="27"/>
      <c r="B539" s="27"/>
      <c r="C539" s="27"/>
      <c r="D539" s="27"/>
      <c r="E539" s="27"/>
      <c r="F539" s="27"/>
      <c r="G539" s="27"/>
      <c r="H539" s="27"/>
      <c r="I539" s="27"/>
      <c r="J539" s="27"/>
    </row>
    <row r="540" spans="1:10">
      <c r="A540" s="27"/>
      <c r="B540" s="27"/>
      <c r="C540" s="27"/>
      <c r="D540" s="27"/>
      <c r="E540" s="27"/>
      <c r="F540" s="27"/>
      <c r="G540" s="27"/>
      <c r="H540" s="27"/>
      <c r="I540" s="27"/>
      <c r="J540" s="27"/>
    </row>
    <row r="541" spans="1:10">
      <c r="A541" s="27"/>
      <c r="B541" s="27"/>
      <c r="C541" s="27"/>
      <c r="D541" s="27"/>
      <c r="E541" s="27"/>
      <c r="F541" s="27"/>
      <c r="G541" s="27"/>
      <c r="H541" s="27"/>
      <c r="I541" s="27"/>
      <c r="J541" s="27"/>
    </row>
    <row r="542" spans="1:10">
      <c r="A542" s="27"/>
      <c r="B542" s="27"/>
      <c r="C542" s="27"/>
      <c r="D542" s="27"/>
      <c r="E542" s="27"/>
      <c r="F542" s="27"/>
      <c r="G542" s="27"/>
      <c r="H542" s="27"/>
      <c r="I542" s="27"/>
      <c r="J542" s="27"/>
    </row>
    <row r="543" spans="1:10">
      <c r="A543" s="27"/>
      <c r="B543" s="27"/>
      <c r="C543" s="27"/>
      <c r="D543" s="27"/>
      <c r="E543" s="27"/>
      <c r="F543" s="27"/>
      <c r="G543" s="27"/>
      <c r="H543" s="27"/>
      <c r="I543" s="27"/>
      <c r="J543" s="27"/>
    </row>
    <row r="544" spans="1:10">
      <c r="A544" s="27"/>
      <c r="B544" s="27"/>
      <c r="C544" s="27"/>
      <c r="D544" s="27"/>
      <c r="E544" s="27"/>
      <c r="F544" s="27"/>
      <c r="G544" s="27"/>
      <c r="H544" s="27"/>
      <c r="I544" s="27"/>
      <c r="J544" s="27"/>
    </row>
    <row r="545" spans="1:10">
      <c r="A545" s="27"/>
      <c r="B545" s="27"/>
      <c r="C545" s="27"/>
      <c r="D545" s="27"/>
      <c r="E545" s="27"/>
      <c r="F545" s="27"/>
      <c r="G545" s="27"/>
      <c r="H545" s="27"/>
      <c r="I545" s="27"/>
      <c r="J545" s="27"/>
    </row>
    <row r="546" spans="1:10">
      <c r="A546" s="27"/>
      <c r="B546" s="27"/>
      <c r="C546" s="27"/>
      <c r="D546" s="27"/>
      <c r="E546" s="27"/>
      <c r="F546" s="27"/>
      <c r="G546" s="27"/>
      <c r="H546" s="27"/>
      <c r="I546" s="27"/>
      <c r="J546" s="27"/>
    </row>
    <row r="547" spans="1:10">
      <c r="A547" s="27"/>
      <c r="B547" s="27"/>
      <c r="C547" s="27"/>
      <c r="D547" s="27"/>
      <c r="E547" s="27"/>
      <c r="F547" s="27"/>
      <c r="G547" s="27"/>
      <c r="H547" s="27"/>
      <c r="I547" s="27"/>
      <c r="J547" s="27"/>
    </row>
    <row r="548" spans="1:10">
      <c r="A548" s="27"/>
      <c r="B548" s="27"/>
      <c r="C548" s="27"/>
      <c r="D548" s="27"/>
      <c r="E548" s="27"/>
      <c r="F548" s="27"/>
      <c r="G548" s="27"/>
      <c r="H548" s="27"/>
      <c r="I548" s="27"/>
      <c r="J548" s="27"/>
    </row>
    <row r="549" spans="1:10">
      <c r="A549" s="27"/>
      <c r="B549" s="27"/>
      <c r="C549" s="27"/>
      <c r="D549" s="27"/>
      <c r="E549" s="27"/>
      <c r="F549" s="27"/>
      <c r="G549" s="27"/>
      <c r="H549" s="27"/>
      <c r="I549" s="27"/>
      <c r="J549" s="27"/>
    </row>
    <row r="550" spans="1:10">
      <c r="A550" s="27"/>
      <c r="B550" s="27"/>
      <c r="C550" s="27"/>
      <c r="D550" s="27"/>
      <c r="E550" s="27"/>
      <c r="F550" s="27"/>
      <c r="G550" s="27"/>
      <c r="H550" s="27"/>
      <c r="I550" s="27"/>
      <c r="J550" s="27"/>
    </row>
    <row r="551" spans="1:10">
      <c r="A551" s="27"/>
      <c r="B551" s="27"/>
      <c r="C551" s="27"/>
      <c r="D551" s="27"/>
      <c r="E551" s="27"/>
      <c r="F551" s="27"/>
      <c r="G551" s="27"/>
      <c r="H551" s="27"/>
      <c r="I551" s="27"/>
      <c r="J551" s="27"/>
    </row>
    <row r="552" spans="1:10">
      <c r="A552" s="27"/>
      <c r="B552" s="27"/>
      <c r="C552" s="27"/>
      <c r="D552" s="27"/>
      <c r="E552" s="27"/>
      <c r="F552" s="27"/>
      <c r="G552" s="27"/>
      <c r="H552" s="27"/>
      <c r="I552" s="27"/>
      <c r="J552" s="27"/>
    </row>
    <row r="553" spans="1:10">
      <c r="A553" s="27"/>
      <c r="B553" s="27"/>
      <c r="C553" s="27"/>
      <c r="D553" s="27"/>
      <c r="E553" s="27"/>
      <c r="F553" s="27"/>
      <c r="G553" s="27"/>
      <c r="H553" s="27"/>
      <c r="I553" s="27"/>
      <c r="J553" s="27"/>
    </row>
    <row r="554" spans="1:10">
      <c r="A554" s="27"/>
      <c r="B554" s="27"/>
      <c r="C554" s="27"/>
      <c r="D554" s="27"/>
      <c r="E554" s="27"/>
      <c r="F554" s="27"/>
      <c r="G554" s="27"/>
      <c r="H554" s="27"/>
      <c r="I554" s="27"/>
      <c r="J554" s="27"/>
    </row>
    <row r="555" spans="1:10">
      <c r="A555" s="27"/>
      <c r="B555" s="27"/>
      <c r="C555" s="27"/>
      <c r="D555" s="27"/>
      <c r="E555" s="27"/>
      <c r="F555" s="27"/>
      <c r="G555" s="27"/>
      <c r="H555" s="27"/>
      <c r="I555" s="27"/>
      <c r="J555" s="27"/>
    </row>
    <row r="556" spans="1:10">
      <c r="A556" s="27"/>
      <c r="B556" s="27"/>
      <c r="C556" s="27"/>
      <c r="D556" s="27"/>
      <c r="E556" s="27"/>
      <c r="F556" s="27"/>
      <c r="G556" s="27"/>
      <c r="H556" s="27"/>
      <c r="I556" s="27"/>
      <c r="J556" s="27"/>
    </row>
    <row r="557" spans="1:10">
      <c r="A557" s="27"/>
      <c r="B557" s="27"/>
      <c r="C557" s="27"/>
      <c r="D557" s="27"/>
      <c r="E557" s="27"/>
      <c r="F557" s="27"/>
      <c r="G557" s="27"/>
      <c r="H557" s="27"/>
      <c r="I557" s="27"/>
      <c r="J557" s="27"/>
    </row>
    <row r="558" spans="1:10">
      <c r="A558" s="27"/>
      <c r="B558" s="27"/>
      <c r="C558" s="27"/>
      <c r="D558" s="27"/>
      <c r="E558" s="27"/>
      <c r="F558" s="27"/>
      <c r="G558" s="27"/>
      <c r="H558" s="27"/>
      <c r="I558" s="27"/>
      <c r="J558" s="27"/>
    </row>
    <row r="559" spans="1:10">
      <c r="A559" s="27"/>
      <c r="B559" s="27"/>
      <c r="C559" s="27"/>
      <c r="D559" s="27"/>
      <c r="E559" s="27"/>
      <c r="F559" s="27"/>
      <c r="G559" s="27"/>
      <c r="H559" s="27"/>
      <c r="I559" s="27"/>
      <c r="J559" s="27"/>
    </row>
    <row r="560" spans="1:10">
      <c r="A560" s="27"/>
      <c r="B560" s="27"/>
      <c r="C560" s="27"/>
      <c r="D560" s="27"/>
      <c r="E560" s="27"/>
      <c r="F560" s="27"/>
      <c r="G560" s="27"/>
      <c r="H560" s="27"/>
      <c r="I560" s="27"/>
      <c r="J560" s="27"/>
    </row>
    <row r="561" spans="1:10">
      <c r="A561" s="27"/>
      <c r="B561" s="27"/>
      <c r="C561" s="27"/>
      <c r="D561" s="27"/>
      <c r="E561" s="27"/>
      <c r="F561" s="27"/>
      <c r="G561" s="27"/>
      <c r="H561" s="27"/>
      <c r="I561" s="27"/>
      <c r="J561" s="27"/>
    </row>
    <row r="562" spans="1:10">
      <c r="A562" s="27"/>
      <c r="B562" s="27"/>
      <c r="C562" s="27"/>
      <c r="D562" s="27"/>
      <c r="E562" s="27"/>
      <c r="F562" s="27"/>
      <c r="G562" s="27"/>
      <c r="H562" s="27"/>
      <c r="I562" s="27"/>
      <c r="J562" s="27"/>
    </row>
    <row r="563" spans="1:10">
      <c r="A563" s="27"/>
      <c r="B563" s="27"/>
      <c r="C563" s="27"/>
      <c r="D563" s="27"/>
      <c r="E563" s="27"/>
      <c r="F563" s="27"/>
      <c r="G563" s="27"/>
      <c r="H563" s="27"/>
      <c r="I563" s="27"/>
      <c r="J563" s="27"/>
    </row>
    <row r="564" spans="1:10">
      <c r="A564" s="27"/>
      <c r="B564" s="27"/>
      <c r="C564" s="27"/>
      <c r="D564" s="27"/>
      <c r="E564" s="27"/>
      <c r="F564" s="27"/>
      <c r="G564" s="27"/>
      <c r="H564" s="27"/>
      <c r="I564" s="27"/>
      <c r="J564" s="27"/>
    </row>
    <row r="565" spans="1:10">
      <c r="A565" s="27"/>
      <c r="B565" s="27"/>
      <c r="C565" s="27"/>
      <c r="D565" s="27"/>
      <c r="E565" s="27"/>
      <c r="F565" s="27"/>
      <c r="G565" s="27"/>
      <c r="H565" s="27"/>
      <c r="I565" s="27"/>
      <c r="J565" s="27"/>
    </row>
    <row r="566" spans="1:10">
      <c r="A566" s="27"/>
      <c r="B566" s="27"/>
      <c r="C566" s="27"/>
      <c r="D566" s="27"/>
      <c r="E566" s="27"/>
      <c r="F566" s="27"/>
      <c r="G566" s="27"/>
      <c r="H566" s="27"/>
      <c r="I566" s="27"/>
      <c r="J566" s="27"/>
    </row>
    <row r="567" spans="1:10">
      <c r="A567" s="27"/>
      <c r="B567" s="27"/>
      <c r="C567" s="27"/>
      <c r="D567" s="27"/>
      <c r="E567" s="27"/>
      <c r="F567" s="27"/>
      <c r="G567" s="27"/>
      <c r="H567" s="27"/>
      <c r="I567" s="27"/>
      <c r="J567" s="27"/>
    </row>
    <row r="568" spans="1:10">
      <c r="A568" s="27"/>
      <c r="B568" s="27"/>
      <c r="C568" s="27"/>
      <c r="D568" s="27"/>
      <c r="E568" s="27"/>
      <c r="F568" s="27"/>
      <c r="G568" s="27"/>
      <c r="H568" s="27"/>
      <c r="I568" s="27"/>
      <c r="J568" s="27"/>
    </row>
    <row r="569" spans="1:10">
      <c r="A569" s="27"/>
      <c r="B569" s="27"/>
      <c r="C569" s="27"/>
      <c r="D569" s="27"/>
      <c r="E569" s="27"/>
      <c r="F569" s="27"/>
      <c r="G569" s="27"/>
      <c r="H569" s="27"/>
      <c r="I569" s="27"/>
      <c r="J569" s="27"/>
    </row>
    <row r="570" spans="1:10">
      <c r="A570" s="27"/>
      <c r="B570" s="27"/>
      <c r="C570" s="27"/>
      <c r="D570" s="27"/>
      <c r="E570" s="27"/>
      <c r="F570" s="27"/>
      <c r="G570" s="27"/>
      <c r="H570" s="27"/>
      <c r="I570" s="27"/>
      <c r="J570" s="27"/>
    </row>
    <row r="571" spans="1:10">
      <c r="A571" s="27"/>
      <c r="B571" s="27"/>
      <c r="C571" s="27"/>
      <c r="D571" s="27"/>
      <c r="E571" s="27"/>
      <c r="F571" s="27"/>
      <c r="G571" s="27"/>
      <c r="H571" s="27"/>
      <c r="I571" s="27"/>
      <c r="J571" s="27"/>
    </row>
    <row r="572" spans="1:10">
      <c r="A572" s="27"/>
      <c r="B572" s="27"/>
      <c r="C572" s="27"/>
      <c r="D572" s="27"/>
      <c r="E572" s="27"/>
      <c r="F572" s="27"/>
      <c r="G572" s="27"/>
      <c r="H572" s="27"/>
      <c r="I572" s="27"/>
      <c r="J572" s="27"/>
    </row>
    <row r="573" spans="1:10">
      <c r="A573" s="27"/>
      <c r="B573" s="27"/>
      <c r="C573" s="27"/>
      <c r="D573" s="27"/>
      <c r="E573" s="27"/>
      <c r="F573" s="27"/>
      <c r="G573" s="27"/>
      <c r="H573" s="27"/>
      <c r="I573" s="27"/>
      <c r="J573" s="27"/>
    </row>
    <row r="574" spans="1:10">
      <c r="A574" s="27"/>
      <c r="B574" s="27"/>
      <c r="C574" s="27"/>
      <c r="D574" s="27"/>
      <c r="E574" s="27"/>
      <c r="F574" s="27"/>
      <c r="G574" s="27"/>
      <c r="H574" s="27"/>
      <c r="I574" s="27"/>
      <c r="J574" s="27"/>
    </row>
    <row r="575" spans="1:10">
      <c r="A575" s="27"/>
      <c r="B575" s="27"/>
      <c r="C575" s="27"/>
      <c r="D575" s="27"/>
      <c r="E575" s="27"/>
      <c r="F575" s="27"/>
      <c r="G575" s="27"/>
      <c r="H575" s="27"/>
      <c r="I575" s="27"/>
      <c r="J575" s="27"/>
    </row>
    <row r="576" spans="1:10">
      <c r="A576" s="27"/>
      <c r="B576" s="27"/>
      <c r="C576" s="27"/>
      <c r="D576" s="27"/>
      <c r="E576" s="27"/>
      <c r="F576" s="27"/>
      <c r="G576" s="27"/>
      <c r="H576" s="27"/>
      <c r="I576" s="27"/>
      <c r="J576" s="27"/>
    </row>
    <row r="577" spans="1:10">
      <c r="A577" s="27"/>
      <c r="B577" s="27"/>
      <c r="C577" s="27"/>
      <c r="D577" s="27"/>
      <c r="E577" s="27"/>
      <c r="F577" s="27"/>
      <c r="G577" s="27"/>
      <c r="H577" s="27"/>
      <c r="I577" s="27"/>
      <c r="J577" s="27"/>
    </row>
    <row r="578" spans="1:10">
      <c r="A578" s="27"/>
      <c r="B578" s="27"/>
      <c r="C578" s="27"/>
      <c r="D578" s="27"/>
      <c r="E578" s="27"/>
      <c r="F578" s="27"/>
      <c r="G578" s="27"/>
      <c r="H578" s="27"/>
      <c r="I578" s="27"/>
      <c r="J578" s="27"/>
    </row>
    <row r="579" spans="1:10">
      <c r="A579" s="27"/>
      <c r="B579" s="27"/>
      <c r="C579" s="27"/>
      <c r="D579" s="27"/>
      <c r="E579" s="27"/>
      <c r="F579" s="27"/>
      <c r="G579" s="27"/>
      <c r="H579" s="27"/>
      <c r="I579" s="27"/>
      <c r="J579" s="27"/>
    </row>
    <row r="580" spans="1:10">
      <c r="A580" s="27"/>
      <c r="B580" s="27"/>
      <c r="C580" s="27"/>
      <c r="D580" s="27"/>
      <c r="E580" s="27"/>
      <c r="F580" s="27"/>
      <c r="G580" s="27"/>
      <c r="H580" s="27"/>
      <c r="I580" s="27"/>
      <c r="J580" s="27"/>
    </row>
    <row r="581" spans="1:10">
      <c r="A581" s="27"/>
      <c r="B581" s="27"/>
      <c r="C581" s="27"/>
      <c r="D581" s="27"/>
      <c r="E581" s="27"/>
      <c r="F581" s="27"/>
      <c r="G581" s="27"/>
      <c r="H581" s="27"/>
      <c r="I581" s="27"/>
      <c r="J581" s="27"/>
    </row>
    <row r="582" spans="1:10">
      <c r="A582" s="27"/>
      <c r="B582" s="27"/>
      <c r="C582" s="27"/>
      <c r="D582" s="27"/>
      <c r="E582" s="27"/>
      <c r="F582" s="27"/>
      <c r="G582" s="27"/>
      <c r="H582" s="27"/>
      <c r="I582" s="27"/>
      <c r="J582" s="27"/>
    </row>
    <row r="583" spans="1:10">
      <c r="A583" s="27"/>
      <c r="B583" s="27"/>
      <c r="C583" s="27"/>
      <c r="D583" s="27"/>
      <c r="E583" s="27"/>
      <c r="F583" s="27"/>
      <c r="G583" s="27"/>
      <c r="H583" s="27"/>
      <c r="I583" s="27"/>
      <c r="J583" s="27"/>
    </row>
    <row r="584" spans="1:10">
      <c r="A584" s="27"/>
      <c r="B584" s="27"/>
      <c r="C584" s="27"/>
      <c r="D584" s="27"/>
      <c r="E584" s="27"/>
      <c r="F584" s="27"/>
      <c r="G584" s="27"/>
      <c r="H584" s="27"/>
      <c r="I584" s="27"/>
      <c r="J584" s="27"/>
    </row>
    <row r="585" spans="1:10">
      <c r="A585" s="27"/>
      <c r="B585" s="27"/>
      <c r="C585" s="27"/>
      <c r="D585" s="27"/>
      <c r="E585" s="27"/>
      <c r="F585" s="27"/>
      <c r="G585" s="27"/>
      <c r="H585" s="27"/>
      <c r="I585" s="27"/>
      <c r="J585" s="27"/>
    </row>
    <row r="586" spans="1:10">
      <c r="A586" s="27"/>
      <c r="B586" s="27"/>
      <c r="C586" s="27"/>
      <c r="D586" s="27"/>
      <c r="E586" s="27"/>
      <c r="F586" s="27"/>
      <c r="G586" s="27"/>
      <c r="H586" s="27"/>
      <c r="I586" s="27"/>
      <c r="J586" s="27"/>
    </row>
    <row r="587" spans="1:10">
      <c r="A587" s="27"/>
      <c r="B587" s="27"/>
      <c r="C587" s="27"/>
      <c r="D587" s="27"/>
      <c r="E587" s="27"/>
      <c r="F587" s="27"/>
      <c r="G587" s="27"/>
      <c r="H587" s="27"/>
      <c r="I587" s="27"/>
      <c r="J587" s="27"/>
    </row>
    <row r="588" spans="1:10">
      <c r="A588" s="27"/>
      <c r="B588" s="27"/>
      <c r="C588" s="27"/>
      <c r="D588" s="27"/>
      <c r="E588" s="27"/>
      <c r="F588" s="27"/>
      <c r="G588" s="27"/>
      <c r="H588" s="27"/>
      <c r="I588" s="27"/>
      <c r="J588" s="27"/>
    </row>
    <row r="589" spans="1:10">
      <c r="A589" s="27"/>
      <c r="B589" s="27"/>
      <c r="C589" s="27"/>
      <c r="D589" s="27"/>
      <c r="E589" s="27"/>
      <c r="F589" s="27"/>
      <c r="G589" s="27"/>
      <c r="H589" s="27"/>
      <c r="I589" s="27"/>
      <c r="J589" s="27"/>
    </row>
    <row r="590" spans="1:10">
      <c r="A590" s="27"/>
      <c r="B590" s="27"/>
      <c r="C590" s="27"/>
      <c r="D590" s="27"/>
      <c r="E590" s="27"/>
      <c r="F590" s="27"/>
      <c r="G590" s="27"/>
      <c r="H590" s="27"/>
      <c r="I590" s="27"/>
      <c r="J590" s="27"/>
    </row>
    <row r="591" spans="1:10">
      <c r="A591" s="27"/>
      <c r="B591" s="27"/>
      <c r="C591" s="27"/>
      <c r="D591" s="27"/>
      <c r="E591" s="27"/>
      <c r="F591" s="27"/>
      <c r="G591" s="27"/>
      <c r="H591" s="27"/>
      <c r="I591" s="27"/>
      <c r="J591" s="27"/>
    </row>
    <row r="592" spans="1:10">
      <c r="A592" s="27"/>
      <c r="B592" s="27"/>
      <c r="C592" s="27"/>
      <c r="D592" s="27"/>
      <c r="E592" s="27"/>
      <c r="F592" s="27"/>
      <c r="G592" s="27"/>
      <c r="H592" s="27"/>
      <c r="I592" s="27"/>
      <c r="J592" s="27"/>
    </row>
    <row r="593" spans="1:10">
      <c r="A593" s="27"/>
      <c r="B593" s="27"/>
      <c r="C593" s="27"/>
      <c r="D593" s="27"/>
      <c r="E593" s="27"/>
      <c r="F593" s="27"/>
      <c r="G593" s="27"/>
      <c r="H593" s="27"/>
      <c r="I593" s="27"/>
      <c r="J593" s="27"/>
    </row>
    <row r="594" spans="1:10">
      <c r="A594" s="27"/>
      <c r="B594" s="27"/>
      <c r="C594" s="27"/>
      <c r="D594" s="27"/>
      <c r="E594" s="27"/>
      <c r="F594" s="27"/>
      <c r="G594" s="27"/>
      <c r="H594" s="27"/>
      <c r="I594" s="27"/>
      <c r="J594" s="27"/>
    </row>
    <row r="595" spans="1:10">
      <c r="A595" s="27"/>
      <c r="B595" s="27"/>
      <c r="C595" s="27"/>
      <c r="D595" s="27"/>
      <c r="E595" s="27"/>
      <c r="F595" s="27"/>
      <c r="G595" s="27"/>
      <c r="H595" s="27"/>
      <c r="I595" s="27"/>
      <c r="J595" s="27"/>
    </row>
    <row r="596" spans="1:10">
      <c r="A596" s="27"/>
      <c r="B596" s="27"/>
      <c r="C596" s="27"/>
      <c r="D596" s="27"/>
      <c r="E596" s="27"/>
      <c r="F596" s="27"/>
      <c r="G596" s="27"/>
      <c r="H596" s="27"/>
      <c r="I596" s="27"/>
      <c r="J596" s="27"/>
    </row>
    <row r="597" spans="1:10">
      <c r="A597" s="27"/>
      <c r="B597" s="27"/>
      <c r="C597" s="27"/>
      <c r="D597" s="27"/>
      <c r="E597" s="27"/>
      <c r="F597" s="27"/>
      <c r="G597" s="27"/>
      <c r="H597" s="27"/>
      <c r="I597" s="27"/>
      <c r="J597" s="27"/>
    </row>
    <row r="598" spans="1:10">
      <c r="A598" s="27"/>
      <c r="B598" s="27"/>
      <c r="C598" s="27"/>
      <c r="D598" s="27"/>
      <c r="E598" s="27"/>
      <c r="F598" s="27"/>
      <c r="G598" s="27"/>
      <c r="H598" s="27"/>
      <c r="I598" s="27"/>
      <c r="J598" s="27"/>
    </row>
    <row r="599" spans="1:10">
      <c r="A599" s="27"/>
      <c r="B599" s="27"/>
      <c r="C599" s="27"/>
      <c r="D599" s="27"/>
      <c r="E599" s="27"/>
      <c r="F599" s="27"/>
      <c r="G599" s="27"/>
      <c r="H599" s="27"/>
      <c r="I599" s="27"/>
      <c r="J599" s="27"/>
    </row>
    <row r="600" spans="1:10">
      <c r="A600" s="27"/>
      <c r="B600" s="27"/>
      <c r="C600" s="27"/>
      <c r="D600" s="27"/>
      <c r="E600" s="27"/>
      <c r="F600" s="27"/>
      <c r="G600" s="27"/>
      <c r="H600" s="27"/>
      <c r="I600" s="27"/>
      <c r="J600" s="27"/>
    </row>
    <row r="601" spans="1:10">
      <c r="A601" s="27"/>
      <c r="B601" s="27"/>
      <c r="C601" s="27"/>
      <c r="D601" s="27"/>
      <c r="E601" s="27"/>
      <c r="F601" s="27"/>
      <c r="G601" s="27"/>
      <c r="H601" s="27"/>
      <c r="I601" s="27"/>
      <c r="J601" s="27"/>
    </row>
    <row r="602" spans="1:10">
      <c r="A602" s="27"/>
      <c r="B602" s="27"/>
      <c r="C602" s="27"/>
      <c r="D602" s="27"/>
      <c r="E602" s="27"/>
      <c r="F602" s="27"/>
      <c r="G602" s="27"/>
      <c r="H602" s="27"/>
      <c r="I602" s="27"/>
      <c r="J602" s="27"/>
    </row>
    <row r="603" spans="1:10">
      <c r="A603" s="27"/>
      <c r="B603" s="27"/>
      <c r="C603" s="27"/>
      <c r="D603" s="27"/>
      <c r="E603" s="27"/>
      <c r="F603" s="27"/>
      <c r="G603" s="27"/>
      <c r="H603" s="27"/>
      <c r="I603" s="27"/>
      <c r="J603" s="27"/>
    </row>
    <row r="604" spans="1:10">
      <c r="A604" s="27"/>
      <c r="B604" s="27"/>
      <c r="C604" s="27"/>
      <c r="D604" s="27"/>
      <c r="E604" s="27"/>
      <c r="F604" s="27"/>
      <c r="G604" s="27"/>
      <c r="H604" s="27"/>
      <c r="I604" s="27"/>
      <c r="J604" s="27"/>
    </row>
    <row r="605" spans="1:10">
      <c r="A605" s="27"/>
      <c r="B605" s="27"/>
      <c r="C605" s="27"/>
      <c r="D605" s="27"/>
      <c r="E605" s="27"/>
      <c r="F605" s="27"/>
      <c r="G605" s="27"/>
      <c r="H605" s="27"/>
      <c r="I605" s="27"/>
      <c r="J605" s="27"/>
    </row>
    <row r="606" spans="1:10">
      <c r="A606" s="27"/>
      <c r="B606" s="27"/>
      <c r="C606" s="27"/>
      <c r="D606" s="27"/>
      <c r="E606" s="27"/>
      <c r="F606" s="27"/>
      <c r="G606" s="27"/>
      <c r="H606" s="27"/>
      <c r="I606" s="27"/>
      <c r="J606" s="27"/>
    </row>
    <row r="607" spans="1:10">
      <c r="A607" s="27"/>
      <c r="B607" s="27"/>
      <c r="C607" s="27"/>
      <c r="D607" s="27"/>
      <c r="E607" s="27"/>
      <c r="F607" s="27"/>
      <c r="G607" s="27"/>
      <c r="H607" s="27"/>
      <c r="I607" s="27"/>
      <c r="J607" s="27"/>
    </row>
    <row r="608" spans="1:10">
      <c r="A608" s="27"/>
      <c r="B608" s="27"/>
      <c r="C608" s="27"/>
      <c r="D608" s="27"/>
      <c r="E608" s="27"/>
      <c r="F608" s="27"/>
      <c r="G608" s="27"/>
      <c r="H608" s="27"/>
      <c r="I608" s="27"/>
      <c r="J608" s="27"/>
    </row>
    <row r="609" spans="1:10">
      <c r="A609" s="27"/>
      <c r="B609" s="27"/>
      <c r="C609" s="27"/>
      <c r="D609" s="27"/>
      <c r="E609" s="27"/>
      <c r="F609" s="27"/>
      <c r="G609" s="27"/>
      <c r="H609" s="27"/>
      <c r="I609" s="27"/>
      <c r="J609" s="27"/>
    </row>
    <row r="610" spans="1:10">
      <c r="A610" s="27"/>
      <c r="B610" s="27"/>
      <c r="C610" s="27"/>
      <c r="D610" s="27"/>
      <c r="E610" s="27"/>
      <c r="F610" s="27"/>
      <c r="G610" s="27"/>
      <c r="H610" s="27"/>
      <c r="I610" s="27"/>
      <c r="J610" s="27"/>
    </row>
    <row r="611" spans="1:10">
      <c r="A611" s="27"/>
      <c r="B611" s="27"/>
      <c r="C611" s="27"/>
      <c r="D611" s="27"/>
      <c r="E611" s="27"/>
      <c r="F611" s="27"/>
      <c r="G611" s="27"/>
      <c r="H611" s="27"/>
      <c r="I611" s="27"/>
      <c r="J611" s="27"/>
    </row>
    <row r="612" spans="1:10">
      <c r="A612" s="27"/>
      <c r="B612" s="27"/>
      <c r="C612" s="27"/>
      <c r="D612" s="27"/>
      <c r="E612" s="27"/>
      <c r="F612" s="27"/>
      <c r="G612" s="27"/>
      <c r="H612" s="27"/>
      <c r="I612" s="27"/>
      <c r="J612" s="27"/>
    </row>
    <row r="613" spans="1:10">
      <c r="A613" s="27"/>
      <c r="B613" s="27"/>
      <c r="C613" s="27"/>
      <c r="D613" s="27"/>
      <c r="E613" s="27"/>
      <c r="F613" s="27"/>
      <c r="G613" s="27"/>
      <c r="H613" s="27"/>
      <c r="I613" s="27"/>
      <c r="J613" s="27"/>
    </row>
    <row r="614" spans="1:10">
      <c r="A614" s="27"/>
      <c r="B614" s="27"/>
      <c r="C614" s="27"/>
      <c r="D614" s="27"/>
      <c r="E614" s="27"/>
      <c r="F614" s="27"/>
      <c r="G614" s="27"/>
      <c r="H614" s="27"/>
      <c r="I614" s="27"/>
      <c r="J614" s="27"/>
    </row>
    <row r="615" spans="1:10">
      <c r="A615" s="27"/>
      <c r="B615" s="27"/>
      <c r="C615" s="27"/>
      <c r="D615" s="27"/>
      <c r="E615" s="27"/>
      <c r="F615" s="27"/>
      <c r="G615" s="27"/>
      <c r="H615" s="27"/>
      <c r="I615" s="27"/>
      <c r="J615" s="27"/>
    </row>
    <row r="616" spans="1:10">
      <c r="A616" s="27"/>
      <c r="B616" s="27"/>
      <c r="C616" s="27"/>
      <c r="D616" s="27"/>
      <c r="E616" s="27"/>
      <c r="F616" s="27"/>
      <c r="G616" s="27"/>
      <c r="H616" s="27"/>
      <c r="I616" s="27"/>
      <c r="J616" s="27"/>
    </row>
    <row r="617" spans="1:10">
      <c r="A617" s="27"/>
      <c r="B617" s="27"/>
      <c r="C617" s="27"/>
      <c r="D617" s="27"/>
      <c r="E617" s="27"/>
      <c r="F617" s="27"/>
      <c r="G617" s="27"/>
      <c r="H617" s="27"/>
      <c r="I617" s="27"/>
      <c r="J617" s="27"/>
    </row>
    <row r="618" spans="1:10">
      <c r="A618" s="27"/>
      <c r="B618" s="27"/>
      <c r="C618" s="27"/>
      <c r="D618" s="27"/>
      <c r="E618" s="27"/>
      <c r="F618" s="27"/>
      <c r="G618" s="27"/>
      <c r="H618" s="27"/>
      <c r="I618" s="27"/>
      <c r="J618" s="27"/>
    </row>
    <row r="619" spans="1:10">
      <c r="A619" s="27"/>
      <c r="B619" s="27"/>
      <c r="C619" s="27"/>
      <c r="D619" s="27"/>
      <c r="E619" s="27"/>
      <c r="F619" s="27"/>
      <c r="G619" s="27"/>
      <c r="H619" s="27"/>
      <c r="I619" s="27"/>
      <c r="J619" s="27"/>
    </row>
    <row r="620" spans="1:10">
      <c r="A620" s="27"/>
      <c r="B620" s="27"/>
      <c r="C620" s="27"/>
      <c r="D620" s="27"/>
      <c r="E620" s="27"/>
      <c r="F620" s="27"/>
      <c r="G620" s="27"/>
      <c r="H620" s="27"/>
      <c r="I620" s="27"/>
      <c r="J620" s="27"/>
    </row>
    <row r="621" spans="1:10">
      <c r="A621" s="27"/>
      <c r="B621" s="27"/>
      <c r="C621" s="27"/>
      <c r="D621" s="27"/>
      <c r="E621" s="27"/>
      <c r="F621" s="27"/>
      <c r="G621" s="27"/>
      <c r="H621" s="27"/>
      <c r="I621" s="27"/>
      <c r="J621" s="27"/>
    </row>
    <row r="622" spans="1:10">
      <c r="A622" s="27"/>
      <c r="B622" s="27"/>
      <c r="C622" s="27"/>
      <c r="D622" s="27"/>
      <c r="E622" s="27"/>
      <c r="F622" s="27"/>
      <c r="G622" s="27"/>
      <c r="H622" s="27"/>
      <c r="I622" s="27"/>
      <c r="J622" s="27"/>
    </row>
    <row r="623" spans="1:10">
      <c r="A623" s="27"/>
      <c r="B623" s="27"/>
      <c r="C623" s="27"/>
      <c r="D623" s="27"/>
      <c r="E623" s="27"/>
      <c r="F623" s="27"/>
      <c r="G623" s="27"/>
      <c r="H623" s="27"/>
      <c r="I623" s="27"/>
      <c r="J623" s="27"/>
    </row>
    <row r="624" spans="1:10">
      <c r="A624" s="27"/>
      <c r="B624" s="27"/>
      <c r="C624" s="27"/>
      <c r="D624" s="27"/>
      <c r="E624" s="27"/>
      <c r="F624" s="27"/>
      <c r="G624" s="27"/>
      <c r="H624" s="27"/>
      <c r="I624" s="27"/>
      <c r="J624" s="27"/>
    </row>
    <row r="625" spans="1:10">
      <c r="A625" s="27"/>
      <c r="B625" s="27"/>
      <c r="C625" s="27"/>
      <c r="D625" s="27"/>
      <c r="E625" s="27"/>
      <c r="F625" s="27"/>
      <c r="G625" s="27"/>
      <c r="H625" s="27"/>
      <c r="I625" s="27"/>
      <c r="J625" s="27"/>
    </row>
    <row r="626" spans="1:10">
      <c r="A626" s="27"/>
      <c r="B626" s="27"/>
      <c r="C626" s="27"/>
      <c r="D626" s="27"/>
      <c r="E626" s="27"/>
      <c r="F626" s="27"/>
      <c r="G626" s="27"/>
      <c r="H626" s="27"/>
      <c r="I626" s="27"/>
      <c r="J626" s="27"/>
    </row>
    <row r="627" spans="1:10">
      <c r="A627" s="27"/>
      <c r="B627" s="27"/>
      <c r="C627" s="27"/>
      <c r="D627" s="27"/>
      <c r="E627" s="27"/>
      <c r="F627" s="27"/>
      <c r="G627" s="27"/>
      <c r="H627" s="27"/>
      <c r="I627" s="27"/>
      <c r="J627" s="27"/>
    </row>
    <row r="628" spans="1:10">
      <c r="A628" s="27"/>
      <c r="B628" s="27"/>
      <c r="C628" s="27"/>
      <c r="D628" s="27"/>
      <c r="E628" s="27"/>
      <c r="F628" s="27"/>
      <c r="G628" s="27"/>
      <c r="H628" s="27"/>
      <c r="I628" s="27"/>
      <c r="J628" s="27"/>
    </row>
    <row r="629" spans="1:10">
      <c r="A629" s="27"/>
      <c r="B629" s="27"/>
      <c r="C629" s="27"/>
      <c r="D629" s="27"/>
      <c r="E629" s="27"/>
      <c r="F629" s="27"/>
      <c r="G629" s="27"/>
      <c r="H629" s="27"/>
      <c r="I629" s="27"/>
      <c r="J629" s="27"/>
    </row>
    <row r="630" spans="1:10">
      <c r="A630" s="27"/>
      <c r="B630" s="27"/>
      <c r="C630" s="27"/>
      <c r="D630" s="27"/>
      <c r="E630" s="27"/>
      <c r="F630" s="27"/>
      <c r="G630" s="27"/>
      <c r="H630" s="27"/>
      <c r="I630" s="27"/>
      <c r="J630" s="27"/>
    </row>
    <row r="631" spans="1:10">
      <c r="A631" s="27"/>
      <c r="B631" s="27"/>
      <c r="C631" s="27"/>
      <c r="D631" s="27"/>
      <c r="E631" s="27"/>
      <c r="F631" s="27"/>
      <c r="G631" s="27"/>
      <c r="H631" s="27"/>
      <c r="I631" s="27"/>
      <c r="J631" s="27"/>
    </row>
    <row r="632" spans="1:10">
      <c r="A632" s="27"/>
      <c r="B632" s="27"/>
      <c r="C632" s="27"/>
      <c r="D632" s="27"/>
      <c r="E632" s="27"/>
      <c r="F632" s="27"/>
      <c r="G632" s="27"/>
      <c r="H632" s="27"/>
      <c r="I632" s="27"/>
      <c r="J632" s="27"/>
    </row>
    <row r="633" spans="1:10">
      <c r="A633" s="27"/>
      <c r="B633" s="27"/>
      <c r="C633" s="27"/>
      <c r="D633" s="27"/>
      <c r="E633" s="27"/>
      <c r="F633" s="27"/>
      <c r="G633" s="27"/>
      <c r="H633" s="27"/>
      <c r="I633" s="27"/>
      <c r="J633" s="27"/>
    </row>
    <row r="634" spans="1:10">
      <c r="A634" s="27"/>
      <c r="B634" s="27"/>
      <c r="C634" s="27"/>
      <c r="D634" s="27"/>
      <c r="E634" s="27"/>
      <c r="F634" s="27"/>
      <c r="G634" s="27"/>
      <c r="H634" s="27"/>
      <c r="I634" s="27"/>
      <c r="J634" s="27"/>
    </row>
    <row r="635" spans="1:10">
      <c r="A635" s="27"/>
      <c r="B635" s="27"/>
      <c r="C635" s="27"/>
      <c r="D635" s="27"/>
      <c r="E635" s="27"/>
      <c r="F635" s="27"/>
      <c r="G635" s="27"/>
      <c r="H635" s="27"/>
      <c r="I635" s="27"/>
      <c r="J635" s="27"/>
    </row>
    <row r="636" spans="1:10">
      <c r="A636" s="27"/>
      <c r="B636" s="27"/>
      <c r="C636" s="27"/>
      <c r="D636" s="27"/>
      <c r="E636" s="27"/>
      <c r="F636" s="27"/>
      <c r="G636" s="27"/>
      <c r="H636" s="27"/>
      <c r="I636" s="27"/>
      <c r="J636" s="27"/>
    </row>
    <row r="637" spans="1:10">
      <c r="A637" s="27"/>
      <c r="B637" s="27"/>
      <c r="C637" s="27"/>
      <c r="D637" s="27"/>
      <c r="E637" s="27"/>
      <c r="F637" s="27"/>
      <c r="G637" s="27"/>
      <c r="H637" s="27"/>
      <c r="I637" s="27"/>
      <c r="J637" s="27"/>
    </row>
    <row r="638" spans="1:10">
      <c r="A638" s="27"/>
      <c r="B638" s="27"/>
      <c r="C638" s="27"/>
      <c r="D638" s="27"/>
      <c r="E638" s="27"/>
      <c r="F638" s="27"/>
      <c r="G638" s="27"/>
      <c r="H638" s="27"/>
      <c r="I638" s="27"/>
      <c r="J638" s="27"/>
    </row>
    <row r="639" spans="1:10">
      <c r="A639" s="27"/>
      <c r="B639" s="27"/>
      <c r="C639" s="27"/>
      <c r="D639" s="27"/>
      <c r="E639" s="27"/>
      <c r="F639" s="27"/>
      <c r="G639" s="27"/>
      <c r="H639" s="27"/>
      <c r="I639" s="27"/>
      <c r="J639" s="27"/>
    </row>
    <row r="640" spans="1:10">
      <c r="A640" s="27"/>
      <c r="B640" s="27"/>
      <c r="C640" s="27"/>
      <c r="D640" s="27"/>
      <c r="E640" s="27"/>
      <c r="F640" s="27"/>
      <c r="G640" s="27"/>
      <c r="H640" s="27"/>
      <c r="I640" s="27"/>
      <c r="J640" s="27"/>
    </row>
    <row r="641" spans="1:10">
      <c r="A641" s="27"/>
      <c r="B641" s="27"/>
      <c r="C641" s="27"/>
      <c r="D641" s="27"/>
      <c r="E641" s="27"/>
      <c r="F641" s="27"/>
      <c r="G641" s="27"/>
      <c r="H641" s="27"/>
      <c r="I641" s="27"/>
      <c r="J641" s="27"/>
    </row>
    <row r="642" spans="1:10">
      <c r="A642" s="27"/>
      <c r="B642" s="27"/>
      <c r="C642" s="27"/>
      <c r="D642" s="27"/>
      <c r="E642" s="27"/>
      <c r="F642" s="27"/>
      <c r="G642" s="27"/>
      <c r="H642" s="27"/>
      <c r="I642" s="27"/>
      <c r="J642" s="27"/>
    </row>
    <row r="643" spans="1:10">
      <c r="A643" s="27"/>
      <c r="B643" s="27"/>
      <c r="C643" s="27"/>
      <c r="D643" s="27"/>
      <c r="E643" s="27"/>
      <c r="F643" s="27"/>
      <c r="G643" s="27"/>
      <c r="H643" s="27"/>
      <c r="I643" s="27"/>
      <c r="J643" s="27"/>
    </row>
    <row r="644" spans="1:10">
      <c r="A644" s="27"/>
      <c r="B644" s="27"/>
      <c r="C644" s="27"/>
      <c r="D644" s="27"/>
      <c r="E644" s="27"/>
      <c r="F644" s="27"/>
      <c r="G644" s="27"/>
      <c r="H644" s="27"/>
      <c r="I644" s="27"/>
      <c r="J644" s="27"/>
    </row>
    <row r="645" spans="1:10">
      <c r="A645" s="27"/>
      <c r="B645" s="27"/>
      <c r="C645" s="27"/>
      <c r="D645" s="27"/>
      <c r="E645" s="27"/>
      <c r="F645" s="27"/>
      <c r="G645" s="27"/>
      <c r="H645" s="27"/>
      <c r="I645" s="27"/>
      <c r="J645" s="27"/>
    </row>
    <row r="646" spans="1:10">
      <c r="A646" s="27"/>
      <c r="B646" s="27"/>
      <c r="C646" s="27"/>
      <c r="D646" s="27"/>
      <c r="E646" s="27"/>
      <c r="F646" s="27"/>
      <c r="G646" s="27"/>
      <c r="H646" s="27"/>
      <c r="I646" s="27"/>
      <c r="J646" s="27"/>
    </row>
    <row r="647" spans="1:10">
      <c r="A647" s="27"/>
      <c r="B647" s="27"/>
      <c r="C647" s="27"/>
      <c r="D647" s="27"/>
      <c r="E647" s="27"/>
      <c r="F647" s="27"/>
      <c r="G647" s="27"/>
      <c r="H647" s="27"/>
      <c r="I647" s="27"/>
      <c r="J647" s="27"/>
    </row>
    <row r="648" spans="1:10">
      <c r="A648" s="27"/>
      <c r="B648" s="27"/>
      <c r="C648" s="27"/>
      <c r="D648" s="27"/>
      <c r="E648" s="27"/>
      <c r="F648" s="27"/>
      <c r="G648" s="27"/>
      <c r="H648" s="27"/>
      <c r="I648" s="27"/>
      <c r="J648" s="27"/>
    </row>
    <row r="649" spans="1:10">
      <c r="A649" s="27"/>
      <c r="B649" s="27"/>
      <c r="C649" s="27"/>
      <c r="D649" s="27"/>
      <c r="E649" s="27"/>
      <c r="F649" s="27"/>
      <c r="G649" s="27"/>
      <c r="H649" s="27"/>
      <c r="I649" s="27"/>
      <c r="J649" s="27"/>
    </row>
    <row r="650" spans="1:10">
      <c r="A650" s="27"/>
      <c r="B650" s="27"/>
      <c r="C650" s="27"/>
      <c r="D650" s="27"/>
      <c r="E650" s="27"/>
      <c r="F650" s="27"/>
      <c r="G650" s="27"/>
      <c r="H650" s="27"/>
      <c r="I650" s="27"/>
      <c r="J650" s="27"/>
    </row>
    <row r="651" spans="1:10">
      <c r="A651" s="27"/>
      <c r="B651" s="27"/>
      <c r="C651" s="27"/>
      <c r="D651" s="27"/>
      <c r="E651" s="27"/>
      <c r="F651" s="27"/>
      <c r="G651" s="27"/>
      <c r="H651" s="27"/>
      <c r="I651" s="27"/>
      <c r="J651" s="27"/>
    </row>
    <row r="652" spans="1:10">
      <c r="A652" s="27"/>
      <c r="B652" s="27"/>
      <c r="C652" s="27"/>
      <c r="D652" s="27"/>
      <c r="E652" s="27"/>
      <c r="F652" s="27"/>
      <c r="G652" s="27"/>
      <c r="H652" s="27"/>
      <c r="I652" s="27"/>
      <c r="J652" s="27"/>
    </row>
    <row r="653" spans="1:10">
      <c r="A653" s="27"/>
      <c r="B653" s="27"/>
      <c r="C653" s="27"/>
      <c r="D653" s="27"/>
      <c r="E653" s="27"/>
      <c r="F653" s="27"/>
      <c r="G653" s="27"/>
      <c r="H653" s="27"/>
      <c r="I653" s="27"/>
      <c r="J653" s="27"/>
    </row>
    <row r="654" spans="1:10">
      <c r="A654" s="27"/>
      <c r="B654" s="27"/>
      <c r="C654" s="27"/>
      <c r="D654" s="27"/>
      <c r="E654" s="27"/>
      <c r="F654" s="27"/>
      <c r="G654" s="27"/>
      <c r="H654" s="27"/>
      <c r="I654" s="27"/>
      <c r="J654" s="27"/>
    </row>
    <row r="655" spans="1:10">
      <c r="A655" s="27"/>
      <c r="B655" s="27"/>
      <c r="C655" s="27"/>
      <c r="D655" s="27"/>
      <c r="E655" s="27"/>
      <c r="F655" s="27"/>
      <c r="G655" s="27"/>
      <c r="H655" s="27"/>
      <c r="I655" s="27"/>
      <c r="J655" s="27"/>
    </row>
    <row r="656" spans="1:10">
      <c r="A656" s="27"/>
      <c r="B656" s="27"/>
      <c r="C656" s="27"/>
      <c r="D656" s="27"/>
      <c r="E656" s="27"/>
      <c r="F656" s="27"/>
      <c r="G656" s="27"/>
      <c r="H656" s="27"/>
      <c r="I656" s="27"/>
      <c r="J656" s="27"/>
    </row>
    <row r="657" spans="1:10">
      <c r="A657" s="27"/>
      <c r="B657" s="27"/>
      <c r="C657" s="27"/>
      <c r="D657" s="27"/>
      <c r="E657" s="27"/>
      <c r="F657" s="27"/>
      <c r="G657" s="27"/>
      <c r="H657" s="27"/>
      <c r="I657" s="27"/>
      <c r="J657" s="27"/>
    </row>
    <row r="658" spans="1:10">
      <c r="A658" s="27"/>
      <c r="B658" s="27"/>
      <c r="C658" s="27"/>
      <c r="D658" s="27"/>
      <c r="E658" s="27"/>
      <c r="F658" s="27"/>
      <c r="G658" s="27"/>
      <c r="H658" s="27"/>
      <c r="I658" s="27"/>
      <c r="J658" s="27"/>
    </row>
  </sheetData>
  <sortState ref="D3:D24">
    <sortCondition ref="D3:D24"/>
  </sortState>
  <mergeCells count="1">
    <mergeCell ref="A1:I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0"/>
  <sheetViews>
    <sheetView zoomScaleNormal="100" workbookViewId="0">
      <pane ySplit="6" topLeftCell="A7" activePane="bottomLeft" state="frozen"/>
      <selection pane="bottomLeft" activeCell="H9" sqref="H9"/>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24" t="s">
        <v>852</v>
      </c>
      <c r="B1" s="1025"/>
      <c r="C1" s="1025"/>
      <c r="D1" s="1025"/>
      <c r="E1" s="1025"/>
      <c r="F1" s="1025"/>
      <c r="G1" s="1025"/>
      <c r="H1" s="1188"/>
      <c r="I1" s="253"/>
      <c r="J1" s="253"/>
      <c r="K1" s="411" t="s">
        <v>761</v>
      </c>
      <c r="L1" s="252">
        <f>SUM(G7:G10)</f>
        <v>35</v>
      </c>
      <c r="M1" s="253" t="s">
        <v>87</v>
      </c>
    </row>
    <row r="2" spans="1:26" ht="18">
      <c r="A2" s="1027"/>
      <c r="B2" s="1028"/>
      <c r="C2" s="1028"/>
      <c r="D2" s="1028"/>
      <c r="E2" s="1028"/>
      <c r="F2" s="1028"/>
      <c r="G2" s="1028"/>
      <c r="H2" s="1189"/>
      <c r="J2" s="311"/>
      <c r="K2" s="412" t="s">
        <v>654</v>
      </c>
      <c r="L2" s="252">
        <f>SUM(H7:H10)</f>
        <v>28</v>
      </c>
      <c r="M2" s="253" t="s">
        <v>607</v>
      </c>
    </row>
    <row r="3" spans="1:26" ht="16.5" thickBot="1">
      <c r="A3" s="1030"/>
      <c r="B3" s="1031"/>
      <c r="C3" s="1031"/>
      <c r="D3" s="1031"/>
      <c r="E3" s="1031"/>
      <c r="F3" s="1031"/>
      <c r="G3" s="1031"/>
      <c r="H3" s="1190"/>
      <c r="I3" s="16"/>
      <c r="L3" s="7"/>
      <c r="M3" s="7"/>
      <c r="N3" s="7"/>
      <c r="O3" s="7"/>
      <c r="P3" s="7"/>
      <c r="Q3" s="7"/>
      <c r="R3" s="7"/>
      <c r="S3" s="7"/>
      <c r="T3" s="7"/>
      <c r="U3" s="7"/>
      <c r="V3" s="7"/>
      <c r="W3" s="7"/>
      <c r="X3" s="7"/>
      <c r="Y3" s="7"/>
      <c r="Z3" s="7"/>
    </row>
    <row r="4" spans="1:26" ht="15.75">
      <c r="A4" s="43"/>
      <c r="B4" s="45"/>
      <c r="C4" s="44" t="s">
        <v>204</v>
      </c>
      <c r="D4" s="45"/>
      <c r="E4" s="46"/>
      <c r="F4" s="44"/>
      <c r="G4" s="45"/>
      <c r="H4" s="206"/>
      <c r="I4" s="4" t="s">
        <v>604</v>
      </c>
      <c r="J4" s="4" t="s">
        <v>604</v>
      </c>
      <c r="K4" s="4" t="s">
        <v>604</v>
      </c>
      <c r="L4" s="81"/>
      <c r="O4" s="80"/>
      <c r="U4" s="80"/>
      <c r="Y4" s="80"/>
    </row>
    <row r="5" spans="1:26" ht="15.75">
      <c r="A5" s="47" t="s">
        <v>180</v>
      </c>
      <c r="B5" s="48"/>
      <c r="C5" s="48" t="s">
        <v>137</v>
      </c>
      <c r="D5" s="48"/>
      <c r="E5" s="48"/>
      <c r="F5" s="48" t="s">
        <v>183</v>
      </c>
      <c r="G5" s="48" t="s">
        <v>184</v>
      </c>
      <c r="H5" s="207" t="s">
        <v>540</v>
      </c>
      <c r="I5" s="4" t="s">
        <v>605</v>
      </c>
      <c r="J5" s="4" t="s">
        <v>605</v>
      </c>
      <c r="K5" s="4" t="s">
        <v>605</v>
      </c>
      <c r="L5" s="81"/>
      <c r="M5" s="250"/>
      <c r="O5" s="80"/>
      <c r="Q5" s="250"/>
      <c r="U5" s="80"/>
      <c r="Y5" s="80"/>
    </row>
    <row r="6" spans="1:26" ht="16.5" thickBot="1">
      <c r="A6" s="49" t="s">
        <v>181</v>
      </c>
      <c r="B6" s="50" t="s">
        <v>136</v>
      </c>
      <c r="C6" s="51" t="s">
        <v>138</v>
      </c>
      <c r="D6" s="50" t="s">
        <v>139</v>
      </c>
      <c r="E6" s="50" t="s">
        <v>140</v>
      </c>
      <c r="F6" s="51" t="s">
        <v>141</v>
      </c>
      <c r="G6" s="51" t="s">
        <v>142</v>
      </c>
      <c r="H6" s="208" t="s">
        <v>587</v>
      </c>
      <c r="I6" s="4" t="s">
        <v>602</v>
      </c>
      <c r="J6" s="249" t="s">
        <v>603</v>
      </c>
      <c r="K6" s="249" t="s">
        <v>651</v>
      </c>
      <c r="L6" s="81"/>
      <c r="O6" s="80"/>
      <c r="P6" s="1"/>
      <c r="Q6" s="251"/>
      <c r="R6" s="1"/>
      <c r="X6" s="1"/>
      <c r="Y6" s="32"/>
      <c r="Z6" s="1"/>
    </row>
    <row r="7" spans="1:26" ht="15.75" thickTop="1">
      <c r="A7" s="621">
        <v>1</v>
      </c>
      <c r="B7" s="622">
        <v>17266</v>
      </c>
      <c r="C7" s="623">
        <v>0.78819444444444453</v>
      </c>
      <c r="D7" s="624" t="s">
        <v>111</v>
      </c>
      <c r="E7" s="625" t="s">
        <v>788</v>
      </c>
      <c r="F7" s="626">
        <v>1408</v>
      </c>
      <c r="G7" s="626">
        <v>35</v>
      </c>
      <c r="H7" s="837">
        <f>+(F7/1760)*G7</f>
        <v>28</v>
      </c>
      <c r="I7" s="1">
        <f>LN(F7)</f>
        <v>7.2499255367179876</v>
      </c>
      <c r="J7" s="1">
        <f>LN(G7)</f>
        <v>3.5553480614894135</v>
      </c>
      <c r="K7" s="1">
        <f>LN(H7)</f>
        <v>3.3322045101752038</v>
      </c>
    </row>
    <row r="8" spans="1:26">
      <c r="A8" s="787"/>
      <c r="B8" s="71"/>
      <c r="C8" s="71"/>
      <c r="D8" s="71"/>
      <c r="E8" s="668" t="s">
        <v>189</v>
      </c>
      <c r="F8" s="71"/>
      <c r="G8" s="71"/>
      <c r="H8" s="838">
        <f>+(F8/1760)*G8</f>
        <v>0</v>
      </c>
      <c r="I8" s="1" t="e">
        <f t="shared" ref="I8:J10" si="0">LN(F8)</f>
        <v>#NUM!</v>
      </c>
      <c r="J8" s="1" t="e">
        <f t="shared" si="0"/>
        <v>#NUM!</v>
      </c>
      <c r="K8" s="1" t="e">
        <f>LN(H8)</f>
        <v>#NUM!</v>
      </c>
    </row>
    <row r="9" spans="1:26">
      <c r="A9" s="787"/>
      <c r="B9" s="71"/>
      <c r="C9" s="71"/>
      <c r="D9" s="71"/>
      <c r="E9" s="668" t="s">
        <v>189</v>
      </c>
      <c r="F9" s="71"/>
      <c r="G9" s="71"/>
      <c r="H9" s="838">
        <f>+(F9/1760)*G9</f>
        <v>0</v>
      </c>
      <c r="I9" s="1" t="e">
        <f t="shared" si="0"/>
        <v>#NUM!</v>
      </c>
      <c r="J9" s="1" t="e">
        <f t="shared" si="0"/>
        <v>#NUM!</v>
      </c>
      <c r="K9" s="1" t="e">
        <f>LN(H9)</f>
        <v>#NUM!</v>
      </c>
    </row>
    <row r="10" spans="1:26">
      <c r="A10" s="787"/>
      <c r="B10" s="71"/>
      <c r="C10" s="71"/>
      <c r="D10" s="71"/>
      <c r="E10" s="668" t="s">
        <v>189</v>
      </c>
      <c r="F10" s="71"/>
      <c r="G10" s="71"/>
      <c r="H10" s="838">
        <f>+(F10/1760)*G10</f>
        <v>0</v>
      </c>
      <c r="I10" s="1" t="e">
        <f t="shared" si="0"/>
        <v>#NUM!</v>
      </c>
      <c r="J10" s="1" t="e">
        <f t="shared" si="0"/>
        <v>#NUM!</v>
      </c>
      <c r="K10" s="1" t="e">
        <f>LN(H10)</f>
        <v>#NUM!</v>
      </c>
    </row>
    <row r="11" spans="1:26">
      <c r="A11" s="427"/>
      <c r="B11" s="427"/>
      <c r="C11" s="427"/>
      <c r="D11" s="427"/>
      <c r="E11" s="428"/>
      <c r="F11" s="427"/>
      <c r="G11" s="427"/>
      <c r="H11" s="429"/>
      <c r="I11" s="1"/>
      <c r="J11" s="1"/>
      <c r="K11" s="1"/>
    </row>
    <row r="12" spans="1:26">
      <c r="E12" s="430"/>
      <c r="H12" s="431"/>
      <c r="I12" s="1"/>
      <c r="J12" s="1"/>
      <c r="K12" s="1"/>
    </row>
    <row r="13" spans="1:26">
      <c r="B13" s="1" t="s">
        <v>790</v>
      </c>
      <c r="E13" s="430"/>
      <c r="H13" s="431"/>
      <c r="I13" s="1"/>
      <c r="J13" s="1"/>
      <c r="K13" s="1"/>
    </row>
    <row r="14" spans="1:26">
      <c r="B14" s="1" t="s">
        <v>789</v>
      </c>
      <c r="E14" s="430"/>
      <c r="H14" s="431"/>
      <c r="I14" s="1"/>
      <c r="J14" s="1"/>
      <c r="K14" s="1"/>
      <c r="L14" s="1"/>
    </row>
    <row r="15" spans="1:26">
      <c r="E15" s="430"/>
      <c r="H15" s="431"/>
      <c r="I15" s="1"/>
      <c r="J15" s="1"/>
      <c r="K15" s="1"/>
    </row>
    <row r="16" spans="1:26">
      <c r="E16" s="430"/>
      <c r="H16" s="431"/>
      <c r="I16" s="1"/>
      <c r="J16" s="1"/>
      <c r="K16" s="1"/>
    </row>
    <row r="17" spans="5:11">
      <c r="E17" s="430"/>
      <c r="H17" s="431"/>
      <c r="I17" s="1"/>
      <c r="J17" s="1"/>
      <c r="K17" s="1"/>
    </row>
    <row r="18" spans="5:11">
      <c r="E18" s="430"/>
      <c r="H18" s="431"/>
      <c r="I18" s="1"/>
      <c r="J18" s="1"/>
      <c r="K18" s="1"/>
    </row>
    <row r="19" spans="5:11">
      <c r="E19" s="430"/>
      <c r="H19" s="431"/>
      <c r="I19" s="1"/>
      <c r="J19" s="1"/>
      <c r="K19" s="1"/>
    </row>
    <row r="20" spans="5:11">
      <c r="E20" s="430"/>
      <c r="H20" s="431"/>
      <c r="I20" s="1"/>
      <c r="J20" s="1"/>
      <c r="K20" s="1"/>
    </row>
  </sheetData>
  <customSheetViews>
    <customSheetView guid="{CFA9FB8A-52FF-44B9-AE70-27339693E196}" scale="90" topLeftCell="D1">
      <pane ySplit="6" topLeftCell="A7" activePane="bottomLeft" state="frozen"/>
      <selection pane="bottomLeft" activeCell="K2" sqref="K2"/>
      <pageMargins left="0.75" right="0.75" top="1" bottom="1" header="0.5" footer="0.5"/>
      <headerFooter alignWithMargins="0"/>
    </customSheetView>
  </customSheetViews>
  <mergeCells count="1">
    <mergeCell ref="A1:H3"/>
  </mergeCells>
  <phoneticPr fontId="18" type="noConversion"/>
  <dataValidations count="1">
    <dataValidation type="list" allowBlank="1" showInputMessage="1" showErrorMessage="1" sqref="D8:D10">
      <formula1>counties</formula1>
    </dataValidation>
  </dataValidations>
  <printOptions horizontalCentered="1"/>
  <pageMargins left="0.75" right="0.75" top="1.25" bottom="0.5" header="0.5" footer="0"/>
  <pageSetup scale="74" firstPageNumber="172" orientation="landscape" useFirstPageNumber="1" r:id="rId1"/>
  <headerFooter scaleWithDoc="0">
    <oddFooter>&amp;CPage &amp;P of 172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9"/>
  <sheetViews>
    <sheetView workbookViewId="0">
      <pane xSplit="1" ySplit="2" topLeftCell="B12" activePane="bottomRight" state="frozen"/>
      <selection pane="topRight" activeCell="B1" sqref="B1"/>
      <selection pane="bottomLeft" activeCell="A3" sqref="A3"/>
      <selection pane="bottomRight" activeCell="B1" sqref="B1"/>
    </sheetView>
  </sheetViews>
  <sheetFormatPr defaultColWidth="0" defaultRowHeight="15" zeroHeight="1"/>
  <cols>
    <col min="1" max="1" width="8.88671875" customWidth="1"/>
    <col min="2" max="2" width="104.21875" customWidth="1"/>
    <col min="3" max="3" width="8.88671875" customWidth="1"/>
  </cols>
  <sheetData>
    <row r="1" spans="2:2"/>
    <row r="2" spans="2:2" ht="30" customHeight="1">
      <c r="B2" s="647" t="s">
        <v>911</v>
      </c>
    </row>
    <row r="3" spans="2:2"/>
    <row r="4" spans="2:2" ht="75" customHeight="1">
      <c r="B4" s="593" t="s">
        <v>1394</v>
      </c>
    </row>
    <row r="5" spans="2:2" ht="92.45" customHeight="1">
      <c r="B5" s="593" t="s">
        <v>1396</v>
      </c>
    </row>
    <row r="6" spans="2:2" ht="105" customHeight="1">
      <c r="B6" s="593" t="s">
        <v>1395</v>
      </c>
    </row>
    <row r="7" spans="2:2" ht="92.1" customHeight="1">
      <c r="B7" s="593" t="s">
        <v>1398</v>
      </c>
    </row>
    <row r="8" spans="2:2" ht="105" customHeight="1">
      <c r="B8" s="593" t="s">
        <v>1397</v>
      </c>
    </row>
    <row r="9" spans="2:2" ht="78" customHeight="1">
      <c r="B9" s="593" t="s">
        <v>1399</v>
      </c>
    </row>
    <row r="10" spans="2:2" ht="105" customHeight="1">
      <c r="B10" s="593" t="s">
        <v>1469</v>
      </c>
    </row>
    <row r="11" spans="2:2" ht="120" customHeight="1">
      <c r="B11" s="594" t="s">
        <v>952</v>
      </c>
    </row>
    <row r="12" spans="2:2" ht="90" customHeight="1">
      <c r="B12" s="594" t="s">
        <v>1468</v>
      </c>
    </row>
    <row r="13" spans="2:2" ht="150" customHeight="1">
      <c r="B13" s="594" t="s">
        <v>1050</v>
      </c>
    </row>
    <row r="14" spans="2:2" s="219" customFormat="1" ht="45" customHeight="1">
      <c r="B14" s="36" t="s">
        <v>953</v>
      </c>
    </row>
    <row r="15" spans="2:2" s="219" customFormat="1" ht="78" customHeight="1">
      <c r="B15" s="648" t="s">
        <v>1474</v>
      </c>
    </row>
    <row r="16" spans="2:2" s="219" customFormat="1" ht="108" customHeight="1">
      <c r="B16" s="648" t="s">
        <v>1475</v>
      </c>
    </row>
    <row r="17" spans="2:2" s="219" customFormat="1"/>
    <row r="18" spans="2:2" s="219" customFormat="1" ht="15" customHeight="1">
      <c r="B18" s="219" t="s">
        <v>0</v>
      </c>
    </row>
    <row r="19" spans="2:2" s="219" customFormat="1"/>
    <row r="20" spans="2:2" s="219" customFormat="1"/>
    <row r="21" spans="2:2" s="219" customFormat="1"/>
    <row r="22" spans="2:2" s="219" customFormat="1"/>
    <row r="23" spans="2:2" s="219" customFormat="1"/>
    <row r="24" spans="2:2" s="219" customFormat="1"/>
    <row r="25" spans="2:2" s="219" customFormat="1"/>
    <row r="26" spans="2:2" s="219" customFormat="1"/>
    <row r="27" spans="2:2" s="219" customFormat="1"/>
    <row r="28" spans="2:2" s="219" customFormat="1"/>
    <row r="29" spans="2:2" s="219" customFormat="1"/>
  </sheetData>
  <printOptions horizontalCentered="1"/>
  <pageMargins left="0.7" right="0.7" top="1.25" bottom="0.5" header="0.3" footer="0"/>
  <pageSetup orientation="landscape" r:id="rId1"/>
  <headerFooter scaleWithDoc="0">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D83"/>
  <sheetViews>
    <sheetView workbookViewId="0">
      <pane ySplit="3" topLeftCell="A68" activePane="bottomLeft" state="frozen"/>
      <selection pane="bottomLeft" activeCell="E80" sqref="E80"/>
    </sheetView>
  </sheetViews>
  <sheetFormatPr defaultColWidth="0" defaultRowHeight="15" zeroHeight="1"/>
  <cols>
    <col min="1" max="1" width="2.77734375" customWidth="1"/>
    <col min="2" max="3" width="8.88671875" customWidth="1"/>
    <col min="4" max="4" width="11" customWidth="1"/>
    <col min="5" max="5" width="8.88671875" customWidth="1"/>
    <col min="6" max="6" width="2.77734375" customWidth="1"/>
  </cols>
  <sheetData>
    <row r="1" spans="3:4" ht="15.75" thickBot="1"/>
    <row r="2" spans="3:4" ht="16.5" thickTop="1">
      <c r="C2" s="513"/>
      <c r="D2" s="514" t="s">
        <v>198</v>
      </c>
    </row>
    <row r="3" spans="3:4" ht="16.5" thickBot="1">
      <c r="C3" s="515" t="s">
        <v>96</v>
      </c>
      <c r="D3" s="516" t="s">
        <v>199</v>
      </c>
    </row>
    <row r="4" spans="3:4" ht="15.75" thickTop="1">
      <c r="C4" s="256">
        <v>1950</v>
      </c>
      <c r="D4" s="466">
        <v>1</v>
      </c>
    </row>
    <row r="5" spans="3:4">
      <c r="C5" s="256">
        <f>+C4+1</f>
        <v>1951</v>
      </c>
      <c r="D5" s="466">
        <f t="shared" ref="D5:D66" si="0">D4+1</f>
        <v>2</v>
      </c>
    </row>
    <row r="6" spans="3:4">
      <c r="C6" s="256">
        <f t="shared" ref="C6:C69" si="1">+C5+1</f>
        <v>1952</v>
      </c>
      <c r="D6" s="466">
        <f t="shared" si="0"/>
        <v>3</v>
      </c>
    </row>
    <row r="7" spans="3:4">
      <c r="C7" s="256">
        <f t="shared" si="1"/>
        <v>1953</v>
      </c>
      <c r="D7" s="466">
        <f t="shared" si="0"/>
        <v>4</v>
      </c>
    </row>
    <row r="8" spans="3:4">
      <c r="C8" s="256">
        <f t="shared" si="1"/>
        <v>1954</v>
      </c>
      <c r="D8" s="466">
        <f t="shared" si="0"/>
        <v>5</v>
      </c>
    </row>
    <row r="9" spans="3:4">
      <c r="C9" s="256">
        <f t="shared" si="1"/>
        <v>1955</v>
      </c>
      <c r="D9" s="466">
        <f t="shared" si="0"/>
        <v>6</v>
      </c>
    </row>
    <row r="10" spans="3:4">
      <c r="C10" s="256">
        <f t="shared" si="1"/>
        <v>1956</v>
      </c>
      <c r="D10" s="466">
        <f t="shared" si="0"/>
        <v>7</v>
      </c>
    </row>
    <row r="11" spans="3:4">
      <c r="C11" s="256">
        <f t="shared" si="1"/>
        <v>1957</v>
      </c>
      <c r="D11" s="466">
        <f t="shared" si="0"/>
        <v>8</v>
      </c>
    </row>
    <row r="12" spans="3:4">
      <c r="C12" s="256">
        <f t="shared" si="1"/>
        <v>1958</v>
      </c>
      <c r="D12" s="466">
        <f t="shared" si="0"/>
        <v>9</v>
      </c>
    </row>
    <row r="13" spans="3:4">
      <c r="C13" s="256">
        <f t="shared" si="1"/>
        <v>1959</v>
      </c>
      <c r="D13" s="466">
        <f t="shared" si="0"/>
        <v>10</v>
      </c>
    </row>
    <row r="14" spans="3:4">
      <c r="C14" s="256">
        <f t="shared" si="1"/>
        <v>1960</v>
      </c>
      <c r="D14" s="466">
        <f t="shared" si="0"/>
        <v>11</v>
      </c>
    </row>
    <row r="15" spans="3:4">
      <c r="C15" s="256">
        <f t="shared" si="1"/>
        <v>1961</v>
      </c>
      <c r="D15" s="466">
        <f t="shared" si="0"/>
        <v>12</v>
      </c>
    </row>
    <row r="16" spans="3:4">
      <c r="C16" s="256">
        <f t="shared" si="1"/>
        <v>1962</v>
      </c>
      <c r="D16" s="466">
        <f t="shared" si="0"/>
        <v>13</v>
      </c>
    </row>
    <row r="17" spans="3:4">
      <c r="C17" s="256">
        <f t="shared" si="1"/>
        <v>1963</v>
      </c>
      <c r="D17" s="466">
        <f t="shared" si="0"/>
        <v>14</v>
      </c>
    </row>
    <row r="18" spans="3:4">
      <c r="C18" s="256">
        <f t="shared" si="1"/>
        <v>1964</v>
      </c>
      <c r="D18" s="466">
        <f t="shared" si="0"/>
        <v>15</v>
      </c>
    </row>
    <row r="19" spans="3:4">
      <c r="C19" s="256">
        <f t="shared" si="1"/>
        <v>1965</v>
      </c>
      <c r="D19" s="466">
        <f t="shared" si="0"/>
        <v>16</v>
      </c>
    </row>
    <row r="20" spans="3:4">
      <c r="C20" s="256">
        <f t="shared" si="1"/>
        <v>1966</v>
      </c>
      <c r="D20" s="466">
        <f t="shared" si="0"/>
        <v>17</v>
      </c>
    </row>
    <row r="21" spans="3:4">
      <c r="C21" s="256">
        <f t="shared" si="1"/>
        <v>1967</v>
      </c>
      <c r="D21" s="466">
        <f t="shared" si="0"/>
        <v>18</v>
      </c>
    </row>
    <row r="22" spans="3:4">
      <c r="C22" s="256">
        <f t="shared" si="1"/>
        <v>1968</v>
      </c>
      <c r="D22" s="466">
        <f t="shared" si="0"/>
        <v>19</v>
      </c>
    </row>
    <row r="23" spans="3:4">
      <c r="C23" s="256">
        <f t="shared" si="1"/>
        <v>1969</v>
      </c>
      <c r="D23" s="466">
        <f t="shared" si="0"/>
        <v>20</v>
      </c>
    </row>
    <row r="24" spans="3:4">
      <c r="C24" s="256">
        <f t="shared" si="1"/>
        <v>1970</v>
      </c>
      <c r="D24" s="466">
        <f t="shared" si="0"/>
        <v>21</v>
      </c>
    </row>
    <row r="25" spans="3:4">
      <c r="C25" s="256">
        <f t="shared" si="1"/>
        <v>1971</v>
      </c>
      <c r="D25" s="466">
        <f t="shared" si="0"/>
        <v>22</v>
      </c>
    </row>
    <row r="26" spans="3:4">
      <c r="C26" s="256">
        <f t="shared" si="1"/>
        <v>1972</v>
      </c>
      <c r="D26" s="466">
        <f t="shared" si="0"/>
        <v>23</v>
      </c>
    </row>
    <row r="27" spans="3:4">
      <c r="C27" s="256">
        <f t="shared" si="1"/>
        <v>1973</v>
      </c>
      <c r="D27" s="466">
        <f t="shared" si="0"/>
        <v>24</v>
      </c>
    </row>
    <row r="28" spans="3:4">
      <c r="C28" s="256">
        <f t="shared" si="1"/>
        <v>1974</v>
      </c>
      <c r="D28" s="466">
        <f t="shared" si="0"/>
        <v>25</v>
      </c>
    </row>
    <row r="29" spans="3:4">
      <c r="C29" s="256">
        <f t="shared" si="1"/>
        <v>1975</v>
      </c>
      <c r="D29" s="466">
        <f t="shared" si="0"/>
        <v>26</v>
      </c>
    </row>
    <row r="30" spans="3:4">
      <c r="C30" s="256">
        <f t="shared" si="1"/>
        <v>1976</v>
      </c>
      <c r="D30" s="466">
        <f t="shared" si="0"/>
        <v>27</v>
      </c>
    </row>
    <row r="31" spans="3:4">
      <c r="C31" s="256">
        <f t="shared" si="1"/>
        <v>1977</v>
      </c>
      <c r="D31" s="466">
        <f t="shared" si="0"/>
        <v>28</v>
      </c>
    </row>
    <row r="32" spans="3:4">
      <c r="C32" s="256">
        <f t="shared" si="1"/>
        <v>1978</v>
      </c>
      <c r="D32" s="466">
        <f t="shared" si="0"/>
        <v>29</v>
      </c>
    </row>
    <row r="33" spans="3:4">
      <c r="C33" s="256">
        <f t="shared" si="1"/>
        <v>1979</v>
      </c>
      <c r="D33" s="466">
        <f t="shared" si="0"/>
        <v>30</v>
      </c>
    </row>
    <row r="34" spans="3:4">
      <c r="C34" s="256">
        <f t="shared" si="1"/>
        <v>1980</v>
      </c>
      <c r="D34" s="466">
        <f t="shared" si="0"/>
        <v>31</v>
      </c>
    </row>
    <row r="35" spans="3:4">
      <c r="C35" s="256">
        <f t="shared" si="1"/>
        <v>1981</v>
      </c>
      <c r="D35" s="466">
        <f t="shared" si="0"/>
        <v>32</v>
      </c>
    </row>
    <row r="36" spans="3:4">
      <c r="C36" s="256">
        <f t="shared" si="1"/>
        <v>1982</v>
      </c>
      <c r="D36" s="466">
        <f t="shared" si="0"/>
        <v>33</v>
      </c>
    </row>
    <row r="37" spans="3:4">
      <c r="C37" s="256">
        <f t="shared" si="1"/>
        <v>1983</v>
      </c>
      <c r="D37" s="466">
        <f t="shared" si="0"/>
        <v>34</v>
      </c>
    </row>
    <row r="38" spans="3:4">
      <c r="C38" s="256">
        <f t="shared" si="1"/>
        <v>1984</v>
      </c>
      <c r="D38" s="466">
        <f t="shared" si="0"/>
        <v>35</v>
      </c>
    </row>
    <row r="39" spans="3:4">
      <c r="C39" s="256">
        <f t="shared" si="1"/>
        <v>1985</v>
      </c>
      <c r="D39" s="466">
        <f t="shared" si="0"/>
        <v>36</v>
      </c>
    </row>
    <row r="40" spans="3:4">
      <c r="C40" s="256">
        <f t="shared" si="1"/>
        <v>1986</v>
      </c>
      <c r="D40" s="466">
        <f t="shared" si="0"/>
        <v>37</v>
      </c>
    </row>
    <row r="41" spans="3:4">
      <c r="C41" s="256">
        <f t="shared" si="1"/>
        <v>1987</v>
      </c>
      <c r="D41" s="466">
        <f t="shared" si="0"/>
        <v>38</v>
      </c>
    </row>
    <row r="42" spans="3:4">
      <c r="C42" s="256">
        <f t="shared" si="1"/>
        <v>1988</v>
      </c>
      <c r="D42" s="466">
        <f t="shared" si="0"/>
        <v>39</v>
      </c>
    </row>
    <row r="43" spans="3:4">
      <c r="C43" s="256">
        <f t="shared" si="1"/>
        <v>1989</v>
      </c>
      <c r="D43" s="466">
        <f t="shared" si="0"/>
        <v>40</v>
      </c>
    </row>
    <row r="44" spans="3:4">
      <c r="C44" s="256">
        <f t="shared" si="1"/>
        <v>1990</v>
      </c>
      <c r="D44" s="466">
        <f t="shared" si="0"/>
        <v>41</v>
      </c>
    </row>
    <row r="45" spans="3:4">
      <c r="C45" s="256">
        <f t="shared" si="1"/>
        <v>1991</v>
      </c>
      <c r="D45" s="466">
        <f t="shared" si="0"/>
        <v>42</v>
      </c>
    </row>
    <row r="46" spans="3:4">
      <c r="C46" s="256">
        <f t="shared" si="1"/>
        <v>1992</v>
      </c>
      <c r="D46" s="466">
        <f t="shared" si="0"/>
        <v>43</v>
      </c>
    </row>
    <row r="47" spans="3:4">
      <c r="C47" s="256">
        <f t="shared" si="1"/>
        <v>1993</v>
      </c>
      <c r="D47" s="466">
        <f t="shared" si="0"/>
        <v>44</v>
      </c>
    </row>
    <row r="48" spans="3:4">
      <c r="C48" s="256">
        <f t="shared" si="1"/>
        <v>1994</v>
      </c>
      <c r="D48" s="466">
        <f t="shared" si="0"/>
        <v>45</v>
      </c>
    </row>
    <row r="49" spans="3:4">
      <c r="C49" s="256">
        <f t="shared" si="1"/>
        <v>1995</v>
      </c>
      <c r="D49" s="466">
        <f t="shared" si="0"/>
        <v>46</v>
      </c>
    </row>
    <row r="50" spans="3:4">
      <c r="C50" s="256">
        <f t="shared" si="1"/>
        <v>1996</v>
      </c>
      <c r="D50" s="466">
        <f t="shared" si="0"/>
        <v>47</v>
      </c>
    </row>
    <row r="51" spans="3:4">
      <c r="C51" s="256">
        <f t="shared" si="1"/>
        <v>1997</v>
      </c>
      <c r="D51" s="466">
        <f t="shared" si="0"/>
        <v>48</v>
      </c>
    </row>
    <row r="52" spans="3:4">
      <c r="C52" s="256">
        <f t="shared" si="1"/>
        <v>1998</v>
      </c>
      <c r="D52" s="466">
        <f t="shared" si="0"/>
        <v>49</v>
      </c>
    </row>
    <row r="53" spans="3:4">
      <c r="C53" s="256">
        <f t="shared" si="1"/>
        <v>1999</v>
      </c>
      <c r="D53" s="466">
        <f t="shared" si="0"/>
        <v>50</v>
      </c>
    </row>
    <row r="54" spans="3:4">
      <c r="C54" s="256">
        <f t="shared" si="1"/>
        <v>2000</v>
      </c>
      <c r="D54" s="466">
        <f t="shared" si="0"/>
        <v>51</v>
      </c>
    </row>
    <row r="55" spans="3:4">
      <c r="C55" s="256">
        <f t="shared" si="1"/>
        <v>2001</v>
      </c>
      <c r="D55" s="466">
        <f t="shared" si="0"/>
        <v>52</v>
      </c>
    </row>
    <row r="56" spans="3:4">
      <c r="C56" s="256">
        <f t="shared" si="1"/>
        <v>2002</v>
      </c>
      <c r="D56" s="466">
        <f t="shared" si="0"/>
        <v>53</v>
      </c>
    </row>
    <row r="57" spans="3:4">
      <c r="C57" s="256">
        <f t="shared" si="1"/>
        <v>2003</v>
      </c>
      <c r="D57" s="466">
        <f t="shared" si="0"/>
        <v>54</v>
      </c>
    </row>
    <row r="58" spans="3:4">
      <c r="C58" s="256">
        <f t="shared" si="1"/>
        <v>2004</v>
      </c>
      <c r="D58" s="466">
        <f t="shared" si="0"/>
        <v>55</v>
      </c>
    </row>
    <row r="59" spans="3:4">
      <c r="C59" s="256">
        <f t="shared" si="1"/>
        <v>2005</v>
      </c>
      <c r="D59" s="466">
        <f t="shared" si="0"/>
        <v>56</v>
      </c>
    </row>
    <row r="60" spans="3:4">
      <c r="C60" s="256">
        <f t="shared" si="1"/>
        <v>2006</v>
      </c>
      <c r="D60" s="466">
        <f t="shared" si="0"/>
        <v>57</v>
      </c>
    </row>
    <row r="61" spans="3:4">
      <c r="C61" s="256">
        <f t="shared" si="1"/>
        <v>2007</v>
      </c>
      <c r="D61" s="466">
        <f t="shared" si="0"/>
        <v>58</v>
      </c>
    </row>
    <row r="62" spans="3:4">
      <c r="C62" s="256">
        <f t="shared" si="1"/>
        <v>2008</v>
      </c>
      <c r="D62" s="466">
        <f t="shared" si="0"/>
        <v>59</v>
      </c>
    </row>
    <row r="63" spans="3:4">
      <c r="C63" s="256">
        <f t="shared" si="1"/>
        <v>2009</v>
      </c>
      <c r="D63" s="466">
        <f t="shared" si="0"/>
        <v>60</v>
      </c>
    </row>
    <row r="64" spans="3:4">
      <c r="C64" s="256">
        <f t="shared" si="1"/>
        <v>2010</v>
      </c>
      <c r="D64" s="466">
        <f t="shared" si="0"/>
        <v>61</v>
      </c>
    </row>
    <row r="65" spans="3:4">
      <c r="C65" s="256">
        <f t="shared" si="1"/>
        <v>2011</v>
      </c>
      <c r="D65" s="466">
        <f t="shared" si="0"/>
        <v>62</v>
      </c>
    </row>
    <row r="66" spans="3:4">
      <c r="C66" s="256">
        <f t="shared" si="1"/>
        <v>2012</v>
      </c>
      <c r="D66" s="466">
        <f t="shared" si="0"/>
        <v>63</v>
      </c>
    </row>
    <row r="67" spans="3:4">
      <c r="C67" s="256">
        <f t="shared" si="1"/>
        <v>2013</v>
      </c>
      <c r="D67" s="466">
        <v>64</v>
      </c>
    </row>
    <row r="68" spans="3:4">
      <c r="C68" s="256">
        <f t="shared" si="1"/>
        <v>2014</v>
      </c>
      <c r="D68" s="466">
        <v>65</v>
      </c>
    </row>
    <row r="69" spans="3:4">
      <c r="C69" s="256">
        <f t="shared" si="1"/>
        <v>2015</v>
      </c>
      <c r="D69" s="466">
        <v>66</v>
      </c>
    </row>
    <row r="70" spans="3:4">
      <c r="C70" s="256">
        <f t="shared" ref="C70:C79" si="2">+C69+1</f>
        <v>2016</v>
      </c>
      <c r="D70" s="466">
        <v>67</v>
      </c>
    </row>
    <row r="71" spans="3:4">
      <c r="C71" s="256">
        <f t="shared" si="2"/>
        <v>2017</v>
      </c>
      <c r="D71" s="790">
        <v>68</v>
      </c>
    </row>
    <row r="72" spans="3:4">
      <c r="C72" s="256">
        <f t="shared" si="2"/>
        <v>2018</v>
      </c>
      <c r="D72" s="790">
        <v>69</v>
      </c>
    </row>
    <row r="73" spans="3:4">
      <c r="C73" s="256">
        <f t="shared" si="2"/>
        <v>2019</v>
      </c>
      <c r="D73" s="790">
        <v>70</v>
      </c>
    </row>
    <row r="74" spans="3:4">
      <c r="C74" s="256">
        <f t="shared" si="2"/>
        <v>2020</v>
      </c>
      <c r="D74" s="790">
        <v>71</v>
      </c>
    </row>
    <row r="75" spans="3:4">
      <c r="C75" s="256">
        <f t="shared" si="2"/>
        <v>2021</v>
      </c>
      <c r="D75" s="790">
        <v>72</v>
      </c>
    </row>
    <row r="76" spans="3:4">
      <c r="C76" s="256">
        <f t="shared" si="2"/>
        <v>2022</v>
      </c>
      <c r="D76" s="790">
        <v>73</v>
      </c>
    </row>
    <row r="77" spans="3:4">
      <c r="C77" s="256">
        <f t="shared" si="2"/>
        <v>2023</v>
      </c>
      <c r="D77" s="254"/>
    </row>
    <row r="78" spans="3:4">
      <c r="C78" s="256">
        <f t="shared" si="2"/>
        <v>2024</v>
      </c>
      <c r="D78" s="254"/>
    </row>
    <row r="79" spans="3:4" ht="15.75" thickBot="1">
      <c r="C79" s="257">
        <f t="shared" si="2"/>
        <v>2025</v>
      </c>
      <c r="D79" s="255"/>
    </row>
    <row r="80" spans="3:4" ht="15.75" thickTop="1"/>
    <row r="81"/>
    <row r="82"/>
    <row r="83"/>
  </sheetData>
  <customSheetViews>
    <customSheetView guid="{CFA9FB8A-52FF-44B9-AE70-27339693E196}" topLeftCell="A67">
      <selection activeCell="D4" sqref="D4"/>
      <pageMargins left="0.7" right="0.7" top="0.75" bottom="0.75" header="0.3" footer="0.3"/>
    </customSheetView>
  </customSheetViews>
  <printOptions horizontalCentered="1"/>
  <pageMargins left="0.7" right="0.7" top="1.25" bottom="0.5" header="0.3" footer="0"/>
  <pageSetup firstPageNumber="9" orientation="landscape" useFirstPageNumber="1" r:id="rId1"/>
  <headerFooter scaleWithDoc="0">
    <oddFooter>&amp;CPage &amp;P of 172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9"/>
  <sheetViews>
    <sheetView topLeftCell="A7" zoomScaleNormal="100" workbookViewId="0"/>
  </sheetViews>
  <sheetFormatPr defaultColWidth="0" defaultRowHeight="15"/>
  <cols>
    <col min="1" max="1" width="8.88671875" customWidth="1"/>
    <col min="2" max="2" width="12.77734375" customWidth="1"/>
    <col min="3" max="3" width="8.77734375" customWidth="1"/>
    <col min="4" max="4" width="10.77734375" customWidth="1"/>
    <col min="5" max="5" width="8.88671875" customWidth="1"/>
    <col min="6" max="6" width="12.77734375" customWidth="1"/>
    <col min="7" max="7" width="8.77734375" customWidth="1"/>
    <col min="8" max="10" width="8.88671875" customWidth="1"/>
  </cols>
  <sheetData>
    <row r="2" spans="2:9" ht="20.25">
      <c r="B2" s="1001" t="s">
        <v>915</v>
      </c>
      <c r="C2" s="1001"/>
      <c r="D2" s="1001"/>
      <c r="E2" s="1001"/>
      <c r="F2" s="1001"/>
      <c r="G2" s="1001"/>
      <c r="H2" s="1001"/>
      <c r="I2" s="1001"/>
    </row>
    <row r="4" spans="2:9" ht="16.5" thickBot="1">
      <c r="G4" s="16"/>
    </row>
    <row r="5" spans="2:9" ht="33" thickTop="1" thickBot="1">
      <c r="B5" s="627" t="s">
        <v>139</v>
      </c>
      <c r="C5" s="628" t="s">
        <v>27</v>
      </c>
      <c r="F5" s="20"/>
      <c r="G5" s="629"/>
    </row>
    <row r="6" spans="2:9" ht="16.5" thickTop="1">
      <c r="B6" s="209" t="s">
        <v>119</v>
      </c>
      <c r="C6" s="210">
        <v>914</v>
      </c>
      <c r="D6" s="1002" t="s">
        <v>555</v>
      </c>
      <c r="E6" s="16"/>
    </row>
    <row r="7" spans="2:9">
      <c r="B7" s="209" t="s">
        <v>114</v>
      </c>
      <c r="C7" s="210">
        <v>924</v>
      </c>
      <c r="D7" s="1003"/>
    </row>
    <row r="8" spans="2:9">
      <c r="B8" s="209" t="s">
        <v>121</v>
      </c>
      <c r="C8" s="210">
        <v>919</v>
      </c>
      <c r="D8" s="1003"/>
    </row>
    <row r="9" spans="2:9">
      <c r="B9" s="209" t="s">
        <v>102</v>
      </c>
      <c r="C9" s="210">
        <v>1505</v>
      </c>
      <c r="D9" s="1003"/>
    </row>
    <row r="10" spans="2:9">
      <c r="B10" s="209" t="s">
        <v>117</v>
      </c>
      <c r="C10" s="210">
        <v>1498</v>
      </c>
      <c r="D10" s="1003"/>
    </row>
    <row r="11" spans="2:9">
      <c r="B11" s="209" t="s">
        <v>120</v>
      </c>
      <c r="C11" s="210">
        <v>933</v>
      </c>
      <c r="D11" s="1003"/>
    </row>
    <row r="12" spans="2:9" ht="18">
      <c r="B12" s="209" t="s">
        <v>115</v>
      </c>
      <c r="C12" s="210">
        <v>929</v>
      </c>
      <c r="D12" s="1003"/>
      <c r="G12" s="296" t="s">
        <v>631</v>
      </c>
      <c r="H12">
        <f>SUM(C26:C28)</f>
        <v>5708</v>
      </c>
      <c r="I12" s="1" t="s">
        <v>606</v>
      </c>
    </row>
    <row r="13" spans="2:9" ht="18">
      <c r="B13" s="209" t="s">
        <v>104</v>
      </c>
      <c r="C13" s="210">
        <v>920</v>
      </c>
      <c r="D13" s="1003"/>
      <c r="G13" s="297" t="s">
        <v>632</v>
      </c>
      <c r="H13">
        <f>SUM(C6:C25)</f>
        <v>20679</v>
      </c>
      <c r="I13" s="1" t="s">
        <v>606</v>
      </c>
    </row>
    <row r="14" spans="2:9">
      <c r="B14" s="209" t="s">
        <v>107</v>
      </c>
      <c r="C14" s="210">
        <v>1463</v>
      </c>
      <c r="D14" s="1003"/>
    </row>
    <row r="15" spans="2:9" ht="18">
      <c r="B15" s="209" t="s">
        <v>111</v>
      </c>
      <c r="C15" s="210">
        <v>912</v>
      </c>
      <c r="D15" s="1003"/>
      <c r="G15" s="296" t="s">
        <v>608</v>
      </c>
      <c r="H15">
        <f>+H13+H12</f>
        <v>26387</v>
      </c>
      <c r="I15" s="1" t="s">
        <v>606</v>
      </c>
    </row>
    <row r="16" spans="2:9">
      <c r="B16" s="209" t="s">
        <v>109</v>
      </c>
      <c r="C16" s="210">
        <v>895</v>
      </c>
      <c r="D16" s="1003"/>
    </row>
    <row r="17" spans="2:7">
      <c r="B17" s="209" t="s">
        <v>106</v>
      </c>
      <c r="C17" s="210">
        <v>932</v>
      </c>
      <c r="D17" s="1003"/>
    </row>
    <row r="18" spans="2:7">
      <c r="B18" s="209" t="s">
        <v>108</v>
      </c>
      <c r="C18" s="210">
        <v>910</v>
      </c>
      <c r="D18" s="1003"/>
    </row>
    <row r="19" spans="2:7">
      <c r="B19" s="209" t="s">
        <v>105</v>
      </c>
      <c r="C19" s="210">
        <v>918</v>
      </c>
      <c r="D19" s="1003"/>
    </row>
    <row r="20" spans="2:7">
      <c r="B20" s="209" t="s">
        <v>112</v>
      </c>
      <c r="C20" s="210">
        <v>1501</v>
      </c>
      <c r="D20" s="1003"/>
    </row>
    <row r="21" spans="2:7">
      <c r="B21" s="209" t="s">
        <v>113</v>
      </c>
      <c r="C21" s="210">
        <v>922</v>
      </c>
      <c r="D21" s="1003"/>
      <c r="F21" t="s">
        <v>55</v>
      </c>
    </row>
    <row r="22" spans="2:7">
      <c r="B22" s="209" t="s">
        <v>118</v>
      </c>
      <c r="C22" s="210">
        <v>922</v>
      </c>
      <c r="D22" s="1003"/>
    </row>
    <row r="23" spans="2:7">
      <c r="B23" s="209" t="s">
        <v>110</v>
      </c>
      <c r="C23" s="210">
        <v>924</v>
      </c>
      <c r="D23" s="1003"/>
    </row>
    <row r="24" spans="2:7">
      <c r="B24" s="209" t="s">
        <v>103</v>
      </c>
      <c r="C24" s="210">
        <v>923</v>
      </c>
      <c r="D24" s="1003"/>
      <c r="F24" s="512"/>
      <c r="G24" s="27"/>
    </row>
    <row r="25" spans="2:7">
      <c r="B25" s="211" t="s">
        <v>116</v>
      </c>
      <c r="C25" s="212">
        <v>915</v>
      </c>
      <c r="D25" s="1003"/>
    </row>
    <row r="26" spans="2:7">
      <c r="B26" s="209" t="s">
        <v>101</v>
      </c>
      <c r="C26" s="210">
        <v>1818</v>
      </c>
      <c r="D26" s="1004" t="s">
        <v>922</v>
      </c>
    </row>
    <row r="27" spans="2:7">
      <c r="B27" s="209" t="s">
        <v>99</v>
      </c>
      <c r="C27" s="210">
        <v>1841</v>
      </c>
      <c r="D27" s="1005"/>
    </row>
    <row r="28" spans="2:7" ht="15.75" thickBot="1">
      <c r="B28" s="213" t="s">
        <v>100</v>
      </c>
      <c r="C28" s="214">
        <v>2049</v>
      </c>
      <c r="D28" s="1006"/>
    </row>
    <row r="29" spans="2:7" ht="15.75" thickTop="1"/>
  </sheetData>
  <customSheetViews>
    <customSheetView guid="{CFA9FB8A-52FF-44B9-AE70-27339693E196}">
      <selection activeCell="F18" sqref="F18"/>
      <pageMargins left="0.75" right="0.75" top="1" bottom="1" header="0.5" footer="0.5"/>
      <pageSetup scale="85" orientation="portrait" r:id="rId1"/>
      <headerFooter alignWithMargins="0"/>
    </customSheetView>
  </customSheetViews>
  <mergeCells count="3">
    <mergeCell ref="B2:I2"/>
    <mergeCell ref="D6:D25"/>
    <mergeCell ref="D26:D28"/>
  </mergeCells>
  <phoneticPr fontId="18" type="noConversion"/>
  <printOptions horizontalCentered="1"/>
  <pageMargins left="0.75" right="0.75" top="1.25" bottom="0.5" header="0.5" footer="0"/>
  <pageSetup scale="85" firstPageNumber="12" orientation="landscape" useFirstPageNumber="1" r:id="rId2"/>
  <headerFooter scaleWithDoc="0">
    <oddFooter>&amp;CPage &amp;P of 172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topLeftCell="B2" workbookViewId="0">
      <selection activeCell="G10" sqref="G10"/>
    </sheetView>
  </sheetViews>
  <sheetFormatPr defaultColWidth="0" defaultRowHeight="15" zeroHeight="1"/>
  <cols>
    <col min="1" max="2" width="2.77734375" customWidth="1"/>
    <col min="3" max="3" width="8.88671875" customWidth="1"/>
    <col min="4" max="4" width="62.109375" style="26" customWidth="1"/>
    <col min="5" max="5" width="4.77734375" style="26" customWidth="1"/>
    <col min="6" max="13" width="8.88671875" customWidth="1"/>
    <col min="14" max="16384" width="8.88671875" hidden="1"/>
  </cols>
  <sheetData>
    <row r="1" spans="3:11"/>
    <row r="2" spans="3:11" ht="15.75" thickBot="1"/>
    <row r="3" spans="3:11" ht="17.25" thickTop="1" thickBot="1">
      <c r="F3" s="1011" t="s">
        <v>935</v>
      </c>
      <c r="G3" s="1012"/>
      <c r="H3" s="1012"/>
      <c r="I3" s="1012"/>
      <c r="J3" s="1012"/>
      <c r="K3" s="1013"/>
    </row>
    <row r="4" spans="3:11" ht="17.25" thickTop="1" thickBot="1">
      <c r="C4" s="634" t="s">
        <v>140</v>
      </c>
      <c r="D4" s="635" t="s">
        <v>936</v>
      </c>
      <c r="E4" s="631"/>
      <c r="F4" s="1021" t="s">
        <v>1281</v>
      </c>
      <c r="G4" s="1022"/>
      <c r="H4" s="1023"/>
    </row>
    <row r="5" spans="3:11" ht="31.5" thickTop="1" thickBot="1">
      <c r="C5" s="636" t="s">
        <v>1281</v>
      </c>
      <c r="D5" s="637" t="s">
        <v>1282</v>
      </c>
      <c r="E5" s="28"/>
      <c r="F5" s="957" t="s">
        <v>161</v>
      </c>
      <c r="G5" s="958" t="s">
        <v>162</v>
      </c>
      <c r="H5" s="958" t="s">
        <v>160</v>
      </c>
      <c r="I5" s="632" t="s">
        <v>163</v>
      </c>
      <c r="J5" s="632" t="s">
        <v>188</v>
      </c>
      <c r="K5" s="633" t="s">
        <v>189</v>
      </c>
    </row>
    <row r="6" spans="3:11" ht="45" customHeight="1" thickBot="1">
      <c r="C6" s="636" t="s">
        <v>161</v>
      </c>
      <c r="D6" s="637" t="s">
        <v>929</v>
      </c>
      <c r="E6" s="28"/>
      <c r="F6" s="1014" t="s">
        <v>924</v>
      </c>
      <c r="G6" s="1015"/>
      <c r="H6" s="1016" t="s">
        <v>925</v>
      </c>
      <c r="I6" s="1016"/>
      <c r="J6" s="1016" t="s">
        <v>926</v>
      </c>
      <c r="K6" s="1017"/>
    </row>
    <row r="7" spans="3:11" ht="45" customHeight="1" thickTop="1" thickBot="1">
      <c r="C7" s="636" t="s">
        <v>162</v>
      </c>
      <c r="D7" s="637" t="s">
        <v>930</v>
      </c>
      <c r="E7" s="28"/>
      <c r="F7" s="7"/>
      <c r="G7" s="7"/>
      <c r="H7" s="1018" t="s">
        <v>927</v>
      </c>
      <c r="I7" s="1019"/>
      <c r="J7" s="1019"/>
      <c r="K7" s="1020"/>
    </row>
    <row r="8" spans="3:11" ht="45" customHeight="1" thickTop="1" thickBot="1">
      <c r="C8" s="636" t="s">
        <v>160</v>
      </c>
      <c r="D8" s="637" t="s">
        <v>931</v>
      </c>
      <c r="E8" s="28"/>
      <c r="F8" s="7"/>
      <c r="G8" s="7"/>
      <c r="H8" s="630"/>
      <c r="I8" s="1008" t="s">
        <v>928</v>
      </c>
      <c r="J8" s="1009"/>
      <c r="K8" s="1010"/>
    </row>
    <row r="9" spans="3:11" ht="45" customHeight="1" thickTop="1">
      <c r="C9" s="636" t="s">
        <v>163</v>
      </c>
      <c r="D9" s="637" t="s">
        <v>932</v>
      </c>
      <c r="E9" s="28"/>
      <c r="F9" s="1007" t="s">
        <v>1603</v>
      </c>
      <c r="G9" s="1007"/>
      <c r="H9" s="1007"/>
      <c r="I9" s="1007"/>
      <c r="J9" s="1007"/>
      <c r="K9" s="1007"/>
    </row>
    <row r="10" spans="3:11" ht="45" customHeight="1">
      <c r="C10" s="636" t="s">
        <v>188</v>
      </c>
      <c r="D10" s="637" t="s">
        <v>933</v>
      </c>
      <c r="E10" s="28"/>
    </row>
    <row r="11" spans="3:11" ht="45.75" thickBot="1">
      <c r="C11" s="638" t="s">
        <v>189</v>
      </c>
      <c r="D11" s="639" t="s">
        <v>934</v>
      </c>
    </row>
    <row r="12" spans="3:11" ht="15.75" thickTop="1"/>
    <row r="13" spans="3:11"/>
    <row r="14" spans="3:11"/>
    <row r="15" spans="3:11"/>
    <row r="16" spans="3:11"/>
    <row r="17"/>
    <row r="18"/>
    <row r="19"/>
    <row r="20"/>
    <row r="21"/>
    <row r="22"/>
    <row r="23"/>
    <row r="24"/>
    <row r="25"/>
    <row r="26"/>
    <row r="27"/>
    <row r="28"/>
  </sheetData>
  <mergeCells count="8">
    <mergeCell ref="F9:K9"/>
    <mergeCell ref="I8:K8"/>
    <mergeCell ref="F3:K3"/>
    <mergeCell ref="F6:G6"/>
    <mergeCell ref="H6:I6"/>
    <mergeCell ref="J6:K6"/>
    <mergeCell ref="H7:K7"/>
    <mergeCell ref="F4:H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054"/>
  <sheetViews>
    <sheetView zoomScale="75" zoomScaleNormal="75" workbookViewId="0">
      <pane ySplit="6" topLeftCell="A1272" activePane="bottomLeft" state="frozen"/>
      <selection pane="bottomLeft" activeCell="I1278" sqref="I1278:K1279"/>
    </sheetView>
  </sheetViews>
  <sheetFormatPr defaultColWidth="0" defaultRowHeight="15" zeroHeight="1"/>
  <cols>
    <col min="1" max="1" width="6.44140625" customWidth="1"/>
    <col min="2" max="2" width="6.21875" customWidth="1"/>
    <col min="3" max="3" width="17.77734375" customWidth="1"/>
    <col min="4" max="4" width="10.33203125" customWidth="1"/>
    <col min="5" max="5" width="5.33203125" customWidth="1"/>
    <col min="6" max="6" width="6.77734375" style="27" customWidth="1"/>
    <col min="7" max="7" width="12.33203125" customWidth="1"/>
    <col min="8" max="8" width="6.6640625" style="27" customWidth="1"/>
    <col min="9" max="9" width="7.77734375" customWidth="1"/>
    <col min="10" max="10" width="8.109375" customWidth="1"/>
    <col min="11" max="11" width="8.77734375" customWidth="1"/>
    <col min="12" max="12" width="13.77734375" customWidth="1"/>
    <col min="13" max="13" width="8.109375" customWidth="1"/>
    <col min="14" max="16" width="9.77734375" customWidth="1"/>
    <col min="17" max="18" width="8.5546875" customWidth="1"/>
    <col min="19" max="19" width="60.77734375" style="26" customWidth="1"/>
    <col min="20" max="20" width="2.77734375" customWidth="1"/>
    <col min="21" max="21" width="15.6640625" style="1" customWidth="1"/>
    <col min="22" max="22" width="12.77734375" style="1" customWidth="1"/>
    <col min="23" max="25" width="10.77734375" style="1" customWidth="1"/>
    <col min="26" max="26" width="2.77734375" style="1" customWidth="1"/>
    <col min="27" max="30" width="15.77734375" style="1" customWidth="1"/>
    <col min="31" max="31" width="94.109375" style="251" customWidth="1"/>
    <col min="32" max="32" width="8.77734375" style="1" customWidth="1"/>
    <col min="33" max="34" width="8.77734375" customWidth="1"/>
    <col min="35" max="35" width="10.77734375" hidden="1" customWidth="1"/>
    <col min="36" max="49" width="8.88671875" hidden="1" customWidth="1"/>
    <col min="50" max="55" width="8.88671875" hidden="1"/>
    <col min="60" max="60" width="10.77734375" hidden="1"/>
    <col min="61" max="82" width="8.88671875" hidden="1"/>
  </cols>
  <sheetData>
    <row r="1" spans="1:42" ht="15" customHeight="1" thickTop="1">
      <c r="A1" s="1024" t="s">
        <v>1544</v>
      </c>
      <c r="B1" s="1025"/>
      <c r="C1" s="1025"/>
      <c r="D1" s="1025"/>
      <c r="E1" s="1025"/>
      <c r="F1" s="1025"/>
      <c r="G1" s="1025"/>
      <c r="H1" s="1025"/>
      <c r="I1" s="1025"/>
      <c r="J1" s="1025"/>
      <c r="K1" s="1025"/>
      <c r="L1" s="1025"/>
      <c r="M1" s="1025"/>
      <c r="N1" s="1025"/>
      <c r="O1" s="1025"/>
      <c r="P1" s="1025"/>
      <c r="Q1" s="1025"/>
      <c r="R1" s="1025"/>
      <c r="S1" s="1026"/>
      <c r="U1"/>
      <c r="V1"/>
      <c r="W1"/>
      <c r="X1"/>
      <c r="Y1"/>
      <c r="Z1"/>
      <c r="AA1"/>
      <c r="AB1"/>
      <c r="AC1"/>
      <c r="AD1"/>
      <c r="AE1" s="32"/>
      <c r="AF1"/>
    </row>
    <row r="2" spans="1:42" ht="15" customHeight="1">
      <c r="A2" s="1027"/>
      <c r="B2" s="1028"/>
      <c r="C2" s="1028"/>
      <c r="D2" s="1028"/>
      <c r="E2" s="1028"/>
      <c r="F2" s="1028"/>
      <c r="G2" s="1028"/>
      <c r="H2" s="1028"/>
      <c r="I2" s="1028"/>
      <c r="J2" s="1028"/>
      <c r="K2" s="1028"/>
      <c r="L2" s="1028"/>
      <c r="M2" s="1028"/>
      <c r="N2" s="1028"/>
      <c r="O2" s="1028"/>
      <c r="P2" s="1028"/>
      <c r="Q2" s="1028"/>
      <c r="R2" s="1028"/>
      <c r="S2" s="1029"/>
      <c r="U2"/>
      <c r="V2"/>
      <c r="W2"/>
      <c r="X2"/>
      <c r="Y2"/>
      <c r="Z2"/>
      <c r="AA2"/>
      <c r="AB2"/>
      <c r="AC2"/>
      <c r="AD2"/>
      <c r="AE2" s="32"/>
      <c r="AF2"/>
    </row>
    <row r="3" spans="1:42" s="219" customFormat="1" ht="15" customHeight="1" thickBot="1">
      <c r="A3" s="1030"/>
      <c r="B3" s="1031"/>
      <c r="C3" s="1031"/>
      <c r="D3" s="1031"/>
      <c r="E3" s="1031"/>
      <c r="F3" s="1031"/>
      <c r="G3" s="1031"/>
      <c r="H3" s="1031"/>
      <c r="I3" s="1031"/>
      <c r="J3" s="1031"/>
      <c r="K3" s="1031"/>
      <c r="L3" s="1031"/>
      <c r="M3" s="1031"/>
      <c r="N3" s="1031"/>
      <c r="O3" s="1031"/>
      <c r="P3" s="1031"/>
      <c r="Q3" s="1031"/>
      <c r="R3" s="1031"/>
      <c r="S3" s="1032"/>
      <c r="AE3" s="220"/>
      <c r="AH3" s="221"/>
    </row>
    <row r="4" spans="1:42" ht="15" customHeight="1">
      <c r="A4" s="43"/>
      <c r="B4" s="44" t="s">
        <v>182</v>
      </c>
      <c r="C4" s="45"/>
      <c r="D4" s="45"/>
      <c r="E4" s="45"/>
      <c r="F4" s="46"/>
      <c r="G4" s="45"/>
      <c r="H4" s="46"/>
      <c r="I4" s="44"/>
      <c r="J4" s="45"/>
      <c r="K4" s="198"/>
      <c r="L4" s="961" t="s">
        <v>1515</v>
      </c>
      <c r="M4" s="44" t="s">
        <v>204</v>
      </c>
      <c r="N4" s="44" t="s">
        <v>204</v>
      </c>
      <c r="O4" s="44" t="s">
        <v>204</v>
      </c>
      <c r="P4" s="44" t="s">
        <v>471</v>
      </c>
      <c r="Q4" s="44"/>
      <c r="R4" s="963" t="s">
        <v>1517</v>
      </c>
      <c r="S4" s="1033" t="s">
        <v>830</v>
      </c>
      <c r="T4" s="20"/>
      <c r="U4" s="20" t="s">
        <v>194</v>
      </c>
      <c r="V4" s="20" t="s">
        <v>194</v>
      </c>
      <c r="W4" s="20" t="s">
        <v>476</v>
      </c>
      <c r="X4" s="20" t="s">
        <v>476</v>
      </c>
      <c r="Y4" s="20" t="s">
        <v>476</v>
      </c>
      <c r="Z4" s="20"/>
      <c r="AA4" s="20" t="s">
        <v>194</v>
      </c>
      <c r="AB4" s="20" t="s">
        <v>194</v>
      </c>
      <c r="AC4" s="20" t="s">
        <v>194</v>
      </c>
      <c r="AD4" s="4" t="s">
        <v>194</v>
      </c>
      <c r="AE4" s="133"/>
      <c r="AF4" s="20"/>
      <c r="AH4" s="20"/>
    </row>
    <row r="5" spans="1:42" ht="15" customHeight="1">
      <c r="A5" s="47" t="s">
        <v>180</v>
      </c>
      <c r="B5" s="48" t="s">
        <v>174</v>
      </c>
      <c r="C5" s="300" t="s">
        <v>136</v>
      </c>
      <c r="D5" s="300" t="s">
        <v>156</v>
      </c>
      <c r="E5" s="48" t="s">
        <v>157</v>
      </c>
      <c r="F5" s="48" t="s">
        <v>143</v>
      </c>
      <c r="G5" s="48" t="s">
        <v>139</v>
      </c>
      <c r="H5" s="48" t="s">
        <v>140</v>
      </c>
      <c r="I5" s="48" t="s">
        <v>183</v>
      </c>
      <c r="J5" s="48" t="s">
        <v>184</v>
      </c>
      <c r="K5" s="199" t="s">
        <v>540</v>
      </c>
      <c r="L5" s="48" t="s">
        <v>1543</v>
      </c>
      <c r="M5" s="48" t="s">
        <v>137</v>
      </c>
      <c r="N5" s="48" t="s">
        <v>137</v>
      </c>
      <c r="O5" s="48" t="s">
        <v>137</v>
      </c>
      <c r="P5" s="48" t="s">
        <v>137</v>
      </c>
      <c r="Q5" s="48" t="s">
        <v>473</v>
      </c>
      <c r="R5" s="960" t="s">
        <v>1518</v>
      </c>
      <c r="S5" s="1034"/>
      <c r="T5" s="20"/>
      <c r="U5" s="20" t="s">
        <v>195</v>
      </c>
      <c r="V5" s="20" t="s">
        <v>197</v>
      </c>
      <c r="W5" s="20" t="s">
        <v>477</v>
      </c>
      <c r="X5" s="20" t="s">
        <v>477</v>
      </c>
      <c r="Y5" s="20" t="s">
        <v>477</v>
      </c>
      <c r="Z5" s="20"/>
      <c r="AA5" s="20" t="s">
        <v>478</v>
      </c>
      <c r="AB5" s="20" t="s">
        <v>478</v>
      </c>
      <c r="AC5" s="20" t="s">
        <v>478</v>
      </c>
      <c r="AD5" s="20" t="s">
        <v>478</v>
      </c>
      <c r="AE5" s="133"/>
      <c r="AF5"/>
      <c r="AI5" s="20"/>
    </row>
    <row r="6" spans="1:42" ht="15" customHeight="1" thickBot="1">
      <c r="A6" s="49" t="s">
        <v>181</v>
      </c>
      <c r="B6" s="50" t="s">
        <v>143</v>
      </c>
      <c r="C6" s="50"/>
      <c r="D6" s="301"/>
      <c r="E6" s="301"/>
      <c r="F6" s="302"/>
      <c r="G6" s="301"/>
      <c r="H6" s="299"/>
      <c r="I6" s="51" t="s">
        <v>141</v>
      </c>
      <c r="J6" s="51" t="s">
        <v>142</v>
      </c>
      <c r="K6" s="200" t="s">
        <v>587</v>
      </c>
      <c r="L6" s="962" t="s">
        <v>1516</v>
      </c>
      <c r="M6" s="51" t="s">
        <v>1400</v>
      </c>
      <c r="N6" s="51" t="s">
        <v>138</v>
      </c>
      <c r="O6" s="51" t="s">
        <v>472</v>
      </c>
      <c r="P6" s="51" t="s">
        <v>472</v>
      </c>
      <c r="Q6" s="51" t="s">
        <v>474</v>
      </c>
      <c r="R6" s="959" t="s">
        <v>1519</v>
      </c>
      <c r="S6" s="1035"/>
      <c r="U6" s="20" t="s">
        <v>196</v>
      </c>
      <c r="V6" s="20" t="s">
        <v>196</v>
      </c>
      <c r="W6" s="20" t="s">
        <v>183</v>
      </c>
      <c r="X6" s="20" t="s">
        <v>184</v>
      </c>
      <c r="Y6" s="4" t="s">
        <v>540</v>
      </c>
      <c r="Z6" s="4"/>
      <c r="AA6" s="4" t="s">
        <v>678</v>
      </c>
      <c r="AB6" s="4" t="s">
        <v>679</v>
      </c>
      <c r="AC6" s="4" t="s">
        <v>680</v>
      </c>
      <c r="AD6" s="4" t="s">
        <v>758</v>
      </c>
      <c r="AE6" s="444" t="s">
        <v>834</v>
      </c>
      <c r="AF6" s="20"/>
      <c r="AG6" s="20"/>
      <c r="AH6" s="20"/>
      <c r="AI6" s="20"/>
    </row>
    <row r="7" spans="1:42" s="219" customFormat="1" ht="200.1" customHeight="1" thickTop="1">
      <c r="A7" s="713"/>
      <c r="B7" s="714"/>
      <c r="C7" s="715">
        <v>17266</v>
      </c>
      <c r="D7" s="716" t="s">
        <v>147</v>
      </c>
      <c r="E7" s="714">
        <v>9</v>
      </c>
      <c r="F7" s="717">
        <v>1947</v>
      </c>
      <c r="G7" s="716" t="s">
        <v>111</v>
      </c>
      <c r="H7" s="718" t="s">
        <v>187</v>
      </c>
      <c r="I7" s="714">
        <v>1408</v>
      </c>
      <c r="J7" s="714">
        <v>35</v>
      </c>
      <c r="K7" s="816">
        <f>+(I7/1760)*J7</f>
        <v>28</v>
      </c>
      <c r="L7" s="966"/>
      <c r="M7" s="503">
        <f>HOUR(O7)</f>
        <v>18</v>
      </c>
      <c r="N7" s="504">
        <v>0.78819444444444453</v>
      </c>
      <c r="O7" s="719">
        <f>+N7</f>
        <v>0.78819444444444453</v>
      </c>
      <c r="P7" s="564">
        <v>0.82291666666666663</v>
      </c>
      <c r="Q7" s="564">
        <f>+P7-O7</f>
        <v>3.4722222222222099E-2</v>
      </c>
      <c r="R7" s="964"/>
      <c r="S7" s="439" t="s">
        <v>1278</v>
      </c>
      <c r="U7" s="29" t="str">
        <f t="shared" ref="U7:U70" si="0">CONCATENATE(G7,H7)</f>
        <v>HemphillF5</v>
      </c>
      <c r="V7" s="29" t="str">
        <f t="shared" ref="V7:V70" si="1">CONCATENATE(F7,H7)</f>
        <v>1947F5</v>
      </c>
      <c r="W7">
        <v>1000</v>
      </c>
      <c r="X7" s="32">
        <v>20</v>
      </c>
      <c r="Y7" s="467">
        <v>20</v>
      </c>
      <c r="Z7"/>
      <c r="AA7" s="29" t="str">
        <f t="shared" ref="AA7:AA70" si="2">CONCATENATE(H7,W7)</f>
        <v>F51000</v>
      </c>
      <c r="AB7" s="29" t="str">
        <f t="shared" ref="AB7:AB70" si="3">CONCATENATE(H7,X7)</f>
        <v>F520</v>
      </c>
      <c r="AC7" s="29" t="str">
        <f t="shared" ref="AC7:AC70" si="4">CONCATENATE(H7,Y7)</f>
        <v>F520</v>
      </c>
      <c r="AD7" s="29" t="str">
        <f t="shared" ref="AD7:AD70" si="5">CONCATENATE(H7,M7)</f>
        <v>F518</v>
      </c>
      <c r="AE7" s="443"/>
      <c r="AF7" s="443"/>
      <c r="AG7" s="443"/>
      <c r="AH7" s="443"/>
    </row>
    <row r="8" spans="1:42" ht="15" customHeight="1">
      <c r="A8" s="720">
        <v>1</v>
      </c>
      <c r="B8" s="721">
        <v>1</v>
      </c>
      <c r="C8" s="715">
        <v>18387</v>
      </c>
      <c r="D8" s="722" t="s">
        <v>148</v>
      </c>
      <c r="E8" s="721">
        <v>4</v>
      </c>
      <c r="F8" s="723">
        <v>1950</v>
      </c>
      <c r="G8" s="721" t="s">
        <v>105</v>
      </c>
      <c r="H8" s="723" t="s">
        <v>124</v>
      </c>
      <c r="I8" s="724">
        <v>50</v>
      </c>
      <c r="J8" s="724">
        <v>1.9</v>
      </c>
      <c r="K8" s="816">
        <f>+(I8/1760)*J8</f>
        <v>5.3977272727272721E-2</v>
      </c>
      <c r="L8" s="968">
        <v>250000</v>
      </c>
      <c r="M8" s="723">
        <f>HOUR(O8)</f>
        <v>20</v>
      </c>
      <c r="N8" s="725">
        <v>0.85416666666666663</v>
      </c>
      <c r="O8" s="726">
        <f>+N8</f>
        <v>0.85416666666666663</v>
      </c>
      <c r="P8" s="727"/>
      <c r="Q8" s="727">
        <f>+P8-O8</f>
        <v>-0.85416666666666663</v>
      </c>
      <c r="R8" s="965" t="s">
        <v>1537</v>
      </c>
      <c r="S8" s="482"/>
      <c r="T8" s="29"/>
      <c r="U8" s="29" t="str">
        <f t="shared" si="0"/>
        <v>OchiltreeF2</v>
      </c>
      <c r="V8" s="29" t="str">
        <f t="shared" si="1"/>
        <v>1950F2</v>
      </c>
      <c r="W8" s="80">
        <v>50</v>
      </c>
      <c r="X8" s="32">
        <v>1</v>
      </c>
      <c r="Y8" s="467">
        <v>0.05</v>
      </c>
      <c r="Z8" s="80"/>
      <c r="AA8" s="29" t="str">
        <f t="shared" si="2"/>
        <v>F250</v>
      </c>
      <c r="AB8" s="29" t="str">
        <f t="shared" si="3"/>
        <v>F21</v>
      </c>
      <c r="AC8" s="29" t="str">
        <f t="shared" si="4"/>
        <v>F20.05</v>
      </c>
      <c r="AD8" s="29" t="str">
        <f t="shared" si="5"/>
        <v>F220</v>
      </c>
      <c r="AE8" s="1" t="s">
        <v>938</v>
      </c>
      <c r="AF8" s="443"/>
      <c r="AG8" s="443"/>
      <c r="AH8" s="443"/>
      <c r="AI8" s="1"/>
      <c r="AK8" s="217"/>
      <c r="AL8" s="215"/>
      <c r="AM8" s="215"/>
      <c r="AN8" s="215"/>
      <c r="AO8" s="215"/>
      <c r="AP8" s="215"/>
    </row>
    <row r="9" spans="1:42" ht="15" customHeight="1">
      <c r="A9" s="728">
        <f>+A8+1</f>
        <v>2</v>
      </c>
      <c r="B9" s="563">
        <v>2</v>
      </c>
      <c r="C9" s="694">
        <v>18394</v>
      </c>
      <c r="D9" s="694" t="s">
        <v>148</v>
      </c>
      <c r="E9" s="563">
        <v>11</v>
      </c>
      <c r="F9" s="503">
        <v>1950</v>
      </c>
      <c r="G9" s="563" t="s">
        <v>101</v>
      </c>
      <c r="H9" s="503" t="s">
        <v>123</v>
      </c>
      <c r="I9" s="695">
        <v>77</v>
      </c>
      <c r="J9" s="695">
        <v>0.5</v>
      </c>
      <c r="K9" s="777">
        <f t="shared" ref="K9:K72" si="6">+(I9/1760)*J9</f>
        <v>2.1874999999999999E-2</v>
      </c>
      <c r="L9" s="968">
        <v>0</v>
      </c>
      <c r="M9" s="503">
        <f t="shared" ref="M9:M71" si="7">HOUR(O9)</f>
        <v>18</v>
      </c>
      <c r="N9" s="504">
        <v>0.77083333333333337</v>
      </c>
      <c r="O9" s="719">
        <f t="shared" ref="O9:O71" si="8">+N9</f>
        <v>0.77083333333333337</v>
      </c>
      <c r="P9" s="564"/>
      <c r="Q9" s="564">
        <f t="shared" ref="Q9:Q71" si="9">+P9-O9</f>
        <v>-0.77083333333333337</v>
      </c>
      <c r="R9" s="965" t="s">
        <v>1520</v>
      </c>
      <c r="S9" s="487"/>
      <c r="T9" s="29"/>
      <c r="U9" s="29" t="str">
        <f t="shared" si="0"/>
        <v>BeaverF1</v>
      </c>
      <c r="V9" s="29" t="str">
        <f t="shared" si="1"/>
        <v>1950F1</v>
      </c>
      <c r="W9" s="80">
        <v>50</v>
      </c>
      <c r="X9" s="32">
        <v>0.5</v>
      </c>
      <c r="Y9" s="467">
        <v>0.02</v>
      </c>
      <c r="Z9" s="80"/>
      <c r="AA9" s="29" t="str">
        <f t="shared" si="2"/>
        <v>F150</v>
      </c>
      <c r="AB9" s="29" t="str">
        <f t="shared" si="3"/>
        <v>F10.5</v>
      </c>
      <c r="AC9" s="29" t="str">
        <f t="shared" si="4"/>
        <v>F10.02</v>
      </c>
      <c r="AD9" s="29" t="str">
        <f t="shared" si="5"/>
        <v>F118</v>
      </c>
      <c r="AE9" s="1" t="s">
        <v>939</v>
      </c>
      <c r="AF9" s="443"/>
      <c r="AG9" s="443"/>
      <c r="AH9" s="443"/>
      <c r="AI9" s="1"/>
      <c r="AK9" s="215"/>
      <c r="AL9" s="215"/>
      <c r="AM9" s="215"/>
      <c r="AN9" s="215"/>
      <c r="AO9" s="215"/>
      <c r="AP9" s="215"/>
    </row>
    <row r="10" spans="1:42" ht="15" customHeight="1">
      <c r="A10" s="728">
        <f t="shared" ref="A10:A73" si="10">+A9+1</f>
        <v>3</v>
      </c>
      <c r="B10" s="563">
        <v>3</v>
      </c>
      <c r="C10" s="694">
        <v>18433</v>
      </c>
      <c r="D10" s="694" t="s">
        <v>149</v>
      </c>
      <c r="E10" s="563">
        <v>19</v>
      </c>
      <c r="F10" s="503">
        <v>1950</v>
      </c>
      <c r="G10" s="563" t="s">
        <v>107</v>
      </c>
      <c r="H10" s="503" t="s">
        <v>122</v>
      </c>
      <c r="I10" s="695">
        <v>167</v>
      </c>
      <c r="J10" s="695">
        <v>15.8</v>
      </c>
      <c r="K10" s="777">
        <f t="shared" si="6"/>
        <v>1.4992045454545455</v>
      </c>
      <c r="L10" s="968">
        <v>0</v>
      </c>
      <c r="M10" s="503">
        <f t="shared" si="7"/>
        <v>20</v>
      </c>
      <c r="N10" s="504">
        <v>0.86111111111111116</v>
      </c>
      <c r="O10" s="719">
        <f t="shared" si="8"/>
        <v>0.86111111111111116</v>
      </c>
      <c r="P10" s="564"/>
      <c r="Q10" s="564">
        <f t="shared" si="9"/>
        <v>-0.86111111111111116</v>
      </c>
      <c r="R10" s="965" t="s">
        <v>1520</v>
      </c>
      <c r="S10" s="487"/>
      <c r="T10" s="29"/>
      <c r="U10" s="29" t="str">
        <f t="shared" si="0"/>
        <v>HartleyF0</v>
      </c>
      <c r="V10" s="29" t="str">
        <f t="shared" si="1"/>
        <v>1950F0</v>
      </c>
      <c r="W10" s="80">
        <v>100</v>
      </c>
      <c r="X10" s="32">
        <v>10</v>
      </c>
      <c r="Y10" s="467">
        <v>1</v>
      </c>
      <c r="Z10" s="80"/>
      <c r="AA10" s="29" t="str">
        <f t="shared" si="2"/>
        <v>F0100</v>
      </c>
      <c r="AB10" s="29" t="str">
        <f t="shared" si="3"/>
        <v>F010</v>
      </c>
      <c r="AC10" s="29" t="str">
        <f t="shared" si="4"/>
        <v>F01</v>
      </c>
      <c r="AD10" s="29" t="str">
        <f t="shared" si="5"/>
        <v>F020</v>
      </c>
      <c r="AE10"/>
      <c r="AF10" s="443"/>
      <c r="AG10" s="443"/>
      <c r="AH10" s="443"/>
      <c r="AI10" s="1"/>
      <c r="AK10" s="215"/>
      <c r="AL10" s="215"/>
      <c r="AM10" s="215"/>
      <c r="AN10" s="215"/>
      <c r="AO10" s="215"/>
      <c r="AP10" s="215"/>
    </row>
    <row r="11" spans="1:42" ht="15" customHeight="1">
      <c r="A11" s="728">
        <f t="shared" si="10"/>
        <v>4</v>
      </c>
      <c r="B11" s="563">
        <v>4</v>
      </c>
      <c r="C11" s="694">
        <v>18537</v>
      </c>
      <c r="D11" s="694" t="s">
        <v>153</v>
      </c>
      <c r="E11" s="563">
        <v>1</v>
      </c>
      <c r="F11" s="503">
        <v>1950</v>
      </c>
      <c r="G11" s="563" t="s">
        <v>99</v>
      </c>
      <c r="H11" s="503" t="s">
        <v>123</v>
      </c>
      <c r="I11" s="695">
        <v>33</v>
      </c>
      <c r="J11" s="695">
        <v>15.8</v>
      </c>
      <c r="K11" s="777">
        <f t="shared" si="6"/>
        <v>0.29625000000000001</v>
      </c>
      <c r="L11" s="968">
        <v>25000</v>
      </c>
      <c r="M11" s="503">
        <f t="shared" si="7"/>
        <v>21</v>
      </c>
      <c r="N11" s="504">
        <v>0.875</v>
      </c>
      <c r="O11" s="719">
        <f t="shared" si="8"/>
        <v>0.875</v>
      </c>
      <c r="P11" s="564"/>
      <c r="Q11" s="564">
        <f t="shared" si="9"/>
        <v>-0.875</v>
      </c>
      <c r="R11" s="965" t="s">
        <v>1520</v>
      </c>
      <c r="S11" s="487"/>
      <c r="T11" s="29"/>
      <c r="U11" s="29" t="str">
        <f t="shared" si="0"/>
        <v>CimarronF1</v>
      </c>
      <c r="V11" s="29" t="str">
        <f t="shared" si="1"/>
        <v>1950F1</v>
      </c>
      <c r="W11" s="80">
        <v>20</v>
      </c>
      <c r="X11" s="32">
        <v>10</v>
      </c>
      <c r="Y11" s="467">
        <v>0.2</v>
      </c>
      <c r="Z11" s="80"/>
      <c r="AA11" s="29" t="str">
        <f t="shared" si="2"/>
        <v>F120</v>
      </c>
      <c r="AB11" s="29" t="str">
        <f t="shared" si="3"/>
        <v>F110</v>
      </c>
      <c r="AC11" s="29" t="str">
        <f t="shared" si="4"/>
        <v>F10.2</v>
      </c>
      <c r="AD11" s="29" t="str">
        <f t="shared" si="5"/>
        <v>F121</v>
      </c>
      <c r="AE11" s="216" t="s">
        <v>744</v>
      </c>
      <c r="AF11" s="443"/>
      <c r="AG11" s="443"/>
      <c r="AH11" s="443"/>
      <c r="AI11" s="1"/>
      <c r="AK11" s="215"/>
      <c r="AL11" s="215"/>
      <c r="AM11" s="215"/>
      <c r="AN11" s="215"/>
      <c r="AO11" s="215"/>
      <c r="AP11" s="215"/>
    </row>
    <row r="12" spans="1:42" ht="16.5">
      <c r="A12" s="728">
        <f t="shared" si="10"/>
        <v>5</v>
      </c>
      <c r="B12" s="563">
        <v>1</v>
      </c>
      <c r="C12" s="694">
        <v>18744</v>
      </c>
      <c r="D12" s="694" t="s">
        <v>147</v>
      </c>
      <c r="E12" s="563">
        <v>26</v>
      </c>
      <c r="F12" s="503">
        <v>1951</v>
      </c>
      <c r="G12" s="563" t="s">
        <v>101</v>
      </c>
      <c r="H12" s="503" t="s">
        <v>123</v>
      </c>
      <c r="I12" s="695">
        <v>10</v>
      </c>
      <c r="J12" s="695">
        <v>0.1</v>
      </c>
      <c r="K12" s="777">
        <f t="shared" si="6"/>
        <v>5.6818181818181826E-4</v>
      </c>
      <c r="L12" s="968">
        <v>0</v>
      </c>
      <c r="M12" s="503">
        <f t="shared" si="7"/>
        <v>19</v>
      </c>
      <c r="N12" s="504">
        <v>0.80208333333333337</v>
      </c>
      <c r="O12" s="719">
        <f t="shared" si="8"/>
        <v>0.80208333333333337</v>
      </c>
      <c r="P12" s="564"/>
      <c r="Q12" s="564">
        <f t="shared" si="9"/>
        <v>-0.80208333333333337</v>
      </c>
      <c r="R12" s="965" t="s">
        <v>1520</v>
      </c>
      <c r="S12" s="487"/>
      <c r="T12" s="29"/>
      <c r="U12" s="29" t="str">
        <f t="shared" si="0"/>
        <v>BeaverF1</v>
      </c>
      <c r="V12" s="29" t="str">
        <f t="shared" si="1"/>
        <v>1951F1</v>
      </c>
      <c r="W12" s="80">
        <v>10</v>
      </c>
      <c r="X12" s="32">
        <v>0.1</v>
      </c>
      <c r="Y12" s="467">
        <v>5.0000000000000001E-4</v>
      </c>
      <c r="Z12" s="80"/>
      <c r="AA12" s="29" t="str">
        <f t="shared" si="2"/>
        <v>F110</v>
      </c>
      <c r="AB12" s="29" t="str">
        <f t="shared" si="3"/>
        <v>F10.1</v>
      </c>
      <c r="AC12" s="29" t="str">
        <f t="shared" si="4"/>
        <v>F10.0005</v>
      </c>
      <c r="AD12" s="29" t="str">
        <f t="shared" si="5"/>
        <v>F119</v>
      </c>
      <c r="AE12" s="218" t="s">
        <v>590</v>
      </c>
      <c r="AF12" s="443"/>
      <c r="AG12" s="443"/>
      <c r="AH12" s="443"/>
      <c r="AI12" s="1"/>
      <c r="AK12" s="215"/>
      <c r="AL12" s="215"/>
      <c r="AM12" s="215"/>
      <c r="AN12" s="215"/>
      <c r="AO12" s="215"/>
      <c r="AP12" s="215"/>
    </row>
    <row r="13" spans="1:42" ht="16.5">
      <c r="A13" s="728">
        <f t="shared" si="10"/>
        <v>6</v>
      </c>
      <c r="B13" s="563">
        <v>2</v>
      </c>
      <c r="C13" s="694">
        <v>18762</v>
      </c>
      <c r="D13" s="694" t="s">
        <v>148</v>
      </c>
      <c r="E13" s="563">
        <v>14</v>
      </c>
      <c r="F13" s="503">
        <v>1951</v>
      </c>
      <c r="G13" s="563" t="s">
        <v>100</v>
      </c>
      <c r="H13" s="503" t="s">
        <v>124</v>
      </c>
      <c r="I13" s="695">
        <v>10</v>
      </c>
      <c r="J13" s="695">
        <v>0.1</v>
      </c>
      <c r="K13" s="777">
        <f t="shared" si="6"/>
        <v>5.6818181818181826E-4</v>
      </c>
      <c r="L13" s="968">
        <v>0</v>
      </c>
      <c r="M13" s="503">
        <f t="shared" si="7"/>
        <v>18</v>
      </c>
      <c r="N13" s="504">
        <v>0.75</v>
      </c>
      <c r="O13" s="719">
        <f t="shared" si="8"/>
        <v>0.75</v>
      </c>
      <c r="P13" s="564"/>
      <c r="Q13" s="564">
        <f t="shared" si="9"/>
        <v>-0.75</v>
      </c>
      <c r="R13" s="965" t="s">
        <v>1520</v>
      </c>
      <c r="S13" s="487"/>
      <c r="T13" s="29"/>
      <c r="U13" s="29" t="str">
        <f t="shared" si="0"/>
        <v>TexasF2</v>
      </c>
      <c r="V13" s="29" t="str">
        <f t="shared" si="1"/>
        <v>1951F2</v>
      </c>
      <c r="W13" s="80">
        <v>10</v>
      </c>
      <c r="X13" s="32">
        <v>0.1</v>
      </c>
      <c r="Y13" s="467">
        <v>5.0000000000000001E-4</v>
      </c>
      <c r="Z13" s="80"/>
      <c r="AA13" s="29" t="str">
        <f t="shared" si="2"/>
        <v>F210</v>
      </c>
      <c r="AB13" s="29" t="str">
        <f t="shared" si="3"/>
        <v>F20.1</v>
      </c>
      <c r="AC13" s="29" t="str">
        <f t="shared" si="4"/>
        <v>F20.0005</v>
      </c>
      <c r="AD13" s="29" t="str">
        <f t="shared" si="5"/>
        <v>F218</v>
      </c>
      <c r="AE13"/>
      <c r="AF13" s="443"/>
      <c r="AG13" s="443"/>
      <c r="AH13" s="443"/>
      <c r="AI13" s="1"/>
      <c r="AK13" s="215"/>
      <c r="AL13" s="215"/>
      <c r="AM13" s="215"/>
      <c r="AN13" s="215"/>
      <c r="AO13" s="215"/>
      <c r="AP13" s="215"/>
    </row>
    <row r="14" spans="1:42" ht="16.5">
      <c r="A14" s="728">
        <f t="shared" si="10"/>
        <v>7</v>
      </c>
      <c r="B14" s="563">
        <v>3</v>
      </c>
      <c r="C14" s="694">
        <v>18762</v>
      </c>
      <c r="D14" s="694" t="s">
        <v>148</v>
      </c>
      <c r="E14" s="563">
        <v>14</v>
      </c>
      <c r="F14" s="503">
        <v>1951</v>
      </c>
      <c r="G14" s="563" t="s">
        <v>100</v>
      </c>
      <c r="H14" s="503" t="s">
        <v>124</v>
      </c>
      <c r="I14" s="695">
        <v>10</v>
      </c>
      <c r="J14" s="695">
        <v>0.1</v>
      </c>
      <c r="K14" s="777">
        <f t="shared" si="6"/>
        <v>5.6818181818181826E-4</v>
      </c>
      <c r="L14" s="968">
        <v>3000</v>
      </c>
      <c r="M14" s="503">
        <f t="shared" si="7"/>
        <v>18</v>
      </c>
      <c r="N14" s="504">
        <v>0.75</v>
      </c>
      <c r="O14" s="719">
        <f t="shared" si="8"/>
        <v>0.75</v>
      </c>
      <c r="P14" s="564"/>
      <c r="Q14" s="564">
        <f t="shared" si="9"/>
        <v>-0.75</v>
      </c>
      <c r="R14" s="965" t="s">
        <v>1520</v>
      </c>
      <c r="S14" s="487"/>
      <c r="T14" s="29"/>
      <c r="U14" s="29" t="str">
        <f t="shared" si="0"/>
        <v>TexasF2</v>
      </c>
      <c r="V14" s="29" t="str">
        <f t="shared" si="1"/>
        <v>1951F2</v>
      </c>
      <c r="W14" s="80">
        <v>10</v>
      </c>
      <c r="X14" s="32">
        <v>0.1</v>
      </c>
      <c r="Y14" s="467">
        <v>5.0000000000000001E-4</v>
      </c>
      <c r="Z14" s="80"/>
      <c r="AA14" s="29" t="str">
        <f t="shared" si="2"/>
        <v>F210</v>
      </c>
      <c r="AB14" s="29" t="str">
        <f t="shared" si="3"/>
        <v>F20.1</v>
      </c>
      <c r="AC14" s="29" t="str">
        <f t="shared" si="4"/>
        <v>F20.0005</v>
      </c>
      <c r="AD14" s="29" t="str">
        <f t="shared" si="5"/>
        <v>F218</v>
      </c>
      <c r="AE14" s="348" t="s">
        <v>745</v>
      </c>
      <c r="AF14" s="443"/>
      <c r="AG14" s="443"/>
      <c r="AH14" s="443"/>
      <c r="AI14" s="1"/>
      <c r="AK14" s="215"/>
      <c r="AL14" s="215"/>
      <c r="AM14" s="215"/>
      <c r="AN14" s="215"/>
      <c r="AO14" s="215"/>
      <c r="AP14" s="215"/>
    </row>
    <row r="15" spans="1:42" ht="16.5">
      <c r="A15" s="728">
        <f t="shared" si="10"/>
        <v>8</v>
      </c>
      <c r="B15" s="563">
        <v>4</v>
      </c>
      <c r="C15" s="694">
        <v>18779</v>
      </c>
      <c r="D15" s="694" t="s">
        <v>148</v>
      </c>
      <c r="E15" s="563">
        <v>31</v>
      </c>
      <c r="F15" s="503">
        <v>1951</v>
      </c>
      <c r="G15" s="563" t="s">
        <v>109</v>
      </c>
      <c r="H15" s="503" t="s">
        <v>123</v>
      </c>
      <c r="I15" s="695">
        <v>17</v>
      </c>
      <c r="J15" s="695">
        <v>0.5</v>
      </c>
      <c r="K15" s="777">
        <f t="shared" si="6"/>
        <v>4.8295454545454544E-3</v>
      </c>
      <c r="L15" s="968">
        <v>25000</v>
      </c>
      <c r="M15" s="503">
        <f t="shared" si="7"/>
        <v>16</v>
      </c>
      <c r="N15" s="504">
        <v>0.66666666666666663</v>
      </c>
      <c r="O15" s="719">
        <f t="shared" si="8"/>
        <v>0.66666666666666663</v>
      </c>
      <c r="P15" s="564"/>
      <c r="Q15" s="564">
        <f t="shared" si="9"/>
        <v>-0.66666666666666663</v>
      </c>
      <c r="R15" s="965" t="s">
        <v>1520</v>
      </c>
      <c r="S15" s="487"/>
      <c r="T15" s="29"/>
      <c r="U15" s="29" t="str">
        <f t="shared" si="0"/>
        <v>HutchinsonF1</v>
      </c>
      <c r="V15" s="29" t="str">
        <f t="shared" si="1"/>
        <v>1951F1</v>
      </c>
      <c r="W15" s="80">
        <v>10</v>
      </c>
      <c r="X15" s="32">
        <v>0.5</v>
      </c>
      <c r="Y15" s="467">
        <v>2E-3</v>
      </c>
      <c r="Z15" s="80"/>
      <c r="AA15" s="29" t="str">
        <f t="shared" si="2"/>
        <v>F110</v>
      </c>
      <c r="AB15" s="29" t="str">
        <f t="shared" si="3"/>
        <v>F10.5</v>
      </c>
      <c r="AC15" s="29" t="str">
        <f t="shared" si="4"/>
        <v>F10.002</v>
      </c>
      <c r="AD15" s="29" t="str">
        <f t="shared" si="5"/>
        <v>F116</v>
      </c>
      <c r="AE15" s="215" t="s">
        <v>591</v>
      </c>
      <c r="AF15" s="443"/>
      <c r="AG15" s="443"/>
      <c r="AH15" s="443"/>
      <c r="AI15" s="1"/>
      <c r="AK15" s="215"/>
      <c r="AL15" s="215"/>
      <c r="AM15" s="215"/>
      <c r="AN15" s="215"/>
      <c r="AO15" s="215"/>
      <c r="AP15" s="215"/>
    </row>
    <row r="16" spans="1:42" ht="16.5">
      <c r="A16" s="728">
        <f t="shared" si="10"/>
        <v>9</v>
      </c>
      <c r="B16" s="563">
        <v>5</v>
      </c>
      <c r="C16" s="694">
        <v>18784</v>
      </c>
      <c r="D16" s="694" t="s">
        <v>149</v>
      </c>
      <c r="E16" s="563">
        <v>5</v>
      </c>
      <c r="F16" s="503">
        <v>1951</v>
      </c>
      <c r="G16" s="563" t="s">
        <v>100</v>
      </c>
      <c r="H16" s="503" t="s">
        <v>124</v>
      </c>
      <c r="I16" s="695">
        <v>10</v>
      </c>
      <c r="J16" s="695">
        <v>0.1</v>
      </c>
      <c r="K16" s="777">
        <f t="shared" si="6"/>
        <v>5.6818181818181826E-4</v>
      </c>
      <c r="L16" s="968">
        <v>3000</v>
      </c>
      <c r="M16" s="503">
        <f t="shared" si="7"/>
        <v>18</v>
      </c>
      <c r="N16" s="504">
        <v>0.75</v>
      </c>
      <c r="O16" s="719">
        <f t="shared" si="8"/>
        <v>0.75</v>
      </c>
      <c r="P16" s="564"/>
      <c r="Q16" s="564">
        <f t="shared" si="9"/>
        <v>-0.75</v>
      </c>
      <c r="R16" s="965" t="s">
        <v>1520</v>
      </c>
      <c r="S16" s="487"/>
      <c r="T16" s="29"/>
      <c r="U16" s="29" t="str">
        <f t="shared" si="0"/>
        <v>TexasF2</v>
      </c>
      <c r="V16" s="29" t="str">
        <f t="shared" si="1"/>
        <v>1951F2</v>
      </c>
      <c r="W16" s="80">
        <v>10</v>
      </c>
      <c r="X16" s="32">
        <v>0.1</v>
      </c>
      <c r="Y16" s="467">
        <v>5.0000000000000001E-4</v>
      </c>
      <c r="Z16" s="80"/>
      <c r="AA16" s="29" t="str">
        <f t="shared" si="2"/>
        <v>F210</v>
      </c>
      <c r="AB16" s="29" t="str">
        <f t="shared" si="3"/>
        <v>F20.1</v>
      </c>
      <c r="AC16" s="29" t="str">
        <f t="shared" si="4"/>
        <v>F20.0005</v>
      </c>
      <c r="AD16" s="29" t="str">
        <f t="shared" si="5"/>
        <v>F218</v>
      </c>
      <c r="AE16" s="215"/>
      <c r="AF16" s="443"/>
      <c r="AG16" s="443"/>
      <c r="AH16" s="443"/>
      <c r="AI16" s="1"/>
      <c r="AK16" s="215"/>
      <c r="AL16" s="215"/>
      <c r="AM16" s="215"/>
      <c r="AN16" s="215"/>
      <c r="AO16" s="215"/>
      <c r="AP16" s="215"/>
    </row>
    <row r="17" spans="1:42" ht="16.5">
      <c r="A17" s="728">
        <f t="shared" si="10"/>
        <v>10</v>
      </c>
      <c r="B17" s="563">
        <v>6</v>
      </c>
      <c r="C17" s="694">
        <v>18785</v>
      </c>
      <c r="D17" s="694" t="s">
        <v>149</v>
      </c>
      <c r="E17" s="563">
        <v>6</v>
      </c>
      <c r="F17" s="503">
        <v>1951</v>
      </c>
      <c r="G17" s="563" t="s">
        <v>113</v>
      </c>
      <c r="H17" s="503" t="s">
        <v>123</v>
      </c>
      <c r="I17" s="695">
        <v>10</v>
      </c>
      <c r="J17" s="695">
        <v>0.1</v>
      </c>
      <c r="K17" s="777">
        <f t="shared" si="6"/>
        <v>5.6818181818181826E-4</v>
      </c>
      <c r="L17" s="968">
        <v>25000</v>
      </c>
      <c r="M17" s="503">
        <f t="shared" si="7"/>
        <v>18</v>
      </c>
      <c r="N17" s="504">
        <v>0.76388888888888884</v>
      </c>
      <c r="O17" s="719">
        <f t="shared" si="8"/>
        <v>0.76388888888888884</v>
      </c>
      <c r="P17" s="564"/>
      <c r="Q17" s="564">
        <f t="shared" si="9"/>
        <v>-0.76388888888888884</v>
      </c>
      <c r="R17" s="965" t="s">
        <v>1520</v>
      </c>
      <c r="S17" s="487"/>
      <c r="T17" s="29"/>
      <c r="U17" s="29" t="str">
        <f t="shared" si="0"/>
        <v>PotterF1</v>
      </c>
      <c r="V17" s="29" t="str">
        <f t="shared" si="1"/>
        <v>1951F1</v>
      </c>
      <c r="W17" s="80">
        <v>10</v>
      </c>
      <c r="X17" s="32">
        <v>0.1</v>
      </c>
      <c r="Y17" s="467">
        <v>5.0000000000000001E-4</v>
      </c>
      <c r="Z17" s="80"/>
      <c r="AA17" s="29" t="str">
        <f t="shared" si="2"/>
        <v>F110</v>
      </c>
      <c r="AB17" s="29" t="str">
        <f t="shared" si="3"/>
        <v>F10.1</v>
      </c>
      <c r="AC17" s="29" t="str">
        <f t="shared" si="4"/>
        <v>F10.0005</v>
      </c>
      <c r="AD17" s="29" t="str">
        <f t="shared" si="5"/>
        <v>F118</v>
      </c>
      <c r="AE17" s="348" t="s">
        <v>746</v>
      </c>
      <c r="AF17" s="443"/>
      <c r="AG17" s="443"/>
      <c r="AH17" s="443"/>
      <c r="AI17" s="1"/>
      <c r="AK17" s="215"/>
      <c r="AL17" s="215"/>
      <c r="AM17" s="215"/>
      <c r="AN17" s="215"/>
      <c r="AO17" s="215"/>
      <c r="AP17" s="215"/>
    </row>
    <row r="18" spans="1:42" ht="16.5">
      <c r="A18" s="728">
        <f t="shared" si="10"/>
        <v>11</v>
      </c>
      <c r="B18" s="563">
        <v>7</v>
      </c>
      <c r="C18" s="694">
        <v>18785</v>
      </c>
      <c r="D18" s="694" t="s">
        <v>149</v>
      </c>
      <c r="E18" s="563">
        <v>6</v>
      </c>
      <c r="F18" s="503">
        <v>1951</v>
      </c>
      <c r="G18" s="563" t="s">
        <v>114</v>
      </c>
      <c r="H18" s="503" t="s">
        <v>123</v>
      </c>
      <c r="I18" s="695">
        <v>10</v>
      </c>
      <c r="J18" s="695">
        <v>0.1</v>
      </c>
      <c r="K18" s="777">
        <f t="shared" si="6"/>
        <v>5.6818181818181826E-4</v>
      </c>
      <c r="L18" s="968">
        <v>0</v>
      </c>
      <c r="M18" s="503">
        <f t="shared" si="7"/>
        <v>18</v>
      </c>
      <c r="N18" s="504">
        <v>0.78472222222222221</v>
      </c>
      <c r="O18" s="719">
        <f t="shared" si="8"/>
        <v>0.78472222222222221</v>
      </c>
      <c r="P18" s="564"/>
      <c r="Q18" s="564">
        <f t="shared" si="9"/>
        <v>-0.78472222222222221</v>
      </c>
      <c r="R18" s="965" t="s">
        <v>1520</v>
      </c>
      <c r="S18" s="487"/>
      <c r="T18" s="29"/>
      <c r="U18" s="29" t="str">
        <f t="shared" si="0"/>
        <v>CarsonF1</v>
      </c>
      <c r="V18" s="29" t="str">
        <f t="shared" si="1"/>
        <v>1951F1</v>
      </c>
      <c r="W18" s="80">
        <v>10</v>
      </c>
      <c r="X18" s="32">
        <v>0.1</v>
      </c>
      <c r="Y18" s="467">
        <v>5.0000000000000001E-4</v>
      </c>
      <c r="Z18" s="80"/>
      <c r="AA18" s="29" t="str">
        <f t="shared" si="2"/>
        <v>F110</v>
      </c>
      <c r="AB18" s="29" t="str">
        <f t="shared" si="3"/>
        <v>F10.1</v>
      </c>
      <c r="AC18" s="29" t="str">
        <f t="shared" si="4"/>
        <v>F10.0005</v>
      </c>
      <c r="AD18" s="29" t="str">
        <f t="shared" si="5"/>
        <v>F118</v>
      </c>
      <c r="AE18" s="215" t="s">
        <v>592</v>
      </c>
      <c r="AF18" s="443"/>
      <c r="AG18" s="443"/>
      <c r="AH18" s="443"/>
      <c r="AI18" s="1"/>
      <c r="AK18" s="215"/>
      <c r="AL18" s="215"/>
      <c r="AM18" s="215"/>
      <c r="AN18" s="215"/>
      <c r="AO18" s="215"/>
      <c r="AP18" s="215"/>
    </row>
    <row r="19" spans="1:42" ht="16.5">
      <c r="A19" s="728">
        <f t="shared" si="10"/>
        <v>12</v>
      </c>
      <c r="B19" s="563">
        <v>8</v>
      </c>
      <c r="C19" s="694">
        <v>18785</v>
      </c>
      <c r="D19" s="694" t="s">
        <v>149</v>
      </c>
      <c r="E19" s="563">
        <v>6</v>
      </c>
      <c r="F19" s="503">
        <v>1951</v>
      </c>
      <c r="G19" s="563" t="s">
        <v>114</v>
      </c>
      <c r="H19" s="503" t="s">
        <v>125</v>
      </c>
      <c r="I19" s="695">
        <v>100</v>
      </c>
      <c r="J19" s="695">
        <v>10.4</v>
      </c>
      <c r="K19" s="777">
        <f t="shared" si="6"/>
        <v>0.59090909090909094</v>
      </c>
      <c r="L19" s="968">
        <v>250000</v>
      </c>
      <c r="M19" s="503">
        <f t="shared" si="7"/>
        <v>20</v>
      </c>
      <c r="N19" s="504">
        <v>0.83750000000000002</v>
      </c>
      <c r="O19" s="719">
        <f t="shared" si="8"/>
        <v>0.83750000000000002</v>
      </c>
      <c r="P19" s="564"/>
      <c r="Q19" s="564">
        <f t="shared" si="9"/>
        <v>-0.83750000000000002</v>
      </c>
      <c r="R19" s="965" t="s">
        <v>1529</v>
      </c>
      <c r="S19" s="487"/>
      <c r="T19" s="29"/>
      <c r="U19" s="29" t="str">
        <f t="shared" si="0"/>
        <v>CarsonF3</v>
      </c>
      <c r="V19" s="29" t="str">
        <f t="shared" si="1"/>
        <v>1951F3</v>
      </c>
      <c r="W19" s="80">
        <v>100</v>
      </c>
      <c r="X19" s="32">
        <v>10</v>
      </c>
      <c r="Y19" s="467">
        <v>0.5</v>
      </c>
      <c r="Z19" s="80"/>
      <c r="AA19" s="29" t="str">
        <f t="shared" si="2"/>
        <v>F3100</v>
      </c>
      <c r="AB19" s="29" t="str">
        <f t="shared" si="3"/>
        <v>F310</v>
      </c>
      <c r="AC19" s="29" t="str">
        <f t="shared" si="4"/>
        <v>F30.5</v>
      </c>
      <c r="AD19" s="29" t="str">
        <f t="shared" si="5"/>
        <v>F320</v>
      </c>
      <c r="AE19" s="215"/>
      <c r="AF19" s="443"/>
      <c r="AG19" s="443"/>
      <c r="AH19" s="443"/>
      <c r="AI19" s="1"/>
      <c r="AK19" s="215"/>
      <c r="AL19" s="215"/>
      <c r="AM19" s="215"/>
      <c r="AN19" s="215"/>
      <c r="AO19" s="215"/>
      <c r="AP19" s="215"/>
    </row>
    <row r="20" spans="1:42" ht="16.5">
      <c r="A20" s="728">
        <f t="shared" si="10"/>
        <v>13</v>
      </c>
      <c r="B20" s="563">
        <v>9</v>
      </c>
      <c r="C20" s="694">
        <v>18785</v>
      </c>
      <c r="D20" s="694" t="s">
        <v>149</v>
      </c>
      <c r="E20" s="563">
        <v>6</v>
      </c>
      <c r="F20" s="503">
        <v>1951</v>
      </c>
      <c r="G20" s="563" t="s">
        <v>115</v>
      </c>
      <c r="H20" s="503" t="s">
        <v>122</v>
      </c>
      <c r="I20" s="695">
        <v>10</v>
      </c>
      <c r="J20" s="695">
        <v>0.1</v>
      </c>
      <c r="K20" s="777">
        <f t="shared" si="6"/>
        <v>5.6818181818181826E-4</v>
      </c>
      <c r="L20" s="968">
        <v>3000</v>
      </c>
      <c r="M20" s="503">
        <f t="shared" si="7"/>
        <v>20</v>
      </c>
      <c r="N20" s="504">
        <v>0.86111111111111116</v>
      </c>
      <c r="O20" s="719">
        <f t="shared" si="8"/>
        <v>0.86111111111111116</v>
      </c>
      <c r="P20" s="564"/>
      <c r="Q20" s="564">
        <f t="shared" si="9"/>
        <v>-0.86111111111111116</v>
      </c>
      <c r="R20" s="965" t="s">
        <v>1520</v>
      </c>
      <c r="S20" s="487"/>
      <c r="T20" s="29"/>
      <c r="U20" s="29" t="str">
        <f t="shared" si="0"/>
        <v>GrayF0</v>
      </c>
      <c r="V20" s="29" t="str">
        <f t="shared" si="1"/>
        <v>1951F0</v>
      </c>
      <c r="W20" s="80">
        <v>10</v>
      </c>
      <c r="X20" s="32">
        <v>0.1</v>
      </c>
      <c r="Y20" s="467">
        <v>5.0000000000000001E-4</v>
      </c>
      <c r="Z20" s="80"/>
      <c r="AA20" s="29" t="str">
        <f t="shared" si="2"/>
        <v>F010</v>
      </c>
      <c r="AB20" s="29" t="str">
        <f t="shared" si="3"/>
        <v>F00.1</v>
      </c>
      <c r="AC20" s="29" t="str">
        <f t="shared" si="4"/>
        <v>F00.0005</v>
      </c>
      <c r="AD20" s="29" t="str">
        <f t="shared" si="5"/>
        <v>F020</v>
      </c>
      <c r="AE20" s="348" t="s">
        <v>747</v>
      </c>
      <c r="AF20" s="443"/>
      <c r="AG20" s="443"/>
      <c r="AH20" s="443"/>
      <c r="AI20" s="1"/>
      <c r="AK20" s="215"/>
      <c r="AL20" s="215"/>
      <c r="AM20" s="215"/>
      <c r="AN20" s="215"/>
      <c r="AO20" s="215"/>
      <c r="AP20" s="215"/>
    </row>
    <row r="21" spans="1:42" ht="16.5">
      <c r="A21" s="728">
        <f t="shared" si="10"/>
        <v>14</v>
      </c>
      <c r="B21" s="563">
        <v>10</v>
      </c>
      <c r="C21" s="694">
        <v>18800</v>
      </c>
      <c r="D21" s="694" t="s">
        <v>149</v>
      </c>
      <c r="E21" s="563">
        <v>21</v>
      </c>
      <c r="F21" s="503">
        <v>1951</v>
      </c>
      <c r="G21" s="563" t="s">
        <v>99</v>
      </c>
      <c r="H21" s="503" t="s">
        <v>123</v>
      </c>
      <c r="I21" s="695">
        <v>33</v>
      </c>
      <c r="J21" s="695">
        <v>4.3</v>
      </c>
      <c r="K21" s="777">
        <f t="shared" si="6"/>
        <v>8.0624999999999988E-2</v>
      </c>
      <c r="L21" s="968">
        <v>3000</v>
      </c>
      <c r="M21" s="503">
        <f t="shared" si="7"/>
        <v>17</v>
      </c>
      <c r="N21" s="504">
        <v>0.70833333333333337</v>
      </c>
      <c r="O21" s="719">
        <f t="shared" si="8"/>
        <v>0.70833333333333337</v>
      </c>
      <c r="P21" s="564"/>
      <c r="Q21" s="564">
        <f t="shared" si="9"/>
        <v>-0.70833333333333337</v>
      </c>
      <c r="R21" s="965" t="s">
        <v>1520</v>
      </c>
      <c r="S21" s="487"/>
      <c r="T21" s="29"/>
      <c r="U21" s="29" t="str">
        <f t="shared" si="0"/>
        <v>CimarronF1</v>
      </c>
      <c r="V21" s="29" t="str">
        <f t="shared" si="1"/>
        <v>1951F1</v>
      </c>
      <c r="W21" s="80">
        <v>20</v>
      </c>
      <c r="X21" s="32">
        <v>2</v>
      </c>
      <c r="Y21" s="467">
        <v>0.05</v>
      </c>
      <c r="Z21" s="80"/>
      <c r="AA21" s="29" t="str">
        <f t="shared" si="2"/>
        <v>F120</v>
      </c>
      <c r="AB21" s="29" t="str">
        <f t="shared" si="3"/>
        <v>F12</v>
      </c>
      <c r="AC21" s="29" t="str">
        <f t="shared" si="4"/>
        <v>F10.05</v>
      </c>
      <c r="AD21" s="29" t="str">
        <f t="shared" si="5"/>
        <v>F117</v>
      </c>
      <c r="AE21" s="215" t="s">
        <v>593</v>
      </c>
      <c r="AF21" s="443"/>
      <c r="AG21" s="443"/>
      <c r="AH21" s="443"/>
      <c r="AI21" s="1"/>
      <c r="AK21" s="215"/>
      <c r="AL21" s="215"/>
      <c r="AM21" s="215"/>
      <c r="AN21" s="215"/>
      <c r="AO21" s="215"/>
      <c r="AP21" s="215"/>
    </row>
    <row r="22" spans="1:42" ht="16.5">
      <c r="A22" s="728">
        <f t="shared" si="10"/>
        <v>15</v>
      </c>
      <c r="B22" s="563">
        <v>1</v>
      </c>
      <c r="C22" s="694">
        <v>19191</v>
      </c>
      <c r="D22" s="694" t="s">
        <v>150</v>
      </c>
      <c r="E22" s="563">
        <v>16</v>
      </c>
      <c r="F22" s="503">
        <v>1952</v>
      </c>
      <c r="G22" s="563" t="s">
        <v>101</v>
      </c>
      <c r="H22" s="503" t="s">
        <v>123</v>
      </c>
      <c r="I22" s="695">
        <v>30</v>
      </c>
      <c r="J22" s="695">
        <v>0.1</v>
      </c>
      <c r="K22" s="777">
        <f t="shared" si="6"/>
        <v>1.7045454545454545E-3</v>
      </c>
      <c r="L22" s="968">
        <v>25000</v>
      </c>
      <c r="M22" s="503">
        <f t="shared" si="7"/>
        <v>17</v>
      </c>
      <c r="N22" s="504">
        <v>0.72916666666666663</v>
      </c>
      <c r="O22" s="719">
        <f t="shared" si="8"/>
        <v>0.72916666666666663</v>
      </c>
      <c r="P22" s="564"/>
      <c r="Q22" s="564">
        <f t="shared" si="9"/>
        <v>-0.72916666666666663</v>
      </c>
      <c r="R22" s="965" t="s">
        <v>1520</v>
      </c>
      <c r="S22" s="487"/>
      <c r="T22" s="29"/>
      <c r="U22" s="29" t="str">
        <f t="shared" si="0"/>
        <v>BeaverF1</v>
      </c>
      <c r="V22" s="29" t="str">
        <f t="shared" si="1"/>
        <v>1952F1</v>
      </c>
      <c r="W22" s="80">
        <v>20</v>
      </c>
      <c r="X22" s="32">
        <v>0.1</v>
      </c>
      <c r="Y22" s="467">
        <v>1E-3</v>
      </c>
      <c r="Z22" s="80"/>
      <c r="AA22" s="29" t="str">
        <f t="shared" si="2"/>
        <v>F120</v>
      </c>
      <c r="AB22" s="29" t="str">
        <f t="shared" si="3"/>
        <v>F10.1</v>
      </c>
      <c r="AC22" s="29" t="str">
        <f t="shared" si="4"/>
        <v>F10.001</v>
      </c>
      <c r="AD22" s="29" t="str">
        <f t="shared" si="5"/>
        <v>F117</v>
      </c>
      <c r="AE22" s="215" t="s">
        <v>594</v>
      </c>
      <c r="AF22" s="443"/>
      <c r="AG22" s="443"/>
      <c r="AH22" s="443"/>
      <c r="AI22" s="1"/>
      <c r="AK22" s="215"/>
      <c r="AL22" s="215"/>
      <c r="AM22" s="215"/>
      <c r="AN22" s="215"/>
      <c r="AO22" s="215"/>
      <c r="AP22" s="215"/>
    </row>
    <row r="23" spans="1:42" ht="16.5">
      <c r="A23" s="728">
        <f t="shared" si="10"/>
        <v>16</v>
      </c>
      <c r="B23" s="563">
        <v>1</v>
      </c>
      <c r="C23" s="694">
        <v>19515</v>
      </c>
      <c r="D23" s="694" t="s">
        <v>149</v>
      </c>
      <c r="E23" s="563">
        <v>5</v>
      </c>
      <c r="F23" s="503">
        <v>1953</v>
      </c>
      <c r="G23" s="563" t="s">
        <v>121</v>
      </c>
      <c r="H23" s="503" t="s">
        <v>122</v>
      </c>
      <c r="I23" s="695">
        <v>10</v>
      </c>
      <c r="J23" s="695">
        <v>0.1</v>
      </c>
      <c r="K23" s="777">
        <f t="shared" si="6"/>
        <v>5.6818181818181826E-4</v>
      </c>
      <c r="L23" s="968">
        <v>0</v>
      </c>
      <c r="M23" s="503">
        <f t="shared" si="7"/>
        <v>13</v>
      </c>
      <c r="N23" s="504">
        <v>0.5625</v>
      </c>
      <c r="O23" s="719">
        <f t="shared" si="8"/>
        <v>0.5625</v>
      </c>
      <c r="P23" s="564"/>
      <c r="Q23" s="564">
        <f t="shared" si="9"/>
        <v>-0.5625</v>
      </c>
      <c r="R23" s="965" t="s">
        <v>1520</v>
      </c>
      <c r="S23" s="487"/>
      <c r="T23" s="29"/>
      <c r="U23" s="29" t="str">
        <f t="shared" si="0"/>
        <v>CollingsworthF0</v>
      </c>
      <c r="V23" s="29" t="str">
        <f t="shared" si="1"/>
        <v>1953F0</v>
      </c>
      <c r="W23" s="80">
        <v>10</v>
      </c>
      <c r="X23" s="32">
        <v>0.1</v>
      </c>
      <c r="Y23" s="467">
        <v>5.0000000000000001E-4</v>
      </c>
      <c r="Z23" s="80"/>
      <c r="AA23" s="29" t="str">
        <f t="shared" si="2"/>
        <v>F010</v>
      </c>
      <c r="AB23" s="29" t="str">
        <f t="shared" si="3"/>
        <v>F00.1</v>
      </c>
      <c r="AC23" s="29" t="str">
        <f t="shared" si="4"/>
        <v>F00.0005</v>
      </c>
      <c r="AD23" s="29" t="str">
        <f t="shared" si="5"/>
        <v>F013</v>
      </c>
      <c r="AE23" s="215" t="s">
        <v>595</v>
      </c>
      <c r="AF23" s="443"/>
      <c r="AG23" s="443"/>
      <c r="AH23" s="443"/>
      <c r="AI23" s="1"/>
      <c r="AK23" s="215"/>
      <c r="AL23" s="215"/>
      <c r="AM23" s="215"/>
      <c r="AN23" s="215"/>
      <c r="AO23" s="215"/>
      <c r="AP23" s="215"/>
    </row>
    <row r="24" spans="1:42" ht="16.5">
      <c r="A24" s="728">
        <f t="shared" si="10"/>
        <v>17</v>
      </c>
      <c r="B24" s="563">
        <v>2</v>
      </c>
      <c r="C24" s="694">
        <v>19532</v>
      </c>
      <c r="D24" s="694" t="s">
        <v>149</v>
      </c>
      <c r="E24" s="563">
        <v>22</v>
      </c>
      <c r="F24" s="503">
        <v>1953</v>
      </c>
      <c r="G24" s="563" t="s">
        <v>101</v>
      </c>
      <c r="H24" s="503" t="s">
        <v>123</v>
      </c>
      <c r="I24" s="695">
        <v>300</v>
      </c>
      <c r="J24" s="695">
        <v>1</v>
      </c>
      <c r="K24" s="777">
        <f t="shared" si="6"/>
        <v>0.17045454545454544</v>
      </c>
      <c r="L24" s="968">
        <v>0</v>
      </c>
      <c r="M24" s="503">
        <f t="shared" si="7"/>
        <v>22</v>
      </c>
      <c r="N24" s="504">
        <v>0.91666666666666663</v>
      </c>
      <c r="O24" s="719">
        <f t="shared" si="8"/>
        <v>0.91666666666666663</v>
      </c>
      <c r="P24" s="564"/>
      <c r="Q24" s="564">
        <f t="shared" si="9"/>
        <v>-0.91666666666666663</v>
      </c>
      <c r="R24" s="965" t="s">
        <v>1520</v>
      </c>
      <c r="S24" s="487"/>
      <c r="T24" s="29"/>
      <c r="U24" s="29" t="str">
        <f t="shared" si="0"/>
        <v>BeaverF1</v>
      </c>
      <c r="V24" s="29" t="str">
        <f t="shared" si="1"/>
        <v>1953F1</v>
      </c>
      <c r="W24" s="80">
        <v>200</v>
      </c>
      <c r="X24" s="32">
        <v>1</v>
      </c>
      <c r="Y24" s="467">
        <v>0.1</v>
      </c>
      <c r="Z24" s="80"/>
      <c r="AA24" s="29" t="str">
        <f t="shared" si="2"/>
        <v>F1200</v>
      </c>
      <c r="AB24" s="29" t="str">
        <f t="shared" si="3"/>
        <v>F11</v>
      </c>
      <c r="AC24" s="29" t="str">
        <f t="shared" si="4"/>
        <v>F10.1</v>
      </c>
      <c r="AD24" s="29" t="str">
        <f t="shared" si="5"/>
        <v>F122</v>
      </c>
      <c r="AE24" s="215" t="s">
        <v>596</v>
      </c>
      <c r="AF24" s="443"/>
      <c r="AG24" s="443"/>
      <c r="AH24" s="443"/>
      <c r="AI24" s="1"/>
      <c r="AK24" s="215"/>
      <c r="AL24" s="215"/>
      <c r="AM24" s="215"/>
      <c r="AN24" s="215"/>
      <c r="AO24" s="215"/>
      <c r="AP24" s="215"/>
    </row>
    <row r="25" spans="1:42" ht="16.5">
      <c r="A25" s="728">
        <f t="shared" si="10"/>
        <v>18</v>
      </c>
      <c r="B25" s="563">
        <v>1</v>
      </c>
      <c r="C25" s="694">
        <v>19866</v>
      </c>
      <c r="D25" s="694" t="s">
        <v>148</v>
      </c>
      <c r="E25" s="563">
        <v>22</v>
      </c>
      <c r="F25" s="503">
        <v>1954</v>
      </c>
      <c r="G25" s="563" t="s">
        <v>111</v>
      </c>
      <c r="H25" s="503" t="s">
        <v>123</v>
      </c>
      <c r="I25" s="695">
        <v>10</v>
      </c>
      <c r="J25" s="695">
        <v>0.1</v>
      </c>
      <c r="K25" s="777">
        <f t="shared" si="6"/>
        <v>5.6818181818181826E-4</v>
      </c>
      <c r="L25" s="968">
        <v>0</v>
      </c>
      <c r="M25" s="503">
        <f t="shared" si="7"/>
        <v>21</v>
      </c>
      <c r="N25" s="504">
        <v>0.875</v>
      </c>
      <c r="O25" s="719">
        <f t="shared" si="8"/>
        <v>0.875</v>
      </c>
      <c r="P25" s="564"/>
      <c r="Q25" s="564">
        <f t="shared" si="9"/>
        <v>-0.875</v>
      </c>
      <c r="R25" s="965" t="s">
        <v>1520</v>
      </c>
      <c r="S25" s="487"/>
      <c r="T25" s="29"/>
      <c r="U25" s="29" t="str">
        <f t="shared" si="0"/>
        <v>HemphillF1</v>
      </c>
      <c r="V25" s="29" t="str">
        <f t="shared" si="1"/>
        <v>1954F1</v>
      </c>
      <c r="W25" s="80">
        <v>10</v>
      </c>
      <c r="X25" s="32">
        <v>0.1</v>
      </c>
      <c r="Y25" s="467">
        <v>5.0000000000000001E-4</v>
      </c>
      <c r="Z25" s="80"/>
      <c r="AA25" s="29" t="str">
        <f t="shared" si="2"/>
        <v>F110</v>
      </c>
      <c r="AB25" s="29" t="str">
        <f t="shared" si="3"/>
        <v>F10.1</v>
      </c>
      <c r="AC25" s="29" t="str">
        <f t="shared" si="4"/>
        <v>F10.0005</v>
      </c>
      <c r="AD25" s="29" t="str">
        <f t="shared" si="5"/>
        <v>F121</v>
      </c>
      <c r="AE25" s="215" t="s">
        <v>597</v>
      </c>
      <c r="AF25" s="443"/>
      <c r="AG25" s="443"/>
      <c r="AH25" s="443"/>
      <c r="AI25" s="1"/>
      <c r="AK25" s="215"/>
      <c r="AL25" s="215"/>
      <c r="AM25" s="215"/>
      <c r="AN25" s="215"/>
      <c r="AO25" s="215"/>
      <c r="AP25" s="215"/>
    </row>
    <row r="26" spans="1:42" ht="16.5">
      <c r="A26" s="728">
        <f t="shared" si="10"/>
        <v>19</v>
      </c>
      <c r="B26" s="563">
        <v>2</v>
      </c>
      <c r="C26" s="694">
        <v>19888</v>
      </c>
      <c r="D26" s="694" t="s">
        <v>149</v>
      </c>
      <c r="E26" s="563">
        <v>13</v>
      </c>
      <c r="F26" s="503">
        <v>1954</v>
      </c>
      <c r="G26" s="563" t="s">
        <v>109</v>
      </c>
      <c r="H26" s="503" t="s">
        <v>122</v>
      </c>
      <c r="I26" s="695">
        <v>10</v>
      </c>
      <c r="J26" s="695">
        <v>0.1</v>
      </c>
      <c r="K26" s="777">
        <f t="shared" si="6"/>
        <v>5.6818181818181826E-4</v>
      </c>
      <c r="L26" s="968">
        <v>0</v>
      </c>
      <c r="M26" s="503">
        <f t="shared" si="7"/>
        <v>17</v>
      </c>
      <c r="N26" s="504">
        <v>0.71875</v>
      </c>
      <c r="O26" s="719">
        <f t="shared" si="8"/>
        <v>0.71875</v>
      </c>
      <c r="P26" s="564"/>
      <c r="Q26" s="564">
        <f t="shared" si="9"/>
        <v>-0.71875</v>
      </c>
      <c r="R26" s="965" t="s">
        <v>1520</v>
      </c>
      <c r="S26" s="487"/>
      <c r="T26" s="29"/>
      <c r="U26" s="29" t="str">
        <f t="shared" si="0"/>
        <v>HutchinsonF0</v>
      </c>
      <c r="V26" s="29" t="str">
        <f t="shared" si="1"/>
        <v>1954F0</v>
      </c>
      <c r="W26" s="80">
        <v>10</v>
      </c>
      <c r="X26" s="32">
        <v>0.1</v>
      </c>
      <c r="Y26" s="467">
        <v>5.0000000000000001E-4</v>
      </c>
      <c r="Z26" s="80"/>
      <c r="AA26" s="29" t="str">
        <f t="shared" si="2"/>
        <v>F010</v>
      </c>
      <c r="AB26" s="29" t="str">
        <f t="shared" si="3"/>
        <v>F00.1</v>
      </c>
      <c r="AC26" s="29" t="str">
        <f t="shared" si="4"/>
        <v>F00.0005</v>
      </c>
      <c r="AD26" s="29" t="str">
        <f t="shared" si="5"/>
        <v>F017</v>
      </c>
      <c r="AE26" s="215" t="s">
        <v>598</v>
      </c>
      <c r="AF26" s="443"/>
      <c r="AG26" s="443"/>
      <c r="AH26" s="443"/>
      <c r="AI26" s="1"/>
      <c r="AK26" s="215"/>
      <c r="AL26" s="215"/>
      <c r="AM26" s="215"/>
      <c r="AN26" s="215"/>
      <c r="AO26" s="215"/>
      <c r="AP26" s="215"/>
    </row>
    <row r="27" spans="1:42" ht="16.5">
      <c r="A27" s="728">
        <f t="shared" si="10"/>
        <v>20</v>
      </c>
      <c r="B27" s="563">
        <v>1</v>
      </c>
      <c r="C27" s="694">
        <v>20197</v>
      </c>
      <c r="D27" s="694" t="s">
        <v>147</v>
      </c>
      <c r="E27" s="563">
        <v>18</v>
      </c>
      <c r="F27" s="503">
        <v>1955</v>
      </c>
      <c r="G27" s="563" t="s">
        <v>116</v>
      </c>
      <c r="H27" s="503" t="s">
        <v>125</v>
      </c>
      <c r="I27" s="695">
        <v>100</v>
      </c>
      <c r="J27" s="695">
        <v>8.9</v>
      </c>
      <c r="K27" s="777">
        <f t="shared" si="6"/>
        <v>0.50568181818181823</v>
      </c>
      <c r="L27" s="968">
        <v>25000</v>
      </c>
      <c r="M27" s="503">
        <f t="shared" si="7"/>
        <v>18</v>
      </c>
      <c r="N27" s="504">
        <v>0.78125</v>
      </c>
      <c r="O27" s="719">
        <f t="shared" si="8"/>
        <v>0.78125</v>
      </c>
      <c r="P27" s="564"/>
      <c r="Q27" s="564">
        <f t="shared" si="9"/>
        <v>-0.78125</v>
      </c>
      <c r="R27" s="965" t="s">
        <v>1520</v>
      </c>
      <c r="S27" s="487"/>
      <c r="T27" s="29"/>
      <c r="U27" s="29" t="str">
        <f t="shared" si="0"/>
        <v>WheelerF3</v>
      </c>
      <c r="V27" s="29" t="str">
        <f t="shared" si="1"/>
        <v>1955F3</v>
      </c>
      <c r="W27" s="80">
        <v>100</v>
      </c>
      <c r="X27" s="32">
        <v>5</v>
      </c>
      <c r="Y27" s="467">
        <v>0.5</v>
      </c>
      <c r="Z27" s="80"/>
      <c r="AA27" s="29" t="str">
        <f t="shared" si="2"/>
        <v>F3100</v>
      </c>
      <c r="AB27" s="29" t="str">
        <f t="shared" si="3"/>
        <v>F35</v>
      </c>
      <c r="AC27" s="29" t="str">
        <f t="shared" si="4"/>
        <v>F30.5</v>
      </c>
      <c r="AD27" s="29" t="str">
        <f t="shared" si="5"/>
        <v>F318</v>
      </c>
      <c r="AE27" s="215" t="s">
        <v>599</v>
      </c>
      <c r="AF27" s="443"/>
      <c r="AG27" s="443"/>
      <c r="AH27" s="443"/>
      <c r="AI27" s="1"/>
      <c r="AK27" s="215"/>
      <c r="AL27" s="215"/>
      <c r="AM27" s="215"/>
      <c r="AN27" s="215"/>
      <c r="AO27" s="215"/>
      <c r="AP27" s="215"/>
    </row>
    <row r="28" spans="1:42" ht="16.5">
      <c r="A28" s="728">
        <f t="shared" si="10"/>
        <v>21</v>
      </c>
      <c r="B28" s="563">
        <v>2</v>
      </c>
      <c r="C28" s="694">
        <v>20231</v>
      </c>
      <c r="D28" s="694" t="s">
        <v>148</v>
      </c>
      <c r="E28" s="563">
        <v>22</v>
      </c>
      <c r="F28" s="503">
        <v>1955</v>
      </c>
      <c r="G28" s="563" t="s">
        <v>109</v>
      </c>
      <c r="H28" s="503" t="s">
        <v>122</v>
      </c>
      <c r="I28" s="695">
        <v>33</v>
      </c>
      <c r="J28" s="695">
        <v>1.5</v>
      </c>
      <c r="K28" s="777">
        <f t="shared" si="6"/>
        <v>2.8124999999999997E-2</v>
      </c>
      <c r="L28" s="968">
        <v>0</v>
      </c>
      <c r="M28" s="503">
        <f t="shared" si="7"/>
        <v>20</v>
      </c>
      <c r="N28" s="504">
        <v>0.84722222222222221</v>
      </c>
      <c r="O28" s="719">
        <f t="shared" si="8"/>
        <v>0.84722222222222221</v>
      </c>
      <c r="P28" s="564"/>
      <c r="Q28" s="564">
        <f t="shared" si="9"/>
        <v>-0.84722222222222221</v>
      </c>
      <c r="R28" s="965" t="s">
        <v>1520</v>
      </c>
      <c r="S28" s="487"/>
      <c r="T28" s="29"/>
      <c r="U28" s="29" t="str">
        <f t="shared" si="0"/>
        <v>HutchinsonF0</v>
      </c>
      <c r="V28" s="29" t="str">
        <f t="shared" si="1"/>
        <v>1955F0</v>
      </c>
      <c r="W28" s="80">
        <v>20</v>
      </c>
      <c r="X28" s="32">
        <v>1</v>
      </c>
      <c r="Y28" s="467">
        <v>0.02</v>
      </c>
      <c r="Z28" s="80"/>
      <c r="AA28" s="29" t="str">
        <f t="shared" si="2"/>
        <v>F020</v>
      </c>
      <c r="AB28" s="29" t="str">
        <f t="shared" si="3"/>
        <v>F01</v>
      </c>
      <c r="AC28" s="29" t="str">
        <f t="shared" si="4"/>
        <v>F00.02</v>
      </c>
      <c r="AD28" s="29" t="str">
        <f t="shared" si="5"/>
        <v>F020</v>
      </c>
      <c r="AE28" s="215"/>
      <c r="AF28" s="443"/>
      <c r="AG28" s="443"/>
      <c r="AH28" s="443"/>
      <c r="AI28" s="1"/>
      <c r="AK28" s="215"/>
      <c r="AL28" s="215"/>
      <c r="AM28" s="215"/>
      <c r="AN28" s="215"/>
      <c r="AO28" s="215"/>
      <c r="AP28" s="215"/>
    </row>
    <row r="29" spans="1:42" ht="16.5">
      <c r="A29" s="728">
        <f t="shared" si="10"/>
        <v>22</v>
      </c>
      <c r="B29" s="563">
        <v>3</v>
      </c>
      <c r="C29" s="694">
        <v>20231</v>
      </c>
      <c r="D29" s="694" t="s">
        <v>148</v>
      </c>
      <c r="E29" s="563">
        <v>22</v>
      </c>
      <c r="F29" s="503">
        <v>1955</v>
      </c>
      <c r="G29" s="563" t="s">
        <v>101</v>
      </c>
      <c r="H29" s="503" t="s">
        <v>122</v>
      </c>
      <c r="I29" s="695">
        <v>10</v>
      </c>
      <c r="J29" s="695">
        <v>0.1</v>
      </c>
      <c r="K29" s="777">
        <f t="shared" si="6"/>
        <v>5.6818181818181826E-4</v>
      </c>
      <c r="L29" s="968">
        <v>0</v>
      </c>
      <c r="M29" s="503">
        <f t="shared" si="7"/>
        <v>21</v>
      </c>
      <c r="N29" s="504">
        <v>0.875</v>
      </c>
      <c r="O29" s="719">
        <f t="shared" si="8"/>
        <v>0.875</v>
      </c>
      <c r="P29" s="564"/>
      <c r="Q29" s="564">
        <f t="shared" si="9"/>
        <v>-0.875</v>
      </c>
      <c r="R29" s="965" t="s">
        <v>1520</v>
      </c>
      <c r="S29" s="487"/>
      <c r="T29" s="29"/>
      <c r="U29" s="29" t="str">
        <f t="shared" si="0"/>
        <v>BeaverF0</v>
      </c>
      <c r="V29" s="29" t="str">
        <f t="shared" si="1"/>
        <v>1955F0</v>
      </c>
      <c r="W29" s="80">
        <v>10</v>
      </c>
      <c r="X29" s="32">
        <v>0.1</v>
      </c>
      <c r="Y29" s="467">
        <v>5.0000000000000001E-4</v>
      </c>
      <c r="Z29" s="80"/>
      <c r="AA29" s="29" t="str">
        <f t="shared" si="2"/>
        <v>F010</v>
      </c>
      <c r="AB29" s="29" t="str">
        <f t="shared" si="3"/>
        <v>F00.1</v>
      </c>
      <c r="AC29" s="29" t="str">
        <f t="shared" si="4"/>
        <v>F00.0005</v>
      </c>
      <c r="AD29" s="29" t="str">
        <f t="shared" si="5"/>
        <v>F021</v>
      </c>
      <c r="AE29" s="215" t="s">
        <v>600</v>
      </c>
      <c r="AF29" s="443"/>
      <c r="AG29" s="443"/>
      <c r="AH29" s="443"/>
      <c r="AI29" s="1"/>
      <c r="AK29" s="215"/>
      <c r="AL29" s="215"/>
      <c r="AM29" s="215"/>
      <c r="AN29" s="215"/>
      <c r="AO29" s="215"/>
      <c r="AP29" s="215"/>
    </row>
    <row r="30" spans="1:42" ht="16.5">
      <c r="A30" s="728">
        <f t="shared" si="10"/>
        <v>23</v>
      </c>
      <c r="B30" s="563">
        <v>4</v>
      </c>
      <c r="C30" s="694">
        <v>20234</v>
      </c>
      <c r="D30" s="694" t="s">
        <v>148</v>
      </c>
      <c r="E30" s="563">
        <v>25</v>
      </c>
      <c r="F30" s="503">
        <v>1955</v>
      </c>
      <c r="G30" s="563" t="s">
        <v>121</v>
      </c>
      <c r="H30" s="503" t="s">
        <v>126</v>
      </c>
      <c r="I30" s="695">
        <v>1100</v>
      </c>
      <c r="J30" s="695">
        <v>17</v>
      </c>
      <c r="K30" s="777">
        <f t="shared" si="6"/>
        <v>10.625</v>
      </c>
      <c r="L30" s="968">
        <v>25000</v>
      </c>
      <c r="M30" s="503">
        <f t="shared" si="7"/>
        <v>15</v>
      </c>
      <c r="N30" s="504">
        <v>0.63680555555555551</v>
      </c>
      <c r="O30" s="719">
        <f t="shared" si="8"/>
        <v>0.63680555555555551</v>
      </c>
      <c r="P30" s="504">
        <v>0.64930555555555558</v>
      </c>
      <c r="Q30" s="564">
        <f t="shared" si="9"/>
        <v>1.2500000000000067E-2</v>
      </c>
      <c r="R30" s="965" t="s">
        <v>1531</v>
      </c>
      <c r="S30" s="487" t="s">
        <v>64</v>
      </c>
      <c r="T30" s="29"/>
      <c r="U30" s="29" t="str">
        <f t="shared" si="0"/>
        <v>CollingsworthF4</v>
      </c>
      <c r="V30" s="29" t="str">
        <f t="shared" si="1"/>
        <v>1955F4</v>
      </c>
      <c r="W30" s="80">
        <v>1000</v>
      </c>
      <c r="X30" s="32">
        <v>10</v>
      </c>
      <c r="Y30" s="467">
        <v>10</v>
      </c>
      <c r="Z30" s="80"/>
      <c r="AA30" s="29" t="str">
        <f t="shared" si="2"/>
        <v>F41000</v>
      </c>
      <c r="AB30" s="29" t="str">
        <f t="shared" si="3"/>
        <v>F410</v>
      </c>
      <c r="AC30" s="29" t="str">
        <f t="shared" si="4"/>
        <v>F410</v>
      </c>
      <c r="AD30" s="29" t="str">
        <f t="shared" si="5"/>
        <v>F415</v>
      </c>
      <c r="AE30" s="215" t="s">
        <v>601</v>
      </c>
      <c r="AF30" s="443"/>
      <c r="AG30" s="443"/>
      <c r="AH30" s="443"/>
      <c r="AI30" s="1"/>
      <c r="AK30" s="215"/>
      <c r="AL30" s="215"/>
      <c r="AM30" s="215"/>
      <c r="AN30" s="215"/>
      <c r="AO30" s="215"/>
      <c r="AP30" s="215"/>
    </row>
    <row r="31" spans="1:42" ht="15.75" customHeight="1">
      <c r="A31" s="728">
        <f t="shared" si="10"/>
        <v>24</v>
      </c>
      <c r="B31" s="563">
        <v>5</v>
      </c>
      <c r="C31" s="694">
        <v>20234</v>
      </c>
      <c r="D31" s="694" t="s">
        <v>148</v>
      </c>
      <c r="E31" s="563">
        <v>25</v>
      </c>
      <c r="F31" s="503">
        <v>1955</v>
      </c>
      <c r="G31" s="563" t="s">
        <v>116</v>
      </c>
      <c r="H31" s="503" t="s">
        <v>126</v>
      </c>
      <c r="I31" s="695">
        <v>1100</v>
      </c>
      <c r="J31" s="695">
        <v>17.5</v>
      </c>
      <c r="K31" s="777">
        <f t="shared" si="6"/>
        <v>10.9375</v>
      </c>
      <c r="L31" s="968">
        <v>25000</v>
      </c>
      <c r="M31" s="503">
        <f t="shared" si="7"/>
        <v>15</v>
      </c>
      <c r="N31" s="504">
        <v>0.64930555555555558</v>
      </c>
      <c r="O31" s="719">
        <f t="shared" si="8"/>
        <v>0.64930555555555558</v>
      </c>
      <c r="P31" s="564"/>
      <c r="Q31" s="564">
        <f t="shared" si="9"/>
        <v>-0.64930555555555558</v>
      </c>
      <c r="R31" s="965" t="s">
        <v>1531</v>
      </c>
      <c r="S31" s="487" t="s">
        <v>821</v>
      </c>
      <c r="T31" s="29"/>
      <c r="U31" s="29" t="str">
        <f t="shared" si="0"/>
        <v>WheelerF4</v>
      </c>
      <c r="V31" s="29" t="str">
        <f t="shared" si="1"/>
        <v>1955F4</v>
      </c>
      <c r="W31" s="80">
        <v>1000</v>
      </c>
      <c r="X31" s="32">
        <v>10</v>
      </c>
      <c r="Y31" s="467">
        <v>10</v>
      </c>
      <c r="Z31" s="80"/>
      <c r="AA31" s="29" t="str">
        <f t="shared" si="2"/>
        <v>F41000</v>
      </c>
      <c r="AB31" s="29" t="str">
        <f t="shared" si="3"/>
        <v>F410</v>
      </c>
      <c r="AC31" s="29" t="str">
        <f t="shared" si="4"/>
        <v>F410</v>
      </c>
      <c r="AD31" s="29" t="str">
        <f t="shared" si="5"/>
        <v>F415</v>
      </c>
      <c r="AE31" s="443"/>
      <c r="AF31" s="443"/>
      <c r="AG31" s="443"/>
      <c r="AH31" s="443"/>
      <c r="AI31" s="1"/>
      <c r="AK31" s="215"/>
      <c r="AL31" s="215"/>
      <c r="AM31" s="215"/>
      <c r="AN31" s="215"/>
      <c r="AO31" s="215"/>
      <c r="AP31" s="215"/>
    </row>
    <row r="32" spans="1:42" s="31" customFormat="1" ht="16.5">
      <c r="A32" s="728">
        <f t="shared" si="10"/>
        <v>25</v>
      </c>
      <c r="B32" s="729">
        <v>6</v>
      </c>
      <c r="C32" s="730">
        <v>20243</v>
      </c>
      <c r="D32" s="730" t="s">
        <v>149</v>
      </c>
      <c r="E32" s="729">
        <v>3</v>
      </c>
      <c r="F32" s="731">
        <v>1955</v>
      </c>
      <c r="G32" s="729" t="s">
        <v>111</v>
      </c>
      <c r="H32" s="731" t="s">
        <v>122</v>
      </c>
      <c r="I32" s="732">
        <v>33</v>
      </c>
      <c r="J32" s="732">
        <v>5.7</v>
      </c>
      <c r="K32" s="777">
        <f t="shared" si="6"/>
        <v>0.106875</v>
      </c>
      <c r="L32" s="968">
        <v>0</v>
      </c>
      <c r="M32" s="503">
        <f t="shared" si="7"/>
        <v>17</v>
      </c>
      <c r="N32" s="733">
        <v>0.72222222222222221</v>
      </c>
      <c r="O32" s="719">
        <f t="shared" si="8"/>
        <v>0.72222222222222221</v>
      </c>
      <c r="P32" s="564"/>
      <c r="Q32" s="564">
        <f t="shared" si="9"/>
        <v>-0.72222222222222221</v>
      </c>
      <c r="R32" s="965" t="s">
        <v>1520</v>
      </c>
      <c r="S32" s="493"/>
      <c r="T32" s="30"/>
      <c r="U32" s="29" t="str">
        <f t="shared" si="0"/>
        <v>HemphillF0</v>
      </c>
      <c r="V32" s="29" t="str">
        <f t="shared" si="1"/>
        <v>1955F0</v>
      </c>
      <c r="W32" s="80">
        <v>20</v>
      </c>
      <c r="X32" s="32">
        <v>5</v>
      </c>
      <c r="Y32" s="467">
        <v>0.1</v>
      </c>
      <c r="Z32" s="80"/>
      <c r="AA32" s="29" t="str">
        <f t="shared" si="2"/>
        <v>F020</v>
      </c>
      <c r="AB32" s="29" t="str">
        <f t="shared" si="3"/>
        <v>F05</v>
      </c>
      <c r="AC32" s="29" t="str">
        <f t="shared" si="4"/>
        <v>F00.1</v>
      </c>
      <c r="AD32" s="29" t="str">
        <f t="shared" si="5"/>
        <v>F017</v>
      </c>
      <c r="AE32" s="443"/>
      <c r="AF32" s="443"/>
      <c r="AG32" s="443"/>
      <c r="AH32" s="443"/>
      <c r="AI32" s="1"/>
      <c r="AK32" s="215"/>
      <c r="AL32" s="215"/>
      <c r="AM32" s="215"/>
      <c r="AN32" s="215"/>
      <c r="AO32" s="215"/>
      <c r="AP32" s="215"/>
    </row>
    <row r="33" spans="1:42" ht="51">
      <c r="A33" s="728">
        <f t="shared" si="10"/>
        <v>26</v>
      </c>
      <c r="B33" s="563">
        <v>7</v>
      </c>
      <c r="C33" s="694">
        <v>20256</v>
      </c>
      <c r="D33" s="694" t="s">
        <v>149</v>
      </c>
      <c r="E33" s="563">
        <v>16</v>
      </c>
      <c r="F33" s="503">
        <v>1955</v>
      </c>
      <c r="G33" s="563" t="s">
        <v>119</v>
      </c>
      <c r="H33" s="503" t="s">
        <v>122</v>
      </c>
      <c r="I33" s="695">
        <v>17</v>
      </c>
      <c r="J33" s="695">
        <v>2</v>
      </c>
      <c r="K33" s="777">
        <f t="shared" si="6"/>
        <v>1.9318181818181818E-2</v>
      </c>
      <c r="L33" s="968">
        <v>0</v>
      </c>
      <c r="M33" s="503">
        <f t="shared" si="7"/>
        <v>15</v>
      </c>
      <c r="N33" s="504">
        <v>0.64583333333333337</v>
      </c>
      <c r="O33" s="719">
        <f t="shared" si="8"/>
        <v>0.64583333333333337</v>
      </c>
      <c r="P33" s="564"/>
      <c r="Q33" s="564">
        <f t="shared" si="9"/>
        <v>-0.64583333333333337</v>
      </c>
      <c r="R33" s="965" t="s">
        <v>1520</v>
      </c>
      <c r="S33" s="303" t="s">
        <v>1059</v>
      </c>
      <c r="U33" s="29" t="str">
        <f t="shared" si="0"/>
        <v>ArmstrongF0</v>
      </c>
      <c r="V33" s="29" t="str">
        <f t="shared" si="1"/>
        <v>1955F0</v>
      </c>
      <c r="W33" s="80">
        <v>10</v>
      </c>
      <c r="X33" s="32">
        <v>2</v>
      </c>
      <c r="Y33" s="467">
        <v>0.01</v>
      </c>
      <c r="Z33" s="80"/>
      <c r="AA33" s="29" t="str">
        <f t="shared" si="2"/>
        <v>F010</v>
      </c>
      <c r="AB33" s="29" t="str">
        <f t="shared" si="3"/>
        <v>F02</v>
      </c>
      <c r="AC33" s="29" t="str">
        <f t="shared" si="4"/>
        <v>F00.01</v>
      </c>
      <c r="AD33" s="29" t="str">
        <f t="shared" si="5"/>
        <v>F015</v>
      </c>
      <c r="AE33" s="443"/>
      <c r="AF33" s="443"/>
      <c r="AG33" s="443"/>
      <c r="AH33" s="443"/>
      <c r="AI33" s="1"/>
      <c r="AK33" s="215"/>
      <c r="AL33" s="215"/>
      <c r="AM33" s="215"/>
      <c r="AN33" s="215"/>
      <c r="AO33" s="215"/>
      <c r="AP33" s="215"/>
    </row>
    <row r="34" spans="1:42" ht="16.5">
      <c r="A34" s="728">
        <f t="shared" si="10"/>
        <v>27</v>
      </c>
      <c r="B34" s="563">
        <v>8</v>
      </c>
      <c r="C34" s="694">
        <v>20256</v>
      </c>
      <c r="D34" s="694" t="s">
        <v>149</v>
      </c>
      <c r="E34" s="563">
        <v>16</v>
      </c>
      <c r="F34" s="503">
        <v>1955</v>
      </c>
      <c r="G34" s="563" t="s">
        <v>119</v>
      </c>
      <c r="H34" s="503" t="s">
        <v>122</v>
      </c>
      <c r="I34" s="695">
        <v>17</v>
      </c>
      <c r="J34" s="695">
        <v>2</v>
      </c>
      <c r="K34" s="777">
        <f t="shared" si="6"/>
        <v>1.9318181818181818E-2</v>
      </c>
      <c r="L34" s="968">
        <v>0</v>
      </c>
      <c r="M34" s="503">
        <f t="shared" si="7"/>
        <v>15</v>
      </c>
      <c r="N34" s="504">
        <v>0.64583333333333337</v>
      </c>
      <c r="O34" s="719">
        <f t="shared" si="8"/>
        <v>0.64583333333333337</v>
      </c>
      <c r="P34" s="564"/>
      <c r="Q34" s="564">
        <f t="shared" si="9"/>
        <v>-0.64583333333333337</v>
      </c>
      <c r="R34" s="965" t="s">
        <v>1520</v>
      </c>
      <c r="S34" s="487"/>
      <c r="U34" s="29" t="str">
        <f t="shared" si="0"/>
        <v>ArmstrongF0</v>
      </c>
      <c r="V34" s="29" t="str">
        <f t="shared" si="1"/>
        <v>1955F0</v>
      </c>
      <c r="W34" s="80">
        <v>10</v>
      </c>
      <c r="X34" s="32">
        <v>2</v>
      </c>
      <c r="Y34" s="467">
        <v>0.01</v>
      </c>
      <c r="Z34" s="80"/>
      <c r="AA34" s="29" t="str">
        <f t="shared" si="2"/>
        <v>F010</v>
      </c>
      <c r="AB34" s="29" t="str">
        <f t="shared" si="3"/>
        <v>F02</v>
      </c>
      <c r="AC34" s="29" t="str">
        <f t="shared" si="4"/>
        <v>F00.01</v>
      </c>
      <c r="AD34" s="29" t="str">
        <f t="shared" si="5"/>
        <v>F015</v>
      </c>
      <c r="AE34" s="443"/>
      <c r="AF34" s="443"/>
      <c r="AG34" s="443"/>
      <c r="AH34" s="443"/>
      <c r="AI34" s="1"/>
      <c r="AK34" s="215"/>
      <c r="AL34" s="215"/>
      <c r="AM34" s="215"/>
      <c r="AN34" s="215"/>
      <c r="AO34" s="215"/>
      <c r="AP34" s="215"/>
    </row>
    <row r="35" spans="1:42" ht="16.5">
      <c r="A35" s="728">
        <f t="shared" si="10"/>
        <v>28</v>
      </c>
      <c r="B35" s="563">
        <v>9</v>
      </c>
      <c r="C35" s="694">
        <v>20256</v>
      </c>
      <c r="D35" s="694" t="s">
        <v>149</v>
      </c>
      <c r="E35" s="563">
        <v>16</v>
      </c>
      <c r="F35" s="503">
        <v>1955</v>
      </c>
      <c r="G35" s="563" t="s">
        <v>114</v>
      </c>
      <c r="H35" s="503" t="s">
        <v>123</v>
      </c>
      <c r="I35" s="695">
        <v>17</v>
      </c>
      <c r="J35" s="695">
        <v>1</v>
      </c>
      <c r="K35" s="777">
        <f t="shared" si="6"/>
        <v>9.6590909090909088E-3</v>
      </c>
      <c r="L35" s="968">
        <v>0</v>
      </c>
      <c r="M35" s="503">
        <f t="shared" si="7"/>
        <v>15</v>
      </c>
      <c r="N35" s="504">
        <v>0.64583333333333337</v>
      </c>
      <c r="O35" s="719">
        <f t="shared" si="8"/>
        <v>0.64583333333333337</v>
      </c>
      <c r="P35" s="564"/>
      <c r="Q35" s="564">
        <f t="shared" si="9"/>
        <v>-0.64583333333333337</v>
      </c>
      <c r="R35" s="965" t="s">
        <v>1520</v>
      </c>
      <c r="S35" s="487"/>
      <c r="U35" s="29" t="str">
        <f t="shared" si="0"/>
        <v>CarsonF1</v>
      </c>
      <c r="V35" s="29" t="str">
        <f t="shared" si="1"/>
        <v>1955F1</v>
      </c>
      <c r="W35" s="80">
        <v>10</v>
      </c>
      <c r="X35" s="32">
        <v>1</v>
      </c>
      <c r="Y35" s="467">
        <v>5.0000000000000001E-3</v>
      </c>
      <c r="Z35" s="80"/>
      <c r="AA35" s="29" t="str">
        <f t="shared" si="2"/>
        <v>F110</v>
      </c>
      <c r="AB35" s="29" t="str">
        <f t="shared" si="3"/>
        <v>F11</v>
      </c>
      <c r="AC35" s="29" t="str">
        <f t="shared" si="4"/>
        <v>F10.005</v>
      </c>
      <c r="AD35" s="29" t="str">
        <f t="shared" si="5"/>
        <v>F115</v>
      </c>
      <c r="AE35" s="443"/>
      <c r="AF35" s="443"/>
      <c r="AG35" s="443"/>
      <c r="AH35" s="443"/>
      <c r="AI35" s="1"/>
      <c r="AK35" s="215"/>
      <c r="AL35" s="215"/>
      <c r="AM35" s="215"/>
      <c r="AN35" s="215"/>
      <c r="AO35" s="215"/>
      <c r="AP35" s="215"/>
    </row>
    <row r="36" spans="1:42" ht="16.5">
      <c r="A36" s="728">
        <f t="shared" si="10"/>
        <v>29</v>
      </c>
      <c r="B36" s="563">
        <v>10</v>
      </c>
      <c r="C36" s="694">
        <v>20256</v>
      </c>
      <c r="D36" s="694" t="s">
        <v>149</v>
      </c>
      <c r="E36" s="563">
        <v>16</v>
      </c>
      <c r="F36" s="503">
        <v>1955</v>
      </c>
      <c r="G36" s="563" t="s">
        <v>113</v>
      </c>
      <c r="H36" s="503" t="s">
        <v>122</v>
      </c>
      <c r="I36" s="695">
        <v>67</v>
      </c>
      <c r="J36" s="695">
        <v>0.3</v>
      </c>
      <c r="K36" s="777">
        <f t="shared" si="6"/>
        <v>1.1420454545454546E-2</v>
      </c>
      <c r="L36" s="968">
        <v>0</v>
      </c>
      <c r="M36" s="503">
        <f t="shared" si="7"/>
        <v>15</v>
      </c>
      <c r="N36" s="504">
        <v>0.64583333333333337</v>
      </c>
      <c r="O36" s="719">
        <f t="shared" si="8"/>
        <v>0.64583333333333337</v>
      </c>
      <c r="P36" s="564"/>
      <c r="Q36" s="564">
        <f t="shared" si="9"/>
        <v>-0.64583333333333337</v>
      </c>
      <c r="R36" s="965" t="s">
        <v>1520</v>
      </c>
      <c r="S36" s="487"/>
      <c r="U36" s="29" t="str">
        <f t="shared" si="0"/>
        <v>PotterF0</v>
      </c>
      <c r="V36" s="29" t="str">
        <f t="shared" si="1"/>
        <v>1955F0</v>
      </c>
      <c r="W36" s="80">
        <v>50</v>
      </c>
      <c r="X36" s="32">
        <v>0.2</v>
      </c>
      <c r="Y36" s="467">
        <v>0.01</v>
      </c>
      <c r="Z36" s="80"/>
      <c r="AA36" s="29" t="str">
        <f t="shared" si="2"/>
        <v>F050</v>
      </c>
      <c r="AB36" s="29" t="str">
        <f t="shared" si="3"/>
        <v>F00.2</v>
      </c>
      <c r="AC36" s="29" t="str">
        <f t="shared" si="4"/>
        <v>F00.01</v>
      </c>
      <c r="AD36" s="29" t="str">
        <f t="shared" si="5"/>
        <v>F015</v>
      </c>
      <c r="AE36" s="443"/>
      <c r="AF36" s="443"/>
      <c r="AG36" s="443"/>
      <c r="AH36" s="443"/>
      <c r="AI36" s="1"/>
      <c r="AK36" s="215"/>
      <c r="AL36" s="215"/>
      <c r="AM36" s="215"/>
      <c r="AN36" s="215"/>
      <c r="AO36" s="215"/>
      <c r="AP36" s="215"/>
    </row>
    <row r="37" spans="1:42" ht="16.5">
      <c r="A37" s="728">
        <f t="shared" si="10"/>
        <v>30</v>
      </c>
      <c r="B37" s="563">
        <v>11</v>
      </c>
      <c r="C37" s="694">
        <v>20256</v>
      </c>
      <c r="D37" s="694" t="s">
        <v>149</v>
      </c>
      <c r="E37" s="563">
        <v>16</v>
      </c>
      <c r="F37" s="503">
        <v>1955</v>
      </c>
      <c r="G37" s="563" t="s">
        <v>114</v>
      </c>
      <c r="H37" s="503" t="s">
        <v>122</v>
      </c>
      <c r="I37" s="695">
        <v>33</v>
      </c>
      <c r="J37" s="695">
        <v>0.3</v>
      </c>
      <c r="K37" s="777">
        <f t="shared" si="6"/>
        <v>5.6249999999999998E-3</v>
      </c>
      <c r="L37" s="968">
        <v>0</v>
      </c>
      <c r="M37" s="503">
        <f t="shared" si="7"/>
        <v>16</v>
      </c>
      <c r="N37" s="504">
        <v>0.67152777777777783</v>
      </c>
      <c r="O37" s="719">
        <f t="shared" si="8"/>
        <v>0.67152777777777783</v>
      </c>
      <c r="P37" s="564"/>
      <c r="Q37" s="564">
        <f t="shared" si="9"/>
        <v>-0.67152777777777783</v>
      </c>
      <c r="R37" s="965" t="s">
        <v>1520</v>
      </c>
      <c r="S37" s="487"/>
      <c r="T37" s="29"/>
      <c r="U37" s="29" t="str">
        <f t="shared" si="0"/>
        <v>CarsonF0</v>
      </c>
      <c r="V37" s="29" t="str">
        <f t="shared" si="1"/>
        <v>1955F0</v>
      </c>
      <c r="W37" s="80">
        <v>20</v>
      </c>
      <c r="X37" s="32">
        <v>0.2</v>
      </c>
      <c r="Y37" s="467">
        <v>5.0000000000000001E-3</v>
      </c>
      <c r="Z37" s="80"/>
      <c r="AA37" s="29" t="str">
        <f t="shared" si="2"/>
        <v>F020</v>
      </c>
      <c r="AB37" s="29" t="str">
        <f t="shared" si="3"/>
        <v>F00.2</v>
      </c>
      <c r="AC37" s="29" t="str">
        <f t="shared" si="4"/>
        <v>F00.005</v>
      </c>
      <c r="AD37" s="29" t="str">
        <f t="shared" si="5"/>
        <v>F016</v>
      </c>
      <c r="AE37" s="443"/>
      <c r="AF37" s="443"/>
      <c r="AG37" s="443"/>
      <c r="AH37" s="443"/>
      <c r="AI37" s="1"/>
      <c r="AK37" s="215"/>
      <c r="AL37" s="215"/>
      <c r="AM37" s="215"/>
      <c r="AN37" s="215"/>
      <c r="AO37" s="215"/>
      <c r="AP37" s="215"/>
    </row>
    <row r="38" spans="1:42" ht="16.5">
      <c r="A38" s="728">
        <f t="shared" si="10"/>
        <v>31</v>
      </c>
      <c r="B38" s="563">
        <v>12</v>
      </c>
      <c r="C38" s="694">
        <v>20256</v>
      </c>
      <c r="D38" s="694" t="s">
        <v>149</v>
      </c>
      <c r="E38" s="563">
        <v>16</v>
      </c>
      <c r="F38" s="503">
        <v>1955</v>
      </c>
      <c r="G38" s="563" t="s">
        <v>111</v>
      </c>
      <c r="H38" s="503" t="s">
        <v>123</v>
      </c>
      <c r="I38" s="695">
        <v>1320</v>
      </c>
      <c r="J38" s="695">
        <v>3.8</v>
      </c>
      <c r="K38" s="777">
        <f t="shared" si="6"/>
        <v>2.8499999999999996</v>
      </c>
      <c r="L38" s="968">
        <v>25000</v>
      </c>
      <c r="M38" s="503">
        <f t="shared" si="7"/>
        <v>17</v>
      </c>
      <c r="N38" s="504">
        <v>0.70833333333333337</v>
      </c>
      <c r="O38" s="719">
        <f t="shared" si="8"/>
        <v>0.70833333333333337</v>
      </c>
      <c r="P38" s="564"/>
      <c r="Q38" s="564">
        <f t="shared" si="9"/>
        <v>-0.70833333333333337</v>
      </c>
      <c r="R38" s="965" t="s">
        <v>1520</v>
      </c>
      <c r="S38" s="487"/>
      <c r="T38" s="29"/>
      <c r="U38" s="29" t="str">
        <f t="shared" si="0"/>
        <v>HemphillF1</v>
      </c>
      <c r="V38" s="29" t="str">
        <f t="shared" si="1"/>
        <v>1955F1</v>
      </c>
      <c r="W38" s="80">
        <v>1000</v>
      </c>
      <c r="X38" s="32">
        <v>2</v>
      </c>
      <c r="Y38" s="467">
        <v>2</v>
      </c>
      <c r="Z38" s="80"/>
      <c r="AA38" s="29" t="str">
        <f t="shared" si="2"/>
        <v>F11000</v>
      </c>
      <c r="AB38" s="29" t="str">
        <f t="shared" si="3"/>
        <v>F12</v>
      </c>
      <c r="AC38" s="29" t="str">
        <f t="shared" si="4"/>
        <v>F12</v>
      </c>
      <c r="AD38" s="29" t="str">
        <f t="shared" si="5"/>
        <v>F117</v>
      </c>
      <c r="AE38" s="443"/>
      <c r="AF38" s="443"/>
      <c r="AG38" s="443"/>
      <c r="AH38" s="443"/>
      <c r="AI38" s="1"/>
      <c r="AK38" s="215"/>
      <c r="AL38" s="215"/>
      <c r="AM38" s="215"/>
      <c r="AN38" s="215"/>
      <c r="AO38" s="215"/>
      <c r="AP38" s="215"/>
    </row>
    <row r="39" spans="1:42" ht="16.5">
      <c r="A39" s="728">
        <f t="shared" si="10"/>
        <v>32</v>
      </c>
      <c r="B39" s="563">
        <v>13</v>
      </c>
      <c r="C39" s="694">
        <v>20256</v>
      </c>
      <c r="D39" s="694" t="s">
        <v>149</v>
      </c>
      <c r="E39" s="563">
        <v>16</v>
      </c>
      <c r="F39" s="503">
        <v>1955</v>
      </c>
      <c r="G39" s="563" t="s">
        <v>120</v>
      </c>
      <c r="H39" s="503" t="s">
        <v>122</v>
      </c>
      <c r="I39" s="695">
        <v>3</v>
      </c>
      <c r="J39" s="695">
        <v>0.1</v>
      </c>
      <c r="K39" s="777">
        <f t="shared" si="6"/>
        <v>1.7045454545454547E-4</v>
      </c>
      <c r="L39" s="968">
        <v>0</v>
      </c>
      <c r="M39" s="503">
        <f t="shared" si="7"/>
        <v>18</v>
      </c>
      <c r="N39" s="504">
        <v>0.77083333333333337</v>
      </c>
      <c r="O39" s="719">
        <f t="shared" si="8"/>
        <v>0.77083333333333337</v>
      </c>
      <c r="P39" s="564"/>
      <c r="Q39" s="564">
        <f t="shared" si="9"/>
        <v>-0.77083333333333337</v>
      </c>
      <c r="R39" s="965" t="s">
        <v>1520</v>
      </c>
      <c r="S39" s="487"/>
      <c r="T39" s="29"/>
      <c r="U39" s="29" t="str">
        <f t="shared" si="0"/>
        <v>DonleyF0</v>
      </c>
      <c r="V39" s="29" t="str">
        <f t="shared" si="1"/>
        <v>1955F0</v>
      </c>
      <c r="W39" s="80">
        <v>2</v>
      </c>
      <c r="X39" s="32">
        <v>0.1</v>
      </c>
      <c r="Y39" s="467">
        <v>1E-4</v>
      </c>
      <c r="Z39" s="80"/>
      <c r="AA39" s="29" t="str">
        <f t="shared" si="2"/>
        <v>F02</v>
      </c>
      <c r="AB39" s="29" t="str">
        <f t="shared" si="3"/>
        <v>F00.1</v>
      </c>
      <c r="AC39" s="29" t="str">
        <f t="shared" si="4"/>
        <v>F00.0001</v>
      </c>
      <c r="AD39" s="29" t="str">
        <f t="shared" si="5"/>
        <v>F018</v>
      </c>
      <c r="AE39" s="443"/>
      <c r="AF39" s="443"/>
      <c r="AG39" s="443"/>
      <c r="AH39" s="443"/>
      <c r="AI39" s="1"/>
      <c r="AK39" s="215"/>
      <c r="AL39" s="215"/>
      <c r="AM39" s="215"/>
      <c r="AN39" s="215"/>
      <c r="AO39" s="215"/>
      <c r="AP39" s="215"/>
    </row>
    <row r="40" spans="1:42" ht="16.5">
      <c r="A40" s="728">
        <f t="shared" si="10"/>
        <v>33</v>
      </c>
      <c r="B40" s="563">
        <v>14</v>
      </c>
      <c r="C40" s="694">
        <v>20256</v>
      </c>
      <c r="D40" s="694" t="s">
        <v>149</v>
      </c>
      <c r="E40" s="563">
        <v>16</v>
      </c>
      <c r="F40" s="503">
        <v>1955</v>
      </c>
      <c r="G40" s="563" t="s">
        <v>120</v>
      </c>
      <c r="H40" s="503" t="s">
        <v>124</v>
      </c>
      <c r="I40" s="695">
        <v>20</v>
      </c>
      <c r="J40" s="695">
        <v>1</v>
      </c>
      <c r="K40" s="777">
        <f t="shared" si="6"/>
        <v>1.1363636363636364E-2</v>
      </c>
      <c r="L40" s="968">
        <v>0</v>
      </c>
      <c r="M40" s="503">
        <f t="shared" si="7"/>
        <v>18</v>
      </c>
      <c r="N40" s="504">
        <v>0.77083333333333337</v>
      </c>
      <c r="O40" s="719">
        <f t="shared" si="8"/>
        <v>0.77083333333333337</v>
      </c>
      <c r="P40" s="564"/>
      <c r="Q40" s="564">
        <f t="shared" si="9"/>
        <v>-0.77083333333333337</v>
      </c>
      <c r="R40" s="965" t="s">
        <v>1520</v>
      </c>
      <c r="S40" s="487"/>
      <c r="T40" s="29"/>
      <c r="U40" s="29" t="str">
        <f t="shared" si="0"/>
        <v>DonleyF2</v>
      </c>
      <c r="V40" s="29" t="str">
        <f t="shared" si="1"/>
        <v>1955F2</v>
      </c>
      <c r="W40" s="80">
        <v>20</v>
      </c>
      <c r="X40" s="32">
        <v>1</v>
      </c>
      <c r="Y40" s="467">
        <v>0.01</v>
      </c>
      <c r="Z40" s="80"/>
      <c r="AA40" s="29" t="str">
        <f t="shared" si="2"/>
        <v>F220</v>
      </c>
      <c r="AB40" s="29" t="str">
        <f t="shared" si="3"/>
        <v>F21</v>
      </c>
      <c r="AC40" s="29" t="str">
        <f t="shared" si="4"/>
        <v>F20.01</v>
      </c>
      <c r="AD40" s="29" t="str">
        <f t="shared" si="5"/>
        <v>F218</v>
      </c>
      <c r="AE40" s="443"/>
      <c r="AF40" s="443"/>
      <c r="AG40" s="443"/>
      <c r="AH40" s="443"/>
      <c r="AI40" s="1"/>
      <c r="AK40" s="215"/>
      <c r="AL40" s="215"/>
      <c r="AM40" s="215"/>
      <c r="AN40" s="215"/>
      <c r="AO40" s="215"/>
      <c r="AP40" s="215"/>
    </row>
    <row r="41" spans="1:42" ht="16.5">
      <c r="A41" s="728">
        <f t="shared" si="10"/>
        <v>34</v>
      </c>
      <c r="B41" s="563">
        <v>15</v>
      </c>
      <c r="C41" s="694">
        <v>20257</v>
      </c>
      <c r="D41" s="694" t="s">
        <v>149</v>
      </c>
      <c r="E41" s="563">
        <v>17</v>
      </c>
      <c r="F41" s="503">
        <v>1955</v>
      </c>
      <c r="G41" s="563" t="s">
        <v>121</v>
      </c>
      <c r="H41" s="503" t="s">
        <v>125</v>
      </c>
      <c r="I41" s="695">
        <v>67</v>
      </c>
      <c r="J41" s="695">
        <v>16.2</v>
      </c>
      <c r="K41" s="777">
        <f t="shared" si="6"/>
        <v>0.61670454545454545</v>
      </c>
      <c r="L41" s="968">
        <v>250000</v>
      </c>
      <c r="M41" s="503">
        <f t="shared" si="7"/>
        <v>19</v>
      </c>
      <c r="N41" s="504">
        <v>0.79861111111111116</v>
      </c>
      <c r="O41" s="719">
        <f t="shared" si="8"/>
        <v>0.79861111111111116</v>
      </c>
      <c r="P41" s="564"/>
      <c r="Q41" s="564">
        <f t="shared" si="9"/>
        <v>-0.79861111111111116</v>
      </c>
      <c r="R41" s="965" t="s">
        <v>1520</v>
      </c>
      <c r="S41" s="487" t="s">
        <v>69</v>
      </c>
      <c r="T41" s="29"/>
      <c r="U41" s="29" t="str">
        <f t="shared" si="0"/>
        <v>CollingsworthF3</v>
      </c>
      <c r="V41" s="29" t="str">
        <f t="shared" si="1"/>
        <v>1955F3</v>
      </c>
      <c r="W41" s="80">
        <v>50</v>
      </c>
      <c r="X41" s="32">
        <v>10</v>
      </c>
      <c r="Y41" s="467">
        <v>0.5</v>
      </c>
      <c r="Z41" s="80"/>
      <c r="AA41" s="29" t="str">
        <f t="shared" si="2"/>
        <v>F350</v>
      </c>
      <c r="AB41" s="29" t="str">
        <f t="shared" si="3"/>
        <v>F310</v>
      </c>
      <c r="AC41" s="29" t="str">
        <f t="shared" si="4"/>
        <v>F30.5</v>
      </c>
      <c r="AD41" s="29" t="str">
        <f t="shared" si="5"/>
        <v>F319</v>
      </c>
      <c r="AE41" s="443"/>
      <c r="AF41" s="443"/>
      <c r="AG41" s="443"/>
      <c r="AH41" s="443"/>
      <c r="AI41" s="1"/>
      <c r="AK41" s="215"/>
      <c r="AL41" s="215"/>
      <c r="AM41" s="215"/>
      <c r="AN41" s="215"/>
      <c r="AO41" s="215"/>
      <c r="AP41" s="215"/>
    </row>
    <row r="42" spans="1:42" ht="16.5">
      <c r="A42" s="728">
        <f t="shared" si="10"/>
        <v>35</v>
      </c>
      <c r="B42" s="563">
        <v>16</v>
      </c>
      <c r="C42" s="694">
        <v>20258</v>
      </c>
      <c r="D42" s="694" t="s">
        <v>149</v>
      </c>
      <c r="E42" s="563">
        <v>18</v>
      </c>
      <c r="F42" s="503">
        <v>1955</v>
      </c>
      <c r="G42" s="563" t="s">
        <v>103</v>
      </c>
      <c r="H42" s="503" t="s">
        <v>122</v>
      </c>
      <c r="I42" s="695">
        <v>10</v>
      </c>
      <c r="J42" s="695">
        <v>0.1</v>
      </c>
      <c r="K42" s="777">
        <f t="shared" si="6"/>
        <v>5.6818181818181826E-4</v>
      </c>
      <c r="L42" s="968">
        <v>0</v>
      </c>
      <c r="M42" s="503">
        <f t="shared" si="7"/>
        <v>20</v>
      </c>
      <c r="N42" s="504">
        <v>0.83333333333333337</v>
      </c>
      <c r="O42" s="719">
        <f t="shared" si="8"/>
        <v>0.83333333333333337</v>
      </c>
      <c r="P42" s="564"/>
      <c r="Q42" s="564">
        <f t="shared" si="9"/>
        <v>-0.83333333333333337</v>
      </c>
      <c r="R42" s="965" t="s">
        <v>1520</v>
      </c>
      <c r="S42" s="487"/>
      <c r="T42" s="29"/>
      <c r="U42" s="29" t="str">
        <f t="shared" si="0"/>
        <v>ShermanF0</v>
      </c>
      <c r="V42" s="29" t="str">
        <f t="shared" si="1"/>
        <v>1955F0</v>
      </c>
      <c r="W42" s="80">
        <v>10</v>
      </c>
      <c r="X42" s="32">
        <v>0.1</v>
      </c>
      <c r="Y42" s="467">
        <v>5.0000000000000001E-4</v>
      </c>
      <c r="Z42" s="80"/>
      <c r="AA42" s="29" t="str">
        <f t="shared" si="2"/>
        <v>F010</v>
      </c>
      <c r="AB42" s="29" t="str">
        <f t="shared" si="3"/>
        <v>F00.1</v>
      </c>
      <c r="AC42" s="29" t="str">
        <f t="shared" si="4"/>
        <v>F00.0005</v>
      </c>
      <c r="AD42" s="29" t="str">
        <f t="shared" si="5"/>
        <v>F020</v>
      </c>
      <c r="AE42" s="443"/>
      <c r="AF42" s="443"/>
      <c r="AG42" s="443"/>
      <c r="AH42" s="443"/>
      <c r="AI42" s="1"/>
      <c r="AK42" s="215"/>
      <c r="AL42" s="215"/>
      <c r="AM42" s="215"/>
      <c r="AN42" s="215"/>
      <c r="AO42" s="215"/>
      <c r="AP42" s="215"/>
    </row>
    <row r="43" spans="1:42" ht="16.5">
      <c r="A43" s="728">
        <f t="shared" si="10"/>
        <v>36</v>
      </c>
      <c r="B43" s="563">
        <v>17</v>
      </c>
      <c r="C43" s="694">
        <v>20258</v>
      </c>
      <c r="D43" s="694" t="s">
        <v>149</v>
      </c>
      <c r="E43" s="563">
        <v>18</v>
      </c>
      <c r="F43" s="503">
        <v>1955</v>
      </c>
      <c r="G43" s="563" t="s">
        <v>103</v>
      </c>
      <c r="H43" s="503" t="s">
        <v>122</v>
      </c>
      <c r="I43" s="695">
        <v>10</v>
      </c>
      <c r="J43" s="695">
        <v>0.1</v>
      </c>
      <c r="K43" s="777">
        <f t="shared" si="6"/>
        <v>5.6818181818181826E-4</v>
      </c>
      <c r="L43" s="968">
        <v>0</v>
      </c>
      <c r="M43" s="503">
        <f t="shared" si="7"/>
        <v>20</v>
      </c>
      <c r="N43" s="504">
        <v>0.83333333333333337</v>
      </c>
      <c r="O43" s="719">
        <f t="shared" si="8"/>
        <v>0.83333333333333337</v>
      </c>
      <c r="P43" s="564"/>
      <c r="Q43" s="564">
        <f t="shared" si="9"/>
        <v>-0.83333333333333337</v>
      </c>
      <c r="R43" s="965" t="s">
        <v>1520</v>
      </c>
      <c r="S43" s="487"/>
      <c r="T43" s="29"/>
      <c r="U43" s="29" t="str">
        <f t="shared" si="0"/>
        <v>ShermanF0</v>
      </c>
      <c r="V43" s="29" t="str">
        <f t="shared" si="1"/>
        <v>1955F0</v>
      </c>
      <c r="W43" s="80">
        <v>10</v>
      </c>
      <c r="X43" s="32">
        <v>0.1</v>
      </c>
      <c r="Y43" s="467">
        <v>5.0000000000000001E-4</v>
      </c>
      <c r="Z43" s="80"/>
      <c r="AA43" s="29" t="str">
        <f t="shared" si="2"/>
        <v>F010</v>
      </c>
      <c r="AB43" s="29" t="str">
        <f t="shared" si="3"/>
        <v>F00.1</v>
      </c>
      <c r="AC43" s="29" t="str">
        <f t="shared" si="4"/>
        <v>F00.0005</v>
      </c>
      <c r="AD43" s="29" t="str">
        <f t="shared" si="5"/>
        <v>F020</v>
      </c>
      <c r="AE43" s="443"/>
      <c r="AF43" s="443"/>
      <c r="AG43" s="443"/>
      <c r="AH43" s="443"/>
      <c r="AI43" s="1"/>
      <c r="AK43" s="215"/>
      <c r="AL43" s="215"/>
      <c r="AM43" s="215"/>
      <c r="AN43" s="215"/>
      <c r="AO43" s="215"/>
      <c r="AP43" s="215"/>
    </row>
    <row r="44" spans="1:42" ht="16.5">
      <c r="A44" s="728">
        <f t="shared" si="10"/>
        <v>37</v>
      </c>
      <c r="B44" s="563">
        <v>18</v>
      </c>
      <c r="C44" s="694">
        <v>20258</v>
      </c>
      <c r="D44" s="694" t="s">
        <v>149</v>
      </c>
      <c r="E44" s="563">
        <v>18</v>
      </c>
      <c r="F44" s="503">
        <v>1955</v>
      </c>
      <c r="G44" s="563" t="s">
        <v>103</v>
      </c>
      <c r="H44" s="503" t="s">
        <v>122</v>
      </c>
      <c r="I44" s="695">
        <v>10</v>
      </c>
      <c r="J44" s="695">
        <v>0.1</v>
      </c>
      <c r="K44" s="777">
        <f t="shared" si="6"/>
        <v>5.6818181818181826E-4</v>
      </c>
      <c r="L44" s="968">
        <v>0</v>
      </c>
      <c r="M44" s="503">
        <f t="shared" si="7"/>
        <v>20</v>
      </c>
      <c r="N44" s="504">
        <v>0.83333333333333337</v>
      </c>
      <c r="O44" s="719">
        <f t="shared" si="8"/>
        <v>0.83333333333333337</v>
      </c>
      <c r="P44" s="564"/>
      <c r="Q44" s="564">
        <f t="shared" si="9"/>
        <v>-0.83333333333333337</v>
      </c>
      <c r="R44" s="965" t="s">
        <v>1520</v>
      </c>
      <c r="S44" s="487"/>
      <c r="T44" s="29"/>
      <c r="U44" s="29" t="str">
        <f t="shared" si="0"/>
        <v>ShermanF0</v>
      </c>
      <c r="V44" s="29" t="str">
        <f t="shared" si="1"/>
        <v>1955F0</v>
      </c>
      <c r="W44" s="80">
        <v>10</v>
      </c>
      <c r="X44" s="32">
        <v>0.1</v>
      </c>
      <c r="Y44" s="467">
        <v>5.0000000000000001E-4</v>
      </c>
      <c r="Z44" s="80"/>
      <c r="AA44" s="29" t="str">
        <f t="shared" si="2"/>
        <v>F010</v>
      </c>
      <c r="AB44" s="29" t="str">
        <f t="shared" si="3"/>
        <v>F00.1</v>
      </c>
      <c r="AC44" s="29" t="str">
        <f t="shared" si="4"/>
        <v>F00.0005</v>
      </c>
      <c r="AD44" s="29" t="str">
        <f t="shared" si="5"/>
        <v>F020</v>
      </c>
      <c r="AE44" s="443"/>
      <c r="AF44" s="443"/>
      <c r="AG44" s="443"/>
      <c r="AH44" s="443"/>
      <c r="AI44" s="1"/>
      <c r="AK44" s="215"/>
      <c r="AL44" s="215"/>
      <c r="AM44" s="215"/>
      <c r="AN44" s="215"/>
      <c r="AO44" s="215"/>
      <c r="AP44" s="215"/>
    </row>
    <row r="45" spans="1:42" ht="16.5">
      <c r="A45" s="728">
        <f t="shared" si="10"/>
        <v>38</v>
      </c>
      <c r="B45" s="563">
        <v>19</v>
      </c>
      <c r="C45" s="694">
        <v>20259</v>
      </c>
      <c r="D45" s="694" t="s">
        <v>149</v>
      </c>
      <c r="E45" s="563">
        <v>19</v>
      </c>
      <c r="F45" s="503">
        <v>1955</v>
      </c>
      <c r="G45" s="563" t="s">
        <v>103</v>
      </c>
      <c r="H45" s="503" t="s">
        <v>122</v>
      </c>
      <c r="I45" s="695">
        <v>10</v>
      </c>
      <c r="J45" s="695">
        <v>0.1</v>
      </c>
      <c r="K45" s="777">
        <f t="shared" si="6"/>
        <v>5.6818181818181826E-4</v>
      </c>
      <c r="L45" s="968">
        <v>0</v>
      </c>
      <c r="M45" s="503">
        <f t="shared" si="7"/>
        <v>17</v>
      </c>
      <c r="N45" s="504">
        <v>0.73263888888888884</v>
      </c>
      <c r="O45" s="719">
        <f t="shared" si="8"/>
        <v>0.73263888888888884</v>
      </c>
      <c r="P45" s="564"/>
      <c r="Q45" s="564">
        <f t="shared" si="9"/>
        <v>-0.73263888888888884</v>
      </c>
      <c r="R45" s="965" t="s">
        <v>1520</v>
      </c>
      <c r="S45" s="487"/>
      <c r="T45" s="29"/>
      <c r="U45" s="29" t="str">
        <f t="shared" si="0"/>
        <v>ShermanF0</v>
      </c>
      <c r="V45" s="29" t="str">
        <f t="shared" si="1"/>
        <v>1955F0</v>
      </c>
      <c r="W45" s="80">
        <v>10</v>
      </c>
      <c r="X45" s="32">
        <v>0.1</v>
      </c>
      <c r="Y45" s="467">
        <v>5.0000000000000001E-4</v>
      </c>
      <c r="Z45" s="80"/>
      <c r="AA45" s="29" t="str">
        <f t="shared" si="2"/>
        <v>F010</v>
      </c>
      <c r="AB45" s="29" t="str">
        <f t="shared" si="3"/>
        <v>F00.1</v>
      </c>
      <c r="AC45" s="29" t="str">
        <f t="shared" si="4"/>
        <v>F00.0005</v>
      </c>
      <c r="AD45" s="29" t="str">
        <f t="shared" si="5"/>
        <v>F017</v>
      </c>
      <c r="AE45" s="443"/>
      <c r="AF45" s="443"/>
      <c r="AG45" s="443"/>
      <c r="AH45" s="443"/>
      <c r="AI45" s="1"/>
      <c r="AK45" s="215"/>
      <c r="AL45" s="215"/>
      <c r="AM45" s="215"/>
      <c r="AN45" s="215"/>
      <c r="AO45" s="215"/>
      <c r="AP45" s="215"/>
    </row>
    <row r="46" spans="1:42" ht="16.5">
      <c r="A46" s="728">
        <f t="shared" si="10"/>
        <v>39</v>
      </c>
      <c r="B46" s="563">
        <v>1</v>
      </c>
      <c r="C46" s="694">
        <v>20629</v>
      </c>
      <c r="D46" s="694" t="s">
        <v>149</v>
      </c>
      <c r="E46" s="563">
        <v>23</v>
      </c>
      <c r="F46" s="503">
        <v>1956</v>
      </c>
      <c r="G46" s="563" t="s">
        <v>100</v>
      </c>
      <c r="H46" s="503" t="s">
        <v>123</v>
      </c>
      <c r="I46" s="695">
        <v>50</v>
      </c>
      <c r="J46" s="695">
        <v>2</v>
      </c>
      <c r="K46" s="777">
        <f t="shared" si="6"/>
        <v>5.6818181818181816E-2</v>
      </c>
      <c r="L46" s="968">
        <v>250000</v>
      </c>
      <c r="M46" s="503">
        <f t="shared" si="7"/>
        <v>20</v>
      </c>
      <c r="N46" s="504">
        <v>0.83333333333333337</v>
      </c>
      <c r="O46" s="719">
        <f t="shared" si="8"/>
        <v>0.83333333333333337</v>
      </c>
      <c r="P46" s="564"/>
      <c r="Q46" s="564">
        <f t="shared" si="9"/>
        <v>-0.83333333333333337</v>
      </c>
      <c r="R46" s="965" t="s">
        <v>1520</v>
      </c>
      <c r="S46" s="487"/>
      <c r="T46" s="29"/>
      <c r="U46" s="29" t="str">
        <f t="shared" si="0"/>
        <v>TexasF1</v>
      </c>
      <c r="V46" s="29" t="str">
        <f t="shared" si="1"/>
        <v>1956F1</v>
      </c>
      <c r="W46" s="80">
        <v>50</v>
      </c>
      <c r="X46" s="32">
        <v>2</v>
      </c>
      <c r="Y46" s="467">
        <v>0.05</v>
      </c>
      <c r="Z46" s="80"/>
      <c r="AA46" s="29" t="str">
        <f t="shared" si="2"/>
        <v>F150</v>
      </c>
      <c r="AB46" s="29" t="str">
        <f t="shared" si="3"/>
        <v>F12</v>
      </c>
      <c r="AC46" s="29" t="str">
        <f t="shared" si="4"/>
        <v>F10.05</v>
      </c>
      <c r="AD46" s="29" t="str">
        <f t="shared" si="5"/>
        <v>F120</v>
      </c>
      <c r="AE46" s="443"/>
      <c r="AF46" s="443"/>
      <c r="AG46" s="443"/>
      <c r="AH46" s="443"/>
      <c r="AI46" s="1"/>
      <c r="AK46" s="215"/>
      <c r="AL46" s="215"/>
      <c r="AM46" s="215"/>
      <c r="AN46" s="215"/>
      <c r="AO46" s="215"/>
      <c r="AP46" s="215"/>
    </row>
    <row r="47" spans="1:42" ht="16.5">
      <c r="A47" s="728">
        <f t="shared" si="10"/>
        <v>40</v>
      </c>
      <c r="B47" s="563">
        <v>2</v>
      </c>
      <c r="C47" s="694">
        <v>20640</v>
      </c>
      <c r="D47" s="694" t="s">
        <v>150</v>
      </c>
      <c r="E47" s="563">
        <v>4</v>
      </c>
      <c r="F47" s="503">
        <v>1956</v>
      </c>
      <c r="G47" s="563" t="s">
        <v>118</v>
      </c>
      <c r="H47" s="503" t="s">
        <v>122</v>
      </c>
      <c r="I47" s="695">
        <v>33</v>
      </c>
      <c r="J47" s="695">
        <v>0.4</v>
      </c>
      <c r="K47" s="777">
        <f t="shared" si="6"/>
        <v>7.4999999999999997E-3</v>
      </c>
      <c r="L47" s="968">
        <v>3000</v>
      </c>
      <c r="M47" s="503">
        <f t="shared" si="7"/>
        <v>17</v>
      </c>
      <c r="N47" s="504">
        <v>0.70833333333333337</v>
      </c>
      <c r="O47" s="719">
        <f t="shared" si="8"/>
        <v>0.70833333333333337</v>
      </c>
      <c r="P47" s="564"/>
      <c r="Q47" s="564">
        <f t="shared" si="9"/>
        <v>-0.70833333333333337</v>
      </c>
      <c r="R47" s="965" t="s">
        <v>1520</v>
      </c>
      <c r="S47" s="487"/>
      <c r="T47" s="29"/>
      <c r="U47" s="29" t="str">
        <f t="shared" si="0"/>
        <v>RandallF0</v>
      </c>
      <c r="V47" s="29" t="str">
        <f t="shared" si="1"/>
        <v>1956F0</v>
      </c>
      <c r="W47" s="80">
        <v>20</v>
      </c>
      <c r="X47" s="32">
        <v>0.2</v>
      </c>
      <c r="Y47" s="467">
        <v>5.0000000000000001E-3</v>
      </c>
      <c r="Z47" s="80"/>
      <c r="AA47" s="29" t="str">
        <f t="shared" si="2"/>
        <v>F020</v>
      </c>
      <c r="AB47" s="29" t="str">
        <f t="shared" si="3"/>
        <v>F00.2</v>
      </c>
      <c r="AC47" s="29" t="str">
        <f t="shared" si="4"/>
        <v>F00.005</v>
      </c>
      <c r="AD47" s="29" t="str">
        <f t="shared" si="5"/>
        <v>F017</v>
      </c>
      <c r="AE47" s="443"/>
      <c r="AF47" s="443"/>
      <c r="AG47" s="443"/>
      <c r="AH47" s="443"/>
      <c r="AI47" s="1"/>
    </row>
    <row r="48" spans="1:42" ht="16.5">
      <c r="A48" s="728">
        <f t="shared" si="10"/>
        <v>41</v>
      </c>
      <c r="B48" s="563">
        <v>1</v>
      </c>
      <c r="C48" s="694">
        <v>20912</v>
      </c>
      <c r="D48" s="694" t="s">
        <v>147</v>
      </c>
      <c r="E48" s="563">
        <v>2</v>
      </c>
      <c r="F48" s="503">
        <v>1957</v>
      </c>
      <c r="G48" s="563" t="s">
        <v>116</v>
      </c>
      <c r="H48" s="503" t="s">
        <v>124</v>
      </c>
      <c r="I48" s="695">
        <v>33</v>
      </c>
      <c r="J48" s="695">
        <v>0.3</v>
      </c>
      <c r="K48" s="777">
        <f t="shared" si="6"/>
        <v>5.6249999999999998E-3</v>
      </c>
      <c r="L48" s="968">
        <v>25000</v>
      </c>
      <c r="M48" s="503">
        <f t="shared" si="7"/>
        <v>18</v>
      </c>
      <c r="N48" s="504">
        <v>0.75347222222222221</v>
      </c>
      <c r="O48" s="719">
        <f t="shared" si="8"/>
        <v>0.75347222222222221</v>
      </c>
      <c r="P48" s="564"/>
      <c r="Q48" s="564">
        <f t="shared" si="9"/>
        <v>-0.75347222222222221</v>
      </c>
      <c r="R48" s="965" t="s">
        <v>1520</v>
      </c>
      <c r="S48" s="487"/>
      <c r="T48" s="29"/>
      <c r="U48" s="29" t="str">
        <f t="shared" si="0"/>
        <v>WheelerF2</v>
      </c>
      <c r="V48" s="29" t="str">
        <f t="shared" si="1"/>
        <v>1957F2</v>
      </c>
      <c r="W48" s="80">
        <v>20</v>
      </c>
      <c r="X48" s="32">
        <v>0.2</v>
      </c>
      <c r="Y48" s="467">
        <v>5.0000000000000001E-3</v>
      </c>
      <c r="Z48" s="80"/>
      <c r="AA48" s="29" t="str">
        <f t="shared" si="2"/>
        <v>F220</v>
      </c>
      <c r="AB48" s="29" t="str">
        <f t="shared" si="3"/>
        <v>F20.2</v>
      </c>
      <c r="AC48" s="29" t="str">
        <f t="shared" si="4"/>
        <v>F20.005</v>
      </c>
      <c r="AD48" s="29" t="str">
        <f t="shared" si="5"/>
        <v>F218</v>
      </c>
      <c r="AE48" s="443"/>
      <c r="AF48" s="443"/>
      <c r="AG48" s="443"/>
      <c r="AH48" s="443"/>
      <c r="AI48" s="1"/>
    </row>
    <row r="49" spans="1:35" ht="16.5">
      <c r="A49" s="728">
        <f t="shared" si="10"/>
        <v>42</v>
      </c>
      <c r="B49" s="563">
        <v>2</v>
      </c>
      <c r="C49" s="694">
        <v>20951</v>
      </c>
      <c r="D49" s="694" t="s">
        <v>148</v>
      </c>
      <c r="E49" s="563">
        <v>11</v>
      </c>
      <c r="F49" s="503">
        <v>1957</v>
      </c>
      <c r="G49" s="563" t="s">
        <v>107</v>
      </c>
      <c r="H49" s="503" t="s">
        <v>123</v>
      </c>
      <c r="I49" s="695">
        <v>33</v>
      </c>
      <c r="J49" s="695">
        <v>7.4</v>
      </c>
      <c r="K49" s="777">
        <f t="shared" si="6"/>
        <v>0.13875000000000001</v>
      </c>
      <c r="L49" s="968">
        <v>0</v>
      </c>
      <c r="M49" s="503">
        <f t="shared" si="7"/>
        <v>17</v>
      </c>
      <c r="N49" s="504">
        <v>0.71875</v>
      </c>
      <c r="O49" s="719">
        <f t="shared" si="8"/>
        <v>0.71875</v>
      </c>
      <c r="P49" s="564"/>
      <c r="Q49" s="564">
        <f t="shared" si="9"/>
        <v>-0.71875</v>
      </c>
      <c r="R49" s="965" t="s">
        <v>1520</v>
      </c>
      <c r="S49" s="487"/>
      <c r="T49" s="29"/>
      <c r="U49" s="29" t="str">
        <f t="shared" si="0"/>
        <v>HartleyF1</v>
      </c>
      <c r="V49" s="29" t="str">
        <f t="shared" si="1"/>
        <v>1957F1</v>
      </c>
      <c r="W49" s="80">
        <v>20</v>
      </c>
      <c r="X49" s="32">
        <v>5</v>
      </c>
      <c r="Y49" s="467">
        <v>0.1</v>
      </c>
      <c r="Z49" s="80"/>
      <c r="AA49" s="29" t="str">
        <f t="shared" si="2"/>
        <v>F120</v>
      </c>
      <c r="AB49" s="29" t="str">
        <f t="shared" si="3"/>
        <v>F15</v>
      </c>
      <c r="AC49" s="29" t="str">
        <f t="shared" si="4"/>
        <v>F10.1</v>
      </c>
      <c r="AD49" s="29" t="str">
        <f t="shared" si="5"/>
        <v>F117</v>
      </c>
      <c r="AE49" s="443"/>
      <c r="AF49" s="443"/>
      <c r="AG49" s="443"/>
      <c r="AH49" s="443"/>
      <c r="AI49" s="1"/>
    </row>
    <row r="50" spans="1:35" ht="16.5">
      <c r="A50" s="728">
        <f t="shared" si="10"/>
        <v>43</v>
      </c>
      <c r="B50" s="563">
        <v>3</v>
      </c>
      <c r="C50" s="694">
        <v>20955</v>
      </c>
      <c r="D50" s="694" t="s">
        <v>148</v>
      </c>
      <c r="E50" s="563">
        <v>15</v>
      </c>
      <c r="F50" s="503">
        <v>1957</v>
      </c>
      <c r="G50" s="563" t="s">
        <v>115</v>
      </c>
      <c r="H50" s="503" t="s">
        <v>123</v>
      </c>
      <c r="I50" s="695">
        <v>33</v>
      </c>
      <c r="J50" s="695">
        <v>8</v>
      </c>
      <c r="K50" s="777">
        <f t="shared" si="6"/>
        <v>0.15</v>
      </c>
      <c r="L50" s="968">
        <v>3000</v>
      </c>
      <c r="M50" s="503">
        <f t="shared" si="7"/>
        <v>15</v>
      </c>
      <c r="N50" s="504">
        <v>0.64583333333333337</v>
      </c>
      <c r="O50" s="719">
        <f t="shared" si="8"/>
        <v>0.64583333333333337</v>
      </c>
      <c r="P50" s="564"/>
      <c r="Q50" s="564">
        <f t="shared" si="9"/>
        <v>-0.64583333333333337</v>
      </c>
      <c r="R50" s="965" t="s">
        <v>1520</v>
      </c>
      <c r="S50" s="487" t="s">
        <v>1061</v>
      </c>
      <c r="T50" s="29"/>
      <c r="U50" s="29" t="str">
        <f t="shared" si="0"/>
        <v>GrayF1</v>
      </c>
      <c r="V50" s="29" t="str">
        <f t="shared" si="1"/>
        <v>1957F1</v>
      </c>
      <c r="W50" s="80">
        <v>20</v>
      </c>
      <c r="X50" s="32">
        <v>5</v>
      </c>
      <c r="Y50" s="467">
        <v>0.1</v>
      </c>
      <c r="Z50" s="80"/>
      <c r="AA50" s="29" t="str">
        <f t="shared" si="2"/>
        <v>F120</v>
      </c>
      <c r="AB50" s="29" t="str">
        <f t="shared" si="3"/>
        <v>F15</v>
      </c>
      <c r="AC50" s="29" t="str">
        <f t="shared" si="4"/>
        <v>F10.1</v>
      </c>
      <c r="AD50" s="29" t="str">
        <f t="shared" si="5"/>
        <v>F115</v>
      </c>
      <c r="AE50" s="443"/>
      <c r="AF50" s="443"/>
      <c r="AG50" s="443"/>
      <c r="AH50" s="443"/>
      <c r="AI50" s="1"/>
    </row>
    <row r="51" spans="1:35" ht="25.5">
      <c r="A51" s="728">
        <f t="shared" si="10"/>
        <v>44</v>
      </c>
      <c r="B51" s="563">
        <v>4</v>
      </c>
      <c r="C51" s="694">
        <v>20955</v>
      </c>
      <c r="D51" s="694" t="s">
        <v>148</v>
      </c>
      <c r="E51" s="563">
        <v>15</v>
      </c>
      <c r="F51" s="503">
        <v>1957</v>
      </c>
      <c r="G51" s="563" t="s">
        <v>115</v>
      </c>
      <c r="H51" s="503" t="s">
        <v>123</v>
      </c>
      <c r="I51" s="695">
        <v>10</v>
      </c>
      <c r="J51" s="695">
        <v>0.1</v>
      </c>
      <c r="K51" s="777">
        <f t="shared" si="6"/>
        <v>5.6818181818181826E-4</v>
      </c>
      <c r="L51" s="968">
        <v>3000</v>
      </c>
      <c r="M51" s="503">
        <f t="shared" si="7"/>
        <v>17</v>
      </c>
      <c r="N51" s="504">
        <v>0.72222222222222221</v>
      </c>
      <c r="O51" s="719">
        <f t="shared" si="8"/>
        <v>0.72222222222222221</v>
      </c>
      <c r="P51" s="564"/>
      <c r="Q51" s="564">
        <f t="shared" si="9"/>
        <v>-0.72222222222222221</v>
      </c>
      <c r="R51" s="965" t="s">
        <v>1520</v>
      </c>
      <c r="S51" s="487" t="s">
        <v>1060</v>
      </c>
      <c r="T51" s="29"/>
      <c r="U51" s="29" t="str">
        <f t="shared" si="0"/>
        <v>GrayF1</v>
      </c>
      <c r="V51" s="29" t="str">
        <f t="shared" si="1"/>
        <v>1957F1</v>
      </c>
      <c r="W51" s="80">
        <v>10</v>
      </c>
      <c r="X51" s="32">
        <v>0.1</v>
      </c>
      <c r="Y51" s="467">
        <v>5.0000000000000001E-4</v>
      </c>
      <c r="Z51" s="80"/>
      <c r="AA51" s="29" t="str">
        <f t="shared" si="2"/>
        <v>F110</v>
      </c>
      <c r="AB51" s="29" t="str">
        <f t="shared" si="3"/>
        <v>F10.1</v>
      </c>
      <c r="AC51" s="29" t="str">
        <f t="shared" si="4"/>
        <v>F10.0005</v>
      </c>
      <c r="AD51" s="29" t="str">
        <f t="shared" si="5"/>
        <v>F117</v>
      </c>
      <c r="AE51" s="443"/>
      <c r="AF51" s="443"/>
      <c r="AG51" s="443"/>
      <c r="AH51" s="443"/>
      <c r="AI51" s="1"/>
    </row>
    <row r="52" spans="1:35" ht="25.5">
      <c r="A52" s="728">
        <f t="shared" si="10"/>
        <v>45</v>
      </c>
      <c r="B52" s="563">
        <v>5</v>
      </c>
      <c r="C52" s="694">
        <v>20955</v>
      </c>
      <c r="D52" s="694" t="s">
        <v>148</v>
      </c>
      <c r="E52" s="563">
        <v>15</v>
      </c>
      <c r="F52" s="503">
        <v>1957</v>
      </c>
      <c r="G52" s="563" t="s">
        <v>120</v>
      </c>
      <c r="H52" s="503" t="s">
        <v>125</v>
      </c>
      <c r="I52" s="695">
        <v>50</v>
      </c>
      <c r="J52" s="695">
        <v>10.199999999999999</v>
      </c>
      <c r="K52" s="777">
        <f t="shared" si="6"/>
        <v>0.28977272727272724</v>
      </c>
      <c r="L52" s="968">
        <v>250000</v>
      </c>
      <c r="M52" s="503">
        <f t="shared" si="7"/>
        <v>18</v>
      </c>
      <c r="N52" s="504">
        <v>0.75</v>
      </c>
      <c r="O52" s="719">
        <f t="shared" si="8"/>
        <v>0.75</v>
      </c>
      <c r="P52" s="564"/>
      <c r="Q52" s="564">
        <f t="shared" si="9"/>
        <v>-0.75</v>
      </c>
      <c r="R52" s="965" t="s">
        <v>1520</v>
      </c>
      <c r="S52" s="487" t="s">
        <v>1062</v>
      </c>
      <c r="T52" s="29"/>
      <c r="U52" s="29" t="str">
        <f t="shared" si="0"/>
        <v>DonleyF3</v>
      </c>
      <c r="V52" s="29" t="str">
        <f t="shared" si="1"/>
        <v>1957F3</v>
      </c>
      <c r="W52" s="80">
        <v>50</v>
      </c>
      <c r="X52" s="32">
        <v>10</v>
      </c>
      <c r="Y52" s="467">
        <v>0.2</v>
      </c>
      <c r="Z52" s="80"/>
      <c r="AA52" s="29" t="str">
        <f t="shared" si="2"/>
        <v>F350</v>
      </c>
      <c r="AB52" s="29" t="str">
        <f t="shared" si="3"/>
        <v>F310</v>
      </c>
      <c r="AC52" s="29" t="str">
        <f t="shared" si="4"/>
        <v>F30.2</v>
      </c>
      <c r="AD52" s="29" t="str">
        <f t="shared" si="5"/>
        <v>F318</v>
      </c>
      <c r="AE52" s="443"/>
      <c r="AF52" s="443"/>
      <c r="AG52" s="443"/>
      <c r="AH52" s="443"/>
      <c r="AI52" s="1"/>
    </row>
    <row r="53" spans="1:35" ht="16.5">
      <c r="A53" s="728">
        <f t="shared" si="10"/>
        <v>46</v>
      </c>
      <c r="B53" s="563">
        <v>6</v>
      </c>
      <c r="C53" s="694">
        <v>20956</v>
      </c>
      <c r="D53" s="694" t="s">
        <v>148</v>
      </c>
      <c r="E53" s="563">
        <v>16</v>
      </c>
      <c r="F53" s="503">
        <v>1957</v>
      </c>
      <c r="G53" s="563" t="s">
        <v>110</v>
      </c>
      <c r="H53" s="503" t="s">
        <v>124</v>
      </c>
      <c r="I53" s="695">
        <v>10</v>
      </c>
      <c r="J53" s="695">
        <v>0.1</v>
      </c>
      <c r="K53" s="777">
        <f t="shared" si="6"/>
        <v>5.6818181818181826E-4</v>
      </c>
      <c r="L53" s="968">
        <v>3000</v>
      </c>
      <c r="M53" s="503">
        <f t="shared" si="7"/>
        <v>17</v>
      </c>
      <c r="N53" s="504">
        <v>0.70833333333333337</v>
      </c>
      <c r="O53" s="719">
        <f t="shared" si="8"/>
        <v>0.70833333333333337</v>
      </c>
      <c r="P53" s="564"/>
      <c r="Q53" s="564">
        <f t="shared" si="9"/>
        <v>-0.70833333333333337</v>
      </c>
      <c r="R53" s="965" t="s">
        <v>1520</v>
      </c>
      <c r="S53" s="487"/>
      <c r="T53" s="29"/>
      <c r="U53" s="29" t="str">
        <f t="shared" si="0"/>
        <v>RobertsF2</v>
      </c>
      <c r="V53" s="29" t="str">
        <f t="shared" si="1"/>
        <v>1957F2</v>
      </c>
      <c r="W53" s="80">
        <v>10</v>
      </c>
      <c r="X53" s="32">
        <v>0.1</v>
      </c>
      <c r="Y53" s="467">
        <v>5.0000000000000001E-4</v>
      </c>
      <c r="Z53" s="80"/>
      <c r="AA53" s="29" t="str">
        <f t="shared" si="2"/>
        <v>F210</v>
      </c>
      <c r="AB53" s="29" t="str">
        <f t="shared" si="3"/>
        <v>F20.1</v>
      </c>
      <c r="AC53" s="29" t="str">
        <f t="shared" si="4"/>
        <v>F20.0005</v>
      </c>
      <c r="AD53" s="29" t="str">
        <f t="shared" si="5"/>
        <v>F217</v>
      </c>
      <c r="AE53" s="443"/>
      <c r="AF53" s="443"/>
      <c r="AG53" s="443"/>
      <c r="AH53" s="443"/>
      <c r="AI53" s="1"/>
    </row>
    <row r="54" spans="1:35" ht="16.5">
      <c r="A54" s="728">
        <f t="shared" si="10"/>
        <v>47</v>
      </c>
      <c r="B54" s="563">
        <v>7</v>
      </c>
      <c r="C54" s="694">
        <v>20964</v>
      </c>
      <c r="D54" s="694" t="s">
        <v>148</v>
      </c>
      <c r="E54" s="563">
        <v>24</v>
      </c>
      <c r="F54" s="503">
        <v>1957</v>
      </c>
      <c r="G54" s="563" t="s">
        <v>117</v>
      </c>
      <c r="H54" s="503" t="s">
        <v>122</v>
      </c>
      <c r="I54" s="695">
        <v>10</v>
      </c>
      <c r="J54" s="695">
        <v>1</v>
      </c>
      <c r="K54" s="777">
        <f t="shared" si="6"/>
        <v>5.681818181818182E-3</v>
      </c>
      <c r="L54" s="968">
        <v>0</v>
      </c>
      <c r="M54" s="503">
        <f t="shared" si="7"/>
        <v>11</v>
      </c>
      <c r="N54" s="504">
        <v>0.47916666666666669</v>
      </c>
      <c r="O54" s="719">
        <f t="shared" si="8"/>
        <v>0.47916666666666669</v>
      </c>
      <c r="P54" s="564"/>
      <c r="Q54" s="564">
        <f t="shared" si="9"/>
        <v>-0.47916666666666669</v>
      </c>
      <c r="R54" s="965" t="s">
        <v>1520</v>
      </c>
      <c r="S54" s="487"/>
      <c r="T54" s="29"/>
      <c r="U54" s="29" t="str">
        <f t="shared" si="0"/>
        <v>Deaf SmithF0</v>
      </c>
      <c r="V54" s="29" t="str">
        <f t="shared" si="1"/>
        <v>1957F0</v>
      </c>
      <c r="W54" s="80">
        <v>10</v>
      </c>
      <c r="X54" s="32">
        <v>1</v>
      </c>
      <c r="Y54" s="467">
        <v>5.0000000000000001E-3</v>
      </c>
      <c r="Z54" s="80"/>
      <c r="AA54" s="29" t="str">
        <f t="shared" si="2"/>
        <v>F010</v>
      </c>
      <c r="AB54" s="29" t="str">
        <f t="shared" si="3"/>
        <v>F01</v>
      </c>
      <c r="AC54" s="29" t="str">
        <f t="shared" si="4"/>
        <v>F00.005</v>
      </c>
      <c r="AD54" s="29" t="str">
        <f t="shared" si="5"/>
        <v>F011</v>
      </c>
      <c r="AE54" s="443"/>
      <c r="AF54" s="443"/>
      <c r="AG54" s="443"/>
      <c r="AH54" s="443"/>
      <c r="AI54" s="1"/>
    </row>
    <row r="55" spans="1:35" ht="16.5">
      <c r="A55" s="728">
        <f t="shared" si="10"/>
        <v>48</v>
      </c>
      <c r="B55" s="563">
        <v>8</v>
      </c>
      <c r="C55" s="694">
        <v>20964</v>
      </c>
      <c r="D55" s="694" t="s">
        <v>148</v>
      </c>
      <c r="E55" s="563">
        <v>24</v>
      </c>
      <c r="F55" s="503">
        <v>1957</v>
      </c>
      <c r="G55" s="563" t="s">
        <v>113</v>
      </c>
      <c r="H55" s="503" t="s">
        <v>122</v>
      </c>
      <c r="I55" s="695">
        <v>50</v>
      </c>
      <c r="J55" s="695">
        <v>0.3</v>
      </c>
      <c r="K55" s="777">
        <f t="shared" si="6"/>
        <v>8.5227272727272721E-3</v>
      </c>
      <c r="L55" s="968">
        <v>25000</v>
      </c>
      <c r="M55" s="503">
        <f t="shared" si="7"/>
        <v>13</v>
      </c>
      <c r="N55" s="504">
        <v>0.57638888888888895</v>
      </c>
      <c r="O55" s="719">
        <f t="shared" si="8"/>
        <v>0.57638888888888895</v>
      </c>
      <c r="P55" s="564"/>
      <c r="Q55" s="564">
        <f t="shared" si="9"/>
        <v>-0.57638888888888895</v>
      </c>
      <c r="R55" s="965" t="s">
        <v>1520</v>
      </c>
      <c r="S55" s="487"/>
      <c r="T55" s="29"/>
      <c r="U55" s="29" t="str">
        <f t="shared" si="0"/>
        <v>PotterF0</v>
      </c>
      <c r="V55" s="29" t="str">
        <f t="shared" si="1"/>
        <v>1957F0</v>
      </c>
      <c r="W55" s="80">
        <v>50</v>
      </c>
      <c r="X55" s="32">
        <v>0.2</v>
      </c>
      <c r="Y55" s="467">
        <v>5.0000000000000001E-3</v>
      </c>
      <c r="Z55" s="80"/>
      <c r="AA55" s="29" t="str">
        <f t="shared" si="2"/>
        <v>F050</v>
      </c>
      <c r="AB55" s="29" t="str">
        <f t="shared" si="3"/>
        <v>F00.2</v>
      </c>
      <c r="AC55" s="29" t="str">
        <f t="shared" si="4"/>
        <v>F00.005</v>
      </c>
      <c r="AD55" s="29" t="str">
        <f t="shared" si="5"/>
        <v>F013</v>
      </c>
      <c r="AE55" s="443"/>
      <c r="AF55" s="443"/>
      <c r="AG55" s="443"/>
      <c r="AH55" s="443"/>
      <c r="AI55" s="1"/>
    </row>
    <row r="56" spans="1:35" ht="16.5">
      <c r="A56" s="728">
        <f t="shared" si="10"/>
        <v>49</v>
      </c>
      <c r="B56" s="563">
        <v>9</v>
      </c>
      <c r="C56" s="694">
        <v>20981</v>
      </c>
      <c r="D56" s="694" t="s">
        <v>149</v>
      </c>
      <c r="E56" s="563">
        <v>10</v>
      </c>
      <c r="F56" s="503">
        <v>1957</v>
      </c>
      <c r="G56" s="563" t="s">
        <v>105</v>
      </c>
      <c r="H56" s="503" t="s">
        <v>124</v>
      </c>
      <c r="I56" s="695">
        <v>10</v>
      </c>
      <c r="J56" s="695">
        <v>0.1</v>
      </c>
      <c r="K56" s="777">
        <f t="shared" si="6"/>
        <v>5.6818181818181826E-4</v>
      </c>
      <c r="L56" s="968">
        <v>3000</v>
      </c>
      <c r="M56" s="503">
        <f t="shared" si="7"/>
        <v>17</v>
      </c>
      <c r="N56" s="504">
        <v>0.73958333333333337</v>
      </c>
      <c r="O56" s="719">
        <f t="shared" si="8"/>
        <v>0.73958333333333337</v>
      </c>
      <c r="P56" s="564"/>
      <c r="Q56" s="564">
        <f t="shared" si="9"/>
        <v>-0.73958333333333337</v>
      </c>
      <c r="R56" s="965" t="s">
        <v>1520</v>
      </c>
      <c r="S56" s="487"/>
      <c r="T56" s="29"/>
      <c r="U56" s="29" t="str">
        <f t="shared" si="0"/>
        <v>OchiltreeF2</v>
      </c>
      <c r="V56" s="29" t="str">
        <f t="shared" si="1"/>
        <v>1957F2</v>
      </c>
      <c r="W56" s="80">
        <v>10</v>
      </c>
      <c r="X56" s="32">
        <v>0.1</v>
      </c>
      <c r="Y56" s="467">
        <v>5.0000000000000001E-4</v>
      </c>
      <c r="Z56" s="80"/>
      <c r="AA56" s="29" t="str">
        <f t="shared" si="2"/>
        <v>F210</v>
      </c>
      <c r="AB56" s="29" t="str">
        <f t="shared" si="3"/>
        <v>F20.1</v>
      </c>
      <c r="AC56" s="29" t="str">
        <f t="shared" si="4"/>
        <v>F20.0005</v>
      </c>
      <c r="AD56" s="29" t="str">
        <f t="shared" si="5"/>
        <v>F217</v>
      </c>
      <c r="AE56" s="443"/>
      <c r="AF56" s="443"/>
      <c r="AG56" s="443"/>
      <c r="AH56" s="443"/>
      <c r="AI56" s="1"/>
    </row>
    <row r="57" spans="1:35" ht="16.5">
      <c r="A57" s="728">
        <f t="shared" si="10"/>
        <v>50</v>
      </c>
      <c r="B57" s="563">
        <v>10</v>
      </c>
      <c r="C57" s="694">
        <v>21106</v>
      </c>
      <c r="D57" s="694" t="s">
        <v>153</v>
      </c>
      <c r="E57" s="563">
        <v>13</v>
      </c>
      <c r="F57" s="503">
        <v>1957</v>
      </c>
      <c r="G57" s="563" t="s">
        <v>101</v>
      </c>
      <c r="H57" s="503" t="s">
        <v>122</v>
      </c>
      <c r="I57" s="695">
        <v>10</v>
      </c>
      <c r="J57" s="695">
        <v>0.1</v>
      </c>
      <c r="K57" s="777">
        <f t="shared" si="6"/>
        <v>5.6818181818181826E-4</v>
      </c>
      <c r="L57" s="968">
        <v>0</v>
      </c>
      <c r="M57" s="503">
        <f t="shared" si="7"/>
        <v>17</v>
      </c>
      <c r="N57" s="504">
        <v>0.72222222222222221</v>
      </c>
      <c r="O57" s="719">
        <f t="shared" si="8"/>
        <v>0.72222222222222221</v>
      </c>
      <c r="P57" s="564"/>
      <c r="Q57" s="564">
        <f t="shared" si="9"/>
        <v>-0.72222222222222221</v>
      </c>
      <c r="R57" s="965" t="s">
        <v>1520</v>
      </c>
      <c r="S57" s="487"/>
      <c r="T57" s="29"/>
      <c r="U57" s="29" t="str">
        <f t="shared" si="0"/>
        <v>BeaverF0</v>
      </c>
      <c r="V57" s="29" t="str">
        <f t="shared" si="1"/>
        <v>1957F0</v>
      </c>
      <c r="W57" s="80">
        <v>10</v>
      </c>
      <c r="X57" s="32">
        <v>0.1</v>
      </c>
      <c r="Y57" s="467">
        <v>5.0000000000000001E-4</v>
      </c>
      <c r="Z57" s="80"/>
      <c r="AA57" s="29" t="str">
        <f t="shared" si="2"/>
        <v>F010</v>
      </c>
      <c r="AB57" s="29" t="str">
        <f t="shared" si="3"/>
        <v>F00.1</v>
      </c>
      <c r="AC57" s="29" t="str">
        <f t="shared" si="4"/>
        <v>F00.0005</v>
      </c>
      <c r="AD57" s="29" t="str">
        <f t="shared" si="5"/>
        <v>F017</v>
      </c>
      <c r="AE57" s="443"/>
      <c r="AF57" s="443"/>
      <c r="AG57" s="443"/>
      <c r="AH57" s="443"/>
      <c r="AI57" s="1"/>
    </row>
    <row r="58" spans="1:35" ht="16.5">
      <c r="A58" s="728">
        <f t="shared" si="10"/>
        <v>51</v>
      </c>
      <c r="B58" s="563">
        <v>1</v>
      </c>
      <c r="C58" s="694">
        <v>21322</v>
      </c>
      <c r="D58" s="694" t="s">
        <v>148</v>
      </c>
      <c r="E58" s="563">
        <v>17</v>
      </c>
      <c r="F58" s="503">
        <v>1958</v>
      </c>
      <c r="G58" s="563" t="s">
        <v>118</v>
      </c>
      <c r="H58" s="503" t="s">
        <v>122</v>
      </c>
      <c r="I58" s="695">
        <v>17</v>
      </c>
      <c r="J58" s="695">
        <v>0.3</v>
      </c>
      <c r="K58" s="777">
        <f t="shared" si="6"/>
        <v>2.8977272727272727E-3</v>
      </c>
      <c r="L58" s="968">
        <v>0</v>
      </c>
      <c r="M58" s="503">
        <f t="shared" si="7"/>
        <v>1</v>
      </c>
      <c r="N58" s="504">
        <v>4.8611111111111112E-2</v>
      </c>
      <c r="O58" s="719">
        <f t="shared" si="8"/>
        <v>4.8611111111111112E-2</v>
      </c>
      <c r="P58" s="564"/>
      <c r="Q58" s="564">
        <f t="shared" si="9"/>
        <v>-4.8611111111111112E-2</v>
      </c>
      <c r="R58" s="965" t="s">
        <v>1520</v>
      </c>
      <c r="S58" s="487"/>
      <c r="T58" s="29"/>
      <c r="U58" s="29" t="str">
        <f t="shared" si="0"/>
        <v>RandallF0</v>
      </c>
      <c r="V58" s="29" t="str">
        <f t="shared" si="1"/>
        <v>1958F0</v>
      </c>
      <c r="W58" s="80">
        <v>10</v>
      </c>
      <c r="X58" s="32">
        <v>0.2</v>
      </c>
      <c r="Y58" s="467">
        <v>2E-3</v>
      </c>
      <c r="Z58" s="80"/>
      <c r="AA58" s="29" t="str">
        <f t="shared" si="2"/>
        <v>F010</v>
      </c>
      <c r="AB58" s="29" t="str">
        <f t="shared" si="3"/>
        <v>F00.2</v>
      </c>
      <c r="AC58" s="29" t="str">
        <f t="shared" si="4"/>
        <v>F00.002</v>
      </c>
      <c r="AD58" s="29" t="str">
        <f t="shared" si="5"/>
        <v>F01</v>
      </c>
      <c r="AE58" s="443"/>
      <c r="AF58" s="443"/>
      <c r="AG58" s="443"/>
      <c r="AH58" s="443"/>
      <c r="AI58" s="1"/>
    </row>
    <row r="59" spans="1:35" ht="16.5">
      <c r="A59" s="728">
        <f t="shared" si="10"/>
        <v>52</v>
      </c>
      <c r="B59" s="563">
        <v>2</v>
      </c>
      <c r="C59" s="694">
        <v>21352</v>
      </c>
      <c r="D59" s="694" t="s">
        <v>149</v>
      </c>
      <c r="E59" s="563">
        <v>16</v>
      </c>
      <c r="F59" s="503">
        <v>1958</v>
      </c>
      <c r="G59" s="563" t="s">
        <v>117</v>
      </c>
      <c r="H59" s="503" t="s">
        <v>123</v>
      </c>
      <c r="I59" s="695">
        <v>50</v>
      </c>
      <c r="J59" s="695">
        <v>3.3</v>
      </c>
      <c r="K59" s="777">
        <f t="shared" si="6"/>
        <v>9.3749999999999986E-2</v>
      </c>
      <c r="L59" s="968">
        <v>3000</v>
      </c>
      <c r="M59" s="503">
        <f t="shared" si="7"/>
        <v>17</v>
      </c>
      <c r="N59" s="504">
        <v>0.73958333333333337</v>
      </c>
      <c r="O59" s="719">
        <f t="shared" si="8"/>
        <v>0.73958333333333337</v>
      </c>
      <c r="P59" s="564"/>
      <c r="Q59" s="564">
        <f t="shared" si="9"/>
        <v>-0.73958333333333337</v>
      </c>
      <c r="R59" s="965" t="s">
        <v>1520</v>
      </c>
      <c r="S59" s="487"/>
      <c r="T59" s="29"/>
      <c r="U59" s="29" t="str">
        <f t="shared" si="0"/>
        <v>Deaf SmithF1</v>
      </c>
      <c r="V59" s="29" t="str">
        <f t="shared" si="1"/>
        <v>1958F1</v>
      </c>
      <c r="W59" s="80">
        <v>50</v>
      </c>
      <c r="X59" s="32">
        <v>2</v>
      </c>
      <c r="Y59" s="467">
        <v>0.05</v>
      </c>
      <c r="Z59" s="80"/>
      <c r="AA59" s="29" t="str">
        <f t="shared" si="2"/>
        <v>F150</v>
      </c>
      <c r="AB59" s="29" t="str">
        <f t="shared" si="3"/>
        <v>F12</v>
      </c>
      <c r="AC59" s="29" t="str">
        <f t="shared" si="4"/>
        <v>F10.05</v>
      </c>
      <c r="AD59" s="29" t="str">
        <f t="shared" si="5"/>
        <v>F117</v>
      </c>
      <c r="AE59" s="443"/>
      <c r="AF59" s="443"/>
      <c r="AG59" s="443"/>
      <c r="AH59" s="443"/>
      <c r="AI59" s="1"/>
    </row>
    <row r="60" spans="1:35" ht="16.5">
      <c r="A60" s="728">
        <f t="shared" si="10"/>
        <v>53</v>
      </c>
      <c r="B60" s="563">
        <v>3</v>
      </c>
      <c r="C60" s="694">
        <v>21356</v>
      </c>
      <c r="D60" s="694" t="s">
        <v>149</v>
      </c>
      <c r="E60" s="563">
        <v>20</v>
      </c>
      <c r="F60" s="503">
        <v>1958</v>
      </c>
      <c r="G60" s="563" t="s">
        <v>109</v>
      </c>
      <c r="H60" s="503" t="s">
        <v>123</v>
      </c>
      <c r="I60" s="695">
        <v>150</v>
      </c>
      <c r="J60" s="695">
        <v>0.3</v>
      </c>
      <c r="K60" s="777">
        <f t="shared" si="6"/>
        <v>2.5568181818181816E-2</v>
      </c>
      <c r="L60" s="968">
        <v>25000</v>
      </c>
      <c r="M60" s="503">
        <f t="shared" si="7"/>
        <v>1</v>
      </c>
      <c r="N60" s="504">
        <v>5.2083333333333336E-2</v>
      </c>
      <c r="O60" s="719">
        <f t="shared" si="8"/>
        <v>5.2083333333333336E-2</v>
      </c>
      <c r="P60" s="564"/>
      <c r="Q60" s="564">
        <f t="shared" si="9"/>
        <v>-5.2083333333333336E-2</v>
      </c>
      <c r="R60" s="965" t="s">
        <v>1523</v>
      </c>
      <c r="S60" s="487"/>
      <c r="T60" s="29"/>
      <c r="U60" s="29" t="str">
        <f t="shared" si="0"/>
        <v>HutchinsonF1</v>
      </c>
      <c r="V60" s="29" t="str">
        <f t="shared" si="1"/>
        <v>1958F1</v>
      </c>
      <c r="W60" s="80">
        <v>100</v>
      </c>
      <c r="X60" s="32">
        <v>0.2</v>
      </c>
      <c r="Y60" s="467">
        <v>0.02</v>
      </c>
      <c r="Z60" s="80"/>
      <c r="AA60" s="29" t="str">
        <f t="shared" si="2"/>
        <v>F1100</v>
      </c>
      <c r="AB60" s="29" t="str">
        <f t="shared" si="3"/>
        <v>F10.2</v>
      </c>
      <c r="AC60" s="29" t="str">
        <f t="shared" si="4"/>
        <v>F10.02</v>
      </c>
      <c r="AD60" s="29" t="str">
        <f t="shared" si="5"/>
        <v>F11</v>
      </c>
      <c r="AE60" s="443"/>
      <c r="AF60" s="443"/>
      <c r="AG60" s="443"/>
      <c r="AH60" s="443"/>
      <c r="AI60" s="1"/>
    </row>
    <row r="61" spans="1:35" ht="16.5">
      <c r="A61" s="728">
        <f t="shared" si="10"/>
        <v>54</v>
      </c>
      <c r="B61" s="563">
        <v>4</v>
      </c>
      <c r="C61" s="694">
        <v>21356</v>
      </c>
      <c r="D61" s="694" t="s">
        <v>149</v>
      </c>
      <c r="E61" s="563">
        <v>20</v>
      </c>
      <c r="F61" s="503">
        <v>1958</v>
      </c>
      <c r="G61" s="563" t="s">
        <v>115</v>
      </c>
      <c r="H61" s="503" t="s">
        <v>122</v>
      </c>
      <c r="I61" s="695">
        <v>33</v>
      </c>
      <c r="J61" s="695">
        <v>2</v>
      </c>
      <c r="K61" s="777">
        <f t="shared" si="6"/>
        <v>3.7499999999999999E-2</v>
      </c>
      <c r="L61" s="968">
        <v>0</v>
      </c>
      <c r="M61" s="503">
        <f t="shared" si="7"/>
        <v>2</v>
      </c>
      <c r="N61" s="504">
        <v>0.11388888888888889</v>
      </c>
      <c r="O61" s="719">
        <f t="shared" si="8"/>
        <v>0.11388888888888889</v>
      </c>
      <c r="P61" s="564"/>
      <c r="Q61" s="564">
        <f t="shared" si="9"/>
        <v>-0.11388888888888889</v>
      </c>
      <c r="R61" s="965" t="s">
        <v>1520</v>
      </c>
      <c r="S61" s="487"/>
      <c r="T61" s="29"/>
      <c r="U61" s="29" t="str">
        <f t="shared" si="0"/>
        <v>GrayF0</v>
      </c>
      <c r="V61" s="29" t="str">
        <f t="shared" si="1"/>
        <v>1958F0</v>
      </c>
      <c r="W61" s="80">
        <v>20</v>
      </c>
      <c r="X61" s="32">
        <v>2</v>
      </c>
      <c r="Y61" s="467">
        <v>0.02</v>
      </c>
      <c r="Z61" s="80"/>
      <c r="AA61" s="29" t="str">
        <f t="shared" si="2"/>
        <v>F020</v>
      </c>
      <c r="AB61" s="29" t="str">
        <f t="shared" si="3"/>
        <v>F02</v>
      </c>
      <c r="AC61" s="29" t="str">
        <f t="shared" si="4"/>
        <v>F00.02</v>
      </c>
      <c r="AD61" s="29" t="str">
        <f t="shared" si="5"/>
        <v>F02</v>
      </c>
      <c r="AE61" s="443"/>
      <c r="AF61" s="443"/>
      <c r="AG61" s="443"/>
      <c r="AH61" s="443"/>
      <c r="AI61" s="1"/>
    </row>
    <row r="62" spans="1:35" ht="16.5">
      <c r="A62" s="728">
        <f t="shared" si="10"/>
        <v>55</v>
      </c>
      <c r="B62" s="563">
        <v>5</v>
      </c>
      <c r="C62" s="694">
        <v>21359</v>
      </c>
      <c r="D62" s="694" t="s">
        <v>149</v>
      </c>
      <c r="E62" s="563">
        <v>23</v>
      </c>
      <c r="F62" s="503">
        <v>1958</v>
      </c>
      <c r="G62" s="563" t="s">
        <v>115</v>
      </c>
      <c r="H62" s="503" t="s">
        <v>123</v>
      </c>
      <c r="I62" s="695">
        <v>17</v>
      </c>
      <c r="J62" s="695">
        <v>1</v>
      </c>
      <c r="K62" s="777">
        <f t="shared" si="6"/>
        <v>9.6590909090909088E-3</v>
      </c>
      <c r="L62" s="968">
        <v>3000</v>
      </c>
      <c r="M62" s="503">
        <f t="shared" si="7"/>
        <v>7</v>
      </c>
      <c r="N62" s="504">
        <v>0.29166666666666669</v>
      </c>
      <c r="O62" s="719">
        <f t="shared" si="8"/>
        <v>0.29166666666666669</v>
      </c>
      <c r="P62" s="564"/>
      <c r="Q62" s="564">
        <f t="shared" si="9"/>
        <v>-0.29166666666666669</v>
      </c>
      <c r="R62" s="965" t="s">
        <v>1520</v>
      </c>
      <c r="S62" s="487"/>
      <c r="T62" s="29"/>
      <c r="U62" s="29" t="str">
        <f t="shared" si="0"/>
        <v>GrayF1</v>
      </c>
      <c r="V62" s="29" t="str">
        <f t="shared" si="1"/>
        <v>1958F1</v>
      </c>
      <c r="W62" s="80">
        <v>10</v>
      </c>
      <c r="X62" s="32">
        <v>1</v>
      </c>
      <c r="Y62" s="467">
        <v>5.0000000000000001E-3</v>
      </c>
      <c r="Z62" s="80"/>
      <c r="AA62" s="29" t="str">
        <f t="shared" si="2"/>
        <v>F110</v>
      </c>
      <c r="AB62" s="29" t="str">
        <f t="shared" si="3"/>
        <v>F11</v>
      </c>
      <c r="AC62" s="29" t="str">
        <f t="shared" si="4"/>
        <v>F10.005</v>
      </c>
      <c r="AD62" s="29" t="str">
        <f t="shared" si="5"/>
        <v>F17</v>
      </c>
      <c r="AE62" s="443"/>
      <c r="AF62" s="443"/>
      <c r="AG62" s="443"/>
      <c r="AH62" s="443"/>
      <c r="AI62" s="1"/>
    </row>
    <row r="63" spans="1:35" ht="16.5">
      <c r="A63" s="728">
        <f t="shared" si="10"/>
        <v>56</v>
      </c>
      <c r="B63" s="563">
        <v>6</v>
      </c>
      <c r="C63" s="694">
        <v>21367</v>
      </c>
      <c r="D63" s="694" t="s">
        <v>150</v>
      </c>
      <c r="E63" s="563">
        <v>1</v>
      </c>
      <c r="F63" s="503">
        <v>1958</v>
      </c>
      <c r="G63" s="563" t="s">
        <v>100</v>
      </c>
      <c r="H63" s="503" t="s">
        <v>123</v>
      </c>
      <c r="I63" s="695">
        <v>440</v>
      </c>
      <c r="J63" s="695">
        <v>4.9000000000000004</v>
      </c>
      <c r="K63" s="777">
        <f t="shared" si="6"/>
        <v>1.2250000000000001</v>
      </c>
      <c r="L63" s="968">
        <v>3000</v>
      </c>
      <c r="M63" s="503">
        <f t="shared" si="7"/>
        <v>17</v>
      </c>
      <c r="N63" s="504">
        <v>0.70833333333333337</v>
      </c>
      <c r="O63" s="719">
        <f t="shared" si="8"/>
        <v>0.70833333333333337</v>
      </c>
      <c r="P63" s="564"/>
      <c r="Q63" s="564">
        <f t="shared" si="9"/>
        <v>-0.70833333333333337</v>
      </c>
      <c r="R63" s="965" t="s">
        <v>1520</v>
      </c>
      <c r="S63" s="487"/>
      <c r="T63" s="29"/>
      <c r="U63" s="29" t="str">
        <f t="shared" si="0"/>
        <v>TexasF1</v>
      </c>
      <c r="V63" s="29" t="str">
        <f t="shared" si="1"/>
        <v>1958F1</v>
      </c>
      <c r="W63" s="80">
        <v>200</v>
      </c>
      <c r="X63" s="32">
        <v>2</v>
      </c>
      <c r="Y63" s="467">
        <v>1</v>
      </c>
      <c r="Z63" s="80"/>
      <c r="AA63" s="29" t="str">
        <f t="shared" si="2"/>
        <v>F1200</v>
      </c>
      <c r="AB63" s="29" t="str">
        <f t="shared" si="3"/>
        <v>F12</v>
      </c>
      <c r="AC63" s="29" t="str">
        <f t="shared" si="4"/>
        <v>F11</v>
      </c>
      <c r="AD63" s="29" t="str">
        <f t="shared" si="5"/>
        <v>F117</v>
      </c>
      <c r="AE63" s="443"/>
      <c r="AF63" s="443"/>
      <c r="AG63" s="443"/>
      <c r="AH63" s="443"/>
      <c r="AI63" s="1"/>
    </row>
    <row r="64" spans="1:35" ht="16.5">
      <c r="A64" s="728">
        <f t="shared" si="10"/>
        <v>57</v>
      </c>
      <c r="B64" s="563">
        <v>7</v>
      </c>
      <c r="C64" s="694">
        <v>21381</v>
      </c>
      <c r="D64" s="694" t="s">
        <v>150</v>
      </c>
      <c r="E64" s="563">
        <v>15</v>
      </c>
      <c r="F64" s="503">
        <v>1958</v>
      </c>
      <c r="G64" s="563" t="s">
        <v>112</v>
      </c>
      <c r="H64" s="503" t="s">
        <v>122</v>
      </c>
      <c r="I64" s="695">
        <v>50</v>
      </c>
      <c r="J64" s="695">
        <v>4.3</v>
      </c>
      <c r="K64" s="777">
        <f t="shared" si="6"/>
        <v>0.1221590909090909</v>
      </c>
      <c r="L64" s="968">
        <v>0</v>
      </c>
      <c r="M64" s="503">
        <f t="shared" si="7"/>
        <v>23</v>
      </c>
      <c r="N64" s="504">
        <v>0.97222222222222221</v>
      </c>
      <c r="O64" s="719">
        <f t="shared" si="8"/>
        <v>0.97222222222222221</v>
      </c>
      <c r="P64" s="564"/>
      <c r="Q64" s="564">
        <f t="shared" si="9"/>
        <v>-0.97222222222222221</v>
      </c>
      <c r="R64" s="965" t="s">
        <v>1520</v>
      </c>
      <c r="S64" s="487"/>
      <c r="T64" s="29"/>
      <c r="U64" s="29" t="str">
        <f t="shared" si="0"/>
        <v>OldhamF0</v>
      </c>
      <c r="V64" s="29" t="str">
        <f t="shared" si="1"/>
        <v>1958F0</v>
      </c>
      <c r="W64" s="80">
        <v>50</v>
      </c>
      <c r="X64" s="32">
        <v>2</v>
      </c>
      <c r="Y64" s="467">
        <v>0.1</v>
      </c>
      <c r="Z64" s="80"/>
      <c r="AA64" s="29" t="str">
        <f t="shared" si="2"/>
        <v>F050</v>
      </c>
      <c r="AB64" s="29" t="str">
        <f t="shared" si="3"/>
        <v>F02</v>
      </c>
      <c r="AC64" s="29" t="str">
        <f t="shared" si="4"/>
        <v>F00.1</v>
      </c>
      <c r="AD64" s="29" t="str">
        <f t="shared" si="5"/>
        <v>F023</v>
      </c>
      <c r="AE64" s="443"/>
      <c r="AF64" s="443"/>
      <c r="AG64" s="443"/>
      <c r="AH64" s="443"/>
      <c r="AI64" s="1"/>
    </row>
    <row r="65" spans="1:35" ht="16.5">
      <c r="A65" s="728">
        <f t="shared" si="10"/>
        <v>58</v>
      </c>
      <c r="B65" s="563">
        <v>8</v>
      </c>
      <c r="C65" s="694">
        <v>21388</v>
      </c>
      <c r="D65" s="694" t="s">
        <v>150</v>
      </c>
      <c r="E65" s="563">
        <v>22</v>
      </c>
      <c r="F65" s="503">
        <v>1958</v>
      </c>
      <c r="G65" s="563" t="s">
        <v>100</v>
      </c>
      <c r="H65" s="503" t="s">
        <v>123</v>
      </c>
      <c r="I65" s="695">
        <v>10</v>
      </c>
      <c r="J65" s="695">
        <v>0.1</v>
      </c>
      <c r="K65" s="777">
        <f t="shared" si="6"/>
        <v>5.6818181818181826E-4</v>
      </c>
      <c r="L65" s="968">
        <v>0</v>
      </c>
      <c r="M65" s="503">
        <f t="shared" si="7"/>
        <v>18</v>
      </c>
      <c r="N65" s="504">
        <v>0.77083333333333337</v>
      </c>
      <c r="O65" s="719">
        <f t="shared" si="8"/>
        <v>0.77083333333333337</v>
      </c>
      <c r="P65" s="564"/>
      <c r="Q65" s="564">
        <f t="shared" si="9"/>
        <v>-0.77083333333333337</v>
      </c>
      <c r="R65" s="965" t="s">
        <v>1520</v>
      </c>
      <c r="S65" s="487"/>
      <c r="T65" s="29"/>
      <c r="U65" s="29" t="str">
        <f t="shared" si="0"/>
        <v>TexasF1</v>
      </c>
      <c r="V65" s="29" t="str">
        <f t="shared" si="1"/>
        <v>1958F1</v>
      </c>
      <c r="W65" s="80">
        <v>10</v>
      </c>
      <c r="X65" s="32">
        <v>0.1</v>
      </c>
      <c r="Y65" s="467">
        <v>5.0000000000000001E-4</v>
      </c>
      <c r="Z65" s="80"/>
      <c r="AA65" s="29" t="str">
        <f t="shared" si="2"/>
        <v>F110</v>
      </c>
      <c r="AB65" s="29" t="str">
        <f t="shared" si="3"/>
        <v>F10.1</v>
      </c>
      <c r="AC65" s="29" t="str">
        <f t="shared" si="4"/>
        <v>F10.0005</v>
      </c>
      <c r="AD65" s="29" t="str">
        <f t="shared" si="5"/>
        <v>F118</v>
      </c>
      <c r="AE65" s="443"/>
      <c r="AF65" s="443"/>
      <c r="AG65" s="443"/>
      <c r="AH65" s="443"/>
      <c r="AI65" s="1"/>
    </row>
    <row r="66" spans="1:35" ht="16.5">
      <c r="A66" s="728">
        <f t="shared" si="10"/>
        <v>59</v>
      </c>
      <c r="B66" s="563">
        <v>9</v>
      </c>
      <c r="C66" s="694">
        <v>21391</v>
      </c>
      <c r="D66" s="694" t="s">
        <v>150</v>
      </c>
      <c r="E66" s="563">
        <v>25</v>
      </c>
      <c r="F66" s="503">
        <v>1958</v>
      </c>
      <c r="G66" s="563" t="s">
        <v>107</v>
      </c>
      <c r="H66" s="503" t="s">
        <v>123</v>
      </c>
      <c r="I66" s="695">
        <v>10</v>
      </c>
      <c r="J66" s="695">
        <v>0.1</v>
      </c>
      <c r="K66" s="777">
        <f t="shared" si="6"/>
        <v>5.6818181818181826E-4</v>
      </c>
      <c r="L66" s="968">
        <v>0</v>
      </c>
      <c r="M66" s="503">
        <f t="shared" si="7"/>
        <v>1</v>
      </c>
      <c r="N66" s="504">
        <v>6.9444444444444434E-2</v>
      </c>
      <c r="O66" s="719">
        <f t="shared" si="8"/>
        <v>6.9444444444444434E-2</v>
      </c>
      <c r="P66" s="564"/>
      <c r="Q66" s="564">
        <f t="shared" si="9"/>
        <v>-6.9444444444444434E-2</v>
      </c>
      <c r="R66" s="965" t="s">
        <v>1520</v>
      </c>
      <c r="S66" s="487"/>
      <c r="T66" s="29"/>
      <c r="U66" s="29" t="str">
        <f t="shared" si="0"/>
        <v>HartleyF1</v>
      </c>
      <c r="V66" s="29" t="str">
        <f t="shared" si="1"/>
        <v>1958F1</v>
      </c>
      <c r="W66" s="80">
        <v>10</v>
      </c>
      <c r="X66" s="32">
        <v>0.1</v>
      </c>
      <c r="Y66" s="467">
        <v>5.0000000000000001E-4</v>
      </c>
      <c r="Z66" s="80"/>
      <c r="AA66" s="29" t="str">
        <f t="shared" si="2"/>
        <v>F110</v>
      </c>
      <c r="AB66" s="29" t="str">
        <f t="shared" si="3"/>
        <v>F10.1</v>
      </c>
      <c r="AC66" s="29" t="str">
        <f t="shared" si="4"/>
        <v>F10.0005</v>
      </c>
      <c r="AD66" s="29" t="str">
        <f t="shared" si="5"/>
        <v>F11</v>
      </c>
      <c r="AE66" s="443"/>
      <c r="AF66" s="443"/>
      <c r="AG66" s="443"/>
      <c r="AH66" s="443"/>
      <c r="AI66" s="1"/>
    </row>
    <row r="67" spans="1:35" ht="16.5">
      <c r="A67" s="728">
        <f t="shared" si="10"/>
        <v>60</v>
      </c>
      <c r="B67" s="563">
        <v>10</v>
      </c>
      <c r="C67" s="694">
        <v>21393</v>
      </c>
      <c r="D67" s="694" t="s">
        <v>150</v>
      </c>
      <c r="E67" s="563">
        <v>27</v>
      </c>
      <c r="F67" s="503">
        <v>1958</v>
      </c>
      <c r="G67" s="563" t="s">
        <v>109</v>
      </c>
      <c r="H67" s="503" t="s">
        <v>122</v>
      </c>
      <c r="I67" s="695">
        <v>33</v>
      </c>
      <c r="J67" s="695">
        <v>2</v>
      </c>
      <c r="K67" s="777">
        <f t="shared" si="6"/>
        <v>3.7499999999999999E-2</v>
      </c>
      <c r="L67" s="968">
        <v>0</v>
      </c>
      <c r="M67" s="503">
        <f t="shared" si="7"/>
        <v>16</v>
      </c>
      <c r="N67" s="504">
        <v>0.69444444444444453</v>
      </c>
      <c r="O67" s="719">
        <f t="shared" si="8"/>
        <v>0.69444444444444453</v>
      </c>
      <c r="P67" s="564"/>
      <c r="Q67" s="564">
        <f t="shared" si="9"/>
        <v>-0.69444444444444453</v>
      </c>
      <c r="R67" s="965" t="s">
        <v>1520</v>
      </c>
      <c r="S67" s="487"/>
      <c r="T67" s="29"/>
      <c r="U67" s="29" t="str">
        <f t="shared" si="0"/>
        <v>HutchinsonF0</v>
      </c>
      <c r="V67" s="29" t="str">
        <f t="shared" si="1"/>
        <v>1958F0</v>
      </c>
      <c r="W67" s="80">
        <v>20</v>
      </c>
      <c r="X67" s="32">
        <v>2</v>
      </c>
      <c r="Y67" s="467">
        <v>0.02</v>
      </c>
      <c r="Z67" s="80"/>
      <c r="AA67" s="29" t="str">
        <f t="shared" si="2"/>
        <v>F020</v>
      </c>
      <c r="AB67" s="29" t="str">
        <f t="shared" si="3"/>
        <v>F02</v>
      </c>
      <c r="AC67" s="29" t="str">
        <f t="shared" si="4"/>
        <v>F00.02</v>
      </c>
      <c r="AD67" s="29" t="str">
        <f t="shared" si="5"/>
        <v>F016</v>
      </c>
      <c r="AE67" s="443"/>
      <c r="AF67" s="443"/>
      <c r="AG67" s="443"/>
      <c r="AH67" s="443"/>
      <c r="AI67" s="1"/>
    </row>
    <row r="68" spans="1:35" ht="16.5">
      <c r="A68" s="728">
        <f t="shared" si="10"/>
        <v>61</v>
      </c>
      <c r="B68" s="563">
        <v>11</v>
      </c>
      <c r="C68" s="694">
        <v>21435</v>
      </c>
      <c r="D68" s="694" t="s">
        <v>152</v>
      </c>
      <c r="E68" s="563">
        <v>7</v>
      </c>
      <c r="F68" s="503">
        <v>1958</v>
      </c>
      <c r="G68" s="563" t="s">
        <v>100</v>
      </c>
      <c r="H68" s="503" t="s">
        <v>123</v>
      </c>
      <c r="I68" s="695">
        <v>100</v>
      </c>
      <c r="J68" s="695">
        <v>3.6</v>
      </c>
      <c r="K68" s="777">
        <f t="shared" si="6"/>
        <v>0.20454545454545453</v>
      </c>
      <c r="L68" s="968">
        <v>0</v>
      </c>
      <c r="M68" s="503">
        <f t="shared" si="7"/>
        <v>16</v>
      </c>
      <c r="N68" s="504">
        <v>0.66666666666666663</v>
      </c>
      <c r="O68" s="719">
        <f t="shared" si="8"/>
        <v>0.66666666666666663</v>
      </c>
      <c r="P68" s="564"/>
      <c r="Q68" s="564">
        <f t="shared" si="9"/>
        <v>-0.66666666666666663</v>
      </c>
      <c r="R68" s="965" t="s">
        <v>1520</v>
      </c>
      <c r="S68" s="487"/>
      <c r="T68" s="29"/>
      <c r="U68" s="29" t="str">
        <f t="shared" si="0"/>
        <v>TexasF1</v>
      </c>
      <c r="V68" s="29" t="str">
        <f t="shared" si="1"/>
        <v>1958F1</v>
      </c>
      <c r="W68" s="80">
        <v>100</v>
      </c>
      <c r="X68" s="32">
        <v>2</v>
      </c>
      <c r="Y68" s="467">
        <v>0.2</v>
      </c>
      <c r="Z68" s="80"/>
      <c r="AA68" s="29" t="str">
        <f t="shared" si="2"/>
        <v>F1100</v>
      </c>
      <c r="AB68" s="29" t="str">
        <f t="shared" si="3"/>
        <v>F12</v>
      </c>
      <c r="AC68" s="29" t="str">
        <f t="shared" si="4"/>
        <v>F10.2</v>
      </c>
      <c r="AD68" s="29" t="str">
        <f t="shared" si="5"/>
        <v>F116</v>
      </c>
      <c r="AE68" s="443"/>
      <c r="AF68" s="443"/>
      <c r="AG68" s="443"/>
      <c r="AH68" s="443"/>
      <c r="AI68" s="1"/>
    </row>
    <row r="69" spans="1:35" ht="16.5">
      <c r="A69" s="728">
        <f t="shared" si="10"/>
        <v>62</v>
      </c>
      <c r="B69" s="563">
        <v>1</v>
      </c>
      <c r="C69" s="694">
        <v>21678</v>
      </c>
      <c r="D69" s="694" t="s">
        <v>148</v>
      </c>
      <c r="E69" s="563">
        <v>8</v>
      </c>
      <c r="F69" s="503">
        <v>1959</v>
      </c>
      <c r="G69" s="563" t="s">
        <v>109</v>
      </c>
      <c r="H69" s="503" t="s">
        <v>123</v>
      </c>
      <c r="I69" s="695">
        <v>13</v>
      </c>
      <c r="J69" s="695">
        <v>0.2</v>
      </c>
      <c r="K69" s="777">
        <f t="shared" si="6"/>
        <v>1.4772727272727272E-3</v>
      </c>
      <c r="L69" s="968">
        <v>3000</v>
      </c>
      <c r="M69" s="503">
        <f t="shared" si="7"/>
        <v>16</v>
      </c>
      <c r="N69" s="504">
        <v>0.66666666666666663</v>
      </c>
      <c r="O69" s="719">
        <f t="shared" si="8"/>
        <v>0.66666666666666663</v>
      </c>
      <c r="P69" s="564"/>
      <c r="Q69" s="564">
        <f t="shared" si="9"/>
        <v>-0.66666666666666663</v>
      </c>
      <c r="R69" s="965" t="s">
        <v>1522</v>
      </c>
      <c r="S69" s="487"/>
      <c r="T69" s="29"/>
      <c r="U69" s="29" t="str">
        <f t="shared" si="0"/>
        <v>HutchinsonF1</v>
      </c>
      <c r="V69" s="29" t="str">
        <f t="shared" si="1"/>
        <v>1959F1</v>
      </c>
      <c r="W69" s="80">
        <v>10</v>
      </c>
      <c r="X69" s="32">
        <v>0.2</v>
      </c>
      <c r="Y69" s="467">
        <v>1E-3</v>
      </c>
      <c r="Z69" s="80"/>
      <c r="AA69" s="29" t="str">
        <f t="shared" si="2"/>
        <v>F110</v>
      </c>
      <c r="AB69" s="29" t="str">
        <f t="shared" si="3"/>
        <v>F10.2</v>
      </c>
      <c r="AC69" s="29" t="str">
        <f t="shared" si="4"/>
        <v>F10.001</v>
      </c>
      <c r="AD69" s="29" t="str">
        <f t="shared" si="5"/>
        <v>F116</v>
      </c>
      <c r="AE69" s="443"/>
      <c r="AF69" s="443"/>
      <c r="AG69" s="443"/>
      <c r="AH69" s="443"/>
      <c r="AI69" s="1"/>
    </row>
    <row r="70" spans="1:35" ht="16.5">
      <c r="A70" s="728">
        <f t="shared" si="10"/>
        <v>63</v>
      </c>
      <c r="B70" s="563">
        <v>2</v>
      </c>
      <c r="C70" s="694">
        <v>21687</v>
      </c>
      <c r="D70" s="694" t="s">
        <v>148</v>
      </c>
      <c r="E70" s="563">
        <v>17</v>
      </c>
      <c r="F70" s="503">
        <v>1959</v>
      </c>
      <c r="G70" s="563" t="s">
        <v>109</v>
      </c>
      <c r="H70" s="503" t="s">
        <v>123</v>
      </c>
      <c r="I70" s="695">
        <v>100</v>
      </c>
      <c r="J70" s="695">
        <v>0.1</v>
      </c>
      <c r="K70" s="777">
        <f t="shared" si="6"/>
        <v>5.681818181818182E-3</v>
      </c>
      <c r="L70" s="968">
        <v>3000</v>
      </c>
      <c r="M70" s="503">
        <f t="shared" si="7"/>
        <v>16</v>
      </c>
      <c r="N70" s="504">
        <v>0.67291666666666661</v>
      </c>
      <c r="O70" s="719">
        <f t="shared" si="8"/>
        <v>0.67291666666666661</v>
      </c>
      <c r="P70" s="564"/>
      <c r="Q70" s="564">
        <f t="shared" si="9"/>
        <v>-0.67291666666666661</v>
      </c>
      <c r="R70" s="965" t="s">
        <v>1522</v>
      </c>
      <c r="S70" s="487"/>
      <c r="T70" s="29"/>
      <c r="U70" s="29" t="str">
        <f t="shared" si="0"/>
        <v>HutchinsonF1</v>
      </c>
      <c r="V70" s="29" t="str">
        <f t="shared" si="1"/>
        <v>1959F1</v>
      </c>
      <c r="W70" s="80">
        <v>100</v>
      </c>
      <c r="X70" s="32">
        <v>0.1</v>
      </c>
      <c r="Y70" s="467">
        <v>5.0000000000000001E-3</v>
      </c>
      <c r="Z70" s="80"/>
      <c r="AA70" s="29" t="str">
        <f t="shared" si="2"/>
        <v>F1100</v>
      </c>
      <c r="AB70" s="29" t="str">
        <f t="shared" si="3"/>
        <v>F10.1</v>
      </c>
      <c r="AC70" s="29" t="str">
        <f t="shared" si="4"/>
        <v>F10.005</v>
      </c>
      <c r="AD70" s="29" t="str">
        <f t="shared" si="5"/>
        <v>F116</v>
      </c>
      <c r="AE70" s="443"/>
      <c r="AF70" s="443"/>
      <c r="AG70" s="443"/>
      <c r="AH70" s="443"/>
      <c r="AI70" s="1"/>
    </row>
    <row r="71" spans="1:35" ht="16.5">
      <c r="A71" s="728">
        <f t="shared" si="10"/>
        <v>64</v>
      </c>
      <c r="B71" s="563">
        <v>3</v>
      </c>
      <c r="C71" s="694">
        <v>21695</v>
      </c>
      <c r="D71" s="694" t="s">
        <v>148</v>
      </c>
      <c r="E71" s="563">
        <v>25</v>
      </c>
      <c r="F71" s="503">
        <v>1959</v>
      </c>
      <c r="G71" s="563" t="s">
        <v>119</v>
      </c>
      <c r="H71" s="503" t="s">
        <v>122</v>
      </c>
      <c r="I71" s="695">
        <v>17</v>
      </c>
      <c r="J71" s="695">
        <v>0.4</v>
      </c>
      <c r="K71" s="777">
        <f t="shared" si="6"/>
        <v>3.8636363636363638E-3</v>
      </c>
      <c r="L71" s="968">
        <v>0</v>
      </c>
      <c r="M71" s="503">
        <f t="shared" si="7"/>
        <v>22</v>
      </c>
      <c r="N71" s="504">
        <v>0.9375</v>
      </c>
      <c r="O71" s="719">
        <f t="shared" si="8"/>
        <v>0.9375</v>
      </c>
      <c r="P71" s="564"/>
      <c r="Q71" s="564">
        <f t="shared" si="9"/>
        <v>-0.9375</v>
      </c>
      <c r="R71" s="965" t="s">
        <v>1520</v>
      </c>
      <c r="S71" s="487"/>
      <c r="T71" s="29"/>
      <c r="U71" s="29" t="str">
        <f t="shared" ref="U71:U134" si="11">CONCATENATE(G71,H71)</f>
        <v>ArmstrongF0</v>
      </c>
      <c r="V71" s="29" t="str">
        <f t="shared" ref="V71:V134" si="12">CONCATENATE(F71,H71)</f>
        <v>1959F0</v>
      </c>
      <c r="W71" s="80">
        <v>10</v>
      </c>
      <c r="X71" s="32">
        <v>0.2</v>
      </c>
      <c r="Y71" s="467">
        <v>2E-3</v>
      </c>
      <c r="Z71" s="80"/>
      <c r="AA71" s="29" t="str">
        <f t="shared" ref="AA71:AA134" si="13">CONCATENATE(H71,W71)</f>
        <v>F010</v>
      </c>
      <c r="AB71" s="29" t="str">
        <f t="shared" ref="AB71:AB134" si="14">CONCATENATE(H71,X71)</f>
        <v>F00.2</v>
      </c>
      <c r="AC71" s="29" t="str">
        <f t="shared" ref="AC71:AC134" si="15">CONCATENATE(H71,Y71)</f>
        <v>F00.002</v>
      </c>
      <c r="AD71" s="29" t="str">
        <f t="shared" ref="AD71:AD134" si="16">CONCATENATE(H71,M71)</f>
        <v>F022</v>
      </c>
      <c r="AE71" s="443"/>
      <c r="AF71" s="443"/>
      <c r="AG71" s="443"/>
      <c r="AH71" s="443"/>
      <c r="AI71" s="1"/>
    </row>
    <row r="72" spans="1:35" ht="16.5">
      <c r="A72" s="728">
        <f t="shared" si="10"/>
        <v>65</v>
      </c>
      <c r="B72" s="563">
        <v>4</v>
      </c>
      <c r="C72" s="694">
        <v>21741</v>
      </c>
      <c r="D72" s="694" t="s">
        <v>150</v>
      </c>
      <c r="E72" s="563">
        <v>10</v>
      </c>
      <c r="F72" s="503">
        <v>1959</v>
      </c>
      <c r="G72" s="563" t="s">
        <v>109</v>
      </c>
      <c r="H72" s="503" t="s">
        <v>123</v>
      </c>
      <c r="I72" s="695">
        <v>33</v>
      </c>
      <c r="J72" s="695">
        <v>0.5</v>
      </c>
      <c r="K72" s="777">
        <f t="shared" si="6"/>
        <v>9.3749999999999997E-3</v>
      </c>
      <c r="L72" s="968">
        <v>25000</v>
      </c>
      <c r="M72" s="503">
        <f t="shared" ref="M72:M135" si="17">HOUR(O72)</f>
        <v>17</v>
      </c>
      <c r="N72" s="504">
        <v>0.72916666666666663</v>
      </c>
      <c r="O72" s="719">
        <f t="shared" ref="O72:O135" si="18">+N72</f>
        <v>0.72916666666666663</v>
      </c>
      <c r="P72" s="564"/>
      <c r="Q72" s="564">
        <f t="shared" ref="Q72:Q135" si="19">+P72-O72</f>
        <v>-0.72916666666666663</v>
      </c>
      <c r="R72" s="965" t="s">
        <v>1520</v>
      </c>
      <c r="S72" s="487"/>
      <c r="T72" s="29"/>
      <c r="U72" s="29" t="str">
        <f t="shared" si="11"/>
        <v>HutchinsonF1</v>
      </c>
      <c r="V72" s="29" t="str">
        <f t="shared" si="12"/>
        <v>1959F1</v>
      </c>
      <c r="W72" s="80">
        <v>20</v>
      </c>
      <c r="X72" s="32">
        <v>0.5</v>
      </c>
      <c r="Y72" s="467">
        <v>5.0000000000000001E-3</v>
      </c>
      <c r="Z72" s="80"/>
      <c r="AA72" s="29" t="str">
        <f t="shared" si="13"/>
        <v>F120</v>
      </c>
      <c r="AB72" s="29" t="str">
        <f t="shared" si="14"/>
        <v>F10.5</v>
      </c>
      <c r="AC72" s="29" t="str">
        <f t="shared" si="15"/>
        <v>F10.005</v>
      </c>
      <c r="AD72" s="29" t="str">
        <f t="shared" si="16"/>
        <v>F117</v>
      </c>
      <c r="AE72" s="443"/>
      <c r="AF72" s="443"/>
      <c r="AG72" s="443"/>
      <c r="AH72" s="443"/>
      <c r="AI72" s="1"/>
    </row>
    <row r="73" spans="1:35" ht="16.5">
      <c r="A73" s="728">
        <f t="shared" si="10"/>
        <v>66</v>
      </c>
      <c r="B73" s="563">
        <v>5</v>
      </c>
      <c r="C73" s="694">
        <v>21745</v>
      </c>
      <c r="D73" s="694" t="s">
        <v>150</v>
      </c>
      <c r="E73" s="563">
        <v>14</v>
      </c>
      <c r="F73" s="503">
        <v>1959</v>
      </c>
      <c r="G73" s="563" t="s">
        <v>108</v>
      </c>
      <c r="H73" s="503" t="s">
        <v>123</v>
      </c>
      <c r="I73" s="695">
        <v>500</v>
      </c>
      <c r="J73" s="695">
        <v>10.9</v>
      </c>
      <c r="K73" s="777">
        <f t="shared" ref="K73:K136" si="20">+(I73/1760)*J73</f>
        <v>3.0965909090909096</v>
      </c>
      <c r="L73" s="968">
        <v>25000</v>
      </c>
      <c r="M73" s="503">
        <f t="shared" si="17"/>
        <v>19</v>
      </c>
      <c r="N73" s="504">
        <v>0.80208333333333337</v>
      </c>
      <c r="O73" s="719">
        <f t="shared" si="18"/>
        <v>0.80208333333333337</v>
      </c>
      <c r="P73" s="564"/>
      <c r="Q73" s="564">
        <f t="shared" si="19"/>
        <v>-0.80208333333333337</v>
      </c>
      <c r="R73" s="965" t="s">
        <v>1520</v>
      </c>
      <c r="S73" s="487"/>
      <c r="T73" s="29"/>
      <c r="U73" s="29" t="str">
        <f t="shared" si="11"/>
        <v>MooreF1</v>
      </c>
      <c r="V73" s="29" t="str">
        <f t="shared" si="12"/>
        <v>1959F1</v>
      </c>
      <c r="W73" s="80">
        <v>500</v>
      </c>
      <c r="X73" s="32">
        <v>10</v>
      </c>
      <c r="Y73" s="467">
        <v>2</v>
      </c>
      <c r="Z73" s="80"/>
      <c r="AA73" s="29" t="str">
        <f t="shared" si="13"/>
        <v>F1500</v>
      </c>
      <c r="AB73" s="29" t="str">
        <f t="shared" si="14"/>
        <v>F110</v>
      </c>
      <c r="AC73" s="29" t="str">
        <f t="shared" si="15"/>
        <v>F12</v>
      </c>
      <c r="AD73" s="29" t="str">
        <f t="shared" si="16"/>
        <v>F119</v>
      </c>
      <c r="AE73" s="443"/>
      <c r="AF73" s="443"/>
      <c r="AG73" s="443"/>
      <c r="AH73" s="443"/>
      <c r="AI73" s="1"/>
    </row>
    <row r="74" spans="1:35" ht="16.5">
      <c r="A74" s="728">
        <f t="shared" ref="A74:A137" si="21">+A73+1</f>
        <v>67</v>
      </c>
      <c r="B74" s="563">
        <v>6</v>
      </c>
      <c r="C74" s="694">
        <v>21817</v>
      </c>
      <c r="D74" s="694" t="s">
        <v>152</v>
      </c>
      <c r="E74" s="563">
        <v>24</v>
      </c>
      <c r="F74" s="503">
        <v>1959</v>
      </c>
      <c r="G74" s="563" t="s">
        <v>108</v>
      </c>
      <c r="H74" s="503" t="s">
        <v>122</v>
      </c>
      <c r="I74" s="695">
        <v>117</v>
      </c>
      <c r="J74" s="695">
        <v>0.1</v>
      </c>
      <c r="K74" s="777">
        <f t="shared" si="20"/>
        <v>6.6477272727272739E-3</v>
      </c>
      <c r="L74" s="968">
        <v>0</v>
      </c>
      <c r="M74" s="503">
        <f t="shared" si="17"/>
        <v>14</v>
      </c>
      <c r="N74" s="504">
        <v>0.6020833333333333</v>
      </c>
      <c r="O74" s="719">
        <f t="shared" si="18"/>
        <v>0.6020833333333333</v>
      </c>
      <c r="P74" s="564"/>
      <c r="Q74" s="564">
        <f t="shared" si="19"/>
        <v>-0.6020833333333333</v>
      </c>
      <c r="R74" s="965" t="s">
        <v>1520</v>
      </c>
      <c r="S74" s="487"/>
      <c r="T74" s="29"/>
      <c r="U74" s="29" t="str">
        <f t="shared" si="11"/>
        <v>MooreF0</v>
      </c>
      <c r="V74" s="29" t="str">
        <f t="shared" si="12"/>
        <v>1959F0</v>
      </c>
      <c r="W74" s="80">
        <v>100</v>
      </c>
      <c r="X74" s="32">
        <v>0.1</v>
      </c>
      <c r="Y74" s="467">
        <v>5.0000000000000001E-3</v>
      </c>
      <c r="Z74" s="80"/>
      <c r="AA74" s="29" t="str">
        <f t="shared" si="13"/>
        <v>F0100</v>
      </c>
      <c r="AB74" s="29" t="str">
        <f t="shared" si="14"/>
        <v>F00.1</v>
      </c>
      <c r="AC74" s="29" t="str">
        <f t="shared" si="15"/>
        <v>F00.005</v>
      </c>
      <c r="AD74" s="29" t="str">
        <f t="shared" si="16"/>
        <v>F014</v>
      </c>
      <c r="AE74" s="443"/>
      <c r="AF74" s="443"/>
      <c r="AG74" s="443"/>
      <c r="AH74" s="443"/>
    </row>
    <row r="75" spans="1:35" ht="16.5">
      <c r="A75" s="728">
        <f t="shared" si="21"/>
        <v>68</v>
      </c>
      <c r="B75" s="563">
        <v>1</v>
      </c>
      <c r="C75" s="694">
        <v>22018</v>
      </c>
      <c r="D75" s="694" t="s">
        <v>147</v>
      </c>
      <c r="E75" s="563">
        <v>12</v>
      </c>
      <c r="F75" s="503">
        <v>1960</v>
      </c>
      <c r="G75" s="563" t="s">
        <v>99</v>
      </c>
      <c r="H75" s="503" t="s">
        <v>123</v>
      </c>
      <c r="I75" s="695">
        <v>300</v>
      </c>
      <c r="J75" s="695">
        <v>0.2</v>
      </c>
      <c r="K75" s="777">
        <f t="shared" si="20"/>
        <v>3.4090909090909088E-2</v>
      </c>
      <c r="L75" s="968">
        <v>3000</v>
      </c>
      <c r="M75" s="503">
        <f t="shared" si="17"/>
        <v>18</v>
      </c>
      <c r="N75" s="504">
        <v>0.77083333333333337</v>
      </c>
      <c r="O75" s="719">
        <f t="shared" si="18"/>
        <v>0.77083333333333337</v>
      </c>
      <c r="P75" s="564"/>
      <c r="Q75" s="564">
        <f t="shared" si="19"/>
        <v>-0.77083333333333337</v>
      </c>
      <c r="R75" s="965" t="s">
        <v>1520</v>
      </c>
      <c r="S75" s="487"/>
      <c r="T75" s="29"/>
      <c r="U75" s="29" t="str">
        <f t="shared" si="11"/>
        <v>CimarronF1</v>
      </c>
      <c r="V75" s="29" t="str">
        <f t="shared" si="12"/>
        <v>1960F1</v>
      </c>
      <c r="W75" s="80">
        <v>200</v>
      </c>
      <c r="X75" s="32">
        <v>0.2</v>
      </c>
      <c r="Y75" s="467">
        <v>0.02</v>
      </c>
      <c r="Z75" s="80"/>
      <c r="AA75" s="29" t="str">
        <f t="shared" si="13"/>
        <v>F1200</v>
      </c>
      <c r="AB75" s="29" t="str">
        <f t="shared" si="14"/>
        <v>F10.2</v>
      </c>
      <c r="AC75" s="29" t="str">
        <f t="shared" si="15"/>
        <v>F10.02</v>
      </c>
      <c r="AD75" s="29" t="str">
        <f t="shared" si="16"/>
        <v>F118</v>
      </c>
      <c r="AE75" s="443"/>
      <c r="AF75" s="443"/>
      <c r="AG75" s="443"/>
      <c r="AH75" s="443"/>
    </row>
    <row r="76" spans="1:35" ht="16.5">
      <c r="A76" s="728">
        <f t="shared" si="21"/>
        <v>69</v>
      </c>
      <c r="B76" s="563">
        <v>2</v>
      </c>
      <c r="C76" s="694">
        <v>22064</v>
      </c>
      <c r="D76" s="694" t="s">
        <v>148</v>
      </c>
      <c r="E76" s="563">
        <v>28</v>
      </c>
      <c r="F76" s="503">
        <v>1960</v>
      </c>
      <c r="G76" s="563" t="s">
        <v>118</v>
      </c>
      <c r="H76" s="503" t="s">
        <v>123</v>
      </c>
      <c r="I76" s="695">
        <v>33</v>
      </c>
      <c r="J76" s="695">
        <v>1.3</v>
      </c>
      <c r="K76" s="777">
        <f t="shared" si="20"/>
        <v>2.4375000000000001E-2</v>
      </c>
      <c r="L76" s="968">
        <v>0</v>
      </c>
      <c r="M76" s="503">
        <f t="shared" si="17"/>
        <v>16</v>
      </c>
      <c r="N76" s="504">
        <v>0.67013888888888884</v>
      </c>
      <c r="O76" s="719">
        <f t="shared" si="18"/>
        <v>0.67013888888888884</v>
      </c>
      <c r="P76" s="564"/>
      <c r="Q76" s="564">
        <f t="shared" si="19"/>
        <v>-0.67013888888888884</v>
      </c>
      <c r="R76" s="965" t="s">
        <v>1520</v>
      </c>
      <c r="S76" s="487"/>
      <c r="T76" s="29"/>
      <c r="U76" s="29" t="str">
        <f t="shared" si="11"/>
        <v>RandallF1</v>
      </c>
      <c r="V76" s="29" t="str">
        <f t="shared" si="12"/>
        <v>1960F1</v>
      </c>
      <c r="W76" s="80">
        <v>20</v>
      </c>
      <c r="X76" s="32">
        <v>1</v>
      </c>
      <c r="Y76" s="467">
        <v>0.02</v>
      </c>
      <c r="Z76" s="80"/>
      <c r="AA76" s="29" t="str">
        <f t="shared" si="13"/>
        <v>F120</v>
      </c>
      <c r="AB76" s="29" t="str">
        <f t="shared" si="14"/>
        <v>F11</v>
      </c>
      <c r="AC76" s="29" t="str">
        <f t="shared" si="15"/>
        <v>F10.02</v>
      </c>
      <c r="AD76" s="29" t="str">
        <f t="shared" si="16"/>
        <v>F116</v>
      </c>
      <c r="AE76" s="443"/>
      <c r="AF76" s="443"/>
      <c r="AG76" s="443"/>
      <c r="AH76" s="443"/>
    </row>
    <row r="77" spans="1:35" ht="16.5">
      <c r="A77" s="728">
        <f t="shared" si="21"/>
        <v>70</v>
      </c>
      <c r="B77" s="563">
        <v>3</v>
      </c>
      <c r="C77" s="694">
        <v>22064</v>
      </c>
      <c r="D77" s="694" t="s">
        <v>148</v>
      </c>
      <c r="E77" s="563">
        <v>28</v>
      </c>
      <c r="F77" s="503">
        <v>1960</v>
      </c>
      <c r="G77" s="563" t="s">
        <v>118</v>
      </c>
      <c r="H77" s="503" t="s">
        <v>122</v>
      </c>
      <c r="I77" s="695">
        <v>7</v>
      </c>
      <c r="J77" s="695">
        <v>0.1</v>
      </c>
      <c r="K77" s="777">
        <f t="shared" si="20"/>
        <v>3.9772727272727269E-4</v>
      </c>
      <c r="L77" s="968">
        <v>3000</v>
      </c>
      <c r="M77" s="503">
        <f t="shared" si="17"/>
        <v>16</v>
      </c>
      <c r="N77" s="504">
        <v>0.67222222222222217</v>
      </c>
      <c r="O77" s="719">
        <f t="shared" si="18"/>
        <v>0.67222222222222217</v>
      </c>
      <c r="P77" s="564"/>
      <c r="Q77" s="564">
        <f t="shared" si="19"/>
        <v>-0.67222222222222217</v>
      </c>
      <c r="R77" s="965" t="s">
        <v>1520</v>
      </c>
      <c r="S77" s="487"/>
      <c r="T77" s="29"/>
      <c r="U77" s="29" t="str">
        <f t="shared" si="11"/>
        <v>RandallF0</v>
      </c>
      <c r="V77" s="29" t="str">
        <f t="shared" si="12"/>
        <v>1960F0</v>
      </c>
      <c r="W77" s="80">
        <v>5</v>
      </c>
      <c r="X77" s="32">
        <v>0.1</v>
      </c>
      <c r="Y77" s="467">
        <v>2.0000000000000001E-4</v>
      </c>
      <c r="Z77" s="80"/>
      <c r="AA77" s="29" t="str">
        <f t="shared" si="13"/>
        <v>F05</v>
      </c>
      <c r="AB77" s="29" t="str">
        <f t="shared" si="14"/>
        <v>F00.1</v>
      </c>
      <c r="AC77" s="29" t="str">
        <f t="shared" si="15"/>
        <v>F00.0002</v>
      </c>
      <c r="AD77" s="29" t="str">
        <f t="shared" si="16"/>
        <v>F016</v>
      </c>
      <c r="AE77" s="443"/>
      <c r="AF77" s="443"/>
      <c r="AG77" s="443"/>
      <c r="AH77" s="443"/>
    </row>
    <row r="78" spans="1:35" ht="16.5">
      <c r="A78" s="728">
        <f t="shared" si="21"/>
        <v>71</v>
      </c>
      <c r="B78" s="563">
        <v>4</v>
      </c>
      <c r="C78" s="694">
        <v>22064</v>
      </c>
      <c r="D78" s="694" t="s">
        <v>148</v>
      </c>
      <c r="E78" s="563">
        <v>28</v>
      </c>
      <c r="F78" s="503">
        <v>1960</v>
      </c>
      <c r="G78" s="563" t="s">
        <v>118</v>
      </c>
      <c r="H78" s="503" t="s">
        <v>122</v>
      </c>
      <c r="I78" s="695">
        <v>3</v>
      </c>
      <c r="J78" s="695">
        <v>0.1</v>
      </c>
      <c r="K78" s="777">
        <f t="shared" si="20"/>
        <v>1.7045454545454547E-4</v>
      </c>
      <c r="L78" s="968">
        <v>0</v>
      </c>
      <c r="M78" s="503">
        <f t="shared" si="17"/>
        <v>17</v>
      </c>
      <c r="N78" s="504">
        <v>0.70833333333333337</v>
      </c>
      <c r="O78" s="719">
        <f t="shared" si="18"/>
        <v>0.70833333333333337</v>
      </c>
      <c r="P78" s="564"/>
      <c r="Q78" s="564">
        <f t="shared" si="19"/>
        <v>-0.70833333333333337</v>
      </c>
      <c r="R78" s="965" t="s">
        <v>1520</v>
      </c>
      <c r="S78" s="487"/>
      <c r="T78" s="29"/>
      <c r="U78" s="29" t="str">
        <f t="shared" si="11"/>
        <v>RandallF0</v>
      </c>
      <c r="V78" s="29" t="str">
        <f t="shared" si="12"/>
        <v>1960F0</v>
      </c>
      <c r="W78" s="80">
        <v>2</v>
      </c>
      <c r="X78" s="32">
        <v>0.1</v>
      </c>
      <c r="Y78" s="467">
        <v>1E-4</v>
      </c>
      <c r="Z78" s="80"/>
      <c r="AA78" s="29" t="str">
        <f t="shared" si="13"/>
        <v>F02</v>
      </c>
      <c r="AB78" s="29" t="str">
        <f t="shared" si="14"/>
        <v>F00.1</v>
      </c>
      <c r="AC78" s="29" t="str">
        <f t="shared" si="15"/>
        <v>F00.0001</v>
      </c>
      <c r="AD78" s="29" t="str">
        <f t="shared" si="16"/>
        <v>F017</v>
      </c>
      <c r="AE78" s="443"/>
      <c r="AF78" s="443"/>
      <c r="AG78" s="443"/>
      <c r="AH78" s="443"/>
    </row>
    <row r="79" spans="1:35" ht="16.5">
      <c r="A79" s="728">
        <f t="shared" si="21"/>
        <v>72</v>
      </c>
      <c r="B79" s="563">
        <v>5</v>
      </c>
      <c r="C79" s="694">
        <v>22075</v>
      </c>
      <c r="D79" s="694" t="s">
        <v>149</v>
      </c>
      <c r="E79" s="563">
        <v>8</v>
      </c>
      <c r="F79" s="503">
        <v>1960</v>
      </c>
      <c r="G79" s="563" t="s">
        <v>114</v>
      </c>
      <c r="H79" s="503" t="s">
        <v>122</v>
      </c>
      <c r="I79" s="695">
        <v>33</v>
      </c>
      <c r="J79" s="695">
        <v>0.5</v>
      </c>
      <c r="K79" s="777">
        <f t="shared" si="20"/>
        <v>9.3749999999999997E-3</v>
      </c>
      <c r="L79" s="968">
        <v>0</v>
      </c>
      <c r="M79" s="503">
        <f t="shared" si="17"/>
        <v>1</v>
      </c>
      <c r="N79" s="504">
        <v>4.1666666666666664E-2</v>
      </c>
      <c r="O79" s="719">
        <f t="shared" si="18"/>
        <v>4.1666666666666664E-2</v>
      </c>
      <c r="P79" s="564"/>
      <c r="Q79" s="564">
        <f t="shared" si="19"/>
        <v>-4.1666666666666664E-2</v>
      </c>
      <c r="R79" s="965" t="s">
        <v>1520</v>
      </c>
      <c r="S79" s="487"/>
      <c r="U79" s="29" t="str">
        <f t="shared" si="11"/>
        <v>CarsonF0</v>
      </c>
      <c r="V79" s="29" t="str">
        <f t="shared" si="12"/>
        <v>1960F0</v>
      </c>
      <c r="W79" s="80">
        <v>20</v>
      </c>
      <c r="X79" s="32">
        <v>0.5</v>
      </c>
      <c r="Y79" s="467">
        <v>5.0000000000000001E-3</v>
      </c>
      <c r="Z79" s="80"/>
      <c r="AA79" s="29" t="str">
        <f t="shared" si="13"/>
        <v>F020</v>
      </c>
      <c r="AB79" s="29" t="str">
        <f t="shared" si="14"/>
        <v>F00.5</v>
      </c>
      <c r="AC79" s="29" t="str">
        <f t="shared" si="15"/>
        <v>F00.005</v>
      </c>
      <c r="AD79" s="29" t="str">
        <f t="shared" si="16"/>
        <v>F01</v>
      </c>
      <c r="AE79" s="443"/>
      <c r="AF79" s="443"/>
      <c r="AG79" s="443"/>
      <c r="AH79" s="443"/>
    </row>
    <row r="80" spans="1:35" ht="16.5">
      <c r="A80" s="728">
        <f t="shared" si="21"/>
        <v>73</v>
      </c>
      <c r="B80" s="563">
        <v>6</v>
      </c>
      <c r="C80" s="694">
        <v>22075</v>
      </c>
      <c r="D80" s="694" t="s">
        <v>149</v>
      </c>
      <c r="E80" s="563">
        <v>8</v>
      </c>
      <c r="F80" s="503">
        <v>1960</v>
      </c>
      <c r="G80" s="563" t="s">
        <v>120</v>
      </c>
      <c r="H80" s="503" t="s">
        <v>124</v>
      </c>
      <c r="I80" s="695">
        <v>10</v>
      </c>
      <c r="J80" s="695">
        <v>0.1</v>
      </c>
      <c r="K80" s="777">
        <f t="shared" si="20"/>
        <v>5.6818181818181826E-4</v>
      </c>
      <c r="L80" s="968">
        <v>3000</v>
      </c>
      <c r="M80" s="503">
        <f t="shared" si="17"/>
        <v>16</v>
      </c>
      <c r="N80" s="504">
        <v>0.68402777777777779</v>
      </c>
      <c r="O80" s="719">
        <f t="shared" si="18"/>
        <v>0.68402777777777779</v>
      </c>
      <c r="P80" s="564"/>
      <c r="Q80" s="564">
        <f t="shared" si="19"/>
        <v>-0.68402777777777779</v>
      </c>
      <c r="R80" s="965" t="s">
        <v>1520</v>
      </c>
      <c r="S80" s="487"/>
      <c r="U80" s="29" t="str">
        <f t="shared" si="11"/>
        <v>DonleyF2</v>
      </c>
      <c r="V80" s="29" t="str">
        <f t="shared" si="12"/>
        <v>1960F2</v>
      </c>
      <c r="W80" s="80">
        <v>10</v>
      </c>
      <c r="X80" s="32">
        <v>0.1</v>
      </c>
      <c r="Y80" s="467">
        <v>5.0000000000000001E-4</v>
      </c>
      <c r="Z80" s="80"/>
      <c r="AA80" s="29" t="str">
        <f t="shared" si="13"/>
        <v>F210</v>
      </c>
      <c r="AB80" s="29" t="str">
        <f t="shared" si="14"/>
        <v>F20.1</v>
      </c>
      <c r="AC80" s="29" t="str">
        <f t="shared" si="15"/>
        <v>F20.0005</v>
      </c>
      <c r="AD80" s="29" t="str">
        <f t="shared" si="16"/>
        <v>F216</v>
      </c>
      <c r="AE80" s="443"/>
      <c r="AF80" s="443"/>
      <c r="AG80" s="443"/>
      <c r="AH80" s="443"/>
    </row>
    <row r="81" spans="1:34" ht="16.5">
      <c r="A81" s="728">
        <f t="shared" si="21"/>
        <v>74</v>
      </c>
      <c r="B81" s="563">
        <v>7</v>
      </c>
      <c r="C81" s="694">
        <v>22076</v>
      </c>
      <c r="D81" s="694" t="s">
        <v>149</v>
      </c>
      <c r="E81" s="563">
        <v>9</v>
      </c>
      <c r="F81" s="503">
        <v>1960</v>
      </c>
      <c r="G81" s="563" t="s">
        <v>108</v>
      </c>
      <c r="H81" s="503" t="s">
        <v>122</v>
      </c>
      <c r="I81" s="695">
        <v>23</v>
      </c>
      <c r="J81" s="695">
        <v>0.1</v>
      </c>
      <c r="K81" s="777">
        <f t="shared" si="20"/>
        <v>1.3068181818181818E-3</v>
      </c>
      <c r="L81" s="968">
        <v>0</v>
      </c>
      <c r="M81" s="503">
        <f t="shared" si="17"/>
        <v>0</v>
      </c>
      <c r="N81" s="504">
        <v>1.0416666666666666E-2</v>
      </c>
      <c r="O81" s="719">
        <f t="shared" si="18"/>
        <v>1.0416666666666666E-2</v>
      </c>
      <c r="P81" s="564"/>
      <c r="Q81" s="564">
        <f t="shared" si="19"/>
        <v>-1.0416666666666666E-2</v>
      </c>
      <c r="R81" s="965" t="s">
        <v>1520</v>
      </c>
      <c r="S81" s="487"/>
      <c r="U81" s="29" t="str">
        <f t="shared" si="11"/>
        <v>MooreF0</v>
      </c>
      <c r="V81" s="29" t="str">
        <f t="shared" si="12"/>
        <v>1960F0</v>
      </c>
      <c r="W81" s="80">
        <v>20</v>
      </c>
      <c r="X81" s="32">
        <v>0.1</v>
      </c>
      <c r="Y81" s="467">
        <v>1E-3</v>
      </c>
      <c r="Z81" s="80"/>
      <c r="AA81" s="29" t="str">
        <f t="shared" si="13"/>
        <v>F020</v>
      </c>
      <c r="AB81" s="29" t="str">
        <f t="shared" si="14"/>
        <v>F00.1</v>
      </c>
      <c r="AC81" s="29" t="str">
        <f t="shared" si="15"/>
        <v>F00.001</v>
      </c>
      <c r="AD81" s="29" t="str">
        <f t="shared" si="16"/>
        <v>F00</v>
      </c>
      <c r="AE81" s="443"/>
      <c r="AF81" s="443"/>
      <c r="AG81" s="443"/>
      <c r="AH81" s="443"/>
    </row>
    <row r="82" spans="1:34" ht="16.5">
      <c r="A82" s="728">
        <f t="shared" si="21"/>
        <v>75</v>
      </c>
      <c r="B82" s="563">
        <v>8</v>
      </c>
      <c r="C82" s="694">
        <v>22076</v>
      </c>
      <c r="D82" s="694" t="s">
        <v>149</v>
      </c>
      <c r="E82" s="563">
        <v>9</v>
      </c>
      <c r="F82" s="503">
        <v>1960</v>
      </c>
      <c r="G82" s="563" t="s">
        <v>113</v>
      </c>
      <c r="H82" s="503" t="s">
        <v>123</v>
      </c>
      <c r="I82" s="695">
        <v>33</v>
      </c>
      <c r="J82" s="695">
        <v>1</v>
      </c>
      <c r="K82" s="777">
        <f t="shared" si="20"/>
        <v>1.8749999999999999E-2</v>
      </c>
      <c r="L82" s="968">
        <v>250000</v>
      </c>
      <c r="M82" s="503">
        <f t="shared" si="17"/>
        <v>19</v>
      </c>
      <c r="N82" s="504">
        <v>0.81597222222222221</v>
      </c>
      <c r="O82" s="719">
        <f t="shared" si="18"/>
        <v>0.81597222222222221</v>
      </c>
      <c r="P82" s="564"/>
      <c r="Q82" s="564">
        <f t="shared" si="19"/>
        <v>-0.81597222222222221</v>
      </c>
      <c r="R82" s="965" t="s">
        <v>1520</v>
      </c>
      <c r="S82" s="487"/>
      <c r="U82" s="29" t="str">
        <f t="shared" si="11"/>
        <v>PotterF1</v>
      </c>
      <c r="V82" s="29" t="str">
        <f t="shared" si="12"/>
        <v>1960F1</v>
      </c>
      <c r="W82" s="80">
        <v>20</v>
      </c>
      <c r="X82" s="32">
        <v>1</v>
      </c>
      <c r="Y82" s="467">
        <v>0.01</v>
      </c>
      <c r="Z82" s="80"/>
      <c r="AA82" s="29" t="str">
        <f t="shared" si="13"/>
        <v>F120</v>
      </c>
      <c r="AB82" s="29" t="str">
        <f t="shared" si="14"/>
        <v>F11</v>
      </c>
      <c r="AC82" s="29" t="str">
        <f t="shared" si="15"/>
        <v>F10.01</v>
      </c>
      <c r="AD82" s="29" t="str">
        <f t="shared" si="16"/>
        <v>F119</v>
      </c>
      <c r="AE82" s="443"/>
      <c r="AF82" s="443"/>
      <c r="AG82" s="443"/>
      <c r="AH82" s="443"/>
    </row>
    <row r="83" spans="1:34" ht="16.5">
      <c r="A83" s="728">
        <f t="shared" si="21"/>
        <v>76</v>
      </c>
      <c r="B83" s="563">
        <v>9</v>
      </c>
      <c r="C83" s="694">
        <v>22077</v>
      </c>
      <c r="D83" s="694" t="s">
        <v>149</v>
      </c>
      <c r="E83" s="563">
        <v>10</v>
      </c>
      <c r="F83" s="503">
        <v>1960</v>
      </c>
      <c r="G83" s="563" t="s">
        <v>117</v>
      </c>
      <c r="H83" s="503" t="s">
        <v>122</v>
      </c>
      <c r="I83" s="695">
        <v>10</v>
      </c>
      <c r="J83" s="695">
        <v>0.1</v>
      </c>
      <c r="K83" s="777">
        <f t="shared" si="20"/>
        <v>5.6818181818181826E-4</v>
      </c>
      <c r="L83" s="968">
        <v>25000</v>
      </c>
      <c r="M83" s="503">
        <f t="shared" si="17"/>
        <v>17</v>
      </c>
      <c r="N83" s="504">
        <v>0.72916666666666663</v>
      </c>
      <c r="O83" s="719">
        <f t="shared" si="18"/>
        <v>0.72916666666666663</v>
      </c>
      <c r="P83" s="564"/>
      <c r="Q83" s="564">
        <f t="shared" si="19"/>
        <v>-0.72916666666666663</v>
      </c>
      <c r="R83" s="965" t="s">
        <v>1520</v>
      </c>
      <c r="S83" s="487"/>
      <c r="U83" s="29" t="str">
        <f t="shared" si="11"/>
        <v>Deaf SmithF0</v>
      </c>
      <c r="V83" s="29" t="str">
        <f t="shared" si="12"/>
        <v>1960F0</v>
      </c>
      <c r="W83" s="80">
        <v>10</v>
      </c>
      <c r="X83" s="32">
        <v>0.1</v>
      </c>
      <c r="Y83" s="467">
        <v>5.0000000000000001E-4</v>
      </c>
      <c r="Z83" s="80"/>
      <c r="AA83" s="29" t="str">
        <f t="shared" si="13"/>
        <v>F010</v>
      </c>
      <c r="AB83" s="29" t="str">
        <f t="shared" si="14"/>
        <v>F00.1</v>
      </c>
      <c r="AC83" s="29" t="str">
        <f t="shared" si="15"/>
        <v>F00.0005</v>
      </c>
      <c r="AD83" s="29" t="str">
        <f t="shared" si="16"/>
        <v>F017</v>
      </c>
      <c r="AE83" s="443"/>
      <c r="AF83" s="443"/>
      <c r="AG83" s="443"/>
      <c r="AH83" s="443"/>
    </row>
    <row r="84" spans="1:34" ht="16.5">
      <c r="A84" s="728">
        <f t="shared" si="21"/>
        <v>77</v>
      </c>
      <c r="B84" s="563">
        <v>10</v>
      </c>
      <c r="C84" s="694">
        <v>22077</v>
      </c>
      <c r="D84" s="694" t="s">
        <v>149</v>
      </c>
      <c r="E84" s="563">
        <v>10</v>
      </c>
      <c r="F84" s="503">
        <v>1960</v>
      </c>
      <c r="G84" s="563" t="s">
        <v>113</v>
      </c>
      <c r="H84" s="503" t="s">
        <v>122</v>
      </c>
      <c r="I84" s="695">
        <v>10</v>
      </c>
      <c r="J84" s="695">
        <v>0.1</v>
      </c>
      <c r="K84" s="777">
        <f t="shared" si="20"/>
        <v>5.6818181818181826E-4</v>
      </c>
      <c r="L84" s="968">
        <v>0</v>
      </c>
      <c r="M84" s="503">
        <f t="shared" si="17"/>
        <v>19</v>
      </c>
      <c r="N84" s="504">
        <v>0.82361111111111107</v>
      </c>
      <c r="O84" s="719">
        <f t="shared" si="18"/>
        <v>0.82361111111111107</v>
      </c>
      <c r="P84" s="564"/>
      <c r="Q84" s="564">
        <f t="shared" si="19"/>
        <v>-0.82361111111111107</v>
      </c>
      <c r="R84" s="965" t="s">
        <v>1520</v>
      </c>
      <c r="S84" s="487"/>
      <c r="U84" s="29" t="str">
        <f t="shared" si="11"/>
        <v>PotterF0</v>
      </c>
      <c r="V84" s="29" t="str">
        <f t="shared" si="12"/>
        <v>1960F0</v>
      </c>
      <c r="W84" s="80">
        <v>10</v>
      </c>
      <c r="X84" s="32">
        <v>0.1</v>
      </c>
      <c r="Y84" s="467">
        <v>5.0000000000000001E-4</v>
      </c>
      <c r="Z84" s="80"/>
      <c r="AA84" s="29" t="str">
        <f t="shared" si="13"/>
        <v>F010</v>
      </c>
      <c r="AB84" s="29" t="str">
        <f t="shared" si="14"/>
        <v>F00.1</v>
      </c>
      <c r="AC84" s="29" t="str">
        <f t="shared" si="15"/>
        <v>F00.0005</v>
      </c>
      <c r="AD84" s="29" t="str">
        <f t="shared" si="16"/>
        <v>F019</v>
      </c>
      <c r="AE84" s="443"/>
      <c r="AF84" s="443"/>
      <c r="AG84" s="443"/>
      <c r="AH84" s="443"/>
    </row>
    <row r="85" spans="1:34" ht="16.5">
      <c r="A85" s="728">
        <f t="shared" si="21"/>
        <v>78</v>
      </c>
      <c r="B85" s="563">
        <v>11</v>
      </c>
      <c r="C85" s="694">
        <v>22082</v>
      </c>
      <c r="D85" s="694" t="s">
        <v>149</v>
      </c>
      <c r="E85" s="563">
        <v>15</v>
      </c>
      <c r="F85" s="503">
        <v>1960</v>
      </c>
      <c r="G85" s="563" t="s">
        <v>101</v>
      </c>
      <c r="H85" s="503" t="s">
        <v>123</v>
      </c>
      <c r="I85" s="695">
        <v>10</v>
      </c>
      <c r="J85" s="695">
        <v>0.1</v>
      </c>
      <c r="K85" s="777">
        <f t="shared" si="20"/>
        <v>5.6818181818181826E-4</v>
      </c>
      <c r="L85" s="968">
        <v>3000</v>
      </c>
      <c r="M85" s="503">
        <f t="shared" si="17"/>
        <v>1</v>
      </c>
      <c r="N85" s="504">
        <v>4.1666666666666664E-2</v>
      </c>
      <c r="O85" s="719">
        <f t="shared" si="18"/>
        <v>4.1666666666666664E-2</v>
      </c>
      <c r="P85" s="564"/>
      <c r="Q85" s="564">
        <f t="shared" si="19"/>
        <v>-4.1666666666666664E-2</v>
      </c>
      <c r="R85" s="965" t="s">
        <v>1520</v>
      </c>
      <c r="S85" s="487"/>
      <c r="T85" s="29"/>
      <c r="U85" s="29" t="str">
        <f t="shared" si="11"/>
        <v>BeaverF1</v>
      </c>
      <c r="V85" s="29" t="str">
        <f t="shared" si="12"/>
        <v>1960F1</v>
      </c>
      <c r="W85" s="80">
        <v>10</v>
      </c>
      <c r="X85" s="32">
        <v>0.1</v>
      </c>
      <c r="Y85" s="467">
        <v>5.0000000000000001E-4</v>
      </c>
      <c r="Z85" s="80"/>
      <c r="AA85" s="29" t="str">
        <f t="shared" si="13"/>
        <v>F110</v>
      </c>
      <c r="AB85" s="29" t="str">
        <f t="shared" si="14"/>
        <v>F10.1</v>
      </c>
      <c r="AC85" s="29" t="str">
        <f t="shared" si="15"/>
        <v>F10.0005</v>
      </c>
      <c r="AD85" s="29" t="str">
        <f t="shared" si="16"/>
        <v>F11</v>
      </c>
      <c r="AE85" s="443"/>
      <c r="AF85" s="443"/>
      <c r="AG85" s="443"/>
      <c r="AH85" s="443"/>
    </row>
    <row r="86" spans="1:34" ht="16.5">
      <c r="A86" s="728">
        <f t="shared" si="21"/>
        <v>79</v>
      </c>
      <c r="B86" s="563">
        <v>12</v>
      </c>
      <c r="C86" s="694">
        <v>22082</v>
      </c>
      <c r="D86" s="694" t="s">
        <v>149</v>
      </c>
      <c r="E86" s="563">
        <v>15</v>
      </c>
      <c r="F86" s="503">
        <v>1960</v>
      </c>
      <c r="G86" s="563" t="s">
        <v>105</v>
      </c>
      <c r="H86" s="503" t="s">
        <v>123</v>
      </c>
      <c r="I86" s="695">
        <v>23</v>
      </c>
      <c r="J86" s="695">
        <v>0.4</v>
      </c>
      <c r="K86" s="777">
        <f t="shared" si="20"/>
        <v>5.2272727272727271E-3</v>
      </c>
      <c r="L86" s="968">
        <v>25000</v>
      </c>
      <c r="M86" s="503">
        <f t="shared" si="17"/>
        <v>17</v>
      </c>
      <c r="N86" s="504">
        <v>0.74305555555555547</v>
      </c>
      <c r="O86" s="719">
        <f t="shared" si="18"/>
        <v>0.74305555555555547</v>
      </c>
      <c r="P86" s="564"/>
      <c r="Q86" s="564">
        <f t="shared" si="19"/>
        <v>-0.74305555555555547</v>
      </c>
      <c r="R86" s="965" t="s">
        <v>1520</v>
      </c>
      <c r="S86" s="487"/>
      <c r="T86" s="29"/>
      <c r="U86" s="29" t="str">
        <f t="shared" si="11"/>
        <v>OchiltreeF1</v>
      </c>
      <c r="V86" s="29" t="str">
        <f t="shared" si="12"/>
        <v>1960F1</v>
      </c>
      <c r="W86" s="80">
        <v>20</v>
      </c>
      <c r="X86" s="32">
        <v>0.2</v>
      </c>
      <c r="Y86" s="467">
        <v>5.0000000000000001E-3</v>
      </c>
      <c r="Z86" s="80"/>
      <c r="AA86" s="29" t="str">
        <f t="shared" si="13"/>
        <v>F120</v>
      </c>
      <c r="AB86" s="29" t="str">
        <f t="shared" si="14"/>
        <v>F10.2</v>
      </c>
      <c r="AC86" s="29" t="str">
        <f t="shared" si="15"/>
        <v>F10.005</v>
      </c>
      <c r="AD86" s="29" t="str">
        <f t="shared" si="16"/>
        <v>F117</v>
      </c>
      <c r="AE86" s="443"/>
      <c r="AF86" s="443"/>
      <c r="AG86" s="443"/>
      <c r="AH86" s="443"/>
    </row>
    <row r="87" spans="1:34" ht="16.5">
      <c r="A87" s="728">
        <f t="shared" si="21"/>
        <v>80</v>
      </c>
      <c r="B87" s="563">
        <v>13</v>
      </c>
      <c r="C87" s="694">
        <v>22082</v>
      </c>
      <c r="D87" s="694" t="s">
        <v>149</v>
      </c>
      <c r="E87" s="563">
        <v>15</v>
      </c>
      <c r="F87" s="503">
        <v>1960</v>
      </c>
      <c r="G87" s="563" t="s">
        <v>105</v>
      </c>
      <c r="H87" s="503" t="s">
        <v>123</v>
      </c>
      <c r="I87" s="695">
        <v>27</v>
      </c>
      <c r="J87" s="695">
        <v>0.7</v>
      </c>
      <c r="K87" s="777">
        <f t="shared" si="20"/>
        <v>1.0738636363636363E-2</v>
      </c>
      <c r="L87" s="968">
        <v>3000</v>
      </c>
      <c r="M87" s="503">
        <f t="shared" si="17"/>
        <v>18</v>
      </c>
      <c r="N87" s="504">
        <v>0.75</v>
      </c>
      <c r="O87" s="719">
        <f t="shared" si="18"/>
        <v>0.75</v>
      </c>
      <c r="P87" s="564"/>
      <c r="Q87" s="564">
        <f t="shared" si="19"/>
        <v>-0.75</v>
      </c>
      <c r="R87" s="965" t="s">
        <v>1520</v>
      </c>
      <c r="S87" s="487"/>
      <c r="T87" s="29"/>
      <c r="U87" s="29" t="str">
        <f t="shared" si="11"/>
        <v>OchiltreeF1</v>
      </c>
      <c r="V87" s="29" t="str">
        <f t="shared" si="12"/>
        <v>1960F1</v>
      </c>
      <c r="W87" s="80">
        <v>20</v>
      </c>
      <c r="X87" s="32">
        <v>0.5</v>
      </c>
      <c r="Y87" s="467">
        <v>0.01</v>
      </c>
      <c r="Z87" s="80"/>
      <c r="AA87" s="29" t="str">
        <f t="shared" si="13"/>
        <v>F120</v>
      </c>
      <c r="AB87" s="29" t="str">
        <f t="shared" si="14"/>
        <v>F10.5</v>
      </c>
      <c r="AC87" s="29" t="str">
        <f t="shared" si="15"/>
        <v>F10.01</v>
      </c>
      <c r="AD87" s="29" t="str">
        <f t="shared" si="16"/>
        <v>F118</v>
      </c>
      <c r="AE87" s="443"/>
      <c r="AF87" s="443"/>
      <c r="AG87" s="443"/>
      <c r="AH87" s="443"/>
    </row>
    <row r="88" spans="1:34" ht="16.5">
      <c r="A88" s="728">
        <f t="shared" si="21"/>
        <v>81</v>
      </c>
      <c r="B88" s="563">
        <v>1</v>
      </c>
      <c r="C88" s="694">
        <v>22405</v>
      </c>
      <c r="D88" s="694" t="s">
        <v>148</v>
      </c>
      <c r="E88" s="563">
        <v>4</v>
      </c>
      <c r="F88" s="503">
        <v>1961</v>
      </c>
      <c r="G88" s="563" t="s">
        <v>111</v>
      </c>
      <c r="H88" s="503" t="s">
        <v>122</v>
      </c>
      <c r="I88" s="695">
        <v>33</v>
      </c>
      <c r="J88" s="695">
        <v>8.4</v>
      </c>
      <c r="K88" s="777">
        <f t="shared" si="20"/>
        <v>0.1575</v>
      </c>
      <c r="L88" s="968">
        <v>0</v>
      </c>
      <c r="M88" s="503">
        <f t="shared" si="17"/>
        <v>14</v>
      </c>
      <c r="N88" s="504">
        <v>0.58333333333333337</v>
      </c>
      <c r="O88" s="719">
        <f t="shared" si="18"/>
        <v>0.58333333333333337</v>
      </c>
      <c r="P88" s="564"/>
      <c r="Q88" s="564">
        <f t="shared" si="19"/>
        <v>-0.58333333333333337</v>
      </c>
      <c r="R88" s="965" t="s">
        <v>1520</v>
      </c>
      <c r="S88" s="487"/>
      <c r="T88" s="29"/>
      <c r="U88" s="29" t="str">
        <f t="shared" si="11"/>
        <v>HemphillF0</v>
      </c>
      <c r="V88" s="29" t="str">
        <f t="shared" si="12"/>
        <v>1961F0</v>
      </c>
      <c r="W88" s="80">
        <v>20</v>
      </c>
      <c r="X88" s="32">
        <v>5</v>
      </c>
      <c r="Y88" s="467">
        <v>0.1</v>
      </c>
      <c r="Z88" s="80"/>
      <c r="AA88" s="29" t="str">
        <f t="shared" si="13"/>
        <v>F020</v>
      </c>
      <c r="AB88" s="29" t="str">
        <f t="shared" si="14"/>
        <v>F05</v>
      </c>
      <c r="AC88" s="29" t="str">
        <f t="shared" si="15"/>
        <v>F00.1</v>
      </c>
      <c r="AD88" s="29" t="str">
        <f t="shared" si="16"/>
        <v>F014</v>
      </c>
      <c r="AE88" s="443"/>
      <c r="AF88" s="443"/>
      <c r="AG88" s="443"/>
      <c r="AH88" s="443"/>
    </row>
    <row r="89" spans="1:34" ht="16.5">
      <c r="A89" s="728">
        <f t="shared" si="21"/>
        <v>82</v>
      </c>
      <c r="B89" s="563">
        <v>2</v>
      </c>
      <c r="C89" s="694">
        <v>22417</v>
      </c>
      <c r="D89" s="694" t="s">
        <v>148</v>
      </c>
      <c r="E89" s="563">
        <v>16</v>
      </c>
      <c r="F89" s="503">
        <v>1961</v>
      </c>
      <c r="G89" s="563" t="s">
        <v>114</v>
      </c>
      <c r="H89" s="503" t="s">
        <v>124</v>
      </c>
      <c r="I89" s="695">
        <v>33</v>
      </c>
      <c r="J89" s="695">
        <v>0.5</v>
      </c>
      <c r="K89" s="777">
        <f t="shared" si="20"/>
        <v>9.3749999999999997E-3</v>
      </c>
      <c r="L89" s="968">
        <v>3000</v>
      </c>
      <c r="M89" s="503">
        <f t="shared" si="17"/>
        <v>16</v>
      </c>
      <c r="N89" s="504">
        <v>0.69791666666666663</v>
      </c>
      <c r="O89" s="719">
        <f t="shared" si="18"/>
        <v>0.69791666666666663</v>
      </c>
      <c r="P89" s="564"/>
      <c r="Q89" s="564">
        <f t="shared" si="19"/>
        <v>-0.69791666666666663</v>
      </c>
      <c r="R89" s="965" t="s">
        <v>1520</v>
      </c>
      <c r="S89" s="487"/>
      <c r="T89" s="29"/>
      <c r="U89" s="29" t="str">
        <f t="shared" si="11"/>
        <v>CarsonF2</v>
      </c>
      <c r="V89" s="29" t="str">
        <f t="shared" si="12"/>
        <v>1961F2</v>
      </c>
      <c r="W89" s="80">
        <v>20</v>
      </c>
      <c r="X89" s="32">
        <v>0.5</v>
      </c>
      <c r="Y89" s="467">
        <v>5.0000000000000001E-3</v>
      </c>
      <c r="Z89" s="80"/>
      <c r="AA89" s="29" t="str">
        <f t="shared" si="13"/>
        <v>F220</v>
      </c>
      <c r="AB89" s="29" t="str">
        <f t="shared" si="14"/>
        <v>F20.5</v>
      </c>
      <c r="AC89" s="29" t="str">
        <f t="shared" si="15"/>
        <v>F20.005</v>
      </c>
      <c r="AD89" s="29" t="str">
        <f t="shared" si="16"/>
        <v>F216</v>
      </c>
      <c r="AE89" s="443"/>
      <c r="AF89" s="443"/>
      <c r="AG89" s="443"/>
      <c r="AH89" s="443"/>
    </row>
    <row r="90" spans="1:34" ht="16.5">
      <c r="A90" s="728">
        <f t="shared" si="21"/>
        <v>83</v>
      </c>
      <c r="B90" s="563">
        <v>3</v>
      </c>
      <c r="C90" s="694">
        <v>22417</v>
      </c>
      <c r="D90" s="694" t="s">
        <v>148</v>
      </c>
      <c r="E90" s="563">
        <v>16</v>
      </c>
      <c r="F90" s="503">
        <v>1961</v>
      </c>
      <c r="G90" s="563" t="s">
        <v>115</v>
      </c>
      <c r="H90" s="503" t="s">
        <v>122</v>
      </c>
      <c r="I90" s="695">
        <v>33</v>
      </c>
      <c r="J90" s="695">
        <v>0.2</v>
      </c>
      <c r="K90" s="777">
        <f t="shared" si="20"/>
        <v>3.7499999999999999E-3</v>
      </c>
      <c r="L90" s="968">
        <v>0</v>
      </c>
      <c r="M90" s="503">
        <f t="shared" si="17"/>
        <v>17</v>
      </c>
      <c r="N90" s="504">
        <v>0.73611111111111116</v>
      </c>
      <c r="O90" s="719">
        <f t="shared" si="18"/>
        <v>0.73611111111111116</v>
      </c>
      <c r="P90" s="564"/>
      <c r="Q90" s="564">
        <f t="shared" si="19"/>
        <v>-0.73611111111111116</v>
      </c>
      <c r="R90" s="965" t="s">
        <v>1520</v>
      </c>
      <c r="S90" s="487"/>
      <c r="T90" s="29"/>
      <c r="U90" s="29" t="str">
        <f t="shared" si="11"/>
        <v>GrayF0</v>
      </c>
      <c r="V90" s="29" t="str">
        <f t="shared" si="12"/>
        <v>1961F0</v>
      </c>
      <c r="W90" s="80">
        <v>20</v>
      </c>
      <c r="X90" s="32">
        <v>0.2</v>
      </c>
      <c r="Y90" s="467">
        <v>2E-3</v>
      </c>
      <c r="Z90" s="80"/>
      <c r="AA90" s="29" t="str">
        <f t="shared" si="13"/>
        <v>F020</v>
      </c>
      <c r="AB90" s="29" t="str">
        <f t="shared" si="14"/>
        <v>F00.2</v>
      </c>
      <c r="AC90" s="29" t="str">
        <f t="shared" si="15"/>
        <v>F00.002</v>
      </c>
      <c r="AD90" s="29" t="str">
        <f t="shared" si="16"/>
        <v>F017</v>
      </c>
      <c r="AE90" s="443"/>
      <c r="AF90" s="443"/>
      <c r="AG90" s="443"/>
      <c r="AH90" s="443"/>
    </row>
    <row r="91" spans="1:34" ht="16.5">
      <c r="A91" s="728">
        <f t="shared" si="21"/>
        <v>84</v>
      </c>
      <c r="B91" s="563">
        <v>4</v>
      </c>
      <c r="C91" s="694">
        <v>22434</v>
      </c>
      <c r="D91" s="694" t="s">
        <v>149</v>
      </c>
      <c r="E91" s="563">
        <v>2</v>
      </c>
      <c r="F91" s="503">
        <v>1961</v>
      </c>
      <c r="G91" s="563" t="s">
        <v>115</v>
      </c>
      <c r="H91" s="503" t="s">
        <v>124</v>
      </c>
      <c r="I91" s="695">
        <v>23</v>
      </c>
      <c r="J91" s="695">
        <v>0.5</v>
      </c>
      <c r="K91" s="777">
        <f t="shared" si="20"/>
        <v>6.5340909090909087E-3</v>
      </c>
      <c r="L91" s="968">
        <v>0</v>
      </c>
      <c r="M91" s="503">
        <f t="shared" si="17"/>
        <v>14</v>
      </c>
      <c r="N91" s="504">
        <v>0.60416666666666663</v>
      </c>
      <c r="O91" s="719">
        <f t="shared" si="18"/>
        <v>0.60416666666666663</v>
      </c>
      <c r="P91" s="564"/>
      <c r="Q91" s="564">
        <f t="shared" si="19"/>
        <v>-0.60416666666666663</v>
      </c>
      <c r="R91" s="965" t="s">
        <v>1520</v>
      </c>
      <c r="S91" s="487"/>
      <c r="T91" s="29"/>
      <c r="U91" s="29" t="str">
        <f t="shared" si="11"/>
        <v>GrayF2</v>
      </c>
      <c r="V91" s="29" t="str">
        <f t="shared" si="12"/>
        <v>1961F2</v>
      </c>
      <c r="W91" s="80">
        <v>20</v>
      </c>
      <c r="X91" s="32">
        <v>0.5</v>
      </c>
      <c r="Y91" s="467">
        <v>5.0000000000000001E-3</v>
      </c>
      <c r="Z91" s="80"/>
      <c r="AA91" s="29" t="str">
        <f t="shared" si="13"/>
        <v>F220</v>
      </c>
      <c r="AB91" s="29" t="str">
        <f t="shared" si="14"/>
        <v>F20.5</v>
      </c>
      <c r="AC91" s="29" t="str">
        <f t="shared" si="15"/>
        <v>F20.005</v>
      </c>
      <c r="AD91" s="29" t="str">
        <f t="shared" si="16"/>
        <v>F214</v>
      </c>
      <c r="AE91" s="443"/>
      <c r="AF91" s="443"/>
      <c r="AG91" s="443"/>
      <c r="AH91" s="443"/>
    </row>
    <row r="92" spans="1:34" ht="16.5">
      <c r="A92" s="728">
        <f t="shared" si="21"/>
        <v>85</v>
      </c>
      <c r="B92" s="563">
        <v>5</v>
      </c>
      <c r="C92" s="694">
        <v>22435</v>
      </c>
      <c r="D92" s="694" t="s">
        <v>149</v>
      </c>
      <c r="E92" s="563">
        <v>3</v>
      </c>
      <c r="F92" s="503">
        <v>1961</v>
      </c>
      <c r="G92" s="563" t="s">
        <v>100</v>
      </c>
      <c r="H92" s="503" t="s">
        <v>124</v>
      </c>
      <c r="I92" s="695">
        <v>10</v>
      </c>
      <c r="J92" s="695">
        <v>0.1</v>
      </c>
      <c r="K92" s="777">
        <f t="shared" si="20"/>
        <v>5.6818181818181826E-4</v>
      </c>
      <c r="L92" s="968">
        <v>0</v>
      </c>
      <c r="M92" s="503">
        <f t="shared" si="17"/>
        <v>17</v>
      </c>
      <c r="N92" s="504">
        <v>0.73958333333333337</v>
      </c>
      <c r="O92" s="719">
        <f t="shared" si="18"/>
        <v>0.73958333333333337</v>
      </c>
      <c r="P92" s="564"/>
      <c r="Q92" s="564">
        <f t="shared" si="19"/>
        <v>-0.73958333333333337</v>
      </c>
      <c r="R92" s="965" t="s">
        <v>1520</v>
      </c>
      <c r="S92" s="487"/>
      <c r="T92" s="29"/>
      <c r="U92" s="29" t="str">
        <f t="shared" si="11"/>
        <v>TexasF2</v>
      </c>
      <c r="V92" s="29" t="str">
        <f t="shared" si="12"/>
        <v>1961F2</v>
      </c>
      <c r="W92" s="80">
        <v>10</v>
      </c>
      <c r="X92" s="32">
        <v>0.1</v>
      </c>
      <c r="Y92" s="467">
        <v>5.0000000000000001E-4</v>
      </c>
      <c r="Z92" s="80"/>
      <c r="AA92" s="29" t="str">
        <f t="shared" si="13"/>
        <v>F210</v>
      </c>
      <c r="AB92" s="29" t="str">
        <f t="shared" si="14"/>
        <v>F20.1</v>
      </c>
      <c r="AC92" s="29" t="str">
        <f t="shared" si="15"/>
        <v>F20.0005</v>
      </c>
      <c r="AD92" s="29" t="str">
        <f t="shared" si="16"/>
        <v>F217</v>
      </c>
      <c r="AE92" s="443"/>
      <c r="AF92" s="443"/>
      <c r="AG92" s="443"/>
      <c r="AH92" s="443"/>
    </row>
    <row r="93" spans="1:34" ht="16.5">
      <c r="A93" s="728">
        <f t="shared" si="21"/>
        <v>86</v>
      </c>
      <c r="B93" s="563">
        <v>6</v>
      </c>
      <c r="C93" s="694">
        <v>22435</v>
      </c>
      <c r="D93" s="694" t="s">
        <v>149</v>
      </c>
      <c r="E93" s="563">
        <v>3</v>
      </c>
      <c r="F93" s="503">
        <v>1961</v>
      </c>
      <c r="G93" s="563" t="s">
        <v>101</v>
      </c>
      <c r="H93" s="503" t="s">
        <v>124</v>
      </c>
      <c r="I93" s="695">
        <v>33</v>
      </c>
      <c r="J93" s="695">
        <v>1.3</v>
      </c>
      <c r="K93" s="777">
        <f t="shared" si="20"/>
        <v>2.4375000000000001E-2</v>
      </c>
      <c r="L93" s="968">
        <v>0</v>
      </c>
      <c r="M93" s="503">
        <f t="shared" si="17"/>
        <v>18</v>
      </c>
      <c r="N93" s="504">
        <v>0.75</v>
      </c>
      <c r="O93" s="719">
        <f t="shared" si="18"/>
        <v>0.75</v>
      </c>
      <c r="P93" s="564"/>
      <c r="Q93" s="564">
        <f t="shared" si="19"/>
        <v>-0.75</v>
      </c>
      <c r="R93" s="965" t="s">
        <v>1520</v>
      </c>
      <c r="S93" s="487"/>
      <c r="T93" s="29"/>
      <c r="U93" s="29" t="str">
        <f t="shared" si="11"/>
        <v>BeaverF2</v>
      </c>
      <c r="V93" s="29" t="str">
        <f t="shared" si="12"/>
        <v>1961F2</v>
      </c>
      <c r="W93" s="80">
        <v>20</v>
      </c>
      <c r="X93" s="32">
        <v>1</v>
      </c>
      <c r="Y93" s="467">
        <v>0.02</v>
      </c>
      <c r="Z93" s="80"/>
      <c r="AA93" s="29" t="str">
        <f t="shared" si="13"/>
        <v>F220</v>
      </c>
      <c r="AB93" s="29" t="str">
        <f t="shared" si="14"/>
        <v>F21</v>
      </c>
      <c r="AC93" s="29" t="str">
        <f t="shared" si="15"/>
        <v>F20.02</v>
      </c>
      <c r="AD93" s="29" t="str">
        <f t="shared" si="16"/>
        <v>F218</v>
      </c>
      <c r="AE93" s="443"/>
      <c r="AF93" s="443"/>
      <c r="AG93" s="443"/>
      <c r="AH93" s="443"/>
    </row>
    <row r="94" spans="1:34" ht="16.5">
      <c r="A94" s="728">
        <f t="shared" si="21"/>
        <v>87</v>
      </c>
      <c r="B94" s="563">
        <v>7</v>
      </c>
      <c r="C94" s="694">
        <v>22435</v>
      </c>
      <c r="D94" s="694" t="s">
        <v>149</v>
      </c>
      <c r="E94" s="563">
        <v>3</v>
      </c>
      <c r="F94" s="503">
        <v>1961</v>
      </c>
      <c r="G94" s="563" t="s">
        <v>112</v>
      </c>
      <c r="H94" s="503" t="s">
        <v>122</v>
      </c>
      <c r="I94" s="695">
        <v>50</v>
      </c>
      <c r="J94" s="695">
        <v>27.3</v>
      </c>
      <c r="K94" s="777">
        <f t="shared" si="20"/>
        <v>0.77556818181818177</v>
      </c>
      <c r="L94" s="968">
        <v>0</v>
      </c>
      <c r="M94" s="503">
        <f t="shared" si="17"/>
        <v>20</v>
      </c>
      <c r="N94" s="504">
        <v>0.83333333333333337</v>
      </c>
      <c r="O94" s="719">
        <f t="shared" si="18"/>
        <v>0.83333333333333337</v>
      </c>
      <c r="P94" s="564"/>
      <c r="Q94" s="564">
        <f t="shared" si="19"/>
        <v>-0.83333333333333337</v>
      </c>
      <c r="R94" s="965" t="s">
        <v>1520</v>
      </c>
      <c r="S94" s="487"/>
      <c r="T94" s="29"/>
      <c r="U94" s="29" t="str">
        <f t="shared" si="11"/>
        <v>OldhamF0</v>
      </c>
      <c r="V94" s="29" t="str">
        <f t="shared" si="12"/>
        <v>1961F0</v>
      </c>
      <c r="W94" s="80">
        <v>50</v>
      </c>
      <c r="X94" s="32">
        <v>20</v>
      </c>
      <c r="Y94" s="467">
        <v>0.5</v>
      </c>
      <c r="Z94" s="80"/>
      <c r="AA94" s="29" t="str">
        <f t="shared" si="13"/>
        <v>F050</v>
      </c>
      <c r="AB94" s="29" t="str">
        <f t="shared" si="14"/>
        <v>F020</v>
      </c>
      <c r="AC94" s="29" t="str">
        <f t="shared" si="15"/>
        <v>F00.5</v>
      </c>
      <c r="AD94" s="29" t="str">
        <f t="shared" si="16"/>
        <v>F020</v>
      </c>
      <c r="AE94" s="443"/>
      <c r="AF94" s="443"/>
      <c r="AG94" s="443"/>
      <c r="AH94" s="443"/>
    </row>
    <row r="95" spans="1:34" ht="51">
      <c r="A95" s="728">
        <f t="shared" si="21"/>
        <v>88</v>
      </c>
      <c r="B95" s="563">
        <v>8</v>
      </c>
      <c r="C95" s="694">
        <v>22437</v>
      </c>
      <c r="D95" s="694" t="s">
        <v>149</v>
      </c>
      <c r="E95" s="563">
        <v>5</v>
      </c>
      <c r="F95" s="503">
        <v>1961</v>
      </c>
      <c r="G95" s="563" t="s">
        <v>102</v>
      </c>
      <c r="H95" s="503" t="s">
        <v>123</v>
      </c>
      <c r="I95" s="695">
        <v>500</v>
      </c>
      <c r="J95" s="695">
        <v>23.9</v>
      </c>
      <c r="K95" s="777">
        <f t="shared" si="20"/>
        <v>6.7897727272727275</v>
      </c>
      <c r="L95" s="968">
        <v>0</v>
      </c>
      <c r="M95" s="503">
        <f t="shared" si="17"/>
        <v>15</v>
      </c>
      <c r="N95" s="504">
        <v>0.625</v>
      </c>
      <c r="O95" s="719">
        <f t="shared" si="18"/>
        <v>0.625</v>
      </c>
      <c r="P95" s="564"/>
      <c r="Q95" s="564">
        <f t="shared" si="19"/>
        <v>-0.625</v>
      </c>
      <c r="R95" s="965" t="s">
        <v>1520</v>
      </c>
      <c r="S95" s="303" t="s">
        <v>1063</v>
      </c>
      <c r="T95" s="29"/>
      <c r="U95" s="29" t="str">
        <f t="shared" si="11"/>
        <v>DallamF1</v>
      </c>
      <c r="V95" s="29" t="str">
        <f t="shared" si="12"/>
        <v>1961F1</v>
      </c>
      <c r="W95" s="80">
        <v>500</v>
      </c>
      <c r="X95" s="32">
        <v>20</v>
      </c>
      <c r="Y95" s="467">
        <v>5</v>
      </c>
      <c r="Z95" s="80"/>
      <c r="AA95" s="29" t="str">
        <f t="shared" si="13"/>
        <v>F1500</v>
      </c>
      <c r="AB95" s="29" t="str">
        <f t="shared" si="14"/>
        <v>F120</v>
      </c>
      <c r="AC95" s="29" t="str">
        <f t="shared" si="15"/>
        <v>F15</v>
      </c>
      <c r="AD95" s="29" t="str">
        <f t="shared" si="16"/>
        <v>F115</v>
      </c>
      <c r="AE95" s="443"/>
      <c r="AF95" s="443"/>
      <c r="AG95" s="443"/>
      <c r="AH95" s="443"/>
    </row>
    <row r="96" spans="1:34" ht="16.5">
      <c r="A96" s="728">
        <f t="shared" si="21"/>
        <v>89</v>
      </c>
      <c r="B96" s="563">
        <v>9</v>
      </c>
      <c r="C96" s="694">
        <v>22437</v>
      </c>
      <c r="D96" s="694" t="s">
        <v>149</v>
      </c>
      <c r="E96" s="563">
        <v>5</v>
      </c>
      <c r="F96" s="503">
        <v>1961</v>
      </c>
      <c r="G96" s="563" t="s">
        <v>102</v>
      </c>
      <c r="H96" s="503" t="s">
        <v>123</v>
      </c>
      <c r="I96" s="695">
        <v>150</v>
      </c>
      <c r="J96" s="695">
        <v>20</v>
      </c>
      <c r="K96" s="777">
        <f t="shared" si="20"/>
        <v>1.7045454545454544</v>
      </c>
      <c r="L96" s="968">
        <v>0</v>
      </c>
      <c r="M96" s="503">
        <f t="shared" si="17"/>
        <v>15</v>
      </c>
      <c r="N96" s="504">
        <v>0.625</v>
      </c>
      <c r="O96" s="719">
        <f t="shared" si="18"/>
        <v>0.625</v>
      </c>
      <c r="P96" s="564"/>
      <c r="Q96" s="564">
        <f t="shared" si="19"/>
        <v>-0.625</v>
      </c>
      <c r="R96" s="965" t="s">
        <v>1520</v>
      </c>
      <c r="S96" s="487"/>
      <c r="T96" s="29"/>
      <c r="U96" s="29" t="str">
        <f t="shared" si="11"/>
        <v>DallamF1</v>
      </c>
      <c r="V96" s="29" t="str">
        <f t="shared" si="12"/>
        <v>1961F1</v>
      </c>
      <c r="W96" s="80">
        <v>100</v>
      </c>
      <c r="X96" s="32">
        <v>20</v>
      </c>
      <c r="Y96" s="467">
        <v>1</v>
      </c>
      <c r="Z96" s="80"/>
      <c r="AA96" s="29" t="str">
        <f t="shared" si="13"/>
        <v>F1100</v>
      </c>
      <c r="AB96" s="29" t="str">
        <f t="shared" si="14"/>
        <v>F120</v>
      </c>
      <c r="AC96" s="29" t="str">
        <f t="shared" si="15"/>
        <v>F11</v>
      </c>
      <c r="AD96" s="29" t="str">
        <f t="shared" si="16"/>
        <v>F115</v>
      </c>
      <c r="AE96" s="443"/>
      <c r="AF96" s="443"/>
      <c r="AG96" s="443"/>
      <c r="AH96" s="443"/>
    </row>
    <row r="97" spans="1:34" ht="16.5">
      <c r="A97" s="728">
        <f t="shared" si="21"/>
        <v>90</v>
      </c>
      <c r="B97" s="563">
        <v>10</v>
      </c>
      <c r="C97" s="694">
        <v>22437</v>
      </c>
      <c r="D97" s="694" t="s">
        <v>149</v>
      </c>
      <c r="E97" s="563">
        <v>5</v>
      </c>
      <c r="F97" s="503">
        <v>1961</v>
      </c>
      <c r="G97" s="563" t="s">
        <v>102</v>
      </c>
      <c r="H97" s="503" t="s">
        <v>123</v>
      </c>
      <c r="I97" s="695">
        <v>33</v>
      </c>
      <c r="J97" s="695">
        <v>12</v>
      </c>
      <c r="K97" s="777">
        <f t="shared" si="20"/>
        <v>0.22499999999999998</v>
      </c>
      <c r="L97" s="968">
        <v>0</v>
      </c>
      <c r="M97" s="503">
        <f t="shared" si="17"/>
        <v>15</v>
      </c>
      <c r="N97" s="504">
        <v>0.625</v>
      </c>
      <c r="O97" s="719">
        <f t="shared" si="18"/>
        <v>0.625</v>
      </c>
      <c r="P97" s="564"/>
      <c r="Q97" s="564">
        <f t="shared" si="19"/>
        <v>-0.625</v>
      </c>
      <c r="R97" s="965" t="s">
        <v>1520</v>
      </c>
      <c r="S97" s="487"/>
      <c r="T97" s="29"/>
      <c r="U97" s="29" t="str">
        <f t="shared" si="11"/>
        <v>DallamF1</v>
      </c>
      <c r="V97" s="29" t="str">
        <f t="shared" si="12"/>
        <v>1961F1</v>
      </c>
      <c r="W97" s="80">
        <v>20</v>
      </c>
      <c r="X97" s="32">
        <v>10</v>
      </c>
      <c r="Y97" s="467">
        <v>0.2</v>
      </c>
      <c r="Z97" s="80"/>
      <c r="AA97" s="29" t="str">
        <f t="shared" si="13"/>
        <v>F120</v>
      </c>
      <c r="AB97" s="29" t="str">
        <f t="shared" si="14"/>
        <v>F110</v>
      </c>
      <c r="AC97" s="29" t="str">
        <f t="shared" si="15"/>
        <v>F10.2</v>
      </c>
      <c r="AD97" s="29" t="str">
        <f t="shared" si="16"/>
        <v>F115</v>
      </c>
      <c r="AE97" s="443"/>
      <c r="AF97" s="443"/>
      <c r="AG97" s="443"/>
      <c r="AH97" s="443"/>
    </row>
    <row r="98" spans="1:34" ht="16.5">
      <c r="A98" s="728">
        <f t="shared" si="21"/>
        <v>91</v>
      </c>
      <c r="B98" s="563">
        <v>11</v>
      </c>
      <c r="C98" s="694">
        <v>22437</v>
      </c>
      <c r="D98" s="694" t="s">
        <v>149</v>
      </c>
      <c r="E98" s="563">
        <v>5</v>
      </c>
      <c r="F98" s="503">
        <v>1961</v>
      </c>
      <c r="G98" s="563" t="s">
        <v>102</v>
      </c>
      <c r="H98" s="503" t="s">
        <v>123</v>
      </c>
      <c r="I98" s="695">
        <v>333</v>
      </c>
      <c r="J98" s="695">
        <v>21.8</v>
      </c>
      <c r="K98" s="777">
        <f t="shared" si="20"/>
        <v>4.1246590909090912</v>
      </c>
      <c r="L98" s="968">
        <v>0</v>
      </c>
      <c r="M98" s="503">
        <f t="shared" si="17"/>
        <v>15</v>
      </c>
      <c r="N98" s="504">
        <v>0.625</v>
      </c>
      <c r="O98" s="719">
        <f t="shared" si="18"/>
        <v>0.625</v>
      </c>
      <c r="P98" s="564"/>
      <c r="Q98" s="564">
        <f t="shared" si="19"/>
        <v>-0.625</v>
      </c>
      <c r="R98" s="965" t="s">
        <v>1520</v>
      </c>
      <c r="S98" s="487"/>
      <c r="T98" s="29"/>
      <c r="U98" s="29" t="str">
        <f t="shared" si="11"/>
        <v>DallamF1</v>
      </c>
      <c r="V98" s="29" t="str">
        <f t="shared" si="12"/>
        <v>1961F1</v>
      </c>
      <c r="W98" s="80">
        <v>200</v>
      </c>
      <c r="X98" s="32">
        <v>20</v>
      </c>
      <c r="Y98" s="467">
        <v>2</v>
      </c>
      <c r="Z98" s="80"/>
      <c r="AA98" s="29" t="str">
        <f t="shared" si="13"/>
        <v>F1200</v>
      </c>
      <c r="AB98" s="29" t="str">
        <f t="shared" si="14"/>
        <v>F120</v>
      </c>
      <c r="AC98" s="29" t="str">
        <f t="shared" si="15"/>
        <v>F12</v>
      </c>
      <c r="AD98" s="29" t="str">
        <f t="shared" si="16"/>
        <v>F115</v>
      </c>
      <c r="AE98" s="443"/>
      <c r="AF98" s="443"/>
      <c r="AG98" s="443"/>
      <c r="AH98" s="443"/>
    </row>
    <row r="99" spans="1:34" ht="16.5">
      <c r="A99" s="728">
        <f t="shared" si="21"/>
        <v>92</v>
      </c>
      <c r="B99" s="563">
        <v>12</v>
      </c>
      <c r="C99" s="694">
        <v>22437</v>
      </c>
      <c r="D99" s="694" t="s">
        <v>149</v>
      </c>
      <c r="E99" s="563">
        <v>5</v>
      </c>
      <c r="F99" s="503">
        <v>1961</v>
      </c>
      <c r="G99" s="563" t="s">
        <v>99</v>
      </c>
      <c r="H99" s="503" t="s">
        <v>124</v>
      </c>
      <c r="I99" s="695">
        <v>150</v>
      </c>
      <c r="J99" s="695">
        <v>28.5</v>
      </c>
      <c r="K99" s="777">
        <f t="shared" si="20"/>
        <v>2.4289772727272725</v>
      </c>
      <c r="L99" s="968">
        <v>3000</v>
      </c>
      <c r="M99" s="503">
        <f t="shared" si="17"/>
        <v>17</v>
      </c>
      <c r="N99" s="504">
        <v>0.71875</v>
      </c>
      <c r="O99" s="719">
        <f t="shared" si="18"/>
        <v>0.71875</v>
      </c>
      <c r="P99" s="564"/>
      <c r="Q99" s="564">
        <f t="shared" si="19"/>
        <v>-0.71875</v>
      </c>
      <c r="R99" s="965" t="s">
        <v>1522</v>
      </c>
      <c r="S99" s="487"/>
      <c r="T99" s="29"/>
      <c r="U99" s="29" t="str">
        <f t="shared" si="11"/>
        <v>CimarronF2</v>
      </c>
      <c r="V99" s="29" t="str">
        <f t="shared" si="12"/>
        <v>1961F2</v>
      </c>
      <c r="W99" s="80">
        <v>100</v>
      </c>
      <c r="X99" s="32">
        <v>20</v>
      </c>
      <c r="Y99" s="467">
        <v>2</v>
      </c>
      <c r="Z99" s="80"/>
      <c r="AA99" s="29" t="str">
        <f t="shared" si="13"/>
        <v>F2100</v>
      </c>
      <c r="AB99" s="29" t="str">
        <f t="shared" si="14"/>
        <v>F220</v>
      </c>
      <c r="AC99" s="29" t="str">
        <f t="shared" si="15"/>
        <v>F22</v>
      </c>
      <c r="AD99" s="29" t="str">
        <f t="shared" si="16"/>
        <v>F217</v>
      </c>
      <c r="AE99" s="443"/>
      <c r="AF99" s="443"/>
      <c r="AG99" s="443"/>
      <c r="AH99" s="443"/>
    </row>
    <row r="100" spans="1:34" ht="16.5">
      <c r="A100" s="728">
        <f t="shared" si="21"/>
        <v>93</v>
      </c>
      <c r="B100" s="563">
        <v>13</v>
      </c>
      <c r="C100" s="694">
        <v>22439</v>
      </c>
      <c r="D100" s="694" t="s">
        <v>149</v>
      </c>
      <c r="E100" s="563">
        <v>7</v>
      </c>
      <c r="F100" s="503">
        <v>1961</v>
      </c>
      <c r="G100" s="563" t="s">
        <v>110</v>
      </c>
      <c r="H100" s="503" t="s">
        <v>122</v>
      </c>
      <c r="I100" s="695">
        <v>33</v>
      </c>
      <c r="J100" s="695">
        <v>20</v>
      </c>
      <c r="K100" s="777">
        <f t="shared" si="20"/>
        <v>0.375</v>
      </c>
      <c r="L100" s="968">
        <v>0</v>
      </c>
      <c r="M100" s="503">
        <f t="shared" si="17"/>
        <v>0</v>
      </c>
      <c r="N100" s="504">
        <v>2.0833333333333332E-2</v>
      </c>
      <c r="O100" s="719">
        <f t="shared" si="18"/>
        <v>2.0833333333333332E-2</v>
      </c>
      <c r="P100" s="564"/>
      <c r="Q100" s="564">
        <f t="shared" si="19"/>
        <v>-2.0833333333333332E-2</v>
      </c>
      <c r="R100" s="965" t="s">
        <v>1520</v>
      </c>
      <c r="S100" s="487"/>
      <c r="T100" s="29"/>
      <c r="U100" s="29" t="str">
        <f t="shared" si="11"/>
        <v>RobertsF0</v>
      </c>
      <c r="V100" s="29" t="str">
        <f t="shared" si="12"/>
        <v>1961F0</v>
      </c>
      <c r="W100" s="80">
        <v>20</v>
      </c>
      <c r="X100" s="32">
        <v>20</v>
      </c>
      <c r="Y100" s="467">
        <v>0.2</v>
      </c>
      <c r="Z100" s="80"/>
      <c r="AA100" s="29" t="str">
        <f t="shared" si="13"/>
        <v>F020</v>
      </c>
      <c r="AB100" s="29" t="str">
        <f t="shared" si="14"/>
        <v>F020</v>
      </c>
      <c r="AC100" s="29" t="str">
        <f t="shared" si="15"/>
        <v>F00.2</v>
      </c>
      <c r="AD100" s="29" t="str">
        <f t="shared" si="16"/>
        <v>F00</v>
      </c>
      <c r="AE100" s="443"/>
      <c r="AF100" s="443"/>
      <c r="AG100" s="443"/>
      <c r="AH100" s="443"/>
    </row>
    <row r="101" spans="1:34" ht="16.5">
      <c r="A101" s="728">
        <f t="shared" si="21"/>
        <v>94</v>
      </c>
      <c r="B101" s="563">
        <v>14</v>
      </c>
      <c r="C101" s="694">
        <v>22439</v>
      </c>
      <c r="D101" s="694" t="s">
        <v>149</v>
      </c>
      <c r="E101" s="563">
        <v>7</v>
      </c>
      <c r="F101" s="503">
        <v>1961</v>
      </c>
      <c r="G101" s="563" t="s">
        <v>100</v>
      </c>
      <c r="H101" s="503" t="s">
        <v>122</v>
      </c>
      <c r="I101" s="695">
        <v>10</v>
      </c>
      <c r="J101" s="695">
        <v>0.1</v>
      </c>
      <c r="K101" s="777">
        <f t="shared" si="20"/>
        <v>5.6818181818181826E-4</v>
      </c>
      <c r="L101" s="968">
        <v>0</v>
      </c>
      <c r="M101" s="503">
        <f t="shared" si="17"/>
        <v>20</v>
      </c>
      <c r="N101" s="504">
        <v>0.83333333333333337</v>
      </c>
      <c r="O101" s="719">
        <f t="shared" si="18"/>
        <v>0.83333333333333337</v>
      </c>
      <c r="P101" s="564"/>
      <c r="Q101" s="564">
        <f t="shared" si="19"/>
        <v>-0.83333333333333337</v>
      </c>
      <c r="R101" s="965" t="s">
        <v>1520</v>
      </c>
      <c r="S101" s="487"/>
      <c r="T101" s="29"/>
      <c r="U101" s="29" t="str">
        <f t="shared" si="11"/>
        <v>TexasF0</v>
      </c>
      <c r="V101" s="29" t="str">
        <f t="shared" si="12"/>
        <v>1961F0</v>
      </c>
      <c r="W101" s="80">
        <v>10</v>
      </c>
      <c r="X101" s="32">
        <v>0.1</v>
      </c>
      <c r="Y101" s="467">
        <v>5.0000000000000001E-4</v>
      </c>
      <c r="Z101" s="80"/>
      <c r="AA101" s="29" t="str">
        <f t="shared" si="13"/>
        <v>F010</v>
      </c>
      <c r="AB101" s="29" t="str">
        <f t="shared" si="14"/>
        <v>F00.1</v>
      </c>
      <c r="AC101" s="29" t="str">
        <f t="shared" si="15"/>
        <v>F00.0005</v>
      </c>
      <c r="AD101" s="29" t="str">
        <f t="shared" si="16"/>
        <v>F020</v>
      </c>
      <c r="AE101" s="443"/>
      <c r="AF101" s="443"/>
      <c r="AG101" s="443"/>
      <c r="AH101" s="443"/>
    </row>
    <row r="102" spans="1:34" ht="16.5">
      <c r="A102" s="728">
        <f t="shared" si="21"/>
        <v>95</v>
      </c>
      <c r="B102" s="563">
        <v>15</v>
      </c>
      <c r="C102" s="694">
        <v>22476</v>
      </c>
      <c r="D102" s="694" t="s">
        <v>150</v>
      </c>
      <c r="E102" s="563">
        <v>14</v>
      </c>
      <c r="F102" s="503">
        <v>1961</v>
      </c>
      <c r="G102" s="563" t="s">
        <v>120</v>
      </c>
      <c r="H102" s="503" t="s">
        <v>123</v>
      </c>
      <c r="I102" s="695">
        <v>33</v>
      </c>
      <c r="J102" s="695">
        <v>0.5</v>
      </c>
      <c r="K102" s="777">
        <f t="shared" si="20"/>
        <v>9.3749999999999997E-3</v>
      </c>
      <c r="L102" s="968">
        <v>0</v>
      </c>
      <c r="M102" s="503">
        <f t="shared" si="17"/>
        <v>20</v>
      </c>
      <c r="N102" s="504">
        <v>0.83333333333333337</v>
      </c>
      <c r="O102" s="719">
        <f t="shared" si="18"/>
        <v>0.83333333333333337</v>
      </c>
      <c r="P102" s="564"/>
      <c r="Q102" s="564">
        <f t="shared" si="19"/>
        <v>-0.83333333333333337</v>
      </c>
      <c r="R102" s="965" t="s">
        <v>1520</v>
      </c>
      <c r="S102" s="487"/>
      <c r="T102" s="29"/>
      <c r="U102" s="29" t="str">
        <f t="shared" si="11"/>
        <v>DonleyF1</v>
      </c>
      <c r="V102" s="29" t="str">
        <f t="shared" si="12"/>
        <v>1961F1</v>
      </c>
      <c r="W102" s="80">
        <v>20</v>
      </c>
      <c r="X102" s="32">
        <v>0.5</v>
      </c>
      <c r="Y102" s="467">
        <v>5.0000000000000001E-3</v>
      </c>
      <c r="Z102" s="80"/>
      <c r="AA102" s="29" t="str">
        <f t="shared" si="13"/>
        <v>F120</v>
      </c>
      <c r="AB102" s="29" t="str">
        <f t="shared" si="14"/>
        <v>F10.5</v>
      </c>
      <c r="AC102" s="29" t="str">
        <f t="shared" si="15"/>
        <v>F10.005</v>
      </c>
      <c r="AD102" s="29" t="str">
        <f t="shared" si="16"/>
        <v>F120</v>
      </c>
      <c r="AE102" s="443"/>
      <c r="AF102" s="443"/>
      <c r="AG102" s="443"/>
      <c r="AH102" s="443"/>
    </row>
    <row r="103" spans="1:34" ht="16.5">
      <c r="A103" s="728">
        <f t="shared" si="21"/>
        <v>96</v>
      </c>
      <c r="B103" s="563">
        <v>1</v>
      </c>
      <c r="C103" s="694">
        <v>22783</v>
      </c>
      <c r="D103" s="694" t="s">
        <v>148</v>
      </c>
      <c r="E103" s="563">
        <v>17</v>
      </c>
      <c r="F103" s="503">
        <v>1962</v>
      </c>
      <c r="G103" s="563" t="s">
        <v>99</v>
      </c>
      <c r="H103" s="503" t="s">
        <v>122</v>
      </c>
      <c r="I103" s="695">
        <v>10</v>
      </c>
      <c r="J103" s="695">
        <v>0.1</v>
      </c>
      <c r="K103" s="777">
        <f t="shared" si="20"/>
        <v>5.6818181818181826E-4</v>
      </c>
      <c r="L103" s="968">
        <v>0</v>
      </c>
      <c r="M103" s="503">
        <f t="shared" si="17"/>
        <v>14</v>
      </c>
      <c r="N103" s="504">
        <v>0.59861111111111109</v>
      </c>
      <c r="O103" s="719">
        <f t="shared" si="18"/>
        <v>0.59861111111111109</v>
      </c>
      <c r="P103" s="564"/>
      <c r="Q103" s="564">
        <f t="shared" si="19"/>
        <v>-0.59861111111111109</v>
      </c>
      <c r="R103" s="965" t="s">
        <v>1520</v>
      </c>
      <c r="S103" s="487"/>
      <c r="T103" s="29"/>
      <c r="U103" s="29" t="str">
        <f t="shared" si="11"/>
        <v>CimarronF0</v>
      </c>
      <c r="V103" s="29" t="str">
        <f t="shared" si="12"/>
        <v>1962F0</v>
      </c>
      <c r="W103" s="80">
        <v>10</v>
      </c>
      <c r="X103" s="32">
        <v>0.1</v>
      </c>
      <c r="Y103" s="467">
        <v>5.0000000000000001E-4</v>
      </c>
      <c r="Z103" s="80"/>
      <c r="AA103" s="29" t="str">
        <f t="shared" si="13"/>
        <v>F010</v>
      </c>
      <c r="AB103" s="29" t="str">
        <f t="shared" si="14"/>
        <v>F00.1</v>
      </c>
      <c r="AC103" s="29" t="str">
        <f t="shared" si="15"/>
        <v>F00.0005</v>
      </c>
      <c r="AD103" s="29" t="str">
        <f t="shared" si="16"/>
        <v>F014</v>
      </c>
      <c r="AE103" s="443"/>
      <c r="AF103" s="443"/>
      <c r="AG103" s="443"/>
      <c r="AH103" s="443"/>
    </row>
    <row r="104" spans="1:34" ht="16.5">
      <c r="A104" s="728">
        <f t="shared" si="21"/>
        <v>97</v>
      </c>
      <c r="B104" s="563">
        <v>2</v>
      </c>
      <c r="C104" s="694">
        <v>22793</v>
      </c>
      <c r="D104" s="694" t="s">
        <v>148</v>
      </c>
      <c r="E104" s="563">
        <v>27</v>
      </c>
      <c r="F104" s="503">
        <v>1962</v>
      </c>
      <c r="G104" s="563" t="s">
        <v>104</v>
      </c>
      <c r="H104" s="503" t="s">
        <v>123</v>
      </c>
      <c r="I104" s="695">
        <v>50</v>
      </c>
      <c r="J104" s="695">
        <v>4.5</v>
      </c>
      <c r="K104" s="777">
        <f t="shared" si="20"/>
        <v>0.12784090909090909</v>
      </c>
      <c r="L104" s="968">
        <v>0</v>
      </c>
      <c r="M104" s="503">
        <f t="shared" si="17"/>
        <v>16</v>
      </c>
      <c r="N104" s="504">
        <v>0.6875</v>
      </c>
      <c r="O104" s="719">
        <f t="shared" si="18"/>
        <v>0.6875</v>
      </c>
      <c r="P104" s="564"/>
      <c r="Q104" s="564">
        <f t="shared" si="19"/>
        <v>-0.6875</v>
      </c>
      <c r="R104" s="965" t="s">
        <v>1520</v>
      </c>
      <c r="S104" s="487" t="s">
        <v>1156</v>
      </c>
      <c r="T104" s="29"/>
      <c r="U104" s="29" t="str">
        <f t="shared" si="11"/>
        <v>HansfordF1</v>
      </c>
      <c r="V104" s="29" t="str">
        <f t="shared" si="12"/>
        <v>1962F1</v>
      </c>
      <c r="W104" s="80">
        <v>50</v>
      </c>
      <c r="X104" s="32">
        <v>2</v>
      </c>
      <c r="Y104" s="467">
        <v>0.1</v>
      </c>
      <c r="Z104" s="80"/>
      <c r="AA104" s="29" t="str">
        <f t="shared" si="13"/>
        <v>F150</v>
      </c>
      <c r="AB104" s="29" t="str">
        <f t="shared" si="14"/>
        <v>F12</v>
      </c>
      <c r="AC104" s="29" t="str">
        <f t="shared" si="15"/>
        <v>F10.1</v>
      </c>
      <c r="AD104" s="29" t="str">
        <f t="shared" si="16"/>
        <v>F116</v>
      </c>
      <c r="AE104" s="443"/>
      <c r="AF104" s="443"/>
      <c r="AG104" s="443"/>
      <c r="AH104" s="443"/>
    </row>
    <row r="105" spans="1:34" ht="16.5">
      <c r="A105" s="728">
        <f t="shared" si="21"/>
        <v>98</v>
      </c>
      <c r="B105" s="563">
        <v>3</v>
      </c>
      <c r="C105" s="694">
        <v>22793</v>
      </c>
      <c r="D105" s="694" t="s">
        <v>148</v>
      </c>
      <c r="E105" s="563">
        <v>27</v>
      </c>
      <c r="F105" s="503">
        <v>1962</v>
      </c>
      <c r="G105" s="563" t="s">
        <v>106</v>
      </c>
      <c r="H105" s="503" t="s">
        <v>123</v>
      </c>
      <c r="I105" s="695">
        <v>10</v>
      </c>
      <c r="J105" s="695">
        <v>0.1</v>
      </c>
      <c r="K105" s="777">
        <f t="shared" si="20"/>
        <v>5.6818181818181826E-4</v>
      </c>
      <c r="L105" s="968">
        <v>0</v>
      </c>
      <c r="M105" s="503">
        <f t="shared" si="17"/>
        <v>16</v>
      </c>
      <c r="N105" s="504">
        <v>0.6875</v>
      </c>
      <c r="O105" s="719">
        <f t="shared" si="18"/>
        <v>0.6875</v>
      </c>
      <c r="P105" s="564"/>
      <c r="Q105" s="564">
        <f t="shared" si="19"/>
        <v>-0.6875</v>
      </c>
      <c r="R105" s="965" t="s">
        <v>1520</v>
      </c>
      <c r="S105" s="487"/>
      <c r="T105" s="29"/>
      <c r="U105" s="29" t="str">
        <f t="shared" si="11"/>
        <v>LipscombF1</v>
      </c>
      <c r="V105" s="29" t="str">
        <f t="shared" si="12"/>
        <v>1962F1</v>
      </c>
      <c r="W105" s="80">
        <v>10</v>
      </c>
      <c r="X105" s="32">
        <v>0.1</v>
      </c>
      <c r="Y105" s="467">
        <v>5.0000000000000001E-4</v>
      </c>
      <c r="Z105" s="80"/>
      <c r="AA105" s="29" t="str">
        <f t="shared" si="13"/>
        <v>F110</v>
      </c>
      <c r="AB105" s="29" t="str">
        <f t="shared" si="14"/>
        <v>F10.1</v>
      </c>
      <c r="AC105" s="29" t="str">
        <f t="shared" si="15"/>
        <v>F10.0005</v>
      </c>
      <c r="AD105" s="29" t="str">
        <f t="shared" si="16"/>
        <v>F116</v>
      </c>
      <c r="AE105" s="443"/>
      <c r="AF105" s="443"/>
      <c r="AG105" s="443"/>
      <c r="AH105" s="443"/>
    </row>
    <row r="106" spans="1:34" ht="16.5">
      <c r="A106" s="728">
        <f t="shared" si="21"/>
        <v>99</v>
      </c>
      <c r="B106" s="563">
        <v>4</v>
      </c>
      <c r="C106" s="694">
        <v>22793</v>
      </c>
      <c r="D106" s="694" t="s">
        <v>148</v>
      </c>
      <c r="E106" s="563">
        <v>27</v>
      </c>
      <c r="F106" s="503">
        <v>1962</v>
      </c>
      <c r="G106" s="563" t="s">
        <v>106</v>
      </c>
      <c r="H106" s="503" t="s">
        <v>124</v>
      </c>
      <c r="I106" s="695">
        <v>10</v>
      </c>
      <c r="J106" s="695">
        <v>0.1</v>
      </c>
      <c r="K106" s="777">
        <f t="shared" si="20"/>
        <v>5.6818181818181826E-4</v>
      </c>
      <c r="L106" s="968">
        <v>0</v>
      </c>
      <c r="M106" s="503">
        <f t="shared" si="17"/>
        <v>16</v>
      </c>
      <c r="N106" s="504">
        <v>0.6875</v>
      </c>
      <c r="O106" s="719">
        <f t="shared" si="18"/>
        <v>0.6875</v>
      </c>
      <c r="P106" s="564"/>
      <c r="Q106" s="564">
        <f t="shared" si="19"/>
        <v>-0.6875</v>
      </c>
      <c r="R106" s="965" t="s">
        <v>1520</v>
      </c>
      <c r="S106" s="487"/>
      <c r="T106" s="29"/>
      <c r="U106" s="29" t="str">
        <f t="shared" si="11"/>
        <v>LipscombF2</v>
      </c>
      <c r="V106" s="29" t="str">
        <f t="shared" si="12"/>
        <v>1962F2</v>
      </c>
      <c r="W106" s="80">
        <v>10</v>
      </c>
      <c r="X106" s="32">
        <v>0.1</v>
      </c>
      <c r="Y106" s="467">
        <v>5.0000000000000001E-4</v>
      </c>
      <c r="Z106" s="80"/>
      <c r="AA106" s="29" t="str">
        <f t="shared" si="13"/>
        <v>F210</v>
      </c>
      <c r="AB106" s="29" t="str">
        <f t="shared" si="14"/>
        <v>F20.1</v>
      </c>
      <c r="AC106" s="29" t="str">
        <f t="shared" si="15"/>
        <v>F20.0005</v>
      </c>
      <c r="AD106" s="29" t="str">
        <f t="shared" si="16"/>
        <v>F216</v>
      </c>
      <c r="AE106" s="443"/>
      <c r="AF106" s="443"/>
      <c r="AG106" s="443"/>
      <c r="AH106" s="443"/>
    </row>
    <row r="107" spans="1:34" ht="16.5">
      <c r="A107" s="728">
        <f t="shared" si="21"/>
        <v>100</v>
      </c>
      <c r="B107" s="563">
        <v>5</v>
      </c>
      <c r="C107" s="694">
        <v>22793</v>
      </c>
      <c r="D107" s="694" t="s">
        <v>148</v>
      </c>
      <c r="E107" s="563">
        <v>27</v>
      </c>
      <c r="F107" s="503">
        <v>1962</v>
      </c>
      <c r="G107" s="563" t="s">
        <v>101</v>
      </c>
      <c r="H107" s="503" t="s">
        <v>122</v>
      </c>
      <c r="I107" s="695">
        <v>10</v>
      </c>
      <c r="J107" s="695">
        <v>0.1</v>
      </c>
      <c r="K107" s="777">
        <f t="shared" si="20"/>
        <v>5.6818181818181826E-4</v>
      </c>
      <c r="L107" s="968">
        <v>0</v>
      </c>
      <c r="M107" s="503">
        <f t="shared" si="17"/>
        <v>17</v>
      </c>
      <c r="N107" s="504">
        <v>0.72916666666666663</v>
      </c>
      <c r="O107" s="719">
        <f t="shared" si="18"/>
        <v>0.72916666666666663</v>
      </c>
      <c r="P107" s="564"/>
      <c r="Q107" s="564">
        <f t="shared" si="19"/>
        <v>-0.72916666666666663</v>
      </c>
      <c r="R107" s="965" t="s">
        <v>1520</v>
      </c>
      <c r="S107" s="487"/>
      <c r="T107" s="29"/>
      <c r="U107" s="29" t="str">
        <f t="shared" si="11"/>
        <v>BeaverF0</v>
      </c>
      <c r="V107" s="29" t="str">
        <f t="shared" si="12"/>
        <v>1962F0</v>
      </c>
      <c r="W107" s="80">
        <v>10</v>
      </c>
      <c r="X107" s="32">
        <v>0.1</v>
      </c>
      <c r="Y107" s="467">
        <v>5.0000000000000001E-4</v>
      </c>
      <c r="Z107" s="80"/>
      <c r="AA107" s="29" t="str">
        <f t="shared" si="13"/>
        <v>F010</v>
      </c>
      <c r="AB107" s="29" t="str">
        <f t="shared" si="14"/>
        <v>F00.1</v>
      </c>
      <c r="AC107" s="29" t="str">
        <f t="shared" si="15"/>
        <v>F00.0005</v>
      </c>
      <c r="AD107" s="29" t="str">
        <f t="shared" si="16"/>
        <v>F017</v>
      </c>
      <c r="AE107" s="443"/>
      <c r="AF107" s="443"/>
      <c r="AG107" s="443"/>
      <c r="AH107" s="443"/>
    </row>
    <row r="108" spans="1:34" ht="16.5">
      <c r="A108" s="728">
        <f t="shared" si="21"/>
        <v>101</v>
      </c>
      <c r="B108" s="563">
        <v>6</v>
      </c>
      <c r="C108" s="694">
        <v>22793</v>
      </c>
      <c r="D108" s="694" t="s">
        <v>148</v>
      </c>
      <c r="E108" s="563">
        <v>27</v>
      </c>
      <c r="F108" s="503">
        <v>1962</v>
      </c>
      <c r="G108" s="563" t="s">
        <v>105</v>
      </c>
      <c r="H108" s="503" t="s">
        <v>123</v>
      </c>
      <c r="I108" s="695">
        <v>50</v>
      </c>
      <c r="J108" s="695">
        <v>1.5</v>
      </c>
      <c r="K108" s="777">
        <f t="shared" si="20"/>
        <v>4.261363636363636E-2</v>
      </c>
      <c r="L108" s="968">
        <v>0</v>
      </c>
      <c r="M108" s="503">
        <f t="shared" si="17"/>
        <v>17</v>
      </c>
      <c r="N108" s="504">
        <v>0.72916666666666663</v>
      </c>
      <c r="O108" s="719">
        <f t="shared" si="18"/>
        <v>0.72916666666666663</v>
      </c>
      <c r="P108" s="564"/>
      <c r="Q108" s="564">
        <f t="shared" si="19"/>
        <v>-0.72916666666666663</v>
      </c>
      <c r="R108" s="965" t="s">
        <v>1533</v>
      </c>
      <c r="S108" s="487"/>
      <c r="T108" s="29"/>
      <c r="U108" s="29" t="str">
        <f t="shared" si="11"/>
        <v>OchiltreeF1</v>
      </c>
      <c r="V108" s="29" t="str">
        <f t="shared" si="12"/>
        <v>1962F1</v>
      </c>
      <c r="W108" s="80">
        <v>50</v>
      </c>
      <c r="X108" s="32">
        <v>1</v>
      </c>
      <c r="Y108" s="467">
        <v>0.02</v>
      </c>
      <c r="Z108" s="80"/>
      <c r="AA108" s="29" t="str">
        <f t="shared" si="13"/>
        <v>F150</v>
      </c>
      <c r="AB108" s="29" t="str">
        <f t="shared" si="14"/>
        <v>F11</v>
      </c>
      <c r="AC108" s="29" t="str">
        <f t="shared" si="15"/>
        <v>F10.02</v>
      </c>
      <c r="AD108" s="29" t="str">
        <f t="shared" si="16"/>
        <v>F117</v>
      </c>
      <c r="AE108" s="443"/>
      <c r="AF108" s="443"/>
      <c r="AG108" s="443"/>
      <c r="AH108" s="443"/>
    </row>
    <row r="109" spans="1:34" ht="16.5">
      <c r="A109" s="728">
        <f t="shared" si="21"/>
        <v>102</v>
      </c>
      <c r="B109" s="563">
        <v>7</v>
      </c>
      <c r="C109" s="694">
        <v>22793</v>
      </c>
      <c r="D109" s="694" t="s">
        <v>148</v>
      </c>
      <c r="E109" s="563">
        <v>27</v>
      </c>
      <c r="F109" s="503">
        <v>1962</v>
      </c>
      <c r="G109" s="563" t="s">
        <v>105</v>
      </c>
      <c r="H109" s="503" t="s">
        <v>124</v>
      </c>
      <c r="I109" s="695">
        <v>83</v>
      </c>
      <c r="J109" s="695">
        <v>1</v>
      </c>
      <c r="K109" s="777">
        <f t="shared" si="20"/>
        <v>4.7159090909090907E-2</v>
      </c>
      <c r="L109" s="968">
        <v>0</v>
      </c>
      <c r="M109" s="503">
        <f t="shared" si="17"/>
        <v>17</v>
      </c>
      <c r="N109" s="504">
        <v>0.72916666666666663</v>
      </c>
      <c r="O109" s="719">
        <f t="shared" si="18"/>
        <v>0.72916666666666663</v>
      </c>
      <c r="P109" s="564"/>
      <c r="Q109" s="564">
        <f t="shared" si="19"/>
        <v>-0.72916666666666663</v>
      </c>
      <c r="R109" s="965" t="s">
        <v>1520</v>
      </c>
      <c r="S109" s="487"/>
      <c r="T109" s="29"/>
      <c r="U109" s="29" t="str">
        <f t="shared" si="11"/>
        <v>OchiltreeF2</v>
      </c>
      <c r="V109" s="29" t="str">
        <f t="shared" si="12"/>
        <v>1962F2</v>
      </c>
      <c r="W109" s="80">
        <v>50</v>
      </c>
      <c r="X109" s="32">
        <v>1</v>
      </c>
      <c r="Y109" s="467">
        <v>0.02</v>
      </c>
      <c r="Z109" s="80"/>
      <c r="AA109" s="29" t="str">
        <f t="shared" si="13"/>
        <v>F250</v>
      </c>
      <c r="AB109" s="29" t="str">
        <f t="shared" si="14"/>
        <v>F21</v>
      </c>
      <c r="AC109" s="29" t="str">
        <f t="shared" si="15"/>
        <v>F20.02</v>
      </c>
      <c r="AD109" s="29" t="str">
        <f t="shared" si="16"/>
        <v>F217</v>
      </c>
      <c r="AE109" s="443"/>
      <c r="AF109" s="443"/>
      <c r="AG109" s="443"/>
      <c r="AH109" s="443"/>
    </row>
    <row r="110" spans="1:34" ht="16.5">
      <c r="A110" s="728">
        <f t="shared" si="21"/>
        <v>103</v>
      </c>
      <c r="B110" s="563">
        <v>8</v>
      </c>
      <c r="C110" s="694">
        <v>22793</v>
      </c>
      <c r="D110" s="694" t="s">
        <v>148</v>
      </c>
      <c r="E110" s="563">
        <v>27</v>
      </c>
      <c r="F110" s="503">
        <v>1962</v>
      </c>
      <c r="G110" s="563" t="s">
        <v>105</v>
      </c>
      <c r="H110" s="503" t="s">
        <v>125</v>
      </c>
      <c r="I110" s="695">
        <v>200</v>
      </c>
      <c r="J110" s="695">
        <v>4.5</v>
      </c>
      <c r="K110" s="777">
        <f t="shared" si="20"/>
        <v>0.51136363636363635</v>
      </c>
      <c r="L110" s="968">
        <v>2500000</v>
      </c>
      <c r="M110" s="503">
        <f t="shared" si="17"/>
        <v>17</v>
      </c>
      <c r="N110" s="504">
        <v>0.72916666666666663</v>
      </c>
      <c r="O110" s="719">
        <f t="shared" si="18"/>
        <v>0.72916666666666663</v>
      </c>
      <c r="P110" s="564"/>
      <c r="Q110" s="564">
        <f t="shared" si="19"/>
        <v>-0.72916666666666663</v>
      </c>
      <c r="R110" s="965" t="s">
        <v>1520</v>
      </c>
      <c r="S110" s="487"/>
      <c r="T110" s="29"/>
      <c r="U110" s="29" t="str">
        <f t="shared" si="11"/>
        <v>OchiltreeF3</v>
      </c>
      <c r="V110" s="29" t="str">
        <f t="shared" si="12"/>
        <v>1962F3</v>
      </c>
      <c r="W110" s="80">
        <v>200</v>
      </c>
      <c r="X110" s="32">
        <v>2</v>
      </c>
      <c r="Y110" s="467">
        <v>0.5</v>
      </c>
      <c r="Z110" s="80"/>
      <c r="AA110" s="29" t="str">
        <f t="shared" si="13"/>
        <v>F3200</v>
      </c>
      <c r="AB110" s="29" t="str">
        <f t="shared" si="14"/>
        <v>F32</v>
      </c>
      <c r="AC110" s="29" t="str">
        <f t="shared" si="15"/>
        <v>F30.5</v>
      </c>
      <c r="AD110" s="29" t="str">
        <f t="shared" si="16"/>
        <v>F317</v>
      </c>
      <c r="AE110" s="443"/>
      <c r="AF110" s="443"/>
      <c r="AG110" s="443"/>
      <c r="AH110" s="443"/>
    </row>
    <row r="111" spans="1:34" ht="16.5">
      <c r="A111" s="728">
        <f t="shared" si="21"/>
        <v>104</v>
      </c>
      <c r="B111" s="563">
        <v>9</v>
      </c>
      <c r="C111" s="694">
        <v>22800</v>
      </c>
      <c r="D111" s="694" t="s">
        <v>149</v>
      </c>
      <c r="E111" s="563">
        <v>3</v>
      </c>
      <c r="F111" s="503">
        <v>1962</v>
      </c>
      <c r="G111" s="563" t="s">
        <v>105</v>
      </c>
      <c r="H111" s="503" t="s">
        <v>123</v>
      </c>
      <c r="I111" s="695">
        <v>10</v>
      </c>
      <c r="J111" s="695">
        <v>0.1</v>
      </c>
      <c r="K111" s="777">
        <f t="shared" si="20"/>
        <v>5.6818181818181826E-4</v>
      </c>
      <c r="L111" s="968">
        <v>0</v>
      </c>
      <c r="M111" s="503">
        <f t="shared" si="17"/>
        <v>16</v>
      </c>
      <c r="N111" s="504">
        <v>0.66666666666666663</v>
      </c>
      <c r="O111" s="719">
        <f t="shared" si="18"/>
        <v>0.66666666666666663</v>
      </c>
      <c r="P111" s="564"/>
      <c r="Q111" s="564">
        <f t="shared" si="19"/>
        <v>-0.66666666666666663</v>
      </c>
      <c r="R111" s="965" t="s">
        <v>1520</v>
      </c>
      <c r="S111" s="487"/>
      <c r="T111" s="29"/>
      <c r="U111" s="29" t="str">
        <f t="shared" si="11"/>
        <v>OchiltreeF1</v>
      </c>
      <c r="V111" s="29" t="str">
        <f t="shared" si="12"/>
        <v>1962F1</v>
      </c>
      <c r="W111" s="80">
        <v>10</v>
      </c>
      <c r="X111" s="32">
        <v>0.1</v>
      </c>
      <c r="Y111" s="467">
        <v>5.0000000000000001E-4</v>
      </c>
      <c r="Z111" s="80"/>
      <c r="AA111" s="29" t="str">
        <f t="shared" si="13"/>
        <v>F110</v>
      </c>
      <c r="AB111" s="29" t="str">
        <f t="shared" si="14"/>
        <v>F10.1</v>
      </c>
      <c r="AC111" s="29" t="str">
        <f t="shared" si="15"/>
        <v>F10.0005</v>
      </c>
      <c r="AD111" s="29" t="str">
        <f t="shared" si="16"/>
        <v>F116</v>
      </c>
      <c r="AE111" s="443"/>
      <c r="AF111" s="443"/>
      <c r="AG111" s="443"/>
      <c r="AH111" s="443"/>
    </row>
    <row r="112" spans="1:34" ht="38.25">
      <c r="A112" s="728">
        <f t="shared" si="21"/>
        <v>105</v>
      </c>
      <c r="B112" s="563">
        <v>10</v>
      </c>
      <c r="C112" s="694">
        <v>22803</v>
      </c>
      <c r="D112" s="694" t="s">
        <v>149</v>
      </c>
      <c r="E112" s="563">
        <v>6</v>
      </c>
      <c r="F112" s="503">
        <v>1962</v>
      </c>
      <c r="G112" s="563" t="s">
        <v>104</v>
      </c>
      <c r="H112" s="503" t="s">
        <v>122</v>
      </c>
      <c r="I112" s="695">
        <v>27</v>
      </c>
      <c r="J112" s="695">
        <v>1</v>
      </c>
      <c r="K112" s="777">
        <f t="shared" si="20"/>
        <v>1.5340909090909091E-2</v>
      </c>
      <c r="L112" s="968">
        <v>0</v>
      </c>
      <c r="M112" s="503">
        <f t="shared" si="17"/>
        <v>17</v>
      </c>
      <c r="N112" s="504">
        <v>0.70833333333333337</v>
      </c>
      <c r="O112" s="719">
        <f t="shared" si="18"/>
        <v>0.70833333333333337</v>
      </c>
      <c r="P112" s="564">
        <v>0.73958333333333337</v>
      </c>
      <c r="Q112" s="564">
        <f t="shared" si="19"/>
        <v>3.125E-2</v>
      </c>
      <c r="R112" s="965" t="s">
        <v>1520</v>
      </c>
      <c r="S112" s="487" t="s">
        <v>1066</v>
      </c>
      <c r="T112" s="29"/>
      <c r="U112" s="29" t="str">
        <f t="shared" si="11"/>
        <v>HansfordF0</v>
      </c>
      <c r="V112" s="29" t="str">
        <f t="shared" si="12"/>
        <v>1962F0</v>
      </c>
      <c r="W112" s="80">
        <v>20</v>
      </c>
      <c r="X112" s="32">
        <v>1</v>
      </c>
      <c r="Y112" s="467">
        <v>0.01</v>
      </c>
      <c r="Z112" s="80"/>
      <c r="AA112" s="29" t="str">
        <f t="shared" si="13"/>
        <v>F020</v>
      </c>
      <c r="AB112" s="29" t="str">
        <f t="shared" si="14"/>
        <v>F01</v>
      </c>
      <c r="AC112" s="29" t="str">
        <f t="shared" si="15"/>
        <v>F00.01</v>
      </c>
      <c r="AD112" s="29" t="str">
        <f t="shared" si="16"/>
        <v>F017</v>
      </c>
      <c r="AE112" s="443"/>
      <c r="AF112" s="443"/>
      <c r="AG112" s="443"/>
      <c r="AH112" s="443"/>
    </row>
    <row r="113" spans="1:34" ht="16.5">
      <c r="A113" s="728">
        <f t="shared" si="21"/>
        <v>106</v>
      </c>
      <c r="B113" s="563">
        <v>11</v>
      </c>
      <c r="C113" s="694">
        <v>22803</v>
      </c>
      <c r="D113" s="694" t="s">
        <v>149</v>
      </c>
      <c r="E113" s="563">
        <v>6</v>
      </c>
      <c r="F113" s="503">
        <v>1962</v>
      </c>
      <c r="G113" s="563" t="s">
        <v>104</v>
      </c>
      <c r="H113" s="503" t="s">
        <v>123</v>
      </c>
      <c r="I113" s="695">
        <v>1320</v>
      </c>
      <c r="J113" s="695">
        <v>2.5</v>
      </c>
      <c r="K113" s="777">
        <f t="shared" si="20"/>
        <v>1.875</v>
      </c>
      <c r="L113" s="968">
        <v>25000</v>
      </c>
      <c r="M113" s="503">
        <f t="shared" si="17"/>
        <v>17</v>
      </c>
      <c r="N113" s="504">
        <v>0.70833333333333337</v>
      </c>
      <c r="O113" s="719">
        <f t="shared" si="18"/>
        <v>0.70833333333333337</v>
      </c>
      <c r="P113" s="564">
        <v>0.73958333333333337</v>
      </c>
      <c r="Q113" s="564">
        <f t="shared" si="19"/>
        <v>3.125E-2</v>
      </c>
      <c r="R113" s="965" t="s">
        <v>1520</v>
      </c>
      <c r="S113" s="487" t="s">
        <v>1065</v>
      </c>
      <c r="T113" s="29"/>
      <c r="U113" s="29" t="str">
        <f t="shared" si="11"/>
        <v>HansfordF1</v>
      </c>
      <c r="V113" s="29" t="str">
        <f t="shared" si="12"/>
        <v>1962F1</v>
      </c>
      <c r="W113" s="80">
        <v>1000</v>
      </c>
      <c r="X113" s="32">
        <v>2</v>
      </c>
      <c r="Y113" s="467">
        <v>1</v>
      </c>
      <c r="Z113" s="80"/>
      <c r="AA113" s="29" t="str">
        <f t="shared" si="13"/>
        <v>F11000</v>
      </c>
      <c r="AB113" s="29" t="str">
        <f t="shared" si="14"/>
        <v>F12</v>
      </c>
      <c r="AC113" s="29" t="str">
        <f t="shared" si="15"/>
        <v>F11</v>
      </c>
      <c r="AD113" s="29" t="str">
        <f t="shared" si="16"/>
        <v>F117</v>
      </c>
      <c r="AE113" s="443"/>
      <c r="AF113" s="443"/>
      <c r="AG113" s="443"/>
      <c r="AH113" s="443"/>
    </row>
    <row r="114" spans="1:34" ht="25.5">
      <c r="A114" s="728">
        <f t="shared" si="21"/>
        <v>107</v>
      </c>
      <c r="B114" s="563">
        <v>12</v>
      </c>
      <c r="C114" s="694">
        <v>22803</v>
      </c>
      <c r="D114" s="694" t="s">
        <v>149</v>
      </c>
      <c r="E114" s="563">
        <v>6</v>
      </c>
      <c r="F114" s="503">
        <v>1962</v>
      </c>
      <c r="G114" s="563" t="s">
        <v>100</v>
      </c>
      <c r="H114" s="503" t="s">
        <v>122</v>
      </c>
      <c r="I114" s="695">
        <v>10</v>
      </c>
      <c r="J114" s="695">
        <v>0.1</v>
      </c>
      <c r="K114" s="777">
        <f t="shared" si="20"/>
        <v>5.6818181818181826E-4</v>
      </c>
      <c r="L114" s="968">
        <v>0</v>
      </c>
      <c r="M114" s="503">
        <f t="shared" si="17"/>
        <v>18</v>
      </c>
      <c r="N114" s="504">
        <v>0.75</v>
      </c>
      <c r="O114" s="719">
        <f t="shared" si="18"/>
        <v>0.75</v>
      </c>
      <c r="P114" s="564"/>
      <c r="Q114" s="564">
        <f t="shared" si="19"/>
        <v>-0.75</v>
      </c>
      <c r="R114" s="965" t="s">
        <v>1520</v>
      </c>
      <c r="S114" s="487" t="s">
        <v>1064</v>
      </c>
      <c r="T114" s="29"/>
      <c r="U114" s="29" t="str">
        <f t="shared" si="11"/>
        <v>TexasF0</v>
      </c>
      <c r="V114" s="29" t="str">
        <f t="shared" si="12"/>
        <v>1962F0</v>
      </c>
      <c r="W114" s="80">
        <v>10</v>
      </c>
      <c r="X114" s="32">
        <v>0.1</v>
      </c>
      <c r="Y114" s="467">
        <v>5.0000000000000001E-4</v>
      </c>
      <c r="Z114" s="80"/>
      <c r="AA114" s="29" t="str">
        <f t="shared" si="13"/>
        <v>F010</v>
      </c>
      <c r="AB114" s="29" t="str">
        <f t="shared" si="14"/>
        <v>F00.1</v>
      </c>
      <c r="AC114" s="29" t="str">
        <f t="shared" si="15"/>
        <v>F00.0005</v>
      </c>
      <c r="AD114" s="29" t="str">
        <f t="shared" si="16"/>
        <v>F018</v>
      </c>
      <c r="AE114" s="443"/>
      <c r="AF114" s="443"/>
      <c r="AG114" s="443"/>
      <c r="AH114" s="443"/>
    </row>
    <row r="115" spans="1:34" ht="16.5">
      <c r="A115" s="728">
        <f t="shared" si="21"/>
        <v>108</v>
      </c>
      <c r="B115" s="563">
        <v>13</v>
      </c>
      <c r="C115" s="694">
        <v>22803</v>
      </c>
      <c r="D115" s="694" t="s">
        <v>149</v>
      </c>
      <c r="E115" s="563">
        <v>6</v>
      </c>
      <c r="F115" s="503">
        <v>1962</v>
      </c>
      <c r="G115" s="563" t="s">
        <v>111</v>
      </c>
      <c r="H115" s="503" t="s">
        <v>122</v>
      </c>
      <c r="I115" s="695">
        <v>100</v>
      </c>
      <c r="J115" s="695">
        <v>2</v>
      </c>
      <c r="K115" s="777">
        <f t="shared" si="20"/>
        <v>0.11363636363636363</v>
      </c>
      <c r="L115" s="968">
        <v>0</v>
      </c>
      <c r="M115" s="503">
        <f t="shared" si="17"/>
        <v>23</v>
      </c>
      <c r="N115" s="504">
        <v>0.96527777777777779</v>
      </c>
      <c r="O115" s="719">
        <f t="shared" si="18"/>
        <v>0.96527777777777779</v>
      </c>
      <c r="P115" s="564">
        <v>0.97222222222222221</v>
      </c>
      <c r="Q115" s="564">
        <f t="shared" si="19"/>
        <v>6.9444444444444198E-3</v>
      </c>
      <c r="R115" s="965" t="s">
        <v>1520</v>
      </c>
      <c r="S115" s="487" t="s">
        <v>1067</v>
      </c>
      <c r="T115" s="29"/>
      <c r="U115" s="29" t="str">
        <f t="shared" si="11"/>
        <v>HemphillF0</v>
      </c>
      <c r="V115" s="29" t="str">
        <f t="shared" si="12"/>
        <v>1962F0</v>
      </c>
      <c r="W115" s="80">
        <v>100</v>
      </c>
      <c r="X115" s="32">
        <v>2</v>
      </c>
      <c r="Y115" s="467">
        <v>0.1</v>
      </c>
      <c r="Z115" s="80"/>
      <c r="AA115" s="29" t="str">
        <f t="shared" si="13"/>
        <v>F0100</v>
      </c>
      <c r="AB115" s="29" t="str">
        <f t="shared" si="14"/>
        <v>F02</v>
      </c>
      <c r="AC115" s="29" t="str">
        <f t="shared" si="15"/>
        <v>F00.1</v>
      </c>
      <c r="AD115" s="29" t="str">
        <f t="shared" si="16"/>
        <v>F023</v>
      </c>
      <c r="AE115" s="443"/>
      <c r="AF115" s="443"/>
      <c r="AG115" s="443"/>
      <c r="AH115" s="443"/>
    </row>
    <row r="116" spans="1:34" ht="16.5">
      <c r="A116" s="728">
        <f t="shared" si="21"/>
        <v>109</v>
      </c>
      <c r="B116" s="563">
        <v>14</v>
      </c>
      <c r="C116" s="694">
        <v>22805</v>
      </c>
      <c r="D116" s="694" t="s">
        <v>149</v>
      </c>
      <c r="E116" s="563">
        <v>8</v>
      </c>
      <c r="F116" s="503">
        <v>1962</v>
      </c>
      <c r="G116" s="563" t="s">
        <v>100</v>
      </c>
      <c r="H116" s="503" t="s">
        <v>123</v>
      </c>
      <c r="I116" s="695">
        <v>10</v>
      </c>
      <c r="J116" s="695">
        <v>0.1</v>
      </c>
      <c r="K116" s="777">
        <f t="shared" si="20"/>
        <v>5.6818181818181826E-4</v>
      </c>
      <c r="L116" s="968">
        <v>0</v>
      </c>
      <c r="M116" s="503">
        <f t="shared" si="17"/>
        <v>18</v>
      </c>
      <c r="N116" s="504">
        <v>0.77083333333333337</v>
      </c>
      <c r="O116" s="719">
        <f t="shared" si="18"/>
        <v>0.77083333333333337</v>
      </c>
      <c r="P116" s="564"/>
      <c r="Q116" s="564">
        <f t="shared" si="19"/>
        <v>-0.77083333333333337</v>
      </c>
      <c r="R116" s="965" t="s">
        <v>1520</v>
      </c>
      <c r="S116" s="487" t="s">
        <v>1069</v>
      </c>
      <c r="T116" s="29"/>
      <c r="U116" s="29" t="str">
        <f t="shared" si="11"/>
        <v>TexasF1</v>
      </c>
      <c r="V116" s="29" t="str">
        <f t="shared" si="12"/>
        <v>1962F1</v>
      </c>
      <c r="W116" s="80">
        <v>10</v>
      </c>
      <c r="X116" s="32">
        <v>0.1</v>
      </c>
      <c r="Y116" s="467">
        <v>5.0000000000000001E-4</v>
      </c>
      <c r="Z116" s="80"/>
      <c r="AA116" s="29" t="str">
        <f t="shared" si="13"/>
        <v>F110</v>
      </c>
      <c r="AB116" s="29" t="str">
        <f t="shared" si="14"/>
        <v>F10.1</v>
      </c>
      <c r="AC116" s="29" t="str">
        <f t="shared" si="15"/>
        <v>F10.0005</v>
      </c>
      <c r="AD116" s="29" t="str">
        <f t="shared" si="16"/>
        <v>F118</v>
      </c>
      <c r="AE116" s="443"/>
      <c r="AF116" s="443"/>
      <c r="AG116" s="443"/>
      <c r="AH116" s="443"/>
    </row>
    <row r="117" spans="1:34" ht="16.5">
      <c r="A117" s="728">
        <f t="shared" si="21"/>
        <v>110</v>
      </c>
      <c r="B117" s="563">
        <v>15</v>
      </c>
      <c r="C117" s="694">
        <v>22805</v>
      </c>
      <c r="D117" s="694" t="s">
        <v>149</v>
      </c>
      <c r="E117" s="563">
        <v>8</v>
      </c>
      <c r="F117" s="503">
        <v>1962</v>
      </c>
      <c r="G117" s="563" t="s">
        <v>101</v>
      </c>
      <c r="H117" s="503" t="s">
        <v>123</v>
      </c>
      <c r="I117" s="695">
        <v>10</v>
      </c>
      <c r="J117" s="695">
        <v>0.1</v>
      </c>
      <c r="K117" s="777">
        <f t="shared" si="20"/>
        <v>5.6818181818181826E-4</v>
      </c>
      <c r="L117" s="968">
        <v>0</v>
      </c>
      <c r="M117" s="503">
        <f t="shared" si="17"/>
        <v>20</v>
      </c>
      <c r="N117" s="504">
        <v>0.84027777777777779</v>
      </c>
      <c r="O117" s="719">
        <f t="shared" si="18"/>
        <v>0.84027777777777779</v>
      </c>
      <c r="P117" s="564"/>
      <c r="Q117" s="564">
        <f t="shared" si="19"/>
        <v>-0.84027777777777779</v>
      </c>
      <c r="R117" s="965" t="s">
        <v>1520</v>
      </c>
      <c r="S117" s="487" t="s">
        <v>1070</v>
      </c>
      <c r="T117" s="29"/>
      <c r="U117" s="29" t="str">
        <f t="shared" si="11"/>
        <v>BeaverF1</v>
      </c>
      <c r="V117" s="29" t="str">
        <f t="shared" si="12"/>
        <v>1962F1</v>
      </c>
      <c r="W117" s="80">
        <v>10</v>
      </c>
      <c r="X117" s="32">
        <v>0.1</v>
      </c>
      <c r="Y117" s="467">
        <v>5.0000000000000001E-4</v>
      </c>
      <c r="Z117" s="80"/>
      <c r="AA117" s="29" t="str">
        <f t="shared" si="13"/>
        <v>F110</v>
      </c>
      <c r="AB117" s="29" t="str">
        <f t="shared" si="14"/>
        <v>F10.1</v>
      </c>
      <c r="AC117" s="29" t="str">
        <f t="shared" si="15"/>
        <v>F10.0005</v>
      </c>
      <c r="AD117" s="29" t="str">
        <f t="shared" si="16"/>
        <v>F120</v>
      </c>
      <c r="AE117" s="443"/>
      <c r="AF117" s="443"/>
      <c r="AG117" s="443"/>
      <c r="AH117" s="443"/>
    </row>
    <row r="118" spans="1:34" ht="16.5">
      <c r="A118" s="728">
        <f t="shared" si="21"/>
        <v>111</v>
      </c>
      <c r="B118" s="563">
        <v>16</v>
      </c>
      <c r="C118" s="694">
        <v>22805</v>
      </c>
      <c r="D118" s="694" t="s">
        <v>149</v>
      </c>
      <c r="E118" s="563">
        <v>8</v>
      </c>
      <c r="F118" s="503">
        <v>1962</v>
      </c>
      <c r="G118" s="563" t="s">
        <v>101</v>
      </c>
      <c r="H118" s="503" t="s">
        <v>122</v>
      </c>
      <c r="I118" s="695">
        <v>10</v>
      </c>
      <c r="J118" s="695">
        <v>0.1</v>
      </c>
      <c r="K118" s="777">
        <f t="shared" si="20"/>
        <v>5.6818181818181826E-4</v>
      </c>
      <c r="L118" s="968">
        <v>0</v>
      </c>
      <c r="M118" s="503">
        <f t="shared" si="17"/>
        <v>20</v>
      </c>
      <c r="N118" s="504">
        <v>0.84375</v>
      </c>
      <c r="O118" s="719">
        <f t="shared" si="18"/>
        <v>0.84375</v>
      </c>
      <c r="P118" s="564"/>
      <c r="Q118" s="564">
        <f t="shared" si="19"/>
        <v>-0.84375</v>
      </c>
      <c r="R118" s="965" t="s">
        <v>1520</v>
      </c>
      <c r="S118" s="487" t="s">
        <v>1068</v>
      </c>
      <c r="T118" s="29"/>
      <c r="U118" s="29" t="str">
        <f t="shared" si="11"/>
        <v>BeaverF0</v>
      </c>
      <c r="V118" s="29" t="str">
        <f t="shared" si="12"/>
        <v>1962F0</v>
      </c>
      <c r="W118" s="80">
        <v>10</v>
      </c>
      <c r="X118" s="32">
        <v>0.1</v>
      </c>
      <c r="Y118" s="467">
        <v>5.0000000000000001E-4</v>
      </c>
      <c r="Z118" s="80"/>
      <c r="AA118" s="29" t="str">
        <f t="shared" si="13"/>
        <v>F010</v>
      </c>
      <c r="AB118" s="29" t="str">
        <f t="shared" si="14"/>
        <v>F00.1</v>
      </c>
      <c r="AC118" s="29" t="str">
        <f t="shared" si="15"/>
        <v>F00.0005</v>
      </c>
      <c r="AD118" s="29" t="str">
        <f t="shared" si="16"/>
        <v>F020</v>
      </c>
      <c r="AE118" s="443"/>
      <c r="AF118" s="443"/>
      <c r="AG118" s="443"/>
      <c r="AH118" s="443"/>
    </row>
    <row r="119" spans="1:34" ht="16.5">
      <c r="A119" s="728">
        <f t="shared" si="21"/>
        <v>112</v>
      </c>
      <c r="B119" s="563">
        <v>17</v>
      </c>
      <c r="C119" s="694">
        <v>22805</v>
      </c>
      <c r="D119" s="694" t="s">
        <v>149</v>
      </c>
      <c r="E119" s="563">
        <v>8</v>
      </c>
      <c r="F119" s="503">
        <v>1962</v>
      </c>
      <c r="G119" s="563" t="s">
        <v>101</v>
      </c>
      <c r="H119" s="503" t="s">
        <v>122</v>
      </c>
      <c r="I119" s="695">
        <v>10</v>
      </c>
      <c r="J119" s="695">
        <v>0.1</v>
      </c>
      <c r="K119" s="777">
        <f t="shared" si="20"/>
        <v>5.6818181818181826E-4</v>
      </c>
      <c r="L119" s="968">
        <v>0</v>
      </c>
      <c r="M119" s="503">
        <f t="shared" si="17"/>
        <v>20</v>
      </c>
      <c r="N119" s="504">
        <v>0.84375</v>
      </c>
      <c r="O119" s="719">
        <f t="shared" si="18"/>
        <v>0.84375</v>
      </c>
      <c r="P119" s="564"/>
      <c r="Q119" s="564">
        <f t="shared" si="19"/>
        <v>-0.84375</v>
      </c>
      <c r="R119" s="965" t="s">
        <v>1520</v>
      </c>
      <c r="S119" s="487" t="s">
        <v>1071</v>
      </c>
      <c r="T119" s="29"/>
      <c r="U119" s="29" t="str">
        <f t="shared" si="11"/>
        <v>BeaverF0</v>
      </c>
      <c r="V119" s="29" t="str">
        <f t="shared" si="12"/>
        <v>1962F0</v>
      </c>
      <c r="W119" s="80">
        <v>10</v>
      </c>
      <c r="X119" s="32">
        <v>0.1</v>
      </c>
      <c r="Y119" s="467">
        <v>5.0000000000000001E-4</v>
      </c>
      <c r="Z119" s="80"/>
      <c r="AA119" s="29" t="str">
        <f t="shared" si="13"/>
        <v>F010</v>
      </c>
      <c r="AB119" s="29" t="str">
        <f t="shared" si="14"/>
        <v>F00.1</v>
      </c>
      <c r="AC119" s="29" t="str">
        <f t="shared" si="15"/>
        <v>F00.0005</v>
      </c>
      <c r="AD119" s="29" t="str">
        <f t="shared" si="16"/>
        <v>F020</v>
      </c>
      <c r="AE119" s="443"/>
      <c r="AF119" s="443"/>
      <c r="AG119" s="443"/>
      <c r="AH119" s="443"/>
    </row>
    <row r="120" spans="1:34" ht="16.5">
      <c r="A120" s="728">
        <f t="shared" si="21"/>
        <v>113</v>
      </c>
      <c r="B120" s="563">
        <v>18</v>
      </c>
      <c r="C120" s="694">
        <v>22805</v>
      </c>
      <c r="D120" s="694" t="s">
        <v>149</v>
      </c>
      <c r="E120" s="563">
        <v>8</v>
      </c>
      <c r="F120" s="503">
        <v>1962</v>
      </c>
      <c r="G120" s="563" t="s">
        <v>101</v>
      </c>
      <c r="H120" s="503" t="s">
        <v>123</v>
      </c>
      <c r="I120" s="695">
        <v>10</v>
      </c>
      <c r="J120" s="695">
        <v>0.1</v>
      </c>
      <c r="K120" s="777">
        <f t="shared" si="20"/>
        <v>5.6818181818181826E-4</v>
      </c>
      <c r="L120" s="968">
        <v>0</v>
      </c>
      <c r="M120" s="503">
        <f t="shared" si="17"/>
        <v>20</v>
      </c>
      <c r="N120" s="504">
        <v>0.84375</v>
      </c>
      <c r="O120" s="719">
        <f t="shared" si="18"/>
        <v>0.84375</v>
      </c>
      <c r="P120" s="564"/>
      <c r="Q120" s="564">
        <f t="shared" si="19"/>
        <v>-0.84375</v>
      </c>
      <c r="R120" s="965" t="s">
        <v>1520</v>
      </c>
      <c r="S120" s="487" t="s">
        <v>50</v>
      </c>
      <c r="T120" s="29"/>
      <c r="U120" s="29" t="str">
        <f t="shared" si="11"/>
        <v>BeaverF1</v>
      </c>
      <c r="V120" s="29" t="str">
        <f t="shared" si="12"/>
        <v>1962F1</v>
      </c>
      <c r="W120" s="80">
        <v>10</v>
      </c>
      <c r="X120" s="32">
        <v>0.1</v>
      </c>
      <c r="Y120" s="467">
        <v>5.0000000000000001E-4</v>
      </c>
      <c r="Z120" s="80"/>
      <c r="AA120" s="29" t="str">
        <f t="shared" si="13"/>
        <v>F110</v>
      </c>
      <c r="AB120" s="29" t="str">
        <f t="shared" si="14"/>
        <v>F10.1</v>
      </c>
      <c r="AC120" s="29" t="str">
        <f t="shared" si="15"/>
        <v>F10.0005</v>
      </c>
      <c r="AD120" s="29" t="str">
        <f t="shared" si="16"/>
        <v>F120</v>
      </c>
      <c r="AE120" s="443"/>
      <c r="AF120" s="443"/>
      <c r="AG120" s="443"/>
      <c r="AH120" s="443"/>
    </row>
    <row r="121" spans="1:34" ht="16.5">
      <c r="A121" s="728">
        <f t="shared" si="21"/>
        <v>114</v>
      </c>
      <c r="B121" s="563">
        <v>19</v>
      </c>
      <c r="C121" s="694">
        <v>22811</v>
      </c>
      <c r="D121" s="694" t="s">
        <v>149</v>
      </c>
      <c r="E121" s="563">
        <v>14</v>
      </c>
      <c r="F121" s="503">
        <v>1962</v>
      </c>
      <c r="G121" s="563" t="s">
        <v>118</v>
      </c>
      <c r="H121" s="503" t="s">
        <v>124</v>
      </c>
      <c r="I121" s="695">
        <v>67</v>
      </c>
      <c r="J121" s="695">
        <v>1.4</v>
      </c>
      <c r="K121" s="777">
        <f t="shared" si="20"/>
        <v>5.3295454545454549E-2</v>
      </c>
      <c r="L121" s="968">
        <v>250000</v>
      </c>
      <c r="M121" s="503">
        <f t="shared" si="17"/>
        <v>15</v>
      </c>
      <c r="N121" s="504">
        <v>0.625</v>
      </c>
      <c r="O121" s="719">
        <f t="shared" si="18"/>
        <v>0.625</v>
      </c>
      <c r="P121" s="564"/>
      <c r="Q121" s="564">
        <f t="shared" si="19"/>
        <v>-0.625</v>
      </c>
      <c r="R121" s="965" t="s">
        <v>1520</v>
      </c>
      <c r="S121" s="487" t="s">
        <v>1073</v>
      </c>
      <c r="T121" s="29"/>
      <c r="U121" s="29" t="str">
        <f t="shared" si="11"/>
        <v>RandallF2</v>
      </c>
      <c r="V121" s="29" t="str">
        <f t="shared" si="12"/>
        <v>1962F2</v>
      </c>
      <c r="W121" s="80">
        <v>50</v>
      </c>
      <c r="X121" s="32">
        <v>1</v>
      </c>
      <c r="Y121" s="467">
        <v>0.05</v>
      </c>
      <c r="Z121" s="80"/>
      <c r="AA121" s="29" t="str">
        <f t="shared" si="13"/>
        <v>F250</v>
      </c>
      <c r="AB121" s="29" t="str">
        <f t="shared" si="14"/>
        <v>F21</v>
      </c>
      <c r="AC121" s="29" t="str">
        <f t="shared" si="15"/>
        <v>F20.05</v>
      </c>
      <c r="AD121" s="29" t="str">
        <f t="shared" si="16"/>
        <v>F215</v>
      </c>
      <c r="AE121" s="443"/>
      <c r="AF121" s="443"/>
      <c r="AG121" s="443"/>
      <c r="AH121" s="443"/>
    </row>
    <row r="122" spans="1:34" ht="25.5">
      <c r="A122" s="728">
        <f t="shared" si="21"/>
        <v>115</v>
      </c>
      <c r="B122" s="563">
        <v>20</v>
      </c>
      <c r="C122" s="694">
        <v>22811</v>
      </c>
      <c r="D122" s="694" t="s">
        <v>149</v>
      </c>
      <c r="E122" s="563">
        <v>14</v>
      </c>
      <c r="F122" s="503">
        <v>1962</v>
      </c>
      <c r="G122" s="563" t="s">
        <v>118</v>
      </c>
      <c r="H122" s="503" t="s">
        <v>123</v>
      </c>
      <c r="I122" s="695">
        <v>13</v>
      </c>
      <c r="J122" s="695">
        <v>4.7</v>
      </c>
      <c r="K122" s="777">
        <f t="shared" si="20"/>
        <v>3.4715909090909089E-2</v>
      </c>
      <c r="L122" s="968">
        <v>0</v>
      </c>
      <c r="M122" s="503">
        <f t="shared" si="17"/>
        <v>19</v>
      </c>
      <c r="N122" s="504">
        <v>0.81944444444444453</v>
      </c>
      <c r="O122" s="719">
        <f t="shared" si="18"/>
        <v>0.81944444444444453</v>
      </c>
      <c r="P122" s="564"/>
      <c r="Q122" s="564">
        <f t="shared" si="19"/>
        <v>-0.81944444444444453</v>
      </c>
      <c r="R122" s="965" t="s">
        <v>1520</v>
      </c>
      <c r="S122" s="487" t="s">
        <v>1074</v>
      </c>
      <c r="T122" s="29"/>
      <c r="U122" s="29" t="str">
        <f t="shared" si="11"/>
        <v>RandallF1</v>
      </c>
      <c r="V122" s="29" t="str">
        <f t="shared" si="12"/>
        <v>1962F1</v>
      </c>
      <c r="W122" s="80">
        <v>10</v>
      </c>
      <c r="X122" s="32">
        <v>2</v>
      </c>
      <c r="Y122" s="467">
        <v>0.02</v>
      </c>
      <c r="Z122" s="80"/>
      <c r="AA122" s="29" t="str">
        <f t="shared" si="13"/>
        <v>F110</v>
      </c>
      <c r="AB122" s="29" t="str">
        <f t="shared" si="14"/>
        <v>F12</v>
      </c>
      <c r="AC122" s="29" t="str">
        <f t="shared" si="15"/>
        <v>F10.02</v>
      </c>
      <c r="AD122" s="29" t="str">
        <f t="shared" si="16"/>
        <v>F119</v>
      </c>
      <c r="AE122" s="443"/>
      <c r="AF122" s="443"/>
      <c r="AG122" s="443"/>
      <c r="AH122" s="443"/>
    </row>
    <row r="123" spans="1:34" ht="16.5">
      <c r="A123" s="728">
        <f t="shared" si="21"/>
        <v>116</v>
      </c>
      <c r="B123" s="563">
        <v>21</v>
      </c>
      <c r="C123" s="694">
        <v>22811</v>
      </c>
      <c r="D123" s="694" t="s">
        <v>149</v>
      </c>
      <c r="E123" s="563">
        <v>14</v>
      </c>
      <c r="F123" s="503">
        <v>1962</v>
      </c>
      <c r="G123" s="563" t="s">
        <v>118</v>
      </c>
      <c r="H123" s="503" t="s">
        <v>123</v>
      </c>
      <c r="I123" s="695">
        <v>27</v>
      </c>
      <c r="J123" s="695">
        <v>2</v>
      </c>
      <c r="K123" s="777">
        <f t="shared" si="20"/>
        <v>3.0681818181818182E-2</v>
      </c>
      <c r="L123" s="968">
        <v>250000</v>
      </c>
      <c r="M123" s="503">
        <f t="shared" si="17"/>
        <v>19</v>
      </c>
      <c r="N123" s="504">
        <v>0.83125000000000004</v>
      </c>
      <c r="O123" s="719">
        <f t="shared" si="18"/>
        <v>0.83125000000000004</v>
      </c>
      <c r="P123" s="564"/>
      <c r="Q123" s="564">
        <f t="shared" si="19"/>
        <v>-0.83125000000000004</v>
      </c>
      <c r="R123" s="965" t="s">
        <v>1520</v>
      </c>
      <c r="S123" s="487" t="s">
        <v>1072</v>
      </c>
      <c r="T123" s="29"/>
      <c r="U123" s="29" t="str">
        <f t="shared" si="11"/>
        <v>RandallF1</v>
      </c>
      <c r="V123" s="29" t="str">
        <f t="shared" si="12"/>
        <v>1962F1</v>
      </c>
      <c r="W123" s="80">
        <v>20</v>
      </c>
      <c r="X123" s="32">
        <v>2</v>
      </c>
      <c r="Y123" s="467">
        <v>0.02</v>
      </c>
      <c r="Z123" s="80"/>
      <c r="AA123" s="29" t="str">
        <f t="shared" si="13"/>
        <v>F120</v>
      </c>
      <c r="AB123" s="29" t="str">
        <f t="shared" si="14"/>
        <v>F12</v>
      </c>
      <c r="AC123" s="29" t="str">
        <f t="shared" si="15"/>
        <v>F10.02</v>
      </c>
      <c r="AD123" s="29" t="str">
        <f t="shared" si="16"/>
        <v>F119</v>
      </c>
      <c r="AE123" s="443"/>
      <c r="AF123" s="443"/>
      <c r="AG123" s="443"/>
      <c r="AH123" s="443"/>
    </row>
    <row r="124" spans="1:34" ht="25.5">
      <c r="A124" s="728">
        <f t="shared" si="21"/>
        <v>117</v>
      </c>
      <c r="B124" s="563">
        <v>22</v>
      </c>
      <c r="C124" s="694">
        <v>22811</v>
      </c>
      <c r="D124" s="694" t="s">
        <v>149</v>
      </c>
      <c r="E124" s="563">
        <v>14</v>
      </c>
      <c r="F124" s="503">
        <v>1962</v>
      </c>
      <c r="G124" s="563" t="s">
        <v>118</v>
      </c>
      <c r="H124" s="503" t="s">
        <v>122</v>
      </c>
      <c r="I124" s="695">
        <v>33</v>
      </c>
      <c r="J124" s="695">
        <v>2</v>
      </c>
      <c r="K124" s="777">
        <f t="shared" si="20"/>
        <v>3.7499999999999999E-2</v>
      </c>
      <c r="L124" s="968">
        <v>0</v>
      </c>
      <c r="M124" s="503">
        <f t="shared" si="17"/>
        <v>20</v>
      </c>
      <c r="N124" s="504">
        <v>0.84097222222222223</v>
      </c>
      <c r="O124" s="719">
        <f t="shared" si="18"/>
        <v>0.84097222222222223</v>
      </c>
      <c r="P124" s="564"/>
      <c r="Q124" s="564">
        <f t="shared" si="19"/>
        <v>-0.84097222222222223</v>
      </c>
      <c r="R124" s="965" t="s">
        <v>1520</v>
      </c>
      <c r="S124" s="303" t="s">
        <v>1075</v>
      </c>
      <c r="T124" s="29"/>
      <c r="U124" s="29" t="str">
        <f t="shared" si="11"/>
        <v>RandallF0</v>
      </c>
      <c r="V124" s="29" t="str">
        <f t="shared" si="12"/>
        <v>1962F0</v>
      </c>
      <c r="W124" s="80">
        <v>20</v>
      </c>
      <c r="X124" s="32">
        <v>2</v>
      </c>
      <c r="Y124" s="467">
        <v>0.02</v>
      </c>
      <c r="Z124" s="80"/>
      <c r="AA124" s="29" t="str">
        <f t="shared" si="13"/>
        <v>F020</v>
      </c>
      <c r="AB124" s="29" t="str">
        <f t="shared" si="14"/>
        <v>F02</v>
      </c>
      <c r="AC124" s="29" t="str">
        <f t="shared" si="15"/>
        <v>F00.02</v>
      </c>
      <c r="AD124" s="29" t="str">
        <f t="shared" si="16"/>
        <v>F020</v>
      </c>
      <c r="AE124" s="443"/>
      <c r="AF124" s="443"/>
      <c r="AG124" s="443"/>
      <c r="AH124" s="443"/>
    </row>
    <row r="125" spans="1:34" ht="16.5">
      <c r="A125" s="728">
        <f t="shared" si="21"/>
        <v>118</v>
      </c>
      <c r="B125" s="563">
        <v>23</v>
      </c>
      <c r="C125" s="694">
        <v>22811</v>
      </c>
      <c r="D125" s="694" t="s">
        <v>149</v>
      </c>
      <c r="E125" s="563">
        <v>14</v>
      </c>
      <c r="F125" s="503">
        <v>1962</v>
      </c>
      <c r="G125" s="563" t="s">
        <v>113</v>
      </c>
      <c r="H125" s="503" t="s">
        <v>123</v>
      </c>
      <c r="I125" s="695">
        <v>33</v>
      </c>
      <c r="J125" s="695">
        <v>0.5</v>
      </c>
      <c r="K125" s="777">
        <f t="shared" si="20"/>
        <v>9.3749999999999997E-3</v>
      </c>
      <c r="L125" s="968">
        <v>0</v>
      </c>
      <c r="M125" s="503">
        <f t="shared" si="17"/>
        <v>21</v>
      </c>
      <c r="N125" s="504">
        <v>0.875</v>
      </c>
      <c r="O125" s="719">
        <f t="shared" si="18"/>
        <v>0.875</v>
      </c>
      <c r="P125" s="564"/>
      <c r="Q125" s="564">
        <f t="shared" si="19"/>
        <v>-0.875</v>
      </c>
      <c r="R125" s="965" t="s">
        <v>1520</v>
      </c>
      <c r="S125" s="487"/>
      <c r="T125" s="29"/>
      <c r="U125" s="29" t="str">
        <f t="shared" si="11"/>
        <v>PotterF1</v>
      </c>
      <c r="V125" s="29" t="str">
        <f t="shared" si="12"/>
        <v>1962F1</v>
      </c>
      <c r="W125" s="80">
        <v>20</v>
      </c>
      <c r="X125" s="32">
        <v>0.5</v>
      </c>
      <c r="Y125" s="467">
        <v>5.0000000000000001E-3</v>
      </c>
      <c r="Z125" s="80"/>
      <c r="AA125" s="29" t="str">
        <f t="shared" si="13"/>
        <v>F120</v>
      </c>
      <c r="AB125" s="29" t="str">
        <f t="shared" si="14"/>
        <v>F10.5</v>
      </c>
      <c r="AC125" s="29" t="str">
        <f t="shared" si="15"/>
        <v>F10.005</v>
      </c>
      <c r="AD125" s="29" t="str">
        <f t="shared" si="16"/>
        <v>F121</v>
      </c>
      <c r="AE125" s="443"/>
      <c r="AF125" s="443"/>
      <c r="AG125" s="443"/>
      <c r="AH125" s="443"/>
    </row>
    <row r="126" spans="1:34" ht="16.5">
      <c r="A126" s="728">
        <f t="shared" si="21"/>
        <v>119</v>
      </c>
      <c r="B126" s="563">
        <v>24</v>
      </c>
      <c r="C126" s="694">
        <v>22819</v>
      </c>
      <c r="D126" s="694" t="s">
        <v>149</v>
      </c>
      <c r="E126" s="563">
        <v>22</v>
      </c>
      <c r="F126" s="503">
        <v>1962</v>
      </c>
      <c r="G126" s="563" t="s">
        <v>101</v>
      </c>
      <c r="H126" s="503" t="s">
        <v>122</v>
      </c>
      <c r="I126" s="695">
        <v>10</v>
      </c>
      <c r="J126" s="695">
        <v>0.1</v>
      </c>
      <c r="K126" s="777">
        <f t="shared" si="20"/>
        <v>5.6818181818181826E-4</v>
      </c>
      <c r="L126" s="968">
        <v>0</v>
      </c>
      <c r="M126" s="503">
        <f t="shared" si="17"/>
        <v>22</v>
      </c>
      <c r="N126" s="504">
        <v>0.95347222222222217</v>
      </c>
      <c r="O126" s="719">
        <f t="shared" si="18"/>
        <v>0.95347222222222217</v>
      </c>
      <c r="P126" s="564"/>
      <c r="Q126" s="564">
        <f t="shared" si="19"/>
        <v>-0.95347222222222217</v>
      </c>
      <c r="R126" s="965" t="s">
        <v>1520</v>
      </c>
      <c r="S126" s="487"/>
      <c r="T126" s="29"/>
      <c r="U126" s="29" t="str">
        <f t="shared" si="11"/>
        <v>BeaverF0</v>
      </c>
      <c r="V126" s="29" t="str">
        <f t="shared" si="12"/>
        <v>1962F0</v>
      </c>
      <c r="W126" s="80">
        <v>10</v>
      </c>
      <c r="X126" s="32">
        <v>0.1</v>
      </c>
      <c r="Y126" s="467">
        <v>5.0000000000000001E-4</v>
      </c>
      <c r="Z126" s="80"/>
      <c r="AA126" s="29" t="str">
        <f t="shared" si="13"/>
        <v>F010</v>
      </c>
      <c r="AB126" s="29" t="str">
        <f t="shared" si="14"/>
        <v>F00.1</v>
      </c>
      <c r="AC126" s="29" t="str">
        <f t="shared" si="15"/>
        <v>F00.0005</v>
      </c>
      <c r="AD126" s="29" t="str">
        <f t="shared" si="16"/>
        <v>F022</v>
      </c>
      <c r="AE126" s="443"/>
      <c r="AF126" s="443"/>
      <c r="AG126" s="443"/>
      <c r="AH126" s="443"/>
    </row>
    <row r="127" spans="1:34" ht="16.5">
      <c r="A127" s="728">
        <f t="shared" si="21"/>
        <v>120</v>
      </c>
      <c r="B127" s="563">
        <v>25</v>
      </c>
      <c r="C127" s="694">
        <v>22821</v>
      </c>
      <c r="D127" s="694" t="s">
        <v>149</v>
      </c>
      <c r="E127" s="563">
        <v>24</v>
      </c>
      <c r="F127" s="503">
        <v>1962</v>
      </c>
      <c r="G127" s="563" t="s">
        <v>113</v>
      </c>
      <c r="H127" s="503" t="s">
        <v>124</v>
      </c>
      <c r="I127" s="695">
        <v>27</v>
      </c>
      <c r="J127" s="695">
        <v>1.5</v>
      </c>
      <c r="K127" s="777">
        <f t="shared" si="20"/>
        <v>2.3011363636363635E-2</v>
      </c>
      <c r="L127" s="968">
        <v>3000</v>
      </c>
      <c r="M127" s="503">
        <f t="shared" si="17"/>
        <v>0</v>
      </c>
      <c r="N127" s="504">
        <v>3.472222222222222E-3</v>
      </c>
      <c r="O127" s="719">
        <f t="shared" si="18"/>
        <v>3.472222222222222E-3</v>
      </c>
      <c r="P127" s="564"/>
      <c r="Q127" s="564">
        <f t="shared" si="19"/>
        <v>-3.472222222222222E-3</v>
      </c>
      <c r="R127" s="965" t="s">
        <v>1520</v>
      </c>
      <c r="S127" s="487"/>
      <c r="T127" s="29"/>
      <c r="U127" s="29" t="str">
        <f t="shared" si="11"/>
        <v>PotterF2</v>
      </c>
      <c r="V127" s="29" t="str">
        <f t="shared" si="12"/>
        <v>1962F2</v>
      </c>
      <c r="W127" s="80">
        <v>20</v>
      </c>
      <c r="X127" s="32">
        <v>1</v>
      </c>
      <c r="Y127" s="467">
        <v>0.02</v>
      </c>
      <c r="Z127" s="80"/>
      <c r="AA127" s="29" t="str">
        <f t="shared" si="13"/>
        <v>F220</v>
      </c>
      <c r="AB127" s="29" t="str">
        <f t="shared" si="14"/>
        <v>F21</v>
      </c>
      <c r="AC127" s="29" t="str">
        <f t="shared" si="15"/>
        <v>F20.02</v>
      </c>
      <c r="AD127" s="29" t="str">
        <f t="shared" si="16"/>
        <v>F20</v>
      </c>
      <c r="AE127" s="443"/>
      <c r="AF127" s="443"/>
      <c r="AG127" s="443"/>
      <c r="AH127" s="443"/>
    </row>
    <row r="128" spans="1:34" ht="16.5">
      <c r="A128" s="728">
        <f t="shared" si="21"/>
        <v>121</v>
      </c>
      <c r="B128" s="563">
        <v>26</v>
      </c>
      <c r="C128" s="694">
        <v>22888</v>
      </c>
      <c r="D128" s="694" t="s">
        <v>151</v>
      </c>
      <c r="E128" s="563">
        <v>30</v>
      </c>
      <c r="F128" s="503">
        <v>1962</v>
      </c>
      <c r="G128" s="563" t="s">
        <v>99</v>
      </c>
      <c r="H128" s="503" t="s">
        <v>123</v>
      </c>
      <c r="I128" s="695">
        <v>10</v>
      </c>
      <c r="J128" s="695">
        <v>0.1</v>
      </c>
      <c r="K128" s="777">
        <f t="shared" si="20"/>
        <v>5.6818181818181826E-4</v>
      </c>
      <c r="L128" s="968">
        <v>25000</v>
      </c>
      <c r="M128" s="503">
        <f t="shared" si="17"/>
        <v>19</v>
      </c>
      <c r="N128" s="504">
        <v>0.79166666666666663</v>
      </c>
      <c r="O128" s="719">
        <f t="shared" si="18"/>
        <v>0.79166666666666663</v>
      </c>
      <c r="P128" s="564"/>
      <c r="Q128" s="564">
        <f t="shared" si="19"/>
        <v>-0.79166666666666663</v>
      </c>
      <c r="R128" s="965" t="s">
        <v>1520</v>
      </c>
      <c r="S128" s="487"/>
      <c r="T128" s="29"/>
      <c r="U128" s="29" t="str">
        <f t="shared" si="11"/>
        <v>CimarronF1</v>
      </c>
      <c r="V128" s="29" t="str">
        <f t="shared" si="12"/>
        <v>1962F1</v>
      </c>
      <c r="W128" s="80">
        <v>10</v>
      </c>
      <c r="X128" s="32">
        <v>0.1</v>
      </c>
      <c r="Y128" s="467">
        <v>5.0000000000000001E-4</v>
      </c>
      <c r="Z128" s="80"/>
      <c r="AA128" s="29" t="str">
        <f t="shared" si="13"/>
        <v>F110</v>
      </c>
      <c r="AB128" s="29" t="str">
        <f t="shared" si="14"/>
        <v>F10.1</v>
      </c>
      <c r="AC128" s="29" t="str">
        <f t="shared" si="15"/>
        <v>F10.0005</v>
      </c>
      <c r="AD128" s="29" t="str">
        <f t="shared" si="16"/>
        <v>F119</v>
      </c>
      <c r="AE128" s="443"/>
      <c r="AF128" s="443"/>
      <c r="AG128" s="443"/>
      <c r="AH128" s="443"/>
    </row>
    <row r="129" spans="1:34" ht="16.5">
      <c r="A129" s="728">
        <f t="shared" si="21"/>
        <v>122</v>
      </c>
      <c r="B129" s="563">
        <v>1</v>
      </c>
      <c r="C129" s="694">
        <v>23135</v>
      </c>
      <c r="D129" s="694" t="s">
        <v>148</v>
      </c>
      <c r="E129" s="563">
        <v>4</v>
      </c>
      <c r="F129" s="503">
        <v>1963</v>
      </c>
      <c r="G129" s="563" t="s">
        <v>109</v>
      </c>
      <c r="H129" s="503" t="s">
        <v>122</v>
      </c>
      <c r="I129" s="695">
        <v>33</v>
      </c>
      <c r="J129" s="695">
        <v>1</v>
      </c>
      <c r="K129" s="777">
        <f t="shared" si="20"/>
        <v>1.8749999999999999E-2</v>
      </c>
      <c r="L129" s="968">
        <v>0</v>
      </c>
      <c r="M129" s="503">
        <f t="shared" si="17"/>
        <v>15</v>
      </c>
      <c r="N129" s="504">
        <v>0.625</v>
      </c>
      <c r="O129" s="719">
        <f t="shared" si="18"/>
        <v>0.625</v>
      </c>
      <c r="P129" s="564"/>
      <c r="Q129" s="564">
        <f t="shared" si="19"/>
        <v>-0.625</v>
      </c>
      <c r="R129" s="965" t="s">
        <v>1520</v>
      </c>
      <c r="S129" s="487"/>
      <c r="T129" s="29"/>
      <c r="U129" s="29" t="str">
        <f t="shared" si="11"/>
        <v>HutchinsonF0</v>
      </c>
      <c r="V129" s="29" t="str">
        <f t="shared" si="12"/>
        <v>1963F0</v>
      </c>
      <c r="W129" s="80">
        <v>20</v>
      </c>
      <c r="X129" s="32">
        <v>1</v>
      </c>
      <c r="Y129" s="467">
        <v>0.01</v>
      </c>
      <c r="Z129" s="80"/>
      <c r="AA129" s="29" t="str">
        <f t="shared" si="13"/>
        <v>F020</v>
      </c>
      <c r="AB129" s="29" t="str">
        <f t="shared" si="14"/>
        <v>F01</v>
      </c>
      <c r="AC129" s="29" t="str">
        <f t="shared" si="15"/>
        <v>F00.01</v>
      </c>
      <c r="AD129" s="29" t="str">
        <f t="shared" si="16"/>
        <v>F015</v>
      </c>
      <c r="AE129" s="443"/>
      <c r="AF129" s="443"/>
      <c r="AG129" s="443"/>
      <c r="AH129" s="443"/>
    </row>
    <row r="130" spans="1:34" ht="16.5">
      <c r="A130" s="728">
        <f t="shared" si="21"/>
        <v>123</v>
      </c>
      <c r="B130" s="563">
        <v>2</v>
      </c>
      <c r="C130" s="694">
        <v>23177</v>
      </c>
      <c r="D130" s="694" t="s">
        <v>149</v>
      </c>
      <c r="E130" s="563">
        <v>15</v>
      </c>
      <c r="F130" s="503">
        <v>1963</v>
      </c>
      <c r="G130" s="563" t="s">
        <v>100</v>
      </c>
      <c r="H130" s="503" t="s">
        <v>123</v>
      </c>
      <c r="I130" s="695">
        <v>10</v>
      </c>
      <c r="J130" s="695">
        <v>0.1</v>
      </c>
      <c r="K130" s="777">
        <f t="shared" si="20"/>
        <v>5.6818181818181826E-4</v>
      </c>
      <c r="L130" s="968">
        <v>0</v>
      </c>
      <c r="M130" s="503">
        <f t="shared" si="17"/>
        <v>23</v>
      </c>
      <c r="N130" s="504">
        <v>0.97916666666666663</v>
      </c>
      <c r="O130" s="719">
        <f t="shared" si="18"/>
        <v>0.97916666666666663</v>
      </c>
      <c r="P130" s="564"/>
      <c r="Q130" s="564">
        <f t="shared" si="19"/>
        <v>-0.97916666666666663</v>
      </c>
      <c r="R130" s="965" t="s">
        <v>1520</v>
      </c>
      <c r="S130" s="487"/>
      <c r="T130" s="29"/>
      <c r="U130" s="29" t="str">
        <f t="shared" si="11"/>
        <v>TexasF1</v>
      </c>
      <c r="V130" s="29" t="str">
        <f t="shared" si="12"/>
        <v>1963F1</v>
      </c>
      <c r="W130" s="80">
        <v>10</v>
      </c>
      <c r="X130" s="32">
        <v>0.1</v>
      </c>
      <c r="Y130" s="467">
        <v>5.0000000000000001E-4</v>
      </c>
      <c r="Z130" s="80"/>
      <c r="AA130" s="29" t="str">
        <f t="shared" si="13"/>
        <v>F110</v>
      </c>
      <c r="AB130" s="29" t="str">
        <f t="shared" si="14"/>
        <v>F10.1</v>
      </c>
      <c r="AC130" s="29" t="str">
        <f t="shared" si="15"/>
        <v>F10.0005</v>
      </c>
      <c r="AD130" s="29" t="str">
        <f t="shared" si="16"/>
        <v>F123</v>
      </c>
      <c r="AE130" s="443"/>
      <c r="AF130" s="443"/>
      <c r="AG130" s="443"/>
      <c r="AH130" s="443"/>
    </row>
    <row r="131" spans="1:34" ht="16.5">
      <c r="A131" s="728">
        <f t="shared" si="21"/>
        <v>124</v>
      </c>
      <c r="B131" s="563">
        <v>3</v>
      </c>
      <c r="C131" s="694">
        <v>23203</v>
      </c>
      <c r="D131" s="694" t="s">
        <v>150</v>
      </c>
      <c r="E131" s="563">
        <v>11</v>
      </c>
      <c r="F131" s="503">
        <v>1963</v>
      </c>
      <c r="G131" s="563" t="s">
        <v>107</v>
      </c>
      <c r="H131" s="503" t="s">
        <v>122</v>
      </c>
      <c r="I131" s="695">
        <v>33</v>
      </c>
      <c r="J131" s="695">
        <v>0.8</v>
      </c>
      <c r="K131" s="777">
        <f t="shared" si="20"/>
        <v>1.4999999999999999E-2</v>
      </c>
      <c r="L131" s="968">
        <v>0</v>
      </c>
      <c r="M131" s="503">
        <f t="shared" si="17"/>
        <v>21</v>
      </c>
      <c r="N131" s="504">
        <v>0.875</v>
      </c>
      <c r="O131" s="719">
        <f t="shared" si="18"/>
        <v>0.875</v>
      </c>
      <c r="P131" s="564"/>
      <c r="Q131" s="564">
        <f t="shared" si="19"/>
        <v>-0.875</v>
      </c>
      <c r="R131" s="965" t="s">
        <v>1520</v>
      </c>
      <c r="S131" s="487"/>
      <c r="T131" s="29"/>
      <c r="U131" s="29" t="str">
        <f t="shared" si="11"/>
        <v>HartleyF0</v>
      </c>
      <c r="V131" s="29" t="str">
        <f t="shared" si="12"/>
        <v>1963F0</v>
      </c>
      <c r="W131" s="80">
        <v>20</v>
      </c>
      <c r="X131" s="32">
        <v>0.5</v>
      </c>
      <c r="Y131" s="467">
        <v>0.01</v>
      </c>
      <c r="Z131" s="80"/>
      <c r="AA131" s="29" t="str">
        <f t="shared" si="13"/>
        <v>F020</v>
      </c>
      <c r="AB131" s="29" t="str">
        <f t="shared" si="14"/>
        <v>F00.5</v>
      </c>
      <c r="AC131" s="29" t="str">
        <f t="shared" si="15"/>
        <v>F00.01</v>
      </c>
      <c r="AD131" s="29" t="str">
        <f t="shared" si="16"/>
        <v>F021</v>
      </c>
      <c r="AE131" s="443"/>
      <c r="AF131" s="443"/>
      <c r="AG131" s="443"/>
      <c r="AH131" s="443"/>
    </row>
    <row r="132" spans="1:34" ht="16.5">
      <c r="A132" s="728">
        <f t="shared" si="21"/>
        <v>125</v>
      </c>
      <c r="B132" s="563">
        <v>4</v>
      </c>
      <c r="C132" s="694">
        <v>23207</v>
      </c>
      <c r="D132" s="694" t="s">
        <v>150</v>
      </c>
      <c r="E132" s="563">
        <v>15</v>
      </c>
      <c r="F132" s="503">
        <v>1963</v>
      </c>
      <c r="G132" s="563" t="s">
        <v>101</v>
      </c>
      <c r="H132" s="503" t="s">
        <v>125</v>
      </c>
      <c r="I132" s="695">
        <v>10</v>
      </c>
      <c r="J132" s="695">
        <v>0.1</v>
      </c>
      <c r="K132" s="777">
        <f t="shared" si="20"/>
        <v>5.6818181818181826E-4</v>
      </c>
      <c r="L132" s="968">
        <v>0</v>
      </c>
      <c r="M132" s="503">
        <f t="shared" si="17"/>
        <v>20</v>
      </c>
      <c r="N132" s="504">
        <v>0.84375</v>
      </c>
      <c r="O132" s="719">
        <f t="shared" si="18"/>
        <v>0.84375</v>
      </c>
      <c r="P132" s="564"/>
      <c r="Q132" s="564">
        <f t="shared" si="19"/>
        <v>-0.84375</v>
      </c>
      <c r="R132" s="965" t="s">
        <v>1520</v>
      </c>
      <c r="S132" s="487"/>
      <c r="T132" s="29"/>
      <c r="U132" s="29" t="str">
        <f t="shared" si="11"/>
        <v>BeaverF3</v>
      </c>
      <c r="V132" s="29" t="str">
        <f t="shared" si="12"/>
        <v>1963F3</v>
      </c>
      <c r="W132" s="80">
        <v>10</v>
      </c>
      <c r="X132" s="32">
        <v>0.1</v>
      </c>
      <c r="Y132" s="467">
        <v>5.0000000000000001E-4</v>
      </c>
      <c r="Z132" s="80"/>
      <c r="AA132" s="29" t="str">
        <f t="shared" si="13"/>
        <v>F310</v>
      </c>
      <c r="AB132" s="29" t="str">
        <f t="shared" si="14"/>
        <v>F30.1</v>
      </c>
      <c r="AC132" s="29" t="str">
        <f t="shared" si="15"/>
        <v>F30.0005</v>
      </c>
      <c r="AD132" s="29" t="str">
        <f t="shared" si="16"/>
        <v>F320</v>
      </c>
      <c r="AE132" s="443"/>
      <c r="AF132" s="443"/>
      <c r="AG132" s="443"/>
      <c r="AH132" s="443"/>
    </row>
    <row r="133" spans="1:34" ht="16.5">
      <c r="A133" s="728">
        <f t="shared" si="21"/>
        <v>126</v>
      </c>
      <c r="B133" s="563">
        <v>5</v>
      </c>
      <c r="C133" s="694">
        <v>23207</v>
      </c>
      <c r="D133" s="694" t="s">
        <v>150</v>
      </c>
      <c r="E133" s="563">
        <v>15</v>
      </c>
      <c r="F133" s="503">
        <v>1963</v>
      </c>
      <c r="G133" s="563" t="s">
        <v>101</v>
      </c>
      <c r="H133" s="503" t="s">
        <v>124</v>
      </c>
      <c r="I133" s="695">
        <v>10</v>
      </c>
      <c r="J133" s="695">
        <v>0.1</v>
      </c>
      <c r="K133" s="777">
        <f t="shared" si="20"/>
        <v>5.6818181818181826E-4</v>
      </c>
      <c r="L133" s="968">
        <v>0</v>
      </c>
      <c r="M133" s="503">
        <f t="shared" si="17"/>
        <v>20</v>
      </c>
      <c r="N133" s="504">
        <v>0.84722222222222221</v>
      </c>
      <c r="O133" s="719">
        <f t="shared" si="18"/>
        <v>0.84722222222222221</v>
      </c>
      <c r="P133" s="564"/>
      <c r="Q133" s="564">
        <f t="shared" si="19"/>
        <v>-0.84722222222222221</v>
      </c>
      <c r="R133" s="965" t="s">
        <v>1520</v>
      </c>
      <c r="S133" s="487"/>
      <c r="T133" s="29"/>
      <c r="U133" s="29" t="str">
        <f t="shared" si="11"/>
        <v>BeaverF2</v>
      </c>
      <c r="V133" s="29" t="str">
        <f t="shared" si="12"/>
        <v>1963F2</v>
      </c>
      <c r="W133" s="80">
        <v>10</v>
      </c>
      <c r="X133" s="32">
        <v>0.1</v>
      </c>
      <c r="Y133" s="467">
        <v>5.0000000000000001E-4</v>
      </c>
      <c r="Z133" s="80"/>
      <c r="AA133" s="29" t="str">
        <f t="shared" si="13"/>
        <v>F210</v>
      </c>
      <c r="AB133" s="29" t="str">
        <f t="shared" si="14"/>
        <v>F20.1</v>
      </c>
      <c r="AC133" s="29" t="str">
        <f t="shared" si="15"/>
        <v>F20.0005</v>
      </c>
      <c r="AD133" s="29" t="str">
        <f t="shared" si="16"/>
        <v>F220</v>
      </c>
      <c r="AE133" s="443"/>
      <c r="AF133" s="443"/>
      <c r="AG133" s="443"/>
      <c r="AH133" s="443"/>
    </row>
    <row r="134" spans="1:34" ht="16.5">
      <c r="A134" s="728">
        <f t="shared" si="21"/>
        <v>127</v>
      </c>
      <c r="B134" s="563">
        <v>1</v>
      </c>
      <c r="C134" s="694">
        <v>23507</v>
      </c>
      <c r="D134" s="694" t="s">
        <v>148</v>
      </c>
      <c r="E134" s="563">
        <v>10</v>
      </c>
      <c r="F134" s="503">
        <v>1964</v>
      </c>
      <c r="G134" s="563" t="s">
        <v>99</v>
      </c>
      <c r="H134" s="503" t="s">
        <v>122</v>
      </c>
      <c r="I134" s="695">
        <v>10</v>
      </c>
      <c r="J134" s="695">
        <v>0.1</v>
      </c>
      <c r="K134" s="777">
        <f t="shared" si="20"/>
        <v>5.6818181818181826E-4</v>
      </c>
      <c r="L134" s="968">
        <v>0</v>
      </c>
      <c r="M134" s="503">
        <f t="shared" si="17"/>
        <v>15</v>
      </c>
      <c r="N134" s="504">
        <v>0.625</v>
      </c>
      <c r="O134" s="719">
        <f t="shared" si="18"/>
        <v>0.625</v>
      </c>
      <c r="P134" s="564"/>
      <c r="Q134" s="564">
        <f t="shared" si="19"/>
        <v>-0.625</v>
      </c>
      <c r="R134" s="965" t="s">
        <v>1520</v>
      </c>
      <c r="S134" s="487"/>
      <c r="T134" s="29"/>
      <c r="U134" s="29" t="str">
        <f t="shared" si="11"/>
        <v>CimarronF0</v>
      </c>
      <c r="V134" s="29" t="str">
        <f t="shared" si="12"/>
        <v>1964F0</v>
      </c>
      <c r="W134" s="80">
        <v>10</v>
      </c>
      <c r="X134" s="32">
        <v>0.1</v>
      </c>
      <c r="Y134" s="467">
        <v>5.0000000000000001E-4</v>
      </c>
      <c r="Z134" s="80"/>
      <c r="AA134" s="29" t="str">
        <f t="shared" si="13"/>
        <v>F010</v>
      </c>
      <c r="AB134" s="29" t="str">
        <f t="shared" si="14"/>
        <v>F00.1</v>
      </c>
      <c r="AC134" s="29" t="str">
        <f t="shared" si="15"/>
        <v>F00.0005</v>
      </c>
      <c r="AD134" s="29" t="str">
        <f t="shared" si="16"/>
        <v>F015</v>
      </c>
      <c r="AE134" s="443"/>
      <c r="AF134" s="443"/>
      <c r="AG134" s="443"/>
      <c r="AH134" s="443"/>
    </row>
    <row r="135" spans="1:34" ht="16.5">
      <c r="A135" s="728">
        <f t="shared" si="21"/>
        <v>128</v>
      </c>
      <c r="B135" s="563">
        <v>2</v>
      </c>
      <c r="C135" s="694">
        <v>23540</v>
      </c>
      <c r="D135" s="694" t="s">
        <v>149</v>
      </c>
      <c r="E135" s="563">
        <v>12</v>
      </c>
      <c r="F135" s="503">
        <v>1964</v>
      </c>
      <c r="G135" s="563" t="s">
        <v>117</v>
      </c>
      <c r="H135" s="503" t="s">
        <v>122</v>
      </c>
      <c r="I135" s="695">
        <v>13</v>
      </c>
      <c r="J135" s="695">
        <v>0.5</v>
      </c>
      <c r="K135" s="777">
        <f t="shared" si="20"/>
        <v>3.6931818181818181E-3</v>
      </c>
      <c r="L135" s="968">
        <v>0</v>
      </c>
      <c r="M135" s="503">
        <f t="shared" si="17"/>
        <v>15</v>
      </c>
      <c r="N135" s="504">
        <v>0.625</v>
      </c>
      <c r="O135" s="719">
        <f t="shared" si="18"/>
        <v>0.625</v>
      </c>
      <c r="P135" s="564"/>
      <c r="Q135" s="564">
        <f t="shared" si="19"/>
        <v>-0.625</v>
      </c>
      <c r="R135" s="965" t="s">
        <v>1520</v>
      </c>
      <c r="S135" s="487"/>
      <c r="T135" s="29"/>
      <c r="U135" s="29" t="str">
        <f t="shared" ref="U135:U198" si="22">CONCATENATE(G135,H135)</f>
        <v>Deaf SmithF0</v>
      </c>
      <c r="V135" s="29" t="str">
        <f t="shared" ref="V135:V198" si="23">CONCATENATE(F135,H135)</f>
        <v>1964F0</v>
      </c>
      <c r="W135" s="80">
        <v>10</v>
      </c>
      <c r="X135" s="32">
        <v>0.5</v>
      </c>
      <c r="Y135" s="467">
        <v>2E-3</v>
      </c>
      <c r="Z135" s="80"/>
      <c r="AA135" s="29" t="str">
        <f t="shared" ref="AA135:AA198" si="24">CONCATENATE(H135,W135)</f>
        <v>F010</v>
      </c>
      <c r="AB135" s="29" t="str">
        <f t="shared" ref="AB135:AB198" si="25">CONCATENATE(H135,X135)</f>
        <v>F00.5</v>
      </c>
      <c r="AC135" s="29" t="str">
        <f t="shared" ref="AC135:AC198" si="26">CONCATENATE(H135,Y135)</f>
        <v>F00.002</v>
      </c>
      <c r="AD135" s="29" t="str">
        <f t="shared" ref="AD135:AD198" si="27">CONCATENATE(H135,M135)</f>
        <v>F015</v>
      </c>
      <c r="AE135" s="443"/>
      <c r="AF135" s="443"/>
      <c r="AG135" s="443"/>
      <c r="AH135" s="443"/>
    </row>
    <row r="136" spans="1:34" ht="16.5">
      <c r="A136" s="728">
        <f t="shared" si="21"/>
        <v>129</v>
      </c>
      <c r="B136" s="563">
        <v>3</v>
      </c>
      <c r="C136" s="694">
        <v>23550</v>
      </c>
      <c r="D136" s="694" t="s">
        <v>149</v>
      </c>
      <c r="E136" s="563">
        <v>22</v>
      </c>
      <c r="F136" s="503">
        <v>1964</v>
      </c>
      <c r="G136" s="563" t="s">
        <v>111</v>
      </c>
      <c r="H136" s="503" t="s">
        <v>122</v>
      </c>
      <c r="I136" s="695">
        <v>17</v>
      </c>
      <c r="J136" s="695">
        <v>1</v>
      </c>
      <c r="K136" s="777">
        <f t="shared" si="20"/>
        <v>9.6590909090909088E-3</v>
      </c>
      <c r="L136" s="968">
        <v>0</v>
      </c>
      <c r="M136" s="503">
        <f t="shared" ref="M136:M199" si="28">HOUR(O136)</f>
        <v>17</v>
      </c>
      <c r="N136" s="504">
        <v>0.72916666666666663</v>
      </c>
      <c r="O136" s="719">
        <f t="shared" ref="O136:O199" si="29">+N136</f>
        <v>0.72916666666666663</v>
      </c>
      <c r="P136" s="564"/>
      <c r="Q136" s="564">
        <f t="shared" ref="Q136:Q199" si="30">+P136-O136</f>
        <v>-0.72916666666666663</v>
      </c>
      <c r="R136" s="965" t="s">
        <v>1520</v>
      </c>
      <c r="S136" s="487"/>
      <c r="T136" s="29"/>
      <c r="U136" s="29" t="str">
        <f t="shared" si="22"/>
        <v>HemphillF0</v>
      </c>
      <c r="V136" s="29" t="str">
        <f t="shared" si="23"/>
        <v>1964F0</v>
      </c>
      <c r="W136" s="80">
        <v>10</v>
      </c>
      <c r="X136" s="32">
        <v>1</v>
      </c>
      <c r="Y136" s="467">
        <v>5.0000000000000001E-3</v>
      </c>
      <c r="Z136" s="80"/>
      <c r="AA136" s="29" t="str">
        <f t="shared" si="24"/>
        <v>F010</v>
      </c>
      <c r="AB136" s="29" t="str">
        <f t="shared" si="25"/>
        <v>F01</v>
      </c>
      <c r="AC136" s="29" t="str">
        <f t="shared" si="26"/>
        <v>F00.005</v>
      </c>
      <c r="AD136" s="29" t="str">
        <f t="shared" si="27"/>
        <v>F017</v>
      </c>
      <c r="AE136" s="443"/>
      <c r="AF136" s="443"/>
      <c r="AG136" s="443"/>
      <c r="AH136" s="443"/>
    </row>
    <row r="137" spans="1:34" ht="16.5">
      <c r="A137" s="728">
        <f t="shared" si="21"/>
        <v>130</v>
      </c>
      <c r="B137" s="563">
        <v>4</v>
      </c>
      <c r="C137" s="694">
        <v>23608</v>
      </c>
      <c r="D137" s="694" t="s">
        <v>151</v>
      </c>
      <c r="E137" s="563">
        <v>19</v>
      </c>
      <c r="F137" s="503">
        <v>1964</v>
      </c>
      <c r="G137" s="563" t="s">
        <v>108</v>
      </c>
      <c r="H137" s="503" t="s">
        <v>124</v>
      </c>
      <c r="I137" s="695">
        <v>33</v>
      </c>
      <c r="J137" s="695">
        <v>0.5</v>
      </c>
      <c r="K137" s="777">
        <f t="shared" ref="K137:K200" si="31">+(I137/1760)*J137</f>
        <v>9.3749999999999997E-3</v>
      </c>
      <c r="L137" s="968">
        <v>0</v>
      </c>
      <c r="M137" s="503">
        <f t="shared" si="28"/>
        <v>18</v>
      </c>
      <c r="N137" s="504">
        <v>0.77083333333333337</v>
      </c>
      <c r="O137" s="719">
        <f t="shared" si="29"/>
        <v>0.77083333333333337</v>
      </c>
      <c r="P137" s="564"/>
      <c r="Q137" s="564">
        <f t="shared" si="30"/>
        <v>-0.77083333333333337</v>
      </c>
      <c r="R137" s="965" t="s">
        <v>1520</v>
      </c>
      <c r="S137" s="487"/>
      <c r="T137" s="29"/>
      <c r="U137" s="29" t="str">
        <f t="shared" si="22"/>
        <v>MooreF2</v>
      </c>
      <c r="V137" s="29" t="str">
        <f t="shared" si="23"/>
        <v>1964F2</v>
      </c>
      <c r="W137" s="80">
        <v>20</v>
      </c>
      <c r="X137" s="32">
        <v>0.5</v>
      </c>
      <c r="Y137" s="467">
        <v>5.0000000000000001E-3</v>
      </c>
      <c r="Z137" s="80"/>
      <c r="AA137" s="29" t="str">
        <f t="shared" si="24"/>
        <v>F220</v>
      </c>
      <c r="AB137" s="29" t="str">
        <f t="shared" si="25"/>
        <v>F20.5</v>
      </c>
      <c r="AC137" s="29" t="str">
        <f t="shared" si="26"/>
        <v>F20.005</v>
      </c>
      <c r="AD137" s="29" t="str">
        <f t="shared" si="27"/>
        <v>F218</v>
      </c>
      <c r="AE137" s="443"/>
      <c r="AF137" s="443"/>
      <c r="AG137" s="443"/>
      <c r="AH137" s="443"/>
    </row>
    <row r="138" spans="1:34" ht="16.5">
      <c r="A138" s="728">
        <f t="shared" ref="A138:A201" si="32">+A137+1</f>
        <v>131</v>
      </c>
      <c r="B138" s="563">
        <v>1</v>
      </c>
      <c r="C138" s="694">
        <v>23866</v>
      </c>
      <c r="D138" s="694" t="s">
        <v>148</v>
      </c>
      <c r="E138" s="563">
        <v>4</v>
      </c>
      <c r="F138" s="503">
        <v>1965</v>
      </c>
      <c r="G138" s="563" t="s">
        <v>113</v>
      </c>
      <c r="H138" s="503" t="s">
        <v>124</v>
      </c>
      <c r="I138" s="695">
        <v>20</v>
      </c>
      <c r="J138" s="695">
        <v>1</v>
      </c>
      <c r="K138" s="777">
        <f t="shared" si="31"/>
        <v>1.1363636363636364E-2</v>
      </c>
      <c r="L138" s="968">
        <v>3000</v>
      </c>
      <c r="M138" s="503">
        <f t="shared" si="28"/>
        <v>18</v>
      </c>
      <c r="N138" s="504">
        <v>0.77777777777777779</v>
      </c>
      <c r="O138" s="719">
        <f t="shared" si="29"/>
        <v>0.77777777777777779</v>
      </c>
      <c r="P138" s="564"/>
      <c r="Q138" s="564">
        <f t="shared" si="30"/>
        <v>-0.77777777777777779</v>
      </c>
      <c r="R138" s="965" t="s">
        <v>1520</v>
      </c>
      <c r="S138" s="487"/>
      <c r="T138" s="29"/>
      <c r="U138" s="29" t="str">
        <f t="shared" si="22"/>
        <v>PotterF2</v>
      </c>
      <c r="V138" s="29" t="str">
        <f t="shared" si="23"/>
        <v>1965F2</v>
      </c>
      <c r="W138" s="80">
        <v>20</v>
      </c>
      <c r="X138" s="32">
        <v>1</v>
      </c>
      <c r="Y138" s="467">
        <v>0.01</v>
      </c>
      <c r="Z138" s="80"/>
      <c r="AA138" s="29" t="str">
        <f t="shared" si="24"/>
        <v>F220</v>
      </c>
      <c r="AB138" s="29" t="str">
        <f t="shared" si="25"/>
        <v>F21</v>
      </c>
      <c r="AC138" s="29" t="str">
        <f t="shared" si="26"/>
        <v>F20.01</v>
      </c>
      <c r="AD138" s="29" t="str">
        <f t="shared" si="27"/>
        <v>F218</v>
      </c>
      <c r="AE138" s="443"/>
      <c r="AF138" s="443"/>
      <c r="AG138" s="443"/>
      <c r="AH138" s="443"/>
    </row>
    <row r="139" spans="1:34" ht="16.5">
      <c r="A139" s="728">
        <f t="shared" si="32"/>
        <v>132</v>
      </c>
      <c r="B139" s="563">
        <v>2</v>
      </c>
      <c r="C139" s="694">
        <v>23866</v>
      </c>
      <c r="D139" s="694" t="s">
        <v>148</v>
      </c>
      <c r="E139" s="563">
        <v>4</v>
      </c>
      <c r="F139" s="503">
        <v>1965</v>
      </c>
      <c r="G139" s="563" t="s">
        <v>107</v>
      </c>
      <c r="H139" s="503" t="s">
        <v>122</v>
      </c>
      <c r="I139" s="695">
        <v>33</v>
      </c>
      <c r="J139" s="695">
        <v>4.5999999999999996</v>
      </c>
      <c r="K139" s="777">
        <f t="shared" si="31"/>
        <v>8.6249999999999993E-2</v>
      </c>
      <c r="L139" s="968">
        <v>3000</v>
      </c>
      <c r="M139" s="503">
        <f t="shared" si="28"/>
        <v>20</v>
      </c>
      <c r="N139" s="504">
        <v>0.83333333333333337</v>
      </c>
      <c r="O139" s="719">
        <f t="shared" si="29"/>
        <v>0.83333333333333337</v>
      </c>
      <c r="P139" s="564"/>
      <c r="Q139" s="564">
        <f t="shared" si="30"/>
        <v>-0.83333333333333337</v>
      </c>
      <c r="R139" s="965" t="s">
        <v>1520</v>
      </c>
      <c r="S139" s="487"/>
      <c r="T139" s="29"/>
      <c r="U139" s="29" t="str">
        <f t="shared" si="22"/>
        <v>HartleyF0</v>
      </c>
      <c r="V139" s="29" t="str">
        <f t="shared" si="23"/>
        <v>1965F0</v>
      </c>
      <c r="W139" s="80">
        <v>20</v>
      </c>
      <c r="X139" s="32">
        <v>2</v>
      </c>
      <c r="Y139" s="467">
        <v>0.05</v>
      </c>
      <c r="Z139" s="80"/>
      <c r="AA139" s="29" t="str">
        <f t="shared" si="24"/>
        <v>F020</v>
      </c>
      <c r="AB139" s="29" t="str">
        <f t="shared" si="25"/>
        <v>F02</v>
      </c>
      <c r="AC139" s="29" t="str">
        <f t="shared" si="26"/>
        <v>F00.05</v>
      </c>
      <c r="AD139" s="29" t="str">
        <f t="shared" si="27"/>
        <v>F020</v>
      </c>
      <c r="AE139" s="443"/>
      <c r="AF139" s="443"/>
      <c r="AG139" s="443"/>
      <c r="AH139" s="443"/>
    </row>
    <row r="140" spans="1:34" ht="16.5">
      <c r="A140" s="728">
        <f t="shared" si="32"/>
        <v>133</v>
      </c>
      <c r="B140" s="563">
        <v>3</v>
      </c>
      <c r="C140" s="694">
        <v>23866</v>
      </c>
      <c r="D140" s="694" t="s">
        <v>148</v>
      </c>
      <c r="E140" s="563">
        <v>4</v>
      </c>
      <c r="F140" s="503">
        <v>1965</v>
      </c>
      <c r="G140" s="563" t="s">
        <v>109</v>
      </c>
      <c r="H140" s="503" t="s">
        <v>124</v>
      </c>
      <c r="I140" s="695">
        <v>100</v>
      </c>
      <c r="J140" s="695">
        <v>0.5</v>
      </c>
      <c r="K140" s="777">
        <f t="shared" si="31"/>
        <v>2.8409090909090908E-2</v>
      </c>
      <c r="L140" s="968">
        <v>25000</v>
      </c>
      <c r="M140" s="503">
        <f t="shared" si="28"/>
        <v>20</v>
      </c>
      <c r="N140" s="504">
        <v>0.83611111111111114</v>
      </c>
      <c r="O140" s="719">
        <f t="shared" si="29"/>
        <v>0.83611111111111114</v>
      </c>
      <c r="P140" s="564"/>
      <c r="Q140" s="564">
        <f t="shared" si="30"/>
        <v>-0.83611111111111114</v>
      </c>
      <c r="R140" s="965" t="s">
        <v>1520</v>
      </c>
      <c r="S140" s="487"/>
      <c r="T140" s="29"/>
      <c r="U140" s="29" t="str">
        <f t="shared" si="22"/>
        <v>HutchinsonF2</v>
      </c>
      <c r="V140" s="29" t="str">
        <f t="shared" si="23"/>
        <v>1965F2</v>
      </c>
      <c r="W140" s="80">
        <v>100</v>
      </c>
      <c r="X140" s="32">
        <v>0.5</v>
      </c>
      <c r="Y140" s="467">
        <v>0.02</v>
      </c>
      <c r="Z140" s="80"/>
      <c r="AA140" s="29" t="str">
        <f t="shared" si="24"/>
        <v>F2100</v>
      </c>
      <c r="AB140" s="29" t="str">
        <f t="shared" si="25"/>
        <v>F20.5</v>
      </c>
      <c r="AC140" s="29" t="str">
        <f t="shared" si="26"/>
        <v>F20.02</v>
      </c>
      <c r="AD140" s="29" t="str">
        <f t="shared" si="27"/>
        <v>F220</v>
      </c>
      <c r="AE140" s="443"/>
      <c r="AF140" s="443"/>
      <c r="AG140" s="443"/>
      <c r="AH140" s="443"/>
    </row>
    <row r="141" spans="1:34" ht="16.5">
      <c r="A141" s="728">
        <f t="shared" si="32"/>
        <v>134</v>
      </c>
      <c r="B141" s="563">
        <v>4</v>
      </c>
      <c r="C141" s="694">
        <v>23869</v>
      </c>
      <c r="D141" s="694" t="s">
        <v>148</v>
      </c>
      <c r="E141" s="563">
        <v>7</v>
      </c>
      <c r="F141" s="503">
        <v>1965</v>
      </c>
      <c r="G141" s="563" t="s">
        <v>116</v>
      </c>
      <c r="H141" s="503" t="s">
        <v>122</v>
      </c>
      <c r="I141" s="695">
        <v>17</v>
      </c>
      <c r="J141" s="695">
        <v>0.8</v>
      </c>
      <c r="K141" s="777">
        <f t="shared" si="31"/>
        <v>7.7272727272727276E-3</v>
      </c>
      <c r="L141" s="968">
        <v>25000</v>
      </c>
      <c r="M141" s="503">
        <f t="shared" si="28"/>
        <v>18</v>
      </c>
      <c r="N141" s="504">
        <v>0.78472222222222221</v>
      </c>
      <c r="O141" s="719">
        <f t="shared" si="29"/>
        <v>0.78472222222222221</v>
      </c>
      <c r="P141" s="564"/>
      <c r="Q141" s="564">
        <f t="shared" si="30"/>
        <v>-0.78472222222222221</v>
      </c>
      <c r="R141" s="965" t="s">
        <v>1520</v>
      </c>
      <c r="S141" s="487"/>
      <c r="T141" s="29"/>
      <c r="U141" s="29" t="str">
        <f t="shared" si="22"/>
        <v>WheelerF0</v>
      </c>
      <c r="V141" s="29" t="str">
        <f t="shared" si="23"/>
        <v>1965F0</v>
      </c>
      <c r="W141" s="80">
        <v>10</v>
      </c>
      <c r="X141" s="32">
        <v>0.5</v>
      </c>
      <c r="Y141" s="467">
        <v>5.0000000000000001E-3</v>
      </c>
      <c r="Z141" s="80"/>
      <c r="AA141" s="29" t="str">
        <f t="shared" si="24"/>
        <v>F010</v>
      </c>
      <c r="AB141" s="29" t="str">
        <f t="shared" si="25"/>
        <v>F00.5</v>
      </c>
      <c r="AC141" s="29" t="str">
        <f t="shared" si="26"/>
        <v>F00.005</v>
      </c>
      <c r="AD141" s="29" t="str">
        <f t="shared" si="27"/>
        <v>F018</v>
      </c>
      <c r="AE141" s="443"/>
      <c r="AF141" s="443"/>
      <c r="AG141" s="443"/>
      <c r="AH141" s="443"/>
    </row>
    <row r="142" spans="1:34" ht="16.5">
      <c r="A142" s="728">
        <f t="shared" si="32"/>
        <v>135</v>
      </c>
      <c r="B142" s="563">
        <v>5</v>
      </c>
      <c r="C142" s="694">
        <v>23887</v>
      </c>
      <c r="D142" s="694" t="s">
        <v>148</v>
      </c>
      <c r="E142" s="563">
        <v>25</v>
      </c>
      <c r="F142" s="503">
        <v>1965</v>
      </c>
      <c r="G142" s="563" t="s">
        <v>111</v>
      </c>
      <c r="H142" s="503" t="s">
        <v>122</v>
      </c>
      <c r="I142" s="695">
        <v>10</v>
      </c>
      <c r="J142" s="695">
        <v>0.1</v>
      </c>
      <c r="K142" s="777">
        <f t="shared" si="31"/>
        <v>5.6818181818181826E-4</v>
      </c>
      <c r="L142" s="968">
        <v>0</v>
      </c>
      <c r="M142" s="503">
        <f t="shared" si="28"/>
        <v>19</v>
      </c>
      <c r="N142" s="504">
        <v>0.81944444444444453</v>
      </c>
      <c r="O142" s="719">
        <f t="shared" si="29"/>
        <v>0.81944444444444453</v>
      </c>
      <c r="P142" s="564"/>
      <c r="Q142" s="564">
        <f t="shared" si="30"/>
        <v>-0.81944444444444453</v>
      </c>
      <c r="R142" s="965" t="s">
        <v>1520</v>
      </c>
      <c r="S142" s="487"/>
      <c r="T142" s="29"/>
      <c r="U142" s="29" t="str">
        <f t="shared" si="22"/>
        <v>HemphillF0</v>
      </c>
      <c r="V142" s="29" t="str">
        <f t="shared" si="23"/>
        <v>1965F0</v>
      </c>
      <c r="W142" s="80">
        <v>10</v>
      </c>
      <c r="X142" s="32">
        <v>0.1</v>
      </c>
      <c r="Y142" s="467">
        <v>5.0000000000000001E-4</v>
      </c>
      <c r="Z142" s="80"/>
      <c r="AA142" s="29" t="str">
        <f t="shared" si="24"/>
        <v>F010</v>
      </c>
      <c r="AB142" s="29" t="str">
        <f t="shared" si="25"/>
        <v>F00.1</v>
      </c>
      <c r="AC142" s="29" t="str">
        <f t="shared" si="26"/>
        <v>F00.0005</v>
      </c>
      <c r="AD142" s="29" t="str">
        <f t="shared" si="27"/>
        <v>F019</v>
      </c>
      <c r="AE142" s="443"/>
      <c r="AF142" s="443"/>
      <c r="AG142" s="443"/>
      <c r="AH142" s="443"/>
    </row>
    <row r="143" spans="1:34" ht="16.5">
      <c r="A143" s="728">
        <f t="shared" si="32"/>
        <v>136</v>
      </c>
      <c r="B143" s="563">
        <v>6</v>
      </c>
      <c r="C143" s="694">
        <v>23896</v>
      </c>
      <c r="D143" s="694" t="s">
        <v>149</v>
      </c>
      <c r="E143" s="563">
        <v>3</v>
      </c>
      <c r="F143" s="503">
        <v>1965</v>
      </c>
      <c r="G143" s="563" t="s">
        <v>109</v>
      </c>
      <c r="H143" s="503" t="s">
        <v>122</v>
      </c>
      <c r="I143" s="695">
        <v>17</v>
      </c>
      <c r="J143" s="695">
        <v>0.2</v>
      </c>
      <c r="K143" s="777">
        <f t="shared" si="31"/>
        <v>1.9318181818181819E-3</v>
      </c>
      <c r="L143" s="968">
        <v>0</v>
      </c>
      <c r="M143" s="503">
        <f t="shared" si="28"/>
        <v>21</v>
      </c>
      <c r="N143" s="504">
        <v>0.875</v>
      </c>
      <c r="O143" s="719">
        <f t="shared" si="29"/>
        <v>0.875</v>
      </c>
      <c r="P143" s="564"/>
      <c r="Q143" s="564">
        <f t="shared" si="30"/>
        <v>-0.875</v>
      </c>
      <c r="R143" s="965" t="s">
        <v>1520</v>
      </c>
      <c r="S143" s="487"/>
      <c r="T143" s="29"/>
      <c r="U143" s="29" t="str">
        <f t="shared" si="22"/>
        <v>HutchinsonF0</v>
      </c>
      <c r="V143" s="29" t="str">
        <f t="shared" si="23"/>
        <v>1965F0</v>
      </c>
      <c r="W143" s="80">
        <v>10</v>
      </c>
      <c r="X143" s="32">
        <v>0.2</v>
      </c>
      <c r="Y143" s="467">
        <v>1E-3</v>
      </c>
      <c r="Z143" s="80"/>
      <c r="AA143" s="29" t="str">
        <f t="shared" si="24"/>
        <v>F010</v>
      </c>
      <c r="AB143" s="29" t="str">
        <f t="shared" si="25"/>
        <v>F00.2</v>
      </c>
      <c r="AC143" s="29" t="str">
        <f t="shared" si="26"/>
        <v>F00.001</v>
      </c>
      <c r="AD143" s="29" t="str">
        <f t="shared" si="27"/>
        <v>F021</v>
      </c>
      <c r="AE143" s="443"/>
      <c r="AF143" s="443"/>
      <c r="AG143" s="443"/>
      <c r="AH143" s="443"/>
    </row>
    <row r="144" spans="1:34" ht="16.5">
      <c r="A144" s="728">
        <f t="shared" si="32"/>
        <v>137</v>
      </c>
      <c r="B144" s="563">
        <v>7</v>
      </c>
      <c r="C144" s="694">
        <v>23896</v>
      </c>
      <c r="D144" s="694" t="s">
        <v>149</v>
      </c>
      <c r="E144" s="563">
        <v>3</v>
      </c>
      <c r="F144" s="503">
        <v>1965</v>
      </c>
      <c r="G144" s="563" t="s">
        <v>121</v>
      </c>
      <c r="H144" s="503" t="s">
        <v>125</v>
      </c>
      <c r="I144" s="695">
        <v>33</v>
      </c>
      <c r="J144" s="695">
        <v>8.8000000000000007</v>
      </c>
      <c r="K144" s="777">
        <f t="shared" si="31"/>
        <v>0.16500000000000001</v>
      </c>
      <c r="L144" s="968">
        <v>250000</v>
      </c>
      <c r="M144" s="503">
        <f t="shared" si="28"/>
        <v>22</v>
      </c>
      <c r="N144" s="504">
        <v>0.91666666666666663</v>
      </c>
      <c r="O144" s="719">
        <f t="shared" si="29"/>
        <v>0.91666666666666663</v>
      </c>
      <c r="P144" s="564"/>
      <c r="Q144" s="564">
        <f t="shared" si="30"/>
        <v>-0.91666666666666663</v>
      </c>
      <c r="R144" s="965" t="s">
        <v>1520</v>
      </c>
      <c r="S144" s="487"/>
      <c r="T144" s="29"/>
      <c r="U144" s="29" t="str">
        <f t="shared" si="22"/>
        <v>CollingsworthF3</v>
      </c>
      <c r="V144" s="29" t="str">
        <f t="shared" si="23"/>
        <v>1965F3</v>
      </c>
      <c r="W144" s="80">
        <v>20</v>
      </c>
      <c r="X144" s="32">
        <v>5</v>
      </c>
      <c r="Y144" s="467">
        <v>0.1</v>
      </c>
      <c r="Z144" s="80"/>
      <c r="AA144" s="29" t="str">
        <f t="shared" si="24"/>
        <v>F320</v>
      </c>
      <c r="AB144" s="29" t="str">
        <f t="shared" si="25"/>
        <v>F35</v>
      </c>
      <c r="AC144" s="29" t="str">
        <f t="shared" si="26"/>
        <v>F30.1</v>
      </c>
      <c r="AD144" s="29" t="str">
        <f t="shared" si="27"/>
        <v>F322</v>
      </c>
      <c r="AE144" s="443"/>
      <c r="AF144" s="443"/>
      <c r="AG144" s="443"/>
      <c r="AH144" s="443"/>
    </row>
    <row r="145" spans="1:34" ht="16.5">
      <c r="A145" s="728">
        <f t="shared" si="32"/>
        <v>138</v>
      </c>
      <c r="B145" s="563">
        <v>8</v>
      </c>
      <c r="C145" s="694">
        <v>23897</v>
      </c>
      <c r="D145" s="694" t="s">
        <v>149</v>
      </c>
      <c r="E145" s="563">
        <v>4</v>
      </c>
      <c r="F145" s="503">
        <v>1965</v>
      </c>
      <c r="G145" s="563" t="s">
        <v>116</v>
      </c>
      <c r="H145" s="503" t="s">
        <v>125</v>
      </c>
      <c r="I145" s="695">
        <v>50</v>
      </c>
      <c r="J145" s="695">
        <v>6.8</v>
      </c>
      <c r="K145" s="777">
        <f t="shared" si="31"/>
        <v>0.19318181818181818</v>
      </c>
      <c r="L145" s="968">
        <v>25000</v>
      </c>
      <c r="M145" s="503">
        <f t="shared" si="28"/>
        <v>21</v>
      </c>
      <c r="N145" s="504">
        <v>0.875</v>
      </c>
      <c r="O145" s="719">
        <f t="shared" si="29"/>
        <v>0.875</v>
      </c>
      <c r="P145" s="564"/>
      <c r="Q145" s="564">
        <f t="shared" si="30"/>
        <v>-0.875</v>
      </c>
      <c r="R145" s="965" t="s">
        <v>1532</v>
      </c>
      <c r="S145" s="487"/>
      <c r="T145" s="29"/>
      <c r="U145" s="29" t="str">
        <f t="shared" si="22"/>
        <v>WheelerF3</v>
      </c>
      <c r="V145" s="29" t="str">
        <f t="shared" si="23"/>
        <v>1965F3</v>
      </c>
      <c r="W145" s="80">
        <v>50</v>
      </c>
      <c r="X145" s="32">
        <v>5</v>
      </c>
      <c r="Y145" s="467">
        <v>0.1</v>
      </c>
      <c r="Z145" s="80"/>
      <c r="AA145" s="29" t="str">
        <f t="shared" si="24"/>
        <v>F350</v>
      </c>
      <c r="AB145" s="29" t="str">
        <f t="shared" si="25"/>
        <v>F35</v>
      </c>
      <c r="AC145" s="29" t="str">
        <f t="shared" si="26"/>
        <v>F30.1</v>
      </c>
      <c r="AD145" s="29" t="str">
        <f t="shared" si="27"/>
        <v>F321</v>
      </c>
      <c r="AE145" s="443"/>
      <c r="AF145" s="443"/>
      <c r="AG145" s="443"/>
      <c r="AH145" s="443"/>
    </row>
    <row r="146" spans="1:34" ht="16.5">
      <c r="A146" s="728">
        <f t="shared" si="32"/>
        <v>139</v>
      </c>
      <c r="B146" s="563">
        <v>9</v>
      </c>
      <c r="C146" s="694">
        <v>23902</v>
      </c>
      <c r="D146" s="694" t="s">
        <v>149</v>
      </c>
      <c r="E146" s="563">
        <v>9</v>
      </c>
      <c r="F146" s="503">
        <v>1965</v>
      </c>
      <c r="G146" s="563" t="s">
        <v>105</v>
      </c>
      <c r="H146" s="503" t="s">
        <v>122</v>
      </c>
      <c r="I146" s="695">
        <v>17</v>
      </c>
      <c r="J146" s="695">
        <v>0.5</v>
      </c>
      <c r="K146" s="777">
        <f t="shared" si="31"/>
        <v>4.8295454545454544E-3</v>
      </c>
      <c r="L146" s="968">
        <v>0</v>
      </c>
      <c r="M146" s="503">
        <f t="shared" si="28"/>
        <v>15</v>
      </c>
      <c r="N146" s="504">
        <v>0.625</v>
      </c>
      <c r="O146" s="719">
        <f t="shared" si="29"/>
        <v>0.625</v>
      </c>
      <c r="P146" s="564"/>
      <c r="Q146" s="564">
        <f t="shared" si="30"/>
        <v>-0.625</v>
      </c>
      <c r="R146" s="965" t="s">
        <v>1520</v>
      </c>
      <c r="S146" s="487"/>
      <c r="U146" s="29" t="str">
        <f t="shared" si="22"/>
        <v>OchiltreeF0</v>
      </c>
      <c r="V146" s="29" t="str">
        <f t="shared" si="23"/>
        <v>1965F0</v>
      </c>
      <c r="W146" s="80">
        <v>10</v>
      </c>
      <c r="X146" s="32">
        <v>0.5</v>
      </c>
      <c r="Y146" s="467">
        <v>2E-3</v>
      </c>
      <c r="Z146" s="80"/>
      <c r="AA146" s="29" t="str">
        <f t="shared" si="24"/>
        <v>F010</v>
      </c>
      <c r="AB146" s="29" t="str">
        <f t="shared" si="25"/>
        <v>F00.5</v>
      </c>
      <c r="AC146" s="29" t="str">
        <f t="shared" si="26"/>
        <v>F00.002</v>
      </c>
      <c r="AD146" s="29" t="str">
        <f t="shared" si="27"/>
        <v>F015</v>
      </c>
      <c r="AE146" s="443"/>
      <c r="AF146" s="443"/>
      <c r="AG146" s="443"/>
      <c r="AH146" s="443"/>
    </row>
    <row r="147" spans="1:34" ht="16.5">
      <c r="A147" s="728">
        <f t="shared" si="32"/>
        <v>140</v>
      </c>
      <c r="B147" s="563">
        <v>10</v>
      </c>
      <c r="C147" s="694">
        <v>23902</v>
      </c>
      <c r="D147" s="694" t="s">
        <v>149</v>
      </c>
      <c r="E147" s="563">
        <v>9</v>
      </c>
      <c r="F147" s="503">
        <v>1965</v>
      </c>
      <c r="G147" s="563" t="s">
        <v>108</v>
      </c>
      <c r="H147" s="503" t="s">
        <v>124</v>
      </c>
      <c r="I147" s="695">
        <v>17</v>
      </c>
      <c r="J147" s="695">
        <v>0.2</v>
      </c>
      <c r="K147" s="777">
        <f t="shared" si="31"/>
        <v>1.9318181818181819E-3</v>
      </c>
      <c r="L147" s="968">
        <v>0</v>
      </c>
      <c r="M147" s="503">
        <f t="shared" si="28"/>
        <v>20</v>
      </c>
      <c r="N147" s="504">
        <v>0.83333333333333337</v>
      </c>
      <c r="O147" s="719">
        <f t="shared" si="29"/>
        <v>0.83333333333333337</v>
      </c>
      <c r="P147" s="564"/>
      <c r="Q147" s="564">
        <f t="shared" si="30"/>
        <v>-0.83333333333333337</v>
      </c>
      <c r="R147" s="965" t="s">
        <v>1520</v>
      </c>
      <c r="S147" s="487"/>
      <c r="U147" s="29" t="str">
        <f t="shared" si="22"/>
        <v>MooreF2</v>
      </c>
      <c r="V147" s="29" t="str">
        <f t="shared" si="23"/>
        <v>1965F2</v>
      </c>
      <c r="W147" s="80">
        <v>10</v>
      </c>
      <c r="X147" s="32">
        <v>0.2</v>
      </c>
      <c r="Y147" s="467">
        <v>1E-3</v>
      </c>
      <c r="Z147" s="80"/>
      <c r="AA147" s="29" t="str">
        <f t="shared" si="24"/>
        <v>F210</v>
      </c>
      <c r="AB147" s="29" t="str">
        <f t="shared" si="25"/>
        <v>F20.2</v>
      </c>
      <c r="AC147" s="29" t="str">
        <f t="shared" si="26"/>
        <v>F20.001</v>
      </c>
      <c r="AD147" s="29" t="str">
        <f t="shared" si="27"/>
        <v>F220</v>
      </c>
      <c r="AE147" s="443"/>
      <c r="AF147" s="443"/>
      <c r="AG147" s="443"/>
      <c r="AH147" s="443"/>
    </row>
    <row r="148" spans="1:34" ht="16.5">
      <c r="A148" s="728">
        <f t="shared" si="32"/>
        <v>141</v>
      </c>
      <c r="B148" s="563">
        <v>11</v>
      </c>
      <c r="C148" s="694">
        <v>23907</v>
      </c>
      <c r="D148" s="694" t="s">
        <v>149</v>
      </c>
      <c r="E148" s="563">
        <v>14</v>
      </c>
      <c r="F148" s="503">
        <v>1965</v>
      </c>
      <c r="G148" s="563" t="s">
        <v>108</v>
      </c>
      <c r="H148" s="503" t="s">
        <v>124</v>
      </c>
      <c r="I148" s="695">
        <v>10</v>
      </c>
      <c r="J148" s="695">
        <v>0.1</v>
      </c>
      <c r="K148" s="777">
        <f t="shared" si="31"/>
        <v>5.6818181818181826E-4</v>
      </c>
      <c r="L148" s="968">
        <v>3000</v>
      </c>
      <c r="M148" s="503">
        <f t="shared" si="28"/>
        <v>17</v>
      </c>
      <c r="N148" s="504">
        <v>0.71875</v>
      </c>
      <c r="O148" s="719">
        <f t="shared" si="29"/>
        <v>0.71875</v>
      </c>
      <c r="P148" s="564"/>
      <c r="Q148" s="564">
        <f t="shared" si="30"/>
        <v>-0.71875</v>
      </c>
      <c r="R148" s="965" t="s">
        <v>1520</v>
      </c>
      <c r="S148" s="487"/>
      <c r="U148" s="29" t="str">
        <f t="shared" si="22"/>
        <v>MooreF2</v>
      </c>
      <c r="V148" s="29" t="str">
        <f t="shared" si="23"/>
        <v>1965F2</v>
      </c>
      <c r="W148" s="80">
        <v>10</v>
      </c>
      <c r="X148" s="32">
        <v>0.1</v>
      </c>
      <c r="Y148" s="467">
        <v>5.0000000000000001E-4</v>
      </c>
      <c r="Z148" s="80"/>
      <c r="AA148" s="29" t="str">
        <f t="shared" si="24"/>
        <v>F210</v>
      </c>
      <c r="AB148" s="29" t="str">
        <f t="shared" si="25"/>
        <v>F20.1</v>
      </c>
      <c r="AC148" s="29" t="str">
        <f t="shared" si="26"/>
        <v>F20.0005</v>
      </c>
      <c r="AD148" s="29" t="str">
        <f t="shared" si="27"/>
        <v>F217</v>
      </c>
      <c r="AE148" s="443"/>
      <c r="AF148" s="443"/>
      <c r="AG148" s="443"/>
      <c r="AH148" s="443"/>
    </row>
    <row r="149" spans="1:34" ht="16.5">
      <c r="A149" s="728">
        <f t="shared" si="32"/>
        <v>142</v>
      </c>
      <c r="B149" s="563">
        <v>12</v>
      </c>
      <c r="C149" s="694">
        <v>23918</v>
      </c>
      <c r="D149" s="694" t="s">
        <v>149</v>
      </c>
      <c r="E149" s="563">
        <v>25</v>
      </c>
      <c r="F149" s="503">
        <v>1965</v>
      </c>
      <c r="G149" s="563" t="s">
        <v>109</v>
      </c>
      <c r="H149" s="503" t="s">
        <v>122</v>
      </c>
      <c r="I149" s="695">
        <v>17</v>
      </c>
      <c r="J149" s="695">
        <v>0.1</v>
      </c>
      <c r="K149" s="777">
        <f t="shared" si="31"/>
        <v>9.6590909090909095E-4</v>
      </c>
      <c r="L149" s="968">
        <v>0</v>
      </c>
      <c r="M149" s="503">
        <f t="shared" si="28"/>
        <v>19</v>
      </c>
      <c r="N149" s="504">
        <v>0.79166666666666663</v>
      </c>
      <c r="O149" s="719">
        <f t="shared" si="29"/>
        <v>0.79166666666666663</v>
      </c>
      <c r="P149" s="564"/>
      <c r="Q149" s="564">
        <f t="shared" si="30"/>
        <v>-0.79166666666666663</v>
      </c>
      <c r="R149" s="965" t="s">
        <v>1520</v>
      </c>
      <c r="S149" s="487"/>
      <c r="U149" s="29" t="str">
        <f t="shared" si="22"/>
        <v>HutchinsonF0</v>
      </c>
      <c r="V149" s="29" t="str">
        <f t="shared" si="23"/>
        <v>1965F0</v>
      </c>
      <c r="W149" s="80">
        <v>10</v>
      </c>
      <c r="X149" s="32">
        <v>0.1</v>
      </c>
      <c r="Y149" s="467">
        <v>5.0000000000000001E-4</v>
      </c>
      <c r="Z149" s="80"/>
      <c r="AA149" s="29" t="str">
        <f t="shared" si="24"/>
        <v>F010</v>
      </c>
      <c r="AB149" s="29" t="str">
        <f t="shared" si="25"/>
        <v>F00.1</v>
      </c>
      <c r="AC149" s="29" t="str">
        <f t="shared" si="26"/>
        <v>F00.0005</v>
      </c>
      <c r="AD149" s="29" t="str">
        <f t="shared" si="27"/>
        <v>F019</v>
      </c>
      <c r="AE149" s="443"/>
      <c r="AF149" s="443"/>
      <c r="AG149" s="443"/>
      <c r="AH149" s="443"/>
    </row>
    <row r="150" spans="1:34" ht="16.5">
      <c r="A150" s="728">
        <f t="shared" si="32"/>
        <v>143</v>
      </c>
      <c r="B150" s="563">
        <v>1</v>
      </c>
      <c r="C150" s="694">
        <v>24272</v>
      </c>
      <c r="D150" s="694" t="s">
        <v>149</v>
      </c>
      <c r="E150" s="563">
        <v>14</v>
      </c>
      <c r="F150" s="503">
        <v>1966</v>
      </c>
      <c r="G150" s="563" t="s">
        <v>108</v>
      </c>
      <c r="H150" s="503" t="s">
        <v>123</v>
      </c>
      <c r="I150" s="695">
        <v>17</v>
      </c>
      <c r="J150" s="695">
        <v>1</v>
      </c>
      <c r="K150" s="777">
        <f t="shared" si="31"/>
        <v>9.6590909090909088E-3</v>
      </c>
      <c r="L150" s="968">
        <v>0</v>
      </c>
      <c r="M150" s="503">
        <f t="shared" si="28"/>
        <v>16</v>
      </c>
      <c r="N150" s="504">
        <v>0.66666666666666663</v>
      </c>
      <c r="O150" s="719">
        <f t="shared" si="29"/>
        <v>0.66666666666666663</v>
      </c>
      <c r="P150" s="564"/>
      <c r="Q150" s="564">
        <f t="shared" si="30"/>
        <v>-0.66666666666666663</v>
      </c>
      <c r="R150" s="965" t="s">
        <v>1520</v>
      </c>
      <c r="S150" s="487"/>
      <c r="U150" s="29" t="str">
        <f t="shared" si="22"/>
        <v>MooreF1</v>
      </c>
      <c r="V150" s="29" t="str">
        <f t="shared" si="23"/>
        <v>1966F1</v>
      </c>
      <c r="W150" s="80">
        <v>10</v>
      </c>
      <c r="X150" s="32">
        <v>1</v>
      </c>
      <c r="Y150" s="467">
        <v>5.0000000000000001E-3</v>
      </c>
      <c r="Z150" s="80"/>
      <c r="AA150" s="29" t="str">
        <f t="shared" si="24"/>
        <v>F110</v>
      </c>
      <c r="AB150" s="29" t="str">
        <f t="shared" si="25"/>
        <v>F11</v>
      </c>
      <c r="AC150" s="29" t="str">
        <f t="shared" si="26"/>
        <v>F10.005</v>
      </c>
      <c r="AD150" s="29" t="str">
        <f t="shared" si="27"/>
        <v>F116</v>
      </c>
      <c r="AE150" s="443"/>
      <c r="AF150" s="443"/>
      <c r="AG150" s="443"/>
      <c r="AH150" s="443"/>
    </row>
    <row r="151" spans="1:34" ht="16.5">
      <c r="A151" s="728">
        <f t="shared" si="32"/>
        <v>144</v>
      </c>
      <c r="B151" s="563">
        <v>2</v>
      </c>
      <c r="C151" s="694">
        <v>24272</v>
      </c>
      <c r="D151" s="694" t="s">
        <v>149</v>
      </c>
      <c r="E151" s="563">
        <v>14</v>
      </c>
      <c r="F151" s="503">
        <v>1966</v>
      </c>
      <c r="G151" s="563" t="s">
        <v>115</v>
      </c>
      <c r="H151" s="503" t="s">
        <v>124</v>
      </c>
      <c r="I151" s="695">
        <v>27</v>
      </c>
      <c r="J151" s="695">
        <v>1</v>
      </c>
      <c r="K151" s="777">
        <f t="shared" si="31"/>
        <v>1.5340909090909091E-2</v>
      </c>
      <c r="L151" s="968">
        <v>0</v>
      </c>
      <c r="M151" s="503">
        <f t="shared" si="28"/>
        <v>21</v>
      </c>
      <c r="N151" s="504">
        <v>0.90277777777777779</v>
      </c>
      <c r="O151" s="719">
        <f t="shared" si="29"/>
        <v>0.90277777777777779</v>
      </c>
      <c r="P151" s="564"/>
      <c r="Q151" s="564">
        <f t="shared" si="30"/>
        <v>-0.90277777777777779</v>
      </c>
      <c r="R151" s="965" t="s">
        <v>1520</v>
      </c>
      <c r="S151" s="487"/>
      <c r="U151" s="29" t="str">
        <f t="shared" si="22"/>
        <v>GrayF2</v>
      </c>
      <c r="V151" s="29" t="str">
        <f t="shared" si="23"/>
        <v>1966F2</v>
      </c>
      <c r="W151" s="80">
        <v>20</v>
      </c>
      <c r="X151" s="32">
        <v>1</v>
      </c>
      <c r="Y151" s="467">
        <v>0.01</v>
      </c>
      <c r="Z151" s="80"/>
      <c r="AA151" s="29" t="str">
        <f t="shared" si="24"/>
        <v>F220</v>
      </c>
      <c r="AB151" s="29" t="str">
        <f t="shared" si="25"/>
        <v>F21</v>
      </c>
      <c r="AC151" s="29" t="str">
        <f t="shared" si="26"/>
        <v>F20.01</v>
      </c>
      <c r="AD151" s="29" t="str">
        <f t="shared" si="27"/>
        <v>F221</v>
      </c>
      <c r="AE151" s="443"/>
      <c r="AF151" s="443"/>
      <c r="AG151" s="443"/>
      <c r="AH151" s="443"/>
    </row>
    <row r="152" spans="1:34" ht="16.5">
      <c r="A152" s="728">
        <f t="shared" si="32"/>
        <v>145</v>
      </c>
      <c r="B152" s="563">
        <v>3</v>
      </c>
      <c r="C152" s="694">
        <v>24275</v>
      </c>
      <c r="D152" s="694" t="s">
        <v>149</v>
      </c>
      <c r="E152" s="563">
        <v>17</v>
      </c>
      <c r="F152" s="503">
        <v>1966</v>
      </c>
      <c r="G152" s="563" t="s">
        <v>109</v>
      </c>
      <c r="H152" s="503" t="s">
        <v>122</v>
      </c>
      <c r="I152" s="695">
        <v>23</v>
      </c>
      <c r="J152" s="695">
        <v>1</v>
      </c>
      <c r="K152" s="777">
        <f t="shared" si="31"/>
        <v>1.3068181818181817E-2</v>
      </c>
      <c r="L152" s="968">
        <v>0</v>
      </c>
      <c r="M152" s="503">
        <f t="shared" si="28"/>
        <v>16</v>
      </c>
      <c r="N152" s="504">
        <v>0.67361111111111116</v>
      </c>
      <c r="O152" s="719">
        <f t="shared" si="29"/>
        <v>0.67361111111111116</v>
      </c>
      <c r="P152" s="564"/>
      <c r="Q152" s="564">
        <f t="shared" si="30"/>
        <v>-0.67361111111111116</v>
      </c>
      <c r="R152" s="965" t="s">
        <v>1520</v>
      </c>
      <c r="S152" s="487"/>
      <c r="U152" s="29" t="str">
        <f t="shared" si="22"/>
        <v>HutchinsonF0</v>
      </c>
      <c r="V152" s="29" t="str">
        <f t="shared" si="23"/>
        <v>1966F0</v>
      </c>
      <c r="W152" s="80">
        <v>20</v>
      </c>
      <c r="X152" s="32">
        <v>1</v>
      </c>
      <c r="Y152" s="467">
        <v>0.01</v>
      </c>
      <c r="Z152" s="80"/>
      <c r="AA152" s="29" t="str">
        <f t="shared" si="24"/>
        <v>F020</v>
      </c>
      <c r="AB152" s="29" t="str">
        <f t="shared" si="25"/>
        <v>F01</v>
      </c>
      <c r="AC152" s="29" t="str">
        <f t="shared" si="26"/>
        <v>F00.01</v>
      </c>
      <c r="AD152" s="29" t="str">
        <f t="shared" si="27"/>
        <v>F016</v>
      </c>
      <c r="AE152" s="443"/>
      <c r="AF152" s="443"/>
      <c r="AG152" s="443"/>
      <c r="AH152" s="443"/>
    </row>
    <row r="153" spans="1:34" ht="16.5">
      <c r="A153" s="728">
        <f t="shared" si="32"/>
        <v>146</v>
      </c>
      <c r="B153" s="563">
        <v>4</v>
      </c>
      <c r="C153" s="694">
        <v>24278</v>
      </c>
      <c r="D153" s="694" t="s">
        <v>149</v>
      </c>
      <c r="E153" s="563">
        <v>20</v>
      </c>
      <c r="F153" s="503">
        <v>1966</v>
      </c>
      <c r="G153" s="563" t="s">
        <v>102</v>
      </c>
      <c r="H153" s="503" t="s">
        <v>122</v>
      </c>
      <c r="I153" s="695">
        <v>20</v>
      </c>
      <c r="J153" s="695">
        <v>1</v>
      </c>
      <c r="K153" s="777">
        <f t="shared" si="31"/>
        <v>1.1363636363636364E-2</v>
      </c>
      <c r="L153" s="968">
        <v>0</v>
      </c>
      <c r="M153" s="503">
        <f t="shared" si="28"/>
        <v>22</v>
      </c>
      <c r="N153" s="504">
        <v>0.93958333333333333</v>
      </c>
      <c r="O153" s="719">
        <f t="shared" si="29"/>
        <v>0.93958333333333333</v>
      </c>
      <c r="P153" s="564"/>
      <c r="Q153" s="564">
        <f t="shared" si="30"/>
        <v>-0.93958333333333333</v>
      </c>
      <c r="R153" s="965" t="s">
        <v>1520</v>
      </c>
      <c r="S153" s="487"/>
      <c r="U153" s="29" t="str">
        <f t="shared" si="22"/>
        <v>DallamF0</v>
      </c>
      <c r="V153" s="29" t="str">
        <f t="shared" si="23"/>
        <v>1966F0</v>
      </c>
      <c r="W153" s="80">
        <v>20</v>
      </c>
      <c r="X153" s="32">
        <v>1</v>
      </c>
      <c r="Y153" s="467">
        <v>0.01</v>
      </c>
      <c r="Z153" s="80"/>
      <c r="AA153" s="29" t="str">
        <f t="shared" si="24"/>
        <v>F020</v>
      </c>
      <c r="AB153" s="29" t="str">
        <f t="shared" si="25"/>
        <v>F01</v>
      </c>
      <c r="AC153" s="29" t="str">
        <f t="shared" si="26"/>
        <v>F00.01</v>
      </c>
      <c r="AD153" s="29" t="str">
        <f t="shared" si="27"/>
        <v>F022</v>
      </c>
      <c r="AE153" s="443"/>
      <c r="AF153" s="443"/>
      <c r="AG153" s="443"/>
      <c r="AH153" s="443"/>
    </row>
    <row r="154" spans="1:34" ht="16.5">
      <c r="A154" s="728">
        <f t="shared" si="32"/>
        <v>147</v>
      </c>
      <c r="B154" s="563">
        <v>5</v>
      </c>
      <c r="C154" s="694">
        <v>24283</v>
      </c>
      <c r="D154" s="694" t="s">
        <v>149</v>
      </c>
      <c r="E154" s="563">
        <v>25</v>
      </c>
      <c r="F154" s="503">
        <v>1966</v>
      </c>
      <c r="G154" s="563" t="s">
        <v>102</v>
      </c>
      <c r="H154" s="503" t="s">
        <v>122</v>
      </c>
      <c r="I154" s="695">
        <v>33</v>
      </c>
      <c r="J154" s="695">
        <v>2</v>
      </c>
      <c r="K154" s="777">
        <f t="shared" si="31"/>
        <v>3.7499999999999999E-2</v>
      </c>
      <c r="L154" s="968">
        <v>0</v>
      </c>
      <c r="M154" s="503">
        <f t="shared" si="28"/>
        <v>17</v>
      </c>
      <c r="N154" s="504">
        <v>0.73055555555555562</v>
      </c>
      <c r="O154" s="719">
        <f t="shared" si="29"/>
        <v>0.73055555555555562</v>
      </c>
      <c r="P154" s="564"/>
      <c r="Q154" s="564">
        <f t="shared" si="30"/>
        <v>-0.73055555555555562</v>
      </c>
      <c r="R154" s="965" t="s">
        <v>1520</v>
      </c>
      <c r="S154" s="487"/>
      <c r="U154" s="29" t="str">
        <f t="shared" si="22"/>
        <v>DallamF0</v>
      </c>
      <c r="V154" s="29" t="str">
        <f t="shared" si="23"/>
        <v>1966F0</v>
      </c>
      <c r="W154" s="80">
        <v>20</v>
      </c>
      <c r="X154" s="32">
        <v>2</v>
      </c>
      <c r="Y154" s="467">
        <v>0.02</v>
      </c>
      <c r="Z154" s="80"/>
      <c r="AA154" s="29" t="str">
        <f t="shared" si="24"/>
        <v>F020</v>
      </c>
      <c r="AB154" s="29" t="str">
        <f t="shared" si="25"/>
        <v>F02</v>
      </c>
      <c r="AC154" s="29" t="str">
        <f t="shared" si="26"/>
        <v>F00.02</v>
      </c>
      <c r="AD154" s="29" t="str">
        <f t="shared" si="27"/>
        <v>F017</v>
      </c>
      <c r="AE154" s="443"/>
      <c r="AF154" s="443"/>
      <c r="AG154" s="443"/>
      <c r="AH154" s="443"/>
    </row>
    <row r="155" spans="1:34" ht="16.5">
      <c r="A155" s="728">
        <f t="shared" si="32"/>
        <v>148</v>
      </c>
      <c r="B155" s="563">
        <v>6</v>
      </c>
      <c r="C155" s="694">
        <v>24307</v>
      </c>
      <c r="D155" s="694" t="s">
        <v>150</v>
      </c>
      <c r="E155" s="563">
        <v>19</v>
      </c>
      <c r="F155" s="503">
        <v>1966</v>
      </c>
      <c r="G155" s="563" t="s">
        <v>106</v>
      </c>
      <c r="H155" s="503" t="s">
        <v>122</v>
      </c>
      <c r="I155" s="695">
        <v>10</v>
      </c>
      <c r="J155" s="695">
        <v>1</v>
      </c>
      <c r="K155" s="777">
        <f t="shared" si="31"/>
        <v>5.681818181818182E-3</v>
      </c>
      <c r="L155" s="968">
        <v>0</v>
      </c>
      <c r="M155" s="503">
        <f t="shared" si="28"/>
        <v>13</v>
      </c>
      <c r="N155" s="504">
        <v>0.5805555555555556</v>
      </c>
      <c r="O155" s="719">
        <f t="shared" si="29"/>
        <v>0.5805555555555556</v>
      </c>
      <c r="P155" s="564"/>
      <c r="Q155" s="564">
        <f t="shared" si="30"/>
        <v>-0.5805555555555556</v>
      </c>
      <c r="R155" s="965" t="s">
        <v>1520</v>
      </c>
      <c r="S155" s="487"/>
      <c r="U155" s="29" t="str">
        <f t="shared" si="22"/>
        <v>LipscombF0</v>
      </c>
      <c r="V155" s="29" t="str">
        <f t="shared" si="23"/>
        <v>1966F0</v>
      </c>
      <c r="W155" s="80">
        <v>10</v>
      </c>
      <c r="X155" s="32">
        <v>1</v>
      </c>
      <c r="Y155" s="467">
        <v>5.0000000000000001E-3</v>
      </c>
      <c r="Z155" s="80"/>
      <c r="AA155" s="29" t="str">
        <f t="shared" si="24"/>
        <v>F010</v>
      </c>
      <c r="AB155" s="29" t="str">
        <f t="shared" si="25"/>
        <v>F01</v>
      </c>
      <c r="AC155" s="29" t="str">
        <f t="shared" si="26"/>
        <v>F00.005</v>
      </c>
      <c r="AD155" s="29" t="str">
        <f t="shared" si="27"/>
        <v>F013</v>
      </c>
      <c r="AE155" s="443"/>
      <c r="AF155" s="443"/>
      <c r="AG155" s="443"/>
      <c r="AH155" s="443"/>
    </row>
    <row r="156" spans="1:34" ht="16.5">
      <c r="A156" s="728">
        <f t="shared" si="32"/>
        <v>149</v>
      </c>
      <c r="B156" s="563">
        <v>7</v>
      </c>
      <c r="C156" s="694">
        <v>24307</v>
      </c>
      <c r="D156" s="694" t="s">
        <v>150</v>
      </c>
      <c r="E156" s="563">
        <v>19</v>
      </c>
      <c r="F156" s="503">
        <v>1966</v>
      </c>
      <c r="G156" s="563" t="s">
        <v>106</v>
      </c>
      <c r="H156" s="503" t="s">
        <v>122</v>
      </c>
      <c r="I156" s="695">
        <v>17</v>
      </c>
      <c r="J156" s="695">
        <v>1.5</v>
      </c>
      <c r="K156" s="777">
        <f t="shared" si="31"/>
        <v>1.4488636363636363E-2</v>
      </c>
      <c r="L156" s="968">
        <v>0</v>
      </c>
      <c r="M156" s="503">
        <f t="shared" si="28"/>
        <v>13</v>
      </c>
      <c r="N156" s="504">
        <v>0.5805555555555556</v>
      </c>
      <c r="O156" s="719">
        <f t="shared" si="29"/>
        <v>0.5805555555555556</v>
      </c>
      <c r="P156" s="564"/>
      <c r="Q156" s="564">
        <f t="shared" si="30"/>
        <v>-0.5805555555555556</v>
      </c>
      <c r="R156" s="965" t="s">
        <v>1520</v>
      </c>
      <c r="S156" s="487"/>
      <c r="U156" s="29" t="str">
        <f t="shared" si="22"/>
        <v>LipscombF0</v>
      </c>
      <c r="V156" s="29" t="str">
        <f t="shared" si="23"/>
        <v>1966F0</v>
      </c>
      <c r="W156" s="80">
        <v>10</v>
      </c>
      <c r="X156" s="32">
        <v>1</v>
      </c>
      <c r="Y156" s="467">
        <v>0.01</v>
      </c>
      <c r="Z156" s="80"/>
      <c r="AA156" s="29" t="str">
        <f t="shared" si="24"/>
        <v>F010</v>
      </c>
      <c r="AB156" s="29" t="str">
        <f t="shared" si="25"/>
        <v>F01</v>
      </c>
      <c r="AC156" s="29" t="str">
        <f t="shared" si="26"/>
        <v>F00.01</v>
      </c>
      <c r="AD156" s="29" t="str">
        <f t="shared" si="27"/>
        <v>F013</v>
      </c>
      <c r="AE156" s="443"/>
      <c r="AF156" s="443"/>
      <c r="AG156" s="443"/>
      <c r="AH156" s="443"/>
    </row>
    <row r="157" spans="1:34" ht="16.5">
      <c r="A157" s="728">
        <f t="shared" si="32"/>
        <v>150</v>
      </c>
      <c r="B157" s="563">
        <v>8</v>
      </c>
      <c r="C157" s="694">
        <v>24328</v>
      </c>
      <c r="D157" s="694" t="s">
        <v>151</v>
      </c>
      <c r="E157" s="563">
        <v>9</v>
      </c>
      <c r="F157" s="503">
        <v>1966</v>
      </c>
      <c r="G157" s="563" t="s">
        <v>109</v>
      </c>
      <c r="H157" s="503" t="s">
        <v>122</v>
      </c>
      <c r="I157" s="695">
        <v>27</v>
      </c>
      <c r="J157" s="695">
        <v>2.7</v>
      </c>
      <c r="K157" s="777">
        <f t="shared" si="31"/>
        <v>4.1420454545454545E-2</v>
      </c>
      <c r="L157" s="968">
        <v>0</v>
      </c>
      <c r="M157" s="503">
        <f t="shared" si="28"/>
        <v>19</v>
      </c>
      <c r="N157" s="504">
        <v>0.82291666666666663</v>
      </c>
      <c r="O157" s="719">
        <f t="shared" si="29"/>
        <v>0.82291666666666663</v>
      </c>
      <c r="P157" s="564"/>
      <c r="Q157" s="564">
        <f t="shared" si="30"/>
        <v>-0.82291666666666663</v>
      </c>
      <c r="R157" s="965" t="s">
        <v>1520</v>
      </c>
      <c r="S157" s="487"/>
      <c r="U157" s="29" t="str">
        <f t="shared" si="22"/>
        <v>HutchinsonF0</v>
      </c>
      <c r="V157" s="29" t="str">
        <f t="shared" si="23"/>
        <v>1966F0</v>
      </c>
      <c r="W157" s="80">
        <v>20</v>
      </c>
      <c r="X157" s="32">
        <v>2</v>
      </c>
      <c r="Y157" s="467">
        <v>0.02</v>
      </c>
      <c r="Z157" s="80"/>
      <c r="AA157" s="29" t="str">
        <f t="shared" si="24"/>
        <v>F020</v>
      </c>
      <c r="AB157" s="29" t="str">
        <f t="shared" si="25"/>
        <v>F02</v>
      </c>
      <c r="AC157" s="29" t="str">
        <f t="shared" si="26"/>
        <v>F00.02</v>
      </c>
      <c r="AD157" s="29" t="str">
        <f t="shared" si="27"/>
        <v>F019</v>
      </c>
      <c r="AE157" s="443"/>
      <c r="AF157" s="443"/>
      <c r="AG157" s="443"/>
      <c r="AH157" s="443"/>
    </row>
    <row r="158" spans="1:34" ht="16.5">
      <c r="A158" s="728">
        <f t="shared" si="32"/>
        <v>151</v>
      </c>
      <c r="B158" s="563">
        <v>9</v>
      </c>
      <c r="C158" s="694">
        <v>24328</v>
      </c>
      <c r="D158" s="694" t="s">
        <v>151</v>
      </c>
      <c r="E158" s="563">
        <v>9</v>
      </c>
      <c r="F158" s="503">
        <v>1966</v>
      </c>
      <c r="G158" s="563" t="s">
        <v>107</v>
      </c>
      <c r="H158" s="503" t="s">
        <v>122</v>
      </c>
      <c r="I158" s="695">
        <v>33</v>
      </c>
      <c r="J158" s="695">
        <v>1</v>
      </c>
      <c r="K158" s="777">
        <f t="shared" si="31"/>
        <v>1.8749999999999999E-2</v>
      </c>
      <c r="L158" s="968">
        <v>0</v>
      </c>
      <c r="M158" s="503">
        <f t="shared" si="28"/>
        <v>21</v>
      </c>
      <c r="N158" s="504">
        <v>0.89583333333333337</v>
      </c>
      <c r="O158" s="719">
        <f t="shared" si="29"/>
        <v>0.89583333333333337</v>
      </c>
      <c r="P158" s="564"/>
      <c r="Q158" s="564">
        <f t="shared" si="30"/>
        <v>-0.89583333333333337</v>
      </c>
      <c r="R158" s="965" t="s">
        <v>1520</v>
      </c>
      <c r="S158" s="487"/>
      <c r="U158" s="29" t="str">
        <f t="shared" si="22"/>
        <v>HartleyF0</v>
      </c>
      <c r="V158" s="29" t="str">
        <f t="shared" si="23"/>
        <v>1966F0</v>
      </c>
      <c r="W158" s="80">
        <v>20</v>
      </c>
      <c r="X158" s="32">
        <v>1</v>
      </c>
      <c r="Y158" s="467">
        <v>0.01</v>
      </c>
      <c r="Z158" s="80"/>
      <c r="AA158" s="29" t="str">
        <f t="shared" si="24"/>
        <v>F020</v>
      </c>
      <c r="AB158" s="29" t="str">
        <f t="shared" si="25"/>
        <v>F01</v>
      </c>
      <c r="AC158" s="29" t="str">
        <f t="shared" si="26"/>
        <v>F00.01</v>
      </c>
      <c r="AD158" s="29" t="str">
        <f t="shared" si="27"/>
        <v>F021</v>
      </c>
      <c r="AE158" s="443"/>
      <c r="AF158" s="443"/>
      <c r="AG158" s="443"/>
      <c r="AH158" s="443"/>
    </row>
    <row r="159" spans="1:34" ht="16.5">
      <c r="A159" s="728">
        <f t="shared" si="32"/>
        <v>152</v>
      </c>
      <c r="B159" s="563">
        <v>10</v>
      </c>
      <c r="C159" s="694">
        <v>24337</v>
      </c>
      <c r="D159" s="694" t="s">
        <v>151</v>
      </c>
      <c r="E159" s="563">
        <v>18</v>
      </c>
      <c r="F159" s="503">
        <v>1966</v>
      </c>
      <c r="G159" s="563" t="s">
        <v>121</v>
      </c>
      <c r="H159" s="503" t="s">
        <v>122</v>
      </c>
      <c r="I159" s="695">
        <v>23</v>
      </c>
      <c r="J159" s="695">
        <v>1</v>
      </c>
      <c r="K159" s="777">
        <f t="shared" si="31"/>
        <v>1.3068181818181817E-2</v>
      </c>
      <c r="L159" s="968">
        <v>0</v>
      </c>
      <c r="M159" s="503">
        <f t="shared" si="28"/>
        <v>16</v>
      </c>
      <c r="N159" s="504">
        <v>0.66666666666666663</v>
      </c>
      <c r="O159" s="719">
        <f t="shared" si="29"/>
        <v>0.66666666666666663</v>
      </c>
      <c r="P159" s="564"/>
      <c r="Q159" s="564">
        <f t="shared" si="30"/>
        <v>-0.66666666666666663</v>
      </c>
      <c r="R159" s="965" t="s">
        <v>1520</v>
      </c>
      <c r="S159" s="487"/>
      <c r="U159" s="29" t="str">
        <f t="shared" si="22"/>
        <v>CollingsworthF0</v>
      </c>
      <c r="V159" s="29" t="str">
        <f t="shared" si="23"/>
        <v>1966F0</v>
      </c>
      <c r="W159" s="80">
        <v>20</v>
      </c>
      <c r="X159" s="32">
        <v>1</v>
      </c>
      <c r="Y159" s="467">
        <v>0.01</v>
      </c>
      <c r="Z159" s="80"/>
      <c r="AA159" s="29" t="str">
        <f t="shared" si="24"/>
        <v>F020</v>
      </c>
      <c r="AB159" s="29" t="str">
        <f t="shared" si="25"/>
        <v>F01</v>
      </c>
      <c r="AC159" s="29" t="str">
        <f t="shared" si="26"/>
        <v>F00.01</v>
      </c>
      <c r="AD159" s="29" t="str">
        <f t="shared" si="27"/>
        <v>F016</v>
      </c>
      <c r="AE159" s="443"/>
      <c r="AF159" s="443"/>
      <c r="AG159" s="443"/>
      <c r="AH159" s="443"/>
    </row>
    <row r="160" spans="1:34" ht="16.5">
      <c r="A160" s="728">
        <f t="shared" si="32"/>
        <v>153</v>
      </c>
      <c r="B160" s="563">
        <v>11</v>
      </c>
      <c r="C160" s="694">
        <v>24337</v>
      </c>
      <c r="D160" s="694" t="s">
        <v>151</v>
      </c>
      <c r="E160" s="563">
        <v>18</v>
      </c>
      <c r="F160" s="503">
        <v>1966</v>
      </c>
      <c r="G160" s="563" t="s">
        <v>121</v>
      </c>
      <c r="H160" s="503" t="s">
        <v>123</v>
      </c>
      <c r="I160" s="695">
        <v>33</v>
      </c>
      <c r="J160" s="695">
        <v>2</v>
      </c>
      <c r="K160" s="777">
        <f t="shared" si="31"/>
        <v>3.7499999999999999E-2</v>
      </c>
      <c r="L160" s="968">
        <v>0</v>
      </c>
      <c r="M160" s="503">
        <f t="shared" si="28"/>
        <v>16</v>
      </c>
      <c r="N160" s="504">
        <v>0.66666666666666663</v>
      </c>
      <c r="O160" s="719">
        <f t="shared" si="29"/>
        <v>0.66666666666666663</v>
      </c>
      <c r="P160" s="564"/>
      <c r="Q160" s="564">
        <f t="shared" si="30"/>
        <v>-0.66666666666666663</v>
      </c>
      <c r="R160" s="965" t="s">
        <v>1520</v>
      </c>
      <c r="S160" s="487"/>
      <c r="U160" s="29" t="str">
        <f t="shared" si="22"/>
        <v>CollingsworthF1</v>
      </c>
      <c r="V160" s="29" t="str">
        <f t="shared" si="23"/>
        <v>1966F1</v>
      </c>
      <c r="W160" s="80">
        <v>20</v>
      </c>
      <c r="X160" s="32">
        <v>2</v>
      </c>
      <c r="Y160" s="467">
        <v>0.02</v>
      </c>
      <c r="Z160" s="80"/>
      <c r="AA160" s="29" t="str">
        <f t="shared" si="24"/>
        <v>F120</v>
      </c>
      <c r="AB160" s="29" t="str">
        <f t="shared" si="25"/>
        <v>F12</v>
      </c>
      <c r="AC160" s="29" t="str">
        <f t="shared" si="26"/>
        <v>F10.02</v>
      </c>
      <c r="AD160" s="29" t="str">
        <f t="shared" si="27"/>
        <v>F116</v>
      </c>
      <c r="AE160" s="443"/>
      <c r="AF160" s="443"/>
      <c r="AG160" s="443"/>
      <c r="AH160" s="443"/>
    </row>
    <row r="161" spans="1:34" ht="16.5">
      <c r="A161" s="728">
        <f t="shared" si="32"/>
        <v>154</v>
      </c>
      <c r="B161" s="563">
        <v>12</v>
      </c>
      <c r="C161" s="694">
        <v>24367</v>
      </c>
      <c r="D161" s="694" t="s">
        <v>152</v>
      </c>
      <c r="E161" s="563">
        <v>17</v>
      </c>
      <c r="F161" s="503">
        <v>1966</v>
      </c>
      <c r="G161" s="563" t="s">
        <v>113</v>
      </c>
      <c r="H161" s="503" t="s">
        <v>123</v>
      </c>
      <c r="I161" s="695">
        <v>13</v>
      </c>
      <c r="J161" s="695">
        <v>1</v>
      </c>
      <c r="K161" s="777">
        <f t="shared" si="31"/>
        <v>7.3863636363636362E-3</v>
      </c>
      <c r="L161" s="968">
        <v>0</v>
      </c>
      <c r="M161" s="503">
        <f t="shared" si="28"/>
        <v>12</v>
      </c>
      <c r="N161" s="504">
        <v>0.53125</v>
      </c>
      <c r="O161" s="719">
        <f t="shared" si="29"/>
        <v>0.53125</v>
      </c>
      <c r="P161" s="564"/>
      <c r="Q161" s="564">
        <f t="shared" si="30"/>
        <v>-0.53125</v>
      </c>
      <c r="R161" s="965" t="s">
        <v>1520</v>
      </c>
      <c r="S161" s="487"/>
      <c r="U161" s="29" t="str">
        <f t="shared" si="22"/>
        <v>PotterF1</v>
      </c>
      <c r="V161" s="29" t="str">
        <f t="shared" si="23"/>
        <v>1966F1</v>
      </c>
      <c r="W161" s="80">
        <v>10</v>
      </c>
      <c r="X161" s="32">
        <v>1</v>
      </c>
      <c r="Y161" s="467">
        <v>5.0000000000000001E-3</v>
      </c>
      <c r="Z161" s="80"/>
      <c r="AA161" s="29" t="str">
        <f t="shared" si="24"/>
        <v>F110</v>
      </c>
      <c r="AB161" s="29" t="str">
        <f t="shared" si="25"/>
        <v>F11</v>
      </c>
      <c r="AC161" s="29" t="str">
        <f t="shared" si="26"/>
        <v>F10.005</v>
      </c>
      <c r="AD161" s="29" t="str">
        <f t="shared" si="27"/>
        <v>F112</v>
      </c>
      <c r="AE161" s="443"/>
      <c r="AF161" s="443"/>
      <c r="AG161" s="443"/>
      <c r="AH161" s="443"/>
    </row>
    <row r="162" spans="1:34" ht="16.5">
      <c r="A162" s="728">
        <f t="shared" si="32"/>
        <v>155</v>
      </c>
      <c r="B162" s="563">
        <v>1</v>
      </c>
      <c r="C162" s="694">
        <v>24550</v>
      </c>
      <c r="D162" s="694" t="s">
        <v>146</v>
      </c>
      <c r="E162" s="563">
        <v>19</v>
      </c>
      <c r="F162" s="503">
        <v>1967</v>
      </c>
      <c r="G162" s="563" t="s">
        <v>117</v>
      </c>
      <c r="H162" s="503" t="s">
        <v>122</v>
      </c>
      <c r="I162" s="695">
        <v>10</v>
      </c>
      <c r="J162" s="695">
        <v>0.5</v>
      </c>
      <c r="K162" s="777">
        <f t="shared" si="31"/>
        <v>2.840909090909091E-3</v>
      </c>
      <c r="L162" s="968">
        <v>0</v>
      </c>
      <c r="M162" s="503">
        <f t="shared" si="28"/>
        <v>18</v>
      </c>
      <c r="N162" s="504">
        <v>0.75</v>
      </c>
      <c r="O162" s="719">
        <f t="shared" si="29"/>
        <v>0.75</v>
      </c>
      <c r="P162" s="564"/>
      <c r="Q162" s="564">
        <f t="shared" si="30"/>
        <v>-0.75</v>
      </c>
      <c r="R162" s="965" t="s">
        <v>1520</v>
      </c>
      <c r="S162" s="487"/>
      <c r="T162" s="29"/>
      <c r="U162" s="29" t="str">
        <f t="shared" si="22"/>
        <v>Deaf SmithF0</v>
      </c>
      <c r="V162" s="29" t="str">
        <f t="shared" si="23"/>
        <v>1967F0</v>
      </c>
      <c r="W162" s="80">
        <v>10</v>
      </c>
      <c r="X162" s="32">
        <v>0.5</v>
      </c>
      <c r="Y162" s="467">
        <v>2E-3</v>
      </c>
      <c r="Z162" s="80"/>
      <c r="AA162" s="29" t="str">
        <f t="shared" si="24"/>
        <v>F010</v>
      </c>
      <c r="AB162" s="29" t="str">
        <f t="shared" si="25"/>
        <v>F00.5</v>
      </c>
      <c r="AC162" s="29" t="str">
        <f t="shared" si="26"/>
        <v>F00.002</v>
      </c>
      <c r="AD162" s="29" t="str">
        <f t="shared" si="27"/>
        <v>F018</v>
      </c>
      <c r="AE162" s="443"/>
      <c r="AF162" s="443"/>
      <c r="AG162" s="443"/>
      <c r="AH162" s="443"/>
    </row>
    <row r="163" spans="1:34" ht="16.5">
      <c r="A163" s="728">
        <f t="shared" si="32"/>
        <v>156</v>
      </c>
      <c r="B163" s="563">
        <v>2</v>
      </c>
      <c r="C163" s="694">
        <v>24550</v>
      </c>
      <c r="D163" s="694" t="s">
        <v>146</v>
      </c>
      <c r="E163" s="563">
        <v>19</v>
      </c>
      <c r="F163" s="503">
        <v>1967</v>
      </c>
      <c r="G163" s="563" t="s">
        <v>117</v>
      </c>
      <c r="H163" s="503" t="s">
        <v>122</v>
      </c>
      <c r="I163" s="695">
        <v>10</v>
      </c>
      <c r="J163" s="695">
        <v>0.5</v>
      </c>
      <c r="K163" s="777">
        <f t="shared" si="31"/>
        <v>2.840909090909091E-3</v>
      </c>
      <c r="L163" s="968">
        <v>0</v>
      </c>
      <c r="M163" s="503">
        <f t="shared" si="28"/>
        <v>18</v>
      </c>
      <c r="N163" s="504">
        <v>0.75</v>
      </c>
      <c r="O163" s="719">
        <f t="shared" si="29"/>
        <v>0.75</v>
      </c>
      <c r="P163" s="564"/>
      <c r="Q163" s="564">
        <f t="shared" si="30"/>
        <v>-0.75</v>
      </c>
      <c r="R163" s="965" t="s">
        <v>1520</v>
      </c>
      <c r="S163" s="487"/>
      <c r="T163" s="29"/>
      <c r="U163" s="29" t="str">
        <f t="shared" si="22"/>
        <v>Deaf SmithF0</v>
      </c>
      <c r="V163" s="29" t="str">
        <f t="shared" si="23"/>
        <v>1967F0</v>
      </c>
      <c r="W163" s="80">
        <v>10</v>
      </c>
      <c r="X163" s="32">
        <v>0.5</v>
      </c>
      <c r="Y163" s="467">
        <v>2E-3</v>
      </c>
      <c r="Z163" s="80"/>
      <c r="AA163" s="29" t="str">
        <f t="shared" si="24"/>
        <v>F010</v>
      </c>
      <c r="AB163" s="29" t="str">
        <f t="shared" si="25"/>
        <v>F00.5</v>
      </c>
      <c r="AC163" s="29" t="str">
        <f t="shared" si="26"/>
        <v>F00.002</v>
      </c>
      <c r="AD163" s="29" t="str">
        <f t="shared" si="27"/>
        <v>F018</v>
      </c>
      <c r="AE163" s="443"/>
      <c r="AF163" s="443"/>
      <c r="AG163" s="443"/>
      <c r="AH163" s="443"/>
    </row>
    <row r="164" spans="1:34" ht="16.5">
      <c r="A164" s="728">
        <f t="shared" si="32"/>
        <v>157</v>
      </c>
      <c r="B164" s="563">
        <v>3</v>
      </c>
      <c r="C164" s="694">
        <v>24582</v>
      </c>
      <c r="D164" s="694" t="s">
        <v>147</v>
      </c>
      <c r="E164" s="563">
        <v>20</v>
      </c>
      <c r="F164" s="503">
        <v>1967</v>
      </c>
      <c r="G164" s="563" t="s">
        <v>105</v>
      </c>
      <c r="H164" s="503" t="s">
        <v>123</v>
      </c>
      <c r="I164" s="695">
        <v>100</v>
      </c>
      <c r="J164" s="695">
        <v>0.3</v>
      </c>
      <c r="K164" s="777">
        <f t="shared" si="31"/>
        <v>1.7045454545454544E-2</v>
      </c>
      <c r="L164" s="968">
        <v>3000</v>
      </c>
      <c r="M164" s="503">
        <f t="shared" si="28"/>
        <v>18</v>
      </c>
      <c r="N164" s="504">
        <v>0.78125</v>
      </c>
      <c r="O164" s="719">
        <f t="shared" si="29"/>
        <v>0.78125</v>
      </c>
      <c r="P164" s="564"/>
      <c r="Q164" s="564">
        <f t="shared" si="30"/>
        <v>-0.78125</v>
      </c>
      <c r="R164" s="965" t="s">
        <v>1520</v>
      </c>
      <c r="S164" s="487"/>
      <c r="T164" s="29"/>
      <c r="U164" s="29" t="str">
        <f t="shared" si="22"/>
        <v>OchiltreeF1</v>
      </c>
      <c r="V164" s="29" t="str">
        <f t="shared" si="23"/>
        <v>1967F1</v>
      </c>
      <c r="W164" s="80">
        <v>100</v>
      </c>
      <c r="X164" s="32">
        <v>0.2</v>
      </c>
      <c r="Y164" s="467">
        <v>0.01</v>
      </c>
      <c r="Z164" s="80"/>
      <c r="AA164" s="29" t="str">
        <f t="shared" si="24"/>
        <v>F1100</v>
      </c>
      <c r="AB164" s="29" t="str">
        <f t="shared" si="25"/>
        <v>F10.2</v>
      </c>
      <c r="AC164" s="29" t="str">
        <f t="shared" si="26"/>
        <v>F10.01</v>
      </c>
      <c r="AD164" s="29" t="str">
        <f t="shared" si="27"/>
        <v>F118</v>
      </c>
      <c r="AE164" s="443"/>
      <c r="AF164" s="443"/>
      <c r="AG164" s="443"/>
      <c r="AH164" s="443"/>
    </row>
    <row r="165" spans="1:34" ht="16.5">
      <c r="A165" s="728">
        <f t="shared" si="32"/>
        <v>158</v>
      </c>
      <c r="B165" s="563">
        <v>4</v>
      </c>
      <c r="C165" s="694">
        <v>24597</v>
      </c>
      <c r="D165" s="694" t="s">
        <v>148</v>
      </c>
      <c r="E165" s="563">
        <v>5</v>
      </c>
      <c r="F165" s="503">
        <v>1967</v>
      </c>
      <c r="G165" s="563" t="s">
        <v>118</v>
      </c>
      <c r="H165" s="503" t="s">
        <v>122</v>
      </c>
      <c r="I165" s="695">
        <v>33</v>
      </c>
      <c r="J165" s="695">
        <v>0.1</v>
      </c>
      <c r="K165" s="777">
        <f t="shared" si="31"/>
        <v>1.8749999999999999E-3</v>
      </c>
      <c r="L165" s="968">
        <v>0</v>
      </c>
      <c r="M165" s="503">
        <f t="shared" si="28"/>
        <v>13</v>
      </c>
      <c r="N165" s="504">
        <v>0.57638888888888895</v>
      </c>
      <c r="O165" s="719">
        <f t="shared" si="29"/>
        <v>0.57638888888888895</v>
      </c>
      <c r="P165" s="564"/>
      <c r="Q165" s="564">
        <f t="shared" si="30"/>
        <v>-0.57638888888888895</v>
      </c>
      <c r="R165" s="965" t="s">
        <v>1520</v>
      </c>
      <c r="S165" s="487"/>
      <c r="T165" s="29"/>
      <c r="U165" s="29" t="str">
        <f t="shared" si="22"/>
        <v>RandallF0</v>
      </c>
      <c r="V165" s="29" t="str">
        <f t="shared" si="23"/>
        <v>1967F0</v>
      </c>
      <c r="W165" s="80">
        <v>20</v>
      </c>
      <c r="X165" s="32">
        <v>0.1</v>
      </c>
      <c r="Y165" s="467">
        <v>1E-3</v>
      </c>
      <c r="Z165" s="80"/>
      <c r="AA165" s="29" t="str">
        <f t="shared" si="24"/>
        <v>F020</v>
      </c>
      <c r="AB165" s="29" t="str">
        <f t="shared" si="25"/>
        <v>F00.1</v>
      </c>
      <c r="AC165" s="29" t="str">
        <f t="shared" si="26"/>
        <v>F00.001</v>
      </c>
      <c r="AD165" s="29" t="str">
        <f t="shared" si="27"/>
        <v>F013</v>
      </c>
      <c r="AE165" s="443"/>
      <c r="AF165" s="443"/>
      <c r="AG165" s="443"/>
      <c r="AH165" s="443"/>
    </row>
    <row r="166" spans="1:34" ht="16.5">
      <c r="A166" s="728">
        <f t="shared" si="32"/>
        <v>159</v>
      </c>
      <c r="B166" s="563">
        <v>5</v>
      </c>
      <c r="C166" s="694">
        <v>24597</v>
      </c>
      <c r="D166" s="694" t="s">
        <v>148</v>
      </c>
      <c r="E166" s="563">
        <v>5</v>
      </c>
      <c r="F166" s="503">
        <v>1967</v>
      </c>
      <c r="G166" s="563" t="s">
        <v>114</v>
      </c>
      <c r="H166" s="503" t="s">
        <v>122</v>
      </c>
      <c r="I166" s="695">
        <v>17</v>
      </c>
      <c r="J166" s="695">
        <v>0.5</v>
      </c>
      <c r="K166" s="777">
        <f t="shared" si="31"/>
        <v>4.8295454545454544E-3</v>
      </c>
      <c r="L166" s="968">
        <v>0</v>
      </c>
      <c r="M166" s="503">
        <f t="shared" si="28"/>
        <v>15</v>
      </c>
      <c r="N166" s="504">
        <v>0.65625</v>
      </c>
      <c r="O166" s="719">
        <f t="shared" si="29"/>
        <v>0.65625</v>
      </c>
      <c r="P166" s="564"/>
      <c r="Q166" s="564">
        <f t="shared" si="30"/>
        <v>-0.65625</v>
      </c>
      <c r="R166" s="965" t="s">
        <v>1520</v>
      </c>
      <c r="S166" s="487"/>
      <c r="T166" s="29"/>
      <c r="U166" s="29" t="str">
        <f t="shared" si="22"/>
        <v>CarsonF0</v>
      </c>
      <c r="V166" s="29" t="str">
        <f t="shared" si="23"/>
        <v>1967F0</v>
      </c>
      <c r="W166" s="80">
        <v>10</v>
      </c>
      <c r="X166" s="32">
        <v>0.5</v>
      </c>
      <c r="Y166" s="467">
        <v>2E-3</v>
      </c>
      <c r="Z166" s="80"/>
      <c r="AA166" s="29" t="str">
        <f t="shared" si="24"/>
        <v>F010</v>
      </c>
      <c r="AB166" s="29" t="str">
        <f t="shared" si="25"/>
        <v>F00.5</v>
      </c>
      <c r="AC166" s="29" t="str">
        <f t="shared" si="26"/>
        <v>F00.002</v>
      </c>
      <c r="AD166" s="29" t="str">
        <f t="shared" si="27"/>
        <v>F015</v>
      </c>
      <c r="AE166" s="443"/>
      <c r="AF166" s="443"/>
      <c r="AG166" s="443"/>
      <c r="AH166" s="443"/>
    </row>
    <row r="167" spans="1:34" ht="16.5">
      <c r="A167" s="728">
        <f t="shared" si="32"/>
        <v>160</v>
      </c>
      <c r="B167" s="563">
        <v>6</v>
      </c>
      <c r="C167" s="694">
        <v>24597</v>
      </c>
      <c r="D167" s="694" t="s">
        <v>148</v>
      </c>
      <c r="E167" s="563">
        <v>5</v>
      </c>
      <c r="F167" s="503">
        <v>1967</v>
      </c>
      <c r="G167" s="563" t="s">
        <v>114</v>
      </c>
      <c r="H167" s="503" t="s">
        <v>122</v>
      </c>
      <c r="I167" s="695">
        <v>3</v>
      </c>
      <c r="J167" s="695">
        <v>0.1</v>
      </c>
      <c r="K167" s="777">
        <f t="shared" si="31"/>
        <v>1.7045454545454547E-4</v>
      </c>
      <c r="L167" s="968">
        <v>0</v>
      </c>
      <c r="M167" s="503">
        <f t="shared" si="28"/>
        <v>16</v>
      </c>
      <c r="N167" s="504">
        <v>0.69097222222222221</v>
      </c>
      <c r="O167" s="719">
        <f t="shared" si="29"/>
        <v>0.69097222222222221</v>
      </c>
      <c r="P167" s="564"/>
      <c r="Q167" s="564">
        <f t="shared" si="30"/>
        <v>-0.69097222222222221</v>
      </c>
      <c r="R167" s="965" t="s">
        <v>1520</v>
      </c>
      <c r="S167" s="487"/>
      <c r="T167" s="29"/>
      <c r="U167" s="29" t="str">
        <f t="shared" si="22"/>
        <v>CarsonF0</v>
      </c>
      <c r="V167" s="29" t="str">
        <f t="shared" si="23"/>
        <v>1967F0</v>
      </c>
      <c r="W167" s="80">
        <v>2</v>
      </c>
      <c r="X167" s="32">
        <v>0.1</v>
      </c>
      <c r="Y167" s="467">
        <v>1E-4</v>
      </c>
      <c r="Z167" s="80"/>
      <c r="AA167" s="29" t="str">
        <f t="shared" si="24"/>
        <v>F02</v>
      </c>
      <c r="AB167" s="29" t="str">
        <f t="shared" si="25"/>
        <v>F00.1</v>
      </c>
      <c r="AC167" s="29" t="str">
        <f t="shared" si="26"/>
        <v>F00.0001</v>
      </c>
      <c r="AD167" s="29" t="str">
        <f t="shared" si="27"/>
        <v>F016</v>
      </c>
      <c r="AE167" s="443"/>
      <c r="AF167" s="443"/>
      <c r="AG167" s="443"/>
      <c r="AH167" s="443"/>
    </row>
    <row r="168" spans="1:34" ht="16.5">
      <c r="A168" s="728">
        <f t="shared" si="32"/>
        <v>161</v>
      </c>
      <c r="B168" s="563">
        <v>7</v>
      </c>
      <c r="C168" s="694">
        <v>24597</v>
      </c>
      <c r="D168" s="694" t="s">
        <v>148</v>
      </c>
      <c r="E168" s="563">
        <v>5</v>
      </c>
      <c r="F168" s="503">
        <v>1967</v>
      </c>
      <c r="G168" s="563" t="s">
        <v>114</v>
      </c>
      <c r="H168" s="503" t="s">
        <v>124</v>
      </c>
      <c r="I168" s="695">
        <v>100</v>
      </c>
      <c r="J168" s="695">
        <v>16.2</v>
      </c>
      <c r="K168" s="777">
        <f t="shared" si="31"/>
        <v>0.92045454545454541</v>
      </c>
      <c r="L168" s="968">
        <v>25000</v>
      </c>
      <c r="M168" s="503">
        <f t="shared" si="28"/>
        <v>16</v>
      </c>
      <c r="N168" s="504">
        <v>0.69097222222222221</v>
      </c>
      <c r="O168" s="719">
        <f t="shared" si="29"/>
        <v>0.69097222222222221</v>
      </c>
      <c r="P168" s="564"/>
      <c r="Q168" s="564">
        <f t="shared" si="30"/>
        <v>-0.69097222222222221</v>
      </c>
      <c r="R168" s="965" t="s">
        <v>1520</v>
      </c>
      <c r="S168" s="487"/>
      <c r="T168" s="29"/>
      <c r="U168" s="29" t="str">
        <f t="shared" si="22"/>
        <v>CarsonF2</v>
      </c>
      <c r="V168" s="29" t="str">
        <f t="shared" si="23"/>
        <v>1967F2</v>
      </c>
      <c r="W168" s="80">
        <v>100</v>
      </c>
      <c r="X168" s="32">
        <v>10</v>
      </c>
      <c r="Y168" s="467">
        <v>0.5</v>
      </c>
      <c r="Z168" s="80"/>
      <c r="AA168" s="29" t="str">
        <f t="shared" si="24"/>
        <v>F2100</v>
      </c>
      <c r="AB168" s="29" t="str">
        <f t="shared" si="25"/>
        <v>F210</v>
      </c>
      <c r="AC168" s="29" t="str">
        <f t="shared" si="26"/>
        <v>F20.5</v>
      </c>
      <c r="AD168" s="29" t="str">
        <f t="shared" si="27"/>
        <v>F216</v>
      </c>
      <c r="AE168" s="443"/>
      <c r="AF168" s="443"/>
      <c r="AG168" s="443"/>
      <c r="AH168" s="443"/>
    </row>
    <row r="169" spans="1:34" ht="16.5">
      <c r="A169" s="728">
        <f t="shared" si="32"/>
        <v>162</v>
      </c>
      <c r="B169" s="563">
        <v>8</v>
      </c>
      <c r="C169" s="694">
        <v>24597</v>
      </c>
      <c r="D169" s="694" t="s">
        <v>148</v>
      </c>
      <c r="E169" s="563">
        <v>5</v>
      </c>
      <c r="F169" s="503">
        <v>1967</v>
      </c>
      <c r="G169" s="563" t="s">
        <v>115</v>
      </c>
      <c r="H169" s="503" t="s">
        <v>123</v>
      </c>
      <c r="I169" s="695">
        <v>33</v>
      </c>
      <c r="J169" s="695">
        <v>0.1</v>
      </c>
      <c r="K169" s="777">
        <f t="shared" si="31"/>
        <v>1.8749999999999999E-3</v>
      </c>
      <c r="L169" s="968">
        <v>3000</v>
      </c>
      <c r="M169" s="503">
        <f t="shared" si="28"/>
        <v>16</v>
      </c>
      <c r="N169" s="504">
        <v>0.69791666666666663</v>
      </c>
      <c r="O169" s="719">
        <f t="shared" si="29"/>
        <v>0.69791666666666663</v>
      </c>
      <c r="P169" s="564"/>
      <c r="Q169" s="564">
        <f t="shared" si="30"/>
        <v>-0.69791666666666663</v>
      </c>
      <c r="R169" s="965" t="s">
        <v>1520</v>
      </c>
      <c r="S169" s="487"/>
      <c r="T169" s="29"/>
      <c r="U169" s="29" t="str">
        <f t="shared" si="22"/>
        <v>GrayF1</v>
      </c>
      <c r="V169" s="29" t="str">
        <f t="shared" si="23"/>
        <v>1967F1</v>
      </c>
      <c r="W169" s="80">
        <v>20</v>
      </c>
      <c r="X169" s="32">
        <v>0.1</v>
      </c>
      <c r="Y169" s="467">
        <v>1E-3</v>
      </c>
      <c r="Z169" s="80"/>
      <c r="AA169" s="29" t="str">
        <f t="shared" si="24"/>
        <v>F120</v>
      </c>
      <c r="AB169" s="29" t="str">
        <f t="shared" si="25"/>
        <v>F10.1</v>
      </c>
      <c r="AC169" s="29" t="str">
        <f t="shared" si="26"/>
        <v>F10.001</v>
      </c>
      <c r="AD169" s="29" t="str">
        <f t="shared" si="27"/>
        <v>F116</v>
      </c>
      <c r="AE169" s="443"/>
      <c r="AF169" s="443"/>
      <c r="AG169" s="443"/>
      <c r="AH169" s="443"/>
    </row>
    <row r="170" spans="1:34" ht="16.5">
      <c r="A170" s="728">
        <f t="shared" si="32"/>
        <v>163</v>
      </c>
      <c r="B170" s="563">
        <v>9</v>
      </c>
      <c r="C170" s="694">
        <v>24597</v>
      </c>
      <c r="D170" s="694" t="s">
        <v>148</v>
      </c>
      <c r="E170" s="563">
        <v>5</v>
      </c>
      <c r="F170" s="503">
        <v>1967</v>
      </c>
      <c r="G170" s="563" t="s">
        <v>108</v>
      </c>
      <c r="H170" s="503" t="s">
        <v>124</v>
      </c>
      <c r="I170" s="695">
        <v>67</v>
      </c>
      <c r="J170" s="695">
        <v>2.2999999999999998</v>
      </c>
      <c r="K170" s="777">
        <f t="shared" si="31"/>
        <v>8.755681818181818E-2</v>
      </c>
      <c r="L170" s="968">
        <v>0</v>
      </c>
      <c r="M170" s="503">
        <f t="shared" si="28"/>
        <v>16</v>
      </c>
      <c r="N170" s="504">
        <v>0.69791666666666663</v>
      </c>
      <c r="O170" s="719">
        <f t="shared" si="29"/>
        <v>0.69791666666666663</v>
      </c>
      <c r="P170" s="564"/>
      <c r="Q170" s="564">
        <f t="shared" si="30"/>
        <v>-0.69791666666666663</v>
      </c>
      <c r="R170" s="965" t="s">
        <v>1520</v>
      </c>
      <c r="S170" s="487"/>
      <c r="T170" s="29"/>
      <c r="U170" s="29" t="str">
        <f t="shared" si="22"/>
        <v>MooreF2</v>
      </c>
      <c r="V170" s="29" t="str">
        <f t="shared" si="23"/>
        <v>1967F2</v>
      </c>
      <c r="W170" s="80">
        <v>50</v>
      </c>
      <c r="X170" s="32">
        <v>2</v>
      </c>
      <c r="Y170" s="467">
        <v>0.05</v>
      </c>
      <c r="Z170" s="80"/>
      <c r="AA170" s="29" t="str">
        <f t="shared" si="24"/>
        <v>F250</v>
      </c>
      <c r="AB170" s="29" t="str">
        <f t="shared" si="25"/>
        <v>F22</v>
      </c>
      <c r="AC170" s="29" t="str">
        <f t="shared" si="26"/>
        <v>F20.05</v>
      </c>
      <c r="AD170" s="29" t="str">
        <f t="shared" si="27"/>
        <v>F216</v>
      </c>
      <c r="AE170" s="443"/>
      <c r="AF170" s="443"/>
      <c r="AG170" s="443"/>
      <c r="AH170" s="443"/>
    </row>
    <row r="171" spans="1:34" ht="16.5">
      <c r="A171" s="728">
        <f t="shared" si="32"/>
        <v>164</v>
      </c>
      <c r="B171" s="563">
        <v>10</v>
      </c>
      <c r="C171" s="694">
        <v>24622</v>
      </c>
      <c r="D171" s="694" t="s">
        <v>148</v>
      </c>
      <c r="E171" s="563">
        <v>30</v>
      </c>
      <c r="F171" s="503">
        <v>1967</v>
      </c>
      <c r="G171" s="563" t="s">
        <v>112</v>
      </c>
      <c r="H171" s="503" t="s">
        <v>122</v>
      </c>
      <c r="I171" s="695">
        <v>17</v>
      </c>
      <c r="J171" s="695">
        <v>1</v>
      </c>
      <c r="K171" s="777">
        <f t="shared" si="31"/>
        <v>9.6590909090909088E-3</v>
      </c>
      <c r="L171" s="968">
        <v>0</v>
      </c>
      <c r="M171" s="503">
        <f t="shared" si="28"/>
        <v>19</v>
      </c>
      <c r="N171" s="504">
        <v>0.79166666666666663</v>
      </c>
      <c r="O171" s="719">
        <f t="shared" si="29"/>
        <v>0.79166666666666663</v>
      </c>
      <c r="P171" s="564"/>
      <c r="Q171" s="564">
        <f t="shared" si="30"/>
        <v>-0.79166666666666663</v>
      </c>
      <c r="R171" s="965" t="s">
        <v>1520</v>
      </c>
      <c r="S171" s="487"/>
      <c r="T171" s="29"/>
      <c r="U171" s="29" t="str">
        <f t="shared" si="22"/>
        <v>OldhamF0</v>
      </c>
      <c r="V171" s="29" t="str">
        <f t="shared" si="23"/>
        <v>1967F0</v>
      </c>
      <c r="W171" s="80">
        <v>10</v>
      </c>
      <c r="X171" s="32">
        <v>1</v>
      </c>
      <c r="Y171" s="467">
        <v>5.0000000000000001E-3</v>
      </c>
      <c r="Z171" s="80"/>
      <c r="AA171" s="29" t="str">
        <f t="shared" si="24"/>
        <v>F010</v>
      </c>
      <c r="AB171" s="29" t="str">
        <f t="shared" si="25"/>
        <v>F01</v>
      </c>
      <c r="AC171" s="29" t="str">
        <f t="shared" si="26"/>
        <v>F00.005</v>
      </c>
      <c r="AD171" s="29" t="str">
        <f t="shared" si="27"/>
        <v>F019</v>
      </c>
      <c r="AE171" s="443"/>
      <c r="AF171" s="443"/>
      <c r="AG171" s="443"/>
      <c r="AH171" s="443"/>
    </row>
    <row r="172" spans="1:34" ht="16.5">
      <c r="A172" s="728">
        <f t="shared" si="32"/>
        <v>165</v>
      </c>
      <c r="B172" s="563">
        <v>11</v>
      </c>
      <c r="C172" s="694">
        <v>24623</v>
      </c>
      <c r="D172" s="694" t="s">
        <v>148</v>
      </c>
      <c r="E172" s="563">
        <v>31</v>
      </c>
      <c r="F172" s="503">
        <v>1967</v>
      </c>
      <c r="G172" s="563" t="s">
        <v>101</v>
      </c>
      <c r="H172" s="503" t="s">
        <v>123</v>
      </c>
      <c r="I172" s="695">
        <v>440</v>
      </c>
      <c r="J172" s="695">
        <v>0.8</v>
      </c>
      <c r="K172" s="777">
        <f t="shared" si="31"/>
        <v>0.2</v>
      </c>
      <c r="L172" s="968">
        <v>25000</v>
      </c>
      <c r="M172" s="503">
        <f t="shared" si="28"/>
        <v>21</v>
      </c>
      <c r="N172" s="504">
        <v>0.88194444444444453</v>
      </c>
      <c r="O172" s="719">
        <f t="shared" si="29"/>
        <v>0.88194444444444453</v>
      </c>
      <c r="P172" s="564"/>
      <c r="Q172" s="564">
        <f t="shared" si="30"/>
        <v>-0.88194444444444453</v>
      </c>
      <c r="R172" s="965" t="s">
        <v>1520</v>
      </c>
      <c r="S172" s="487"/>
      <c r="T172" s="29"/>
      <c r="U172" s="29" t="str">
        <f t="shared" si="22"/>
        <v>BeaverF1</v>
      </c>
      <c r="V172" s="29" t="str">
        <f t="shared" si="23"/>
        <v>1967F1</v>
      </c>
      <c r="W172" s="80">
        <v>200</v>
      </c>
      <c r="X172" s="32">
        <v>0.5</v>
      </c>
      <c r="Y172" s="467">
        <v>0.2</v>
      </c>
      <c r="Z172" s="80"/>
      <c r="AA172" s="29" t="str">
        <f t="shared" si="24"/>
        <v>F1200</v>
      </c>
      <c r="AB172" s="29" t="str">
        <f t="shared" si="25"/>
        <v>F10.5</v>
      </c>
      <c r="AC172" s="29" t="str">
        <f t="shared" si="26"/>
        <v>F10.2</v>
      </c>
      <c r="AD172" s="29" t="str">
        <f t="shared" si="27"/>
        <v>F121</v>
      </c>
      <c r="AE172" s="443"/>
      <c r="AF172" s="443"/>
      <c r="AG172" s="443"/>
      <c r="AH172" s="443"/>
    </row>
    <row r="173" spans="1:34" ht="16.5">
      <c r="A173" s="728">
        <f t="shared" si="32"/>
        <v>166</v>
      </c>
      <c r="B173" s="563">
        <v>12</v>
      </c>
      <c r="C173" s="694">
        <v>24624</v>
      </c>
      <c r="D173" s="694" t="s">
        <v>149</v>
      </c>
      <c r="E173" s="563">
        <v>1</v>
      </c>
      <c r="F173" s="503">
        <v>1967</v>
      </c>
      <c r="G173" s="563" t="s">
        <v>117</v>
      </c>
      <c r="H173" s="503" t="s">
        <v>124</v>
      </c>
      <c r="I173" s="695">
        <v>33</v>
      </c>
      <c r="J173" s="695">
        <v>4.7</v>
      </c>
      <c r="K173" s="777">
        <f t="shared" si="31"/>
        <v>8.8124999999999995E-2</v>
      </c>
      <c r="L173" s="968">
        <v>0</v>
      </c>
      <c r="M173" s="503">
        <f t="shared" si="28"/>
        <v>15</v>
      </c>
      <c r="N173" s="504">
        <v>0.625</v>
      </c>
      <c r="O173" s="719">
        <f t="shared" si="29"/>
        <v>0.625</v>
      </c>
      <c r="P173" s="564"/>
      <c r="Q173" s="564">
        <f t="shared" si="30"/>
        <v>-0.625</v>
      </c>
      <c r="R173" s="965" t="s">
        <v>1520</v>
      </c>
      <c r="S173" s="487"/>
      <c r="T173" s="29"/>
      <c r="U173" s="29" t="str">
        <f t="shared" si="22"/>
        <v>Deaf SmithF2</v>
      </c>
      <c r="V173" s="29" t="str">
        <f t="shared" si="23"/>
        <v>1967F2</v>
      </c>
      <c r="W173" s="80">
        <v>20</v>
      </c>
      <c r="X173" s="32">
        <v>2</v>
      </c>
      <c r="Y173" s="467">
        <v>0.05</v>
      </c>
      <c r="Z173" s="80"/>
      <c r="AA173" s="29" t="str">
        <f t="shared" si="24"/>
        <v>F220</v>
      </c>
      <c r="AB173" s="29" t="str">
        <f t="shared" si="25"/>
        <v>F22</v>
      </c>
      <c r="AC173" s="29" t="str">
        <f t="shared" si="26"/>
        <v>F20.05</v>
      </c>
      <c r="AD173" s="29" t="str">
        <f t="shared" si="27"/>
        <v>F215</v>
      </c>
      <c r="AE173" s="443"/>
      <c r="AF173" s="443"/>
      <c r="AG173" s="443"/>
      <c r="AH173" s="443"/>
    </row>
    <row r="174" spans="1:34" ht="16.5">
      <c r="A174" s="728">
        <f t="shared" si="32"/>
        <v>167</v>
      </c>
      <c r="B174" s="563">
        <v>13</v>
      </c>
      <c r="C174" s="694">
        <v>24632</v>
      </c>
      <c r="D174" s="694" t="s">
        <v>149</v>
      </c>
      <c r="E174" s="563">
        <v>9</v>
      </c>
      <c r="F174" s="503">
        <v>1967</v>
      </c>
      <c r="G174" s="563" t="s">
        <v>106</v>
      </c>
      <c r="H174" s="503" t="s">
        <v>123</v>
      </c>
      <c r="I174" s="695">
        <v>37</v>
      </c>
      <c r="J174" s="695">
        <v>2</v>
      </c>
      <c r="K174" s="777">
        <f t="shared" si="31"/>
        <v>4.2045454545454546E-2</v>
      </c>
      <c r="L174" s="968">
        <v>3000</v>
      </c>
      <c r="M174" s="503">
        <f t="shared" si="28"/>
        <v>17</v>
      </c>
      <c r="N174" s="504">
        <v>0.70833333333333337</v>
      </c>
      <c r="O174" s="719">
        <f t="shared" si="29"/>
        <v>0.70833333333333337</v>
      </c>
      <c r="P174" s="564"/>
      <c r="Q174" s="564">
        <f t="shared" si="30"/>
        <v>-0.70833333333333337</v>
      </c>
      <c r="R174" s="965" t="s">
        <v>1520</v>
      </c>
      <c r="S174" s="487"/>
      <c r="T174" s="29"/>
      <c r="U174" s="29" t="str">
        <f t="shared" si="22"/>
        <v>LipscombF1</v>
      </c>
      <c r="V174" s="29" t="str">
        <f t="shared" si="23"/>
        <v>1967F1</v>
      </c>
      <c r="W174" s="80">
        <v>20</v>
      </c>
      <c r="X174" s="32">
        <v>2</v>
      </c>
      <c r="Y174" s="467">
        <v>0.02</v>
      </c>
      <c r="Z174" s="80"/>
      <c r="AA174" s="29" t="str">
        <f t="shared" si="24"/>
        <v>F120</v>
      </c>
      <c r="AB174" s="29" t="str">
        <f t="shared" si="25"/>
        <v>F12</v>
      </c>
      <c r="AC174" s="29" t="str">
        <f t="shared" si="26"/>
        <v>F10.02</v>
      </c>
      <c r="AD174" s="29" t="str">
        <f t="shared" si="27"/>
        <v>F117</v>
      </c>
      <c r="AE174" s="443"/>
      <c r="AF174" s="443"/>
      <c r="AG174" s="443"/>
      <c r="AH174" s="443"/>
    </row>
    <row r="175" spans="1:34" ht="16.5">
      <c r="A175" s="728">
        <f t="shared" si="32"/>
        <v>168</v>
      </c>
      <c r="B175" s="563">
        <v>14</v>
      </c>
      <c r="C175" s="694">
        <v>24637</v>
      </c>
      <c r="D175" s="694" t="s">
        <v>149</v>
      </c>
      <c r="E175" s="563">
        <v>14</v>
      </c>
      <c r="F175" s="503">
        <v>1967</v>
      </c>
      <c r="G175" s="563" t="s">
        <v>100</v>
      </c>
      <c r="H175" s="503" t="s">
        <v>122</v>
      </c>
      <c r="I175" s="695">
        <v>10</v>
      </c>
      <c r="J175" s="695">
        <v>0.1</v>
      </c>
      <c r="K175" s="777">
        <f t="shared" si="31"/>
        <v>5.6818181818181826E-4</v>
      </c>
      <c r="L175" s="968">
        <v>0</v>
      </c>
      <c r="M175" s="503">
        <f t="shared" si="28"/>
        <v>21</v>
      </c>
      <c r="N175" s="504">
        <v>0.89166666666666661</v>
      </c>
      <c r="O175" s="719">
        <f t="shared" si="29"/>
        <v>0.89166666666666661</v>
      </c>
      <c r="P175" s="564"/>
      <c r="Q175" s="564">
        <f t="shared" si="30"/>
        <v>-0.89166666666666661</v>
      </c>
      <c r="R175" s="965" t="s">
        <v>1520</v>
      </c>
      <c r="S175" s="487"/>
      <c r="T175" s="29"/>
      <c r="U175" s="29" t="str">
        <f t="shared" si="22"/>
        <v>TexasF0</v>
      </c>
      <c r="V175" s="29" t="str">
        <f t="shared" si="23"/>
        <v>1967F0</v>
      </c>
      <c r="W175" s="80">
        <v>10</v>
      </c>
      <c r="X175" s="32">
        <v>0.1</v>
      </c>
      <c r="Y175" s="467">
        <v>5.0000000000000001E-4</v>
      </c>
      <c r="Z175" s="80"/>
      <c r="AA175" s="29" t="str">
        <f t="shared" si="24"/>
        <v>F010</v>
      </c>
      <c r="AB175" s="29" t="str">
        <f t="shared" si="25"/>
        <v>F00.1</v>
      </c>
      <c r="AC175" s="29" t="str">
        <f t="shared" si="26"/>
        <v>F00.0005</v>
      </c>
      <c r="AD175" s="29" t="str">
        <f t="shared" si="27"/>
        <v>F021</v>
      </c>
      <c r="AE175" s="443"/>
      <c r="AF175" s="443"/>
      <c r="AG175" s="443"/>
      <c r="AH175" s="443"/>
    </row>
    <row r="176" spans="1:34" ht="16.5">
      <c r="A176" s="728">
        <f t="shared" si="32"/>
        <v>169</v>
      </c>
      <c r="B176" s="563">
        <v>15</v>
      </c>
      <c r="C176" s="694">
        <v>24637</v>
      </c>
      <c r="D176" s="694" t="s">
        <v>149</v>
      </c>
      <c r="E176" s="563">
        <v>14</v>
      </c>
      <c r="F176" s="503">
        <v>1967</v>
      </c>
      <c r="G176" s="563" t="s">
        <v>100</v>
      </c>
      <c r="H176" s="503" t="s">
        <v>122</v>
      </c>
      <c r="I176" s="695">
        <v>150</v>
      </c>
      <c r="J176" s="695">
        <v>0.3</v>
      </c>
      <c r="K176" s="777">
        <f t="shared" si="31"/>
        <v>2.5568181818181816E-2</v>
      </c>
      <c r="L176" s="968">
        <v>0</v>
      </c>
      <c r="M176" s="503">
        <f t="shared" si="28"/>
        <v>21</v>
      </c>
      <c r="N176" s="504">
        <v>0.90625</v>
      </c>
      <c r="O176" s="719">
        <f t="shared" si="29"/>
        <v>0.90625</v>
      </c>
      <c r="P176" s="564"/>
      <c r="Q176" s="564">
        <f t="shared" si="30"/>
        <v>-0.90625</v>
      </c>
      <c r="R176" s="965" t="s">
        <v>1520</v>
      </c>
      <c r="S176" s="487"/>
      <c r="T176" s="29"/>
      <c r="U176" s="29" t="str">
        <f t="shared" si="22"/>
        <v>TexasF0</v>
      </c>
      <c r="V176" s="29" t="str">
        <f t="shared" si="23"/>
        <v>1967F0</v>
      </c>
      <c r="W176" s="80">
        <v>100</v>
      </c>
      <c r="X176" s="32">
        <v>0.2</v>
      </c>
      <c r="Y176" s="467">
        <v>0.02</v>
      </c>
      <c r="Z176" s="80"/>
      <c r="AA176" s="29" t="str">
        <f t="shared" si="24"/>
        <v>F0100</v>
      </c>
      <c r="AB176" s="29" t="str">
        <f t="shared" si="25"/>
        <v>F00.2</v>
      </c>
      <c r="AC176" s="29" t="str">
        <f t="shared" si="26"/>
        <v>F00.02</v>
      </c>
      <c r="AD176" s="29" t="str">
        <f t="shared" si="27"/>
        <v>F021</v>
      </c>
      <c r="AE176" s="443"/>
      <c r="AF176" s="443"/>
      <c r="AG176" s="443"/>
      <c r="AH176" s="443"/>
    </row>
    <row r="177" spans="1:34" ht="16.5">
      <c r="A177" s="728">
        <f t="shared" si="32"/>
        <v>170</v>
      </c>
      <c r="B177" s="563">
        <v>16</v>
      </c>
      <c r="C177" s="694">
        <v>24638</v>
      </c>
      <c r="D177" s="694" t="s">
        <v>149</v>
      </c>
      <c r="E177" s="563">
        <v>15</v>
      </c>
      <c r="F177" s="503">
        <v>1967</v>
      </c>
      <c r="G177" s="563" t="s">
        <v>108</v>
      </c>
      <c r="H177" s="503" t="s">
        <v>123</v>
      </c>
      <c r="I177" s="695">
        <v>33</v>
      </c>
      <c r="J177" s="695">
        <v>43.2</v>
      </c>
      <c r="K177" s="777">
        <f t="shared" si="31"/>
        <v>0.81</v>
      </c>
      <c r="L177" s="968">
        <v>0</v>
      </c>
      <c r="M177" s="503">
        <f t="shared" si="28"/>
        <v>8</v>
      </c>
      <c r="N177" s="504">
        <v>0.34375</v>
      </c>
      <c r="O177" s="719">
        <f t="shared" si="29"/>
        <v>0.34375</v>
      </c>
      <c r="P177" s="564"/>
      <c r="Q177" s="564">
        <f t="shared" si="30"/>
        <v>-0.34375</v>
      </c>
      <c r="R177" s="965" t="s">
        <v>1520</v>
      </c>
      <c r="S177" s="487"/>
      <c r="T177" s="29"/>
      <c r="U177" s="29" t="str">
        <f t="shared" si="22"/>
        <v>MooreF1</v>
      </c>
      <c r="V177" s="29" t="str">
        <f t="shared" si="23"/>
        <v>1967F1</v>
      </c>
      <c r="W177" s="80">
        <v>20</v>
      </c>
      <c r="X177" s="32">
        <v>20</v>
      </c>
      <c r="Y177" s="467">
        <v>0.5</v>
      </c>
      <c r="Z177" s="80"/>
      <c r="AA177" s="29" t="str">
        <f t="shared" si="24"/>
        <v>F120</v>
      </c>
      <c r="AB177" s="29" t="str">
        <f t="shared" si="25"/>
        <v>F120</v>
      </c>
      <c r="AC177" s="29" t="str">
        <f t="shared" si="26"/>
        <v>F10.5</v>
      </c>
      <c r="AD177" s="29" t="str">
        <f t="shared" si="27"/>
        <v>F18</v>
      </c>
      <c r="AE177" s="443"/>
      <c r="AF177" s="443"/>
      <c r="AG177" s="443"/>
      <c r="AH177" s="443"/>
    </row>
    <row r="178" spans="1:34" ht="16.5">
      <c r="A178" s="728">
        <f t="shared" si="32"/>
        <v>171</v>
      </c>
      <c r="B178" s="563">
        <v>17</v>
      </c>
      <c r="C178" s="694">
        <v>24638</v>
      </c>
      <c r="D178" s="694" t="s">
        <v>149</v>
      </c>
      <c r="E178" s="563">
        <v>15</v>
      </c>
      <c r="F178" s="503">
        <v>1967</v>
      </c>
      <c r="G178" s="563" t="s">
        <v>118</v>
      </c>
      <c r="H178" s="503" t="s">
        <v>124</v>
      </c>
      <c r="I178" s="695">
        <v>33</v>
      </c>
      <c r="J178" s="695">
        <v>0.1</v>
      </c>
      <c r="K178" s="777">
        <f t="shared" si="31"/>
        <v>1.8749999999999999E-3</v>
      </c>
      <c r="L178" s="968">
        <v>3000</v>
      </c>
      <c r="M178" s="503">
        <f t="shared" si="28"/>
        <v>20</v>
      </c>
      <c r="N178" s="504">
        <v>0.83333333333333337</v>
      </c>
      <c r="O178" s="719">
        <f t="shared" si="29"/>
        <v>0.83333333333333337</v>
      </c>
      <c r="P178" s="564"/>
      <c r="Q178" s="564">
        <f t="shared" si="30"/>
        <v>-0.83333333333333337</v>
      </c>
      <c r="R178" s="965" t="s">
        <v>1520</v>
      </c>
      <c r="S178" s="487"/>
      <c r="T178" s="29"/>
      <c r="U178" s="29" t="str">
        <f t="shared" si="22"/>
        <v>RandallF2</v>
      </c>
      <c r="V178" s="29" t="str">
        <f t="shared" si="23"/>
        <v>1967F2</v>
      </c>
      <c r="W178" s="80">
        <v>20</v>
      </c>
      <c r="X178" s="32">
        <v>0.1</v>
      </c>
      <c r="Y178" s="467">
        <v>1E-3</v>
      </c>
      <c r="Z178" s="80"/>
      <c r="AA178" s="29" t="str">
        <f t="shared" si="24"/>
        <v>F220</v>
      </c>
      <c r="AB178" s="29" t="str">
        <f t="shared" si="25"/>
        <v>F20.1</v>
      </c>
      <c r="AC178" s="29" t="str">
        <f t="shared" si="26"/>
        <v>F20.001</v>
      </c>
      <c r="AD178" s="29" t="str">
        <f t="shared" si="27"/>
        <v>F220</v>
      </c>
      <c r="AE178" s="443"/>
      <c r="AF178" s="443"/>
      <c r="AG178" s="443"/>
      <c r="AH178" s="443"/>
    </row>
    <row r="179" spans="1:34" ht="16.5">
      <c r="A179" s="728">
        <f t="shared" si="32"/>
        <v>172</v>
      </c>
      <c r="B179" s="563">
        <v>18</v>
      </c>
      <c r="C179" s="694">
        <v>24646</v>
      </c>
      <c r="D179" s="694" t="s">
        <v>149</v>
      </c>
      <c r="E179" s="563">
        <v>23</v>
      </c>
      <c r="F179" s="503">
        <v>1967</v>
      </c>
      <c r="G179" s="563" t="s">
        <v>108</v>
      </c>
      <c r="H179" s="503" t="s">
        <v>122</v>
      </c>
      <c r="I179" s="695">
        <v>33</v>
      </c>
      <c r="J179" s="695">
        <v>0.1</v>
      </c>
      <c r="K179" s="777">
        <f t="shared" si="31"/>
        <v>1.8749999999999999E-3</v>
      </c>
      <c r="L179" s="968">
        <v>0</v>
      </c>
      <c r="M179" s="503">
        <f t="shared" si="28"/>
        <v>17</v>
      </c>
      <c r="N179" s="504">
        <v>0.70833333333333337</v>
      </c>
      <c r="O179" s="719">
        <f t="shared" si="29"/>
        <v>0.70833333333333337</v>
      </c>
      <c r="P179" s="564"/>
      <c r="Q179" s="564">
        <f t="shared" si="30"/>
        <v>-0.70833333333333337</v>
      </c>
      <c r="R179" s="965" t="s">
        <v>1520</v>
      </c>
      <c r="S179" s="487"/>
      <c r="T179" s="29"/>
      <c r="U179" s="29" t="str">
        <f t="shared" si="22"/>
        <v>MooreF0</v>
      </c>
      <c r="V179" s="29" t="str">
        <f t="shared" si="23"/>
        <v>1967F0</v>
      </c>
      <c r="W179" s="80">
        <v>20</v>
      </c>
      <c r="X179" s="32">
        <v>0.1</v>
      </c>
      <c r="Y179" s="467">
        <v>1E-3</v>
      </c>
      <c r="Z179" s="80"/>
      <c r="AA179" s="29" t="str">
        <f t="shared" si="24"/>
        <v>F020</v>
      </c>
      <c r="AB179" s="29" t="str">
        <f t="shared" si="25"/>
        <v>F00.1</v>
      </c>
      <c r="AC179" s="29" t="str">
        <f t="shared" si="26"/>
        <v>F00.001</v>
      </c>
      <c r="AD179" s="29" t="str">
        <f t="shared" si="27"/>
        <v>F017</v>
      </c>
      <c r="AE179" s="443"/>
      <c r="AF179" s="443"/>
      <c r="AG179" s="443"/>
      <c r="AH179" s="443"/>
    </row>
    <row r="180" spans="1:34" ht="16.5">
      <c r="A180" s="728">
        <f t="shared" si="32"/>
        <v>173</v>
      </c>
      <c r="B180" s="563">
        <v>19</v>
      </c>
      <c r="C180" s="694">
        <v>24651</v>
      </c>
      <c r="D180" s="694" t="s">
        <v>149</v>
      </c>
      <c r="E180" s="563">
        <v>28</v>
      </c>
      <c r="F180" s="503">
        <v>1967</v>
      </c>
      <c r="G180" s="563" t="s">
        <v>104</v>
      </c>
      <c r="H180" s="503" t="s">
        <v>123</v>
      </c>
      <c r="I180" s="695">
        <v>100</v>
      </c>
      <c r="J180" s="695">
        <v>1</v>
      </c>
      <c r="K180" s="777">
        <f t="shared" si="31"/>
        <v>5.6818181818181816E-2</v>
      </c>
      <c r="L180" s="968">
        <v>3000</v>
      </c>
      <c r="M180" s="503">
        <f t="shared" si="28"/>
        <v>16</v>
      </c>
      <c r="N180" s="504">
        <v>0.66666666666666663</v>
      </c>
      <c r="O180" s="719">
        <f t="shared" si="29"/>
        <v>0.66666666666666663</v>
      </c>
      <c r="P180" s="564"/>
      <c r="Q180" s="564">
        <f t="shared" si="30"/>
        <v>-0.66666666666666663</v>
      </c>
      <c r="R180" s="965" t="s">
        <v>1520</v>
      </c>
      <c r="S180" s="487"/>
      <c r="T180" s="29"/>
      <c r="U180" s="29" t="str">
        <f t="shared" si="22"/>
        <v>HansfordF1</v>
      </c>
      <c r="V180" s="29" t="str">
        <f t="shared" si="23"/>
        <v>1967F1</v>
      </c>
      <c r="W180" s="80">
        <v>100</v>
      </c>
      <c r="X180" s="32">
        <v>1</v>
      </c>
      <c r="Y180" s="467">
        <v>0.05</v>
      </c>
      <c r="Z180" s="80"/>
      <c r="AA180" s="29" t="str">
        <f t="shared" si="24"/>
        <v>F1100</v>
      </c>
      <c r="AB180" s="29" t="str">
        <f t="shared" si="25"/>
        <v>F11</v>
      </c>
      <c r="AC180" s="29" t="str">
        <f t="shared" si="26"/>
        <v>F10.05</v>
      </c>
      <c r="AD180" s="29" t="str">
        <f t="shared" si="27"/>
        <v>F116</v>
      </c>
      <c r="AE180" s="443"/>
      <c r="AF180" s="443"/>
      <c r="AG180" s="443"/>
      <c r="AH180" s="443"/>
    </row>
    <row r="181" spans="1:34" ht="16.5">
      <c r="A181" s="728">
        <f t="shared" si="32"/>
        <v>174</v>
      </c>
      <c r="B181" s="563">
        <v>20</v>
      </c>
      <c r="C181" s="694">
        <v>24651</v>
      </c>
      <c r="D181" s="694" t="s">
        <v>149</v>
      </c>
      <c r="E181" s="563">
        <v>28</v>
      </c>
      <c r="F181" s="503">
        <v>1967</v>
      </c>
      <c r="G181" s="563" t="s">
        <v>112</v>
      </c>
      <c r="H181" s="503" t="s">
        <v>122</v>
      </c>
      <c r="I181" s="695">
        <v>10</v>
      </c>
      <c r="J181" s="695">
        <v>0.1</v>
      </c>
      <c r="K181" s="777">
        <f t="shared" si="31"/>
        <v>5.6818181818181826E-4</v>
      </c>
      <c r="L181" s="968">
        <v>0</v>
      </c>
      <c r="M181" s="503">
        <f t="shared" si="28"/>
        <v>18</v>
      </c>
      <c r="N181" s="504">
        <v>0.78125</v>
      </c>
      <c r="O181" s="719">
        <f t="shared" si="29"/>
        <v>0.78125</v>
      </c>
      <c r="P181" s="564"/>
      <c r="Q181" s="564">
        <f t="shared" si="30"/>
        <v>-0.78125</v>
      </c>
      <c r="R181" s="965" t="s">
        <v>1520</v>
      </c>
      <c r="S181" s="487"/>
      <c r="T181" s="29"/>
      <c r="U181" s="29" t="str">
        <f t="shared" si="22"/>
        <v>OldhamF0</v>
      </c>
      <c r="V181" s="29" t="str">
        <f t="shared" si="23"/>
        <v>1967F0</v>
      </c>
      <c r="W181" s="80">
        <v>10</v>
      </c>
      <c r="X181" s="32">
        <v>0.1</v>
      </c>
      <c r="Y181" s="467">
        <v>5.0000000000000001E-4</v>
      </c>
      <c r="Z181" s="80"/>
      <c r="AA181" s="29" t="str">
        <f t="shared" si="24"/>
        <v>F010</v>
      </c>
      <c r="AB181" s="29" t="str">
        <f t="shared" si="25"/>
        <v>F00.1</v>
      </c>
      <c r="AC181" s="29" t="str">
        <f t="shared" si="26"/>
        <v>F00.0005</v>
      </c>
      <c r="AD181" s="29" t="str">
        <f t="shared" si="27"/>
        <v>F018</v>
      </c>
      <c r="AE181" s="443"/>
      <c r="AF181" s="443"/>
      <c r="AG181" s="443"/>
      <c r="AH181" s="443"/>
    </row>
    <row r="182" spans="1:34" ht="16.5">
      <c r="A182" s="728">
        <f t="shared" si="32"/>
        <v>175</v>
      </c>
      <c r="B182" s="563">
        <v>21</v>
      </c>
      <c r="C182" s="694">
        <v>24653</v>
      </c>
      <c r="D182" s="694" t="s">
        <v>149</v>
      </c>
      <c r="E182" s="563">
        <v>30</v>
      </c>
      <c r="F182" s="503">
        <v>1967</v>
      </c>
      <c r="G182" s="563" t="s">
        <v>118</v>
      </c>
      <c r="H182" s="503" t="s">
        <v>122</v>
      </c>
      <c r="I182" s="695">
        <v>33</v>
      </c>
      <c r="J182" s="695">
        <v>0.1</v>
      </c>
      <c r="K182" s="777">
        <f t="shared" si="31"/>
        <v>1.8749999999999999E-3</v>
      </c>
      <c r="L182" s="968">
        <v>0</v>
      </c>
      <c r="M182" s="503">
        <f t="shared" si="28"/>
        <v>17</v>
      </c>
      <c r="N182" s="504">
        <v>0.72916666666666663</v>
      </c>
      <c r="O182" s="719">
        <f t="shared" si="29"/>
        <v>0.72916666666666663</v>
      </c>
      <c r="P182" s="564"/>
      <c r="Q182" s="564">
        <f t="shared" si="30"/>
        <v>-0.72916666666666663</v>
      </c>
      <c r="R182" s="965" t="s">
        <v>1520</v>
      </c>
      <c r="S182" s="487"/>
      <c r="T182" s="29"/>
      <c r="U182" s="29" t="str">
        <f t="shared" si="22"/>
        <v>RandallF0</v>
      </c>
      <c r="V182" s="29" t="str">
        <f t="shared" si="23"/>
        <v>1967F0</v>
      </c>
      <c r="W182" s="80">
        <v>20</v>
      </c>
      <c r="X182" s="32">
        <v>0.1</v>
      </c>
      <c r="Y182" s="467">
        <v>1E-3</v>
      </c>
      <c r="Z182" s="80"/>
      <c r="AA182" s="29" t="str">
        <f t="shared" si="24"/>
        <v>F020</v>
      </c>
      <c r="AB182" s="29" t="str">
        <f t="shared" si="25"/>
        <v>F00.1</v>
      </c>
      <c r="AC182" s="29" t="str">
        <f t="shared" si="26"/>
        <v>F00.001</v>
      </c>
      <c r="AD182" s="29" t="str">
        <f t="shared" si="27"/>
        <v>F017</v>
      </c>
      <c r="AE182" s="443"/>
      <c r="AF182" s="443"/>
      <c r="AG182" s="443"/>
      <c r="AH182" s="443"/>
    </row>
    <row r="183" spans="1:34" ht="16.5">
      <c r="A183" s="728">
        <f t="shared" si="32"/>
        <v>176</v>
      </c>
      <c r="B183" s="563">
        <v>22</v>
      </c>
      <c r="C183" s="694">
        <v>24656</v>
      </c>
      <c r="D183" s="694" t="s">
        <v>150</v>
      </c>
      <c r="E183" s="563">
        <v>3</v>
      </c>
      <c r="F183" s="503">
        <v>1967</v>
      </c>
      <c r="G183" s="563" t="s">
        <v>99</v>
      </c>
      <c r="H183" s="503" t="s">
        <v>122</v>
      </c>
      <c r="I183" s="695">
        <v>33</v>
      </c>
      <c r="J183" s="695">
        <v>6.8</v>
      </c>
      <c r="K183" s="777">
        <f t="shared" si="31"/>
        <v>0.1275</v>
      </c>
      <c r="L183" s="968">
        <v>0</v>
      </c>
      <c r="M183" s="503">
        <f t="shared" si="28"/>
        <v>15</v>
      </c>
      <c r="N183" s="504">
        <v>0.625</v>
      </c>
      <c r="O183" s="719">
        <f t="shared" si="29"/>
        <v>0.625</v>
      </c>
      <c r="P183" s="564"/>
      <c r="Q183" s="564">
        <f t="shared" si="30"/>
        <v>-0.625</v>
      </c>
      <c r="R183" s="965" t="s">
        <v>1520</v>
      </c>
      <c r="S183" s="487"/>
      <c r="T183" s="29"/>
      <c r="U183" s="29" t="str">
        <f t="shared" si="22"/>
        <v>CimarronF0</v>
      </c>
      <c r="V183" s="29" t="str">
        <f t="shared" si="23"/>
        <v>1967F0</v>
      </c>
      <c r="W183" s="80">
        <v>20</v>
      </c>
      <c r="X183" s="32">
        <v>5</v>
      </c>
      <c r="Y183" s="467">
        <v>0.1</v>
      </c>
      <c r="Z183" s="80"/>
      <c r="AA183" s="29" t="str">
        <f t="shared" si="24"/>
        <v>F020</v>
      </c>
      <c r="AB183" s="29" t="str">
        <f t="shared" si="25"/>
        <v>F05</v>
      </c>
      <c r="AC183" s="29" t="str">
        <f t="shared" si="26"/>
        <v>F00.1</v>
      </c>
      <c r="AD183" s="29" t="str">
        <f t="shared" si="27"/>
        <v>F015</v>
      </c>
      <c r="AE183" s="443"/>
      <c r="AF183" s="443"/>
      <c r="AG183" s="443"/>
      <c r="AH183" s="443"/>
    </row>
    <row r="184" spans="1:34" ht="16.5">
      <c r="A184" s="728">
        <f t="shared" si="32"/>
        <v>177</v>
      </c>
      <c r="B184" s="563">
        <v>23</v>
      </c>
      <c r="C184" s="694">
        <v>24656</v>
      </c>
      <c r="D184" s="694" t="s">
        <v>150</v>
      </c>
      <c r="E184" s="563">
        <v>3</v>
      </c>
      <c r="F184" s="503">
        <v>1967</v>
      </c>
      <c r="G184" s="563" t="s">
        <v>99</v>
      </c>
      <c r="H184" s="503" t="s">
        <v>122</v>
      </c>
      <c r="I184" s="695">
        <v>33</v>
      </c>
      <c r="J184" s="695">
        <v>0.1</v>
      </c>
      <c r="K184" s="777">
        <f t="shared" si="31"/>
        <v>1.8749999999999999E-3</v>
      </c>
      <c r="L184" s="968">
        <v>0</v>
      </c>
      <c r="M184" s="503">
        <f t="shared" si="28"/>
        <v>15</v>
      </c>
      <c r="N184" s="504">
        <v>0.625</v>
      </c>
      <c r="O184" s="719">
        <f t="shared" si="29"/>
        <v>0.625</v>
      </c>
      <c r="P184" s="564"/>
      <c r="Q184" s="564">
        <f t="shared" si="30"/>
        <v>-0.625</v>
      </c>
      <c r="R184" s="965" t="s">
        <v>1520</v>
      </c>
      <c r="S184" s="487"/>
      <c r="T184" s="29"/>
      <c r="U184" s="29" t="str">
        <f t="shared" si="22"/>
        <v>CimarronF0</v>
      </c>
      <c r="V184" s="29" t="str">
        <f t="shared" si="23"/>
        <v>1967F0</v>
      </c>
      <c r="W184" s="80">
        <v>20</v>
      </c>
      <c r="X184" s="32">
        <v>0.1</v>
      </c>
      <c r="Y184" s="467">
        <v>1E-3</v>
      </c>
      <c r="Z184" s="80"/>
      <c r="AA184" s="29" t="str">
        <f t="shared" si="24"/>
        <v>F020</v>
      </c>
      <c r="AB184" s="29" t="str">
        <f t="shared" si="25"/>
        <v>F00.1</v>
      </c>
      <c r="AC184" s="29" t="str">
        <f t="shared" si="26"/>
        <v>F00.001</v>
      </c>
      <c r="AD184" s="29" t="str">
        <f t="shared" si="27"/>
        <v>F015</v>
      </c>
      <c r="AE184" s="443"/>
      <c r="AF184" s="443"/>
      <c r="AG184" s="443"/>
      <c r="AH184" s="443"/>
    </row>
    <row r="185" spans="1:34" ht="16.5">
      <c r="A185" s="728">
        <f t="shared" si="32"/>
        <v>178</v>
      </c>
      <c r="B185" s="563">
        <v>24</v>
      </c>
      <c r="C185" s="694">
        <v>24656</v>
      </c>
      <c r="D185" s="694" t="s">
        <v>150</v>
      </c>
      <c r="E185" s="563">
        <v>3</v>
      </c>
      <c r="F185" s="503">
        <v>1967</v>
      </c>
      <c r="G185" s="563" t="s">
        <v>99</v>
      </c>
      <c r="H185" s="503" t="s">
        <v>122</v>
      </c>
      <c r="I185" s="695">
        <v>33</v>
      </c>
      <c r="J185" s="695">
        <v>0.1</v>
      </c>
      <c r="K185" s="777">
        <f t="shared" si="31"/>
        <v>1.8749999999999999E-3</v>
      </c>
      <c r="L185" s="968">
        <v>0</v>
      </c>
      <c r="M185" s="503">
        <f t="shared" si="28"/>
        <v>15</v>
      </c>
      <c r="N185" s="504">
        <v>0.625</v>
      </c>
      <c r="O185" s="719">
        <f t="shared" si="29"/>
        <v>0.625</v>
      </c>
      <c r="P185" s="564"/>
      <c r="Q185" s="564">
        <f t="shared" si="30"/>
        <v>-0.625</v>
      </c>
      <c r="R185" s="965" t="s">
        <v>1520</v>
      </c>
      <c r="S185" s="487"/>
      <c r="T185" s="29"/>
      <c r="U185" s="29" t="str">
        <f t="shared" si="22"/>
        <v>CimarronF0</v>
      </c>
      <c r="V185" s="29" t="str">
        <f t="shared" si="23"/>
        <v>1967F0</v>
      </c>
      <c r="W185" s="80">
        <v>20</v>
      </c>
      <c r="X185" s="32">
        <v>0.1</v>
      </c>
      <c r="Y185" s="467">
        <v>1E-3</v>
      </c>
      <c r="Z185" s="80"/>
      <c r="AA185" s="29" t="str">
        <f t="shared" si="24"/>
        <v>F020</v>
      </c>
      <c r="AB185" s="29" t="str">
        <f t="shared" si="25"/>
        <v>F00.1</v>
      </c>
      <c r="AC185" s="29" t="str">
        <f t="shared" si="26"/>
        <v>F00.001</v>
      </c>
      <c r="AD185" s="29" t="str">
        <f t="shared" si="27"/>
        <v>F015</v>
      </c>
      <c r="AE185" s="443"/>
      <c r="AF185" s="443"/>
      <c r="AG185" s="443"/>
      <c r="AH185" s="443"/>
    </row>
    <row r="186" spans="1:34" ht="16.5">
      <c r="A186" s="728">
        <f t="shared" si="32"/>
        <v>179</v>
      </c>
      <c r="B186" s="563">
        <v>25</v>
      </c>
      <c r="C186" s="694">
        <v>24656</v>
      </c>
      <c r="D186" s="694" t="s">
        <v>150</v>
      </c>
      <c r="E186" s="563">
        <v>3</v>
      </c>
      <c r="F186" s="503">
        <v>1967</v>
      </c>
      <c r="G186" s="563" t="s">
        <v>100</v>
      </c>
      <c r="H186" s="503" t="s">
        <v>124</v>
      </c>
      <c r="I186" s="695">
        <v>10</v>
      </c>
      <c r="J186" s="695">
        <v>0.1</v>
      </c>
      <c r="K186" s="777">
        <f t="shared" si="31"/>
        <v>5.6818181818181826E-4</v>
      </c>
      <c r="L186" s="968">
        <v>25000</v>
      </c>
      <c r="M186" s="503">
        <f t="shared" si="28"/>
        <v>18</v>
      </c>
      <c r="N186" s="504">
        <v>0.75</v>
      </c>
      <c r="O186" s="719">
        <f t="shared" si="29"/>
        <v>0.75</v>
      </c>
      <c r="P186" s="564"/>
      <c r="Q186" s="564">
        <f t="shared" si="30"/>
        <v>-0.75</v>
      </c>
      <c r="R186" s="965" t="s">
        <v>1528</v>
      </c>
      <c r="S186" s="487"/>
      <c r="T186" s="29"/>
      <c r="U186" s="29" t="str">
        <f t="shared" si="22"/>
        <v>TexasF2</v>
      </c>
      <c r="V186" s="29" t="str">
        <f t="shared" si="23"/>
        <v>1967F2</v>
      </c>
      <c r="W186" s="80">
        <v>10</v>
      </c>
      <c r="X186" s="32">
        <v>0.1</v>
      </c>
      <c r="Y186" s="467">
        <v>5.0000000000000001E-4</v>
      </c>
      <c r="Z186" s="80"/>
      <c r="AA186" s="29" t="str">
        <f t="shared" si="24"/>
        <v>F210</v>
      </c>
      <c r="AB186" s="29" t="str">
        <f t="shared" si="25"/>
        <v>F20.1</v>
      </c>
      <c r="AC186" s="29" t="str">
        <f t="shared" si="26"/>
        <v>F20.0005</v>
      </c>
      <c r="AD186" s="29" t="str">
        <f t="shared" si="27"/>
        <v>F218</v>
      </c>
      <c r="AE186" s="443"/>
      <c r="AF186" s="443"/>
      <c r="AG186" s="443"/>
      <c r="AH186" s="443"/>
    </row>
    <row r="187" spans="1:34" ht="16.5">
      <c r="A187" s="728">
        <f t="shared" si="32"/>
        <v>180</v>
      </c>
      <c r="B187" s="563">
        <v>26</v>
      </c>
      <c r="C187" s="694">
        <v>24656</v>
      </c>
      <c r="D187" s="694" t="s">
        <v>150</v>
      </c>
      <c r="E187" s="563">
        <v>3</v>
      </c>
      <c r="F187" s="503">
        <v>1967</v>
      </c>
      <c r="G187" s="563" t="s">
        <v>105</v>
      </c>
      <c r="H187" s="503" t="s">
        <v>124</v>
      </c>
      <c r="I187" s="695">
        <v>50</v>
      </c>
      <c r="J187" s="695">
        <v>1</v>
      </c>
      <c r="K187" s="777">
        <f t="shared" si="31"/>
        <v>2.8409090909090908E-2</v>
      </c>
      <c r="L187" s="968">
        <v>25000</v>
      </c>
      <c r="M187" s="503">
        <f t="shared" si="28"/>
        <v>19</v>
      </c>
      <c r="N187" s="504">
        <v>0.8125</v>
      </c>
      <c r="O187" s="719">
        <f t="shared" si="29"/>
        <v>0.8125</v>
      </c>
      <c r="P187" s="564"/>
      <c r="Q187" s="564">
        <f t="shared" si="30"/>
        <v>-0.8125</v>
      </c>
      <c r="R187" s="965" t="s">
        <v>1520</v>
      </c>
      <c r="S187" s="487"/>
      <c r="T187" s="29"/>
      <c r="U187" s="29" t="str">
        <f t="shared" si="22"/>
        <v>OchiltreeF2</v>
      </c>
      <c r="V187" s="29" t="str">
        <f t="shared" si="23"/>
        <v>1967F2</v>
      </c>
      <c r="W187" s="80">
        <v>50</v>
      </c>
      <c r="X187" s="32">
        <v>1</v>
      </c>
      <c r="Y187" s="467">
        <v>0.02</v>
      </c>
      <c r="Z187" s="80"/>
      <c r="AA187" s="29" t="str">
        <f t="shared" si="24"/>
        <v>F250</v>
      </c>
      <c r="AB187" s="29" t="str">
        <f t="shared" si="25"/>
        <v>F21</v>
      </c>
      <c r="AC187" s="29" t="str">
        <f t="shared" si="26"/>
        <v>F20.02</v>
      </c>
      <c r="AD187" s="29" t="str">
        <f t="shared" si="27"/>
        <v>F219</v>
      </c>
      <c r="AE187" s="443"/>
      <c r="AF187" s="443"/>
      <c r="AG187" s="443"/>
      <c r="AH187" s="443"/>
    </row>
    <row r="188" spans="1:34" ht="16.5">
      <c r="A188" s="728">
        <f t="shared" si="32"/>
        <v>181</v>
      </c>
      <c r="B188" s="563">
        <v>27</v>
      </c>
      <c r="C188" s="694">
        <v>24656</v>
      </c>
      <c r="D188" s="694" t="s">
        <v>150</v>
      </c>
      <c r="E188" s="563">
        <v>3</v>
      </c>
      <c r="F188" s="503">
        <v>1967</v>
      </c>
      <c r="G188" s="563" t="s">
        <v>116</v>
      </c>
      <c r="H188" s="503" t="s">
        <v>125</v>
      </c>
      <c r="I188" s="695">
        <v>33</v>
      </c>
      <c r="J188" s="695">
        <v>2.2999999999999998</v>
      </c>
      <c r="K188" s="777">
        <f t="shared" si="31"/>
        <v>4.3124999999999997E-2</v>
      </c>
      <c r="L188" s="968">
        <v>0</v>
      </c>
      <c r="M188" s="503">
        <f t="shared" si="28"/>
        <v>21</v>
      </c>
      <c r="N188" s="504">
        <v>0.89583333333333337</v>
      </c>
      <c r="O188" s="719">
        <f t="shared" si="29"/>
        <v>0.89583333333333337</v>
      </c>
      <c r="P188" s="564"/>
      <c r="Q188" s="564">
        <f t="shared" si="30"/>
        <v>-0.89583333333333337</v>
      </c>
      <c r="R188" s="965" t="s">
        <v>1520</v>
      </c>
      <c r="S188" s="487"/>
      <c r="T188" s="29"/>
      <c r="U188" s="29" t="str">
        <f t="shared" si="22"/>
        <v>WheelerF3</v>
      </c>
      <c r="V188" s="29" t="str">
        <f t="shared" si="23"/>
        <v>1967F3</v>
      </c>
      <c r="W188" s="80">
        <v>20</v>
      </c>
      <c r="X188" s="32">
        <v>2</v>
      </c>
      <c r="Y188" s="467">
        <v>0.02</v>
      </c>
      <c r="Z188" s="80"/>
      <c r="AA188" s="29" t="str">
        <f t="shared" si="24"/>
        <v>F320</v>
      </c>
      <c r="AB188" s="29" t="str">
        <f t="shared" si="25"/>
        <v>F32</v>
      </c>
      <c r="AC188" s="29" t="str">
        <f t="shared" si="26"/>
        <v>F30.02</v>
      </c>
      <c r="AD188" s="29" t="str">
        <f t="shared" si="27"/>
        <v>F321</v>
      </c>
      <c r="AE188" s="443"/>
      <c r="AF188" s="443"/>
      <c r="AG188" s="443"/>
      <c r="AH188" s="443"/>
    </row>
    <row r="189" spans="1:34" ht="16.5">
      <c r="A189" s="728">
        <f t="shared" si="32"/>
        <v>182</v>
      </c>
      <c r="B189" s="563">
        <v>28</v>
      </c>
      <c r="C189" s="694">
        <v>24656</v>
      </c>
      <c r="D189" s="694" t="s">
        <v>150</v>
      </c>
      <c r="E189" s="563">
        <v>3</v>
      </c>
      <c r="F189" s="503">
        <v>1967</v>
      </c>
      <c r="G189" s="563" t="s">
        <v>111</v>
      </c>
      <c r="H189" s="503" t="s">
        <v>124</v>
      </c>
      <c r="I189" s="695">
        <v>17</v>
      </c>
      <c r="J189" s="695">
        <v>0.1</v>
      </c>
      <c r="K189" s="777">
        <f t="shared" si="31"/>
        <v>9.6590909090909095E-4</v>
      </c>
      <c r="L189" s="968">
        <v>0</v>
      </c>
      <c r="M189" s="503">
        <f t="shared" si="28"/>
        <v>22</v>
      </c>
      <c r="N189" s="504">
        <v>0.91666666666666663</v>
      </c>
      <c r="O189" s="719">
        <f t="shared" si="29"/>
        <v>0.91666666666666663</v>
      </c>
      <c r="P189" s="564"/>
      <c r="Q189" s="564">
        <f t="shared" si="30"/>
        <v>-0.91666666666666663</v>
      </c>
      <c r="R189" s="965" t="s">
        <v>1520</v>
      </c>
      <c r="S189" s="487"/>
      <c r="T189" s="29"/>
      <c r="U189" s="29" t="str">
        <f t="shared" si="22"/>
        <v>HemphillF2</v>
      </c>
      <c r="V189" s="29" t="str">
        <f t="shared" si="23"/>
        <v>1967F2</v>
      </c>
      <c r="W189" s="80">
        <v>10</v>
      </c>
      <c r="X189" s="32">
        <v>0.1</v>
      </c>
      <c r="Y189" s="467">
        <v>5.0000000000000001E-4</v>
      </c>
      <c r="Z189" s="80"/>
      <c r="AA189" s="29" t="str">
        <f t="shared" si="24"/>
        <v>F210</v>
      </c>
      <c r="AB189" s="29" t="str">
        <f t="shared" si="25"/>
        <v>F20.1</v>
      </c>
      <c r="AC189" s="29" t="str">
        <f t="shared" si="26"/>
        <v>F20.0005</v>
      </c>
      <c r="AD189" s="29" t="str">
        <f t="shared" si="27"/>
        <v>F222</v>
      </c>
      <c r="AE189" s="443"/>
      <c r="AF189" s="443"/>
      <c r="AG189" s="443"/>
      <c r="AH189" s="443"/>
    </row>
    <row r="190" spans="1:34" ht="16.5">
      <c r="A190" s="728">
        <f t="shared" si="32"/>
        <v>183</v>
      </c>
      <c r="B190" s="563">
        <v>1</v>
      </c>
      <c r="C190" s="694">
        <v>24930</v>
      </c>
      <c r="D190" s="694" t="s">
        <v>147</v>
      </c>
      <c r="E190" s="563">
        <v>2</v>
      </c>
      <c r="F190" s="503">
        <v>1968</v>
      </c>
      <c r="G190" s="563" t="s">
        <v>114</v>
      </c>
      <c r="H190" s="503" t="s">
        <v>124</v>
      </c>
      <c r="I190" s="695">
        <v>33</v>
      </c>
      <c r="J190" s="695">
        <v>2</v>
      </c>
      <c r="K190" s="777">
        <f t="shared" si="31"/>
        <v>3.7499999999999999E-2</v>
      </c>
      <c r="L190" s="968">
        <v>250000</v>
      </c>
      <c r="M190" s="503">
        <f t="shared" si="28"/>
        <v>17</v>
      </c>
      <c r="N190" s="504">
        <v>0.72222222222222221</v>
      </c>
      <c r="O190" s="719">
        <f t="shared" si="29"/>
        <v>0.72222222222222221</v>
      </c>
      <c r="P190" s="564"/>
      <c r="Q190" s="564">
        <f t="shared" si="30"/>
        <v>-0.72222222222222221</v>
      </c>
      <c r="R190" s="965" t="s">
        <v>1520</v>
      </c>
      <c r="S190" s="487"/>
      <c r="U190" s="29" t="str">
        <f t="shared" si="22"/>
        <v>CarsonF2</v>
      </c>
      <c r="V190" s="29" t="str">
        <f t="shared" si="23"/>
        <v>1968F2</v>
      </c>
      <c r="W190" s="80">
        <v>20</v>
      </c>
      <c r="X190" s="32">
        <v>2</v>
      </c>
      <c r="Y190" s="467">
        <v>0.02</v>
      </c>
      <c r="Z190" s="80"/>
      <c r="AA190" s="29" t="str">
        <f t="shared" si="24"/>
        <v>F220</v>
      </c>
      <c r="AB190" s="29" t="str">
        <f t="shared" si="25"/>
        <v>F22</v>
      </c>
      <c r="AC190" s="29" t="str">
        <f t="shared" si="26"/>
        <v>F20.02</v>
      </c>
      <c r="AD190" s="29" t="str">
        <f t="shared" si="27"/>
        <v>F217</v>
      </c>
      <c r="AE190" s="443"/>
      <c r="AF190" s="443"/>
      <c r="AG190" s="443"/>
      <c r="AH190" s="443"/>
    </row>
    <row r="191" spans="1:34" ht="16.5">
      <c r="A191" s="728">
        <f t="shared" si="32"/>
        <v>184</v>
      </c>
      <c r="B191" s="563">
        <v>2</v>
      </c>
      <c r="C191" s="694">
        <v>24961</v>
      </c>
      <c r="D191" s="694" t="s">
        <v>148</v>
      </c>
      <c r="E191" s="563">
        <v>3</v>
      </c>
      <c r="F191" s="503">
        <v>1968</v>
      </c>
      <c r="G191" s="563" t="s">
        <v>101</v>
      </c>
      <c r="H191" s="503" t="s">
        <v>122</v>
      </c>
      <c r="I191" s="695">
        <v>10</v>
      </c>
      <c r="J191" s="695">
        <v>0.1</v>
      </c>
      <c r="K191" s="777">
        <f t="shared" si="31"/>
        <v>5.6818181818181826E-4</v>
      </c>
      <c r="L191" s="968">
        <v>0</v>
      </c>
      <c r="M191" s="503">
        <f t="shared" si="28"/>
        <v>3</v>
      </c>
      <c r="N191" s="504">
        <v>0.13194444444444445</v>
      </c>
      <c r="O191" s="719">
        <f t="shared" si="29"/>
        <v>0.13194444444444445</v>
      </c>
      <c r="P191" s="564"/>
      <c r="Q191" s="564">
        <f t="shared" si="30"/>
        <v>-0.13194444444444445</v>
      </c>
      <c r="R191" s="965" t="s">
        <v>1520</v>
      </c>
      <c r="S191" s="487"/>
      <c r="U191" s="29" t="str">
        <f t="shared" si="22"/>
        <v>BeaverF0</v>
      </c>
      <c r="V191" s="29" t="str">
        <f t="shared" si="23"/>
        <v>1968F0</v>
      </c>
      <c r="W191" s="80">
        <v>10</v>
      </c>
      <c r="X191" s="32">
        <v>0.1</v>
      </c>
      <c r="Y191" s="467">
        <v>5.0000000000000001E-4</v>
      </c>
      <c r="Z191" s="80"/>
      <c r="AA191" s="29" t="str">
        <f t="shared" si="24"/>
        <v>F010</v>
      </c>
      <c r="AB191" s="29" t="str">
        <f t="shared" si="25"/>
        <v>F00.1</v>
      </c>
      <c r="AC191" s="29" t="str">
        <f t="shared" si="26"/>
        <v>F00.0005</v>
      </c>
      <c r="AD191" s="29" t="str">
        <f t="shared" si="27"/>
        <v>F03</v>
      </c>
      <c r="AE191" s="443"/>
      <c r="AF191" s="443"/>
      <c r="AG191" s="443"/>
      <c r="AH191" s="443"/>
    </row>
    <row r="192" spans="1:34" ht="25.5">
      <c r="A192" s="728">
        <f t="shared" si="32"/>
        <v>185</v>
      </c>
      <c r="B192" s="563">
        <v>3</v>
      </c>
      <c r="C192" s="694">
        <v>24964</v>
      </c>
      <c r="D192" s="694" t="s">
        <v>148</v>
      </c>
      <c r="E192" s="563">
        <v>6</v>
      </c>
      <c r="F192" s="503">
        <v>1968</v>
      </c>
      <c r="G192" s="563" t="s">
        <v>110</v>
      </c>
      <c r="H192" s="503" t="s">
        <v>122</v>
      </c>
      <c r="I192" s="695">
        <v>100</v>
      </c>
      <c r="J192" s="695">
        <v>12.3</v>
      </c>
      <c r="K192" s="777">
        <f t="shared" si="31"/>
        <v>0.69886363636363635</v>
      </c>
      <c r="L192" s="968">
        <v>0</v>
      </c>
      <c r="M192" s="503">
        <f t="shared" si="28"/>
        <v>13</v>
      </c>
      <c r="N192" s="504">
        <v>0.54861111111111105</v>
      </c>
      <c r="O192" s="719">
        <f t="shared" si="29"/>
        <v>0.54861111111111105</v>
      </c>
      <c r="P192" s="564"/>
      <c r="Q192" s="564">
        <f t="shared" si="30"/>
        <v>-0.54861111111111105</v>
      </c>
      <c r="R192" s="965" t="s">
        <v>1520</v>
      </c>
      <c r="S192" s="303" t="s">
        <v>1076</v>
      </c>
      <c r="U192" s="29" t="str">
        <f t="shared" si="22"/>
        <v>RobertsF0</v>
      </c>
      <c r="V192" s="29" t="str">
        <f t="shared" si="23"/>
        <v>1968F0</v>
      </c>
      <c r="W192" s="80">
        <v>100</v>
      </c>
      <c r="X192" s="32">
        <v>10</v>
      </c>
      <c r="Y192" s="467">
        <v>0.5</v>
      </c>
      <c r="Z192" s="80"/>
      <c r="AA192" s="29" t="str">
        <f t="shared" si="24"/>
        <v>F0100</v>
      </c>
      <c r="AB192" s="29" t="str">
        <f t="shared" si="25"/>
        <v>F010</v>
      </c>
      <c r="AC192" s="29" t="str">
        <f t="shared" si="26"/>
        <v>F00.5</v>
      </c>
      <c r="AD192" s="29" t="str">
        <f t="shared" si="27"/>
        <v>F013</v>
      </c>
      <c r="AE192" s="443"/>
      <c r="AF192" s="443"/>
      <c r="AG192" s="443"/>
      <c r="AH192" s="443"/>
    </row>
    <row r="193" spans="1:34" ht="16.5">
      <c r="A193" s="728">
        <f t="shared" si="32"/>
        <v>186</v>
      </c>
      <c r="B193" s="563">
        <v>4</v>
      </c>
      <c r="C193" s="694">
        <v>24964</v>
      </c>
      <c r="D193" s="694" t="s">
        <v>148</v>
      </c>
      <c r="E193" s="563">
        <v>6</v>
      </c>
      <c r="F193" s="503">
        <v>1968</v>
      </c>
      <c r="G193" s="563" t="s">
        <v>110</v>
      </c>
      <c r="H193" s="503" t="s">
        <v>122</v>
      </c>
      <c r="I193" s="695">
        <v>100</v>
      </c>
      <c r="J193" s="695">
        <v>12.3</v>
      </c>
      <c r="K193" s="777">
        <f t="shared" si="31"/>
        <v>0.69886363636363635</v>
      </c>
      <c r="L193" s="968">
        <v>0</v>
      </c>
      <c r="M193" s="503">
        <f t="shared" si="28"/>
        <v>13</v>
      </c>
      <c r="N193" s="504">
        <v>0.54861111111111105</v>
      </c>
      <c r="O193" s="719">
        <f t="shared" si="29"/>
        <v>0.54861111111111105</v>
      </c>
      <c r="P193" s="564"/>
      <c r="Q193" s="564">
        <f t="shared" si="30"/>
        <v>-0.54861111111111105</v>
      </c>
      <c r="R193" s="965" t="s">
        <v>1520</v>
      </c>
      <c r="S193" s="487"/>
      <c r="U193" s="29" t="str">
        <f t="shared" si="22"/>
        <v>RobertsF0</v>
      </c>
      <c r="V193" s="29" t="str">
        <f t="shared" si="23"/>
        <v>1968F0</v>
      </c>
      <c r="W193" s="80">
        <v>100</v>
      </c>
      <c r="X193" s="32">
        <v>10</v>
      </c>
      <c r="Y193" s="467">
        <v>0.5</v>
      </c>
      <c r="Z193" s="80"/>
      <c r="AA193" s="29" t="str">
        <f t="shared" si="24"/>
        <v>F0100</v>
      </c>
      <c r="AB193" s="29" t="str">
        <f t="shared" si="25"/>
        <v>F010</v>
      </c>
      <c r="AC193" s="29" t="str">
        <f t="shared" si="26"/>
        <v>F00.5</v>
      </c>
      <c r="AD193" s="29" t="str">
        <f t="shared" si="27"/>
        <v>F013</v>
      </c>
      <c r="AE193" s="443"/>
      <c r="AF193" s="443"/>
      <c r="AG193" s="443"/>
      <c r="AH193" s="443"/>
    </row>
    <row r="194" spans="1:34">
      <c r="A194" s="728">
        <f t="shared" si="32"/>
        <v>187</v>
      </c>
      <c r="B194" s="563">
        <v>5</v>
      </c>
      <c r="C194" s="694">
        <v>24964</v>
      </c>
      <c r="D194" s="694" t="s">
        <v>148</v>
      </c>
      <c r="E194" s="563">
        <v>6</v>
      </c>
      <c r="F194" s="503">
        <v>1968</v>
      </c>
      <c r="G194" s="563" t="s">
        <v>110</v>
      </c>
      <c r="H194" s="503" t="s">
        <v>125</v>
      </c>
      <c r="I194" s="695">
        <v>100</v>
      </c>
      <c r="J194" s="695">
        <v>0.5</v>
      </c>
      <c r="K194" s="777">
        <f t="shared" si="31"/>
        <v>2.8409090909090908E-2</v>
      </c>
      <c r="L194" s="968">
        <v>2500000</v>
      </c>
      <c r="M194" s="503">
        <f t="shared" si="28"/>
        <v>16</v>
      </c>
      <c r="N194" s="504">
        <v>0.67013888888888884</v>
      </c>
      <c r="O194" s="719">
        <f t="shared" si="29"/>
        <v>0.67013888888888884</v>
      </c>
      <c r="P194" s="564"/>
      <c r="Q194" s="564">
        <f t="shared" si="30"/>
        <v>-0.67013888888888884</v>
      </c>
      <c r="R194" s="965" t="s">
        <v>1526</v>
      </c>
      <c r="S194" s="487" t="s">
        <v>1077</v>
      </c>
      <c r="T194" s="29"/>
      <c r="U194" s="29" t="str">
        <f t="shared" si="22"/>
        <v>RobertsF3</v>
      </c>
      <c r="V194" s="29" t="str">
        <f t="shared" si="23"/>
        <v>1968F3</v>
      </c>
      <c r="W194" s="80">
        <v>100</v>
      </c>
      <c r="X194" s="32">
        <v>0.5</v>
      </c>
      <c r="Y194" s="467">
        <v>0.02</v>
      </c>
      <c r="Z194" s="80"/>
      <c r="AA194" s="29" t="str">
        <f t="shared" si="24"/>
        <v>F3100</v>
      </c>
      <c r="AB194" s="29" t="str">
        <f t="shared" si="25"/>
        <v>F30.5</v>
      </c>
      <c r="AC194" s="29" t="str">
        <f t="shared" si="26"/>
        <v>F30.02</v>
      </c>
      <c r="AD194" s="29" t="str">
        <f t="shared" si="27"/>
        <v>F316</v>
      </c>
      <c r="AE194" s="443"/>
      <c r="AF194" s="443"/>
      <c r="AG194" s="443"/>
      <c r="AH194" s="443"/>
    </row>
    <row r="195" spans="1:34" ht="16.5">
      <c r="A195" s="728">
        <f t="shared" si="32"/>
        <v>188</v>
      </c>
      <c r="B195" s="563">
        <v>6</v>
      </c>
      <c r="C195" s="694">
        <v>24968</v>
      </c>
      <c r="D195" s="694" t="s">
        <v>148</v>
      </c>
      <c r="E195" s="563">
        <v>10</v>
      </c>
      <c r="F195" s="503">
        <v>1968</v>
      </c>
      <c r="G195" s="563" t="s">
        <v>107</v>
      </c>
      <c r="H195" s="503" t="s">
        <v>122</v>
      </c>
      <c r="I195" s="695">
        <v>100</v>
      </c>
      <c r="J195" s="695">
        <v>0.5</v>
      </c>
      <c r="K195" s="777">
        <f t="shared" si="31"/>
        <v>2.8409090909090908E-2</v>
      </c>
      <c r="L195" s="968">
        <v>0</v>
      </c>
      <c r="M195" s="503">
        <f t="shared" si="28"/>
        <v>18</v>
      </c>
      <c r="N195" s="504">
        <v>0.75</v>
      </c>
      <c r="O195" s="719">
        <f t="shared" si="29"/>
        <v>0.75</v>
      </c>
      <c r="P195" s="564"/>
      <c r="Q195" s="564">
        <f t="shared" si="30"/>
        <v>-0.75</v>
      </c>
      <c r="R195" s="965" t="s">
        <v>1520</v>
      </c>
      <c r="S195" s="487"/>
      <c r="T195" s="29"/>
      <c r="U195" s="29" t="str">
        <f t="shared" si="22"/>
        <v>HartleyF0</v>
      </c>
      <c r="V195" s="29" t="str">
        <f t="shared" si="23"/>
        <v>1968F0</v>
      </c>
      <c r="W195" s="80">
        <v>100</v>
      </c>
      <c r="X195" s="32">
        <v>0.5</v>
      </c>
      <c r="Y195" s="467">
        <v>0.02</v>
      </c>
      <c r="Z195" s="80"/>
      <c r="AA195" s="29" t="str">
        <f t="shared" si="24"/>
        <v>F0100</v>
      </c>
      <c r="AB195" s="29" t="str">
        <f t="shared" si="25"/>
        <v>F00.5</v>
      </c>
      <c r="AC195" s="29" t="str">
        <f t="shared" si="26"/>
        <v>F00.02</v>
      </c>
      <c r="AD195" s="29" t="str">
        <f t="shared" si="27"/>
        <v>F018</v>
      </c>
      <c r="AE195" s="443"/>
      <c r="AF195" s="443"/>
      <c r="AG195" s="443"/>
      <c r="AH195" s="443"/>
    </row>
    <row r="196" spans="1:34" ht="16.5">
      <c r="A196" s="728">
        <f t="shared" si="32"/>
        <v>189</v>
      </c>
      <c r="B196" s="563">
        <v>7</v>
      </c>
      <c r="C196" s="694">
        <v>24988</v>
      </c>
      <c r="D196" s="694" t="s">
        <v>148</v>
      </c>
      <c r="E196" s="563">
        <v>30</v>
      </c>
      <c r="F196" s="503">
        <v>1968</v>
      </c>
      <c r="G196" s="563" t="s">
        <v>107</v>
      </c>
      <c r="H196" s="503" t="s">
        <v>122</v>
      </c>
      <c r="I196" s="695">
        <v>67</v>
      </c>
      <c r="J196" s="695">
        <v>1</v>
      </c>
      <c r="K196" s="777">
        <f t="shared" si="31"/>
        <v>3.806818181818182E-2</v>
      </c>
      <c r="L196" s="968">
        <v>0</v>
      </c>
      <c r="M196" s="503">
        <f t="shared" si="28"/>
        <v>17</v>
      </c>
      <c r="N196" s="504">
        <v>0.71527777777777779</v>
      </c>
      <c r="O196" s="719">
        <f t="shared" si="29"/>
        <v>0.71527777777777779</v>
      </c>
      <c r="P196" s="564"/>
      <c r="Q196" s="564">
        <f t="shared" si="30"/>
        <v>-0.71527777777777779</v>
      </c>
      <c r="R196" s="965" t="s">
        <v>1520</v>
      </c>
      <c r="S196" s="487"/>
      <c r="T196" s="29"/>
      <c r="U196" s="29" t="str">
        <f t="shared" si="22"/>
        <v>HartleyF0</v>
      </c>
      <c r="V196" s="29" t="str">
        <f t="shared" si="23"/>
        <v>1968F0</v>
      </c>
      <c r="W196" s="80">
        <v>50</v>
      </c>
      <c r="X196" s="32">
        <v>1</v>
      </c>
      <c r="Y196" s="467">
        <v>0.02</v>
      </c>
      <c r="Z196" s="80"/>
      <c r="AA196" s="29" t="str">
        <f t="shared" si="24"/>
        <v>F050</v>
      </c>
      <c r="AB196" s="29" t="str">
        <f t="shared" si="25"/>
        <v>F01</v>
      </c>
      <c r="AC196" s="29" t="str">
        <f t="shared" si="26"/>
        <v>F00.02</v>
      </c>
      <c r="AD196" s="29" t="str">
        <f t="shared" si="27"/>
        <v>F017</v>
      </c>
      <c r="AE196" s="443"/>
      <c r="AF196" s="443"/>
      <c r="AG196" s="443"/>
      <c r="AH196" s="443"/>
    </row>
    <row r="197" spans="1:34" ht="16.5">
      <c r="A197" s="728">
        <f t="shared" si="32"/>
        <v>190</v>
      </c>
      <c r="B197" s="563">
        <v>8</v>
      </c>
      <c r="C197" s="694">
        <v>24989</v>
      </c>
      <c r="D197" s="694" t="s">
        <v>148</v>
      </c>
      <c r="E197" s="563">
        <v>31</v>
      </c>
      <c r="F197" s="503">
        <v>1968</v>
      </c>
      <c r="G197" s="563" t="s">
        <v>117</v>
      </c>
      <c r="H197" s="503" t="s">
        <v>122</v>
      </c>
      <c r="I197" s="695">
        <v>17</v>
      </c>
      <c r="J197" s="695">
        <v>0.2</v>
      </c>
      <c r="K197" s="777">
        <f t="shared" si="31"/>
        <v>1.9318181818181819E-3</v>
      </c>
      <c r="L197" s="968">
        <v>0</v>
      </c>
      <c r="M197" s="503">
        <f t="shared" si="28"/>
        <v>16</v>
      </c>
      <c r="N197" s="504">
        <v>0.6875</v>
      </c>
      <c r="O197" s="719">
        <f t="shared" si="29"/>
        <v>0.6875</v>
      </c>
      <c r="P197" s="564"/>
      <c r="Q197" s="564">
        <f t="shared" si="30"/>
        <v>-0.6875</v>
      </c>
      <c r="R197" s="965" t="s">
        <v>1520</v>
      </c>
      <c r="S197" s="487"/>
      <c r="T197" s="29"/>
      <c r="U197" s="29" t="str">
        <f t="shared" si="22"/>
        <v>Deaf SmithF0</v>
      </c>
      <c r="V197" s="29" t="str">
        <f t="shared" si="23"/>
        <v>1968F0</v>
      </c>
      <c r="W197" s="80">
        <v>10</v>
      </c>
      <c r="X197" s="32">
        <v>0.2</v>
      </c>
      <c r="Y197" s="467">
        <v>1E-3</v>
      </c>
      <c r="Z197" s="80"/>
      <c r="AA197" s="29" t="str">
        <f t="shared" si="24"/>
        <v>F010</v>
      </c>
      <c r="AB197" s="29" t="str">
        <f t="shared" si="25"/>
        <v>F00.2</v>
      </c>
      <c r="AC197" s="29" t="str">
        <f t="shared" si="26"/>
        <v>F00.001</v>
      </c>
      <c r="AD197" s="29" t="str">
        <f t="shared" si="27"/>
        <v>F016</v>
      </c>
      <c r="AE197" s="443"/>
      <c r="AF197" s="443"/>
      <c r="AG197" s="443"/>
      <c r="AH197" s="443"/>
    </row>
    <row r="198" spans="1:34" ht="16.5">
      <c r="A198" s="728">
        <f t="shared" si="32"/>
        <v>191</v>
      </c>
      <c r="B198" s="563">
        <v>9</v>
      </c>
      <c r="C198" s="694">
        <v>24995</v>
      </c>
      <c r="D198" s="694" t="s">
        <v>149</v>
      </c>
      <c r="E198" s="563">
        <v>6</v>
      </c>
      <c r="F198" s="503">
        <v>1968</v>
      </c>
      <c r="G198" s="563" t="s">
        <v>105</v>
      </c>
      <c r="H198" s="503" t="s">
        <v>122</v>
      </c>
      <c r="I198" s="695">
        <v>10</v>
      </c>
      <c r="J198" s="695">
        <v>0.1</v>
      </c>
      <c r="K198" s="777">
        <f t="shared" si="31"/>
        <v>5.6818181818181826E-4</v>
      </c>
      <c r="L198" s="968">
        <v>0</v>
      </c>
      <c r="M198" s="503">
        <f t="shared" si="28"/>
        <v>16</v>
      </c>
      <c r="N198" s="504">
        <v>0.67708333333333337</v>
      </c>
      <c r="O198" s="719">
        <f t="shared" si="29"/>
        <v>0.67708333333333337</v>
      </c>
      <c r="P198" s="564"/>
      <c r="Q198" s="564">
        <f t="shared" si="30"/>
        <v>-0.67708333333333337</v>
      </c>
      <c r="R198" s="965" t="s">
        <v>1520</v>
      </c>
      <c r="S198" s="487"/>
      <c r="T198" s="29"/>
      <c r="U198" s="29" t="str">
        <f t="shared" si="22"/>
        <v>OchiltreeF0</v>
      </c>
      <c r="V198" s="29" t="str">
        <f t="shared" si="23"/>
        <v>1968F0</v>
      </c>
      <c r="W198" s="80">
        <v>10</v>
      </c>
      <c r="X198" s="32">
        <v>0.1</v>
      </c>
      <c r="Y198" s="467">
        <v>5.0000000000000001E-4</v>
      </c>
      <c r="Z198" s="80"/>
      <c r="AA198" s="29" t="str">
        <f t="shared" si="24"/>
        <v>F010</v>
      </c>
      <c r="AB198" s="29" t="str">
        <f t="shared" si="25"/>
        <v>F00.1</v>
      </c>
      <c r="AC198" s="29" t="str">
        <f t="shared" si="26"/>
        <v>F00.0005</v>
      </c>
      <c r="AD198" s="29" t="str">
        <f t="shared" si="27"/>
        <v>F016</v>
      </c>
      <c r="AE198" s="443"/>
      <c r="AF198" s="443"/>
      <c r="AG198" s="443"/>
      <c r="AH198" s="443"/>
    </row>
    <row r="199" spans="1:34" ht="16.5">
      <c r="A199" s="728">
        <f t="shared" si="32"/>
        <v>192</v>
      </c>
      <c r="B199" s="563">
        <v>10</v>
      </c>
      <c r="C199" s="694">
        <v>24996</v>
      </c>
      <c r="D199" s="694" t="s">
        <v>149</v>
      </c>
      <c r="E199" s="563">
        <v>7</v>
      </c>
      <c r="F199" s="503">
        <v>1968</v>
      </c>
      <c r="G199" s="563" t="s">
        <v>103</v>
      </c>
      <c r="H199" s="503" t="s">
        <v>122</v>
      </c>
      <c r="I199" s="695">
        <v>33</v>
      </c>
      <c r="J199" s="695">
        <v>0.5</v>
      </c>
      <c r="K199" s="777">
        <f t="shared" si="31"/>
        <v>9.3749999999999997E-3</v>
      </c>
      <c r="L199" s="968">
        <v>0</v>
      </c>
      <c r="M199" s="503">
        <f t="shared" si="28"/>
        <v>21</v>
      </c>
      <c r="N199" s="504">
        <v>0.89236111111111116</v>
      </c>
      <c r="O199" s="719">
        <f t="shared" si="29"/>
        <v>0.89236111111111116</v>
      </c>
      <c r="P199" s="564"/>
      <c r="Q199" s="564">
        <f t="shared" si="30"/>
        <v>-0.89236111111111116</v>
      </c>
      <c r="R199" s="965" t="s">
        <v>1520</v>
      </c>
      <c r="S199" s="487"/>
      <c r="T199" s="29"/>
      <c r="U199" s="29" t="str">
        <f t="shared" ref="U199:U262" si="33">CONCATENATE(G199,H199)</f>
        <v>ShermanF0</v>
      </c>
      <c r="V199" s="29" t="str">
        <f t="shared" ref="V199:V262" si="34">CONCATENATE(F199,H199)</f>
        <v>1968F0</v>
      </c>
      <c r="W199" s="80">
        <v>20</v>
      </c>
      <c r="X199" s="32">
        <v>0.5</v>
      </c>
      <c r="Y199" s="467">
        <v>5.0000000000000001E-3</v>
      </c>
      <c r="Z199" s="80"/>
      <c r="AA199" s="29" t="str">
        <f t="shared" ref="AA199:AA262" si="35">CONCATENATE(H199,W199)</f>
        <v>F020</v>
      </c>
      <c r="AB199" s="29" t="str">
        <f t="shared" ref="AB199:AB262" si="36">CONCATENATE(H199,X199)</f>
        <v>F00.5</v>
      </c>
      <c r="AC199" s="29" t="str">
        <f t="shared" ref="AC199:AC262" si="37">CONCATENATE(H199,Y199)</f>
        <v>F00.005</v>
      </c>
      <c r="AD199" s="29" t="str">
        <f t="shared" ref="AD199:AD262" si="38">CONCATENATE(H199,M199)</f>
        <v>F021</v>
      </c>
      <c r="AE199" s="443"/>
      <c r="AF199" s="443"/>
      <c r="AG199" s="443"/>
      <c r="AH199" s="443"/>
    </row>
    <row r="200" spans="1:34" ht="16.5">
      <c r="A200" s="728">
        <f t="shared" si="32"/>
        <v>193</v>
      </c>
      <c r="B200" s="563">
        <v>11</v>
      </c>
      <c r="C200" s="694">
        <v>24997</v>
      </c>
      <c r="D200" s="694" t="s">
        <v>149</v>
      </c>
      <c r="E200" s="563">
        <v>8</v>
      </c>
      <c r="F200" s="503">
        <v>1968</v>
      </c>
      <c r="G200" s="563" t="s">
        <v>101</v>
      </c>
      <c r="H200" s="503" t="s">
        <v>124</v>
      </c>
      <c r="I200" s="695">
        <v>33</v>
      </c>
      <c r="J200" s="695">
        <v>0.8</v>
      </c>
      <c r="K200" s="777">
        <f t="shared" si="31"/>
        <v>1.4999999999999999E-2</v>
      </c>
      <c r="L200" s="968">
        <v>3000</v>
      </c>
      <c r="M200" s="503">
        <f t="shared" ref="M200:M220" si="39">HOUR(O200)</f>
        <v>17</v>
      </c>
      <c r="N200" s="504">
        <v>0.72916666666666663</v>
      </c>
      <c r="O200" s="719">
        <f t="shared" ref="O200:O263" si="40">+N200</f>
        <v>0.72916666666666663</v>
      </c>
      <c r="P200" s="564"/>
      <c r="Q200" s="564">
        <f t="shared" ref="Q200:Q263" si="41">+P200-O200</f>
        <v>-0.72916666666666663</v>
      </c>
      <c r="R200" s="965" t="s">
        <v>1520</v>
      </c>
      <c r="S200" s="487"/>
      <c r="T200" s="29"/>
      <c r="U200" s="29" t="str">
        <f t="shared" si="33"/>
        <v>BeaverF2</v>
      </c>
      <c r="V200" s="29" t="str">
        <f t="shared" si="34"/>
        <v>1968F2</v>
      </c>
      <c r="W200" s="80">
        <v>20</v>
      </c>
      <c r="X200" s="32">
        <v>0.5</v>
      </c>
      <c r="Y200" s="467">
        <v>0.01</v>
      </c>
      <c r="Z200" s="80"/>
      <c r="AA200" s="29" t="str">
        <f t="shared" si="35"/>
        <v>F220</v>
      </c>
      <c r="AB200" s="29" t="str">
        <f t="shared" si="36"/>
        <v>F20.5</v>
      </c>
      <c r="AC200" s="29" t="str">
        <f t="shared" si="37"/>
        <v>F20.01</v>
      </c>
      <c r="AD200" s="29" t="str">
        <f t="shared" si="38"/>
        <v>F217</v>
      </c>
      <c r="AE200" s="443"/>
      <c r="AF200" s="443"/>
      <c r="AG200" s="443"/>
      <c r="AH200" s="443"/>
    </row>
    <row r="201" spans="1:34" ht="16.5">
      <c r="A201" s="728">
        <f t="shared" si="32"/>
        <v>194</v>
      </c>
      <c r="B201" s="563">
        <v>12</v>
      </c>
      <c r="C201" s="694">
        <v>24998</v>
      </c>
      <c r="D201" s="694" t="s">
        <v>149</v>
      </c>
      <c r="E201" s="563">
        <v>9</v>
      </c>
      <c r="F201" s="503">
        <v>1968</v>
      </c>
      <c r="G201" s="563" t="s">
        <v>119</v>
      </c>
      <c r="H201" s="503" t="s">
        <v>122</v>
      </c>
      <c r="I201" s="695">
        <v>17</v>
      </c>
      <c r="J201" s="695">
        <v>1</v>
      </c>
      <c r="K201" s="777">
        <f t="shared" ref="K201:K264" si="42">+(I201/1760)*J201</f>
        <v>9.6590909090909088E-3</v>
      </c>
      <c r="L201" s="968">
        <v>0</v>
      </c>
      <c r="M201" s="503">
        <f t="shared" si="39"/>
        <v>8</v>
      </c>
      <c r="N201" s="504">
        <v>0.35416666666666669</v>
      </c>
      <c r="O201" s="719">
        <f t="shared" si="40"/>
        <v>0.35416666666666669</v>
      </c>
      <c r="P201" s="564"/>
      <c r="Q201" s="564">
        <f t="shared" si="41"/>
        <v>-0.35416666666666669</v>
      </c>
      <c r="R201" s="965" t="s">
        <v>1520</v>
      </c>
      <c r="S201" s="487"/>
      <c r="T201" s="29"/>
      <c r="U201" s="29" t="str">
        <f t="shared" si="33"/>
        <v>ArmstrongF0</v>
      </c>
      <c r="V201" s="29" t="str">
        <f t="shared" si="34"/>
        <v>1968F0</v>
      </c>
      <c r="W201" s="80">
        <v>10</v>
      </c>
      <c r="X201" s="32">
        <v>1</v>
      </c>
      <c r="Y201" s="467">
        <v>5.0000000000000001E-3</v>
      </c>
      <c r="Z201" s="80"/>
      <c r="AA201" s="29" t="str">
        <f t="shared" si="35"/>
        <v>F010</v>
      </c>
      <c r="AB201" s="29" t="str">
        <f t="shared" si="36"/>
        <v>F01</v>
      </c>
      <c r="AC201" s="29" t="str">
        <f t="shared" si="37"/>
        <v>F00.005</v>
      </c>
      <c r="AD201" s="29" t="str">
        <f t="shared" si="38"/>
        <v>F08</v>
      </c>
      <c r="AE201" s="443"/>
      <c r="AF201" s="443"/>
      <c r="AG201" s="443"/>
      <c r="AH201" s="443"/>
    </row>
    <row r="202" spans="1:34" ht="16.5">
      <c r="A202" s="728">
        <f t="shared" ref="A202:A265" si="43">+A201+1</f>
        <v>195</v>
      </c>
      <c r="B202" s="563">
        <v>13</v>
      </c>
      <c r="C202" s="694">
        <v>24998</v>
      </c>
      <c r="D202" s="694" t="s">
        <v>149</v>
      </c>
      <c r="E202" s="563">
        <v>9</v>
      </c>
      <c r="F202" s="503">
        <v>1968</v>
      </c>
      <c r="G202" s="563" t="s">
        <v>111</v>
      </c>
      <c r="H202" s="503" t="s">
        <v>123</v>
      </c>
      <c r="I202" s="695">
        <v>100</v>
      </c>
      <c r="J202" s="695">
        <v>0.1</v>
      </c>
      <c r="K202" s="777">
        <f t="shared" si="42"/>
        <v>5.681818181818182E-3</v>
      </c>
      <c r="L202" s="968">
        <v>0</v>
      </c>
      <c r="M202" s="503">
        <f t="shared" si="39"/>
        <v>13</v>
      </c>
      <c r="N202" s="504">
        <v>0.5625</v>
      </c>
      <c r="O202" s="719">
        <f t="shared" si="40"/>
        <v>0.5625</v>
      </c>
      <c r="P202" s="564"/>
      <c r="Q202" s="564">
        <f t="shared" si="41"/>
        <v>-0.5625</v>
      </c>
      <c r="R202" s="965" t="s">
        <v>1520</v>
      </c>
      <c r="S202" s="487"/>
      <c r="T202" s="29"/>
      <c r="U202" s="29" t="str">
        <f t="shared" si="33"/>
        <v>HemphillF1</v>
      </c>
      <c r="V202" s="29" t="str">
        <f t="shared" si="34"/>
        <v>1968F1</v>
      </c>
      <c r="W202" s="80">
        <v>100</v>
      </c>
      <c r="X202" s="32">
        <v>0.1</v>
      </c>
      <c r="Y202" s="467">
        <v>5.0000000000000001E-3</v>
      </c>
      <c r="Z202" s="80"/>
      <c r="AA202" s="29" t="str">
        <f t="shared" si="35"/>
        <v>F1100</v>
      </c>
      <c r="AB202" s="29" t="str">
        <f t="shared" si="36"/>
        <v>F10.1</v>
      </c>
      <c r="AC202" s="29" t="str">
        <f t="shared" si="37"/>
        <v>F10.005</v>
      </c>
      <c r="AD202" s="29" t="str">
        <f t="shared" si="38"/>
        <v>F113</v>
      </c>
      <c r="AE202" s="443"/>
      <c r="AF202" s="443"/>
      <c r="AG202" s="443"/>
      <c r="AH202" s="443"/>
    </row>
    <row r="203" spans="1:34" ht="16.5">
      <c r="A203" s="728">
        <f t="shared" si="43"/>
        <v>196</v>
      </c>
      <c r="B203" s="563">
        <v>14</v>
      </c>
      <c r="C203" s="694">
        <v>25028</v>
      </c>
      <c r="D203" s="694" t="s">
        <v>150</v>
      </c>
      <c r="E203" s="563">
        <v>9</v>
      </c>
      <c r="F203" s="503">
        <v>1968</v>
      </c>
      <c r="G203" s="563" t="s">
        <v>100</v>
      </c>
      <c r="H203" s="503" t="s">
        <v>122</v>
      </c>
      <c r="I203" s="695">
        <v>10</v>
      </c>
      <c r="J203" s="695">
        <v>0.1</v>
      </c>
      <c r="K203" s="777">
        <f t="shared" si="42"/>
        <v>5.6818181818181826E-4</v>
      </c>
      <c r="L203" s="968">
        <v>0</v>
      </c>
      <c r="M203" s="503">
        <f t="shared" si="39"/>
        <v>18</v>
      </c>
      <c r="N203" s="504">
        <v>0.76041666666666663</v>
      </c>
      <c r="O203" s="719">
        <f t="shared" si="40"/>
        <v>0.76041666666666663</v>
      </c>
      <c r="P203" s="564"/>
      <c r="Q203" s="564">
        <f t="shared" si="41"/>
        <v>-0.76041666666666663</v>
      </c>
      <c r="R203" s="965" t="s">
        <v>1520</v>
      </c>
      <c r="S203" s="487"/>
      <c r="T203" s="29"/>
      <c r="U203" s="29" t="str">
        <f t="shared" si="33"/>
        <v>TexasF0</v>
      </c>
      <c r="V203" s="29" t="str">
        <f t="shared" si="34"/>
        <v>1968F0</v>
      </c>
      <c r="W203" s="80">
        <v>10</v>
      </c>
      <c r="X203" s="32">
        <v>0.1</v>
      </c>
      <c r="Y203" s="467">
        <v>5.0000000000000001E-4</v>
      </c>
      <c r="Z203" s="80"/>
      <c r="AA203" s="29" t="str">
        <f t="shared" si="35"/>
        <v>F010</v>
      </c>
      <c r="AB203" s="29" t="str">
        <f t="shared" si="36"/>
        <v>F00.1</v>
      </c>
      <c r="AC203" s="29" t="str">
        <f t="shared" si="37"/>
        <v>F00.0005</v>
      </c>
      <c r="AD203" s="29" t="str">
        <f t="shared" si="38"/>
        <v>F018</v>
      </c>
      <c r="AE203" s="443"/>
      <c r="AF203" s="443"/>
      <c r="AG203" s="443"/>
      <c r="AH203" s="443"/>
    </row>
    <row r="204" spans="1:34" ht="16.5">
      <c r="A204" s="728">
        <f t="shared" si="43"/>
        <v>197</v>
      </c>
      <c r="B204" s="563">
        <v>15</v>
      </c>
      <c r="C204" s="694">
        <v>25036</v>
      </c>
      <c r="D204" s="694" t="s">
        <v>150</v>
      </c>
      <c r="E204" s="563">
        <v>17</v>
      </c>
      <c r="F204" s="503">
        <v>1968</v>
      </c>
      <c r="G204" s="563" t="s">
        <v>114</v>
      </c>
      <c r="H204" s="503" t="s">
        <v>122</v>
      </c>
      <c r="I204" s="695">
        <v>100</v>
      </c>
      <c r="J204" s="695">
        <v>0.5</v>
      </c>
      <c r="K204" s="777">
        <f t="shared" si="42"/>
        <v>2.8409090909090908E-2</v>
      </c>
      <c r="L204" s="968">
        <v>0</v>
      </c>
      <c r="M204" s="503">
        <f t="shared" si="39"/>
        <v>17</v>
      </c>
      <c r="N204" s="504">
        <v>0.72916666666666663</v>
      </c>
      <c r="O204" s="719">
        <f t="shared" si="40"/>
        <v>0.72916666666666663</v>
      </c>
      <c r="P204" s="564">
        <v>0.74305555555555547</v>
      </c>
      <c r="Q204" s="564">
        <f t="shared" si="41"/>
        <v>1.388888888888884E-2</v>
      </c>
      <c r="R204" s="965" t="s">
        <v>1520</v>
      </c>
      <c r="S204" s="487" t="s">
        <v>1079</v>
      </c>
      <c r="T204" s="29"/>
      <c r="U204" s="29" t="str">
        <f t="shared" si="33"/>
        <v>CarsonF0</v>
      </c>
      <c r="V204" s="29" t="str">
        <f t="shared" si="34"/>
        <v>1968F0</v>
      </c>
      <c r="W204" s="80">
        <v>100</v>
      </c>
      <c r="X204" s="32">
        <v>0.5</v>
      </c>
      <c r="Y204" s="467">
        <v>0.02</v>
      </c>
      <c r="Z204" s="80"/>
      <c r="AA204" s="29" t="str">
        <f t="shared" si="35"/>
        <v>F0100</v>
      </c>
      <c r="AB204" s="29" t="str">
        <f t="shared" si="36"/>
        <v>F00.5</v>
      </c>
      <c r="AC204" s="29" t="str">
        <f t="shared" si="37"/>
        <v>F00.02</v>
      </c>
      <c r="AD204" s="29" t="str">
        <f t="shared" si="38"/>
        <v>F017</v>
      </c>
      <c r="AE204" s="443"/>
      <c r="AF204" s="443"/>
      <c r="AG204" s="443"/>
      <c r="AH204" s="443"/>
    </row>
    <row r="205" spans="1:34" ht="25.5">
      <c r="A205" s="728">
        <f t="shared" si="43"/>
        <v>198</v>
      </c>
      <c r="B205" s="563">
        <v>16</v>
      </c>
      <c r="C205" s="694">
        <v>25036</v>
      </c>
      <c r="D205" s="694" t="s">
        <v>150</v>
      </c>
      <c r="E205" s="563">
        <v>17</v>
      </c>
      <c r="F205" s="503">
        <v>1968</v>
      </c>
      <c r="G205" s="563" t="s">
        <v>114</v>
      </c>
      <c r="H205" s="503" t="s">
        <v>122</v>
      </c>
      <c r="I205" s="695">
        <v>33</v>
      </c>
      <c r="J205" s="695">
        <v>4.5</v>
      </c>
      <c r="K205" s="777">
        <f t="shared" si="42"/>
        <v>8.4374999999999992E-2</v>
      </c>
      <c r="L205" s="968">
        <v>0</v>
      </c>
      <c r="M205" s="503">
        <f t="shared" si="39"/>
        <v>20</v>
      </c>
      <c r="N205" s="504">
        <v>0.83472222222222225</v>
      </c>
      <c r="O205" s="719">
        <f t="shared" si="40"/>
        <v>0.83472222222222225</v>
      </c>
      <c r="P205" s="564"/>
      <c r="Q205" s="564">
        <f t="shared" si="41"/>
        <v>-0.83472222222222225</v>
      </c>
      <c r="R205" s="965" t="s">
        <v>1520</v>
      </c>
      <c r="S205" s="487" t="s">
        <v>1078</v>
      </c>
      <c r="T205" s="29"/>
      <c r="U205" s="29" t="str">
        <f t="shared" si="33"/>
        <v>CarsonF0</v>
      </c>
      <c r="V205" s="29" t="str">
        <f t="shared" si="34"/>
        <v>1968F0</v>
      </c>
      <c r="W205" s="80">
        <v>20</v>
      </c>
      <c r="X205" s="32">
        <v>2</v>
      </c>
      <c r="Y205" s="467">
        <v>0.05</v>
      </c>
      <c r="Z205" s="80"/>
      <c r="AA205" s="29" t="str">
        <f t="shared" si="35"/>
        <v>F020</v>
      </c>
      <c r="AB205" s="29" t="str">
        <f t="shared" si="36"/>
        <v>F02</v>
      </c>
      <c r="AC205" s="29" t="str">
        <f t="shared" si="37"/>
        <v>F00.05</v>
      </c>
      <c r="AD205" s="29" t="str">
        <f t="shared" si="38"/>
        <v>F020</v>
      </c>
      <c r="AE205" s="443"/>
      <c r="AF205" s="443"/>
      <c r="AG205" s="443"/>
      <c r="AH205" s="443"/>
    </row>
    <row r="206" spans="1:34" ht="16.5">
      <c r="A206" s="728">
        <f t="shared" si="43"/>
        <v>199</v>
      </c>
      <c r="B206" s="563">
        <v>17</v>
      </c>
      <c r="C206" s="694">
        <v>25036</v>
      </c>
      <c r="D206" s="694" t="s">
        <v>150</v>
      </c>
      <c r="E206" s="563">
        <v>17</v>
      </c>
      <c r="F206" s="503">
        <v>1968</v>
      </c>
      <c r="G206" s="563" t="s">
        <v>114</v>
      </c>
      <c r="H206" s="503" t="s">
        <v>122</v>
      </c>
      <c r="I206" s="695">
        <v>33</v>
      </c>
      <c r="J206" s="695">
        <v>3.6</v>
      </c>
      <c r="K206" s="777">
        <f t="shared" si="42"/>
        <v>6.7500000000000004E-2</v>
      </c>
      <c r="L206" s="968">
        <v>0</v>
      </c>
      <c r="M206" s="503">
        <f t="shared" si="39"/>
        <v>20</v>
      </c>
      <c r="N206" s="504">
        <v>0.83472222222222225</v>
      </c>
      <c r="O206" s="719">
        <f t="shared" si="40"/>
        <v>0.83472222222222225</v>
      </c>
      <c r="P206" s="564"/>
      <c r="Q206" s="564">
        <f t="shared" si="41"/>
        <v>-0.83472222222222225</v>
      </c>
      <c r="R206" s="965" t="s">
        <v>1520</v>
      </c>
      <c r="S206" s="487"/>
      <c r="T206" s="29"/>
      <c r="U206" s="29" t="str">
        <f t="shared" si="33"/>
        <v>CarsonF0</v>
      </c>
      <c r="V206" s="29" t="str">
        <f t="shared" si="34"/>
        <v>1968F0</v>
      </c>
      <c r="W206" s="80">
        <v>20</v>
      </c>
      <c r="X206" s="32">
        <v>2</v>
      </c>
      <c r="Y206" s="467">
        <v>0.05</v>
      </c>
      <c r="Z206" s="80"/>
      <c r="AA206" s="29" t="str">
        <f t="shared" si="35"/>
        <v>F020</v>
      </c>
      <c r="AB206" s="29" t="str">
        <f t="shared" si="36"/>
        <v>F02</v>
      </c>
      <c r="AC206" s="29" t="str">
        <f t="shared" si="37"/>
        <v>F00.05</v>
      </c>
      <c r="AD206" s="29" t="str">
        <f t="shared" si="38"/>
        <v>F020</v>
      </c>
      <c r="AE206" s="443"/>
      <c r="AF206" s="443"/>
      <c r="AG206" s="443"/>
      <c r="AH206" s="443"/>
    </row>
    <row r="207" spans="1:34" ht="16.5">
      <c r="A207" s="728">
        <f t="shared" si="43"/>
        <v>200</v>
      </c>
      <c r="B207" s="563">
        <v>18</v>
      </c>
      <c r="C207" s="694">
        <v>25036</v>
      </c>
      <c r="D207" s="694" t="s">
        <v>150</v>
      </c>
      <c r="E207" s="563">
        <v>17</v>
      </c>
      <c r="F207" s="503">
        <v>1968</v>
      </c>
      <c r="G207" s="563" t="s">
        <v>116</v>
      </c>
      <c r="H207" s="503" t="s">
        <v>122</v>
      </c>
      <c r="I207" s="695">
        <v>10</v>
      </c>
      <c r="J207" s="695">
        <v>0.1</v>
      </c>
      <c r="K207" s="777">
        <f t="shared" si="42"/>
        <v>5.6818181818181826E-4</v>
      </c>
      <c r="L207" s="968">
        <v>0</v>
      </c>
      <c r="M207" s="503">
        <f t="shared" si="39"/>
        <v>20</v>
      </c>
      <c r="N207" s="504">
        <v>0.85763888888888884</v>
      </c>
      <c r="O207" s="719">
        <f t="shared" si="40"/>
        <v>0.85763888888888884</v>
      </c>
      <c r="P207" s="564">
        <v>0.86597222222222225</v>
      </c>
      <c r="Q207" s="564">
        <f t="shared" si="41"/>
        <v>8.3333333333334147E-3</v>
      </c>
      <c r="R207" s="965" t="s">
        <v>1520</v>
      </c>
      <c r="S207" s="487" t="s">
        <v>1080</v>
      </c>
      <c r="T207" s="29"/>
      <c r="U207" s="29" t="str">
        <f t="shared" si="33"/>
        <v>WheelerF0</v>
      </c>
      <c r="V207" s="29" t="str">
        <f t="shared" si="34"/>
        <v>1968F0</v>
      </c>
      <c r="W207" s="80">
        <v>10</v>
      </c>
      <c r="X207" s="32">
        <v>0.1</v>
      </c>
      <c r="Y207" s="467">
        <v>5.0000000000000001E-4</v>
      </c>
      <c r="Z207" s="80"/>
      <c r="AA207" s="29" t="str">
        <f t="shared" si="35"/>
        <v>F010</v>
      </c>
      <c r="AB207" s="29" t="str">
        <f t="shared" si="36"/>
        <v>F00.1</v>
      </c>
      <c r="AC207" s="29" t="str">
        <f t="shared" si="37"/>
        <v>F00.0005</v>
      </c>
      <c r="AD207" s="29" t="str">
        <f t="shared" si="38"/>
        <v>F020</v>
      </c>
      <c r="AE207" s="443"/>
      <c r="AF207" s="443"/>
      <c r="AG207" s="443"/>
      <c r="AH207" s="443"/>
    </row>
    <row r="208" spans="1:34" ht="16.5">
      <c r="A208" s="728">
        <f t="shared" si="43"/>
        <v>201</v>
      </c>
      <c r="B208" s="563">
        <v>19</v>
      </c>
      <c r="C208" s="694">
        <v>25064</v>
      </c>
      <c r="D208" s="694" t="s">
        <v>151</v>
      </c>
      <c r="E208" s="563">
        <v>14</v>
      </c>
      <c r="F208" s="503">
        <v>1968</v>
      </c>
      <c r="G208" s="563" t="s">
        <v>107</v>
      </c>
      <c r="H208" s="503" t="s">
        <v>123</v>
      </c>
      <c r="I208" s="695">
        <v>17</v>
      </c>
      <c r="J208" s="695">
        <v>1</v>
      </c>
      <c r="K208" s="777">
        <f t="shared" si="42"/>
        <v>9.6590909090909088E-3</v>
      </c>
      <c r="L208" s="968">
        <v>3000</v>
      </c>
      <c r="M208" s="503">
        <f t="shared" si="39"/>
        <v>14</v>
      </c>
      <c r="N208" s="504">
        <v>0.58333333333333337</v>
      </c>
      <c r="O208" s="719">
        <f t="shared" si="40"/>
        <v>0.58333333333333337</v>
      </c>
      <c r="P208" s="564"/>
      <c r="Q208" s="564">
        <f t="shared" si="41"/>
        <v>-0.58333333333333337</v>
      </c>
      <c r="R208" s="965" t="s">
        <v>1520</v>
      </c>
      <c r="S208" s="487"/>
      <c r="T208" s="29"/>
      <c r="U208" s="29" t="str">
        <f t="shared" si="33"/>
        <v>HartleyF1</v>
      </c>
      <c r="V208" s="29" t="str">
        <f t="shared" si="34"/>
        <v>1968F1</v>
      </c>
      <c r="W208" s="80">
        <v>10</v>
      </c>
      <c r="X208" s="32">
        <v>1</v>
      </c>
      <c r="Y208" s="467">
        <v>5.0000000000000001E-3</v>
      </c>
      <c r="Z208" s="80"/>
      <c r="AA208" s="29" t="str">
        <f t="shared" si="35"/>
        <v>F110</v>
      </c>
      <c r="AB208" s="29" t="str">
        <f t="shared" si="36"/>
        <v>F11</v>
      </c>
      <c r="AC208" s="29" t="str">
        <f t="shared" si="37"/>
        <v>F10.005</v>
      </c>
      <c r="AD208" s="29" t="str">
        <f t="shared" si="38"/>
        <v>F114</v>
      </c>
      <c r="AE208" s="443"/>
      <c r="AF208" s="443"/>
      <c r="AG208" s="443"/>
      <c r="AH208" s="443"/>
    </row>
    <row r="209" spans="1:34" ht="16.5">
      <c r="A209" s="728">
        <f t="shared" si="43"/>
        <v>202</v>
      </c>
      <c r="B209" s="563">
        <v>20</v>
      </c>
      <c r="C209" s="694">
        <v>25064</v>
      </c>
      <c r="D209" s="694" t="s">
        <v>151</v>
      </c>
      <c r="E209" s="563">
        <v>14</v>
      </c>
      <c r="F209" s="503">
        <v>1968</v>
      </c>
      <c r="G209" s="563" t="s">
        <v>113</v>
      </c>
      <c r="H209" s="503" t="s">
        <v>122</v>
      </c>
      <c r="I209" s="695">
        <v>17</v>
      </c>
      <c r="J209" s="695">
        <v>0.2</v>
      </c>
      <c r="K209" s="777">
        <f t="shared" si="42"/>
        <v>1.9318181818181819E-3</v>
      </c>
      <c r="L209" s="968">
        <v>0</v>
      </c>
      <c r="M209" s="503">
        <f t="shared" si="39"/>
        <v>16</v>
      </c>
      <c r="N209" s="504">
        <v>0.69444444444444453</v>
      </c>
      <c r="O209" s="719">
        <f t="shared" si="40"/>
        <v>0.69444444444444453</v>
      </c>
      <c r="P209" s="564"/>
      <c r="Q209" s="564">
        <f t="shared" si="41"/>
        <v>-0.69444444444444453</v>
      </c>
      <c r="R209" s="965" t="s">
        <v>1520</v>
      </c>
      <c r="S209" s="487"/>
      <c r="T209" s="29"/>
      <c r="U209" s="29" t="str">
        <f t="shared" si="33"/>
        <v>PotterF0</v>
      </c>
      <c r="V209" s="29" t="str">
        <f t="shared" si="34"/>
        <v>1968F0</v>
      </c>
      <c r="W209" s="80">
        <v>10</v>
      </c>
      <c r="X209" s="32">
        <v>0.2</v>
      </c>
      <c r="Y209" s="467">
        <v>1E-3</v>
      </c>
      <c r="Z209" s="80"/>
      <c r="AA209" s="29" t="str">
        <f t="shared" si="35"/>
        <v>F010</v>
      </c>
      <c r="AB209" s="29" t="str">
        <f t="shared" si="36"/>
        <v>F00.2</v>
      </c>
      <c r="AC209" s="29" t="str">
        <f t="shared" si="37"/>
        <v>F00.001</v>
      </c>
      <c r="AD209" s="29" t="str">
        <f t="shared" si="38"/>
        <v>F016</v>
      </c>
      <c r="AE209" s="443"/>
      <c r="AF209" s="443"/>
      <c r="AG209" s="443"/>
      <c r="AH209" s="443"/>
    </row>
    <row r="210" spans="1:34" ht="16.5">
      <c r="A210" s="728">
        <f t="shared" si="43"/>
        <v>203</v>
      </c>
      <c r="B210" s="563">
        <v>21</v>
      </c>
      <c r="C210" s="694">
        <v>25119</v>
      </c>
      <c r="D210" s="694" t="s">
        <v>153</v>
      </c>
      <c r="E210" s="563">
        <v>8</v>
      </c>
      <c r="F210" s="503">
        <v>1968</v>
      </c>
      <c r="G210" s="563" t="s">
        <v>110</v>
      </c>
      <c r="H210" s="503" t="s">
        <v>122</v>
      </c>
      <c r="I210" s="695">
        <v>13</v>
      </c>
      <c r="J210" s="695">
        <v>0.1</v>
      </c>
      <c r="K210" s="777">
        <f t="shared" si="42"/>
        <v>7.3863636363636362E-4</v>
      </c>
      <c r="L210" s="968">
        <v>0</v>
      </c>
      <c r="M210" s="503">
        <f t="shared" si="39"/>
        <v>15</v>
      </c>
      <c r="N210" s="504">
        <v>0.63888888888888895</v>
      </c>
      <c r="O210" s="719">
        <f t="shared" si="40"/>
        <v>0.63888888888888895</v>
      </c>
      <c r="P210" s="564"/>
      <c r="Q210" s="564">
        <f t="shared" si="41"/>
        <v>-0.63888888888888895</v>
      </c>
      <c r="R210" s="965" t="s">
        <v>1520</v>
      </c>
      <c r="S210" s="487"/>
      <c r="T210" s="29"/>
      <c r="U210" s="29" t="str">
        <f t="shared" si="33"/>
        <v>RobertsF0</v>
      </c>
      <c r="V210" s="29" t="str">
        <f t="shared" si="34"/>
        <v>1968F0</v>
      </c>
      <c r="W210" s="80">
        <v>10</v>
      </c>
      <c r="X210" s="32">
        <v>0.1</v>
      </c>
      <c r="Y210" s="467">
        <v>5.0000000000000001E-4</v>
      </c>
      <c r="Z210" s="80"/>
      <c r="AA210" s="29" t="str">
        <f t="shared" si="35"/>
        <v>F010</v>
      </c>
      <c r="AB210" s="29" t="str">
        <f t="shared" si="36"/>
        <v>F00.1</v>
      </c>
      <c r="AC210" s="29" t="str">
        <f t="shared" si="37"/>
        <v>F00.0005</v>
      </c>
      <c r="AD210" s="29" t="str">
        <f t="shared" si="38"/>
        <v>F015</v>
      </c>
      <c r="AE210" s="443"/>
      <c r="AF210" s="443"/>
      <c r="AG210" s="443"/>
      <c r="AH210" s="443"/>
    </row>
    <row r="211" spans="1:34" ht="16.5">
      <c r="A211" s="728">
        <f t="shared" si="43"/>
        <v>204</v>
      </c>
      <c r="B211" s="563">
        <v>22</v>
      </c>
      <c r="C211" s="694">
        <v>25120</v>
      </c>
      <c r="D211" s="694" t="s">
        <v>153</v>
      </c>
      <c r="E211" s="563">
        <v>9</v>
      </c>
      <c r="F211" s="503">
        <v>1968</v>
      </c>
      <c r="G211" s="563" t="s">
        <v>105</v>
      </c>
      <c r="H211" s="503" t="s">
        <v>122</v>
      </c>
      <c r="I211" s="695">
        <v>17</v>
      </c>
      <c r="J211" s="695">
        <v>0.1</v>
      </c>
      <c r="K211" s="777">
        <f t="shared" si="42"/>
        <v>9.6590909090909095E-4</v>
      </c>
      <c r="L211" s="968">
        <v>3000</v>
      </c>
      <c r="M211" s="503">
        <f t="shared" si="39"/>
        <v>20</v>
      </c>
      <c r="N211" s="504">
        <v>0.83333333333333337</v>
      </c>
      <c r="O211" s="719">
        <f t="shared" si="40"/>
        <v>0.83333333333333337</v>
      </c>
      <c r="P211" s="564"/>
      <c r="Q211" s="564">
        <f t="shared" si="41"/>
        <v>-0.83333333333333337</v>
      </c>
      <c r="R211" s="965" t="s">
        <v>1520</v>
      </c>
      <c r="S211" s="487"/>
      <c r="T211" s="29"/>
      <c r="U211" s="29" t="str">
        <f t="shared" si="33"/>
        <v>OchiltreeF0</v>
      </c>
      <c r="V211" s="29" t="str">
        <f t="shared" si="34"/>
        <v>1968F0</v>
      </c>
      <c r="W211" s="80">
        <v>10</v>
      </c>
      <c r="X211" s="32">
        <v>0.1</v>
      </c>
      <c r="Y211" s="467">
        <v>5.0000000000000001E-4</v>
      </c>
      <c r="Z211" s="80"/>
      <c r="AA211" s="29" t="str">
        <f t="shared" si="35"/>
        <v>F010</v>
      </c>
      <c r="AB211" s="29" t="str">
        <f t="shared" si="36"/>
        <v>F00.1</v>
      </c>
      <c r="AC211" s="29" t="str">
        <f t="shared" si="37"/>
        <v>F00.0005</v>
      </c>
      <c r="AD211" s="29" t="str">
        <f t="shared" si="38"/>
        <v>F020</v>
      </c>
      <c r="AE211" s="443"/>
      <c r="AF211" s="443"/>
      <c r="AG211" s="443"/>
      <c r="AH211" s="443"/>
    </row>
    <row r="212" spans="1:34" ht="16.5">
      <c r="A212" s="728">
        <f t="shared" si="43"/>
        <v>205</v>
      </c>
      <c r="B212" s="563">
        <v>1</v>
      </c>
      <c r="C212" s="694">
        <v>25325</v>
      </c>
      <c r="D212" s="694" t="s">
        <v>148</v>
      </c>
      <c r="E212" s="563">
        <v>2</v>
      </c>
      <c r="F212" s="503">
        <v>1969</v>
      </c>
      <c r="G212" s="563" t="s">
        <v>113</v>
      </c>
      <c r="H212" s="503" t="s">
        <v>124</v>
      </c>
      <c r="I212" s="695">
        <v>50</v>
      </c>
      <c r="J212" s="695">
        <v>0.1</v>
      </c>
      <c r="K212" s="777">
        <f t="shared" si="42"/>
        <v>2.840909090909091E-3</v>
      </c>
      <c r="L212" s="968">
        <v>3000</v>
      </c>
      <c r="M212" s="503">
        <f t="shared" si="39"/>
        <v>16</v>
      </c>
      <c r="N212" s="504">
        <v>0.66666666666666663</v>
      </c>
      <c r="O212" s="719">
        <f t="shared" si="40"/>
        <v>0.66666666666666663</v>
      </c>
      <c r="P212" s="564"/>
      <c r="Q212" s="564">
        <f t="shared" si="41"/>
        <v>-0.66666666666666663</v>
      </c>
      <c r="R212" s="965" t="s">
        <v>1520</v>
      </c>
      <c r="S212" s="487"/>
      <c r="T212" s="29"/>
      <c r="U212" s="29" t="str">
        <f t="shared" si="33"/>
        <v>PotterF2</v>
      </c>
      <c r="V212" s="29" t="str">
        <f t="shared" si="34"/>
        <v>1969F2</v>
      </c>
      <c r="W212" s="80">
        <v>50</v>
      </c>
      <c r="X212" s="32">
        <v>0.1</v>
      </c>
      <c r="Y212" s="467">
        <v>2E-3</v>
      </c>
      <c r="Z212" s="80"/>
      <c r="AA212" s="29" t="str">
        <f t="shared" si="35"/>
        <v>F250</v>
      </c>
      <c r="AB212" s="29" t="str">
        <f t="shared" si="36"/>
        <v>F20.1</v>
      </c>
      <c r="AC212" s="29" t="str">
        <f t="shared" si="37"/>
        <v>F20.002</v>
      </c>
      <c r="AD212" s="29" t="str">
        <f t="shared" si="38"/>
        <v>F216</v>
      </c>
      <c r="AE212" s="443"/>
      <c r="AF212" s="443"/>
      <c r="AG212" s="443"/>
      <c r="AH212" s="443"/>
    </row>
    <row r="213" spans="1:34" ht="16.5">
      <c r="A213" s="728">
        <f t="shared" si="43"/>
        <v>206</v>
      </c>
      <c r="B213" s="563">
        <v>2</v>
      </c>
      <c r="C213" s="694">
        <v>25325</v>
      </c>
      <c r="D213" s="694" t="s">
        <v>148</v>
      </c>
      <c r="E213" s="563">
        <v>2</v>
      </c>
      <c r="F213" s="503">
        <v>1969</v>
      </c>
      <c r="G213" s="563" t="s">
        <v>118</v>
      </c>
      <c r="H213" s="503" t="s">
        <v>122</v>
      </c>
      <c r="I213" s="695">
        <v>33</v>
      </c>
      <c r="J213" s="695">
        <v>0.2</v>
      </c>
      <c r="K213" s="777">
        <f t="shared" si="42"/>
        <v>3.7499999999999999E-3</v>
      </c>
      <c r="L213" s="968">
        <v>0</v>
      </c>
      <c r="M213" s="503">
        <f t="shared" si="39"/>
        <v>16</v>
      </c>
      <c r="N213" s="504">
        <v>0.6694444444444444</v>
      </c>
      <c r="O213" s="719">
        <f t="shared" si="40"/>
        <v>0.6694444444444444</v>
      </c>
      <c r="P213" s="564"/>
      <c r="Q213" s="564">
        <f t="shared" si="41"/>
        <v>-0.6694444444444444</v>
      </c>
      <c r="R213" s="965" t="s">
        <v>1520</v>
      </c>
      <c r="S213" s="487"/>
      <c r="T213" s="29"/>
      <c r="U213" s="29" t="str">
        <f t="shared" si="33"/>
        <v>RandallF0</v>
      </c>
      <c r="V213" s="29" t="str">
        <f t="shared" si="34"/>
        <v>1969F0</v>
      </c>
      <c r="W213" s="80">
        <v>20</v>
      </c>
      <c r="X213" s="32">
        <v>0.2</v>
      </c>
      <c r="Y213" s="467">
        <v>2E-3</v>
      </c>
      <c r="Z213" s="80"/>
      <c r="AA213" s="29" t="str">
        <f t="shared" si="35"/>
        <v>F020</v>
      </c>
      <c r="AB213" s="29" t="str">
        <f t="shared" si="36"/>
        <v>F00.2</v>
      </c>
      <c r="AC213" s="29" t="str">
        <f t="shared" si="37"/>
        <v>F00.002</v>
      </c>
      <c r="AD213" s="29" t="str">
        <f t="shared" si="38"/>
        <v>F016</v>
      </c>
      <c r="AE213" s="443"/>
      <c r="AF213" s="443"/>
      <c r="AG213" s="443"/>
      <c r="AH213" s="443"/>
    </row>
    <row r="214" spans="1:34" ht="16.5">
      <c r="A214" s="728">
        <f t="shared" si="43"/>
        <v>207</v>
      </c>
      <c r="B214" s="563">
        <v>3</v>
      </c>
      <c r="C214" s="694">
        <v>25325</v>
      </c>
      <c r="D214" s="694" t="s">
        <v>148</v>
      </c>
      <c r="E214" s="563">
        <v>2</v>
      </c>
      <c r="F214" s="503">
        <v>1969</v>
      </c>
      <c r="G214" s="563" t="s">
        <v>118</v>
      </c>
      <c r="H214" s="503" t="s">
        <v>122</v>
      </c>
      <c r="I214" s="695">
        <v>33</v>
      </c>
      <c r="J214" s="695">
        <v>0.2</v>
      </c>
      <c r="K214" s="777">
        <f t="shared" si="42"/>
        <v>3.7499999999999999E-3</v>
      </c>
      <c r="L214" s="968">
        <v>0</v>
      </c>
      <c r="M214" s="503">
        <f t="shared" si="39"/>
        <v>16</v>
      </c>
      <c r="N214" s="504">
        <v>0.6875</v>
      </c>
      <c r="O214" s="719">
        <f t="shared" si="40"/>
        <v>0.6875</v>
      </c>
      <c r="P214" s="564"/>
      <c r="Q214" s="564">
        <f t="shared" si="41"/>
        <v>-0.6875</v>
      </c>
      <c r="R214" s="965" t="s">
        <v>1520</v>
      </c>
      <c r="S214" s="487"/>
      <c r="T214" s="29"/>
      <c r="U214" s="29" t="str">
        <f t="shared" si="33"/>
        <v>RandallF0</v>
      </c>
      <c r="V214" s="29" t="str">
        <f t="shared" si="34"/>
        <v>1969F0</v>
      </c>
      <c r="W214" s="80">
        <v>20</v>
      </c>
      <c r="X214" s="32">
        <v>0.2</v>
      </c>
      <c r="Y214" s="467">
        <v>2E-3</v>
      </c>
      <c r="Z214" s="80"/>
      <c r="AA214" s="29" t="str">
        <f t="shared" si="35"/>
        <v>F020</v>
      </c>
      <c r="AB214" s="29" t="str">
        <f t="shared" si="36"/>
        <v>F00.2</v>
      </c>
      <c r="AC214" s="29" t="str">
        <f t="shared" si="37"/>
        <v>F00.002</v>
      </c>
      <c r="AD214" s="29" t="str">
        <f t="shared" si="38"/>
        <v>F016</v>
      </c>
      <c r="AE214" s="443"/>
      <c r="AF214" s="443"/>
      <c r="AG214" s="443"/>
      <c r="AH214" s="443"/>
    </row>
    <row r="215" spans="1:34" ht="16.5">
      <c r="A215" s="728">
        <f t="shared" si="43"/>
        <v>208</v>
      </c>
      <c r="B215" s="563">
        <v>4</v>
      </c>
      <c r="C215" s="694">
        <v>25335</v>
      </c>
      <c r="D215" s="694" t="s">
        <v>148</v>
      </c>
      <c r="E215" s="563">
        <v>12</v>
      </c>
      <c r="F215" s="503">
        <v>1969</v>
      </c>
      <c r="G215" s="563" t="s">
        <v>110</v>
      </c>
      <c r="H215" s="503" t="s">
        <v>122</v>
      </c>
      <c r="I215" s="695">
        <v>33</v>
      </c>
      <c r="J215" s="695">
        <v>0.1</v>
      </c>
      <c r="K215" s="777">
        <f t="shared" si="42"/>
        <v>1.8749999999999999E-3</v>
      </c>
      <c r="L215" s="968">
        <v>0</v>
      </c>
      <c r="M215" s="503">
        <f t="shared" si="39"/>
        <v>17</v>
      </c>
      <c r="N215" s="504">
        <v>0.72222222222222221</v>
      </c>
      <c r="O215" s="719">
        <f t="shared" si="40"/>
        <v>0.72222222222222221</v>
      </c>
      <c r="P215" s="564"/>
      <c r="Q215" s="564">
        <f t="shared" si="41"/>
        <v>-0.72222222222222221</v>
      </c>
      <c r="R215" s="965" t="s">
        <v>1520</v>
      </c>
      <c r="S215" s="487"/>
      <c r="T215" s="29"/>
      <c r="U215" s="29" t="str">
        <f t="shared" si="33"/>
        <v>RobertsF0</v>
      </c>
      <c r="V215" s="29" t="str">
        <f t="shared" si="34"/>
        <v>1969F0</v>
      </c>
      <c r="W215" s="80">
        <v>20</v>
      </c>
      <c r="X215" s="32">
        <v>0.1</v>
      </c>
      <c r="Y215" s="467">
        <v>1E-3</v>
      </c>
      <c r="Z215" s="80"/>
      <c r="AA215" s="29" t="str">
        <f t="shared" si="35"/>
        <v>F020</v>
      </c>
      <c r="AB215" s="29" t="str">
        <f t="shared" si="36"/>
        <v>F00.1</v>
      </c>
      <c r="AC215" s="29" t="str">
        <f t="shared" si="37"/>
        <v>F00.001</v>
      </c>
      <c r="AD215" s="29" t="str">
        <f t="shared" si="38"/>
        <v>F017</v>
      </c>
      <c r="AE215" s="443"/>
      <c r="AF215" s="443"/>
      <c r="AG215" s="443"/>
      <c r="AH215" s="443"/>
    </row>
    <row r="216" spans="1:34" ht="16.5">
      <c r="A216" s="728">
        <f t="shared" si="43"/>
        <v>209</v>
      </c>
      <c r="B216" s="563">
        <v>5</v>
      </c>
      <c r="C216" s="694">
        <v>25335</v>
      </c>
      <c r="D216" s="694" t="s">
        <v>148</v>
      </c>
      <c r="E216" s="563">
        <v>12</v>
      </c>
      <c r="F216" s="503">
        <v>1969</v>
      </c>
      <c r="G216" s="563" t="s">
        <v>116</v>
      </c>
      <c r="H216" s="503" t="s">
        <v>122</v>
      </c>
      <c r="I216" s="695">
        <v>33</v>
      </c>
      <c r="J216" s="695">
        <v>0.1</v>
      </c>
      <c r="K216" s="777">
        <f t="shared" si="42"/>
        <v>1.8749999999999999E-3</v>
      </c>
      <c r="L216" s="968">
        <v>0</v>
      </c>
      <c r="M216" s="503">
        <f t="shared" si="39"/>
        <v>19</v>
      </c>
      <c r="N216" s="504">
        <v>0.79166666666666663</v>
      </c>
      <c r="O216" s="719">
        <f t="shared" si="40"/>
        <v>0.79166666666666663</v>
      </c>
      <c r="P216" s="564"/>
      <c r="Q216" s="564">
        <f t="shared" si="41"/>
        <v>-0.79166666666666663</v>
      </c>
      <c r="R216" s="965" t="s">
        <v>1520</v>
      </c>
      <c r="S216" s="487"/>
      <c r="T216" s="29"/>
      <c r="U216" s="29" t="str">
        <f t="shared" si="33"/>
        <v>WheelerF0</v>
      </c>
      <c r="V216" s="29" t="str">
        <f t="shared" si="34"/>
        <v>1969F0</v>
      </c>
      <c r="W216" s="80">
        <v>20</v>
      </c>
      <c r="X216" s="32">
        <v>0.1</v>
      </c>
      <c r="Y216" s="467">
        <v>1E-3</v>
      </c>
      <c r="Z216" s="80"/>
      <c r="AA216" s="29" t="str">
        <f t="shared" si="35"/>
        <v>F020</v>
      </c>
      <c r="AB216" s="29" t="str">
        <f t="shared" si="36"/>
        <v>F00.1</v>
      </c>
      <c r="AC216" s="29" t="str">
        <f t="shared" si="37"/>
        <v>F00.001</v>
      </c>
      <c r="AD216" s="29" t="str">
        <f t="shared" si="38"/>
        <v>F019</v>
      </c>
      <c r="AE216" s="443"/>
      <c r="AF216" s="443"/>
      <c r="AG216" s="443"/>
      <c r="AH216" s="443"/>
    </row>
    <row r="217" spans="1:34" ht="16.5">
      <c r="A217" s="728">
        <f t="shared" si="43"/>
        <v>210</v>
      </c>
      <c r="B217" s="563">
        <v>6</v>
      </c>
      <c r="C217" s="694">
        <v>25335</v>
      </c>
      <c r="D217" s="694" t="s">
        <v>148</v>
      </c>
      <c r="E217" s="563">
        <v>12</v>
      </c>
      <c r="F217" s="503">
        <v>1969</v>
      </c>
      <c r="G217" s="563" t="s">
        <v>116</v>
      </c>
      <c r="H217" s="503" t="s">
        <v>122</v>
      </c>
      <c r="I217" s="695">
        <v>10</v>
      </c>
      <c r="J217" s="695">
        <v>0.1</v>
      </c>
      <c r="K217" s="777">
        <f t="shared" si="42"/>
        <v>5.6818181818181826E-4</v>
      </c>
      <c r="L217" s="968">
        <v>0</v>
      </c>
      <c r="M217" s="503">
        <f t="shared" si="39"/>
        <v>23</v>
      </c>
      <c r="N217" s="504">
        <v>0.97222222222222221</v>
      </c>
      <c r="O217" s="719">
        <f t="shared" si="40"/>
        <v>0.97222222222222221</v>
      </c>
      <c r="P217" s="564"/>
      <c r="Q217" s="564">
        <f t="shared" si="41"/>
        <v>-0.97222222222222221</v>
      </c>
      <c r="R217" s="965" t="s">
        <v>1520</v>
      </c>
      <c r="S217" s="487"/>
      <c r="T217" s="29"/>
      <c r="U217" s="29" t="str">
        <f t="shared" si="33"/>
        <v>WheelerF0</v>
      </c>
      <c r="V217" s="29" t="str">
        <f t="shared" si="34"/>
        <v>1969F0</v>
      </c>
      <c r="W217" s="80">
        <v>10</v>
      </c>
      <c r="X217" s="32">
        <v>0.1</v>
      </c>
      <c r="Y217" s="467">
        <v>5.0000000000000001E-4</v>
      </c>
      <c r="Z217" s="80"/>
      <c r="AA217" s="29" t="str">
        <f t="shared" si="35"/>
        <v>F010</v>
      </c>
      <c r="AB217" s="29" t="str">
        <f t="shared" si="36"/>
        <v>F00.1</v>
      </c>
      <c r="AC217" s="29" t="str">
        <f t="shared" si="37"/>
        <v>F00.0005</v>
      </c>
      <c r="AD217" s="29" t="str">
        <f t="shared" si="38"/>
        <v>F023</v>
      </c>
      <c r="AE217" s="443"/>
      <c r="AF217" s="443"/>
      <c r="AG217" s="443"/>
      <c r="AH217" s="443"/>
    </row>
    <row r="218" spans="1:34" ht="16.5">
      <c r="A218" s="728">
        <f t="shared" si="43"/>
        <v>211</v>
      </c>
      <c r="B218" s="563">
        <v>7</v>
      </c>
      <c r="C218" s="694">
        <v>25336</v>
      </c>
      <c r="D218" s="694" t="s">
        <v>148</v>
      </c>
      <c r="E218" s="563">
        <v>13</v>
      </c>
      <c r="F218" s="503">
        <v>1969</v>
      </c>
      <c r="G218" s="563" t="s">
        <v>116</v>
      </c>
      <c r="H218" s="503" t="s">
        <v>122</v>
      </c>
      <c r="I218" s="695">
        <v>10</v>
      </c>
      <c r="J218" s="695">
        <v>0.1</v>
      </c>
      <c r="K218" s="777">
        <f t="shared" si="42"/>
        <v>5.6818181818181826E-4</v>
      </c>
      <c r="L218" s="968">
        <v>0</v>
      </c>
      <c r="M218" s="503">
        <f t="shared" si="39"/>
        <v>18</v>
      </c>
      <c r="N218" s="504">
        <v>0.78125</v>
      </c>
      <c r="O218" s="719">
        <f t="shared" si="40"/>
        <v>0.78125</v>
      </c>
      <c r="P218" s="564"/>
      <c r="Q218" s="564">
        <f t="shared" si="41"/>
        <v>-0.78125</v>
      </c>
      <c r="R218" s="965" t="s">
        <v>1520</v>
      </c>
      <c r="S218" s="487"/>
      <c r="T218" s="29"/>
      <c r="U218" s="29" t="str">
        <f t="shared" si="33"/>
        <v>WheelerF0</v>
      </c>
      <c r="V218" s="29" t="str">
        <f t="shared" si="34"/>
        <v>1969F0</v>
      </c>
      <c r="W218" s="80">
        <v>10</v>
      </c>
      <c r="X218" s="32">
        <v>0.1</v>
      </c>
      <c r="Y218" s="467">
        <v>5.0000000000000001E-4</v>
      </c>
      <c r="Z218" s="80"/>
      <c r="AA218" s="29" t="str">
        <f t="shared" si="35"/>
        <v>F010</v>
      </c>
      <c r="AB218" s="29" t="str">
        <f t="shared" si="36"/>
        <v>F00.1</v>
      </c>
      <c r="AC218" s="29" t="str">
        <f t="shared" si="37"/>
        <v>F00.0005</v>
      </c>
      <c r="AD218" s="29" t="str">
        <f t="shared" si="38"/>
        <v>F018</v>
      </c>
      <c r="AE218" s="443"/>
      <c r="AF218" s="443"/>
      <c r="AG218" s="443"/>
      <c r="AH218" s="443"/>
    </row>
    <row r="219" spans="1:34" ht="16.5">
      <c r="A219" s="728">
        <f t="shared" si="43"/>
        <v>212</v>
      </c>
      <c r="B219" s="563">
        <v>8</v>
      </c>
      <c r="C219" s="694">
        <v>25337</v>
      </c>
      <c r="D219" s="694" t="s">
        <v>148</v>
      </c>
      <c r="E219" s="563">
        <v>14</v>
      </c>
      <c r="F219" s="503">
        <v>1969</v>
      </c>
      <c r="G219" s="563" t="s">
        <v>103</v>
      </c>
      <c r="H219" s="503" t="s">
        <v>122</v>
      </c>
      <c r="I219" s="695">
        <v>17</v>
      </c>
      <c r="J219" s="695">
        <v>0.1</v>
      </c>
      <c r="K219" s="777">
        <f t="shared" si="42"/>
        <v>9.6590909090909095E-4</v>
      </c>
      <c r="L219" s="968">
        <v>0</v>
      </c>
      <c r="M219" s="503">
        <f t="shared" si="39"/>
        <v>19</v>
      </c>
      <c r="N219" s="504">
        <v>0.79861111111111116</v>
      </c>
      <c r="O219" s="719">
        <f t="shared" si="40"/>
        <v>0.79861111111111116</v>
      </c>
      <c r="P219" s="564"/>
      <c r="Q219" s="564">
        <f t="shared" si="41"/>
        <v>-0.79861111111111116</v>
      </c>
      <c r="R219" s="965" t="s">
        <v>1520</v>
      </c>
      <c r="S219" s="487"/>
      <c r="T219" s="29"/>
      <c r="U219" s="29" t="str">
        <f t="shared" si="33"/>
        <v>ShermanF0</v>
      </c>
      <c r="V219" s="29" t="str">
        <f t="shared" si="34"/>
        <v>1969F0</v>
      </c>
      <c r="W219" s="80">
        <v>10</v>
      </c>
      <c r="X219" s="32">
        <v>0.1</v>
      </c>
      <c r="Y219" s="467">
        <v>5.0000000000000001E-4</v>
      </c>
      <c r="Z219" s="80"/>
      <c r="AA219" s="29" t="str">
        <f t="shared" si="35"/>
        <v>F010</v>
      </c>
      <c r="AB219" s="29" t="str">
        <f t="shared" si="36"/>
        <v>F00.1</v>
      </c>
      <c r="AC219" s="29" t="str">
        <f t="shared" si="37"/>
        <v>F00.0005</v>
      </c>
      <c r="AD219" s="29" t="str">
        <f t="shared" si="38"/>
        <v>F019</v>
      </c>
      <c r="AE219" s="443"/>
      <c r="AF219" s="443"/>
      <c r="AG219" s="443"/>
      <c r="AH219" s="443"/>
    </row>
    <row r="220" spans="1:34" ht="16.5">
      <c r="A220" s="728">
        <f t="shared" si="43"/>
        <v>213</v>
      </c>
      <c r="B220" s="563">
        <v>9</v>
      </c>
      <c r="C220" s="694">
        <v>25338</v>
      </c>
      <c r="D220" s="694" t="s">
        <v>148</v>
      </c>
      <c r="E220" s="563">
        <v>15</v>
      </c>
      <c r="F220" s="503">
        <v>1969</v>
      </c>
      <c r="G220" s="563" t="s">
        <v>118</v>
      </c>
      <c r="H220" s="503" t="s">
        <v>122</v>
      </c>
      <c r="I220" s="695">
        <v>33</v>
      </c>
      <c r="J220" s="695">
        <v>0.5</v>
      </c>
      <c r="K220" s="777">
        <f t="shared" si="42"/>
        <v>9.3749999999999997E-3</v>
      </c>
      <c r="L220" s="968">
        <v>0</v>
      </c>
      <c r="M220" s="503">
        <f t="shared" si="39"/>
        <v>15</v>
      </c>
      <c r="N220" s="504">
        <v>0.625</v>
      </c>
      <c r="O220" s="719">
        <f t="shared" si="40"/>
        <v>0.625</v>
      </c>
      <c r="P220" s="564"/>
      <c r="Q220" s="564">
        <f t="shared" si="41"/>
        <v>-0.625</v>
      </c>
      <c r="R220" s="965" t="s">
        <v>1520</v>
      </c>
      <c r="S220" s="487"/>
      <c r="T220" s="29"/>
      <c r="U220" s="29" t="str">
        <f t="shared" si="33"/>
        <v>RandallF0</v>
      </c>
      <c r="V220" s="29" t="str">
        <f t="shared" si="34"/>
        <v>1969F0</v>
      </c>
      <c r="W220" s="80">
        <v>20</v>
      </c>
      <c r="X220" s="32">
        <v>0.5</v>
      </c>
      <c r="Y220" s="467">
        <v>5.0000000000000001E-3</v>
      </c>
      <c r="Z220" s="80"/>
      <c r="AA220" s="29" t="str">
        <f t="shared" si="35"/>
        <v>F020</v>
      </c>
      <c r="AB220" s="29" t="str">
        <f t="shared" si="36"/>
        <v>F00.5</v>
      </c>
      <c r="AC220" s="29" t="str">
        <f t="shared" si="37"/>
        <v>F00.005</v>
      </c>
      <c r="AD220" s="29" t="str">
        <f t="shared" si="38"/>
        <v>F015</v>
      </c>
      <c r="AE220" s="443"/>
      <c r="AF220" s="443"/>
      <c r="AG220" s="443"/>
      <c r="AH220" s="443"/>
    </row>
    <row r="221" spans="1:34" ht="16.5">
      <c r="A221" s="728">
        <f t="shared" si="43"/>
        <v>214</v>
      </c>
      <c r="B221" s="563">
        <v>10</v>
      </c>
      <c r="C221" s="694">
        <v>25339</v>
      </c>
      <c r="D221" s="694" t="s">
        <v>148</v>
      </c>
      <c r="E221" s="563">
        <v>16</v>
      </c>
      <c r="F221" s="503">
        <v>1969</v>
      </c>
      <c r="G221" s="563" t="s">
        <v>107</v>
      </c>
      <c r="H221" s="503" t="s">
        <v>122</v>
      </c>
      <c r="I221" s="695">
        <v>33</v>
      </c>
      <c r="J221" s="695">
        <v>1</v>
      </c>
      <c r="K221" s="777">
        <f t="shared" si="42"/>
        <v>1.8749999999999999E-2</v>
      </c>
      <c r="L221" s="968">
        <v>0</v>
      </c>
      <c r="M221" s="503">
        <v>4</v>
      </c>
      <c r="N221" s="504">
        <v>0.60416666666666663</v>
      </c>
      <c r="O221" s="719">
        <f t="shared" si="40"/>
        <v>0.60416666666666663</v>
      </c>
      <c r="P221" s="564"/>
      <c r="Q221" s="564">
        <f t="shared" si="41"/>
        <v>-0.60416666666666663</v>
      </c>
      <c r="R221" s="965" t="s">
        <v>1520</v>
      </c>
      <c r="S221" s="487"/>
      <c r="T221" s="29"/>
      <c r="U221" s="29" t="str">
        <f t="shared" si="33"/>
        <v>HartleyF0</v>
      </c>
      <c r="V221" s="29" t="str">
        <f t="shared" si="34"/>
        <v>1969F0</v>
      </c>
      <c r="W221" s="80">
        <v>20</v>
      </c>
      <c r="X221" s="32">
        <v>1</v>
      </c>
      <c r="Y221" s="467">
        <v>0.01</v>
      </c>
      <c r="Z221" s="80"/>
      <c r="AA221" s="29" t="str">
        <f t="shared" si="35"/>
        <v>F020</v>
      </c>
      <c r="AB221" s="29" t="str">
        <f t="shared" si="36"/>
        <v>F01</v>
      </c>
      <c r="AC221" s="29" t="str">
        <f t="shared" si="37"/>
        <v>F00.01</v>
      </c>
      <c r="AD221" s="29" t="str">
        <f t="shared" si="38"/>
        <v>F04</v>
      </c>
      <c r="AE221" s="443"/>
      <c r="AF221" s="443"/>
      <c r="AG221" s="443"/>
      <c r="AH221" s="443"/>
    </row>
    <row r="222" spans="1:34" ht="16.5">
      <c r="A222" s="728">
        <f t="shared" si="43"/>
        <v>215</v>
      </c>
      <c r="B222" s="563">
        <v>11</v>
      </c>
      <c r="C222" s="694">
        <v>25339</v>
      </c>
      <c r="D222" s="694" t="s">
        <v>148</v>
      </c>
      <c r="E222" s="563">
        <v>16</v>
      </c>
      <c r="F222" s="503">
        <v>1969</v>
      </c>
      <c r="G222" s="563" t="s">
        <v>115</v>
      </c>
      <c r="H222" s="503" t="s">
        <v>122</v>
      </c>
      <c r="I222" s="695">
        <v>33</v>
      </c>
      <c r="J222" s="695">
        <v>0.1</v>
      </c>
      <c r="K222" s="777">
        <f t="shared" si="42"/>
        <v>1.8749999999999999E-3</v>
      </c>
      <c r="L222" s="968">
        <v>0</v>
      </c>
      <c r="M222" s="503">
        <f t="shared" ref="M222:M285" si="44">HOUR(O222)</f>
        <v>14</v>
      </c>
      <c r="N222" s="504">
        <v>0.61111111111111105</v>
      </c>
      <c r="O222" s="719">
        <f t="shared" si="40"/>
        <v>0.61111111111111105</v>
      </c>
      <c r="P222" s="564"/>
      <c r="Q222" s="564">
        <f t="shared" si="41"/>
        <v>-0.61111111111111105</v>
      </c>
      <c r="R222" s="965" t="s">
        <v>1520</v>
      </c>
      <c r="S222" s="487"/>
      <c r="T222" s="29"/>
      <c r="U222" s="29" t="str">
        <f t="shared" si="33"/>
        <v>GrayF0</v>
      </c>
      <c r="V222" s="29" t="str">
        <f t="shared" si="34"/>
        <v>1969F0</v>
      </c>
      <c r="W222" s="80">
        <v>20</v>
      </c>
      <c r="X222" s="32">
        <v>0.1</v>
      </c>
      <c r="Y222" s="467">
        <v>1E-3</v>
      </c>
      <c r="Z222" s="80"/>
      <c r="AA222" s="29" t="str">
        <f t="shared" si="35"/>
        <v>F020</v>
      </c>
      <c r="AB222" s="29" t="str">
        <f t="shared" si="36"/>
        <v>F00.1</v>
      </c>
      <c r="AC222" s="29" t="str">
        <f t="shared" si="37"/>
        <v>F00.001</v>
      </c>
      <c r="AD222" s="29" t="str">
        <f t="shared" si="38"/>
        <v>F014</v>
      </c>
      <c r="AE222" s="443"/>
      <c r="AF222" s="443"/>
      <c r="AG222" s="443"/>
      <c r="AH222" s="443"/>
    </row>
    <row r="223" spans="1:34" ht="16.5">
      <c r="A223" s="728">
        <f t="shared" si="43"/>
        <v>216</v>
      </c>
      <c r="B223" s="563">
        <v>12</v>
      </c>
      <c r="C223" s="694">
        <v>25361</v>
      </c>
      <c r="D223" s="694" t="s">
        <v>149</v>
      </c>
      <c r="E223" s="563">
        <v>7</v>
      </c>
      <c r="F223" s="503">
        <v>1969</v>
      </c>
      <c r="G223" s="563" t="s">
        <v>100</v>
      </c>
      <c r="H223" s="503" t="s">
        <v>124</v>
      </c>
      <c r="I223" s="695">
        <v>10</v>
      </c>
      <c r="J223" s="695">
        <v>0.1</v>
      </c>
      <c r="K223" s="777">
        <f t="shared" si="42"/>
        <v>5.6818181818181826E-4</v>
      </c>
      <c r="L223" s="968">
        <v>3000</v>
      </c>
      <c r="M223" s="503">
        <f t="shared" si="44"/>
        <v>22</v>
      </c>
      <c r="N223" s="504">
        <v>0.92361111111111116</v>
      </c>
      <c r="O223" s="719">
        <f t="shared" si="40"/>
        <v>0.92361111111111116</v>
      </c>
      <c r="P223" s="564"/>
      <c r="Q223" s="564">
        <f t="shared" si="41"/>
        <v>-0.92361111111111116</v>
      </c>
      <c r="R223" s="965" t="s">
        <v>1520</v>
      </c>
      <c r="S223" s="487"/>
      <c r="T223" s="29"/>
      <c r="U223" s="29" t="str">
        <f t="shared" si="33"/>
        <v>TexasF2</v>
      </c>
      <c r="V223" s="29" t="str">
        <f t="shared" si="34"/>
        <v>1969F2</v>
      </c>
      <c r="W223" s="80">
        <v>10</v>
      </c>
      <c r="X223" s="32">
        <v>0.1</v>
      </c>
      <c r="Y223" s="467">
        <v>5.0000000000000001E-4</v>
      </c>
      <c r="Z223" s="80"/>
      <c r="AA223" s="29" t="str">
        <f t="shared" si="35"/>
        <v>F210</v>
      </c>
      <c r="AB223" s="29" t="str">
        <f t="shared" si="36"/>
        <v>F20.1</v>
      </c>
      <c r="AC223" s="29" t="str">
        <f t="shared" si="37"/>
        <v>F20.0005</v>
      </c>
      <c r="AD223" s="29" t="str">
        <f t="shared" si="38"/>
        <v>F222</v>
      </c>
      <c r="AE223" s="443"/>
      <c r="AF223" s="443"/>
      <c r="AG223" s="443"/>
      <c r="AH223" s="443"/>
    </row>
    <row r="224" spans="1:34" ht="16.5">
      <c r="A224" s="728">
        <f t="shared" si="43"/>
        <v>217</v>
      </c>
      <c r="B224" s="563">
        <v>13</v>
      </c>
      <c r="C224" s="694">
        <v>25364</v>
      </c>
      <c r="D224" s="694" t="s">
        <v>149</v>
      </c>
      <c r="E224" s="563">
        <v>10</v>
      </c>
      <c r="F224" s="503">
        <v>1969</v>
      </c>
      <c r="G224" s="563" t="s">
        <v>105</v>
      </c>
      <c r="H224" s="503" t="s">
        <v>122</v>
      </c>
      <c r="I224" s="695">
        <v>33</v>
      </c>
      <c r="J224" s="695">
        <v>0.1</v>
      </c>
      <c r="K224" s="777">
        <f t="shared" si="42"/>
        <v>1.8749999999999999E-3</v>
      </c>
      <c r="L224" s="968">
        <v>0</v>
      </c>
      <c r="M224" s="503">
        <f t="shared" si="44"/>
        <v>18</v>
      </c>
      <c r="N224" s="504">
        <v>0.76249999999999996</v>
      </c>
      <c r="O224" s="719">
        <f t="shared" si="40"/>
        <v>0.76249999999999996</v>
      </c>
      <c r="P224" s="564"/>
      <c r="Q224" s="564">
        <f t="shared" si="41"/>
        <v>-0.76249999999999996</v>
      </c>
      <c r="R224" s="965" t="s">
        <v>1520</v>
      </c>
      <c r="S224" s="487"/>
      <c r="T224" s="29"/>
      <c r="U224" s="29" t="str">
        <f t="shared" si="33"/>
        <v>OchiltreeF0</v>
      </c>
      <c r="V224" s="29" t="str">
        <f t="shared" si="34"/>
        <v>1969F0</v>
      </c>
      <c r="W224" s="80">
        <v>20</v>
      </c>
      <c r="X224" s="32">
        <v>0.1</v>
      </c>
      <c r="Y224" s="467">
        <v>1E-3</v>
      </c>
      <c r="Z224" s="80"/>
      <c r="AA224" s="29" t="str">
        <f t="shared" si="35"/>
        <v>F020</v>
      </c>
      <c r="AB224" s="29" t="str">
        <f t="shared" si="36"/>
        <v>F00.1</v>
      </c>
      <c r="AC224" s="29" t="str">
        <f t="shared" si="37"/>
        <v>F00.001</v>
      </c>
      <c r="AD224" s="29" t="str">
        <f t="shared" si="38"/>
        <v>F018</v>
      </c>
      <c r="AE224" s="443"/>
      <c r="AF224" s="443"/>
      <c r="AG224" s="443"/>
      <c r="AH224" s="443"/>
    </row>
    <row r="225" spans="1:34" ht="16.5">
      <c r="A225" s="728">
        <f t="shared" si="43"/>
        <v>218</v>
      </c>
      <c r="B225" s="563">
        <v>14</v>
      </c>
      <c r="C225" s="694">
        <v>25364</v>
      </c>
      <c r="D225" s="694" t="s">
        <v>149</v>
      </c>
      <c r="E225" s="563">
        <v>10</v>
      </c>
      <c r="F225" s="503">
        <v>1969</v>
      </c>
      <c r="G225" s="563" t="s">
        <v>101</v>
      </c>
      <c r="H225" s="503" t="s">
        <v>122</v>
      </c>
      <c r="I225" s="695">
        <v>10</v>
      </c>
      <c r="J225" s="695">
        <v>0.1</v>
      </c>
      <c r="K225" s="777">
        <f t="shared" si="42"/>
        <v>5.6818181818181826E-4</v>
      </c>
      <c r="L225" s="968">
        <v>0</v>
      </c>
      <c r="M225" s="503">
        <f t="shared" si="44"/>
        <v>19</v>
      </c>
      <c r="N225" s="504">
        <v>0.79166666666666663</v>
      </c>
      <c r="O225" s="719">
        <f t="shared" si="40"/>
        <v>0.79166666666666663</v>
      </c>
      <c r="P225" s="564"/>
      <c r="Q225" s="564">
        <f t="shared" si="41"/>
        <v>-0.79166666666666663</v>
      </c>
      <c r="R225" s="965" t="s">
        <v>1520</v>
      </c>
      <c r="S225" s="487"/>
      <c r="U225" s="29" t="str">
        <f t="shared" si="33"/>
        <v>BeaverF0</v>
      </c>
      <c r="V225" s="29" t="str">
        <f t="shared" si="34"/>
        <v>1969F0</v>
      </c>
      <c r="W225" s="80">
        <v>10</v>
      </c>
      <c r="X225" s="32">
        <v>0.1</v>
      </c>
      <c r="Y225" s="467">
        <v>5.0000000000000001E-4</v>
      </c>
      <c r="Z225" s="80"/>
      <c r="AA225" s="29" t="str">
        <f t="shared" si="35"/>
        <v>F010</v>
      </c>
      <c r="AB225" s="29" t="str">
        <f t="shared" si="36"/>
        <v>F00.1</v>
      </c>
      <c r="AC225" s="29" t="str">
        <f t="shared" si="37"/>
        <v>F00.0005</v>
      </c>
      <c r="AD225" s="29" t="str">
        <f t="shared" si="38"/>
        <v>F019</v>
      </c>
      <c r="AE225" s="443"/>
      <c r="AF225" s="443"/>
      <c r="AG225" s="443"/>
      <c r="AH225" s="443"/>
    </row>
    <row r="226" spans="1:34" ht="16.5">
      <c r="A226" s="728">
        <f t="shared" si="43"/>
        <v>219</v>
      </c>
      <c r="B226" s="563">
        <v>15</v>
      </c>
      <c r="C226" s="694">
        <v>25364</v>
      </c>
      <c r="D226" s="694" t="s">
        <v>149</v>
      </c>
      <c r="E226" s="563">
        <v>10</v>
      </c>
      <c r="F226" s="503">
        <v>1969</v>
      </c>
      <c r="G226" s="563" t="s">
        <v>103</v>
      </c>
      <c r="H226" s="503" t="s">
        <v>122</v>
      </c>
      <c r="I226" s="695">
        <v>17</v>
      </c>
      <c r="J226" s="695">
        <v>0.1</v>
      </c>
      <c r="K226" s="777">
        <f t="shared" si="42"/>
        <v>9.6590909090909095E-4</v>
      </c>
      <c r="L226" s="968">
        <v>0</v>
      </c>
      <c r="M226" s="503">
        <f t="shared" si="44"/>
        <v>21</v>
      </c>
      <c r="N226" s="504">
        <v>0.91180555555555554</v>
      </c>
      <c r="O226" s="719">
        <f t="shared" si="40"/>
        <v>0.91180555555555554</v>
      </c>
      <c r="P226" s="564"/>
      <c r="Q226" s="564">
        <f t="shared" si="41"/>
        <v>-0.91180555555555554</v>
      </c>
      <c r="R226" s="965" t="s">
        <v>1520</v>
      </c>
      <c r="S226" s="487"/>
      <c r="T226" s="29"/>
      <c r="U226" s="29" t="str">
        <f t="shared" si="33"/>
        <v>ShermanF0</v>
      </c>
      <c r="V226" s="29" t="str">
        <f t="shared" si="34"/>
        <v>1969F0</v>
      </c>
      <c r="W226" s="80">
        <v>10</v>
      </c>
      <c r="X226" s="32">
        <v>0.1</v>
      </c>
      <c r="Y226" s="467">
        <v>5.0000000000000001E-4</v>
      </c>
      <c r="Z226" s="80"/>
      <c r="AA226" s="29" t="str">
        <f t="shared" si="35"/>
        <v>F010</v>
      </c>
      <c r="AB226" s="29" t="str">
        <f t="shared" si="36"/>
        <v>F00.1</v>
      </c>
      <c r="AC226" s="29" t="str">
        <f t="shared" si="37"/>
        <v>F00.0005</v>
      </c>
      <c r="AD226" s="29" t="str">
        <f t="shared" si="38"/>
        <v>F021</v>
      </c>
      <c r="AE226" s="443"/>
      <c r="AF226" s="443"/>
      <c r="AG226" s="443"/>
      <c r="AH226" s="443"/>
    </row>
    <row r="227" spans="1:34" ht="16.5">
      <c r="A227" s="728">
        <f t="shared" si="43"/>
        <v>220</v>
      </c>
      <c r="B227" s="563">
        <v>16</v>
      </c>
      <c r="C227" s="694">
        <v>25377</v>
      </c>
      <c r="D227" s="694" t="s">
        <v>149</v>
      </c>
      <c r="E227" s="563">
        <v>23</v>
      </c>
      <c r="F227" s="503">
        <v>1969</v>
      </c>
      <c r="G227" s="563" t="s">
        <v>106</v>
      </c>
      <c r="H227" s="503" t="s">
        <v>122</v>
      </c>
      <c r="I227" s="695">
        <v>300</v>
      </c>
      <c r="J227" s="695">
        <v>1</v>
      </c>
      <c r="K227" s="777">
        <f t="shared" si="42"/>
        <v>0.17045454545454544</v>
      </c>
      <c r="L227" s="968">
        <v>0</v>
      </c>
      <c r="M227" s="503">
        <f t="shared" si="44"/>
        <v>16</v>
      </c>
      <c r="N227" s="504">
        <v>0.70486111111111116</v>
      </c>
      <c r="O227" s="719">
        <f t="shared" si="40"/>
        <v>0.70486111111111116</v>
      </c>
      <c r="P227" s="564"/>
      <c r="Q227" s="564">
        <f t="shared" si="41"/>
        <v>-0.70486111111111116</v>
      </c>
      <c r="R227" s="965" t="s">
        <v>1520</v>
      </c>
      <c r="S227" s="487"/>
      <c r="T227" s="29"/>
      <c r="U227" s="29" t="str">
        <f t="shared" si="33"/>
        <v>LipscombF0</v>
      </c>
      <c r="V227" s="29" t="str">
        <f t="shared" si="34"/>
        <v>1969F0</v>
      </c>
      <c r="W227" s="80">
        <v>200</v>
      </c>
      <c r="X227" s="32">
        <v>1</v>
      </c>
      <c r="Y227" s="467">
        <v>0.1</v>
      </c>
      <c r="Z227" s="80"/>
      <c r="AA227" s="29" t="str">
        <f t="shared" si="35"/>
        <v>F0200</v>
      </c>
      <c r="AB227" s="29" t="str">
        <f t="shared" si="36"/>
        <v>F01</v>
      </c>
      <c r="AC227" s="29" t="str">
        <f t="shared" si="37"/>
        <v>F00.1</v>
      </c>
      <c r="AD227" s="29" t="str">
        <f t="shared" si="38"/>
        <v>F016</v>
      </c>
      <c r="AE227" s="443"/>
      <c r="AF227" s="443"/>
      <c r="AG227" s="443"/>
      <c r="AH227" s="443"/>
    </row>
    <row r="228" spans="1:34" ht="119.25" customHeight="1">
      <c r="A228" s="728">
        <f t="shared" si="43"/>
        <v>221</v>
      </c>
      <c r="B228" s="563">
        <v>1</v>
      </c>
      <c r="C228" s="694">
        <v>25675</v>
      </c>
      <c r="D228" s="694" t="s">
        <v>147</v>
      </c>
      <c r="E228" s="563">
        <v>17</v>
      </c>
      <c r="F228" s="503">
        <v>1970</v>
      </c>
      <c r="G228" s="563" t="s">
        <v>118</v>
      </c>
      <c r="H228" s="503" t="s">
        <v>126</v>
      </c>
      <c r="I228" s="695">
        <v>75</v>
      </c>
      <c r="J228" s="695">
        <v>20</v>
      </c>
      <c r="K228" s="777">
        <f t="shared" si="42"/>
        <v>0.85227272727272718</v>
      </c>
      <c r="L228" s="968">
        <v>2500000</v>
      </c>
      <c r="M228" s="503">
        <f t="shared" si="44"/>
        <v>22</v>
      </c>
      <c r="N228" s="504">
        <v>0.94444444444444453</v>
      </c>
      <c r="O228" s="719">
        <f t="shared" si="40"/>
        <v>0.94444444444444453</v>
      </c>
      <c r="P228" s="564"/>
      <c r="Q228" s="564">
        <f t="shared" si="41"/>
        <v>-0.94444444444444453</v>
      </c>
      <c r="R228" s="965" t="s">
        <v>1520</v>
      </c>
      <c r="S228" s="303" t="s">
        <v>855</v>
      </c>
      <c r="T228" s="29"/>
      <c r="U228" s="29" t="str">
        <f t="shared" si="33"/>
        <v>RandallF4</v>
      </c>
      <c r="V228" s="29" t="str">
        <f t="shared" si="34"/>
        <v>1970F4</v>
      </c>
      <c r="W228" s="80">
        <v>50</v>
      </c>
      <c r="X228" s="32">
        <v>20</v>
      </c>
      <c r="Y228" s="467">
        <v>0.5</v>
      </c>
      <c r="Z228" s="80"/>
      <c r="AA228" s="29" t="str">
        <f t="shared" si="35"/>
        <v>F450</v>
      </c>
      <c r="AB228" s="29" t="str">
        <f t="shared" si="36"/>
        <v>F420</v>
      </c>
      <c r="AC228" s="29" t="str">
        <f t="shared" si="37"/>
        <v>F40.5</v>
      </c>
      <c r="AD228" s="29" t="str">
        <f t="shared" si="38"/>
        <v>F422</v>
      </c>
      <c r="AE228" s="443"/>
      <c r="AF228" s="443"/>
      <c r="AG228" s="443"/>
      <c r="AH228" s="443"/>
    </row>
    <row r="229" spans="1:34" ht="66.75" customHeight="1">
      <c r="A229" s="728">
        <f t="shared" si="43"/>
        <v>222</v>
      </c>
      <c r="B229" s="563">
        <v>2</v>
      </c>
      <c r="C229" s="694">
        <v>25675</v>
      </c>
      <c r="D229" s="694" t="s">
        <v>147</v>
      </c>
      <c r="E229" s="563">
        <v>17</v>
      </c>
      <c r="F229" s="503">
        <v>1970</v>
      </c>
      <c r="G229" s="563" t="s">
        <v>120</v>
      </c>
      <c r="H229" s="503" t="s">
        <v>126</v>
      </c>
      <c r="I229" s="695">
        <v>880</v>
      </c>
      <c r="J229" s="695">
        <v>12</v>
      </c>
      <c r="K229" s="777">
        <f t="shared" si="42"/>
        <v>6</v>
      </c>
      <c r="L229" s="968">
        <v>0</v>
      </c>
      <c r="M229" s="503">
        <f t="shared" si="44"/>
        <v>23</v>
      </c>
      <c r="N229" s="504">
        <v>0.99097222222222225</v>
      </c>
      <c r="O229" s="719">
        <f t="shared" si="40"/>
        <v>0.99097222222222225</v>
      </c>
      <c r="P229" s="564">
        <v>2.7777777777777776E-2</v>
      </c>
      <c r="Q229" s="734">
        <v>3.6805555555555557E-2</v>
      </c>
      <c r="R229" s="965" t="s">
        <v>1520</v>
      </c>
      <c r="S229" s="487" t="s">
        <v>858</v>
      </c>
      <c r="T229" s="29"/>
      <c r="U229" s="29" t="str">
        <f t="shared" si="33"/>
        <v>DonleyF4</v>
      </c>
      <c r="V229" s="29" t="str">
        <f t="shared" si="34"/>
        <v>1970F4</v>
      </c>
      <c r="W229" s="80">
        <v>500</v>
      </c>
      <c r="X229" s="32">
        <v>10</v>
      </c>
      <c r="Y229" s="467">
        <v>5</v>
      </c>
      <c r="Z229" s="80"/>
      <c r="AA229" s="29" t="str">
        <f t="shared" si="35"/>
        <v>F4500</v>
      </c>
      <c r="AB229" s="29" t="str">
        <f t="shared" si="36"/>
        <v>F410</v>
      </c>
      <c r="AC229" s="29" t="str">
        <f t="shared" si="37"/>
        <v>F45</v>
      </c>
      <c r="AD229" s="29" t="str">
        <f t="shared" si="38"/>
        <v>F423</v>
      </c>
      <c r="AE229" s="443"/>
      <c r="AF229" s="443"/>
      <c r="AG229" s="443"/>
      <c r="AH229" s="443"/>
    </row>
    <row r="230" spans="1:34" ht="41.25" customHeight="1">
      <c r="A230" s="728">
        <f t="shared" si="43"/>
        <v>223</v>
      </c>
      <c r="B230" s="563">
        <v>3</v>
      </c>
      <c r="C230" s="694">
        <v>25676</v>
      </c>
      <c r="D230" s="694" t="s">
        <v>147</v>
      </c>
      <c r="E230" s="563">
        <v>18</v>
      </c>
      <c r="F230" s="503">
        <v>1970</v>
      </c>
      <c r="G230" s="563" t="s">
        <v>115</v>
      </c>
      <c r="H230" s="503" t="s">
        <v>126</v>
      </c>
      <c r="I230" s="695">
        <v>880</v>
      </c>
      <c r="J230" s="695">
        <v>20</v>
      </c>
      <c r="K230" s="777">
        <f t="shared" si="42"/>
        <v>10</v>
      </c>
      <c r="L230" s="968">
        <v>2500000</v>
      </c>
      <c r="M230" s="503">
        <f t="shared" si="44"/>
        <v>0</v>
      </c>
      <c r="N230" s="504">
        <v>1.7361111111111112E-2</v>
      </c>
      <c r="O230" s="719">
        <f t="shared" si="40"/>
        <v>1.7361111111111112E-2</v>
      </c>
      <c r="P230" s="564"/>
      <c r="Q230" s="564">
        <f t="shared" si="41"/>
        <v>-1.7361111111111112E-2</v>
      </c>
      <c r="R230" s="965" t="s">
        <v>1530</v>
      </c>
      <c r="S230" s="487" t="s">
        <v>859</v>
      </c>
      <c r="T230" s="29"/>
      <c r="U230" s="29" t="str">
        <f t="shared" si="33"/>
        <v>GrayF4</v>
      </c>
      <c r="V230" s="29" t="str">
        <f t="shared" si="34"/>
        <v>1970F4</v>
      </c>
      <c r="W230" s="80">
        <v>500</v>
      </c>
      <c r="X230" s="32">
        <v>20</v>
      </c>
      <c r="Y230" s="467">
        <v>10</v>
      </c>
      <c r="Z230" s="80"/>
      <c r="AA230" s="29" t="str">
        <f t="shared" si="35"/>
        <v>F4500</v>
      </c>
      <c r="AB230" s="29" t="str">
        <f t="shared" si="36"/>
        <v>F420</v>
      </c>
      <c r="AC230" s="29" t="str">
        <f t="shared" si="37"/>
        <v>F410</v>
      </c>
      <c r="AD230" s="29" t="str">
        <f t="shared" si="38"/>
        <v>F40</v>
      </c>
      <c r="AE230" s="443"/>
      <c r="AF230" s="443"/>
      <c r="AG230" s="443"/>
      <c r="AH230" s="443"/>
    </row>
    <row r="231" spans="1:34" ht="107.25" customHeight="1">
      <c r="A231" s="728">
        <f t="shared" si="43"/>
        <v>224</v>
      </c>
      <c r="B231" s="563">
        <v>4</v>
      </c>
      <c r="C231" s="694">
        <v>25676</v>
      </c>
      <c r="D231" s="694" t="s">
        <v>147</v>
      </c>
      <c r="E231" s="563">
        <v>18</v>
      </c>
      <c r="F231" s="503">
        <v>1970</v>
      </c>
      <c r="G231" s="563" t="s">
        <v>120</v>
      </c>
      <c r="H231" s="503" t="s">
        <v>126</v>
      </c>
      <c r="I231" s="695">
        <v>880</v>
      </c>
      <c r="J231" s="695">
        <v>5</v>
      </c>
      <c r="K231" s="777">
        <f t="shared" si="42"/>
        <v>2.5</v>
      </c>
      <c r="L231" s="968">
        <v>2500000</v>
      </c>
      <c r="M231" s="503">
        <f t="shared" si="44"/>
        <v>1</v>
      </c>
      <c r="N231" s="504">
        <v>7.5694444444444439E-2</v>
      </c>
      <c r="O231" s="719">
        <f t="shared" si="40"/>
        <v>7.5694444444444439E-2</v>
      </c>
      <c r="P231" s="564"/>
      <c r="Q231" s="564">
        <f t="shared" si="41"/>
        <v>-7.5694444444444439E-2</v>
      </c>
      <c r="R231" s="965" t="s">
        <v>1536</v>
      </c>
      <c r="S231" s="303" t="s">
        <v>856</v>
      </c>
      <c r="T231" s="29"/>
      <c r="U231" s="29" t="str">
        <f t="shared" si="33"/>
        <v>DonleyF4</v>
      </c>
      <c r="V231" s="29" t="str">
        <f t="shared" si="34"/>
        <v>1970F4</v>
      </c>
      <c r="W231" s="80">
        <v>500</v>
      </c>
      <c r="X231" s="32">
        <v>5</v>
      </c>
      <c r="Y231" s="467">
        <v>2</v>
      </c>
      <c r="Z231" s="80"/>
      <c r="AA231" s="29" t="str">
        <f t="shared" si="35"/>
        <v>F4500</v>
      </c>
      <c r="AB231" s="29" t="str">
        <f t="shared" si="36"/>
        <v>F45</v>
      </c>
      <c r="AC231" s="29" t="str">
        <f t="shared" si="37"/>
        <v>F42</v>
      </c>
      <c r="AD231" s="29" t="str">
        <f t="shared" si="38"/>
        <v>F41</v>
      </c>
      <c r="AE231" s="443"/>
      <c r="AF231" s="443"/>
      <c r="AG231" s="443"/>
      <c r="AH231" s="443"/>
    </row>
    <row r="232" spans="1:34" ht="15" customHeight="1">
      <c r="A232" s="728">
        <f t="shared" si="43"/>
        <v>225</v>
      </c>
      <c r="B232" s="563">
        <v>5</v>
      </c>
      <c r="C232" s="694">
        <v>25676</v>
      </c>
      <c r="D232" s="694" t="s">
        <v>147</v>
      </c>
      <c r="E232" s="563">
        <v>18</v>
      </c>
      <c r="F232" s="503">
        <v>1970</v>
      </c>
      <c r="G232" s="563" t="s">
        <v>120</v>
      </c>
      <c r="H232" s="503" t="s">
        <v>126</v>
      </c>
      <c r="I232" s="695">
        <v>880</v>
      </c>
      <c r="J232" s="695">
        <v>5</v>
      </c>
      <c r="K232" s="777">
        <f t="shared" si="42"/>
        <v>2.5</v>
      </c>
      <c r="L232" s="968">
        <v>0</v>
      </c>
      <c r="M232" s="503">
        <f t="shared" si="44"/>
        <v>2</v>
      </c>
      <c r="N232" s="504">
        <v>8.4027777777777771E-2</v>
      </c>
      <c r="O232" s="719">
        <f t="shared" si="40"/>
        <v>8.4027777777777771E-2</v>
      </c>
      <c r="P232" s="564"/>
      <c r="Q232" s="564">
        <f t="shared" si="41"/>
        <v>-8.4027777777777771E-2</v>
      </c>
      <c r="R232" s="965" t="s">
        <v>1520</v>
      </c>
      <c r="S232" s="487"/>
      <c r="T232" s="29"/>
      <c r="U232" s="29" t="str">
        <f t="shared" si="33"/>
        <v>DonleyF4</v>
      </c>
      <c r="V232" s="29" t="str">
        <f t="shared" si="34"/>
        <v>1970F4</v>
      </c>
      <c r="W232" s="80">
        <v>500</v>
      </c>
      <c r="X232" s="32">
        <v>5</v>
      </c>
      <c r="Y232" s="467">
        <v>2</v>
      </c>
      <c r="Z232" s="80"/>
      <c r="AA232" s="29" t="str">
        <f t="shared" si="35"/>
        <v>F4500</v>
      </c>
      <c r="AB232" s="29" t="str">
        <f t="shared" si="36"/>
        <v>F45</v>
      </c>
      <c r="AC232" s="29" t="str">
        <f t="shared" si="37"/>
        <v>F42</v>
      </c>
      <c r="AD232" s="29" t="str">
        <f t="shared" si="38"/>
        <v>F42</v>
      </c>
      <c r="AE232" s="443"/>
      <c r="AF232" s="443"/>
      <c r="AG232" s="443"/>
      <c r="AH232" s="443"/>
    </row>
    <row r="233" spans="1:34" ht="16.5">
      <c r="A233" s="728">
        <f t="shared" si="43"/>
        <v>226</v>
      </c>
      <c r="B233" s="563">
        <v>6</v>
      </c>
      <c r="C233" s="694">
        <v>25676</v>
      </c>
      <c r="D233" s="694" t="s">
        <v>147</v>
      </c>
      <c r="E233" s="563">
        <v>18</v>
      </c>
      <c r="F233" s="503">
        <v>1970</v>
      </c>
      <c r="G233" s="563" t="s">
        <v>120</v>
      </c>
      <c r="H233" s="503" t="s">
        <v>126</v>
      </c>
      <c r="I233" s="695">
        <v>880</v>
      </c>
      <c r="J233" s="695">
        <v>17</v>
      </c>
      <c r="K233" s="777">
        <f t="shared" si="42"/>
        <v>8.5</v>
      </c>
      <c r="L233" s="968">
        <v>0</v>
      </c>
      <c r="M233" s="503">
        <f t="shared" si="44"/>
        <v>2</v>
      </c>
      <c r="N233" s="504">
        <v>8.9583333333333334E-2</v>
      </c>
      <c r="O233" s="719">
        <f t="shared" si="40"/>
        <v>8.9583333333333334E-2</v>
      </c>
      <c r="P233" s="564"/>
      <c r="Q233" s="564">
        <f t="shared" si="41"/>
        <v>-8.9583333333333334E-2</v>
      </c>
      <c r="R233" s="965" t="s">
        <v>1520</v>
      </c>
      <c r="S233" s="487" t="s">
        <v>200</v>
      </c>
      <c r="T233" s="29"/>
      <c r="U233" s="29" t="str">
        <f t="shared" si="33"/>
        <v>DonleyF4</v>
      </c>
      <c r="V233" s="29" t="str">
        <f t="shared" si="34"/>
        <v>1970F4</v>
      </c>
      <c r="W233" s="80">
        <v>500</v>
      </c>
      <c r="X233" s="32">
        <v>10</v>
      </c>
      <c r="Y233" s="467">
        <v>5</v>
      </c>
      <c r="Z233" s="80"/>
      <c r="AA233" s="29" t="str">
        <f t="shared" si="35"/>
        <v>F4500</v>
      </c>
      <c r="AB233" s="29" t="str">
        <f t="shared" si="36"/>
        <v>F410</v>
      </c>
      <c r="AC233" s="29" t="str">
        <f t="shared" si="37"/>
        <v>F45</v>
      </c>
      <c r="AD233" s="29" t="str">
        <f t="shared" si="38"/>
        <v>F42</v>
      </c>
      <c r="AE233" s="443"/>
      <c r="AF233" s="443"/>
      <c r="AG233" s="443"/>
      <c r="AH233" s="443"/>
    </row>
    <row r="234" spans="1:34" ht="16.5">
      <c r="A234" s="728">
        <f t="shared" si="43"/>
        <v>227</v>
      </c>
      <c r="B234" s="563">
        <v>7</v>
      </c>
      <c r="C234" s="694">
        <v>25676</v>
      </c>
      <c r="D234" s="694" t="s">
        <v>147</v>
      </c>
      <c r="E234" s="563">
        <v>18</v>
      </c>
      <c r="F234" s="503">
        <v>1970</v>
      </c>
      <c r="G234" s="563" t="s">
        <v>115</v>
      </c>
      <c r="H234" s="503" t="s">
        <v>126</v>
      </c>
      <c r="I234" s="695">
        <v>880</v>
      </c>
      <c r="J234" s="695">
        <v>6</v>
      </c>
      <c r="K234" s="777">
        <f t="shared" si="42"/>
        <v>3</v>
      </c>
      <c r="L234" s="968">
        <v>2500000</v>
      </c>
      <c r="M234" s="503">
        <f t="shared" si="44"/>
        <v>2</v>
      </c>
      <c r="N234" s="504">
        <v>0.11319444444444444</v>
      </c>
      <c r="O234" s="719">
        <f t="shared" si="40"/>
        <v>0.11319444444444444</v>
      </c>
      <c r="P234" s="564">
        <v>0.13541666666666666</v>
      </c>
      <c r="Q234" s="564">
        <f t="shared" si="41"/>
        <v>2.2222222222222213E-2</v>
      </c>
      <c r="R234" s="965" t="s">
        <v>1520</v>
      </c>
      <c r="S234" s="487" t="s">
        <v>820</v>
      </c>
      <c r="T234" s="29"/>
      <c r="U234" s="29" t="str">
        <f t="shared" si="33"/>
        <v>GrayF4</v>
      </c>
      <c r="V234" s="29" t="str">
        <f t="shared" si="34"/>
        <v>1970F4</v>
      </c>
      <c r="W234" s="80">
        <v>500</v>
      </c>
      <c r="X234" s="32">
        <v>5</v>
      </c>
      <c r="Y234" s="467">
        <v>2</v>
      </c>
      <c r="Z234" s="80"/>
      <c r="AA234" s="29" t="str">
        <f t="shared" si="35"/>
        <v>F4500</v>
      </c>
      <c r="AB234" s="29" t="str">
        <f t="shared" si="36"/>
        <v>F45</v>
      </c>
      <c r="AC234" s="29" t="str">
        <f t="shared" si="37"/>
        <v>F42</v>
      </c>
      <c r="AD234" s="29" t="str">
        <f t="shared" si="38"/>
        <v>F42</v>
      </c>
      <c r="AE234" s="443"/>
      <c r="AF234" s="443"/>
      <c r="AG234" s="443"/>
      <c r="AH234" s="443"/>
    </row>
    <row r="235" spans="1:34" ht="16.5">
      <c r="A235" s="728">
        <f t="shared" si="43"/>
        <v>228</v>
      </c>
      <c r="B235" s="563">
        <v>8</v>
      </c>
      <c r="C235" s="694">
        <v>25719</v>
      </c>
      <c r="D235" s="694" t="s">
        <v>148</v>
      </c>
      <c r="E235" s="563">
        <v>31</v>
      </c>
      <c r="F235" s="503">
        <v>1970</v>
      </c>
      <c r="G235" s="563" t="s">
        <v>114</v>
      </c>
      <c r="H235" s="503" t="s">
        <v>122</v>
      </c>
      <c r="I235" s="695">
        <v>33</v>
      </c>
      <c r="J235" s="695">
        <v>5.0999999999999996</v>
      </c>
      <c r="K235" s="777">
        <f t="shared" si="42"/>
        <v>9.5624999999999988E-2</v>
      </c>
      <c r="L235" s="968">
        <v>0</v>
      </c>
      <c r="M235" s="503">
        <f t="shared" si="44"/>
        <v>14</v>
      </c>
      <c r="N235" s="504">
        <v>0.58819444444444446</v>
      </c>
      <c r="O235" s="719">
        <f t="shared" si="40"/>
        <v>0.58819444444444446</v>
      </c>
      <c r="P235" s="564"/>
      <c r="Q235" s="564">
        <f t="shared" si="41"/>
        <v>-0.58819444444444446</v>
      </c>
      <c r="R235" s="965" t="s">
        <v>1520</v>
      </c>
      <c r="S235" s="487"/>
      <c r="T235" s="29"/>
      <c r="U235" s="29" t="str">
        <f t="shared" si="33"/>
        <v>CarsonF0</v>
      </c>
      <c r="V235" s="29" t="str">
        <f t="shared" si="34"/>
        <v>1970F0</v>
      </c>
      <c r="W235" s="80">
        <v>20</v>
      </c>
      <c r="X235" s="32">
        <v>5</v>
      </c>
      <c r="Y235" s="467">
        <v>0.05</v>
      </c>
      <c r="Z235" s="80"/>
      <c r="AA235" s="29" t="str">
        <f t="shared" si="35"/>
        <v>F020</v>
      </c>
      <c r="AB235" s="29" t="str">
        <f t="shared" si="36"/>
        <v>F05</v>
      </c>
      <c r="AC235" s="29" t="str">
        <f t="shared" si="37"/>
        <v>F00.05</v>
      </c>
      <c r="AD235" s="29" t="str">
        <f t="shared" si="38"/>
        <v>F014</v>
      </c>
      <c r="AE235" s="443"/>
      <c r="AF235" s="443"/>
      <c r="AG235" s="443"/>
      <c r="AH235" s="443"/>
    </row>
    <row r="236" spans="1:34" ht="16.5">
      <c r="A236" s="728">
        <f t="shared" si="43"/>
        <v>229</v>
      </c>
      <c r="B236" s="563">
        <v>9</v>
      </c>
      <c r="C236" s="694">
        <v>25719</v>
      </c>
      <c r="D236" s="694" t="s">
        <v>148</v>
      </c>
      <c r="E236" s="563">
        <v>31</v>
      </c>
      <c r="F236" s="503">
        <v>1970</v>
      </c>
      <c r="G236" s="563" t="s">
        <v>118</v>
      </c>
      <c r="H236" s="503" t="s">
        <v>123</v>
      </c>
      <c r="I236" s="695">
        <v>67</v>
      </c>
      <c r="J236" s="695">
        <v>17.2</v>
      </c>
      <c r="K236" s="777">
        <f t="shared" si="42"/>
        <v>0.65477272727272728</v>
      </c>
      <c r="L236" s="968">
        <v>0</v>
      </c>
      <c r="M236" s="503">
        <f t="shared" si="44"/>
        <v>15</v>
      </c>
      <c r="N236" s="504">
        <v>0.64236111111111105</v>
      </c>
      <c r="O236" s="719">
        <f t="shared" si="40"/>
        <v>0.64236111111111105</v>
      </c>
      <c r="P236" s="564"/>
      <c r="Q236" s="564">
        <f t="shared" si="41"/>
        <v>-0.64236111111111105</v>
      </c>
      <c r="R236" s="965" t="s">
        <v>1520</v>
      </c>
      <c r="S236" s="487" t="s">
        <v>79</v>
      </c>
      <c r="T236" s="29"/>
      <c r="U236" s="29" t="str">
        <f t="shared" si="33"/>
        <v>RandallF1</v>
      </c>
      <c r="V236" s="29" t="str">
        <f t="shared" si="34"/>
        <v>1970F1</v>
      </c>
      <c r="W236" s="80">
        <v>50</v>
      </c>
      <c r="X236" s="32">
        <v>10</v>
      </c>
      <c r="Y236" s="467">
        <v>0.5</v>
      </c>
      <c r="Z236" s="80"/>
      <c r="AA236" s="29" t="str">
        <f t="shared" si="35"/>
        <v>F150</v>
      </c>
      <c r="AB236" s="29" t="str">
        <f t="shared" si="36"/>
        <v>F110</v>
      </c>
      <c r="AC236" s="29" t="str">
        <f t="shared" si="37"/>
        <v>F10.5</v>
      </c>
      <c r="AD236" s="29" t="str">
        <f t="shared" si="38"/>
        <v>F115</v>
      </c>
      <c r="AE236" s="443"/>
      <c r="AF236" s="443"/>
      <c r="AG236" s="443"/>
      <c r="AH236" s="443"/>
    </row>
    <row r="237" spans="1:34" ht="16.5">
      <c r="A237" s="728">
        <f t="shared" si="43"/>
        <v>230</v>
      </c>
      <c r="B237" s="563">
        <v>10</v>
      </c>
      <c r="C237" s="694">
        <v>25817</v>
      </c>
      <c r="D237" s="694" t="s">
        <v>152</v>
      </c>
      <c r="E237" s="563">
        <v>6</v>
      </c>
      <c r="F237" s="503">
        <v>1970</v>
      </c>
      <c r="G237" s="563" t="s">
        <v>101</v>
      </c>
      <c r="H237" s="503" t="s">
        <v>124</v>
      </c>
      <c r="I237" s="695">
        <v>10</v>
      </c>
      <c r="J237" s="695">
        <v>0.1</v>
      </c>
      <c r="K237" s="777">
        <f t="shared" si="42"/>
        <v>5.6818181818181826E-4</v>
      </c>
      <c r="L237" s="968">
        <v>25000</v>
      </c>
      <c r="M237" s="503">
        <f t="shared" si="44"/>
        <v>19</v>
      </c>
      <c r="N237" s="504">
        <v>0.80902777777777779</v>
      </c>
      <c r="O237" s="719">
        <f t="shared" si="40"/>
        <v>0.80902777777777779</v>
      </c>
      <c r="P237" s="564"/>
      <c r="Q237" s="564">
        <f t="shared" si="41"/>
        <v>-0.80902777777777779</v>
      </c>
      <c r="R237" s="965" t="s">
        <v>1520</v>
      </c>
      <c r="S237" s="487"/>
      <c r="T237" s="29"/>
      <c r="U237" s="29" t="str">
        <f t="shared" si="33"/>
        <v>BeaverF2</v>
      </c>
      <c r="V237" s="29" t="str">
        <f t="shared" si="34"/>
        <v>1970F2</v>
      </c>
      <c r="W237" s="80">
        <v>10</v>
      </c>
      <c r="X237" s="32">
        <v>0.1</v>
      </c>
      <c r="Y237" s="467">
        <v>5.0000000000000001E-4</v>
      </c>
      <c r="Z237" s="80"/>
      <c r="AA237" s="29" t="str">
        <f t="shared" si="35"/>
        <v>F210</v>
      </c>
      <c r="AB237" s="29" t="str">
        <f t="shared" si="36"/>
        <v>F20.1</v>
      </c>
      <c r="AC237" s="29" t="str">
        <f t="shared" si="37"/>
        <v>F20.0005</v>
      </c>
      <c r="AD237" s="29" t="str">
        <f t="shared" si="38"/>
        <v>F219</v>
      </c>
      <c r="AE237" s="443"/>
      <c r="AF237" s="443"/>
      <c r="AG237" s="443"/>
      <c r="AH237" s="443"/>
    </row>
    <row r="238" spans="1:34" ht="16.5">
      <c r="A238" s="728">
        <f t="shared" si="43"/>
        <v>231</v>
      </c>
      <c r="B238" s="563">
        <v>1</v>
      </c>
      <c r="C238" s="694">
        <v>26038</v>
      </c>
      <c r="D238" s="694" t="s">
        <v>147</v>
      </c>
      <c r="E238" s="563">
        <v>15</v>
      </c>
      <c r="F238" s="503">
        <v>1971</v>
      </c>
      <c r="G238" s="563" t="s">
        <v>103</v>
      </c>
      <c r="H238" s="503" t="s">
        <v>123</v>
      </c>
      <c r="I238" s="695">
        <v>100</v>
      </c>
      <c r="J238" s="695">
        <v>0.3</v>
      </c>
      <c r="K238" s="777">
        <f t="shared" si="42"/>
        <v>1.7045454545454544E-2</v>
      </c>
      <c r="L238" s="968">
        <v>0</v>
      </c>
      <c r="M238" s="503">
        <f t="shared" si="44"/>
        <v>18</v>
      </c>
      <c r="N238" s="504">
        <v>0.75</v>
      </c>
      <c r="O238" s="719">
        <f t="shared" si="40"/>
        <v>0.75</v>
      </c>
      <c r="P238" s="564"/>
      <c r="Q238" s="564">
        <f t="shared" si="41"/>
        <v>-0.75</v>
      </c>
      <c r="R238" s="965" t="s">
        <v>1520</v>
      </c>
      <c r="S238" s="487"/>
      <c r="T238" s="29"/>
      <c r="U238" s="29" t="str">
        <f t="shared" si="33"/>
        <v>ShermanF1</v>
      </c>
      <c r="V238" s="29" t="str">
        <f t="shared" si="34"/>
        <v>1971F1</v>
      </c>
      <c r="W238" s="80">
        <v>100</v>
      </c>
      <c r="X238" s="32">
        <v>0.2</v>
      </c>
      <c r="Y238" s="467">
        <v>0.01</v>
      </c>
      <c r="Z238" s="80"/>
      <c r="AA238" s="29" t="str">
        <f t="shared" si="35"/>
        <v>F1100</v>
      </c>
      <c r="AB238" s="29" t="str">
        <f t="shared" si="36"/>
        <v>F10.2</v>
      </c>
      <c r="AC238" s="29" t="str">
        <f t="shared" si="37"/>
        <v>F10.01</v>
      </c>
      <c r="AD238" s="29" t="str">
        <f t="shared" si="38"/>
        <v>F118</v>
      </c>
      <c r="AE238" s="443"/>
      <c r="AF238" s="443"/>
      <c r="AG238" s="443"/>
      <c r="AH238" s="443"/>
    </row>
    <row r="239" spans="1:34" ht="16.5">
      <c r="A239" s="728">
        <f t="shared" si="43"/>
        <v>232</v>
      </c>
      <c r="B239" s="563">
        <v>2</v>
      </c>
      <c r="C239" s="694">
        <v>26042</v>
      </c>
      <c r="D239" s="694" t="s">
        <v>147</v>
      </c>
      <c r="E239" s="563">
        <v>19</v>
      </c>
      <c r="F239" s="503">
        <v>1971</v>
      </c>
      <c r="G239" s="563" t="s">
        <v>102</v>
      </c>
      <c r="H239" s="503" t="s">
        <v>124</v>
      </c>
      <c r="I239" s="695">
        <v>150</v>
      </c>
      <c r="J239" s="695">
        <v>7.2</v>
      </c>
      <c r="K239" s="777">
        <f t="shared" si="42"/>
        <v>0.61363636363636365</v>
      </c>
      <c r="L239" s="968">
        <v>25000</v>
      </c>
      <c r="M239" s="503">
        <f t="shared" si="44"/>
        <v>0</v>
      </c>
      <c r="N239" s="504">
        <v>1.0416666666666666E-2</v>
      </c>
      <c r="O239" s="719">
        <f t="shared" si="40"/>
        <v>1.0416666666666666E-2</v>
      </c>
      <c r="P239" s="564"/>
      <c r="Q239" s="564">
        <f t="shared" si="41"/>
        <v>-1.0416666666666666E-2</v>
      </c>
      <c r="R239" s="965" t="s">
        <v>1520</v>
      </c>
      <c r="S239" s="487"/>
      <c r="T239" s="29"/>
      <c r="U239" s="29" t="str">
        <f t="shared" si="33"/>
        <v>DallamF2</v>
      </c>
      <c r="V239" s="29" t="str">
        <f t="shared" si="34"/>
        <v>1971F2</v>
      </c>
      <c r="W239" s="80">
        <v>100</v>
      </c>
      <c r="X239" s="32">
        <v>5</v>
      </c>
      <c r="Y239" s="467">
        <v>0.5</v>
      </c>
      <c r="Z239" s="80"/>
      <c r="AA239" s="29" t="str">
        <f t="shared" si="35"/>
        <v>F2100</v>
      </c>
      <c r="AB239" s="29" t="str">
        <f t="shared" si="36"/>
        <v>F25</v>
      </c>
      <c r="AC239" s="29" t="str">
        <f t="shared" si="37"/>
        <v>F20.5</v>
      </c>
      <c r="AD239" s="29" t="str">
        <f t="shared" si="38"/>
        <v>F20</v>
      </c>
      <c r="AE239" s="443"/>
      <c r="AF239" s="443"/>
      <c r="AG239" s="443"/>
      <c r="AH239" s="443"/>
    </row>
    <row r="240" spans="1:34" ht="16.5">
      <c r="A240" s="728">
        <f t="shared" si="43"/>
        <v>233</v>
      </c>
      <c r="B240" s="563">
        <v>3</v>
      </c>
      <c r="C240" s="694">
        <v>26042</v>
      </c>
      <c r="D240" s="694" t="s">
        <v>147</v>
      </c>
      <c r="E240" s="563">
        <v>19</v>
      </c>
      <c r="F240" s="503">
        <v>1971</v>
      </c>
      <c r="G240" s="563" t="s">
        <v>102</v>
      </c>
      <c r="H240" s="503" t="s">
        <v>124</v>
      </c>
      <c r="I240" s="695">
        <v>10</v>
      </c>
      <c r="J240" s="695">
        <v>0.1</v>
      </c>
      <c r="K240" s="777">
        <f t="shared" si="42"/>
        <v>5.6818181818181826E-4</v>
      </c>
      <c r="L240" s="968">
        <v>0</v>
      </c>
      <c r="M240" s="503">
        <f t="shared" si="44"/>
        <v>0</v>
      </c>
      <c r="N240" s="504">
        <v>1.0416666666666666E-2</v>
      </c>
      <c r="O240" s="719">
        <f t="shared" si="40"/>
        <v>1.0416666666666666E-2</v>
      </c>
      <c r="P240" s="564"/>
      <c r="Q240" s="564">
        <f t="shared" si="41"/>
        <v>-1.0416666666666666E-2</v>
      </c>
      <c r="R240" s="965" t="s">
        <v>1521</v>
      </c>
      <c r="S240" s="487"/>
      <c r="T240" s="29"/>
      <c r="U240" s="29" t="str">
        <f t="shared" si="33"/>
        <v>DallamF2</v>
      </c>
      <c r="V240" s="29" t="str">
        <f t="shared" si="34"/>
        <v>1971F2</v>
      </c>
      <c r="W240" s="80">
        <v>10</v>
      </c>
      <c r="X240" s="32">
        <v>0.1</v>
      </c>
      <c r="Y240" s="467">
        <v>5.0000000000000001E-4</v>
      </c>
      <c r="Z240" s="80"/>
      <c r="AA240" s="29" t="str">
        <f t="shared" si="35"/>
        <v>F210</v>
      </c>
      <c r="AB240" s="29" t="str">
        <f t="shared" si="36"/>
        <v>F20.1</v>
      </c>
      <c r="AC240" s="29" t="str">
        <f t="shared" si="37"/>
        <v>F20.0005</v>
      </c>
      <c r="AD240" s="29" t="str">
        <f t="shared" si="38"/>
        <v>F20</v>
      </c>
      <c r="AE240" s="443"/>
      <c r="AF240" s="443"/>
      <c r="AG240" s="443"/>
      <c r="AH240" s="443"/>
    </row>
    <row r="241" spans="1:34" ht="16.5">
      <c r="A241" s="728">
        <f t="shared" si="43"/>
        <v>234</v>
      </c>
      <c r="B241" s="563">
        <v>4</v>
      </c>
      <c r="C241" s="694">
        <v>26042</v>
      </c>
      <c r="D241" s="694" t="s">
        <v>147</v>
      </c>
      <c r="E241" s="563">
        <v>19</v>
      </c>
      <c r="F241" s="503">
        <v>1971</v>
      </c>
      <c r="G241" s="563" t="s">
        <v>117</v>
      </c>
      <c r="H241" s="503" t="s">
        <v>125</v>
      </c>
      <c r="I241" s="695">
        <v>133</v>
      </c>
      <c r="J241" s="695">
        <v>6.1</v>
      </c>
      <c r="K241" s="777">
        <f t="shared" si="42"/>
        <v>0.46096590909090901</v>
      </c>
      <c r="L241" s="968">
        <v>0</v>
      </c>
      <c r="M241" s="503">
        <f t="shared" si="44"/>
        <v>0</v>
      </c>
      <c r="N241" s="504">
        <v>2.0833333333333332E-2</v>
      </c>
      <c r="O241" s="719">
        <f t="shared" si="40"/>
        <v>2.0833333333333332E-2</v>
      </c>
      <c r="P241" s="564"/>
      <c r="Q241" s="564">
        <f t="shared" si="41"/>
        <v>-2.0833333333333332E-2</v>
      </c>
      <c r="R241" s="965" t="s">
        <v>1534</v>
      </c>
      <c r="S241" s="487"/>
      <c r="T241" s="29"/>
      <c r="U241" s="29" t="str">
        <f t="shared" si="33"/>
        <v>Deaf SmithF3</v>
      </c>
      <c r="V241" s="29" t="str">
        <f t="shared" si="34"/>
        <v>1971F3</v>
      </c>
      <c r="W241" s="80">
        <v>100</v>
      </c>
      <c r="X241" s="32">
        <v>5</v>
      </c>
      <c r="Y241" s="467">
        <v>0.2</v>
      </c>
      <c r="Z241" s="80"/>
      <c r="AA241" s="29" t="str">
        <f t="shared" si="35"/>
        <v>F3100</v>
      </c>
      <c r="AB241" s="29" t="str">
        <f t="shared" si="36"/>
        <v>F35</v>
      </c>
      <c r="AC241" s="29" t="str">
        <f t="shared" si="37"/>
        <v>F30.2</v>
      </c>
      <c r="AD241" s="29" t="str">
        <f t="shared" si="38"/>
        <v>F30</v>
      </c>
      <c r="AE241" s="443"/>
      <c r="AF241" s="443"/>
      <c r="AG241" s="443"/>
      <c r="AH241" s="443"/>
    </row>
    <row r="242" spans="1:34" ht="16.5">
      <c r="A242" s="728">
        <f t="shared" si="43"/>
        <v>235</v>
      </c>
      <c r="B242" s="563">
        <v>5</v>
      </c>
      <c r="C242" s="694">
        <v>26042</v>
      </c>
      <c r="D242" s="694" t="s">
        <v>147</v>
      </c>
      <c r="E242" s="563">
        <v>19</v>
      </c>
      <c r="F242" s="503">
        <v>1971</v>
      </c>
      <c r="G242" s="563" t="s">
        <v>99</v>
      </c>
      <c r="H242" s="503" t="s">
        <v>123</v>
      </c>
      <c r="I242" s="695">
        <v>10</v>
      </c>
      <c r="J242" s="695">
        <v>0.1</v>
      </c>
      <c r="K242" s="777">
        <f t="shared" si="42"/>
        <v>5.6818181818181826E-4</v>
      </c>
      <c r="L242" s="968">
        <v>25000</v>
      </c>
      <c r="M242" s="503">
        <f t="shared" si="44"/>
        <v>1</v>
      </c>
      <c r="N242" s="504">
        <v>4.1666666666666664E-2</v>
      </c>
      <c r="O242" s="719">
        <f t="shared" si="40"/>
        <v>4.1666666666666664E-2</v>
      </c>
      <c r="P242" s="564"/>
      <c r="Q242" s="564">
        <f t="shared" si="41"/>
        <v>-4.1666666666666664E-2</v>
      </c>
      <c r="R242" s="965" t="s">
        <v>1520</v>
      </c>
      <c r="S242" s="487"/>
      <c r="T242" s="29"/>
      <c r="U242" s="29" t="str">
        <f t="shared" si="33"/>
        <v>CimarronF1</v>
      </c>
      <c r="V242" s="29" t="str">
        <f t="shared" si="34"/>
        <v>1971F1</v>
      </c>
      <c r="W242" s="80">
        <v>10</v>
      </c>
      <c r="X242" s="32">
        <v>0.1</v>
      </c>
      <c r="Y242" s="467">
        <v>5.0000000000000001E-4</v>
      </c>
      <c r="Z242" s="80"/>
      <c r="AA242" s="29" t="str">
        <f t="shared" si="35"/>
        <v>F110</v>
      </c>
      <c r="AB242" s="29" t="str">
        <f t="shared" si="36"/>
        <v>F10.1</v>
      </c>
      <c r="AC242" s="29" t="str">
        <f t="shared" si="37"/>
        <v>F10.0005</v>
      </c>
      <c r="AD242" s="29" t="str">
        <f t="shared" si="38"/>
        <v>F11</v>
      </c>
      <c r="AE242" s="443"/>
      <c r="AF242" s="443"/>
      <c r="AG242" s="443"/>
      <c r="AH242" s="443"/>
    </row>
    <row r="243" spans="1:34" ht="16.5">
      <c r="A243" s="728">
        <f t="shared" si="43"/>
        <v>236</v>
      </c>
      <c r="B243" s="563">
        <v>6</v>
      </c>
      <c r="C243" s="694">
        <v>26042</v>
      </c>
      <c r="D243" s="694" t="s">
        <v>147</v>
      </c>
      <c r="E243" s="563">
        <v>19</v>
      </c>
      <c r="F243" s="503">
        <v>1971</v>
      </c>
      <c r="G243" s="563" t="s">
        <v>118</v>
      </c>
      <c r="H243" s="503" t="s">
        <v>123</v>
      </c>
      <c r="I243" s="695">
        <v>20</v>
      </c>
      <c r="J243" s="695">
        <v>0.3</v>
      </c>
      <c r="K243" s="777">
        <f t="shared" si="42"/>
        <v>3.4090909090909089E-3</v>
      </c>
      <c r="L243" s="968">
        <v>0</v>
      </c>
      <c r="M243" s="503">
        <f t="shared" si="44"/>
        <v>1</v>
      </c>
      <c r="N243" s="504">
        <v>4.7916666666666663E-2</v>
      </c>
      <c r="O243" s="719">
        <f t="shared" si="40"/>
        <v>4.7916666666666663E-2</v>
      </c>
      <c r="P243" s="564"/>
      <c r="Q243" s="564">
        <f t="shared" si="41"/>
        <v>-4.7916666666666663E-2</v>
      </c>
      <c r="R243" s="965" t="s">
        <v>1520</v>
      </c>
      <c r="S243" s="487"/>
      <c r="T243" s="29"/>
      <c r="U243" s="29" t="str">
        <f t="shared" si="33"/>
        <v>RandallF1</v>
      </c>
      <c r="V243" s="29" t="str">
        <f t="shared" si="34"/>
        <v>1971F1</v>
      </c>
      <c r="W243" s="80">
        <v>20</v>
      </c>
      <c r="X243" s="32">
        <v>0.2</v>
      </c>
      <c r="Y243" s="467">
        <v>2E-3</v>
      </c>
      <c r="Z243" s="80"/>
      <c r="AA243" s="29" t="str">
        <f t="shared" si="35"/>
        <v>F120</v>
      </c>
      <c r="AB243" s="29" t="str">
        <f t="shared" si="36"/>
        <v>F10.2</v>
      </c>
      <c r="AC243" s="29" t="str">
        <f t="shared" si="37"/>
        <v>F10.002</v>
      </c>
      <c r="AD243" s="29" t="str">
        <f t="shared" si="38"/>
        <v>F11</v>
      </c>
      <c r="AE243" s="443"/>
      <c r="AF243" s="443"/>
      <c r="AG243" s="443"/>
      <c r="AH243" s="443"/>
    </row>
    <row r="244" spans="1:34" ht="16.5">
      <c r="A244" s="728">
        <f t="shared" si="43"/>
        <v>237</v>
      </c>
      <c r="B244" s="563">
        <v>7</v>
      </c>
      <c r="C244" s="694">
        <v>26042</v>
      </c>
      <c r="D244" s="694" t="s">
        <v>147</v>
      </c>
      <c r="E244" s="563">
        <v>19</v>
      </c>
      <c r="F244" s="503">
        <v>1971</v>
      </c>
      <c r="G244" s="563" t="s">
        <v>99</v>
      </c>
      <c r="H244" s="503" t="s">
        <v>124</v>
      </c>
      <c r="I244" s="695">
        <v>10</v>
      </c>
      <c r="J244" s="695">
        <v>0.1</v>
      </c>
      <c r="K244" s="777">
        <f t="shared" si="42"/>
        <v>5.6818181818181826E-4</v>
      </c>
      <c r="L244" s="968">
        <v>250000</v>
      </c>
      <c r="M244" s="503">
        <f t="shared" si="44"/>
        <v>1</v>
      </c>
      <c r="N244" s="504">
        <v>6.25E-2</v>
      </c>
      <c r="O244" s="719">
        <f t="shared" si="40"/>
        <v>6.25E-2</v>
      </c>
      <c r="P244" s="564"/>
      <c r="Q244" s="564">
        <f t="shared" si="41"/>
        <v>-6.25E-2</v>
      </c>
      <c r="R244" s="965" t="s">
        <v>1520</v>
      </c>
      <c r="S244" s="487"/>
      <c r="T244" s="29"/>
      <c r="U244" s="29" t="str">
        <f t="shared" si="33"/>
        <v>CimarronF2</v>
      </c>
      <c r="V244" s="29" t="str">
        <f t="shared" si="34"/>
        <v>1971F2</v>
      </c>
      <c r="W244" s="80">
        <v>10</v>
      </c>
      <c r="X244" s="32">
        <v>0.1</v>
      </c>
      <c r="Y244" s="467">
        <v>5.0000000000000001E-4</v>
      </c>
      <c r="Z244" s="80"/>
      <c r="AA244" s="29" t="str">
        <f t="shared" si="35"/>
        <v>F210</v>
      </c>
      <c r="AB244" s="29" t="str">
        <f t="shared" si="36"/>
        <v>F20.1</v>
      </c>
      <c r="AC244" s="29" t="str">
        <f t="shared" si="37"/>
        <v>F20.0005</v>
      </c>
      <c r="AD244" s="29" t="str">
        <f t="shared" si="38"/>
        <v>F21</v>
      </c>
      <c r="AE244" s="443"/>
      <c r="AF244" s="443"/>
      <c r="AG244" s="443"/>
      <c r="AH244" s="443"/>
    </row>
    <row r="245" spans="1:34" ht="16.5">
      <c r="A245" s="728">
        <f t="shared" si="43"/>
        <v>238</v>
      </c>
      <c r="B245" s="563">
        <v>8</v>
      </c>
      <c r="C245" s="694">
        <v>26042</v>
      </c>
      <c r="D245" s="694" t="s">
        <v>147</v>
      </c>
      <c r="E245" s="563">
        <v>19</v>
      </c>
      <c r="F245" s="503">
        <v>1971</v>
      </c>
      <c r="G245" s="563" t="s">
        <v>117</v>
      </c>
      <c r="H245" s="503" t="s">
        <v>123</v>
      </c>
      <c r="I245" s="695">
        <v>20</v>
      </c>
      <c r="J245" s="695">
        <v>0.3</v>
      </c>
      <c r="K245" s="777">
        <f t="shared" si="42"/>
        <v>3.4090909090909089E-3</v>
      </c>
      <c r="L245" s="968">
        <v>3000</v>
      </c>
      <c r="M245" s="503">
        <f t="shared" si="44"/>
        <v>6</v>
      </c>
      <c r="N245" s="504">
        <v>0.25</v>
      </c>
      <c r="O245" s="719">
        <f t="shared" si="40"/>
        <v>0.25</v>
      </c>
      <c r="P245" s="564"/>
      <c r="Q245" s="564">
        <f t="shared" si="41"/>
        <v>-0.25</v>
      </c>
      <c r="R245" s="965" t="s">
        <v>1520</v>
      </c>
      <c r="S245" s="487"/>
      <c r="T245" s="29"/>
      <c r="U245" s="29" t="str">
        <f t="shared" si="33"/>
        <v>Deaf SmithF1</v>
      </c>
      <c r="V245" s="29" t="str">
        <f t="shared" si="34"/>
        <v>1971F1</v>
      </c>
      <c r="W245" s="80">
        <v>20</v>
      </c>
      <c r="X245" s="32">
        <v>0.2</v>
      </c>
      <c r="Y245" s="467">
        <v>2E-3</v>
      </c>
      <c r="Z245" s="80"/>
      <c r="AA245" s="29" t="str">
        <f t="shared" si="35"/>
        <v>F120</v>
      </c>
      <c r="AB245" s="29" t="str">
        <f t="shared" si="36"/>
        <v>F10.2</v>
      </c>
      <c r="AC245" s="29" t="str">
        <f t="shared" si="37"/>
        <v>F10.002</v>
      </c>
      <c r="AD245" s="29" t="str">
        <f t="shared" si="38"/>
        <v>F16</v>
      </c>
      <c r="AE245" s="443"/>
      <c r="AF245" s="443"/>
      <c r="AG245" s="443"/>
      <c r="AH245" s="443"/>
    </row>
    <row r="246" spans="1:34" ht="16.5">
      <c r="A246" s="728">
        <f t="shared" si="43"/>
        <v>239</v>
      </c>
      <c r="B246" s="563">
        <v>9</v>
      </c>
      <c r="C246" s="694">
        <v>26045</v>
      </c>
      <c r="D246" s="694" t="s">
        <v>147</v>
      </c>
      <c r="E246" s="563">
        <v>22</v>
      </c>
      <c r="F246" s="503">
        <v>1971</v>
      </c>
      <c r="G246" s="563" t="s">
        <v>99</v>
      </c>
      <c r="H246" s="503" t="s">
        <v>122</v>
      </c>
      <c r="I246" s="695">
        <v>10</v>
      </c>
      <c r="J246" s="695">
        <v>0.1</v>
      </c>
      <c r="K246" s="777">
        <f t="shared" si="42"/>
        <v>5.6818181818181826E-4</v>
      </c>
      <c r="L246" s="968">
        <v>3000</v>
      </c>
      <c r="M246" s="503">
        <f t="shared" si="44"/>
        <v>12</v>
      </c>
      <c r="N246" s="504">
        <v>0.52083333333333337</v>
      </c>
      <c r="O246" s="719">
        <f t="shared" si="40"/>
        <v>0.52083333333333337</v>
      </c>
      <c r="P246" s="564"/>
      <c r="Q246" s="564">
        <f t="shared" si="41"/>
        <v>-0.52083333333333337</v>
      </c>
      <c r="R246" s="965" t="s">
        <v>1520</v>
      </c>
      <c r="S246" s="487"/>
      <c r="T246" s="29"/>
      <c r="U246" s="29" t="str">
        <f t="shared" si="33"/>
        <v>CimarronF0</v>
      </c>
      <c r="V246" s="29" t="str">
        <f t="shared" si="34"/>
        <v>1971F0</v>
      </c>
      <c r="W246" s="80">
        <v>10</v>
      </c>
      <c r="X246" s="32">
        <v>0.1</v>
      </c>
      <c r="Y246" s="467">
        <v>5.0000000000000001E-4</v>
      </c>
      <c r="Z246" s="80"/>
      <c r="AA246" s="29" t="str">
        <f t="shared" si="35"/>
        <v>F010</v>
      </c>
      <c r="AB246" s="29" t="str">
        <f t="shared" si="36"/>
        <v>F00.1</v>
      </c>
      <c r="AC246" s="29" t="str">
        <f t="shared" si="37"/>
        <v>F00.0005</v>
      </c>
      <c r="AD246" s="29" t="str">
        <f t="shared" si="38"/>
        <v>F012</v>
      </c>
      <c r="AE246" s="443"/>
      <c r="AF246" s="443"/>
      <c r="AG246" s="443"/>
      <c r="AH246" s="443"/>
    </row>
    <row r="247" spans="1:34" ht="16.5">
      <c r="A247" s="728">
        <f t="shared" si="43"/>
        <v>240</v>
      </c>
      <c r="B247" s="563">
        <v>10</v>
      </c>
      <c r="C247" s="694">
        <v>26081</v>
      </c>
      <c r="D247" s="694" t="s">
        <v>148</v>
      </c>
      <c r="E247" s="563">
        <v>28</v>
      </c>
      <c r="F247" s="503">
        <v>1971</v>
      </c>
      <c r="G247" s="563" t="s">
        <v>99</v>
      </c>
      <c r="H247" s="503" t="s">
        <v>122</v>
      </c>
      <c r="I247" s="695">
        <v>10</v>
      </c>
      <c r="J247" s="695">
        <v>0.1</v>
      </c>
      <c r="K247" s="777">
        <f t="shared" si="42"/>
        <v>5.6818181818181826E-4</v>
      </c>
      <c r="L247" s="968">
        <v>0</v>
      </c>
      <c r="M247" s="503">
        <f t="shared" si="44"/>
        <v>18</v>
      </c>
      <c r="N247" s="504">
        <v>0.76597222222222217</v>
      </c>
      <c r="O247" s="719">
        <f t="shared" si="40"/>
        <v>0.76597222222222217</v>
      </c>
      <c r="P247" s="564"/>
      <c r="Q247" s="564">
        <f t="shared" si="41"/>
        <v>-0.76597222222222217</v>
      </c>
      <c r="R247" s="965" t="s">
        <v>1520</v>
      </c>
      <c r="S247" s="487"/>
      <c r="T247" s="29"/>
      <c r="U247" s="29" t="str">
        <f t="shared" si="33"/>
        <v>CimarronF0</v>
      </c>
      <c r="V247" s="29" t="str">
        <f t="shared" si="34"/>
        <v>1971F0</v>
      </c>
      <c r="W247" s="80">
        <v>10</v>
      </c>
      <c r="X247" s="32">
        <v>0.1</v>
      </c>
      <c r="Y247" s="467">
        <v>5.0000000000000001E-4</v>
      </c>
      <c r="Z247" s="80"/>
      <c r="AA247" s="29" t="str">
        <f t="shared" si="35"/>
        <v>F010</v>
      </c>
      <c r="AB247" s="29" t="str">
        <f t="shared" si="36"/>
        <v>F00.1</v>
      </c>
      <c r="AC247" s="29" t="str">
        <f t="shared" si="37"/>
        <v>F00.0005</v>
      </c>
      <c r="AD247" s="29" t="str">
        <f t="shared" si="38"/>
        <v>F018</v>
      </c>
      <c r="AE247" s="443"/>
      <c r="AF247" s="443"/>
      <c r="AG247" s="443"/>
      <c r="AH247" s="443"/>
    </row>
    <row r="248" spans="1:34" ht="16.5">
      <c r="A248" s="728">
        <f t="shared" si="43"/>
        <v>241</v>
      </c>
      <c r="B248" s="563">
        <v>11</v>
      </c>
      <c r="C248" s="694">
        <v>26089</v>
      </c>
      <c r="D248" s="694" t="s">
        <v>149</v>
      </c>
      <c r="E248" s="563">
        <v>5</v>
      </c>
      <c r="F248" s="503">
        <v>1971</v>
      </c>
      <c r="G248" s="563" t="s">
        <v>118</v>
      </c>
      <c r="H248" s="503" t="s">
        <v>124</v>
      </c>
      <c r="I248" s="695">
        <v>50</v>
      </c>
      <c r="J248" s="695">
        <v>0.3</v>
      </c>
      <c r="K248" s="777">
        <f t="shared" si="42"/>
        <v>8.5227272727272721E-3</v>
      </c>
      <c r="L248" s="968">
        <v>0</v>
      </c>
      <c r="M248" s="503">
        <f t="shared" si="44"/>
        <v>16</v>
      </c>
      <c r="N248" s="504">
        <v>0.67361111111111116</v>
      </c>
      <c r="O248" s="719">
        <f t="shared" si="40"/>
        <v>0.67361111111111116</v>
      </c>
      <c r="P248" s="564"/>
      <c r="Q248" s="564">
        <f t="shared" si="41"/>
        <v>-0.67361111111111116</v>
      </c>
      <c r="R248" s="965" t="s">
        <v>1520</v>
      </c>
      <c r="S248" s="487"/>
      <c r="T248" s="29"/>
      <c r="U248" s="29" t="str">
        <f t="shared" si="33"/>
        <v>RandallF2</v>
      </c>
      <c r="V248" s="29" t="str">
        <f t="shared" si="34"/>
        <v>1971F2</v>
      </c>
      <c r="W248" s="80">
        <v>50</v>
      </c>
      <c r="X248" s="32">
        <v>0.2</v>
      </c>
      <c r="Y248" s="467">
        <v>5.0000000000000001E-3</v>
      </c>
      <c r="Z248" s="80"/>
      <c r="AA248" s="29" t="str">
        <f t="shared" si="35"/>
        <v>F250</v>
      </c>
      <c r="AB248" s="29" t="str">
        <f t="shared" si="36"/>
        <v>F20.2</v>
      </c>
      <c r="AC248" s="29" t="str">
        <f t="shared" si="37"/>
        <v>F20.005</v>
      </c>
      <c r="AD248" s="29" t="str">
        <f t="shared" si="38"/>
        <v>F216</v>
      </c>
      <c r="AE248" s="443"/>
      <c r="AF248" s="443"/>
      <c r="AG248" s="443"/>
      <c r="AH248" s="443"/>
    </row>
    <row r="249" spans="1:34" ht="16.5">
      <c r="A249" s="728">
        <f t="shared" si="43"/>
        <v>242</v>
      </c>
      <c r="B249" s="563">
        <v>12</v>
      </c>
      <c r="C249" s="694">
        <v>26089</v>
      </c>
      <c r="D249" s="694" t="s">
        <v>149</v>
      </c>
      <c r="E249" s="563">
        <v>5</v>
      </c>
      <c r="F249" s="503">
        <v>1971</v>
      </c>
      <c r="G249" s="563" t="s">
        <v>109</v>
      </c>
      <c r="H249" s="503" t="s">
        <v>125</v>
      </c>
      <c r="I249" s="695">
        <v>1320</v>
      </c>
      <c r="J249" s="695">
        <v>4.7</v>
      </c>
      <c r="K249" s="777">
        <f t="shared" si="42"/>
        <v>3.5250000000000004</v>
      </c>
      <c r="L249" s="968">
        <v>0</v>
      </c>
      <c r="M249" s="503">
        <f t="shared" si="44"/>
        <v>18</v>
      </c>
      <c r="N249" s="504">
        <v>0.75</v>
      </c>
      <c r="O249" s="719">
        <f t="shared" si="40"/>
        <v>0.75</v>
      </c>
      <c r="P249" s="564"/>
      <c r="Q249" s="564">
        <f t="shared" si="41"/>
        <v>-0.75</v>
      </c>
      <c r="R249" s="965" t="s">
        <v>1520</v>
      </c>
      <c r="S249" s="487"/>
      <c r="T249" s="29"/>
      <c r="U249" s="29" t="str">
        <f t="shared" si="33"/>
        <v>HutchinsonF3</v>
      </c>
      <c r="V249" s="29" t="str">
        <f t="shared" si="34"/>
        <v>1971F3</v>
      </c>
      <c r="W249" s="80">
        <v>1000</v>
      </c>
      <c r="X249" s="32">
        <v>2</v>
      </c>
      <c r="Y249" s="467">
        <v>2</v>
      </c>
      <c r="Z249" s="80"/>
      <c r="AA249" s="29" t="str">
        <f t="shared" si="35"/>
        <v>F31000</v>
      </c>
      <c r="AB249" s="29" t="str">
        <f t="shared" si="36"/>
        <v>F32</v>
      </c>
      <c r="AC249" s="29" t="str">
        <f t="shared" si="37"/>
        <v>F32</v>
      </c>
      <c r="AD249" s="29" t="str">
        <f t="shared" si="38"/>
        <v>F318</v>
      </c>
      <c r="AE249" s="443"/>
      <c r="AF249" s="443"/>
      <c r="AG249" s="443"/>
      <c r="AH249" s="443"/>
    </row>
    <row r="250" spans="1:34" ht="16.5">
      <c r="A250" s="728">
        <f t="shared" si="43"/>
        <v>243</v>
      </c>
      <c r="B250" s="563">
        <v>13</v>
      </c>
      <c r="C250" s="694">
        <v>26089</v>
      </c>
      <c r="D250" s="694" t="s">
        <v>149</v>
      </c>
      <c r="E250" s="563">
        <v>5</v>
      </c>
      <c r="F250" s="503">
        <v>1971</v>
      </c>
      <c r="G250" s="563" t="s">
        <v>109</v>
      </c>
      <c r="H250" s="503" t="s">
        <v>124</v>
      </c>
      <c r="I250" s="695">
        <v>10</v>
      </c>
      <c r="J250" s="695">
        <v>0.1</v>
      </c>
      <c r="K250" s="777">
        <f t="shared" si="42"/>
        <v>5.6818181818181826E-4</v>
      </c>
      <c r="L250" s="968">
        <v>0</v>
      </c>
      <c r="M250" s="503">
        <f t="shared" si="44"/>
        <v>18</v>
      </c>
      <c r="N250" s="504">
        <v>0.75347222222222221</v>
      </c>
      <c r="O250" s="719">
        <f t="shared" si="40"/>
        <v>0.75347222222222221</v>
      </c>
      <c r="P250" s="564"/>
      <c r="Q250" s="564">
        <f t="shared" si="41"/>
        <v>-0.75347222222222221</v>
      </c>
      <c r="R250" s="965" t="s">
        <v>1520</v>
      </c>
      <c r="S250" s="487"/>
      <c r="T250" s="29"/>
      <c r="U250" s="29" t="str">
        <f t="shared" si="33"/>
        <v>HutchinsonF2</v>
      </c>
      <c r="V250" s="29" t="str">
        <f t="shared" si="34"/>
        <v>1971F2</v>
      </c>
      <c r="W250" s="80">
        <v>10</v>
      </c>
      <c r="X250" s="32">
        <v>0.1</v>
      </c>
      <c r="Y250" s="467">
        <v>5.0000000000000001E-4</v>
      </c>
      <c r="Z250" s="80"/>
      <c r="AA250" s="29" t="str">
        <f t="shared" si="35"/>
        <v>F210</v>
      </c>
      <c r="AB250" s="29" t="str">
        <f t="shared" si="36"/>
        <v>F20.1</v>
      </c>
      <c r="AC250" s="29" t="str">
        <f t="shared" si="37"/>
        <v>F20.0005</v>
      </c>
      <c r="AD250" s="29" t="str">
        <f t="shared" si="38"/>
        <v>F218</v>
      </c>
      <c r="AE250" s="443"/>
      <c r="AF250" s="443"/>
      <c r="AG250" s="443"/>
      <c r="AH250" s="443"/>
    </row>
    <row r="251" spans="1:34" ht="16.5">
      <c r="A251" s="728">
        <f t="shared" si="43"/>
        <v>244</v>
      </c>
      <c r="B251" s="563">
        <v>14</v>
      </c>
      <c r="C251" s="694">
        <v>26089</v>
      </c>
      <c r="D251" s="694" t="s">
        <v>149</v>
      </c>
      <c r="E251" s="563">
        <v>5</v>
      </c>
      <c r="F251" s="503">
        <v>1971</v>
      </c>
      <c r="G251" s="563" t="s">
        <v>109</v>
      </c>
      <c r="H251" s="503" t="s">
        <v>124</v>
      </c>
      <c r="I251" s="695">
        <v>10</v>
      </c>
      <c r="J251" s="695">
        <v>0.1</v>
      </c>
      <c r="K251" s="777">
        <f t="shared" si="42"/>
        <v>5.6818181818181826E-4</v>
      </c>
      <c r="L251" s="968">
        <v>0</v>
      </c>
      <c r="M251" s="503">
        <f t="shared" si="44"/>
        <v>18</v>
      </c>
      <c r="N251" s="504">
        <v>0.75694444444444453</v>
      </c>
      <c r="O251" s="719">
        <f t="shared" si="40"/>
        <v>0.75694444444444453</v>
      </c>
      <c r="P251" s="564"/>
      <c r="Q251" s="564">
        <f t="shared" si="41"/>
        <v>-0.75694444444444453</v>
      </c>
      <c r="R251" s="965" t="s">
        <v>1520</v>
      </c>
      <c r="S251" s="487"/>
      <c r="U251" s="29" t="str">
        <f t="shared" si="33"/>
        <v>HutchinsonF2</v>
      </c>
      <c r="V251" s="29" t="str">
        <f t="shared" si="34"/>
        <v>1971F2</v>
      </c>
      <c r="W251" s="80">
        <v>10</v>
      </c>
      <c r="X251" s="32">
        <v>0.1</v>
      </c>
      <c r="Y251" s="467">
        <v>5.0000000000000001E-4</v>
      </c>
      <c r="Z251" s="80"/>
      <c r="AA251" s="29" t="str">
        <f t="shared" si="35"/>
        <v>F210</v>
      </c>
      <c r="AB251" s="29" t="str">
        <f t="shared" si="36"/>
        <v>F20.1</v>
      </c>
      <c r="AC251" s="29" t="str">
        <f t="shared" si="37"/>
        <v>F20.0005</v>
      </c>
      <c r="AD251" s="29" t="str">
        <f t="shared" si="38"/>
        <v>F218</v>
      </c>
      <c r="AE251" s="443"/>
      <c r="AF251" s="443"/>
      <c r="AG251" s="443"/>
      <c r="AH251" s="443"/>
    </row>
    <row r="252" spans="1:34" ht="16.5">
      <c r="A252" s="728">
        <f t="shared" si="43"/>
        <v>245</v>
      </c>
      <c r="B252" s="563">
        <v>15</v>
      </c>
      <c r="C252" s="694">
        <v>26089</v>
      </c>
      <c r="D252" s="694" t="s">
        <v>149</v>
      </c>
      <c r="E252" s="563">
        <v>5</v>
      </c>
      <c r="F252" s="503">
        <v>1971</v>
      </c>
      <c r="G252" s="563" t="s">
        <v>109</v>
      </c>
      <c r="H252" s="503" t="s">
        <v>124</v>
      </c>
      <c r="I252" s="695">
        <v>10</v>
      </c>
      <c r="J252" s="695">
        <v>0.1</v>
      </c>
      <c r="K252" s="777">
        <f t="shared" si="42"/>
        <v>5.6818181818181826E-4</v>
      </c>
      <c r="L252" s="968">
        <v>0</v>
      </c>
      <c r="M252" s="503">
        <f t="shared" si="44"/>
        <v>18</v>
      </c>
      <c r="N252" s="504">
        <v>0.76041666666666663</v>
      </c>
      <c r="O252" s="719">
        <f t="shared" si="40"/>
        <v>0.76041666666666663</v>
      </c>
      <c r="P252" s="564"/>
      <c r="Q252" s="564">
        <f t="shared" si="41"/>
        <v>-0.76041666666666663</v>
      </c>
      <c r="R252" s="965" t="s">
        <v>1520</v>
      </c>
      <c r="S252" s="487"/>
      <c r="U252" s="29" t="str">
        <f t="shared" si="33"/>
        <v>HutchinsonF2</v>
      </c>
      <c r="V252" s="29" t="str">
        <f t="shared" si="34"/>
        <v>1971F2</v>
      </c>
      <c r="W252" s="80">
        <v>10</v>
      </c>
      <c r="X252" s="32">
        <v>0.1</v>
      </c>
      <c r="Y252" s="467">
        <v>5.0000000000000001E-4</v>
      </c>
      <c r="Z252" s="80"/>
      <c r="AA252" s="29" t="str">
        <f t="shared" si="35"/>
        <v>F210</v>
      </c>
      <c r="AB252" s="29" t="str">
        <f t="shared" si="36"/>
        <v>F20.1</v>
      </c>
      <c r="AC252" s="29" t="str">
        <f t="shared" si="37"/>
        <v>F20.0005</v>
      </c>
      <c r="AD252" s="29" t="str">
        <f t="shared" si="38"/>
        <v>F218</v>
      </c>
      <c r="AE252" s="443"/>
      <c r="AF252" s="443"/>
      <c r="AG252" s="443"/>
      <c r="AH252" s="443"/>
    </row>
    <row r="253" spans="1:34" ht="16.5">
      <c r="A253" s="728">
        <f t="shared" si="43"/>
        <v>246</v>
      </c>
      <c r="B253" s="563">
        <v>16</v>
      </c>
      <c r="C253" s="694">
        <v>26089</v>
      </c>
      <c r="D253" s="694" t="s">
        <v>149</v>
      </c>
      <c r="E253" s="563">
        <v>5</v>
      </c>
      <c r="F253" s="503">
        <v>1971</v>
      </c>
      <c r="G253" s="563" t="s">
        <v>109</v>
      </c>
      <c r="H253" s="503" t="s">
        <v>124</v>
      </c>
      <c r="I253" s="695">
        <v>10</v>
      </c>
      <c r="J253" s="695">
        <v>0.1</v>
      </c>
      <c r="K253" s="777">
        <f t="shared" si="42"/>
        <v>5.6818181818181826E-4</v>
      </c>
      <c r="L253" s="968">
        <v>0</v>
      </c>
      <c r="M253" s="503">
        <f t="shared" si="44"/>
        <v>18</v>
      </c>
      <c r="N253" s="504">
        <v>0.76388888888888884</v>
      </c>
      <c r="O253" s="719">
        <f t="shared" si="40"/>
        <v>0.76388888888888884</v>
      </c>
      <c r="P253" s="564"/>
      <c r="Q253" s="564">
        <f t="shared" si="41"/>
        <v>-0.76388888888888884</v>
      </c>
      <c r="R253" s="965" t="s">
        <v>1520</v>
      </c>
      <c r="S253" s="487"/>
      <c r="U253" s="29" t="str">
        <f t="shared" si="33"/>
        <v>HutchinsonF2</v>
      </c>
      <c r="V253" s="29" t="str">
        <f t="shared" si="34"/>
        <v>1971F2</v>
      </c>
      <c r="W253" s="80">
        <v>10</v>
      </c>
      <c r="X253" s="32">
        <v>0.1</v>
      </c>
      <c r="Y253" s="467">
        <v>5.0000000000000001E-4</v>
      </c>
      <c r="Z253" s="80"/>
      <c r="AA253" s="29" t="str">
        <f t="shared" si="35"/>
        <v>F210</v>
      </c>
      <c r="AB253" s="29" t="str">
        <f t="shared" si="36"/>
        <v>F20.1</v>
      </c>
      <c r="AC253" s="29" t="str">
        <f t="shared" si="37"/>
        <v>F20.0005</v>
      </c>
      <c r="AD253" s="29" t="str">
        <f t="shared" si="38"/>
        <v>F218</v>
      </c>
      <c r="AE253" s="443"/>
      <c r="AF253" s="443"/>
      <c r="AG253" s="443"/>
      <c r="AH253" s="443"/>
    </row>
    <row r="254" spans="1:34" ht="16.5">
      <c r="A254" s="728">
        <f t="shared" si="43"/>
        <v>247</v>
      </c>
      <c r="B254" s="563">
        <v>17</v>
      </c>
      <c r="C254" s="694">
        <v>26089</v>
      </c>
      <c r="D254" s="694" t="s">
        <v>149</v>
      </c>
      <c r="E254" s="563">
        <v>5</v>
      </c>
      <c r="F254" s="503">
        <v>1971</v>
      </c>
      <c r="G254" s="563" t="s">
        <v>109</v>
      </c>
      <c r="H254" s="503" t="s">
        <v>124</v>
      </c>
      <c r="I254" s="695">
        <v>10</v>
      </c>
      <c r="J254" s="695">
        <v>0.1</v>
      </c>
      <c r="K254" s="777">
        <f t="shared" si="42"/>
        <v>5.6818181818181826E-4</v>
      </c>
      <c r="L254" s="968">
        <v>0</v>
      </c>
      <c r="M254" s="503">
        <f t="shared" si="44"/>
        <v>18</v>
      </c>
      <c r="N254" s="504">
        <v>0.76736111111111116</v>
      </c>
      <c r="O254" s="719">
        <f t="shared" si="40"/>
        <v>0.76736111111111116</v>
      </c>
      <c r="P254" s="564"/>
      <c r="Q254" s="564">
        <f t="shared" si="41"/>
        <v>-0.76736111111111116</v>
      </c>
      <c r="R254" s="965" t="s">
        <v>1520</v>
      </c>
      <c r="S254" s="487"/>
      <c r="T254" s="29"/>
      <c r="U254" s="29" t="str">
        <f t="shared" si="33"/>
        <v>HutchinsonF2</v>
      </c>
      <c r="V254" s="29" t="str">
        <f t="shared" si="34"/>
        <v>1971F2</v>
      </c>
      <c r="W254" s="80">
        <v>10</v>
      </c>
      <c r="X254" s="32">
        <v>0.1</v>
      </c>
      <c r="Y254" s="467">
        <v>5.0000000000000001E-4</v>
      </c>
      <c r="Z254" s="80"/>
      <c r="AA254" s="29" t="str">
        <f t="shared" si="35"/>
        <v>F210</v>
      </c>
      <c r="AB254" s="29" t="str">
        <f t="shared" si="36"/>
        <v>F20.1</v>
      </c>
      <c r="AC254" s="29" t="str">
        <f t="shared" si="37"/>
        <v>F20.0005</v>
      </c>
      <c r="AD254" s="29" t="str">
        <f t="shared" si="38"/>
        <v>F218</v>
      </c>
      <c r="AE254" s="443"/>
      <c r="AF254" s="443"/>
      <c r="AG254" s="443"/>
      <c r="AH254" s="443"/>
    </row>
    <row r="255" spans="1:34" ht="16.5">
      <c r="A255" s="728">
        <f t="shared" si="43"/>
        <v>248</v>
      </c>
      <c r="B255" s="563">
        <v>18</v>
      </c>
      <c r="C255" s="694">
        <v>26089</v>
      </c>
      <c r="D255" s="694" t="s">
        <v>149</v>
      </c>
      <c r="E255" s="563">
        <v>5</v>
      </c>
      <c r="F255" s="503">
        <v>1971</v>
      </c>
      <c r="G255" s="563" t="s">
        <v>109</v>
      </c>
      <c r="H255" s="503" t="s">
        <v>124</v>
      </c>
      <c r="I255" s="695">
        <v>10</v>
      </c>
      <c r="J255" s="695">
        <v>0.1</v>
      </c>
      <c r="K255" s="777">
        <f t="shared" si="42"/>
        <v>5.6818181818181826E-4</v>
      </c>
      <c r="L255" s="968">
        <v>0</v>
      </c>
      <c r="M255" s="503">
        <f t="shared" si="44"/>
        <v>18</v>
      </c>
      <c r="N255" s="504">
        <v>0.77083333333333337</v>
      </c>
      <c r="O255" s="719">
        <f t="shared" si="40"/>
        <v>0.77083333333333337</v>
      </c>
      <c r="P255" s="564"/>
      <c r="Q255" s="564">
        <f t="shared" si="41"/>
        <v>-0.77083333333333337</v>
      </c>
      <c r="R255" s="965" t="s">
        <v>1520</v>
      </c>
      <c r="S255" s="487"/>
      <c r="T255" s="29"/>
      <c r="U255" s="29" t="str">
        <f t="shared" si="33"/>
        <v>HutchinsonF2</v>
      </c>
      <c r="V255" s="29" t="str">
        <f t="shared" si="34"/>
        <v>1971F2</v>
      </c>
      <c r="W255" s="80">
        <v>10</v>
      </c>
      <c r="X255" s="32">
        <v>0.1</v>
      </c>
      <c r="Y255" s="467">
        <v>5.0000000000000001E-4</v>
      </c>
      <c r="Z255" s="80"/>
      <c r="AA255" s="29" t="str">
        <f t="shared" si="35"/>
        <v>F210</v>
      </c>
      <c r="AB255" s="29" t="str">
        <f t="shared" si="36"/>
        <v>F20.1</v>
      </c>
      <c r="AC255" s="29" t="str">
        <f t="shared" si="37"/>
        <v>F20.0005</v>
      </c>
      <c r="AD255" s="29" t="str">
        <f t="shared" si="38"/>
        <v>F218</v>
      </c>
      <c r="AE255" s="443"/>
      <c r="AF255" s="443"/>
      <c r="AG255" s="443"/>
      <c r="AH255" s="443"/>
    </row>
    <row r="256" spans="1:34" ht="16.5">
      <c r="A256" s="728">
        <f t="shared" si="43"/>
        <v>249</v>
      </c>
      <c r="B256" s="563">
        <v>19</v>
      </c>
      <c r="C256" s="694">
        <v>26092</v>
      </c>
      <c r="D256" s="694" t="s">
        <v>149</v>
      </c>
      <c r="E256" s="563">
        <v>8</v>
      </c>
      <c r="F256" s="503">
        <v>1971</v>
      </c>
      <c r="G256" s="563" t="s">
        <v>107</v>
      </c>
      <c r="H256" s="503" t="s">
        <v>124</v>
      </c>
      <c r="I256" s="695">
        <v>100</v>
      </c>
      <c r="J256" s="695">
        <v>2</v>
      </c>
      <c r="K256" s="777">
        <f t="shared" si="42"/>
        <v>0.11363636363636363</v>
      </c>
      <c r="L256" s="968">
        <v>0</v>
      </c>
      <c r="M256" s="503">
        <f t="shared" si="44"/>
        <v>16</v>
      </c>
      <c r="N256" s="504">
        <v>0.70138888888888884</v>
      </c>
      <c r="O256" s="719">
        <f t="shared" si="40"/>
        <v>0.70138888888888884</v>
      </c>
      <c r="P256" s="564"/>
      <c r="Q256" s="564">
        <f t="shared" si="41"/>
        <v>-0.70138888888888884</v>
      </c>
      <c r="R256" s="965" t="s">
        <v>1520</v>
      </c>
      <c r="S256" s="487"/>
      <c r="T256" s="29"/>
      <c r="U256" s="29" t="str">
        <f t="shared" si="33"/>
        <v>HartleyF2</v>
      </c>
      <c r="V256" s="29" t="str">
        <f t="shared" si="34"/>
        <v>1971F2</v>
      </c>
      <c r="W256" s="80">
        <v>100</v>
      </c>
      <c r="X256" s="32">
        <v>2</v>
      </c>
      <c r="Y256" s="467">
        <v>0.1</v>
      </c>
      <c r="Z256" s="80"/>
      <c r="AA256" s="29" t="str">
        <f t="shared" si="35"/>
        <v>F2100</v>
      </c>
      <c r="AB256" s="29" t="str">
        <f t="shared" si="36"/>
        <v>F22</v>
      </c>
      <c r="AC256" s="29" t="str">
        <f t="shared" si="37"/>
        <v>F20.1</v>
      </c>
      <c r="AD256" s="29" t="str">
        <f t="shared" si="38"/>
        <v>F216</v>
      </c>
      <c r="AE256" s="443"/>
      <c r="AF256" s="443"/>
      <c r="AG256" s="443"/>
      <c r="AH256" s="443"/>
    </row>
    <row r="257" spans="1:34" ht="16.5">
      <c r="A257" s="728">
        <f t="shared" si="43"/>
        <v>250</v>
      </c>
      <c r="B257" s="563">
        <v>20</v>
      </c>
      <c r="C257" s="694">
        <v>26092</v>
      </c>
      <c r="D257" s="694" t="s">
        <v>149</v>
      </c>
      <c r="E257" s="563">
        <v>8</v>
      </c>
      <c r="F257" s="503">
        <v>1971</v>
      </c>
      <c r="G257" s="563" t="s">
        <v>107</v>
      </c>
      <c r="H257" s="503" t="s">
        <v>124</v>
      </c>
      <c r="I257" s="695">
        <v>100</v>
      </c>
      <c r="J257" s="695">
        <v>2</v>
      </c>
      <c r="K257" s="777">
        <f t="shared" si="42"/>
        <v>0.11363636363636363</v>
      </c>
      <c r="L257" s="968">
        <v>0</v>
      </c>
      <c r="M257" s="503">
        <f t="shared" si="44"/>
        <v>18</v>
      </c>
      <c r="N257" s="504">
        <v>0.77430555555555547</v>
      </c>
      <c r="O257" s="719">
        <f t="shared" si="40"/>
        <v>0.77430555555555547</v>
      </c>
      <c r="P257" s="564"/>
      <c r="Q257" s="564">
        <f t="shared" si="41"/>
        <v>-0.77430555555555547</v>
      </c>
      <c r="R257" s="965" t="s">
        <v>1520</v>
      </c>
      <c r="S257" s="487"/>
      <c r="T257" s="29"/>
      <c r="U257" s="29" t="str">
        <f t="shared" si="33"/>
        <v>HartleyF2</v>
      </c>
      <c r="V257" s="29" t="str">
        <f t="shared" si="34"/>
        <v>1971F2</v>
      </c>
      <c r="W257" s="80">
        <v>100</v>
      </c>
      <c r="X257" s="32">
        <v>2</v>
      </c>
      <c r="Y257" s="467">
        <v>0.1</v>
      </c>
      <c r="Z257" s="80"/>
      <c r="AA257" s="29" t="str">
        <f t="shared" si="35"/>
        <v>F2100</v>
      </c>
      <c r="AB257" s="29" t="str">
        <f t="shared" si="36"/>
        <v>F22</v>
      </c>
      <c r="AC257" s="29" t="str">
        <f t="shared" si="37"/>
        <v>F20.1</v>
      </c>
      <c r="AD257" s="29" t="str">
        <f t="shared" si="38"/>
        <v>F218</v>
      </c>
      <c r="AE257" s="443"/>
      <c r="AF257" s="443"/>
      <c r="AG257" s="443"/>
      <c r="AH257" s="443"/>
    </row>
    <row r="258" spans="1:34" ht="16.5">
      <c r="A258" s="728">
        <f t="shared" si="43"/>
        <v>251</v>
      </c>
      <c r="B258" s="563">
        <v>21</v>
      </c>
      <c r="C258" s="694">
        <v>26093</v>
      </c>
      <c r="D258" s="694" t="s">
        <v>149</v>
      </c>
      <c r="E258" s="563">
        <v>9</v>
      </c>
      <c r="F258" s="503">
        <v>1971</v>
      </c>
      <c r="G258" s="563" t="s">
        <v>103</v>
      </c>
      <c r="H258" s="503" t="s">
        <v>124</v>
      </c>
      <c r="I258" s="695">
        <v>10</v>
      </c>
      <c r="J258" s="695">
        <v>0.1</v>
      </c>
      <c r="K258" s="777">
        <f t="shared" si="42"/>
        <v>5.6818181818181826E-4</v>
      </c>
      <c r="L258" s="968">
        <v>0</v>
      </c>
      <c r="M258" s="503">
        <f t="shared" si="44"/>
        <v>17</v>
      </c>
      <c r="N258" s="504">
        <v>0.70833333333333337</v>
      </c>
      <c r="O258" s="719">
        <f t="shared" si="40"/>
        <v>0.70833333333333337</v>
      </c>
      <c r="P258" s="564"/>
      <c r="Q258" s="564">
        <f t="shared" si="41"/>
        <v>-0.70833333333333337</v>
      </c>
      <c r="R258" s="965" t="s">
        <v>1520</v>
      </c>
      <c r="S258" s="487"/>
      <c r="T258" s="29"/>
      <c r="U258" s="29" t="str">
        <f t="shared" si="33"/>
        <v>ShermanF2</v>
      </c>
      <c r="V258" s="29" t="str">
        <f t="shared" si="34"/>
        <v>1971F2</v>
      </c>
      <c r="W258" s="80">
        <v>10</v>
      </c>
      <c r="X258" s="32">
        <v>0.1</v>
      </c>
      <c r="Y258" s="467">
        <v>5.0000000000000001E-4</v>
      </c>
      <c r="Z258" s="80"/>
      <c r="AA258" s="29" t="str">
        <f t="shared" si="35"/>
        <v>F210</v>
      </c>
      <c r="AB258" s="29" t="str">
        <f t="shared" si="36"/>
        <v>F20.1</v>
      </c>
      <c r="AC258" s="29" t="str">
        <f t="shared" si="37"/>
        <v>F20.0005</v>
      </c>
      <c r="AD258" s="29" t="str">
        <f t="shared" si="38"/>
        <v>F217</v>
      </c>
      <c r="AE258" s="443"/>
      <c r="AF258" s="443"/>
      <c r="AG258" s="443"/>
      <c r="AH258" s="443"/>
    </row>
    <row r="259" spans="1:34" ht="16.5">
      <c r="A259" s="728">
        <f t="shared" si="43"/>
        <v>252</v>
      </c>
      <c r="B259" s="563">
        <v>22</v>
      </c>
      <c r="C259" s="694">
        <v>26093</v>
      </c>
      <c r="D259" s="694" t="s">
        <v>149</v>
      </c>
      <c r="E259" s="563">
        <v>9</v>
      </c>
      <c r="F259" s="503">
        <v>1971</v>
      </c>
      <c r="G259" s="563" t="s">
        <v>103</v>
      </c>
      <c r="H259" s="503" t="s">
        <v>124</v>
      </c>
      <c r="I259" s="695">
        <v>10</v>
      </c>
      <c r="J259" s="695">
        <v>0.1</v>
      </c>
      <c r="K259" s="777">
        <f t="shared" si="42"/>
        <v>5.6818181818181826E-4</v>
      </c>
      <c r="L259" s="968">
        <v>0</v>
      </c>
      <c r="M259" s="503">
        <f t="shared" si="44"/>
        <v>17</v>
      </c>
      <c r="N259" s="504">
        <v>0.70833333333333337</v>
      </c>
      <c r="O259" s="719">
        <f t="shared" si="40"/>
        <v>0.70833333333333337</v>
      </c>
      <c r="P259" s="564"/>
      <c r="Q259" s="564">
        <f t="shared" si="41"/>
        <v>-0.70833333333333337</v>
      </c>
      <c r="R259" s="965" t="s">
        <v>1520</v>
      </c>
      <c r="S259" s="487"/>
      <c r="T259" s="29"/>
      <c r="U259" s="29" t="str">
        <f t="shared" si="33"/>
        <v>ShermanF2</v>
      </c>
      <c r="V259" s="29" t="str">
        <f t="shared" si="34"/>
        <v>1971F2</v>
      </c>
      <c r="W259" s="80">
        <v>10</v>
      </c>
      <c r="X259" s="32">
        <v>0.1</v>
      </c>
      <c r="Y259" s="467">
        <v>5.0000000000000001E-4</v>
      </c>
      <c r="Z259" s="80"/>
      <c r="AA259" s="29" t="str">
        <f t="shared" si="35"/>
        <v>F210</v>
      </c>
      <c r="AB259" s="29" t="str">
        <f t="shared" si="36"/>
        <v>F20.1</v>
      </c>
      <c r="AC259" s="29" t="str">
        <f t="shared" si="37"/>
        <v>F20.0005</v>
      </c>
      <c r="AD259" s="29" t="str">
        <f t="shared" si="38"/>
        <v>F217</v>
      </c>
      <c r="AE259" s="443"/>
      <c r="AF259" s="443"/>
      <c r="AG259" s="443"/>
      <c r="AH259" s="443"/>
    </row>
    <row r="260" spans="1:34" ht="16.5">
      <c r="A260" s="728">
        <f t="shared" si="43"/>
        <v>253</v>
      </c>
      <c r="B260" s="563">
        <v>23</v>
      </c>
      <c r="C260" s="694">
        <v>26093</v>
      </c>
      <c r="D260" s="694" t="s">
        <v>149</v>
      </c>
      <c r="E260" s="563">
        <v>9</v>
      </c>
      <c r="F260" s="503">
        <v>1971</v>
      </c>
      <c r="G260" s="563" t="s">
        <v>103</v>
      </c>
      <c r="H260" s="503" t="s">
        <v>124</v>
      </c>
      <c r="I260" s="695">
        <v>10</v>
      </c>
      <c r="J260" s="695">
        <v>0.1</v>
      </c>
      <c r="K260" s="777">
        <f t="shared" si="42"/>
        <v>5.6818181818181826E-4</v>
      </c>
      <c r="L260" s="968">
        <v>0</v>
      </c>
      <c r="M260" s="503">
        <f t="shared" si="44"/>
        <v>17</v>
      </c>
      <c r="N260" s="504">
        <v>0.70833333333333337</v>
      </c>
      <c r="O260" s="719">
        <f t="shared" si="40"/>
        <v>0.70833333333333337</v>
      </c>
      <c r="P260" s="564"/>
      <c r="Q260" s="564">
        <f t="shared" si="41"/>
        <v>-0.70833333333333337</v>
      </c>
      <c r="R260" s="965" t="s">
        <v>1520</v>
      </c>
      <c r="S260" s="487"/>
      <c r="T260" s="29"/>
      <c r="U260" s="29" t="str">
        <f t="shared" si="33"/>
        <v>ShermanF2</v>
      </c>
      <c r="V260" s="29" t="str">
        <f t="shared" si="34"/>
        <v>1971F2</v>
      </c>
      <c r="W260" s="80">
        <v>10</v>
      </c>
      <c r="X260" s="32">
        <v>0.1</v>
      </c>
      <c r="Y260" s="467">
        <v>5.0000000000000001E-4</v>
      </c>
      <c r="Z260" s="80"/>
      <c r="AA260" s="29" t="str">
        <f t="shared" si="35"/>
        <v>F210</v>
      </c>
      <c r="AB260" s="29" t="str">
        <f t="shared" si="36"/>
        <v>F20.1</v>
      </c>
      <c r="AC260" s="29" t="str">
        <f t="shared" si="37"/>
        <v>F20.0005</v>
      </c>
      <c r="AD260" s="29" t="str">
        <f t="shared" si="38"/>
        <v>F217</v>
      </c>
      <c r="AE260" s="443"/>
      <c r="AF260" s="443"/>
      <c r="AG260" s="443"/>
      <c r="AH260" s="443"/>
    </row>
    <row r="261" spans="1:34" ht="16.5">
      <c r="A261" s="728">
        <f t="shared" si="43"/>
        <v>254</v>
      </c>
      <c r="B261" s="563">
        <v>24</v>
      </c>
      <c r="C261" s="694">
        <v>26093</v>
      </c>
      <c r="D261" s="694" t="s">
        <v>149</v>
      </c>
      <c r="E261" s="563">
        <v>9</v>
      </c>
      <c r="F261" s="503">
        <v>1971</v>
      </c>
      <c r="G261" s="563" t="s">
        <v>103</v>
      </c>
      <c r="H261" s="503" t="s">
        <v>126</v>
      </c>
      <c r="I261" s="695">
        <v>1320</v>
      </c>
      <c r="J261" s="695">
        <v>5.9</v>
      </c>
      <c r="K261" s="777">
        <f t="shared" si="42"/>
        <v>4.4250000000000007</v>
      </c>
      <c r="L261" s="968">
        <v>0</v>
      </c>
      <c r="M261" s="503">
        <f t="shared" si="44"/>
        <v>17</v>
      </c>
      <c r="N261" s="504">
        <v>0.70833333333333337</v>
      </c>
      <c r="O261" s="719">
        <f t="shared" si="40"/>
        <v>0.70833333333333337</v>
      </c>
      <c r="P261" s="564"/>
      <c r="Q261" s="564">
        <f t="shared" si="41"/>
        <v>-0.70833333333333337</v>
      </c>
      <c r="R261" s="965" t="s">
        <v>1520</v>
      </c>
      <c r="S261" s="487"/>
      <c r="T261" s="29"/>
      <c r="U261" s="29" t="str">
        <f t="shared" si="33"/>
        <v>ShermanF4</v>
      </c>
      <c r="V261" s="29" t="str">
        <f t="shared" si="34"/>
        <v>1971F4</v>
      </c>
      <c r="W261" s="80">
        <v>1000</v>
      </c>
      <c r="X261" s="32">
        <v>5</v>
      </c>
      <c r="Y261" s="467">
        <v>2</v>
      </c>
      <c r="Z261" s="80"/>
      <c r="AA261" s="29" t="str">
        <f t="shared" si="35"/>
        <v>F41000</v>
      </c>
      <c r="AB261" s="29" t="str">
        <f t="shared" si="36"/>
        <v>F45</v>
      </c>
      <c r="AC261" s="29" t="str">
        <f t="shared" si="37"/>
        <v>F42</v>
      </c>
      <c r="AD261" s="29" t="str">
        <f t="shared" si="38"/>
        <v>F417</v>
      </c>
      <c r="AE261" s="443"/>
      <c r="AF261" s="443"/>
      <c r="AG261" s="443"/>
      <c r="AH261" s="443"/>
    </row>
    <row r="262" spans="1:34" ht="16.5">
      <c r="A262" s="728">
        <f t="shared" si="43"/>
        <v>255</v>
      </c>
      <c r="B262" s="563">
        <v>25</v>
      </c>
      <c r="C262" s="694">
        <v>26093</v>
      </c>
      <c r="D262" s="694" t="s">
        <v>149</v>
      </c>
      <c r="E262" s="563">
        <v>9</v>
      </c>
      <c r="F262" s="503">
        <v>1971</v>
      </c>
      <c r="G262" s="563" t="s">
        <v>101</v>
      </c>
      <c r="H262" s="503" t="s">
        <v>122</v>
      </c>
      <c r="I262" s="695">
        <v>10</v>
      </c>
      <c r="J262" s="695">
        <v>0.1</v>
      </c>
      <c r="K262" s="777">
        <f t="shared" si="42"/>
        <v>5.6818181818181826E-4</v>
      </c>
      <c r="L262" s="968">
        <v>3000</v>
      </c>
      <c r="M262" s="503">
        <f t="shared" si="44"/>
        <v>17</v>
      </c>
      <c r="N262" s="504">
        <v>0.71250000000000002</v>
      </c>
      <c r="O262" s="719">
        <f t="shared" si="40"/>
        <v>0.71250000000000002</v>
      </c>
      <c r="P262" s="564"/>
      <c r="Q262" s="564">
        <f t="shared" si="41"/>
        <v>-0.71250000000000002</v>
      </c>
      <c r="R262" s="965" t="s">
        <v>1520</v>
      </c>
      <c r="S262" s="487"/>
      <c r="T262" s="29"/>
      <c r="U262" s="29" t="str">
        <f t="shared" si="33"/>
        <v>BeaverF0</v>
      </c>
      <c r="V262" s="29" t="str">
        <f t="shared" si="34"/>
        <v>1971F0</v>
      </c>
      <c r="W262" s="80">
        <v>10</v>
      </c>
      <c r="X262" s="32">
        <v>0.1</v>
      </c>
      <c r="Y262" s="467">
        <v>5.0000000000000001E-4</v>
      </c>
      <c r="Z262" s="80"/>
      <c r="AA262" s="29" t="str">
        <f t="shared" si="35"/>
        <v>F010</v>
      </c>
      <c r="AB262" s="29" t="str">
        <f t="shared" si="36"/>
        <v>F00.1</v>
      </c>
      <c r="AC262" s="29" t="str">
        <f t="shared" si="37"/>
        <v>F00.0005</v>
      </c>
      <c r="AD262" s="29" t="str">
        <f t="shared" si="38"/>
        <v>F017</v>
      </c>
      <c r="AE262" s="443"/>
      <c r="AF262" s="443"/>
      <c r="AG262" s="443"/>
      <c r="AH262" s="443"/>
    </row>
    <row r="263" spans="1:34" ht="16.5">
      <c r="A263" s="728">
        <f t="shared" si="43"/>
        <v>256</v>
      </c>
      <c r="B263" s="563">
        <v>26</v>
      </c>
      <c r="C263" s="694">
        <v>26093</v>
      </c>
      <c r="D263" s="694" t="s">
        <v>149</v>
      </c>
      <c r="E263" s="563">
        <v>9</v>
      </c>
      <c r="F263" s="503">
        <v>1971</v>
      </c>
      <c r="G263" s="563" t="s">
        <v>109</v>
      </c>
      <c r="H263" s="503" t="s">
        <v>124</v>
      </c>
      <c r="I263" s="695">
        <v>440</v>
      </c>
      <c r="J263" s="695">
        <v>3</v>
      </c>
      <c r="K263" s="777">
        <f t="shared" si="42"/>
        <v>0.75</v>
      </c>
      <c r="L263" s="968">
        <v>3000</v>
      </c>
      <c r="M263" s="503">
        <f t="shared" si="44"/>
        <v>19</v>
      </c>
      <c r="N263" s="504">
        <v>0.79166666666666663</v>
      </c>
      <c r="O263" s="719">
        <f t="shared" si="40"/>
        <v>0.79166666666666663</v>
      </c>
      <c r="P263" s="564"/>
      <c r="Q263" s="564">
        <f t="shared" si="41"/>
        <v>-0.79166666666666663</v>
      </c>
      <c r="R263" s="965" t="s">
        <v>1520</v>
      </c>
      <c r="S263" s="487"/>
      <c r="T263" s="29"/>
      <c r="U263" s="29" t="str">
        <f t="shared" ref="U263:U326" si="45">CONCATENATE(G263,H263)</f>
        <v>HutchinsonF2</v>
      </c>
      <c r="V263" s="29" t="str">
        <f t="shared" ref="V263:V326" si="46">CONCATENATE(F263,H263)</f>
        <v>1971F2</v>
      </c>
      <c r="W263" s="80">
        <v>200</v>
      </c>
      <c r="X263" s="32">
        <v>2</v>
      </c>
      <c r="Y263" s="467">
        <v>0.5</v>
      </c>
      <c r="Z263" s="80"/>
      <c r="AA263" s="29" t="str">
        <f t="shared" ref="AA263:AA326" si="47">CONCATENATE(H263,W263)</f>
        <v>F2200</v>
      </c>
      <c r="AB263" s="29" t="str">
        <f t="shared" ref="AB263:AB326" si="48">CONCATENATE(H263,X263)</f>
        <v>F22</v>
      </c>
      <c r="AC263" s="29" t="str">
        <f t="shared" ref="AC263:AC326" si="49">CONCATENATE(H263,Y263)</f>
        <v>F20.5</v>
      </c>
      <c r="AD263" s="29" t="str">
        <f t="shared" ref="AD263:AD326" si="50">CONCATENATE(H263,M263)</f>
        <v>F219</v>
      </c>
      <c r="AE263" s="443"/>
      <c r="AF263" s="443"/>
      <c r="AG263" s="443"/>
      <c r="AH263" s="443"/>
    </row>
    <row r="264" spans="1:34" ht="16.5">
      <c r="A264" s="728">
        <f t="shared" si="43"/>
        <v>257</v>
      </c>
      <c r="B264" s="563">
        <v>27</v>
      </c>
      <c r="C264" s="694">
        <v>26093</v>
      </c>
      <c r="D264" s="694" t="s">
        <v>149</v>
      </c>
      <c r="E264" s="563">
        <v>9</v>
      </c>
      <c r="F264" s="503">
        <v>1971</v>
      </c>
      <c r="G264" s="563" t="s">
        <v>101</v>
      </c>
      <c r="H264" s="503" t="s">
        <v>123</v>
      </c>
      <c r="I264" s="695">
        <v>10</v>
      </c>
      <c r="J264" s="695">
        <v>0.1</v>
      </c>
      <c r="K264" s="777">
        <f t="shared" si="42"/>
        <v>5.6818181818181826E-4</v>
      </c>
      <c r="L264" s="968">
        <v>3000</v>
      </c>
      <c r="M264" s="503">
        <f t="shared" si="44"/>
        <v>20</v>
      </c>
      <c r="N264" s="504">
        <v>0.86458333333333337</v>
      </c>
      <c r="O264" s="719">
        <f t="shared" ref="O264:O326" si="51">+N264</f>
        <v>0.86458333333333337</v>
      </c>
      <c r="P264" s="564"/>
      <c r="Q264" s="564">
        <f t="shared" ref="Q264:Q327" si="52">+P264-O264</f>
        <v>-0.86458333333333337</v>
      </c>
      <c r="R264" s="965" t="s">
        <v>1520</v>
      </c>
      <c r="S264" s="487"/>
      <c r="T264" s="29"/>
      <c r="U264" s="29" t="str">
        <f t="shared" si="45"/>
        <v>BeaverF1</v>
      </c>
      <c r="V264" s="29" t="str">
        <f t="shared" si="46"/>
        <v>1971F1</v>
      </c>
      <c r="W264" s="80">
        <v>10</v>
      </c>
      <c r="X264" s="32">
        <v>0.1</v>
      </c>
      <c r="Y264" s="467">
        <v>5.0000000000000001E-4</v>
      </c>
      <c r="Z264" s="80"/>
      <c r="AA264" s="29" t="str">
        <f t="shared" si="47"/>
        <v>F110</v>
      </c>
      <c r="AB264" s="29" t="str">
        <f t="shared" si="48"/>
        <v>F10.1</v>
      </c>
      <c r="AC264" s="29" t="str">
        <f t="shared" si="49"/>
        <v>F10.0005</v>
      </c>
      <c r="AD264" s="29" t="str">
        <f t="shared" si="50"/>
        <v>F120</v>
      </c>
      <c r="AE264" s="443"/>
      <c r="AF264" s="443"/>
      <c r="AG264" s="443"/>
      <c r="AH264" s="443"/>
    </row>
    <row r="265" spans="1:34" ht="16.5">
      <c r="A265" s="728">
        <f t="shared" si="43"/>
        <v>258</v>
      </c>
      <c r="B265" s="563">
        <v>28</v>
      </c>
      <c r="C265" s="694">
        <v>26093</v>
      </c>
      <c r="D265" s="694" t="s">
        <v>149</v>
      </c>
      <c r="E265" s="563">
        <v>9</v>
      </c>
      <c r="F265" s="503">
        <v>1971</v>
      </c>
      <c r="G265" s="563" t="s">
        <v>104</v>
      </c>
      <c r="H265" s="503" t="s">
        <v>124</v>
      </c>
      <c r="I265" s="695">
        <v>10</v>
      </c>
      <c r="J265" s="695">
        <v>0.1</v>
      </c>
      <c r="K265" s="777">
        <f t="shared" ref="K265:K328" si="53">+(I265/1760)*J265</f>
        <v>5.6818181818181826E-4</v>
      </c>
      <c r="L265" s="968">
        <v>25000</v>
      </c>
      <c r="M265" s="503">
        <f t="shared" si="44"/>
        <v>20</v>
      </c>
      <c r="N265" s="504">
        <v>0.86805555555555547</v>
      </c>
      <c r="O265" s="719">
        <f t="shared" si="51"/>
        <v>0.86805555555555547</v>
      </c>
      <c r="P265" s="564"/>
      <c r="Q265" s="564">
        <f t="shared" si="52"/>
        <v>-0.86805555555555547</v>
      </c>
      <c r="R265" s="965" t="s">
        <v>1520</v>
      </c>
      <c r="S265" s="487"/>
      <c r="T265" s="29"/>
      <c r="U265" s="29" t="str">
        <f t="shared" si="45"/>
        <v>HansfordF2</v>
      </c>
      <c r="V265" s="29" t="str">
        <f t="shared" si="46"/>
        <v>1971F2</v>
      </c>
      <c r="W265" s="80">
        <v>10</v>
      </c>
      <c r="X265" s="32">
        <v>0.1</v>
      </c>
      <c r="Y265" s="467">
        <v>5.0000000000000001E-4</v>
      </c>
      <c r="Z265" s="80"/>
      <c r="AA265" s="29" t="str">
        <f t="shared" si="47"/>
        <v>F210</v>
      </c>
      <c r="AB265" s="29" t="str">
        <f t="shared" si="48"/>
        <v>F20.1</v>
      </c>
      <c r="AC265" s="29" t="str">
        <f t="shared" si="49"/>
        <v>F20.0005</v>
      </c>
      <c r="AD265" s="29" t="str">
        <f t="shared" si="50"/>
        <v>F220</v>
      </c>
      <c r="AE265" s="443"/>
      <c r="AF265" s="443"/>
      <c r="AG265" s="443"/>
      <c r="AH265" s="443"/>
    </row>
    <row r="266" spans="1:34" ht="16.5">
      <c r="A266" s="728">
        <f t="shared" ref="A266:A329" si="54">+A265+1</f>
        <v>259</v>
      </c>
      <c r="B266" s="563">
        <v>29</v>
      </c>
      <c r="C266" s="694">
        <v>26093</v>
      </c>
      <c r="D266" s="694" t="s">
        <v>149</v>
      </c>
      <c r="E266" s="563">
        <v>9</v>
      </c>
      <c r="F266" s="503">
        <v>1971</v>
      </c>
      <c r="G266" s="563" t="s">
        <v>104</v>
      </c>
      <c r="H266" s="503" t="s">
        <v>126</v>
      </c>
      <c r="I266" s="695">
        <v>1760</v>
      </c>
      <c r="J266" s="695">
        <v>15.9</v>
      </c>
      <c r="K266" s="777">
        <f t="shared" si="53"/>
        <v>15.9</v>
      </c>
      <c r="L266" s="968">
        <v>0</v>
      </c>
      <c r="M266" s="503">
        <f t="shared" si="44"/>
        <v>20</v>
      </c>
      <c r="N266" s="504">
        <v>0.86805555555555547</v>
      </c>
      <c r="O266" s="719">
        <f t="shared" si="51"/>
        <v>0.86805555555555547</v>
      </c>
      <c r="P266" s="564"/>
      <c r="Q266" s="564">
        <f t="shared" si="52"/>
        <v>-0.86805555555555547</v>
      </c>
      <c r="R266" s="965" t="s">
        <v>1520</v>
      </c>
      <c r="S266" s="487"/>
      <c r="T266" s="29"/>
      <c r="U266" s="29" t="str">
        <f t="shared" si="45"/>
        <v>HansfordF4</v>
      </c>
      <c r="V266" s="29" t="str">
        <f t="shared" si="46"/>
        <v>1971F4</v>
      </c>
      <c r="W266" s="80">
        <v>1000</v>
      </c>
      <c r="X266" s="32">
        <v>10</v>
      </c>
      <c r="Y266" s="467">
        <v>10</v>
      </c>
      <c r="Z266" s="80"/>
      <c r="AA266" s="29" t="str">
        <f t="shared" si="47"/>
        <v>F41000</v>
      </c>
      <c r="AB266" s="29" t="str">
        <f t="shared" si="48"/>
        <v>F410</v>
      </c>
      <c r="AC266" s="29" t="str">
        <f t="shared" si="49"/>
        <v>F410</v>
      </c>
      <c r="AD266" s="29" t="str">
        <f t="shared" si="50"/>
        <v>F420</v>
      </c>
      <c r="AE266" s="443"/>
      <c r="AF266" s="443"/>
      <c r="AG266" s="443"/>
      <c r="AH266" s="443"/>
    </row>
    <row r="267" spans="1:34" ht="16.5">
      <c r="A267" s="728">
        <f t="shared" si="54"/>
        <v>260</v>
      </c>
      <c r="B267" s="563">
        <v>30</v>
      </c>
      <c r="C267" s="694">
        <v>26093</v>
      </c>
      <c r="D267" s="694" t="s">
        <v>149</v>
      </c>
      <c r="E267" s="563">
        <v>9</v>
      </c>
      <c r="F267" s="503">
        <v>1971</v>
      </c>
      <c r="G267" s="563" t="s">
        <v>100</v>
      </c>
      <c r="H267" s="503" t="s">
        <v>122</v>
      </c>
      <c r="I267" s="695">
        <v>10</v>
      </c>
      <c r="J267" s="695">
        <v>0.1</v>
      </c>
      <c r="K267" s="777">
        <f t="shared" si="53"/>
        <v>5.6818181818181826E-4</v>
      </c>
      <c r="L267" s="968">
        <v>0</v>
      </c>
      <c r="M267" s="503">
        <f t="shared" si="44"/>
        <v>21</v>
      </c>
      <c r="N267" s="504">
        <v>0.89930555555555547</v>
      </c>
      <c r="O267" s="719">
        <f t="shared" si="51"/>
        <v>0.89930555555555547</v>
      </c>
      <c r="P267" s="564"/>
      <c r="Q267" s="564">
        <f t="shared" si="52"/>
        <v>-0.89930555555555547</v>
      </c>
      <c r="R267" s="965" t="s">
        <v>1520</v>
      </c>
      <c r="S267" s="487"/>
      <c r="T267" s="29"/>
      <c r="U267" s="29" t="str">
        <f t="shared" si="45"/>
        <v>TexasF0</v>
      </c>
      <c r="V267" s="29" t="str">
        <f t="shared" si="46"/>
        <v>1971F0</v>
      </c>
      <c r="W267" s="80">
        <v>10</v>
      </c>
      <c r="X267" s="32">
        <v>0.1</v>
      </c>
      <c r="Y267" s="467">
        <v>5.0000000000000001E-4</v>
      </c>
      <c r="Z267" s="80"/>
      <c r="AA267" s="29" t="str">
        <f t="shared" si="47"/>
        <v>F010</v>
      </c>
      <c r="AB267" s="29" t="str">
        <f t="shared" si="48"/>
        <v>F00.1</v>
      </c>
      <c r="AC267" s="29" t="str">
        <f t="shared" si="49"/>
        <v>F00.0005</v>
      </c>
      <c r="AD267" s="29" t="str">
        <f t="shared" si="50"/>
        <v>F021</v>
      </c>
      <c r="AE267" s="443"/>
      <c r="AF267" s="443"/>
      <c r="AG267" s="443"/>
      <c r="AH267" s="443"/>
    </row>
    <row r="268" spans="1:34" ht="16.5">
      <c r="A268" s="728">
        <f t="shared" si="54"/>
        <v>261</v>
      </c>
      <c r="B268" s="563">
        <v>31</v>
      </c>
      <c r="C268" s="694">
        <v>26095</v>
      </c>
      <c r="D268" s="694" t="s">
        <v>149</v>
      </c>
      <c r="E268" s="563">
        <v>11</v>
      </c>
      <c r="F268" s="503">
        <v>1971</v>
      </c>
      <c r="G268" s="563" t="s">
        <v>112</v>
      </c>
      <c r="H268" s="503" t="s">
        <v>123</v>
      </c>
      <c r="I268" s="695">
        <v>20</v>
      </c>
      <c r="J268" s="695">
        <v>0.1</v>
      </c>
      <c r="K268" s="777">
        <f t="shared" si="53"/>
        <v>1.1363636363636365E-3</v>
      </c>
      <c r="L268" s="968">
        <v>3000</v>
      </c>
      <c r="M268" s="503">
        <f t="shared" si="44"/>
        <v>16</v>
      </c>
      <c r="N268" s="504">
        <v>0.66666666666666663</v>
      </c>
      <c r="O268" s="719">
        <f t="shared" si="51"/>
        <v>0.66666666666666663</v>
      </c>
      <c r="P268" s="564"/>
      <c r="Q268" s="564">
        <f t="shared" si="52"/>
        <v>-0.66666666666666663</v>
      </c>
      <c r="R268" s="965" t="s">
        <v>1520</v>
      </c>
      <c r="S268" s="487"/>
      <c r="T268" s="29"/>
      <c r="U268" s="29" t="str">
        <f t="shared" si="45"/>
        <v>OldhamF1</v>
      </c>
      <c r="V268" s="29" t="str">
        <f t="shared" si="46"/>
        <v>1971F1</v>
      </c>
      <c r="W268" s="80">
        <v>20</v>
      </c>
      <c r="X268" s="32">
        <v>0.1</v>
      </c>
      <c r="Y268" s="467">
        <v>1E-3</v>
      </c>
      <c r="Z268" s="80"/>
      <c r="AA268" s="29" t="str">
        <f t="shared" si="47"/>
        <v>F120</v>
      </c>
      <c r="AB268" s="29" t="str">
        <f t="shared" si="48"/>
        <v>F10.1</v>
      </c>
      <c r="AC268" s="29" t="str">
        <f t="shared" si="49"/>
        <v>F10.001</v>
      </c>
      <c r="AD268" s="29" t="str">
        <f t="shared" si="50"/>
        <v>F116</v>
      </c>
      <c r="AE268" s="443"/>
      <c r="AF268" s="443"/>
      <c r="AG268" s="443"/>
      <c r="AH268" s="443"/>
    </row>
    <row r="269" spans="1:34" ht="16.5">
      <c r="A269" s="728">
        <f t="shared" si="54"/>
        <v>262</v>
      </c>
      <c r="B269" s="563">
        <v>32</v>
      </c>
      <c r="C269" s="694">
        <v>26095</v>
      </c>
      <c r="D269" s="694" t="s">
        <v>149</v>
      </c>
      <c r="E269" s="563">
        <v>11</v>
      </c>
      <c r="F269" s="503">
        <v>1971</v>
      </c>
      <c r="G269" s="563" t="s">
        <v>109</v>
      </c>
      <c r="H269" s="503" t="s">
        <v>123</v>
      </c>
      <c r="I269" s="695">
        <v>6</v>
      </c>
      <c r="J269" s="695">
        <v>0.1</v>
      </c>
      <c r="K269" s="777">
        <f t="shared" si="53"/>
        <v>3.4090909090909094E-4</v>
      </c>
      <c r="L269" s="968">
        <v>0</v>
      </c>
      <c r="M269" s="503">
        <f t="shared" si="44"/>
        <v>19</v>
      </c>
      <c r="N269" s="504">
        <v>0.79166666666666663</v>
      </c>
      <c r="O269" s="719">
        <f t="shared" si="51"/>
        <v>0.79166666666666663</v>
      </c>
      <c r="P269" s="564"/>
      <c r="Q269" s="564">
        <f t="shared" si="52"/>
        <v>-0.79166666666666663</v>
      </c>
      <c r="R269" s="965" t="s">
        <v>1520</v>
      </c>
      <c r="S269" s="487"/>
      <c r="T269" s="29"/>
      <c r="U269" s="29" t="str">
        <f t="shared" si="45"/>
        <v>HutchinsonF1</v>
      </c>
      <c r="V269" s="29" t="str">
        <f t="shared" si="46"/>
        <v>1971F1</v>
      </c>
      <c r="W269" s="80">
        <v>5</v>
      </c>
      <c r="X269" s="32">
        <v>0.1</v>
      </c>
      <c r="Y269" s="467">
        <v>2.0000000000000001E-4</v>
      </c>
      <c r="Z269" s="80"/>
      <c r="AA269" s="29" t="str">
        <f t="shared" si="47"/>
        <v>F15</v>
      </c>
      <c r="AB269" s="29" t="str">
        <f t="shared" si="48"/>
        <v>F10.1</v>
      </c>
      <c r="AC269" s="29" t="str">
        <f t="shared" si="49"/>
        <v>F10.0002</v>
      </c>
      <c r="AD269" s="29" t="str">
        <f t="shared" si="50"/>
        <v>F119</v>
      </c>
      <c r="AE269" s="443"/>
      <c r="AF269" s="443"/>
      <c r="AG269" s="443"/>
      <c r="AH269" s="443"/>
    </row>
    <row r="270" spans="1:34" ht="16.5">
      <c r="A270" s="728">
        <f t="shared" si="54"/>
        <v>263</v>
      </c>
      <c r="B270" s="563">
        <v>33</v>
      </c>
      <c r="C270" s="694">
        <v>26097</v>
      </c>
      <c r="D270" s="694" t="s">
        <v>149</v>
      </c>
      <c r="E270" s="563">
        <v>13</v>
      </c>
      <c r="F270" s="503">
        <v>1971</v>
      </c>
      <c r="G270" s="563" t="s">
        <v>109</v>
      </c>
      <c r="H270" s="503" t="s">
        <v>123</v>
      </c>
      <c r="I270" s="695">
        <v>20</v>
      </c>
      <c r="J270" s="695">
        <v>1</v>
      </c>
      <c r="K270" s="777">
        <f t="shared" si="53"/>
        <v>1.1363636363636364E-2</v>
      </c>
      <c r="L270" s="968">
        <v>0</v>
      </c>
      <c r="M270" s="503">
        <f t="shared" si="44"/>
        <v>16</v>
      </c>
      <c r="N270" s="504">
        <v>0.6875</v>
      </c>
      <c r="O270" s="719">
        <f t="shared" si="51"/>
        <v>0.6875</v>
      </c>
      <c r="P270" s="564"/>
      <c r="Q270" s="564">
        <f t="shared" si="52"/>
        <v>-0.6875</v>
      </c>
      <c r="R270" s="965" t="s">
        <v>1520</v>
      </c>
      <c r="S270" s="487"/>
      <c r="T270" s="29"/>
      <c r="U270" s="29" t="str">
        <f t="shared" si="45"/>
        <v>HutchinsonF1</v>
      </c>
      <c r="V270" s="29" t="str">
        <f t="shared" si="46"/>
        <v>1971F1</v>
      </c>
      <c r="W270" s="80">
        <v>20</v>
      </c>
      <c r="X270" s="32">
        <v>1</v>
      </c>
      <c r="Y270" s="467">
        <v>0.01</v>
      </c>
      <c r="Z270" s="80"/>
      <c r="AA270" s="29" t="str">
        <f t="shared" si="47"/>
        <v>F120</v>
      </c>
      <c r="AB270" s="29" t="str">
        <f t="shared" si="48"/>
        <v>F11</v>
      </c>
      <c r="AC270" s="29" t="str">
        <f t="shared" si="49"/>
        <v>F10.01</v>
      </c>
      <c r="AD270" s="29" t="str">
        <f t="shared" si="50"/>
        <v>F116</v>
      </c>
      <c r="AE270" s="443"/>
      <c r="AF270" s="443"/>
      <c r="AG270" s="443"/>
      <c r="AH270" s="443"/>
    </row>
    <row r="271" spans="1:34" ht="16.5">
      <c r="A271" s="728">
        <f t="shared" si="54"/>
        <v>264</v>
      </c>
      <c r="B271" s="563">
        <v>34</v>
      </c>
      <c r="C271" s="694">
        <v>26151</v>
      </c>
      <c r="D271" s="694" t="s">
        <v>151</v>
      </c>
      <c r="E271" s="563">
        <v>6</v>
      </c>
      <c r="F271" s="503">
        <v>1971</v>
      </c>
      <c r="G271" s="563" t="s">
        <v>114</v>
      </c>
      <c r="H271" s="503" t="s">
        <v>123</v>
      </c>
      <c r="I271" s="695">
        <v>50</v>
      </c>
      <c r="J271" s="695">
        <v>2</v>
      </c>
      <c r="K271" s="777">
        <f t="shared" si="53"/>
        <v>5.6818181818181816E-2</v>
      </c>
      <c r="L271" s="968">
        <v>0</v>
      </c>
      <c r="M271" s="503">
        <f t="shared" si="44"/>
        <v>16</v>
      </c>
      <c r="N271" s="504">
        <v>0.6875</v>
      </c>
      <c r="O271" s="719">
        <f t="shared" si="51"/>
        <v>0.6875</v>
      </c>
      <c r="P271" s="564"/>
      <c r="Q271" s="564">
        <f t="shared" si="52"/>
        <v>-0.6875</v>
      </c>
      <c r="R271" s="965" t="s">
        <v>1520</v>
      </c>
      <c r="S271" s="487"/>
      <c r="T271" s="29"/>
      <c r="U271" s="29" t="str">
        <f t="shared" si="45"/>
        <v>CarsonF1</v>
      </c>
      <c r="V271" s="29" t="str">
        <f t="shared" si="46"/>
        <v>1971F1</v>
      </c>
      <c r="W271" s="80">
        <v>50</v>
      </c>
      <c r="X271" s="32">
        <v>2</v>
      </c>
      <c r="Y271" s="467">
        <v>0.05</v>
      </c>
      <c r="Z271" s="80"/>
      <c r="AA271" s="29" t="str">
        <f t="shared" si="47"/>
        <v>F150</v>
      </c>
      <c r="AB271" s="29" t="str">
        <f t="shared" si="48"/>
        <v>F12</v>
      </c>
      <c r="AC271" s="29" t="str">
        <f t="shared" si="49"/>
        <v>F10.05</v>
      </c>
      <c r="AD271" s="29" t="str">
        <f t="shared" si="50"/>
        <v>F116</v>
      </c>
      <c r="AE271" s="443"/>
      <c r="AF271" s="443"/>
      <c r="AG271" s="443"/>
      <c r="AH271" s="443"/>
    </row>
    <row r="272" spans="1:34" ht="16.5">
      <c r="A272" s="728">
        <f t="shared" si="54"/>
        <v>265</v>
      </c>
      <c r="B272" s="563">
        <v>35</v>
      </c>
      <c r="C272" s="694">
        <v>26223</v>
      </c>
      <c r="D272" s="694" t="s">
        <v>153</v>
      </c>
      <c r="E272" s="563">
        <v>17</v>
      </c>
      <c r="F272" s="503">
        <v>1971</v>
      </c>
      <c r="G272" s="563" t="s">
        <v>114</v>
      </c>
      <c r="H272" s="503" t="s">
        <v>123</v>
      </c>
      <c r="I272" s="695">
        <v>50</v>
      </c>
      <c r="J272" s="695">
        <v>0.3</v>
      </c>
      <c r="K272" s="777">
        <f t="shared" si="53"/>
        <v>8.5227272727272721E-3</v>
      </c>
      <c r="L272" s="968">
        <v>25000</v>
      </c>
      <c r="M272" s="503">
        <f t="shared" si="44"/>
        <v>17</v>
      </c>
      <c r="N272" s="504">
        <v>0.70833333333333337</v>
      </c>
      <c r="O272" s="719">
        <f t="shared" si="51"/>
        <v>0.70833333333333337</v>
      </c>
      <c r="P272" s="564"/>
      <c r="Q272" s="564">
        <f t="shared" si="52"/>
        <v>-0.70833333333333337</v>
      </c>
      <c r="R272" s="965" t="s">
        <v>1520</v>
      </c>
      <c r="S272" s="487"/>
      <c r="T272" s="29"/>
      <c r="U272" s="29" t="str">
        <f t="shared" si="45"/>
        <v>CarsonF1</v>
      </c>
      <c r="V272" s="29" t="str">
        <f t="shared" si="46"/>
        <v>1971F1</v>
      </c>
      <c r="W272" s="80">
        <v>50</v>
      </c>
      <c r="X272" s="32">
        <v>0.2</v>
      </c>
      <c r="Y272" s="467">
        <v>5.0000000000000001E-3</v>
      </c>
      <c r="Z272" s="80"/>
      <c r="AA272" s="29" t="str">
        <f t="shared" si="47"/>
        <v>F150</v>
      </c>
      <c r="AB272" s="29" t="str">
        <f t="shared" si="48"/>
        <v>F10.2</v>
      </c>
      <c r="AC272" s="29" t="str">
        <f t="shared" si="49"/>
        <v>F10.005</v>
      </c>
      <c r="AD272" s="29" t="str">
        <f t="shared" si="50"/>
        <v>F117</v>
      </c>
      <c r="AE272" s="443"/>
      <c r="AF272" s="443"/>
      <c r="AG272" s="443"/>
      <c r="AH272" s="443"/>
    </row>
    <row r="273" spans="1:34" ht="16.5">
      <c r="A273" s="728">
        <f t="shared" si="54"/>
        <v>266</v>
      </c>
      <c r="B273" s="563">
        <v>36</v>
      </c>
      <c r="C273" s="694">
        <v>26223</v>
      </c>
      <c r="D273" s="694" t="s">
        <v>153</v>
      </c>
      <c r="E273" s="563">
        <v>17</v>
      </c>
      <c r="F273" s="503">
        <v>1971</v>
      </c>
      <c r="G273" s="563" t="s">
        <v>104</v>
      </c>
      <c r="H273" s="503" t="s">
        <v>123</v>
      </c>
      <c r="I273" s="695">
        <v>17</v>
      </c>
      <c r="J273" s="695">
        <v>0.1</v>
      </c>
      <c r="K273" s="777">
        <f t="shared" si="53"/>
        <v>9.6590909090909095E-4</v>
      </c>
      <c r="L273" s="968">
        <v>3000</v>
      </c>
      <c r="M273" s="503">
        <f t="shared" si="44"/>
        <v>18</v>
      </c>
      <c r="N273" s="504">
        <v>0.77083333333333337</v>
      </c>
      <c r="O273" s="719">
        <f t="shared" si="51"/>
        <v>0.77083333333333337</v>
      </c>
      <c r="P273" s="564"/>
      <c r="Q273" s="564">
        <f t="shared" si="52"/>
        <v>-0.77083333333333337</v>
      </c>
      <c r="R273" s="965" t="s">
        <v>1520</v>
      </c>
      <c r="S273" s="487"/>
      <c r="T273" s="29"/>
      <c r="U273" s="29" t="str">
        <f t="shared" si="45"/>
        <v>HansfordF1</v>
      </c>
      <c r="V273" s="29" t="str">
        <f t="shared" si="46"/>
        <v>1971F1</v>
      </c>
      <c r="W273" s="80">
        <v>10</v>
      </c>
      <c r="X273" s="32">
        <v>0.1</v>
      </c>
      <c r="Y273" s="467">
        <v>5.0000000000000001E-4</v>
      </c>
      <c r="Z273" s="80"/>
      <c r="AA273" s="29" t="str">
        <f t="shared" si="47"/>
        <v>F110</v>
      </c>
      <c r="AB273" s="29" t="str">
        <f t="shared" si="48"/>
        <v>F10.1</v>
      </c>
      <c r="AC273" s="29" t="str">
        <f t="shared" si="49"/>
        <v>F10.0005</v>
      </c>
      <c r="AD273" s="29" t="str">
        <f t="shared" si="50"/>
        <v>F118</v>
      </c>
      <c r="AE273" s="443"/>
      <c r="AF273" s="443"/>
      <c r="AG273" s="443"/>
      <c r="AH273" s="443"/>
    </row>
    <row r="274" spans="1:34" ht="16.5">
      <c r="A274" s="728">
        <f t="shared" si="54"/>
        <v>267</v>
      </c>
      <c r="B274" s="563">
        <v>37</v>
      </c>
      <c r="C274" s="694">
        <v>26223</v>
      </c>
      <c r="D274" s="694" t="s">
        <v>153</v>
      </c>
      <c r="E274" s="563">
        <v>17</v>
      </c>
      <c r="F274" s="503">
        <v>1971</v>
      </c>
      <c r="G274" s="563" t="s">
        <v>110</v>
      </c>
      <c r="H274" s="503" t="s">
        <v>123</v>
      </c>
      <c r="I274" s="695">
        <v>20</v>
      </c>
      <c r="J274" s="695">
        <v>0.5</v>
      </c>
      <c r="K274" s="777">
        <f t="shared" si="53"/>
        <v>5.681818181818182E-3</v>
      </c>
      <c r="L274" s="968">
        <v>25000</v>
      </c>
      <c r="M274" s="503">
        <f t="shared" si="44"/>
        <v>19</v>
      </c>
      <c r="N274" s="504">
        <v>0.79166666666666663</v>
      </c>
      <c r="O274" s="719">
        <f t="shared" si="51"/>
        <v>0.79166666666666663</v>
      </c>
      <c r="P274" s="564"/>
      <c r="Q274" s="564">
        <f t="shared" si="52"/>
        <v>-0.79166666666666663</v>
      </c>
      <c r="R274" s="965" t="s">
        <v>1520</v>
      </c>
      <c r="S274" s="487"/>
      <c r="T274" s="29"/>
      <c r="U274" s="29" t="str">
        <f t="shared" si="45"/>
        <v>RobertsF1</v>
      </c>
      <c r="V274" s="29" t="str">
        <f t="shared" si="46"/>
        <v>1971F1</v>
      </c>
      <c r="W274" s="80">
        <v>20</v>
      </c>
      <c r="X274" s="32">
        <v>0.5</v>
      </c>
      <c r="Y274" s="467">
        <v>5.0000000000000001E-3</v>
      </c>
      <c r="Z274" s="80"/>
      <c r="AA274" s="29" t="str">
        <f t="shared" si="47"/>
        <v>F120</v>
      </c>
      <c r="AB274" s="29" t="str">
        <f t="shared" si="48"/>
        <v>F10.5</v>
      </c>
      <c r="AC274" s="29" t="str">
        <f t="shared" si="49"/>
        <v>F10.005</v>
      </c>
      <c r="AD274" s="29" t="str">
        <f t="shared" si="50"/>
        <v>F119</v>
      </c>
      <c r="AE274" s="443"/>
      <c r="AF274" s="443"/>
      <c r="AG274" s="443"/>
      <c r="AH274" s="443"/>
    </row>
    <row r="275" spans="1:34" ht="16.5">
      <c r="A275" s="728">
        <f t="shared" si="54"/>
        <v>268</v>
      </c>
      <c r="B275" s="563">
        <v>38</v>
      </c>
      <c r="C275" s="694">
        <v>26223</v>
      </c>
      <c r="D275" s="694" t="s">
        <v>153</v>
      </c>
      <c r="E275" s="563">
        <v>17</v>
      </c>
      <c r="F275" s="503">
        <v>1971</v>
      </c>
      <c r="G275" s="563" t="s">
        <v>110</v>
      </c>
      <c r="H275" s="503" t="s">
        <v>123</v>
      </c>
      <c r="I275" s="695">
        <v>20</v>
      </c>
      <c r="J275" s="695">
        <v>0.5</v>
      </c>
      <c r="K275" s="777">
        <f t="shared" si="53"/>
        <v>5.681818181818182E-3</v>
      </c>
      <c r="L275" s="968">
        <v>0</v>
      </c>
      <c r="M275" s="503">
        <f t="shared" si="44"/>
        <v>19</v>
      </c>
      <c r="N275" s="504">
        <v>0.79166666666666663</v>
      </c>
      <c r="O275" s="719">
        <f t="shared" si="51"/>
        <v>0.79166666666666663</v>
      </c>
      <c r="P275" s="564"/>
      <c r="Q275" s="564">
        <f t="shared" si="52"/>
        <v>-0.79166666666666663</v>
      </c>
      <c r="R275" s="965" t="s">
        <v>1520</v>
      </c>
      <c r="S275" s="487"/>
      <c r="T275" s="29"/>
      <c r="U275" s="29" t="str">
        <f t="shared" si="45"/>
        <v>RobertsF1</v>
      </c>
      <c r="V275" s="29" t="str">
        <f t="shared" si="46"/>
        <v>1971F1</v>
      </c>
      <c r="W275" s="80">
        <v>20</v>
      </c>
      <c r="X275" s="32">
        <v>0.5</v>
      </c>
      <c r="Y275" s="467">
        <v>5.0000000000000001E-3</v>
      </c>
      <c r="Z275" s="80"/>
      <c r="AA275" s="29" t="str">
        <f t="shared" si="47"/>
        <v>F120</v>
      </c>
      <c r="AB275" s="29" t="str">
        <f t="shared" si="48"/>
        <v>F10.5</v>
      </c>
      <c r="AC275" s="29" t="str">
        <f t="shared" si="49"/>
        <v>F10.005</v>
      </c>
      <c r="AD275" s="29" t="str">
        <f t="shared" si="50"/>
        <v>F119</v>
      </c>
      <c r="AE275" s="443"/>
      <c r="AF275" s="443"/>
      <c r="AG275" s="443"/>
      <c r="AH275" s="443"/>
    </row>
    <row r="276" spans="1:34" ht="16.5">
      <c r="A276" s="728">
        <f t="shared" si="54"/>
        <v>269</v>
      </c>
      <c r="B276" s="563">
        <v>39</v>
      </c>
      <c r="C276" s="694">
        <v>26223</v>
      </c>
      <c r="D276" s="694" t="s">
        <v>153</v>
      </c>
      <c r="E276" s="563">
        <v>17</v>
      </c>
      <c r="F276" s="503">
        <v>1971</v>
      </c>
      <c r="G276" s="563" t="s">
        <v>114</v>
      </c>
      <c r="H276" s="503" t="s">
        <v>125</v>
      </c>
      <c r="I276" s="695">
        <v>100</v>
      </c>
      <c r="J276" s="695">
        <v>2.2999999999999998</v>
      </c>
      <c r="K276" s="777">
        <f t="shared" si="53"/>
        <v>0.13068181818181818</v>
      </c>
      <c r="L276" s="968">
        <v>0</v>
      </c>
      <c r="M276" s="503">
        <f t="shared" si="44"/>
        <v>21</v>
      </c>
      <c r="N276" s="504">
        <v>0.89583333333333337</v>
      </c>
      <c r="O276" s="719">
        <f t="shared" si="51"/>
        <v>0.89583333333333337</v>
      </c>
      <c r="P276" s="564"/>
      <c r="Q276" s="564">
        <f t="shared" si="52"/>
        <v>-0.89583333333333337</v>
      </c>
      <c r="R276" s="965" t="s">
        <v>1527</v>
      </c>
      <c r="S276" s="487"/>
      <c r="T276" s="29"/>
      <c r="U276" s="29" t="str">
        <f t="shared" si="45"/>
        <v>CarsonF3</v>
      </c>
      <c r="V276" s="29" t="str">
        <f t="shared" si="46"/>
        <v>1971F3</v>
      </c>
      <c r="W276" s="80">
        <v>100</v>
      </c>
      <c r="X276" s="32">
        <v>2</v>
      </c>
      <c r="Y276" s="467">
        <v>0.1</v>
      </c>
      <c r="Z276" s="80"/>
      <c r="AA276" s="29" t="str">
        <f t="shared" si="47"/>
        <v>F3100</v>
      </c>
      <c r="AB276" s="29" t="str">
        <f t="shared" si="48"/>
        <v>F32</v>
      </c>
      <c r="AC276" s="29" t="str">
        <f t="shared" si="49"/>
        <v>F30.1</v>
      </c>
      <c r="AD276" s="29" t="str">
        <f t="shared" si="50"/>
        <v>F321</v>
      </c>
      <c r="AE276" s="443"/>
      <c r="AF276" s="443"/>
      <c r="AG276" s="443"/>
      <c r="AH276" s="443"/>
    </row>
    <row r="277" spans="1:34" ht="16.5">
      <c r="A277" s="728">
        <f t="shared" si="54"/>
        <v>270</v>
      </c>
      <c r="B277" s="563">
        <v>1</v>
      </c>
      <c r="C277" s="694">
        <v>26414</v>
      </c>
      <c r="D277" s="694" t="s">
        <v>147</v>
      </c>
      <c r="E277" s="563">
        <v>25</v>
      </c>
      <c r="F277" s="503">
        <v>1972</v>
      </c>
      <c r="G277" s="563" t="s">
        <v>103</v>
      </c>
      <c r="H277" s="503" t="s">
        <v>123</v>
      </c>
      <c r="I277" s="695">
        <v>10</v>
      </c>
      <c r="J277" s="695">
        <v>0.5</v>
      </c>
      <c r="K277" s="777">
        <f t="shared" si="53"/>
        <v>2.840909090909091E-3</v>
      </c>
      <c r="L277" s="968">
        <v>25000</v>
      </c>
      <c r="M277" s="503">
        <f t="shared" si="44"/>
        <v>21</v>
      </c>
      <c r="N277" s="504">
        <v>0.88541666666666663</v>
      </c>
      <c r="O277" s="719">
        <f t="shared" si="51"/>
        <v>0.88541666666666663</v>
      </c>
      <c r="P277" s="564"/>
      <c r="Q277" s="564">
        <f t="shared" si="52"/>
        <v>-0.88541666666666663</v>
      </c>
      <c r="R277" s="965" t="s">
        <v>1520</v>
      </c>
      <c r="S277" s="487"/>
      <c r="T277" s="29"/>
      <c r="U277" s="29" t="str">
        <f t="shared" si="45"/>
        <v>ShermanF1</v>
      </c>
      <c r="V277" s="29" t="str">
        <f t="shared" si="46"/>
        <v>1972F1</v>
      </c>
      <c r="W277" s="80">
        <v>10</v>
      </c>
      <c r="X277" s="32">
        <v>0.5</v>
      </c>
      <c r="Y277" s="467">
        <v>2E-3</v>
      </c>
      <c r="Z277" s="80"/>
      <c r="AA277" s="29" t="str">
        <f t="shared" si="47"/>
        <v>F110</v>
      </c>
      <c r="AB277" s="29" t="str">
        <f t="shared" si="48"/>
        <v>F10.5</v>
      </c>
      <c r="AC277" s="29" t="str">
        <f t="shared" si="49"/>
        <v>F10.002</v>
      </c>
      <c r="AD277" s="29" t="str">
        <f t="shared" si="50"/>
        <v>F121</v>
      </c>
      <c r="AE277" s="443"/>
      <c r="AF277" s="443"/>
      <c r="AG277" s="443"/>
      <c r="AH277" s="443"/>
    </row>
    <row r="278" spans="1:34" ht="16.5">
      <c r="A278" s="728">
        <f t="shared" si="54"/>
        <v>271</v>
      </c>
      <c r="B278" s="563">
        <v>2</v>
      </c>
      <c r="C278" s="694">
        <v>26414</v>
      </c>
      <c r="D278" s="694" t="s">
        <v>147</v>
      </c>
      <c r="E278" s="563">
        <v>25</v>
      </c>
      <c r="F278" s="503">
        <v>1972</v>
      </c>
      <c r="G278" s="563" t="s">
        <v>101</v>
      </c>
      <c r="H278" s="503" t="s">
        <v>123</v>
      </c>
      <c r="I278" s="695">
        <v>17</v>
      </c>
      <c r="J278" s="695">
        <v>0.1</v>
      </c>
      <c r="K278" s="777">
        <f t="shared" si="53"/>
        <v>9.6590909090909095E-4</v>
      </c>
      <c r="L278" s="968">
        <v>25000</v>
      </c>
      <c r="M278" s="503">
        <f t="shared" si="44"/>
        <v>23</v>
      </c>
      <c r="N278" s="504">
        <v>0.98958333333333337</v>
      </c>
      <c r="O278" s="719">
        <f t="shared" si="51"/>
        <v>0.98958333333333337</v>
      </c>
      <c r="P278" s="564"/>
      <c r="Q278" s="564">
        <f t="shared" si="52"/>
        <v>-0.98958333333333337</v>
      </c>
      <c r="R278" s="965" t="s">
        <v>1520</v>
      </c>
      <c r="S278" s="487"/>
      <c r="U278" s="29" t="str">
        <f t="shared" si="45"/>
        <v>BeaverF1</v>
      </c>
      <c r="V278" s="29" t="str">
        <f t="shared" si="46"/>
        <v>1972F1</v>
      </c>
      <c r="W278" s="80">
        <v>10</v>
      </c>
      <c r="X278" s="32">
        <v>0.1</v>
      </c>
      <c r="Y278" s="467">
        <v>5.0000000000000001E-4</v>
      </c>
      <c r="Z278" s="80"/>
      <c r="AA278" s="29" t="str">
        <f t="shared" si="47"/>
        <v>F110</v>
      </c>
      <c r="AB278" s="29" t="str">
        <f t="shared" si="48"/>
        <v>F10.1</v>
      </c>
      <c r="AC278" s="29" t="str">
        <f t="shared" si="49"/>
        <v>F10.0005</v>
      </c>
      <c r="AD278" s="29" t="str">
        <f t="shared" si="50"/>
        <v>F123</v>
      </c>
      <c r="AE278" s="443"/>
      <c r="AF278" s="443"/>
      <c r="AG278" s="443"/>
      <c r="AH278" s="443"/>
    </row>
    <row r="279" spans="1:34" ht="16.5">
      <c r="A279" s="728">
        <f t="shared" si="54"/>
        <v>272</v>
      </c>
      <c r="B279" s="563">
        <v>3</v>
      </c>
      <c r="C279" s="694">
        <v>26418</v>
      </c>
      <c r="D279" s="694" t="s">
        <v>147</v>
      </c>
      <c r="E279" s="563">
        <v>29</v>
      </c>
      <c r="F279" s="503">
        <v>1972</v>
      </c>
      <c r="G279" s="563" t="s">
        <v>110</v>
      </c>
      <c r="H279" s="503" t="s">
        <v>123</v>
      </c>
      <c r="I279" s="695">
        <v>50</v>
      </c>
      <c r="J279" s="695">
        <v>0.1</v>
      </c>
      <c r="K279" s="777">
        <f t="shared" si="53"/>
        <v>2.840909090909091E-3</v>
      </c>
      <c r="L279" s="968">
        <v>25000</v>
      </c>
      <c r="M279" s="503">
        <f t="shared" si="44"/>
        <v>16</v>
      </c>
      <c r="N279" s="504">
        <v>0.69097222222222221</v>
      </c>
      <c r="O279" s="719">
        <f t="shared" si="51"/>
        <v>0.69097222222222221</v>
      </c>
      <c r="P279" s="564"/>
      <c r="Q279" s="564">
        <f t="shared" si="52"/>
        <v>-0.69097222222222221</v>
      </c>
      <c r="R279" s="965" t="s">
        <v>1520</v>
      </c>
      <c r="S279" s="487"/>
      <c r="U279" s="29" t="str">
        <f t="shared" si="45"/>
        <v>RobertsF1</v>
      </c>
      <c r="V279" s="29" t="str">
        <f t="shared" si="46"/>
        <v>1972F1</v>
      </c>
      <c r="W279" s="80">
        <v>50</v>
      </c>
      <c r="X279" s="32">
        <v>0.1</v>
      </c>
      <c r="Y279" s="467">
        <v>2E-3</v>
      </c>
      <c r="Z279" s="80"/>
      <c r="AA279" s="29" t="str">
        <f t="shared" si="47"/>
        <v>F150</v>
      </c>
      <c r="AB279" s="29" t="str">
        <f t="shared" si="48"/>
        <v>F10.1</v>
      </c>
      <c r="AC279" s="29" t="str">
        <f t="shared" si="49"/>
        <v>F10.002</v>
      </c>
      <c r="AD279" s="29" t="str">
        <f t="shared" si="50"/>
        <v>F116</v>
      </c>
      <c r="AE279" s="443"/>
      <c r="AF279" s="443"/>
      <c r="AG279" s="443"/>
      <c r="AH279" s="443"/>
    </row>
    <row r="280" spans="1:34" ht="16.5">
      <c r="A280" s="728">
        <f t="shared" si="54"/>
        <v>273</v>
      </c>
      <c r="B280" s="563">
        <v>4</v>
      </c>
      <c r="C280" s="694">
        <v>26418</v>
      </c>
      <c r="D280" s="694" t="s">
        <v>147</v>
      </c>
      <c r="E280" s="563">
        <v>29</v>
      </c>
      <c r="F280" s="503">
        <v>1972</v>
      </c>
      <c r="G280" s="563" t="s">
        <v>121</v>
      </c>
      <c r="H280" s="503" t="s">
        <v>123</v>
      </c>
      <c r="I280" s="695">
        <v>880</v>
      </c>
      <c r="J280" s="695">
        <v>11.1</v>
      </c>
      <c r="K280" s="777">
        <f t="shared" si="53"/>
        <v>5.55</v>
      </c>
      <c r="L280" s="968">
        <v>250000</v>
      </c>
      <c r="M280" s="503">
        <f t="shared" si="44"/>
        <v>19</v>
      </c>
      <c r="N280" s="504">
        <v>0.8125</v>
      </c>
      <c r="O280" s="719">
        <f t="shared" si="51"/>
        <v>0.8125</v>
      </c>
      <c r="P280" s="564"/>
      <c r="Q280" s="564">
        <f t="shared" si="52"/>
        <v>-0.8125</v>
      </c>
      <c r="R280" s="965" t="s">
        <v>1520</v>
      </c>
      <c r="S280" s="487"/>
      <c r="U280" s="29" t="str">
        <f t="shared" si="45"/>
        <v>CollingsworthF1</v>
      </c>
      <c r="V280" s="29" t="str">
        <f t="shared" si="46"/>
        <v>1972F1</v>
      </c>
      <c r="W280" s="80">
        <v>500</v>
      </c>
      <c r="X280" s="32">
        <v>10</v>
      </c>
      <c r="Y280" s="467">
        <v>5</v>
      </c>
      <c r="Z280" s="80"/>
      <c r="AA280" s="29" t="str">
        <f t="shared" si="47"/>
        <v>F1500</v>
      </c>
      <c r="AB280" s="29" t="str">
        <f t="shared" si="48"/>
        <v>F110</v>
      </c>
      <c r="AC280" s="29" t="str">
        <f t="shared" si="49"/>
        <v>F15</v>
      </c>
      <c r="AD280" s="29" t="str">
        <f t="shared" si="50"/>
        <v>F119</v>
      </c>
      <c r="AE280" s="443"/>
      <c r="AF280" s="443"/>
      <c r="AG280" s="443"/>
      <c r="AH280" s="443"/>
    </row>
    <row r="281" spans="1:34" ht="16.5">
      <c r="A281" s="728">
        <f t="shared" si="54"/>
        <v>274</v>
      </c>
      <c r="B281" s="563">
        <v>5</v>
      </c>
      <c r="C281" s="694">
        <v>26423</v>
      </c>
      <c r="D281" s="694" t="s">
        <v>148</v>
      </c>
      <c r="E281" s="563">
        <v>4</v>
      </c>
      <c r="F281" s="503">
        <v>1972</v>
      </c>
      <c r="G281" s="563" t="s">
        <v>121</v>
      </c>
      <c r="H281" s="503" t="s">
        <v>123</v>
      </c>
      <c r="I281" s="695">
        <v>50</v>
      </c>
      <c r="J281" s="695">
        <v>0.5</v>
      </c>
      <c r="K281" s="777">
        <f t="shared" si="53"/>
        <v>1.4204545454545454E-2</v>
      </c>
      <c r="L281" s="968">
        <v>3000</v>
      </c>
      <c r="M281" s="503">
        <f t="shared" si="44"/>
        <v>16</v>
      </c>
      <c r="N281" s="504">
        <v>0.67708333333333337</v>
      </c>
      <c r="O281" s="719">
        <f t="shared" si="51"/>
        <v>0.67708333333333337</v>
      </c>
      <c r="P281" s="564"/>
      <c r="Q281" s="564">
        <f t="shared" si="52"/>
        <v>-0.67708333333333337</v>
      </c>
      <c r="R281" s="965" t="s">
        <v>1520</v>
      </c>
      <c r="S281" s="487"/>
      <c r="U281" s="29" t="str">
        <f t="shared" si="45"/>
        <v>CollingsworthF1</v>
      </c>
      <c r="V281" s="29" t="str">
        <f t="shared" si="46"/>
        <v>1972F1</v>
      </c>
      <c r="W281" s="80">
        <v>50</v>
      </c>
      <c r="X281" s="32">
        <v>0.5</v>
      </c>
      <c r="Y281" s="467">
        <v>0.01</v>
      </c>
      <c r="Z281" s="80"/>
      <c r="AA281" s="29" t="str">
        <f t="shared" si="47"/>
        <v>F150</v>
      </c>
      <c r="AB281" s="29" t="str">
        <f t="shared" si="48"/>
        <v>F10.5</v>
      </c>
      <c r="AC281" s="29" t="str">
        <f t="shared" si="49"/>
        <v>F10.01</v>
      </c>
      <c r="AD281" s="29" t="str">
        <f t="shared" si="50"/>
        <v>F116</v>
      </c>
      <c r="AE281" s="443"/>
      <c r="AF281" s="443"/>
      <c r="AG281" s="443"/>
      <c r="AH281" s="443"/>
    </row>
    <row r="282" spans="1:34" ht="16.5">
      <c r="A282" s="728">
        <f t="shared" si="54"/>
        <v>275</v>
      </c>
      <c r="B282" s="563">
        <v>6</v>
      </c>
      <c r="C282" s="694">
        <v>26428</v>
      </c>
      <c r="D282" s="694" t="s">
        <v>148</v>
      </c>
      <c r="E282" s="563">
        <v>9</v>
      </c>
      <c r="F282" s="503">
        <v>1972</v>
      </c>
      <c r="G282" s="563" t="s">
        <v>118</v>
      </c>
      <c r="H282" s="503" t="s">
        <v>123</v>
      </c>
      <c r="I282" s="695">
        <v>20</v>
      </c>
      <c r="J282" s="695">
        <v>0.5</v>
      </c>
      <c r="K282" s="777">
        <f t="shared" si="53"/>
        <v>5.681818181818182E-3</v>
      </c>
      <c r="L282" s="968">
        <v>0</v>
      </c>
      <c r="M282" s="503">
        <f t="shared" si="44"/>
        <v>20</v>
      </c>
      <c r="N282" s="504">
        <v>0.83611111111111114</v>
      </c>
      <c r="O282" s="719">
        <f t="shared" si="51"/>
        <v>0.83611111111111114</v>
      </c>
      <c r="P282" s="564"/>
      <c r="Q282" s="564">
        <f t="shared" si="52"/>
        <v>-0.83611111111111114</v>
      </c>
      <c r="R282" s="965" t="s">
        <v>1520</v>
      </c>
      <c r="S282" s="487"/>
      <c r="U282" s="29" t="str">
        <f t="shared" si="45"/>
        <v>RandallF1</v>
      </c>
      <c r="V282" s="29" t="str">
        <f t="shared" si="46"/>
        <v>1972F1</v>
      </c>
      <c r="W282" s="80">
        <v>20</v>
      </c>
      <c r="X282" s="32">
        <v>0.5</v>
      </c>
      <c r="Y282" s="467">
        <v>5.0000000000000001E-3</v>
      </c>
      <c r="Z282" s="80"/>
      <c r="AA282" s="29" t="str">
        <f t="shared" si="47"/>
        <v>F120</v>
      </c>
      <c r="AB282" s="29" t="str">
        <f t="shared" si="48"/>
        <v>F10.5</v>
      </c>
      <c r="AC282" s="29" t="str">
        <f t="shared" si="49"/>
        <v>F10.005</v>
      </c>
      <c r="AD282" s="29" t="str">
        <f t="shared" si="50"/>
        <v>F120</v>
      </c>
      <c r="AE282" s="443"/>
      <c r="AF282" s="443"/>
      <c r="AG282" s="443"/>
      <c r="AH282" s="443"/>
    </row>
    <row r="283" spans="1:34" ht="16.5">
      <c r="A283" s="728">
        <f t="shared" si="54"/>
        <v>276</v>
      </c>
      <c r="B283" s="563">
        <v>7</v>
      </c>
      <c r="C283" s="694">
        <v>26429</v>
      </c>
      <c r="D283" s="694" t="s">
        <v>148</v>
      </c>
      <c r="E283" s="563">
        <v>10</v>
      </c>
      <c r="F283" s="503">
        <v>1972</v>
      </c>
      <c r="G283" s="563" t="s">
        <v>107</v>
      </c>
      <c r="H283" s="503" t="s">
        <v>123</v>
      </c>
      <c r="I283" s="695">
        <v>10</v>
      </c>
      <c r="J283" s="695">
        <v>0.1</v>
      </c>
      <c r="K283" s="777">
        <f t="shared" si="53"/>
        <v>5.6818181818181826E-4</v>
      </c>
      <c r="L283" s="968">
        <v>0</v>
      </c>
      <c r="M283" s="503">
        <f t="shared" si="44"/>
        <v>16</v>
      </c>
      <c r="N283" s="504">
        <v>0.68402777777777779</v>
      </c>
      <c r="O283" s="719">
        <f t="shared" si="51"/>
        <v>0.68402777777777779</v>
      </c>
      <c r="P283" s="564"/>
      <c r="Q283" s="564">
        <f t="shared" si="52"/>
        <v>-0.68402777777777779</v>
      </c>
      <c r="R283" s="965" t="s">
        <v>1520</v>
      </c>
      <c r="S283" s="487"/>
      <c r="U283" s="29" t="str">
        <f t="shared" si="45"/>
        <v>HartleyF1</v>
      </c>
      <c r="V283" s="29" t="str">
        <f t="shared" si="46"/>
        <v>1972F1</v>
      </c>
      <c r="W283" s="80">
        <v>10</v>
      </c>
      <c r="X283" s="32">
        <v>0.1</v>
      </c>
      <c r="Y283" s="467">
        <v>5.0000000000000001E-4</v>
      </c>
      <c r="Z283" s="80"/>
      <c r="AA283" s="29" t="str">
        <f t="shared" si="47"/>
        <v>F110</v>
      </c>
      <c r="AB283" s="29" t="str">
        <f t="shared" si="48"/>
        <v>F10.1</v>
      </c>
      <c r="AC283" s="29" t="str">
        <f t="shared" si="49"/>
        <v>F10.0005</v>
      </c>
      <c r="AD283" s="29" t="str">
        <f t="shared" si="50"/>
        <v>F116</v>
      </c>
      <c r="AE283" s="443"/>
      <c r="AF283" s="443"/>
      <c r="AG283" s="443"/>
      <c r="AH283" s="443"/>
    </row>
    <row r="284" spans="1:34" ht="16.5">
      <c r="A284" s="728">
        <f t="shared" si="54"/>
        <v>277</v>
      </c>
      <c r="B284" s="563">
        <v>8</v>
      </c>
      <c r="C284" s="694">
        <v>26429</v>
      </c>
      <c r="D284" s="694" t="s">
        <v>148</v>
      </c>
      <c r="E284" s="563">
        <v>10</v>
      </c>
      <c r="F284" s="503">
        <v>1972</v>
      </c>
      <c r="G284" s="563" t="s">
        <v>107</v>
      </c>
      <c r="H284" s="503" t="s">
        <v>123</v>
      </c>
      <c r="I284" s="695">
        <v>10</v>
      </c>
      <c r="J284" s="695">
        <v>0.1</v>
      </c>
      <c r="K284" s="777">
        <f t="shared" si="53"/>
        <v>5.6818181818181826E-4</v>
      </c>
      <c r="L284" s="968">
        <v>0</v>
      </c>
      <c r="M284" s="503">
        <f t="shared" si="44"/>
        <v>16</v>
      </c>
      <c r="N284" s="504">
        <v>0.68402777777777779</v>
      </c>
      <c r="O284" s="719">
        <f t="shared" si="51"/>
        <v>0.68402777777777779</v>
      </c>
      <c r="P284" s="564"/>
      <c r="Q284" s="564">
        <f t="shared" si="52"/>
        <v>-0.68402777777777779</v>
      </c>
      <c r="R284" s="965" t="s">
        <v>1520</v>
      </c>
      <c r="S284" s="487"/>
      <c r="T284" s="29"/>
      <c r="U284" s="29" t="str">
        <f t="shared" si="45"/>
        <v>HartleyF1</v>
      </c>
      <c r="V284" s="29" t="str">
        <f t="shared" si="46"/>
        <v>1972F1</v>
      </c>
      <c r="W284" s="80">
        <v>10</v>
      </c>
      <c r="X284" s="32">
        <v>0.1</v>
      </c>
      <c r="Y284" s="467">
        <v>5.0000000000000001E-4</v>
      </c>
      <c r="Z284" s="80"/>
      <c r="AA284" s="29" t="str">
        <f t="shared" si="47"/>
        <v>F110</v>
      </c>
      <c r="AB284" s="29" t="str">
        <f t="shared" si="48"/>
        <v>F10.1</v>
      </c>
      <c r="AC284" s="29" t="str">
        <f t="shared" si="49"/>
        <v>F10.0005</v>
      </c>
      <c r="AD284" s="29" t="str">
        <f t="shared" si="50"/>
        <v>F116</v>
      </c>
      <c r="AE284" s="443"/>
      <c r="AF284" s="443"/>
      <c r="AG284" s="443"/>
      <c r="AH284" s="443"/>
    </row>
    <row r="285" spans="1:34" ht="16.5">
      <c r="A285" s="728">
        <f t="shared" si="54"/>
        <v>278</v>
      </c>
      <c r="B285" s="563">
        <v>9</v>
      </c>
      <c r="C285" s="694">
        <v>26429</v>
      </c>
      <c r="D285" s="694" t="s">
        <v>148</v>
      </c>
      <c r="E285" s="563">
        <v>10</v>
      </c>
      <c r="F285" s="503">
        <v>1972</v>
      </c>
      <c r="G285" s="563" t="s">
        <v>102</v>
      </c>
      <c r="H285" s="503" t="s">
        <v>124</v>
      </c>
      <c r="I285" s="695">
        <v>100</v>
      </c>
      <c r="J285" s="695">
        <v>1</v>
      </c>
      <c r="K285" s="777">
        <f t="shared" si="53"/>
        <v>5.6818181818181816E-2</v>
      </c>
      <c r="L285" s="968">
        <v>0</v>
      </c>
      <c r="M285" s="503">
        <f t="shared" si="44"/>
        <v>19</v>
      </c>
      <c r="N285" s="504">
        <v>0.82291666666666663</v>
      </c>
      <c r="O285" s="719">
        <f t="shared" si="51"/>
        <v>0.82291666666666663</v>
      </c>
      <c r="P285" s="564"/>
      <c r="Q285" s="564">
        <f t="shared" si="52"/>
        <v>-0.82291666666666663</v>
      </c>
      <c r="R285" s="965" t="s">
        <v>1520</v>
      </c>
      <c r="S285" s="487"/>
      <c r="T285" s="29"/>
      <c r="U285" s="29" t="str">
        <f t="shared" si="45"/>
        <v>DallamF2</v>
      </c>
      <c r="V285" s="29" t="str">
        <f t="shared" si="46"/>
        <v>1972F2</v>
      </c>
      <c r="W285" s="80">
        <v>100</v>
      </c>
      <c r="X285" s="32">
        <v>1</v>
      </c>
      <c r="Y285" s="467">
        <v>0.05</v>
      </c>
      <c r="Z285" s="80"/>
      <c r="AA285" s="29" t="str">
        <f t="shared" si="47"/>
        <v>F2100</v>
      </c>
      <c r="AB285" s="29" t="str">
        <f t="shared" si="48"/>
        <v>F21</v>
      </c>
      <c r="AC285" s="29" t="str">
        <f t="shared" si="49"/>
        <v>F20.05</v>
      </c>
      <c r="AD285" s="29" t="str">
        <f t="shared" si="50"/>
        <v>F219</v>
      </c>
      <c r="AE285" s="443"/>
      <c r="AF285" s="443"/>
      <c r="AG285" s="443"/>
      <c r="AH285" s="443"/>
    </row>
    <row r="286" spans="1:34" ht="16.5">
      <c r="A286" s="728">
        <f t="shared" si="54"/>
        <v>279</v>
      </c>
      <c r="B286" s="563">
        <v>10</v>
      </c>
      <c r="C286" s="694">
        <v>26429</v>
      </c>
      <c r="D286" s="694" t="s">
        <v>148</v>
      </c>
      <c r="E286" s="563">
        <v>10</v>
      </c>
      <c r="F286" s="503">
        <v>1972</v>
      </c>
      <c r="G286" s="563" t="s">
        <v>102</v>
      </c>
      <c r="H286" s="503" t="s">
        <v>124</v>
      </c>
      <c r="I286" s="695">
        <v>100</v>
      </c>
      <c r="J286" s="695">
        <v>1</v>
      </c>
      <c r="K286" s="777">
        <f t="shared" si="53"/>
        <v>5.6818181818181816E-2</v>
      </c>
      <c r="L286" s="968">
        <v>250000</v>
      </c>
      <c r="M286" s="503">
        <f t="shared" ref="M286:M349" si="55">HOUR(O286)</f>
        <v>19</v>
      </c>
      <c r="N286" s="504">
        <v>0.82291666666666663</v>
      </c>
      <c r="O286" s="719">
        <f t="shared" si="51"/>
        <v>0.82291666666666663</v>
      </c>
      <c r="P286" s="564"/>
      <c r="Q286" s="564">
        <f t="shared" si="52"/>
        <v>-0.82291666666666663</v>
      </c>
      <c r="R286" s="965" t="s">
        <v>1520</v>
      </c>
      <c r="S286" s="487"/>
      <c r="T286" s="29"/>
      <c r="U286" s="29" t="str">
        <f t="shared" si="45"/>
        <v>DallamF2</v>
      </c>
      <c r="V286" s="29" t="str">
        <f t="shared" si="46"/>
        <v>1972F2</v>
      </c>
      <c r="W286" s="80">
        <v>100</v>
      </c>
      <c r="X286" s="32">
        <v>1</v>
      </c>
      <c r="Y286" s="467">
        <v>0.05</v>
      </c>
      <c r="Z286" s="80"/>
      <c r="AA286" s="29" t="str">
        <f t="shared" si="47"/>
        <v>F2100</v>
      </c>
      <c r="AB286" s="29" t="str">
        <f t="shared" si="48"/>
        <v>F21</v>
      </c>
      <c r="AC286" s="29" t="str">
        <f t="shared" si="49"/>
        <v>F20.05</v>
      </c>
      <c r="AD286" s="29" t="str">
        <f t="shared" si="50"/>
        <v>F219</v>
      </c>
      <c r="AE286" s="443"/>
      <c r="AF286" s="443"/>
      <c r="AG286" s="443"/>
      <c r="AH286" s="443"/>
    </row>
    <row r="287" spans="1:34" ht="16.5">
      <c r="A287" s="728">
        <f t="shared" si="54"/>
        <v>280</v>
      </c>
      <c r="B287" s="563">
        <v>11</v>
      </c>
      <c r="C287" s="694">
        <v>26432</v>
      </c>
      <c r="D287" s="694" t="s">
        <v>148</v>
      </c>
      <c r="E287" s="563">
        <v>13</v>
      </c>
      <c r="F287" s="503">
        <v>1972</v>
      </c>
      <c r="G287" s="563" t="s">
        <v>103</v>
      </c>
      <c r="H287" s="503" t="s">
        <v>123</v>
      </c>
      <c r="I287" s="695">
        <v>100</v>
      </c>
      <c r="J287" s="695">
        <v>0.5</v>
      </c>
      <c r="K287" s="777">
        <f t="shared" si="53"/>
        <v>2.8409090909090908E-2</v>
      </c>
      <c r="L287" s="968">
        <v>0</v>
      </c>
      <c r="M287" s="503">
        <f t="shared" si="55"/>
        <v>12</v>
      </c>
      <c r="N287" s="504">
        <v>0.51041666666666663</v>
      </c>
      <c r="O287" s="719">
        <f t="shared" si="51"/>
        <v>0.51041666666666663</v>
      </c>
      <c r="P287" s="564"/>
      <c r="Q287" s="564">
        <f t="shared" si="52"/>
        <v>-0.51041666666666663</v>
      </c>
      <c r="R287" s="965" t="s">
        <v>1520</v>
      </c>
      <c r="S287" s="487"/>
      <c r="T287" s="29"/>
      <c r="U287" s="29" t="str">
        <f t="shared" si="45"/>
        <v>ShermanF1</v>
      </c>
      <c r="V287" s="29" t="str">
        <f t="shared" si="46"/>
        <v>1972F1</v>
      </c>
      <c r="W287" s="80">
        <v>100</v>
      </c>
      <c r="X287" s="32">
        <v>0.5</v>
      </c>
      <c r="Y287" s="467">
        <v>0.02</v>
      </c>
      <c r="Z287" s="80"/>
      <c r="AA287" s="29" t="str">
        <f t="shared" si="47"/>
        <v>F1100</v>
      </c>
      <c r="AB287" s="29" t="str">
        <f t="shared" si="48"/>
        <v>F10.5</v>
      </c>
      <c r="AC287" s="29" t="str">
        <f t="shared" si="49"/>
        <v>F10.02</v>
      </c>
      <c r="AD287" s="29" t="str">
        <f t="shared" si="50"/>
        <v>F112</v>
      </c>
      <c r="AE287" s="443"/>
      <c r="AF287" s="443"/>
      <c r="AG287" s="443"/>
      <c r="AH287" s="443"/>
    </row>
    <row r="288" spans="1:34" ht="16.5">
      <c r="A288" s="728">
        <f t="shared" si="54"/>
        <v>281</v>
      </c>
      <c r="B288" s="563">
        <v>12</v>
      </c>
      <c r="C288" s="694">
        <v>26443</v>
      </c>
      <c r="D288" s="694" t="s">
        <v>148</v>
      </c>
      <c r="E288" s="563">
        <v>24</v>
      </c>
      <c r="F288" s="503">
        <v>1972</v>
      </c>
      <c r="G288" s="563" t="s">
        <v>105</v>
      </c>
      <c r="H288" s="503" t="s">
        <v>123</v>
      </c>
      <c r="I288" s="695">
        <v>440</v>
      </c>
      <c r="J288" s="695">
        <v>4.3</v>
      </c>
      <c r="K288" s="777">
        <f t="shared" si="53"/>
        <v>1.075</v>
      </c>
      <c r="L288" s="968">
        <v>0</v>
      </c>
      <c r="M288" s="503">
        <f t="shared" si="55"/>
        <v>16</v>
      </c>
      <c r="N288" s="504">
        <v>0.6875</v>
      </c>
      <c r="O288" s="719">
        <f t="shared" si="51"/>
        <v>0.6875</v>
      </c>
      <c r="P288" s="564"/>
      <c r="Q288" s="564">
        <f t="shared" si="52"/>
        <v>-0.6875</v>
      </c>
      <c r="R288" s="965" t="s">
        <v>1520</v>
      </c>
      <c r="S288" s="487"/>
      <c r="T288" s="29"/>
      <c r="U288" s="29" t="str">
        <f t="shared" si="45"/>
        <v>OchiltreeF1</v>
      </c>
      <c r="V288" s="29" t="str">
        <f t="shared" si="46"/>
        <v>1972F1</v>
      </c>
      <c r="W288" s="80">
        <v>200</v>
      </c>
      <c r="X288" s="32">
        <v>2</v>
      </c>
      <c r="Y288" s="467">
        <v>1</v>
      </c>
      <c r="Z288" s="80"/>
      <c r="AA288" s="29" t="str">
        <f t="shared" si="47"/>
        <v>F1200</v>
      </c>
      <c r="AB288" s="29" t="str">
        <f t="shared" si="48"/>
        <v>F12</v>
      </c>
      <c r="AC288" s="29" t="str">
        <f t="shared" si="49"/>
        <v>F11</v>
      </c>
      <c r="AD288" s="29" t="str">
        <f t="shared" si="50"/>
        <v>F116</v>
      </c>
      <c r="AE288" s="443"/>
      <c r="AF288" s="443"/>
      <c r="AG288" s="443"/>
      <c r="AH288" s="443"/>
    </row>
    <row r="289" spans="1:34" ht="16.5">
      <c r="A289" s="728">
        <f t="shared" si="54"/>
        <v>282</v>
      </c>
      <c r="B289" s="563">
        <v>13</v>
      </c>
      <c r="C289" s="694">
        <v>26465</v>
      </c>
      <c r="D289" s="694" t="s">
        <v>149</v>
      </c>
      <c r="E289" s="563">
        <v>15</v>
      </c>
      <c r="F289" s="503">
        <v>1972</v>
      </c>
      <c r="G289" s="563" t="s">
        <v>104</v>
      </c>
      <c r="H289" s="503" t="s">
        <v>123</v>
      </c>
      <c r="I289" s="695">
        <v>20</v>
      </c>
      <c r="J289" s="695">
        <v>3.6</v>
      </c>
      <c r="K289" s="777">
        <f t="shared" si="53"/>
        <v>4.0909090909090909E-2</v>
      </c>
      <c r="L289" s="968">
        <v>0</v>
      </c>
      <c r="M289" s="503">
        <f t="shared" si="55"/>
        <v>16</v>
      </c>
      <c r="N289" s="504">
        <v>0.69097222222222221</v>
      </c>
      <c r="O289" s="719">
        <f t="shared" si="51"/>
        <v>0.69097222222222221</v>
      </c>
      <c r="P289" s="564"/>
      <c r="Q289" s="564">
        <f t="shared" si="52"/>
        <v>-0.69097222222222221</v>
      </c>
      <c r="R289" s="965" t="s">
        <v>1520</v>
      </c>
      <c r="S289" s="487"/>
      <c r="T289" s="29"/>
      <c r="U289" s="29" t="str">
        <f t="shared" si="45"/>
        <v>HansfordF1</v>
      </c>
      <c r="V289" s="29" t="str">
        <f t="shared" si="46"/>
        <v>1972F1</v>
      </c>
      <c r="W289" s="80">
        <v>20</v>
      </c>
      <c r="X289" s="32">
        <v>2</v>
      </c>
      <c r="Y289" s="467">
        <v>0.02</v>
      </c>
      <c r="Z289" s="80"/>
      <c r="AA289" s="29" t="str">
        <f t="shared" si="47"/>
        <v>F120</v>
      </c>
      <c r="AB289" s="29" t="str">
        <f t="shared" si="48"/>
        <v>F12</v>
      </c>
      <c r="AC289" s="29" t="str">
        <f t="shared" si="49"/>
        <v>F10.02</v>
      </c>
      <c r="AD289" s="29" t="str">
        <f t="shared" si="50"/>
        <v>F116</v>
      </c>
      <c r="AE289" s="443"/>
      <c r="AF289" s="443"/>
      <c r="AG289" s="443"/>
      <c r="AH289" s="443"/>
    </row>
    <row r="290" spans="1:34" ht="16.5">
      <c r="A290" s="728">
        <f t="shared" si="54"/>
        <v>283</v>
      </c>
      <c r="B290" s="563">
        <v>14</v>
      </c>
      <c r="C290" s="694">
        <v>26471</v>
      </c>
      <c r="D290" s="694" t="s">
        <v>149</v>
      </c>
      <c r="E290" s="563">
        <v>21</v>
      </c>
      <c r="F290" s="503">
        <v>1972</v>
      </c>
      <c r="G290" s="563" t="s">
        <v>117</v>
      </c>
      <c r="H290" s="503" t="s">
        <v>123</v>
      </c>
      <c r="I290" s="695">
        <v>20</v>
      </c>
      <c r="J290" s="695">
        <v>5.9</v>
      </c>
      <c r="K290" s="777">
        <f t="shared" si="53"/>
        <v>6.7045454545454547E-2</v>
      </c>
      <c r="L290" s="968">
        <v>0</v>
      </c>
      <c r="M290" s="503">
        <f t="shared" si="55"/>
        <v>20</v>
      </c>
      <c r="N290" s="504">
        <v>0.86458333333333337</v>
      </c>
      <c r="O290" s="719">
        <f t="shared" si="51"/>
        <v>0.86458333333333337</v>
      </c>
      <c r="P290" s="564"/>
      <c r="Q290" s="564">
        <f t="shared" si="52"/>
        <v>-0.86458333333333337</v>
      </c>
      <c r="R290" s="965" t="s">
        <v>1520</v>
      </c>
      <c r="S290" s="487"/>
      <c r="T290" s="29"/>
      <c r="U290" s="29" t="str">
        <f t="shared" si="45"/>
        <v>Deaf SmithF1</v>
      </c>
      <c r="V290" s="29" t="str">
        <f t="shared" si="46"/>
        <v>1972F1</v>
      </c>
      <c r="W290" s="80">
        <v>20</v>
      </c>
      <c r="X290" s="32">
        <v>5</v>
      </c>
      <c r="Y290" s="467">
        <v>0.05</v>
      </c>
      <c r="Z290" s="80"/>
      <c r="AA290" s="29" t="str">
        <f t="shared" si="47"/>
        <v>F120</v>
      </c>
      <c r="AB290" s="29" t="str">
        <f t="shared" si="48"/>
        <v>F15</v>
      </c>
      <c r="AC290" s="29" t="str">
        <f t="shared" si="49"/>
        <v>F10.05</v>
      </c>
      <c r="AD290" s="29" t="str">
        <f t="shared" si="50"/>
        <v>F120</v>
      </c>
      <c r="AE290" s="443"/>
      <c r="AF290" s="443"/>
      <c r="AG290" s="443"/>
      <c r="AH290" s="443"/>
    </row>
    <row r="291" spans="1:34" ht="16.5">
      <c r="A291" s="728">
        <f t="shared" si="54"/>
        <v>284</v>
      </c>
      <c r="B291" s="563">
        <v>15</v>
      </c>
      <c r="C291" s="694">
        <v>26471</v>
      </c>
      <c r="D291" s="694" t="s">
        <v>149</v>
      </c>
      <c r="E291" s="563">
        <v>21</v>
      </c>
      <c r="F291" s="503">
        <v>1972</v>
      </c>
      <c r="G291" s="563" t="s">
        <v>117</v>
      </c>
      <c r="H291" s="503" t="s">
        <v>123</v>
      </c>
      <c r="I291" s="695">
        <v>20</v>
      </c>
      <c r="J291" s="695">
        <v>1</v>
      </c>
      <c r="K291" s="777">
        <f t="shared" si="53"/>
        <v>1.1363636363636364E-2</v>
      </c>
      <c r="L291" s="968">
        <v>0</v>
      </c>
      <c r="M291" s="503">
        <f t="shared" si="55"/>
        <v>20</v>
      </c>
      <c r="N291" s="504">
        <v>0.86458333333333337</v>
      </c>
      <c r="O291" s="719">
        <f t="shared" si="51"/>
        <v>0.86458333333333337</v>
      </c>
      <c r="P291" s="564"/>
      <c r="Q291" s="564">
        <f t="shared" si="52"/>
        <v>-0.86458333333333337</v>
      </c>
      <c r="R291" s="965" t="s">
        <v>1520</v>
      </c>
      <c r="S291" s="487"/>
      <c r="T291" s="29"/>
      <c r="U291" s="29" t="str">
        <f t="shared" si="45"/>
        <v>Deaf SmithF1</v>
      </c>
      <c r="V291" s="29" t="str">
        <f t="shared" si="46"/>
        <v>1972F1</v>
      </c>
      <c r="W291" s="80">
        <v>20</v>
      </c>
      <c r="X291" s="32">
        <v>1</v>
      </c>
      <c r="Y291" s="467">
        <v>0.01</v>
      </c>
      <c r="Z291" s="80"/>
      <c r="AA291" s="29" t="str">
        <f t="shared" si="47"/>
        <v>F120</v>
      </c>
      <c r="AB291" s="29" t="str">
        <f t="shared" si="48"/>
        <v>F11</v>
      </c>
      <c r="AC291" s="29" t="str">
        <f t="shared" si="49"/>
        <v>F10.01</v>
      </c>
      <c r="AD291" s="29" t="str">
        <f t="shared" si="50"/>
        <v>F120</v>
      </c>
      <c r="AE291" s="443"/>
      <c r="AF291" s="443"/>
      <c r="AG291" s="443"/>
      <c r="AH291" s="443"/>
    </row>
    <row r="292" spans="1:34" ht="16.5">
      <c r="A292" s="728">
        <f t="shared" si="54"/>
        <v>285</v>
      </c>
      <c r="B292" s="563">
        <v>16</v>
      </c>
      <c r="C292" s="694">
        <v>26471</v>
      </c>
      <c r="D292" s="694" t="s">
        <v>149</v>
      </c>
      <c r="E292" s="563">
        <v>21</v>
      </c>
      <c r="F292" s="503">
        <v>1972</v>
      </c>
      <c r="G292" s="563" t="s">
        <v>113</v>
      </c>
      <c r="H292" s="503" t="s">
        <v>124</v>
      </c>
      <c r="I292" s="695">
        <v>100</v>
      </c>
      <c r="J292" s="695">
        <v>4.0999999999999996</v>
      </c>
      <c r="K292" s="777">
        <f t="shared" si="53"/>
        <v>0.23295454545454541</v>
      </c>
      <c r="L292" s="968">
        <v>2500000</v>
      </c>
      <c r="M292" s="503">
        <f t="shared" si="55"/>
        <v>21</v>
      </c>
      <c r="N292" s="504">
        <v>0.88541666666666663</v>
      </c>
      <c r="O292" s="719">
        <f t="shared" si="51"/>
        <v>0.88541666666666663</v>
      </c>
      <c r="P292" s="564"/>
      <c r="Q292" s="564">
        <f t="shared" si="52"/>
        <v>-0.88541666666666663</v>
      </c>
      <c r="R292" s="965" t="s">
        <v>1538</v>
      </c>
      <c r="S292" s="487"/>
      <c r="T292" s="29"/>
      <c r="U292" s="29" t="str">
        <f t="shared" si="45"/>
        <v>PotterF2</v>
      </c>
      <c r="V292" s="29" t="str">
        <f t="shared" si="46"/>
        <v>1972F2</v>
      </c>
      <c r="W292" s="80">
        <v>100</v>
      </c>
      <c r="X292" s="32">
        <v>2</v>
      </c>
      <c r="Y292" s="467">
        <v>0.2</v>
      </c>
      <c r="Z292" s="80"/>
      <c r="AA292" s="29" t="str">
        <f t="shared" si="47"/>
        <v>F2100</v>
      </c>
      <c r="AB292" s="29" t="str">
        <f t="shared" si="48"/>
        <v>F22</v>
      </c>
      <c r="AC292" s="29" t="str">
        <f t="shared" si="49"/>
        <v>F20.2</v>
      </c>
      <c r="AD292" s="29" t="str">
        <f t="shared" si="50"/>
        <v>F221</v>
      </c>
      <c r="AE292" s="443"/>
      <c r="AF292" s="443"/>
      <c r="AG292" s="443"/>
      <c r="AH292" s="443"/>
    </row>
    <row r="293" spans="1:34" ht="16.5">
      <c r="A293" s="728">
        <f t="shared" si="54"/>
        <v>286</v>
      </c>
      <c r="B293" s="563">
        <v>17</v>
      </c>
      <c r="C293" s="694">
        <v>26482</v>
      </c>
      <c r="D293" s="694" t="s">
        <v>150</v>
      </c>
      <c r="E293" s="563">
        <v>2</v>
      </c>
      <c r="F293" s="503">
        <v>1972</v>
      </c>
      <c r="G293" s="563" t="s">
        <v>117</v>
      </c>
      <c r="H293" s="503" t="s">
        <v>123</v>
      </c>
      <c r="I293" s="695">
        <v>50</v>
      </c>
      <c r="J293" s="695">
        <v>0.3</v>
      </c>
      <c r="K293" s="777">
        <f t="shared" si="53"/>
        <v>8.5227272727272721E-3</v>
      </c>
      <c r="L293" s="968">
        <v>0</v>
      </c>
      <c r="M293" s="503">
        <f t="shared" si="55"/>
        <v>20</v>
      </c>
      <c r="N293" s="504">
        <v>0.85416666666666663</v>
      </c>
      <c r="O293" s="719">
        <f t="shared" si="51"/>
        <v>0.85416666666666663</v>
      </c>
      <c r="P293" s="564"/>
      <c r="Q293" s="564">
        <f t="shared" si="52"/>
        <v>-0.85416666666666663</v>
      </c>
      <c r="R293" s="965" t="s">
        <v>1520</v>
      </c>
      <c r="S293" s="487"/>
      <c r="T293" s="29"/>
      <c r="U293" s="29" t="str">
        <f t="shared" si="45"/>
        <v>Deaf SmithF1</v>
      </c>
      <c r="V293" s="29" t="str">
        <f t="shared" si="46"/>
        <v>1972F1</v>
      </c>
      <c r="W293" s="80">
        <v>50</v>
      </c>
      <c r="X293" s="32">
        <v>0.2</v>
      </c>
      <c r="Y293" s="467">
        <v>5.0000000000000001E-3</v>
      </c>
      <c r="Z293" s="80"/>
      <c r="AA293" s="29" t="str">
        <f t="shared" si="47"/>
        <v>F150</v>
      </c>
      <c r="AB293" s="29" t="str">
        <f t="shared" si="48"/>
        <v>F10.2</v>
      </c>
      <c r="AC293" s="29" t="str">
        <f t="shared" si="49"/>
        <v>F10.005</v>
      </c>
      <c r="AD293" s="29" t="str">
        <f t="shared" si="50"/>
        <v>F120</v>
      </c>
      <c r="AE293" s="443"/>
      <c r="AF293" s="443"/>
      <c r="AG293" s="443"/>
      <c r="AH293" s="443"/>
    </row>
    <row r="294" spans="1:34" ht="16.5">
      <c r="A294" s="728">
        <f t="shared" si="54"/>
        <v>287</v>
      </c>
      <c r="B294" s="563">
        <v>18</v>
      </c>
      <c r="C294" s="694">
        <v>26497</v>
      </c>
      <c r="D294" s="694" t="s">
        <v>150</v>
      </c>
      <c r="E294" s="563">
        <v>17</v>
      </c>
      <c r="F294" s="503">
        <v>1972</v>
      </c>
      <c r="G294" s="563" t="s">
        <v>100</v>
      </c>
      <c r="H294" s="503" t="s">
        <v>123</v>
      </c>
      <c r="I294" s="695">
        <v>20</v>
      </c>
      <c r="J294" s="695">
        <v>0.1</v>
      </c>
      <c r="K294" s="777">
        <f t="shared" si="53"/>
        <v>1.1363636363636365E-3</v>
      </c>
      <c r="L294" s="968">
        <v>0</v>
      </c>
      <c r="M294" s="503">
        <f t="shared" si="55"/>
        <v>14</v>
      </c>
      <c r="N294" s="504">
        <v>0.59375</v>
      </c>
      <c r="O294" s="719">
        <f t="shared" si="51"/>
        <v>0.59375</v>
      </c>
      <c r="P294" s="564"/>
      <c r="Q294" s="564">
        <f t="shared" si="52"/>
        <v>-0.59375</v>
      </c>
      <c r="R294" s="965" t="s">
        <v>1520</v>
      </c>
      <c r="S294" s="487"/>
      <c r="T294" s="29"/>
      <c r="U294" s="29" t="str">
        <f t="shared" si="45"/>
        <v>TexasF1</v>
      </c>
      <c r="V294" s="29" t="str">
        <f t="shared" si="46"/>
        <v>1972F1</v>
      </c>
      <c r="W294" s="80">
        <v>20</v>
      </c>
      <c r="X294" s="32">
        <v>0.1</v>
      </c>
      <c r="Y294" s="467">
        <v>1E-3</v>
      </c>
      <c r="Z294" s="80"/>
      <c r="AA294" s="29" t="str">
        <f t="shared" si="47"/>
        <v>F120</v>
      </c>
      <c r="AB294" s="29" t="str">
        <f t="shared" si="48"/>
        <v>F10.1</v>
      </c>
      <c r="AC294" s="29" t="str">
        <f t="shared" si="49"/>
        <v>F10.001</v>
      </c>
      <c r="AD294" s="29" t="str">
        <f t="shared" si="50"/>
        <v>F114</v>
      </c>
      <c r="AE294" s="443"/>
      <c r="AF294" s="443"/>
      <c r="AG294" s="443"/>
      <c r="AH294" s="443"/>
    </row>
    <row r="295" spans="1:34" ht="16.5">
      <c r="A295" s="728">
        <f t="shared" si="54"/>
        <v>288</v>
      </c>
      <c r="B295" s="563">
        <v>19</v>
      </c>
      <c r="C295" s="694">
        <v>26519</v>
      </c>
      <c r="D295" s="694" t="s">
        <v>151</v>
      </c>
      <c r="E295" s="563">
        <v>8</v>
      </c>
      <c r="F295" s="503">
        <v>1972</v>
      </c>
      <c r="G295" s="563" t="s">
        <v>113</v>
      </c>
      <c r="H295" s="503" t="s">
        <v>122</v>
      </c>
      <c r="I295" s="695">
        <v>50</v>
      </c>
      <c r="J295" s="695">
        <v>2</v>
      </c>
      <c r="K295" s="777">
        <f t="shared" si="53"/>
        <v>5.6818181818181816E-2</v>
      </c>
      <c r="L295" s="968">
        <v>0</v>
      </c>
      <c r="M295" s="503">
        <f t="shared" si="55"/>
        <v>14</v>
      </c>
      <c r="N295" s="504">
        <v>0.59375</v>
      </c>
      <c r="O295" s="719">
        <f t="shared" si="51"/>
        <v>0.59375</v>
      </c>
      <c r="P295" s="564"/>
      <c r="Q295" s="564">
        <f t="shared" si="52"/>
        <v>-0.59375</v>
      </c>
      <c r="R295" s="965" t="s">
        <v>1520</v>
      </c>
      <c r="S295" s="487"/>
      <c r="T295" s="29"/>
      <c r="U295" s="29" t="str">
        <f t="shared" si="45"/>
        <v>PotterF0</v>
      </c>
      <c r="V295" s="29" t="str">
        <f t="shared" si="46"/>
        <v>1972F0</v>
      </c>
      <c r="W295" s="80">
        <v>50</v>
      </c>
      <c r="X295" s="32">
        <v>2</v>
      </c>
      <c r="Y295" s="467">
        <v>0.05</v>
      </c>
      <c r="Z295" s="80"/>
      <c r="AA295" s="29" t="str">
        <f t="shared" si="47"/>
        <v>F050</v>
      </c>
      <c r="AB295" s="29" t="str">
        <f t="shared" si="48"/>
        <v>F02</v>
      </c>
      <c r="AC295" s="29" t="str">
        <f t="shared" si="49"/>
        <v>F00.05</v>
      </c>
      <c r="AD295" s="29" t="str">
        <f t="shared" si="50"/>
        <v>F014</v>
      </c>
      <c r="AE295" s="443"/>
      <c r="AF295" s="443"/>
      <c r="AG295" s="443"/>
      <c r="AH295" s="443"/>
    </row>
    <row r="296" spans="1:34" ht="16.5">
      <c r="A296" s="728">
        <f t="shared" si="54"/>
        <v>289</v>
      </c>
      <c r="B296" s="563">
        <v>1</v>
      </c>
      <c r="C296" s="694">
        <v>26746</v>
      </c>
      <c r="D296" s="694" t="s">
        <v>146</v>
      </c>
      <c r="E296" s="563">
        <v>23</v>
      </c>
      <c r="F296" s="503">
        <v>1973</v>
      </c>
      <c r="G296" s="563" t="s">
        <v>113</v>
      </c>
      <c r="H296" s="503" t="s">
        <v>124</v>
      </c>
      <c r="I296" s="695">
        <v>50</v>
      </c>
      <c r="J296" s="695">
        <v>2</v>
      </c>
      <c r="K296" s="777">
        <f t="shared" si="53"/>
        <v>5.6818181818181816E-2</v>
      </c>
      <c r="L296" s="968">
        <v>25000</v>
      </c>
      <c r="M296" s="503">
        <f t="shared" si="55"/>
        <v>16</v>
      </c>
      <c r="N296" s="504">
        <v>0.66666666666666663</v>
      </c>
      <c r="O296" s="719">
        <f t="shared" si="51"/>
        <v>0.66666666666666663</v>
      </c>
      <c r="P296" s="564"/>
      <c r="Q296" s="564">
        <f t="shared" si="52"/>
        <v>-0.66666666666666663</v>
      </c>
      <c r="R296" s="965" t="s">
        <v>1520</v>
      </c>
      <c r="S296" s="487" t="s">
        <v>80</v>
      </c>
      <c r="T296" s="29"/>
      <c r="U296" s="29" t="str">
        <f t="shared" si="45"/>
        <v>PotterF2</v>
      </c>
      <c r="V296" s="29" t="str">
        <f t="shared" si="46"/>
        <v>1973F2</v>
      </c>
      <c r="W296" s="80">
        <v>50</v>
      </c>
      <c r="X296" s="32">
        <v>2</v>
      </c>
      <c r="Y296" s="467">
        <v>0.05</v>
      </c>
      <c r="Z296" s="80"/>
      <c r="AA296" s="29" t="str">
        <f t="shared" si="47"/>
        <v>F250</v>
      </c>
      <c r="AB296" s="29" t="str">
        <f t="shared" si="48"/>
        <v>F22</v>
      </c>
      <c r="AC296" s="29" t="str">
        <f t="shared" si="49"/>
        <v>F20.05</v>
      </c>
      <c r="AD296" s="29" t="str">
        <f t="shared" si="50"/>
        <v>F216</v>
      </c>
      <c r="AE296" s="443"/>
      <c r="AF296" s="443"/>
      <c r="AG296" s="443"/>
      <c r="AH296" s="443"/>
    </row>
    <row r="297" spans="1:34" ht="16.5">
      <c r="A297" s="728">
        <f t="shared" si="54"/>
        <v>290</v>
      </c>
      <c r="B297" s="563">
        <v>2</v>
      </c>
      <c r="C297" s="694">
        <v>26767</v>
      </c>
      <c r="D297" s="694" t="s">
        <v>147</v>
      </c>
      <c r="E297" s="563">
        <v>13</v>
      </c>
      <c r="F297" s="503">
        <v>1973</v>
      </c>
      <c r="G297" s="563" t="s">
        <v>113</v>
      </c>
      <c r="H297" s="503" t="s">
        <v>123</v>
      </c>
      <c r="I297" s="695">
        <v>17</v>
      </c>
      <c r="J297" s="695">
        <v>1</v>
      </c>
      <c r="K297" s="777">
        <f t="shared" si="53"/>
        <v>9.6590909090909088E-3</v>
      </c>
      <c r="L297" s="968">
        <v>0</v>
      </c>
      <c r="M297" s="503">
        <f t="shared" si="55"/>
        <v>17</v>
      </c>
      <c r="N297" s="504">
        <v>0.74861111111111101</v>
      </c>
      <c r="O297" s="719">
        <f t="shared" si="51"/>
        <v>0.74861111111111101</v>
      </c>
      <c r="P297" s="564"/>
      <c r="Q297" s="564">
        <f t="shared" si="52"/>
        <v>-0.74861111111111101</v>
      </c>
      <c r="R297" s="965" t="s">
        <v>1520</v>
      </c>
      <c r="S297" s="487" t="s">
        <v>468</v>
      </c>
      <c r="T297" s="29"/>
      <c r="U297" s="29" t="str">
        <f t="shared" si="45"/>
        <v>PotterF1</v>
      </c>
      <c r="V297" s="29" t="str">
        <f t="shared" si="46"/>
        <v>1973F1</v>
      </c>
      <c r="W297" s="80">
        <v>10</v>
      </c>
      <c r="X297" s="32">
        <v>1</v>
      </c>
      <c r="Y297" s="467">
        <v>5.0000000000000001E-3</v>
      </c>
      <c r="Z297" s="80"/>
      <c r="AA297" s="29" t="str">
        <f t="shared" si="47"/>
        <v>F110</v>
      </c>
      <c r="AB297" s="29" t="str">
        <f t="shared" si="48"/>
        <v>F11</v>
      </c>
      <c r="AC297" s="29" t="str">
        <f t="shared" si="49"/>
        <v>F10.005</v>
      </c>
      <c r="AD297" s="29" t="str">
        <f t="shared" si="50"/>
        <v>F117</v>
      </c>
      <c r="AE297" s="443"/>
      <c r="AF297" s="443"/>
      <c r="AG297" s="443"/>
      <c r="AH297" s="443"/>
    </row>
    <row r="298" spans="1:34" ht="107.25" customHeight="1">
      <c r="A298" s="728">
        <f t="shared" si="54"/>
        <v>291</v>
      </c>
      <c r="B298" s="563">
        <v>3</v>
      </c>
      <c r="C298" s="694">
        <v>26768</v>
      </c>
      <c r="D298" s="694" t="s">
        <v>147</v>
      </c>
      <c r="E298" s="563">
        <v>14</v>
      </c>
      <c r="F298" s="503">
        <v>1973</v>
      </c>
      <c r="G298" s="563" t="s">
        <v>119</v>
      </c>
      <c r="H298" s="503" t="s">
        <v>124</v>
      </c>
      <c r="I298" s="695">
        <v>150</v>
      </c>
      <c r="J298" s="695">
        <v>19</v>
      </c>
      <c r="K298" s="777">
        <f t="shared" si="53"/>
        <v>1.6193181818181817</v>
      </c>
      <c r="L298" s="968">
        <v>25000</v>
      </c>
      <c r="M298" s="503">
        <f t="shared" si="55"/>
        <v>17</v>
      </c>
      <c r="N298" s="504">
        <v>0.72916666666666663</v>
      </c>
      <c r="O298" s="719">
        <f>+N298</f>
        <v>0.72916666666666663</v>
      </c>
      <c r="P298" s="564"/>
      <c r="Q298" s="564">
        <f t="shared" si="52"/>
        <v>-0.72916666666666663</v>
      </c>
      <c r="R298" s="965" t="s">
        <v>1520</v>
      </c>
      <c r="S298" s="79" t="s">
        <v>708</v>
      </c>
      <c r="T298" s="29"/>
      <c r="U298" s="29" t="str">
        <f t="shared" si="45"/>
        <v>ArmstrongF2</v>
      </c>
      <c r="V298" s="29" t="str">
        <f t="shared" si="46"/>
        <v>1973F2</v>
      </c>
      <c r="W298" s="80">
        <v>100</v>
      </c>
      <c r="X298" s="32">
        <v>10</v>
      </c>
      <c r="Y298" s="467">
        <v>1</v>
      </c>
      <c r="Z298" s="80"/>
      <c r="AA298" s="29" t="str">
        <f t="shared" si="47"/>
        <v>F2100</v>
      </c>
      <c r="AB298" s="29" t="str">
        <f t="shared" si="48"/>
        <v>F210</v>
      </c>
      <c r="AC298" s="29" t="str">
        <f t="shared" si="49"/>
        <v>F21</v>
      </c>
      <c r="AD298" s="29" t="str">
        <f t="shared" si="50"/>
        <v>F217</v>
      </c>
      <c r="AE298" s="443"/>
      <c r="AF298" s="443"/>
      <c r="AG298" s="443"/>
      <c r="AH298" s="443"/>
    </row>
    <row r="299" spans="1:34" ht="171" customHeight="1">
      <c r="A299" s="728">
        <f t="shared" si="54"/>
        <v>292</v>
      </c>
      <c r="B299" s="563">
        <v>4</v>
      </c>
      <c r="C299" s="694">
        <v>26768</v>
      </c>
      <c r="D299" s="694" t="s">
        <v>147</v>
      </c>
      <c r="E299" s="563">
        <v>14</v>
      </c>
      <c r="F299" s="503">
        <v>1973</v>
      </c>
      <c r="G299" s="563" t="s">
        <v>115</v>
      </c>
      <c r="H299" s="503" t="s">
        <v>124</v>
      </c>
      <c r="I299" s="695">
        <v>150</v>
      </c>
      <c r="J299" s="695">
        <v>56</v>
      </c>
      <c r="K299" s="777">
        <f t="shared" si="53"/>
        <v>4.7727272727272725</v>
      </c>
      <c r="L299" s="968">
        <v>0</v>
      </c>
      <c r="M299" s="503">
        <f t="shared" si="55"/>
        <v>18</v>
      </c>
      <c r="N299" s="504">
        <v>0.76041666666666663</v>
      </c>
      <c r="O299" s="719">
        <f>+N299</f>
        <v>0.76041666666666663</v>
      </c>
      <c r="P299" s="564"/>
      <c r="Q299" s="564">
        <f t="shared" si="52"/>
        <v>-0.76041666666666663</v>
      </c>
      <c r="R299" s="965" t="s">
        <v>1520</v>
      </c>
      <c r="S299" s="79" t="s">
        <v>709</v>
      </c>
      <c r="T299" s="29"/>
      <c r="U299" s="29" t="str">
        <f t="shared" si="45"/>
        <v>GrayF2</v>
      </c>
      <c r="V299" s="29" t="str">
        <f t="shared" si="46"/>
        <v>1973F2</v>
      </c>
      <c r="W299" s="80">
        <v>100</v>
      </c>
      <c r="X299" s="32">
        <v>50</v>
      </c>
      <c r="Y299" s="467">
        <v>2</v>
      </c>
      <c r="Z299" s="80"/>
      <c r="AA299" s="29" t="str">
        <f t="shared" si="47"/>
        <v>F2100</v>
      </c>
      <c r="AB299" s="29" t="str">
        <f t="shared" si="48"/>
        <v>F250</v>
      </c>
      <c r="AC299" s="29" t="str">
        <f t="shared" si="49"/>
        <v>F22</v>
      </c>
      <c r="AD299" s="29" t="str">
        <f t="shared" si="50"/>
        <v>F218</v>
      </c>
      <c r="AE299" s="443"/>
      <c r="AF299" s="443"/>
      <c r="AG299" s="443"/>
      <c r="AH299" s="443"/>
    </row>
    <row r="300" spans="1:34" ht="16.5">
      <c r="A300" s="728">
        <f t="shared" si="54"/>
        <v>293</v>
      </c>
      <c r="B300" s="563">
        <v>5</v>
      </c>
      <c r="C300" s="694">
        <v>26777</v>
      </c>
      <c r="D300" s="694" t="s">
        <v>147</v>
      </c>
      <c r="E300" s="563">
        <v>23</v>
      </c>
      <c r="F300" s="503">
        <v>1973</v>
      </c>
      <c r="G300" s="563" t="s">
        <v>116</v>
      </c>
      <c r="H300" s="503" t="s">
        <v>124</v>
      </c>
      <c r="I300" s="695">
        <v>100</v>
      </c>
      <c r="J300" s="695">
        <v>0.3</v>
      </c>
      <c r="K300" s="777">
        <f t="shared" si="53"/>
        <v>1.7045454545454544E-2</v>
      </c>
      <c r="L300" s="968">
        <v>250000</v>
      </c>
      <c r="M300" s="503">
        <f t="shared" si="55"/>
        <v>21</v>
      </c>
      <c r="N300" s="504">
        <v>0.90625</v>
      </c>
      <c r="O300" s="719">
        <f t="shared" si="51"/>
        <v>0.90625</v>
      </c>
      <c r="P300" s="564"/>
      <c r="Q300" s="564">
        <f t="shared" si="52"/>
        <v>-0.90625</v>
      </c>
      <c r="R300" s="965" t="s">
        <v>1520</v>
      </c>
      <c r="S300" s="487"/>
      <c r="T300" s="29"/>
      <c r="U300" s="29" t="str">
        <f t="shared" si="45"/>
        <v>WheelerF2</v>
      </c>
      <c r="V300" s="29" t="str">
        <f t="shared" si="46"/>
        <v>1973F2</v>
      </c>
      <c r="W300" s="80">
        <v>100</v>
      </c>
      <c r="X300" s="32">
        <v>0.2</v>
      </c>
      <c r="Y300" s="467">
        <v>0.01</v>
      </c>
      <c r="Z300" s="80"/>
      <c r="AA300" s="29" t="str">
        <f t="shared" si="47"/>
        <v>F2100</v>
      </c>
      <c r="AB300" s="29" t="str">
        <f t="shared" si="48"/>
        <v>F20.2</v>
      </c>
      <c r="AC300" s="29" t="str">
        <f t="shared" si="49"/>
        <v>F20.01</v>
      </c>
      <c r="AD300" s="29" t="str">
        <f t="shared" si="50"/>
        <v>F221</v>
      </c>
      <c r="AE300" s="443"/>
      <c r="AF300" s="443"/>
      <c r="AG300" s="443"/>
      <c r="AH300" s="443"/>
    </row>
    <row r="301" spans="1:34" ht="16.5">
      <c r="A301" s="728">
        <f t="shared" si="54"/>
        <v>294</v>
      </c>
      <c r="B301" s="563">
        <v>6</v>
      </c>
      <c r="C301" s="694">
        <v>26784</v>
      </c>
      <c r="D301" s="694" t="s">
        <v>147</v>
      </c>
      <c r="E301" s="563">
        <v>30</v>
      </c>
      <c r="F301" s="503">
        <v>1973</v>
      </c>
      <c r="G301" s="563" t="s">
        <v>114</v>
      </c>
      <c r="H301" s="503" t="s">
        <v>124</v>
      </c>
      <c r="I301" s="695">
        <v>100</v>
      </c>
      <c r="J301" s="695">
        <v>0.5</v>
      </c>
      <c r="K301" s="777">
        <f t="shared" si="53"/>
        <v>2.8409090909090908E-2</v>
      </c>
      <c r="L301" s="968">
        <v>250000</v>
      </c>
      <c r="M301" s="503">
        <f t="shared" si="55"/>
        <v>17</v>
      </c>
      <c r="N301" s="504">
        <v>0.73611111111111116</v>
      </c>
      <c r="O301" s="719">
        <f t="shared" si="51"/>
        <v>0.73611111111111116</v>
      </c>
      <c r="P301" s="564"/>
      <c r="Q301" s="564">
        <f t="shared" si="52"/>
        <v>-0.73611111111111116</v>
      </c>
      <c r="R301" s="965" t="s">
        <v>1539</v>
      </c>
      <c r="S301" s="487"/>
      <c r="T301" s="29"/>
      <c r="U301" s="29" t="str">
        <f t="shared" si="45"/>
        <v>CarsonF2</v>
      </c>
      <c r="V301" s="29" t="str">
        <f t="shared" si="46"/>
        <v>1973F2</v>
      </c>
      <c r="W301" s="80">
        <v>100</v>
      </c>
      <c r="X301" s="32">
        <v>0.5</v>
      </c>
      <c r="Y301" s="467">
        <v>0.02</v>
      </c>
      <c r="Z301" s="80"/>
      <c r="AA301" s="29" t="str">
        <f t="shared" si="47"/>
        <v>F2100</v>
      </c>
      <c r="AB301" s="29" t="str">
        <f t="shared" si="48"/>
        <v>F20.5</v>
      </c>
      <c r="AC301" s="29" t="str">
        <f t="shared" si="49"/>
        <v>F20.02</v>
      </c>
      <c r="AD301" s="29" t="str">
        <f t="shared" si="50"/>
        <v>F217</v>
      </c>
      <c r="AE301" s="443"/>
      <c r="AF301" s="443"/>
      <c r="AG301" s="443"/>
      <c r="AH301" s="443"/>
    </row>
    <row r="302" spans="1:34" ht="16.5">
      <c r="A302" s="728">
        <f t="shared" si="54"/>
        <v>295</v>
      </c>
      <c r="B302" s="563">
        <v>7</v>
      </c>
      <c r="C302" s="694">
        <v>26785</v>
      </c>
      <c r="D302" s="694" t="s">
        <v>148</v>
      </c>
      <c r="E302" s="563">
        <v>1</v>
      </c>
      <c r="F302" s="503">
        <v>1973</v>
      </c>
      <c r="G302" s="563" t="s">
        <v>100</v>
      </c>
      <c r="H302" s="503" t="s">
        <v>122</v>
      </c>
      <c r="I302" s="695">
        <v>150</v>
      </c>
      <c r="J302" s="695">
        <v>1</v>
      </c>
      <c r="K302" s="777">
        <f t="shared" si="53"/>
        <v>8.5227272727272721E-2</v>
      </c>
      <c r="L302" s="968">
        <v>0</v>
      </c>
      <c r="M302" s="503">
        <f t="shared" si="55"/>
        <v>9</v>
      </c>
      <c r="N302" s="504">
        <v>0.375</v>
      </c>
      <c r="O302" s="719">
        <f t="shared" si="51"/>
        <v>0.375</v>
      </c>
      <c r="P302" s="564"/>
      <c r="Q302" s="564">
        <f t="shared" si="52"/>
        <v>-0.375</v>
      </c>
      <c r="R302" s="965" t="s">
        <v>1520</v>
      </c>
      <c r="S302" s="487"/>
      <c r="T302" s="29"/>
      <c r="U302" s="29" t="str">
        <f t="shared" si="45"/>
        <v>TexasF0</v>
      </c>
      <c r="V302" s="29" t="str">
        <f t="shared" si="46"/>
        <v>1973F0</v>
      </c>
      <c r="W302" s="80">
        <v>100</v>
      </c>
      <c r="X302" s="32">
        <v>1</v>
      </c>
      <c r="Y302" s="467">
        <v>0.05</v>
      </c>
      <c r="Z302" s="80"/>
      <c r="AA302" s="29" t="str">
        <f t="shared" si="47"/>
        <v>F0100</v>
      </c>
      <c r="AB302" s="29" t="str">
        <f t="shared" si="48"/>
        <v>F01</v>
      </c>
      <c r="AC302" s="29" t="str">
        <f t="shared" si="49"/>
        <v>F00.05</v>
      </c>
      <c r="AD302" s="29" t="str">
        <f t="shared" si="50"/>
        <v>F09</v>
      </c>
      <c r="AE302" s="443"/>
      <c r="AF302" s="443"/>
      <c r="AG302" s="443"/>
      <c r="AH302" s="443"/>
    </row>
    <row r="303" spans="1:34" ht="16.5">
      <c r="A303" s="728">
        <f t="shared" si="54"/>
        <v>296</v>
      </c>
      <c r="B303" s="563">
        <v>8</v>
      </c>
      <c r="C303" s="694">
        <v>26806</v>
      </c>
      <c r="D303" s="694" t="s">
        <v>148</v>
      </c>
      <c r="E303" s="563">
        <v>22</v>
      </c>
      <c r="F303" s="503">
        <v>1973</v>
      </c>
      <c r="G303" s="563" t="s">
        <v>118</v>
      </c>
      <c r="H303" s="503" t="s">
        <v>123</v>
      </c>
      <c r="I303" s="695">
        <v>20</v>
      </c>
      <c r="J303" s="695">
        <v>0.3</v>
      </c>
      <c r="K303" s="777">
        <f t="shared" si="53"/>
        <v>3.4090909090909089E-3</v>
      </c>
      <c r="L303" s="968">
        <v>0</v>
      </c>
      <c r="M303" s="503">
        <f t="shared" si="55"/>
        <v>17</v>
      </c>
      <c r="N303" s="504">
        <v>0.71527777777777779</v>
      </c>
      <c r="O303" s="719">
        <f t="shared" si="51"/>
        <v>0.71527777777777779</v>
      </c>
      <c r="P303" s="564"/>
      <c r="Q303" s="564">
        <f t="shared" si="52"/>
        <v>-0.71527777777777779</v>
      </c>
      <c r="R303" s="965" t="s">
        <v>1520</v>
      </c>
      <c r="S303" s="487"/>
      <c r="T303" s="29"/>
      <c r="U303" s="29" t="str">
        <f t="shared" si="45"/>
        <v>RandallF1</v>
      </c>
      <c r="V303" s="29" t="str">
        <f t="shared" si="46"/>
        <v>1973F1</v>
      </c>
      <c r="W303" s="80">
        <v>20</v>
      </c>
      <c r="X303" s="32">
        <v>0.2</v>
      </c>
      <c r="Y303" s="467">
        <v>2E-3</v>
      </c>
      <c r="Z303" s="80"/>
      <c r="AA303" s="29" t="str">
        <f t="shared" si="47"/>
        <v>F120</v>
      </c>
      <c r="AB303" s="29" t="str">
        <f t="shared" si="48"/>
        <v>F10.2</v>
      </c>
      <c r="AC303" s="29" t="str">
        <f t="shared" si="49"/>
        <v>F10.002</v>
      </c>
      <c r="AD303" s="29" t="str">
        <f t="shared" si="50"/>
        <v>F117</v>
      </c>
      <c r="AE303" s="443"/>
      <c r="AF303" s="443"/>
      <c r="AG303" s="443"/>
      <c r="AH303" s="443"/>
    </row>
    <row r="304" spans="1:34" ht="16.5">
      <c r="A304" s="728">
        <f t="shared" si="54"/>
        <v>297</v>
      </c>
      <c r="B304" s="563">
        <v>9</v>
      </c>
      <c r="C304" s="694">
        <v>26884</v>
      </c>
      <c r="D304" s="694" t="s">
        <v>151</v>
      </c>
      <c r="E304" s="563">
        <v>8</v>
      </c>
      <c r="F304" s="503">
        <v>1973</v>
      </c>
      <c r="G304" s="563" t="s">
        <v>109</v>
      </c>
      <c r="H304" s="503" t="s">
        <v>123</v>
      </c>
      <c r="I304" s="695">
        <v>10</v>
      </c>
      <c r="J304" s="695">
        <v>0.1</v>
      </c>
      <c r="K304" s="777">
        <f t="shared" si="53"/>
        <v>5.6818181818181826E-4</v>
      </c>
      <c r="L304" s="968">
        <v>0</v>
      </c>
      <c r="M304" s="503">
        <f t="shared" si="55"/>
        <v>16</v>
      </c>
      <c r="N304" s="504">
        <v>0.70625000000000004</v>
      </c>
      <c r="O304" s="719">
        <f t="shared" si="51"/>
        <v>0.70625000000000004</v>
      </c>
      <c r="P304" s="564"/>
      <c r="Q304" s="564">
        <f t="shared" si="52"/>
        <v>-0.70625000000000004</v>
      </c>
      <c r="R304" s="965" t="s">
        <v>1520</v>
      </c>
      <c r="S304" s="487"/>
      <c r="T304" s="29"/>
      <c r="U304" s="29" t="str">
        <f t="shared" si="45"/>
        <v>HutchinsonF1</v>
      </c>
      <c r="V304" s="29" t="str">
        <f t="shared" si="46"/>
        <v>1973F1</v>
      </c>
      <c r="W304" s="80">
        <v>10</v>
      </c>
      <c r="X304" s="32">
        <v>0.1</v>
      </c>
      <c r="Y304" s="467">
        <v>5.0000000000000001E-4</v>
      </c>
      <c r="Z304" s="80"/>
      <c r="AA304" s="29" t="str">
        <f t="shared" si="47"/>
        <v>F110</v>
      </c>
      <c r="AB304" s="29" t="str">
        <f t="shared" si="48"/>
        <v>F10.1</v>
      </c>
      <c r="AC304" s="29" t="str">
        <f t="shared" si="49"/>
        <v>F10.0005</v>
      </c>
      <c r="AD304" s="29" t="str">
        <f t="shared" si="50"/>
        <v>F116</v>
      </c>
      <c r="AE304" s="443"/>
      <c r="AF304" s="443"/>
      <c r="AG304" s="443"/>
      <c r="AH304" s="443"/>
    </row>
    <row r="305" spans="1:34" ht="16.5">
      <c r="A305" s="728">
        <f t="shared" si="54"/>
        <v>298</v>
      </c>
      <c r="B305" s="563">
        <v>1</v>
      </c>
      <c r="C305" s="694">
        <v>27097</v>
      </c>
      <c r="D305" s="694" t="s">
        <v>146</v>
      </c>
      <c r="E305" s="563">
        <v>9</v>
      </c>
      <c r="F305" s="503">
        <v>1974</v>
      </c>
      <c r="G305" s="563" t="s">
        <v>118</v>
      </c>
      <c r="H305" s="503" t="s">
        <v>123</v>
      </c>
      <c r="I305" s="695">
        <v>20</v>
      </c>
      <c r="J305" s="695">
        <v>3</v>
      </c>
      <c r="K305" s="777">
        <f t="shared" si="53"/>
        <v>3.4090909090909088E-2</v>
      </c>
      <c r="L305" s="968">
        <v>0</v>
      </c>
      <c r="M305" s="503">
        <f t="shared" si="55"/>
        <v>13</v>
      </c>
      <c r="N305" s="504">
        <v>0.55694444444444446</v>
      </c>
      <c r="O305" s="719">
        <f t="shared" si="51"/>
        <v>0.55694444444444446</v>
      </c>
      <c r="P305" s="564"/>
      <c r="Q305" s="564">
        <f t="shared" si="52"/>
        <v>-0.55694444444444446</v>
      </c>
      <c r="R305" s="965" t="s">
        <v>1520</v>
      </c>
      <c r="S305" s="487"/>
      <c r="T305" s="29"/>
      <c r="U305" s="29" t="str">
        <f t="shared" si="45"/>
        <v>RandallF1</v>
      </c>
      <c r="V305" s="29" t="str">
        <f t="shared" si="46"/>
        <v>1974F1</v>
      </c>
      <c r="W305" s="80">
        <v>20</v>
      </c>
      <c r="X305" s="32">
        <v>2</v>
      </c>
      <c r="Y305" s="467">
        <v>0.02</v>
      </c>
      <c r="Z305" s="80"/>
      <c r="AA305" s="29" t="str">
        <f t="shared" si="47"/>
        <v>F120</v>
      </c>
      <c r="AB305" s="29" t="str">
        <f t="shared" si="48"/>
        <v>F12</v>
      </c>
      <c r="AC305" s="29" t="str">
        <f t="shared" si="49"/>
        <v>F10.02</v>
      </c>
      <c r="AD305" s="29" t="str">
        <f t="shared" si="50"/>
        <v>F113</v>
      </c>
      <c r="AE305" s="443"/>
      <c r="AF305" s="443"/>
      <c r="AG305" s="443"/>
      <c r="AH305" s="443"/>
    </row>
    <row r="306" spans="1:34" ht="16.5">
      <c r="A306" s="728">
        <f t="shared" si="54"/>
        <v>299</v>
      </c>
      <c r="B306" s="563">
        <v>2</v>
      </c>
      <c r="C306" s="694">
        <v>27129</v>
      </c>
      <c r="D306" s="694" t="s">
        <v>147</v>
      </c>
      <c r="E306" s="563">
        <v>10</v>
      </c>
      <c r="F306" s="503">
        <v>1974</v>
      </c>
      <c r="G306" s="563" t="s">
        <v>121</v>
      </c>
      <c r="H306" s="503" t="s">
        <v>123</v>
      </c>
      <c r="I306" s="695">
        <v>33</v>
      </c>
      <c r="J306" s="695">
        <v>2</v>
      </c>
      <c r="K306" s="777">
        <f t="shared" si="53"/>
        <v>3.7499999999999999E-2</v>
      </c>
      <c r="L306" s="968">
        <v>0</v>
      </c>
      <c r="M306" s="503">
        <f t="shared" si="55"/>
        <v>21</v>
      </c>
      <c r="N306" s="504">
        <v>0.88194444444444453</v>
      </c>
      <c r="O306" s="719">
        <f t="shared" si="51"/>
        <v>0.88194444444444453</v>
      </c>
      <c r="P306" s="564"/>
      <c r="Q306" s="564">
        <f t="shared" si="52"/>
        <v>-0.88194444444444453</v>
      </c>
      <c r="R306" s="965" t="s">
        <v>1520</v>
      </c>
      <c r="S306" s="487"/>
      <c r="T306" s="29"/>
      <c r="U306" s="29" t="str">
        <f t="shared" si="45"/>
        <v>CollingsworthF1</v>
      </c>
      <c r="V306" s="29" t="str">
        <f t="shared" si="46"/>
        <v>1974F1</v>
      </c>
      <c r="W306" s="80">
        <v>20</v>
      </c>
      <c r="X306" s="32">
        <v>2</v>
      </c>
      <c r="Y306" s="467">
        <v>0.02</v>
      </c>
      <c r="Z306" s="80"/>
      <c r="AA306" s="29" t="str">
        <f t="shared" si="47"/>
        <v>F120</v>
      </c>
      <c r="AB306" s="29" t="str">
        <f t="shared" si="48"/>
        <v>F12</v>
      </c>
      <c r="AC306" s="29" t="str">
        <f t="shared" si="49"/>
        <v>F10.02</v>
      </c>
      <c r="AD306" s="29" t="str">
        <f t="shared" si="50"/>
        <v>F121</v>
      </c>
      <c r="AE306" s="443"/>
      <c r="AF306" s="443"/>
      <c r="AG306" s="443"/>
      <c r="AH306" s="443"/>
    </row>
    <row r="307" spans="1:34" ht="16.5">
      <c r="A307" s="728">
        <f t="shared" si="54"/>
        <v>300</v>
      </c>
      <c r="B307" s="563">
        <v>3</v>
      </c>
      <c r="C307" s="694">
        <v>27138</v>
      </c>
      <c r="D307" s="694" t="s">
        <v>147</v>
      </c>
      <c r="E307" s="563">
        <v>19</v>
      </c>
      <c r="F307" s="503">
        <v>1974</v>
      </c>
      <c r="G307" s="563" t="s">
        <v>114</v>
      </c>
      <c r="H307" s="503" t="s">
        <v>123</v>
      </c>
      <c r="I307" s="695">
        <v>20</v>
      </c>
      <c r="J307" s="695">
        <v>1.9</v>
      </c>
      <c r="K307" s="777">
        <f t="shared" si="53"/>
        <v>2.1590909090909091E-2</v>
      </c>
      <c r="L307" s="968">
        <v>0</v>
      </c>
      <c r="M307" s="503">
        <f t="shared" si="55"/>
        <v>15</v>
      </c>
      <c r="N307" s="504">
        <v>0.64930555555555558</v>
      </c>
      <c r="O307" s="719">
        <f t="shared" si="51"/>
        <v>0.64930555555555558</v>
      </c>
      <c r="P307" s="564"/>
      <c r="Q307" s="564">
        <f t="shared" si="52"/>
        <v>-0.64930555555555558</v>
      </c>
      <c r="R307" s="965" t="s">
        <v>1520</v>
      </c>
      <c r="S307" s="487"/>
      <c r="T307" s="29"/>
      <c r="U307" s="29" t="str">
        <f t="shared" si="45"/>
        <v>CarsonF1</v>
      </c>
      <c r="V307" s="29" t="str">
        <f t="shared" si="46"/>
        <v>1974F1</v>
      </c>
      <c r="W307" s="80">
        <v>20</v>
      </c>
      <c r="X307" s="32">
        <v>1</v>
      </c>
      <c r="Y307" s="467">
        <v>0.02</v>
      </c>
      <c r="Z307" s="80"/>
      <c r="AA307" s="29" t="str">
        <f t="shared" si="47"/>
        <v>F120</v>
      </c>
      <c r="AB307" s="29" t="str">
        <f t="shared" si="48"/>
        <v>F11</v>
      </c>
      <c r="AC307" s="29" t="str">
        <f t="shared" si="49"/>
        <v>F10.02</v>
      </c>
      <c r="AD307" s="29" t="str">
        <f t="shared" si="50"/>
        <v>F115</v>
      </c>
      <c r="AE307" s="443"/>
      <c r="AF307" s="443"/>
      <c r="AG307" s="443"/>
      <c r="AH307" s="443"/>
    </row>
    <row r="308" spans="1:34" ht="16.5">
      <c r="A308" s="728">
        <f t="shared" si="54"/>
        <v>301</v>
      </c>
      <c r="B308" s="563">
        <v>4</v>
      </c>
      <c r="C308" s="694">
        <v>27138</v>
      </c>
      <c r="D308" s="694" t="s">
        <v>147</v>
      </c>
      <c r="E308" s="563">
        <v>19</v>
      </c>
      <c r="F308" s="503">
        <v>1974</v>
      </c>
      <c r="G308" s="563" t="s">
        <v>110</v>
      </c>
      <c r="H308" s="503" t="s">
        <v>124</v>
      </c>
      <c r="I308" s="695">
        <v>30</v>
      </c>
      <c r="J308" s="695">
        <v>5.9</v>
      </c>
      <c r="K308" s="777">
        <f t="shared" si="53"/>
        <v>0.10056818181818182</v>
      </c>
      <c r="L308" s="968">
        <v>0</v>
      </c>
      <c r="M308" s="503">
        <f t="shared" si="55"/>
        <v>19</v>
      </c>
      <c r="N308" s="504">
        <v>0.80555555555555547</v>
      </c>
      <c r="O308" s="719">
        <f t="shared" si="51"/>
        <v>0.80555555555555547</v>
      </c>
      <c r="P308" s="564"/>
      <c r="Q308" s="564">
        <f t="shared" si="52"/>
        <v>-0.80555555555555547</v>
      </c>
      <c r="R308" s="965" t="s">
        <v>1520</v>
      </c>
      <c r="S308" s="487"/>
      <c r="T308" s="29"/>
      <c r="U308" s="29" t="str">
        <f t="shared" si="45"/>
        <v>RobertsF2</v>
      </c>
      <c r="V308" s="29" t="str">
        <f t="shared" si="46"/>
        <v>1974F2</v>
      </c>
      <c r="W308" s="80">
        <v>20</v>
      </c>
      <c r="X308" s="32">
        <v>5</v>
      </c>
      <c r="Y308" s="467">
        <v>0.1</v>
      </c>
      <c r="Z308" s="80"/>
      <c r="AA308" s="29" t="str">
        <f t="shared" si="47"/>
        <v>F220</v>
      </c>
      <c r="AB308" s="29" t="str">
        <f t="shared" si="48"/>
        <v>F25</v>
      </c>
      <c r="AC308" s="29" t="str">
        <f t="shared" si="49"/>
        <v>F20.1</v>
      </c>
      <c r="AD308" s="29" t="str">
        <f t="shared" si="50"/>
        <v>F219</v>
      </c>
      <c r="AE308" s="443"/>
      <c r="AF308" s="443"/>
      <c r="AG308" s="443"/>
      <c r="AH308" s="443"/>
    </row>
    <row r="309" spans="1:34" ht="16.5">
      <c r="A309" s="728">
        <f t="shared" si="54"/>
        <v>302</v>
      </c>
      <c r="B309" s="563">
        <v>5</v>
      </c>
      <c r="C309" s="694">
        <v>27147</v>
      </c>
      <c r="D309" s="694" t="s">
        <v>147</v>
      </c>
      <c r="E309" s="563">
        <v>28</v>
      </c>
      <c r="F309" s="503">
        <v>1974</v>
      </c>
      <c r="G309" s="563" t="s">
        <v>121</v>
      </c>
      <c r="H309" s="503" t="s">
        <v>123</v>
      </c>
      <c r="I309" s="695">
        <v>20</v>
      </c>
      <c r="J309" s="695">
        <v>1</v>
      </c>
      <c r="K309" s="777">
        <f t="shared" si="53"/>
        <v>1.1363636363636364E-2</v>
      </c>
      <c r="L309" s="968">
        <v>0</v>
      </c>
      <c r="M309" s="503">
        <f t="shared" si="55"/>
        <v>22</v>
      </c>
      <c r="N309" s="504">
        <v>0.93055555555555547</v>
      </c>
      <c r="O309" s="719">
        <f t="shared" si="51"/>
        <v>0.93055555555555547</v>
      </c>
      <c r="P309" s="564"/>
      <c r="Q309" s="564">
        <f t="shared" si="52"/>
        <v>-0.93055555555555547</v>
      </c>
      <c r="R309" s="965" t="s">
        <v>1520</v>
      </c>
      <c r="S309" s="487"/>
      <c r="T309" s="29"/>
      <c r="U309" s="29" t="str">
        <f t="shared" si="45"/>
        <v>CollingsworthF1</v>
      </c>
      <c r="V309" s="29" t="str">
        <f t="shared" si="46"/>
        <v>1974F1</v>
      </c>
      <c r="W309" s="80">
        <v>20</v>
      </c>
      <c r="X309" s="32">
        <v>1</v>
      </c>
      <c r="Y309" s="467">
        <v>0.01</v>
      </c>
      <c r="Z309" s="80"/>
      <c r="AA309" s="29" t="str">
        <f t="shared" si="47"/>
        <v>F120</v>
      </c>
      <c r="AB309" s="29" t="str">
        <f t="shared" si="48"/>
        <v>F11</v>
      </c>
      <c r="AC309" s="29" t="str">
        <f t="shared" si="49"/>
        <v>F10.01</v>
      </c>
      <c r="AD309" s="29" t="str">
        <f t="shared" si="50"/>
        <v>F122</v>
      </c>
      <c r="AE309" s="443"/>
      <c r="AF309" s="443"/>
      <c r="AG309" s="443"/>
      <c r="AH309" s="443"/>
    </row>
    <row r="310" spans="1:34" ht="16.5">
      <c r="A310" s="728">
        <f t="shared" si="54"/>
        <v>303</v>
      </c>
      <c r="B310" s="563">
        <v>6</v>
      </c>
      <c r="C310" s="694">
        <v>27173</v>
      </c>
      <c r="D310" s="694" t="s">
        <v>148</v>
      </c>
      <c r="E310" s="563">
        <v>24</v>
      </c>
      <c r="F310" s="503">
        <v>1974</v>
      </c>
      <c r="G310" s="563" t="s">
        <v>117</v>
      </c>
      <c r="H310" s="503" t="s">
        <v>123</v>
      </c>
      <c r="I310" s="695">
        <v>30</v>
      </c>
      <c r="J310" s="695">
        <v>3</v>
      </c>
      <c r="K310" s="777">
        <f t="shared" si="53"/>
        <v>5.1136363636363633E-2</v>
      </c>
      <c r="L310" s="968">
        <v>0</v>
      </c>
      <c r="M310" s="503">
        <f t="shared" si="55"/>
        <v>20</v>
      </c>
      <c r="N310" s="504">
        <v>0.87152777777777779</v>
      </c>
      <c r="O310" s="719">
        <f t="shared" si="51"/>
        <v>0.87152777777777779</v>
      </c>
      <c r="P310" s="564"/>
      <c r="Q310" s="564">
        <f t="shared" si="52"/>
        <v>-0.87152777777777779</v>
      </c>
      <c r="R310" s="965" t="s">
        <v>1520</v>
      </c>
      <c r="S310" s="487"/>
      <c r="T310" s="29"/>
      <c r="U310" s="29" t="str">
        <f t="shared" si="45"/>
        <v>Deaf SmithF1</v>
      </c>
      <c r="V310" s="29" t="str">
        <f t="shared" si="46"/>
        <v>1974F1</v>
      </c>
      <c r="W310" s="80">
        <v>20</v>
      </c>
      <c r="X310" s="32">
        <v>2</v>
      </c>
      <c r="Y310" s="467">
        <v>0.05</v>
      </c>
      <c r="Z310" s="80"/>
      <c r="AA310" s="29" t="str">
        <f t="shared" si="47"/>
        <v>F120</v>
      </c>
      <c r="AB310" s="29" t="str">
        <f t="shared" si="48"/>
        <v>F12</v>
      </c>
      <c r="AC310" s="29" t="str">
        <f t="shared" si="49"/>
        <v>F10.05</v>
      </c>
      <c r="AD310" s="29" t="str">
        <f t="shared" si="50"/>
        <v>F120</v>
      </c>
      <c r="AE310" s="443"/>
      <c r="AF310" s="443"/>
      <c r="AG310" s="443"/>
      <c r="AH310" s="443"/>
    </row>
    <row r="311" spans="1:34" ht="16.5">
      <c r="A311" s="728">
        <f t="shared" si="54"/>
        <v>304</v>
      </c>
      <c r="B311" s="563">
        <v>7</v>
      </c>
      <c r="C311" s="694">
        <v>27183</v>
      </c>
      <c r="D311" s="694" t="s">
        <v>149</v>
      </c>
      <c r="E311" s="563">
        <v>3</v>
      </c>
      <c r="F311" s="503">
        <v>1974</v>
      </c>
      <c r="G311" s="563" t="s">
        <v>108</v>
      </c>
      <c r="H311" s="503" t="s">
        <v>122</v>
      </c>
      <c r="I311" s="695">
        <v>30</v>
      </c>
      <c r="J311" s="695">
        <v>0.5</v>
      </c>
      <c r="K311" s="777">
        <f t="shared" si="53"/>
        <v>8.5227272727272721E-3</v>
      </c>
      <c r="L311" s="968">
        <v>0</v>
      </c>
      <c r="M311" s="503">
        <f t="shared" si="55"/>
        <v>18</v>
      </c>
      <c r="N311" s="504">
        <v>0.77083333333333337</v>
      </c>
      <c r="O311" s="719">
        <f t="shared" si="51"/>
        <v>0.77083333333333337</v>
      </c>
      <c r="P311" s="564"/>
      <c r="Q311" s="564">
        <f t="shared" si="52"/>
        <v>-0.77083333333333337</v>
      </c>
      <c r="R311" s="965" t="s">
        <v>1520</v>
      </c>
      <c r="S311" s="487"/>
      <c r="T311" s="29"/>
      <c r="U311" s="29" t="str">
        <f t="shared" si="45"/>
        <v>MooreF0</v>
      </c>
      <c r="V311" s="29" t="str">
        <f t="shared" si="46"/>
        <v>1974F0</v>
      </c>
      <c r="W311" s="80">
        <v>20</v>
      </c>
      <c r="X311" s="32">
        <v>0.5</v>
      </c>
      <c r="Y311" s="467">
        <v>5.0000000000000001E-3</v>
      </c>
      <c r="Z311" s="80"/>
      <c r="AA311" s="29" t="str">
        <f t="shared" si="47"/>
        <v>F020</v>
      </c>
      <c r="AB311" s="29" t="str">
        <f t="shared" si="48"/>
        <v>F00.5</v>
      </c>
      <c r="AC311" s="29" t="str">
        <f t="shared" si="49"/>
        <v>F00.005</v>
      </c>
      <c r="AD311" s="29" t="str">
        <f t="shared" si="50"/>
        <v>F018</v>
      </c>
      <c r="AE311" s="443"/>
      <c r="AF311" s="443"/>
      <c r="AG311" s="443"/>
      <c r="AH311" s="443"/>
    </row>
    <row r="312" spans="1:34" ht="16.5">
      <c r="A312" s="728">
        <f t="shared" si="54"/>
        <v>305</v>
      </c>
      <c r="B312" s="563">
        <v>8</v>
      </c>
      <c r="C312" s="694">
        <v>27187</v>
      </c>
      <c r="D312" s="694" t="s">
        <v>149</v>
      </c>
      <c r="E312" s="563">
        <v>7</v>
      </c>
      <c r="F312" s="503">
        <v>1974</v>
      </c>
      <c r="G312" s="563" t="s">
        <v>113</v>
      </c>
      <c r="H312" s="503" t="s">
        <v>123</v>
      </c>
      <c r="I312" s="695">
        <v>200</v>
      </c>
      <c r="J312" s="695">
        <v>4.7</v>
      </c>
      <c r="K312" s="777">
        <f t="shared" si="53"/>
        <v>0.53409090909090906</v>
      </c>
      <c r="L312" s="968">
        <v>0</v>
      </c>
      <c r="M312" s="503">
        <f t="shared" si="55"/>
        <v>18</v>
      </c>
      <c r="N312" s="504">
        <v>0.78472222222222221</v>
      </c>
      <c r="O312" s="719">
        <f t="shared" si="51"/>
        <v>0.78472222222222221</v>
      </c>
      <c r="P312" s="564"/>
      <c r="Q312" s="564">
        <f t="shared" si="52"/>
        <v>-0.78472222222222221</v>
      </c>
      <c r="R312" s="965" t="s">
        <v>1520</v>
      </c>
      <c r="S312" s="487"/>
      <c r="T312" s="29"/>
      <c r="U312" s="29" t="str">
        <f t="shared" si="45"/>
        <v>PotterF1</v>
      </c>
      <c r="V312" s="29" t="str">
        <f t="shared" si="46"/>
        <v>1974F1</v>
      </c>
      <c r="W312" s="80">
        <v>200</v>
      </c>
      <c r="X312" s="32">
        <v>2</v>
      </c>
      <c r="Y312" s="467">
        <v>0.5</v>
      </c>
      <c r="Z312" s="80"/>
      <c r="AA312" s="29" t="str">
        <f t="shared" si="47"/>
        <v>F1200</v>
      </c>
      <c r="AB312" s="29" t="str">
        <f t="shared" si="48"/>
        <v>F12</v>
      </c>
      <c r="AC312" s="29" t="str">
        <f t="shared" si="49"/>
        <v>F10.5</v>
      </c>
      <c r="AD312" s="29" t="str">
        <f t="shared" si="50"/>
        <v>F118</v>
      </c>
      <c r="AE312" s="443"/>
      <c r="AF312" s="443"/>
      <c r="AG312" s="443"/>
      <c r="AH312" s="443"/>
    </row>
    <row r="313" spans="1:34" ht="16.5">
      <c r="A313" s="728">
        <f t="shared" si="54"/>
        <v>306</v>
      </c>
      <c r="B313" s="563">
        <v>9</v>
      </c>
      <c r="C313" s="694">
        <v>27191</v>
      </c>
      <c r="D313" s="694" t="s">
        <v>149</v>
      </c>
      <c r="E313" s="563">
        <v>11</v>
      </c>
      <c r="F313" s="503">
        <v>1974</v>
      </c>
      <c r="G313" s="563" t="s">
        <v>120</v>
      </c>
      <c r="H313" s="503" t="s">
        <v>122</v>
      </c>
      <c r="I313" s="695">
        <v>17</v>
      </c>
      <c r="J313" s="695">
        <v>0.5</v>
      </c>
      <c r="K313" s="777">
        <f t="shared" si="53"/>
        <v>4.8295454545454544E-3</v>
      </c>
      <c r="L313" s="968">
        <v>0</v>
      </c>
      <c r="M313" s="503">
        <f t="shared" si="55"/>
        <v>14</v>
      </c>
      <c r="N313" s="504">
        <v>0.6069444444444444</v>
      </c>
      <c r="O313" s="719">
        <f t="shared" si="51"/>
        <v>0.6069444444444444</v>
      </c>
      <c r="P313" s="564"/>
      <c r="Q313" s="564">
        <f t="shared" si="52"/>
        <v>-0.6069444444444444</v>
      </c>
      <c r="R313" s="965" t="s">
        <v>1520</v>
      </c>
      <c r="S313" s="487"/>
      <c r="U313" s="29" t="str">
        <f t="shared" si="45"/>
        <v>DonleyF0</v>
      </c>
      <c r="V313" s="29" t="str">
        <f t="shared" si="46"/>
        <v>1974F0</v>
      </c>
      <c r="W313" s="80">
        <v>10</v>
      </c>
      <c r="X313" s="32">
        <v>0.5</v>
      </c>
      <c r="Y313" s="467">
        <v>2E-3</v>
      </c>
      <c r="Z313" s="80"/>
      <c r="AA313" s="29" t="str">
        <f t="shared" si="47"/>
        <v>F010</v>
      </c>
      <c r="AB313" s="29" t="str">
        <f t="shared" si="48"/>
        <v>F00.5</v>
      </c>
      <c r="AC313" s="29" t="str">
        <f t="shared" si="49"/>
        <v>F00.002</v>
      </c>
      <c r="AD313" s="29" t="str">
        <f t="shared" si="50"/>
        <v>F014</v>
      </c>
      <c r="AE313" s="443"/>
      <c r="AF313" s="443"/>
      <c r="AG313" s="443"/>
      <c r="AH313" s="443"/>
    </row>
    <row r="314" spans="1:34" ht="16.5">
      <c r="A314" s="728">
        <f t="shared" si="54"/>
        <v>307</v>
      </c>
      <c r="B314" s="563">
        <v>10</v>
      </c>
      <c r="C314" s="694">
        <v>27193</v>
      </c>
      <c r="D314" s="694" t="s">
        <v>149</v>
      </c>
      <c r="E314" s="563">
        <v>13</v>
      </c>
      <c r="F314" s="503">
        <v>1974</v>
      </c>
      <c r="G314" s="563" t="s">
        <v>112</v>
      </c>
      <c r="H314" s="503" t="s">
        <v>122</v>
      </c>
      <c r="I314" s="695">
        <v>10</v>
      </c>
      <c r="J314" s="695">
        <v>0.5</v>
      </c>
      <c r="K314" s="777">
        <f t="shared" si="53"/>
        <v>2.840909090909091E-3</v>
      </c>
      <c r="L314" s="968">
        <v>0</v>
      </c>
      <c r="M314" s="503">
        <f t="shared" si="55"/>
        <v>16</v>
      </c>
      <c r="N314" s="504">
        <v>0.66666666666666663</v>
      </c>
      <c r="O314" s="719">
        <f t="shared" si="51"/>
        <v>0.66666666666666663</v>
      </c>
      <c r="P314" s="564"/>
      <c r="Q314" s="564">
        <f t="shared" si="52"/>
        <v>-0.66666666666666663</v>
      </c>
      <c r="R314" s="965" t="s">
        <v>1520</v>
      </c>
      <c r="S314" s="487"/>
      <c r="U314" s="29" t="str">
        <f t="shared" si="45"/>
        <v>OldhamF0</v>
      </c>
      <c r="V314" s="29" t="str">
        <f t="shared" si="46"/>
        <v>1974F0</v>
      </c>
      <c r="W314" s="80">
        <v>10</v>
      </c>
      <c r="X314" s="32">
        <v>0.5</v>
      </c>
      <c r="Y314" s="467">
        <v>2E-3</v>
      </c>
      <c r="Z314" s="80"/>
      <c r="AA314" s="29" t="str">
        <f t="shared" si="47"/>
        <v>F010</v>
      </c>
      <c r="AB314" s="29" t="str">
        <f t="shared" si="48"/>
        <v>F00.5</v>
      </c>
      <c r="AC314" s="29" t="str">
        <f t="shared" si="49"/>
        <v>F00.002</v>
      </c>
      <c r="AD314" s="29" t="str">
        <f t="shared" si="50"/>
        <v>F016</v>
      </c>
      <c r="AE314" s="443"/>
      <c r="AF314" s="443"/>
      <c r="AG314" s="443"/>
      <c r="AH314" s="443"/>
    </row>
    <row r="315" spans="1:34" ht="16.5">
      <c r="A315" s="728">
        <f t="shared" si="54"/>
        <v>308</v>
      </c>
      <c r="B315" s="563">
        <v>11</v>
      </c>
      <c r="C315" s="694">
        <v>27201</v>
      </c>
      <c r="D315" s="694" t="s">
        <v>149</v>
      </c>
      <c r="E315" s="563">
        <v>21</v>
      </c>
      <c r="F315" s="503">
        <v>1974</v>
      </c>
      <c r="G315" s="563" t="s">
        <v>103</v>
      </c>
      <c r="H315" s="503" t="s">
        <v>122</v>
      </c>
      <c r="I315" s="695">
        <v>20</v>
      </c>
      <c r="J315" s="695">
        <v>0.5</v>
      </c>
      <c r="K315" s="777">
        <f t="shared" si="53"/>
        <v>5.681818181818182E-3</v>
      </c>
      <c r="L315" s="968">
        <v>0</v>
      </c>
      <c r="M315" s="503">
        <f t="shared" si="55"/>
        <v>17</v>
      </c>
      <c r="N315" s="504">
        <v>0.74097222222222225</v>
      </c>
      <c r="O315" s="719">
        <f t="shared" si="51"/>
        <v>0.74097222222222225</v>
      </c>
      <c r="P315" s="564"/>
      <c r="Q315" s="564">
        <f t="shared" si="52"/>
        <v>-0.74097222222222225</v>
      </c>
      <c r="R315" s="965" t="s">
        <v>1520</v>
      </c>
      <c r="S315" s="487"/>
      <c r="U315" s="29" t="str">
        <f t="shared" si="45"/>
        <v>ShermanF0</v>
      </c>
      <c r="V315" s="29" t="str">
        <f t="shared" si="46"/>
        <v>1974F0</v>
      </c>
      <c r="W315" s="80">
        <v>20</v>
      </c>
      <c r="X315" s="32">
        <v>0.5</v>
      </c>
      <c r="Y315" s="467">
        <v>5.0000000000000001E-3</v>
      </c>
      <c r="Z315" s="80"/>
      <c r="AA315" s="29" t="str">
        <f t="shared" si="47"/>
        <v>F020</v>
      </c>
      <c r="AB315" s="29" t="str">
        <f t="shared" si="48"/>
        <v>F00.5</v>
      </c>
      <c r="AC315" s="29" t="str">
        <f t="shared" si="49"/>
        <v>F00.005</v>
      </c>
      <c r="AD315" s="29" t="str">
        <f t="shared" si="50"/>
        <v>F017</v>
      </c>
      <c r="AE315" s="443"/>
      <c r="AF315" s="443"/>
      <c r="AG315" s="443"/>
      <c r="AH315" s="443"/>
    </row>
    <row r="316" spans="1:34" ht="16.5">
      <c r="A316" s="728">
        <f t="shared" si="54"/>
        <v>309</v>
      </c>
      <c r="B316" s="563">
        <v>12</v>
      </c>
      <c r="C316" s="694">
        <v>27248</v>
      </c>
      <c r="D316" s="694" t="s">
        <v>151</v>
      </c>
      <c r="E316" s="563">
        <v>7</v>
      </c>
      <c r="F316" s="503">
        <v>1974</v>
      </c>
      <c r="G316" s="563" t="s">
        <v>119</v>
      </c>
      <c r="H316" s="503" t="s">
        <v>122</v>
      </c>
      <c r="I316" s="695">
        <v>20</v>
      </c>
      <c r="J316" s="695">
        <v>0.5</v>
      </c>
      <c r="K316" s="777">
        <f t="shared" si="53"/>
        <v>5.681818181818182E-3</v>
      </c>
      <c r="L316" s="968">
        <v>0</v>
      </c>
      <c r="M316" s="503">
        <f t="shared" si="55"/>
        <v>18</v>
      </c>
      <c r="N316" s="504">
        <v>0.78125</v>
      </c>
      <c r="O316" s="719">
        <f t="shared" si="51"/>
        <v>0.78125</v>
      </c>
      <c r="P316" s="564"/>
      <c r="Q316" s="564">
        <f t="shared" si="52"/>
        <v>-0.78125</v>
      </c>
      <c r="R316" s="965" t="s">
        <v>1520</v>
      </c>
      <c r="S316" s="487"/>
      <c r="U316" s="29" t="str">
        <f t="shared" si="45"/>
        <v>ArmstrongF0</v>
      </c>
      <c r="V316" s="29" t="str">
        <f t="shared" si="46"/>
        <v>1974F0</v>
      </c>
      <c r="W316" s="80">
        <v>20</v>
      </c>
      <c r="X316" s="32">
        <v>0.5</v>
      </c>
      <c r="Y316" s="467">
        <v>5.0000000000000001E-3</v>
      </c>
      <c r="Z316" s="80"/>
      <c r="AA316" s="29" t="str">
        <f t="shared" si="47"/>
        <v>F020</v>
      </c>
      <c r="AB316" s="29" t="str">
        <f t="shared" si="48"/>
        <v>F00.5</v>
      </c>
      <c r="AC316" s="29" t="str">
        <f t="shared" si="49"/>
        <v>F00.005</v>
      </c>
      <c r="AD316" s="29" t="str">
        <f t="shared" si="50"/>
        <v>F018</v>
      </c>
      <c r="AE316" s="443"/>
      <c r="AF316" s="443"/>
      <c r="AG316" s="443"/>
      <c r="AH316" s="443"/>
    </row>
    <row r="317" spans="1:34" ht="16.5">
      <c r="A317" s="728">
        <f t="shared" si="54"/>
        <v>310</v>
      </c>
      <c r="B317" s="563">
        <v>13</v>
      </c>
      <c r="C317" s="694">
        <v>27248</v>
      </c>
      <c r="D317" s="694" t="s">
        <v>151</v>
      </c>
      <c r="E317" s="563">
        <v>7</v>
      </c>
      <c r="F317" s="503">
        <v>1974</v>
      </c>
      <c r="G317" s="563" t="s">
        <v>114</v>
      </c>
      <c r="H317" s="503" t="s">
        <v>122</v>
      </c>
      <c r="I317" s="695">
        <v>17</v>
      </c>
      <c r="J317" s="695">
        <v>0.3</v>
      </c>
      <c r="K317" s="777">
        <f t="shared" si="53"/>
        <v>2.8977272727272727E-3</v>
      </c>
      <c r="L317" s="968">
        <v>0</v>
      </c>
      <c r="M317" s="503">
        <f t="shared" si="55"/>
        <v>21</v>
      </c>
      <c r="N317" s="504">
        <v>0.88888888888888884</v>
      </c>
      <c r="O317" s="719">
        <f t="shared" si="51"/>
        <v>0.88888888888888884</v>
      </c>
      <c r="P317" s="564"/>
      <c r="Q317" s="564">
        <f t="shared" si="52"/>
        <v>-0.88888888888888884</v>
      </c>
      <c r="R317" s="965" t="s">
        <v>1520</v>
      </c>
      <c r="S317" s="487"/>
      <c r="U317" s="29" t="str">
        <f t="shared" si="45"/>
        <v>CarsonF0</v>
      </c>
      <c r="V317" s="29" t="str">
        <f t="shared" si="46"/>
        <v>1974F0</v>
      </c>
      <c r="W317" s="80">
        <v>10</v>
      </c>
      <c r="X317" s="32">
        <v>0.2</v>
      </c>
      <c r="Y317" s="467">
        <v>2E-3</v>
      </c>
      <c r="Z317" s="80"/>
      <c r="AA317" s="29" t="str">
        <f t="shared" si="47"/>
        <v>F010</v>
      </c>
      <c r="AB317" s="29" t="str">
        <f t="shared" si="48"/>
        <v>F00.2</v>
      </c>
      <c r="AC317" s="29" t="str">
        <f t="shared" si="49"/>
        <v>F00.002</v>
      </c>
      <c r="AD317" s="29" t="str">
        <f t="shared" si="50"/>
        <v>F021</v>
      </c>
      <c r="AE317" s="443"/>
      <c r="AF317" s="443"/>
      <c r="AG317" s="443"/>
      <c r="AH317" s="443"/>
    </row>
    <row r="318" spans="1:34" ht="16.5">
      <c r="A318" s="728">
        <f t="shared" si="54"/>
        <v>311</v>
      </c>
      <c r="B318" s="563">
        <v>1</v>
      </c>
      <c r="C318" s="694">
        <v>27479</v>
      </c>
      <c r="D318" s="694" t="s">
        <v>146</v>
      </c>
      <c r="E318" s="563">
        <v>26</v>
      </c>
      <c r="F318" s="503">
        <v>1975</v>
      </c>
      <c r="G318" s="563" t="s">
        <v>115</v>
      </c>
      <c r="H318" s="503" t="s">
        <v>125</v>
      </c>
      <c r="I318" s="695">
        <v>220</v>
      </c>
      <c r="J318" s="695">
        <v>1</v>
      </c>
      <c r="K318" s="777">
        <f t="shared" si="53"/>
        <v>0.125</v>
      </c>
      <c r="L318" s="968">
        <v>0</v>
      </c>
      <c r="M318" s="503">
        <f t="shared" si="55"/>
        <v>23</v>
      </c>
      <c r="N318" s="504">
        <v>0.99305555555555547</v>
      </c>
      <c r="O318" s="719">
        <f t="shared" si="51"/>
        <v>0.99305555555555547</v>
      </c>
      <c r="P318" s="564"/>
      <c r="Q318" s="564">
        <f t="shared" si="52"/>
        <v>-0.99305555555555547</v>
      </c>
      <c r="R318" s="965" t="s">
        <v>1540</v>
      </c>
      <c r="S318" s="487"/>
      <c r="T318" s="29"/>
      <c r="U318" s="29" t="str">
        <f t="shared" si="45"/>
        <v>GrayF3</v>
      </c>
      <c r="V318" s="29" t="str">
        <f t="shared" si="46"/>
        <v>1975F3</v>
      </c>
      <c r="W318" s="80">
        <v>200</v>
      </c>
      <c r="X318" s="32">
        <v>1</v>
      </c>
      <c r="Y318" s="467">
        <v>0.1</v>
      </c>
      <c r="Z318" s="80"/>
      <c r="AA318" s="29" t="str">
        <f t="shared" si="47"/>
        <v>F3200</v>
      </c>
      <c r="AB318" s="29" t="str">
        <f t="shared" si="48"/>
        <v>F31</v>
      </c>
      <c r="AC318" s="29" t="str">
        <f t="shared" si="49"/>
        <v>F30.1</v>
      </c>
      <c r="AD318" s="29" t="str">
        <f t="shared" si="50"/>
        <v>F323</v>
      </c>
      <c r="AE318" s="443"/>
      <c r="AF318" s="443"/>
      <c r="AG318" s="443"/>
      <c r="AH318" s="443"/>
    </row>
    <row r="319" spans="1:34" ht="16.5">
      <c r="A319" s="728">
        <f t="shared" si="54"/>
        <v>312</v>
      </c>
      <c r="B319" s="563">
        <v>2</v>
      </c>
      <c r="C319" s="694">
        <v>27480</v>
      </c>
      <c r="D319" s="694" t="s">
        <v>146</v>
      </c>
      <c r="E319" s="563">
        <v>27</v>
      </c>
      <c r="F319" s="503">
        <v>1975</v>
      </c>
      <c r="G319" s="563" t="s">
        <v>115</v>
      </c>
      <c r="H319" s="503" t="s">
        <v>123</v>
      </c>
      <c r="I319" s="695">
        <v>17</v>
      </c>
      <c r="J319" s="695">
        <v>0.3</v>
      </c>
      <c r="K319" s="777">
        <f t="shared" si="53"/>
        <v>2.8977272727272727E-3</v>
      </c>
      <c r="L319" s="968">
        <v>25000</v>
      </c>
      <c r="M319" s="503">
        <f t="shared" si="55"/>
        <v>0</v>
      </c>
      <c r="N319" s="504">
        <v>6.9444444444444447E-4</v>
      </c>
      <c r="O319" s="719">
        <f t="shared" si="51"/>
        <v>6.9444444444444447E-4</v>
      </c>
      <c r="P319" s="564"/>
      <c r="Q319" s="564">
        <f t="shared" si="52"/>
        <v>-6.9444444444444447E-4</v>
      </c>
      <c r="R319" s="965" t="s">
        <v>1520</v>
      </c>
      <c r="S319" s="487"/>
      <c r="T319" s="29"/>
      <c r="U319" s="29" t="str">
        <f t="shared" si="45"/>
        <v>GrayF1</v>
      </c>
      <c r="V319" s="29" t="str">
        <f t="shared" si="46"/>
        <v>1975F1</v>
      </c>
      <c r="W319" s="80">
        <v>10</v>
      </c>
      <c r="X319" s="32">
        <v>0.2</v>
      </c>
      <c r="Y319" s="467">
        <v>2E-3</v>
      </c>
      <c r="Z319" s="80"/>
      <c r="AA319" s="29" t="str">
        <f t="shared" si="47"/>
        <v>F110</v>
      </c>
      <c r="AB319" s="29" t="str">
        <f t="shared" si="48"/>
        <v>F10.2</v>
      </c>
      <c r="AC319" s="29" t="str">
        <f t="shared" si="49"/>
        <v>F10.002</v>
      </c>
      <c r="AD319" s="29" t="str">
        <f t="shared" si="50"/>
        <v>F10</v>
      </c>
      <c r="AE319" s="443"/>
      <c r="AF319" s="443"/>
      <c r="AG319" s="443"/>
      <c r="AH319" s="443"/>
    </row>
    <row r="320" spans="1:34" ht="16.5">
      <c r="A320" s="728">
        <f t="shared" si="54"/>
        <v>313</v>
      </c>
      <c r="B320" s="563">
        <v>3</v>
      </c>
      <c r="C320" s="694">
        <v>27480</v>
      </c>
      <c r="D320" s="694" t="s">
        <v>146</v>
      </c>
      <c r="E320" s="563">
        <v>27</v>
      </c>
      <c r="F320" s="503">
        <v>1975</v>
      </c>
      <c r="G320" s="563" t="s">
        <v>106</v>
      </c>
      <c r="H320" s="503" t="s">
        <v>123</v>
      </c>
      <c r="I320" s="695">
        <v>20</v>
      </c>
      <c r="J320" s="695">
        <v>0.1</v>
      </c>
      <c r="K320" s="777">
        <f t="shared" si="53"/>
        <v>1.1363636363636365E-3</v>
      </c>
      <c r="L320" s="968">
        <v>0</v>
      </c>
      <c r="M320" s="503">
        <f t="shared" si="55"/>
        <v>1</v>
      </c>
      <c r="N320" s="504">
        <v>4.1666666666666664E-2</v>
      </c>
      <c r="O320" s="719">
        <f t="shared" si="51"/>
        <v>4.1666666666666664E-2</v>
      </c>
      <c r="P320" s="564"/>
      <c r="Q320" s="564">
        <f t="shared" si="52"/>
        <v>-4.1666666666666664E-2</v>
      </c>
      <c r="R320" s="965" t="s">
        <v>1520</v>
      </c>
      <c r="S320" s="487"/>
      <c r="T320" s="29"/>
      <c r="U320" s="29" t="str">
        <f t="shared" si="45"/>
        <v>LipscombF1</v>
      </c>
      <c r="V320" s="29" t="str">
        <f t="shared" si="46"/>
        <v>1975F1</v>
      </c>
      <c r="W320" s="80">
        <v>20</v>
      </c>
      <c r="X320" s="32">
        <v>0.1</v>
      </c>
      <c r="Y320" s="467">
        <v>1E-3</v>
      </c>
      <c r="Z320" s="80"/>
      <c r="AA320" s="29" t="str">
        <f t="shared" si="47"/>
        <v>F120</v>
      </c>
      <c r="AB320" s="29" t="str">
        <f t="shared" si="48"/>
        <v>F10.1</v>
      </c>
      <c r="AC320" s="29" t="str">
        <f t="shared" si="49"/>
        <v>F10.001</v>
      </c>
      <c r="AD320" s="29" t="str">
        <f t="shared" si="50"/>
        <v>F11</v>
      </c>
      <c r="AE320" s="443"/>
      <c r="AF320" s="443"/>
      <c r="AG320" s="443"/>
      <c r="AH320" s="443"/>
    </row>
    <row r="321" spans="1:34" ht="16.5">
      <c r="A321" s="728">
        <f t="shared" si="54"/>
        <v>314</v>
      </c>
      <c r="B321" s="563">
        <v>4</v>
      </c>
      <c r="C321" s="694">
        <v>27524</v>
      </c>
      <c r="D321" s="694" t="s">
        <v>148</v>
      </c>
      <c r="E321" s="563">
        <v>10</v>
      </c>
      <c r="F321" s="503">
        <v>1975</v>
      </c>
      <c r="G321" s="563" t="s">
        <v>112</v>
      </c>
      <c r="H321" s="503" t="s">
        <v>122</v>
      </c>
      <c r="I321" s="695">
        <v>30</v>
      </c>
      <c r="J321" s="695">
        <v>1</v>
      </c>
      <c r="K321" s="777">
        <f t="shared" si="53"/>
        <v>1.7045454545454544E-2</v>
      </c>
      <c r="L321" s="968">
        <v>0</v>
      </c>
      <c r="M321" s="503">
        <f t="shared" si="55"/>
        <v>19</v>
      </c>
      <c r="N321" s="504">
        <v>0.80555555555555547</v>
      </c>
      <c r="O321" s="719">
        <f t="shared" si="51"/>
        <v>0.80555555555555547</v>
      </c>
      <c r="P321" s="564"/>
      <c r="Q321" s="564">
        <f t="shared" si="52"/>
        <v>-0.80555555555555547</v>
      </c>
      <c r="R321" s="965" t="s">
        <v>1520</v>
      </c>
      <c r="S321" s="487"/>
      <c r="T321" s="29"/>
      <c r="U321" s="29" t="str">
        <f t="shared" si="45"/>
        <v>OldhamF0</v>
      </c>
      <c r="V321" s="29" t="str">
        <f t="shared" si="46"/>
        <v>1975F0</v>
      </c>
      <c r="W321" s="80">
        <v>20</v>
      </c>
      <c r="X321" s="32">
        <v>1</v>
      </c>
      <c r="Y321" s="467">
        <v>0.01</v>
      </c>
      <c r="Z321" s="80"/>
      <c r="AA321" s="29" t="str">
        <f t="shared" si="47"/>
        <v>F020</v>
      </c>
      <c r="AB321" s="29" t="str">
        <f t="shared" si="48"/>
        <v>F01</v>
      </c>
      <c r="AC321" s="29" t="str">
        <f t="shared" si="49"/>
        <v>F00.01</v>
      </c>
      <c r="AD321" s="29" t="str">
        <f t="shared" si="50"/>
        <v>F019</v>
      </c>
      <c r="AE321" s="443"/>
      <c r="AF321" s="443"/>
      <c r="AG321" s="443"/>
      <c r="AH321" s="443"/>
    </row>
    <row r="322" spans="1:34" ht="16.5">
      <c r="A322" s="728">
        <f t="shared" si="54"/>
        <v>315</v>
      </c>
      <c r="B322" s="563">
        <v>5</v>
      </c>
      <c r="C322" s="694">
        <v>27526</v>
      </c>
      <c r="D322" s="694" t="s">
        <v>148</v>
      </c>
      <c r="E322" s="563">
        <v>12</v>
      </c>
      <c r="F322" s="503">
        <v>1975</v>
      </c>
      <c r="G322" s="563" t="s">
        <v>107</v>
      </c>
      <c r="H322" s="503" t="s">
        <v>122</v>
      </c>
      <c r="I322" s="695">
        <v>60</v>
      </c>
      <c r="J322" s="695">
        <v>3.6</v>
      </c>
      <c r="K322" s="777">
        <f t="shared" si="53"/>
        <v>0.12272727272727273</v>
      </c>
      <c r="L322" s="968">
        <v>3000</v>
      </c>
      <c r="M322" s="503">
        <f t="shared" si="55"/>
        <v>17</v>
      </c>
      <c r="N322" s="504">
        <v>0.72222222222222221</v>
      </c>
      <c r="O322" s="719">
        <f t="shared" si="51"/>
        <v>0.72222222222222221</v>
      </c>
      <c r="P322" s="564"/>
      <c r="Q322" s="564">
        <f t="shared" si="52"/>
        <v>-0.72222222222222221</v>
      </c>
      <c r="R322" s="965" t="s">
        <v>1520</v>
      </c>
      <c r="S322" s="487"/>
      <c r="T322" s="29"/>
      <c r="U322" s="29" t="str">
        <f t="shared" si="45"/>
        <v>HartleyF0</v>
      </c>
      <c r="V322" s="29" t="str">
        <f t="shared" si="46"/>
        <v>1975F0</v>
      </c>
      <c r="W322" s="80">
        <v>50</v>
      </c>
      <c r="X322" s="32">
        <v>2</v>
      </c>
      <c r="Y322" s="467">
        <v>0.1</v>
      </c>
      <c r="Z322" s="80"/>
      <c r="AA322" s="29" t="str">
        <f t="shared" si="47"/>
        <v>F050</v>
      </c>
      <c r="AB322" s="29" t="str">
        <f t="shared" si="48"/>
        <v>F02</v>
      </c>
      <c r="AC322" s="29" t="str">
        <f t="shared" si="49"/>
        <v>F00.1</v>
      </c>
      <c r="AD322" s="29" t="str">
        <f t="shared" si="50"/>
        <v>F017</v>
      </c>
      <c r="AE322" s="443"/>
      <c r="AF322" s="443"/>
      <c r="AG322" s="443"/>
      <c r="AH322" s="443"/>
    </row>
    <row r="323" spans="1:34" ht="16.5">
      <c r="A323" s="728">
        <f t="shared" si="54"/>
        <v>316</v>
      </c>
      <c r="B323" s="563">
        <v>6</v>
      </c>
      <c r="C323" s="694">
        <v>27526</v>
      </c>
      <c r="D323" s="694" t="s">
        <v>148</v>
      </c>
      <c r="E323" s="563">
        <v>12</v>
      </c>
      <c r="F323" s="503">
        <v>1975</v>
      </c>
      <c r="G323" s="563" t="s">
        <v>114</v>
      </c>
      <c r="H323" s="503" t="s">
        <v>122</v>
      </c>
      <c r="I323" s="695">
        <v>30</v>
      </c>
      <c r="J323" s="695">
        <v>1</v>
      </c>
      <c r="K323" s="777">
        <f t="shared" si="53"/>
        <v>1.7045454545454544E-2</v>
      </c>
      <c r="L323" s="968">
        <v>0</v>
      </c>
      <c r="M323" s="503">
        <f t="shared" si="55"/>
        <v>23</v>
      </c>
      <c r="N323" s="504">
        <v>0.97916666666666663</v>
      </c>
      <c r="O323" s="719">
        <f t="shared" si="51"/>
        <v>0.97916666666666663</v>
      </c>
      <c r="P323" s="564"/>
      <c r="Q323" s="564">
        <f t="shared" si="52"/>
        <v>-0.97916666666666663</v>
      </c>
      <c r="R323" s="965" t="s">
        <v>1520</v>
      </c>
      <c r="S323" s="487"/>
      <c r="T323" s="29"/>
      <c r="U323" s="29" t="str">
        <f t="shared" si="45"/>
        <v>CarsonF0</v>
      </c>
      <c r="V323" s="29" t="str">
        <f t="shared" si="46"/>
        <v>1975F0</v>
      </c>
      <c r="W323" s="80">
        <v>20</v>
      </c>
      <c r="X323" s="32">
        <v>1</v>
      </c>
      <c r="Y323" s="467">
        <v>0.01</v>
      </c>
      <c r="Z323" s="80"/>
      <c r="AA323" s="29" t="str">
        <f t="shared" si="47"/>
        <v>F020</v>
      </c>
      <c r="AB323" s="29" t="str">
        <f t="shared" si="48"/>
        <v>F01</v>
      </c>
      <c r="AC323" s="29" t="str">
        <f t="shared" si="49"/>
        <v>F00.01</v>
      </c>
      <c r="AD323" s="29" t="str">
        <f t="shared" si="50"/>
        <v>F023</v>
      </c>
      <c r="AE323" s="443"/>
      <c r="AF323" s="443"/>
      <c r="AG323" s="443"/>
      <c r="AH323" s="443"/>
    </row>
    <row r="324" spans="1:34" ht="16.5">
      <c r="A324" s="728">
        <f t="shared" si="54"/>
        <v>317</v>
      </c>
      <c r="B324" s="563">
        <v>7</v>
      </c>
      <c r="C324" s="694">
        <v>27526</v>
      </c>
      <c r="D324" s="694" t="s">
        <v>148</v>
      </c>
      <c r="E324" s="563">
        <v>12</v>
      </c>
      <c r="F324" s="503">
        <v>1975</v>
      </c>
      <c r="G324" s="563" t="s">
        <v>115</v>
      </c>
      <c r="H324" s="503" t="s">
        <v>122</v>
      </c>
      <c r="I324" s="695">
        <v>30</v>
      </c>
      <c r="J324" s="695">
        <v>0.5</v>
      </c>
      <c r="K324" s="777">
        <f t="shared" si="53"/>
        <v>8.5227272727272721E-3</v>
      </c>
      <c r="L324" s="968">
        <v>0</v>
      </c>
      <c r="M324" s="503">
        <f t="shared" si="55"/>
        <v>23</v>
      </c>
      <c r="N324" s="504">
        <v>0.99791666666666667</v>
      </c>
      <c r="O324" s="719">
        <f t="shared" si="51"/>
        <v>0.99791666666666667</v>
      </c>
      <c r="P324" s="564"/>
      <c r="Q324" s="564">
        <f t="shared" si="52"/>
        <v>-0.99791666666666667</v>
      </c>
      <c r="R324" s="965" t="s">
        <v>1520</v>
      </c>
      <c r="S324" s="487"/>
      <c r="T324" s="29"/>
      <c r="U324" s="29" t="str">
        <f t="shared" si="45"/>
        <v>GrayF0</v>
      </c>
      <c r="V324" s="29" t="str">
        <f t="shared" si="46"/>
        <v>1975F0</v>
      </c>
      <c r="W324" s="80">
        <v>20</v>
      </c>
      <c r="X324" s="32">
        <v>0.5</v>
      </c>
      <c r="Y324" s="467">
        <v>5.0000000000000001E-3</v>
      </c>
      <c r="Z324" s="80"/>
      <c r="AA324" s="29" t="str">
        <f t="shared" si="47"/>
        <v>F020</v>
      </c>
      <c r="AB324" s="29" t="str">
        <f t="shared" si="48"/>
        <v>F00.5</v>
      </c>
      <c r="AC324" s="29" t="str">
        <f t="shared" si="49"/>
        <v>F00.005</v>
      </c>
      <c r="AD324" s="29" t="str">
        <f t="shared" si="50"/>
        <v>F023</v>
      </c>
      <c r="AE324" s="443"/>
      <c r="AF324" s="443"/>
      <c r="AG324" s="443"/>
      <c r="AH324" s="443"/>
    </row>
    <row r="325" spans="1:34" ht="16.5">
      <c r="A325" s="728">
        <f t="shared" si="54"/>
        <v>318</v>
      </c>
      <c r="B325" s="563">
        <v>8</v>
      </c>
      <c r="C325" s="694">
        <v>27536</v>
      </c>
      <c r="D325" s="694" t="s">
        <v>148</v>
      </c>
      <c r="E325" s="563">
        <v>22</v>
      </c>
      <c r="F325" s="503">
        <v>1975</v>
      </c>
      <c r="G325" s="563" t="s">
        <v>109</v>
      </c>
      <c r="H325" s="503" t="s">
        <v>122</v>
      </c>
      <c r="I325" s="695">
        <v>40</v>
      </c>
      <c r="J325" s="695">
        <v>2</v>
      </c>
      <c r="K325" s="777">
        <f t="shared" si="53"/>
        <v>4.5454545454545456E-2</v>
      </c>
      <c r="L325" s="968">
        <v>0</v>
      </c>
      <c r="M325" s="503">
        <f t="shared" si="55"/>
        <v>19</v>
      </c>
      <c r="N325" s="504">
        <v>0.82291666666666663</v>
      </c>
      <c r="O325" s="719">
        <f t="shared" si="51"/>
        <v>0.82291666666666663</v>
      </c>
      <c r="P325" s="564"/>
      <c r="Q325" s="564">
        <f t="shared" si="52"/>
        <v>-0.82291666666666663</v>
      </c>
      <c r="R325" s="965" t="s">
        <v>1520</v>
      </c>
      <c r="S325" s="487"/>
      <c r="T325" s="29"/>
      <c r="U325" s="29" t="str">
        <f t="shared" si="45"/>
        <v>HutchinsonF0</v>
      </c>
      <c r="V325" s="29" t="str">
        <f t="shared" si="46"/>
        <v>1975F0</v>
      </c>
      <c r="W325" s="80">
        <v>20</v>
      </c>
      <c r="X325" s="32">
        <v>2</v>
      </c>
      <c r="Y325" s="467">
        <v>0.02</v>
      </c>
      <c r="Z325" s="80"/>
      <c r="AA325" s="29" t="str">
        <f t="shared" si="47"/>
        <v>F020</v>
      </c>
      <c r="AB325" s="29" t="str">
        <f t="shared" si="48"/>
        <v>F02</v>
      </c>
      <c r="AC325" s="29" t="str">
        <f t="shared" si="49"/>
        <v>F00.02</v>
      </c>
      <c r="AD325" s="29" t="str">
        <f t="shared" si="50"/>
        <v>F019</v>
      </c>
      <c r="AE325" s="443"/>
      <c r="AF325" s="443"/>
      <c r="AG325" s="443"/>
      <c r="AH325" s="443"/>
    </row>
    <row r="326" spans="1:34" ht="16.5">
      <c r="A326" s="728">
        <f t="shared" si="54"/>
        <v>319</v>
      </c>
      <c r="B326" s="563">
        <v>9</v>
      </c>
      <c r="C326" s="694">
        <v>27542</v>
      </c>
      <c r="D326" s="694" t="s">
        <v>148</v>
      </c>
      <c r="E326" s="563">
        <v>28</v>
      </c>
      <c r="F326" s="503">
        <v>1975</v>
      </c>
      <c r="G326" s="563" t="s">
        <v>119</v>
      </c>
      <c r="H326" s="503" t="s">
        <v>122</v>
      </c>
      <c r="I326" s="695">
        <v>50</v>
      </c>
      <c r="J326" s="695">
        <v>3</v>
      </c>
      <c r="K326" s="777">
        <f t="shared" si="53"/>
        <v>8.5227272727272721E-2</v>
      </c>
      <c r="L326" s="968">
        <v>3000</v>
      </c>
      <c r="M326" s="503">
        <f t="shared" si="55"/>
        <v>17</v>
      </c>
      <c r="N326" s="504">
        <v>0.73472222222222217</v>
      </c>
      <c r="O326" s="719">
        <f t="shared" si="51"/>
        <v>0.73472222222222217</v>
      </c>
      <c r="P326" s="564"/>
      <c r="Q326" s="564">
        <f t="shared" si="52"/>
        <v>-0.73472222222222217</v>
      </c>
      <c r="R326" s="965" t="s">
        <v>1520</v>
      </c>
      <c r="S326" s="487"/>
      <c r="T326" s="29"/>
      <c r="U326" s="29" t="str">
        <f t="shared" si="45"/>
        <v>ArmstrongF0</v>
      </c>
      <c r="V326" s="29" t="str">
        <f t="shared" si="46"/>
        <v>1975F0</v>
      </c>
      <c r="W326" s="80">
        <v>50</v>
      </c>
      <c r="X326" s="32">
        <v>2</v>
      </c>
      <c r="Y326" s="467">
        <v>0.05</v>
      </c>
      <c r="Z326" s="80"/>
      <c r="AA326" s="29" t="str">
        <f t="shared" si="47"/>
        <v>F050</v>
      </c>
      <c r="AB326" s="29" t="str">
        <f t="shared" si="48"/>
        <v>F02</v>
      </c>
      <c r="AC326" s="29" t="str">
        <f t="shared" si="49"/>
        <v>F00.05</v>
      </c>
      <c r="AD326" s="29" t="str">
        <f t="shared" si="50"/>
        <v>F017</v>
      </c>
      <c r="AE326" s="443"/>
      <c r="AF326" s="443"/>
      <c r="AG326" s="443"/>
      <c r="AH326" s="443"/>
    </row>
    <row r="327" spans="1:34" ht="16.5">
      <c r="A327" s="728">
        <f t="shared" si="54"/>
        <v>320</v>
      </c>
      <c r="B327" s="563">
        <v>10</v>
      </c>
      <c r="C327" s="694">
        <v>27542</v>
      </c>
      <c r="D327" s="694" t="s">
        <v>148</v>
      </c>
      <c r="E327" s="563">
        <v>28</v>
      </c>
      <c r="F327" s="503">
        <v>1975</v>
      </c>
      <c r="G327" s="563" t="s">
        <v>104</v>
      </c>
      <c r="H327" s="503" t="s">
        <v>122</v>
      </c>
      <c r="I327" s="695">
        <v>30</v>
      </c>
      <c r="J327" s="695">
        <v>0.5</v>
      </c>
      <c r="K327" s="777">
        <f t="shared" si="53"/>
        <v>8.5227272727272721E-3</v>
      </c>
      <c r="L327" s="968">
        <v>0</v>
      </c>
      <c r="M327" s="503">
        <f t="shared" si="55"/>
        <v>18</v>
      </c>
      <c r="N327" s="504">
        <v>0.79027777777777775</v>
      </c>
      <c r="O327" s="719">
        <f t="shared" ref="O327:O390" si="56">+N327</f>
        <v>0.79027777777777775</v>
      </c>
      <c r="P327" s="564"/>
      <c r="Q327" s="564">
        <f t="shared" si="52"/>
        <v>-0.79027777777777775</v>
      </c>
      <c r="R327" s="965" t="s">
        <v>1520</v>
      </c>
      <c r="S327" s="487"/>
      <c r="T327" s="29"/>
      <c r="U327" s="29" t="str">
        <f t="shared" ref="U327:U390" si="57">CONCATENATE(G327,H327)</f>
        <v>HansfordF0</v>
      </c>
      <c r="V327" s="29" t="str">
        <f t="shared" ref="V327:V390" si="58">CONCATENATE(F327,H327)</f>
        <v>1975F0</v>
      </c>
      <c r="W327" s="80">
        <v>20</v>
      </c>
      <c r="X327" s="32">
        <v>0.5</v>
      </c>
      <c r="Y327" s="467">
        <v>5.0000000000000001E-3</v>
      </c>
      <c r="Z327" s="80"/>
      <c r="AA327" s="29" t="str">
        <f t="shared" ref="AA327:AA390" si="59">CONCATENATE(H327,W327)</f>
        <v>F020</v>
      </c>
      <c r="AB327" s="29" t="str">
        <f t="shared" ref="AB327:AB390" si="60">CONCATENATE(H327,X327)</f>
        <v>F00.5</v>
      </c>
      <c r="AC327" s="29" t="str">
        <f t="shared" ref="AC327:AC390" si="61">CONCATENATE(H327,Y327)</f>
        <v>F00.005</v>
      </c>
      <c r="AD327" s="29" t="str">
        <f t="shared" ref="AD327:AD390" si="62">CONCATENATE(H327,M327)</f>
        <v>F018</v>
      </c>
      <c r="AE327" s="443"/>
      <c r="AF327" s="443"/>
      <c r="AG327" s="443"/>
      <c r="AH327" s="443"/>
    </row>
    <row r="328" spans="1:34" ht="16.5">
      <c r="A328" s="728">
        <f t="shared" si="54"/>
        <v>321</v>
      </c>
      <c r="B328" s="563">
        <v>11</v>
      </c>
      <c r="C328" s="694">
        <v>27542</v>
      </c>
      <c r="D328" s="694" t="s">
        <v>148</v>
      </c>
      <c r="E328" s="563">
        <v>28</v>
      </c>
      <c r="F328" s="503">
        <v>1975</v>
      </c>
      <c r="G328" s="563" t="s">
        <v>109</v>
      </c>
      <c r="H328" s="503" t="s">
        <v>122</v>
      </c>
      <c r="I328" s="695">
        <v>40</v>
      </c>
      <c r="J328" s="695">
        <v>1</v>
      </c>
      <c r="K328" s="777">
        <f t="shared" si="53"/>
        <v>2.2727272727272728E-2</v>
      </c>
      <c r="L328" s="968">
        <v>0</v>
      </c>
      <c r="M328" s="503">
        <f t="shared" si="55"/>
        <v>19</v>
      </c>
      <c r="N328" s="504">
        <v>0.80902777777777779</v>
      </c>
      <c r="O328" s="719">
        <f t="shared" si="56"/>
        <v>0.80902777777777779</v>
      </c>
      <c r="P328" s="564"/>
      <c r="Q328" s="564">
        <f t="shared" ref="Q328:Q391" si="63">+P328-O328</f>
        <v>-0.80902777777777779</v>
      </c>
      <c r="R328" s="965" t="s">
        <v>1520</v>
      </c>
      <c r="S328" s="487"/>
      <c r="T328" s="29"/>
      <c r="U328" s="29" t="str">
        <f t="shared" si="57"/>
        <v>HutchinsonF0</v>
      </c>
      <c r="V328" s="29" t="str">
        <f t="shared" si="58"/>
        <v>1975F0</v>
      </c>
      <c r="W328" s="80">
        <v>20</v>
      </c>
      <c r="X328" s="32">
        <v>1</v>
      </c>
      <c r="Y328" s="467">
        <v>0.02</v>
      </c>
      <c r="Z328" s="80"/>
      <c r="AA328" s="29" t="str">
        <f t="shared" si="59"/>
        <v>F020</v>
      </c>
      <c r="AB328" s="29" t="str">
        <f t="shared" si="60"/>
        <v>F01</v>
      </c>
      <c r="AC328" s="29" t="str">
        <f t="shared" si="61"/>
        <v>F00.02</v>
      </c>
      <c r="AD328" s="29" t="str">
        <f t="shared" si="62"/>
        <v>F019</v>
      </c>
      <c r="AE328" s="443"/>
      <c r="AF328" s="443"/>
      <c r="AG328" s="443"/>
      <c r="AH328" s="443"/>
    </row>
    <row r="329" spans="1:34" ht="16.5">
      <c r="A329" s="728">
        <f t="shared" si="54"/>
        <v>322</v>
      </c>
      <c r="B329" s="563">
        <v>12</v>
      </c>
      <c r="C329" s="694">
        <v>27571</v>
      </c>
      <c r="D329" s="694" t="s">
        <v>149</v>
      </c>
      <c r="E329" s="563">
        <v>26</v>
      </c>
      <c r="F329" s="503">
        <v>1975</v>
      </c>
      <c r="G329" s="563" t="s">
        <v>104</v>
      </c>
      <c r="H329" s="503" t="s">
        <v>122</v>
      </c>
      <c r="I329" s="695">
        <v>60</v>
      </c>
      <c r="J329" s="695">
        <v>1.9</v>
      </c>
      <c r="K329" s="777">
        <f t="shared" ref="K329:K392" si="64">+(I329/1760)*J329</f>
        <v>6.477272727272726E-2</v>
      </c>
      <c r="L329" s="968">
        <v>0</v>
      </c>
      <c r="M329" s="503">
        <f t="shared" si="55"/>
        <v>16</v>
      </c>
      <c r="N329" s="504">
        <v>0.69791666666666663</v>
      </c>
      <c r="O329" s="719">
        <f t="shared" si="56"/>
        <v>0.69791666666666663</v>
      </c>
      <c r="P329" s="564"/>
      <c r="Q329" s="564">
        <f t="shared" si="63"/>
        <v>-0.69791666666666663</v>
      </c>
      <c r="R329" s="965" t="s">
        <v>1520</v>
      </c>
      <c r="S329" s="487"/>
      <c r="T329" s="29"/>
      <c r="U329" s="29" t="str">
        <f t="shared" si="57"/>
        <v>HansfordF0</v>
      </c>
      <c r="V329" s="29" t="str">
        <f t="shared" si="58"/>
        <v>1975F0</v>
      </c>
      <c r="W329" s="80">
        <v>50</v>
      </c>
      <c r="X329" s="32">
        <v>1</v>
      </c>
      <c r="Y329" s="467">
        <v>0.05</v>
      </c>
      <c r="Z329" s="80"/>
      <c r="AA329" s="29" t="str">
        <f t="shared" si="59"/>
        <v>F050</v>
      </c>
      <c r="AB329" s="29" t="str">
        <f t="shared" si="60"/>
        <v>F01</v>
      </c>
      <c r="AC329" s="29" t="str">
        <f t="shared" si="61"/>
        <v>F00.05</v>
      </c>
      <c r="AD329" s="29" t="str">
        <f t="shared" si="62"/>
        <v>F016</v>
      </c>
      <c r="AE329" s="443"/>
      <c r="AF329" s="443"/>
      <c r="AG329" s="443"/>
      <c r="AH329" s="443"/>
    </row>
    <row r="330" spans="1:34" ht="16.5">
      <c r="A330" s="728">
        <f t="shared" ref="A330:A393" si="65">+A329+1</f>
        <v>323</v>
      </c>
      <c r="B330" s="563">
        <v>13</v>
      </c>
      <c r="C330" s="694">
        <v>27571</v>
      </c>
      <c r="D330" s="694" t="s">
        <v>149</v>
      </c>
      <c r="E330" s="563">
        <v>26</v>
      </c>
      <c r="F330" s="503">
        <v>1975</v>
      </c>
      <c r="G330" s="563" t="s">
        <v>104</v>
      </c>
      <c r="H330" s="503" t="s">
        <v>123</v>
      </c>
      <c r="I330" s="695">
        <v>40</v>
      </c>
      <c r="J330" s="695">
        <v>1</v>
      </c>
      <c r="K330" s="777">
        <f t="shared" si="64"/>
        <v>2.2727272727272728E-2</v>
      </c>
      <c r="L330" s="968">
        <v>0</v>
      </c>
      <c r="M330" s="503">
        <f t="shared" si="55"/>
        <v>17</v>
      </c>
      <c r="N330" s="504">
        <v>0.72916666666666663</v>
      </c>
      <c r="O330" s="719">
        <f t="shared" si="56"/>
        <v>0.72916666666666663</v>
      </c>
      <c r="P330" s="564"/>
      <c r="Q330" s="564">
        <f t="shared" si="63"/>
        <v>-0.72916666666666663</v>
      </c>
      <c r="R330" s="965" t="s">
        <v>1520</v>
      </c>
      <c r="S330" s="487"/>
      <c r="T330" s="29"/>
      <c r="U330" s="29" t="str">
        <f t="shared" si="57"/>
        <v>HansfordF1</v>
      </c>
      <c r="V330" s="29" t="str">
        <f t="shared" si="58"/>
        <v>1975F1</v>
      </c>
      <c r="W330" s="80">
        <v>20</v>
      </c>
      <c r="X330" s="32">
        <v>1</v>
      </c>
      <c r="Y330" s="467">
        <v>0.02</v>
      </c>
      <c r="Z330" s="80"/>
      <c r="AA330" s="29" t="str">
        <f t="shared" si="59"/>
        <v>F120</v>
      </c>
      <c r="AB330" s="29" t="str">
        <f t="shared" si="60"/>
        <v>F11</v>
      </c>
      <c r="AC330" s="29" t="str">
        <f t="shared" si="61"/>
        <v>F10.02</v>
      </c>
      <c r="AD330" s="29" t="str">
        <f t="shared" si="62"/>
        <v>F117</v>
      </c>
      <c r="AE330" s="443"/>
      <c r="AF330" s="443"/>
      <c r="AG330" s="443"/>
      <c r="AH330" s="443"/>
    </row>
    <row r="331" spans="1:34" ht="16.5">
      <c r="A331" s="728">
        <f t="shared" si="65"/>
        <v>324</v>
      </c>
      <c r="B331" s="563">
        <v>14</v>
      </c>
      <c r="C331" s="694">
        <v>27584</v>
      </c>
      <c r="D331" s="694" t="s">
        <v>150</v>
      </c>
      <c r="E331" s="563">
        <v>9</v>
      </c>
      <c r="F331" s="503">
        <v>1975</v>
      </c>
      <c r="G331" s="563" t="s">
        <v>109</v>
      </c>
      <c r="H331" s="503" t="s">
        <v>122</v>
      </c>
      <c r="I331" s="695">
        <v>10</v>
      </c>
      <c r="J331" s="695">
        <v>0.1</v>
      </c>
      <c r="K331" s="777">
        <f t="shared" si="64"/>
        <v>5.6818181818181826E-4</v>
      </c>
      <c r="L331" s="968">
        <v>0</v>
      </c>
      <c r="M331" s="503">
        <f t="shared" si="55"/>
        <v>20</v>
      </c>
      <c r="N331" s="504">
        <v>0.85069444444444453</v>
      </c>
      <c r="O331" s="719">
        <f t="shared" si="56"/>
        <v>0.85069444444444453</v>
      </c>
      <c r="P331" s="564"/>
      <c r="Q331" s="564">
        <f t="shared" si="63"/>
        <v>-0.85069444444444453</v>
      </c>
      <c r="R331" s="965" t="s">
        <v>1520</v>
      </c>
      <c r="S331" s="487"/>
      <c r="T331" s="29"/>
      <c r="U331" s="29" t="str">
        <f t="shared" si="57"/>
        <v>HutchinsonF0</v>
      </c>
      <c r="V331" s="29" t="str">
        <f t="shared" si="58"/>
        <v>1975F0</v>
      </c>
      <c r="W331" s="80">
        <v>10</v>
      </c>
      <c r="X331" s="32">
        <v>0.1</v>
      </c>
      <c r="Y331" s="467">
        <v>5.0000000000000001E-4</v>
      </c>
      <c r="Z331" s="80"/>
      <c r="AA331" s="29" t="str">
        <f t="shared" si="59"/>
        <v>F010</v>
      </c>
      <c r="AB331" s="29" t="str">
        <f t="shared" si="60"/>
        <v>F00.1</v>
      </c>
      <c r="AC331" s="29" t="str">
        <f t="shared" si="61"/>
        <v>F00.0005</v>
      </c>
      <c r="AD331" s="29" t="str">
        <f t="shared" si="62"/>
        <v>F020</v>
      </c>
      <c r="AE331" s="443"/>
      <c r="AF331" s="443"/>
      <c r="AG331" s="443"/>
      <c r="AH331" s="443"/>
    </row>
    <row r="332" spans="1:34" ht="16.5">
      <c r="A332" s="728">
        <f t="shared" si="65"/>
        <v>325</v>
      </c>
      <c r="B332" s="563">
        <v>15</v>
      </c>
      <c r="C332" s="694">
        <v>27585</v>
      </c>
      <c r="D332" s="694" t="s">
        <v>150</v>
      </c>
      <c r="E332" s="563">
        <v>10</v>
      </c>
      <c r="F332" s="503">
        <v>1975</v>
      </c>
      <c r="G332" s="563" t="s">
        <v>100</v>
      </c>
      <c r="H332" s="503" t="s">
        <v>123</v>
      </c>
      <c r="I332" s="695">
        <v>60</v>
      </c>
      <c r="J332" s="695">
        <v>2</v>
      </c>
      <c r="K332" s="777">
        <f t="shared" si="64"/>
        <v>6.8181818181818177E-2</v>
      </c>
      <c r="L332" s="968">
        <v>25000</v>
      </c>
      <c r="M332" s="503">
        <f t="shared" si="55"/>
        <v>16</v>
      </c>
      <c r="N332" s="504">
        <v>0.67708333333333337</v>
      </c>
      <c r="O332" s="719">
        <f t="shared" si="56"/>
        <v>0.67708333333333337</v>
      </c>
      <c r="P332" s="564"/>
      <c r="Q332" s="564">
        <f t="shared" si="63"/>
        <v>-0.67708333333333337</v>
      </c>
      <c r="R332" s="965" t="s">
        <v>1520</v>
      </c>
      <c r="S332" s="487"/>
      <c r="T332" s="29"/>
      <c r="U332" s="29" t="str">
        <f t="shared" si="57"/>
        <v>TexasF1</v>
      </c>
      <c r="V332" s="29" t="str">
        <f t="shared" si="58"/>
        <v>1975F1</v>
      </c>
      <c r="W332" s="80">
        <v>50</v>
      </c>
      <c r="X332" s="32">
        <v>2</v>
      </c>
      <c r="Y332" s="467">
        <v>0.05</v>
      </c>
      <c r="Z332" s="80"/>
      <c r="AA332" s="29" t="str">
        <f t="shared" si="59"/>
        <v>F150</v>
      </c>
      <c r="AB332" s="29" t="str">
        <f t="shared" si="60"/>
        <v>F12</v>
      </c>
      <c r="AC332" s="29" t="str">
        <f t="shared" si="61"/>
        <v>F10.05</v>
      </c>
      <c r="AD332" s="29" t="str">
        <f t="shared" si="62"/>
        <v>F116</v>
      </c>
      <c r="AE332" s="443"/>
      <c r="AF332" s="443"/>
      <c r="AG332" s="443"/>
      <c r="AH332" s="443"/>
    </row>
    <row r="333" spans="1:34" ht="16.5">
      <c r="A333" s="728">
        <f t="shared" si="65"/>
        <v>326</v>
      </c>
      <c r="B333" s="563">
        <v>16</v>
      </c>
      <c r="C333" s="694">
        <v>27717</v>
      </c>
      <c r="D333" s="694" t="s">
        <v>154</v>
      </c>
      <c r="E333" s="563">
        <v>19</v>
      </c>
      <c r="F333" s="503">
        <v>1975</v>
      </c>
      <c r="G333" s="563" t="s">
        <v>100</v>
      </c>
      <c r="H333" s="503" t="s">
        <v>124</v>
      </c>
      <c r="I333" s="695">
        <v>270</v>
      </c>
      <c r="J333" s="695">
        <v>0.3</v>
      </c>
      <c r="K333" s="777">
        <f t="shared" si="64"/>
        <v>4.6022727272727271E-2</v>
      </c>
      <c r="L333" s="968">
        <v>250000</v>
      </c>
      <c r="M333" s="503">
        <f t="shared" si="55"/>
        <v>3</v>
      </c>
      <c r="N333" s="504">
        <v>0.125</v>
      </c>
      <c r="O333" s="719">
        <f t="shared" si="56"/>
        <v>0.125</v>
      </c>
      <c r="P333" s="564"/>
      <c r="Q333" s="564">
        <f t="shared" si="63"/>
        <v>-0.125</v>
      </c>
      <c r="R333" s="965" t="s">
        <v>1520</v>
      </c>
      <c r="S333" s="487"/>
      <c r="T333" s="29"/>
      <c r="U333" s="29" t="str">
        <f t="shared" si="57"/>
        <v>TexasF2</v>
      </c>
      <c r="V333" s="29" t="str">
        <f t="shared" si="58"/>
        <v>1975F2</v>
      </c>
      <c r="W333" s="80">
        <v>200</v>
      </c>
      <c r="X333" s="32">
        <v>0.2</v>
      </c>
      <c r="Y333" s="467">
        <v>0.02</v>
      </c>
      <c r="Z333" s="80"/>
      <c r="AA333" s="29" t="str">
        <f t="shared" si="59"/>
        <v>F2200</v>
      </c>
      <c r="AB333" s="29" t="str">
        <f t="shared" si="60"/>
        <v>F20.2</v>
      </c>
      <c r="AC333" s="29" t="str">
        <f t="shared" si="61"/>
        <v>F20.02</v>
      </c>
      <c r="AD333" s="29" t="str">
        <f t="shared" si="62"/>
        <v>F23</v>
      </c>
      <c r="AE333" s="443"/>
      <c r="AF333" s="443"/>
      <c r="AG333" s="443"/>
      <c r="AH333" s="443"/>
    </row>
    <row r="334" spans="1:34" ht="16.5">
      <c r="A334" s="728">
        <f t="shared" si="65"/>
        <v>327</v>
      </c>
      <c r="B334" s="563">
        <v>1</v>
      </c>
      <c r="C334" s="694">
        <v>27857</v>
      </c>
      <c r="D334" s="694" t="s">
        <v>147</v>
      </c>
      <c r="E334" s="563">
        <v>7</v>
      </c>
      <c r="F334" s="503">
        <v>1976</v>
      </c>
      <c r="G334" s="563" t="s">
        <v>120</v>
      </c>
      <c r="H334" s="503" t="s">
        <v>122</v>
      </c>
      <c r="I334" s="695">
        <v>10</v>
      </c>
      <c r="J334" s="695">
        <v>0.1</v>
      </c>
      <c r="K334" s="777">
        <f t="shared" si="64"/>
        <v>5.6818181818181826E-4</v>
      </c>
      <c r="L334" s="968">
        <v>0</v>
      </c>
      <c r="M334" s="503">
        <f t="shared" si="55"/>
        <v>16</v>
      </c>
      <c r="N334" s="504">
        <v>0.6875</v>
      </c>
      <c r="O334" s="719">
        <f t="shared" si="56"/>
        <v>0.6875</v>
      </c>
      <c r="P334" s="564"/>
      <c r="Q334" s="564">
        <f t="shared" si="63"/>
        <v>-0.6875</v>
      </c>
      <c r="R334" s="965" t="s">
        <v>1520</v>
      </c>
      <c r="S334" s="487"/>
      <c r="T334" s="29"/>
      <c r="U334" s="29" t="str">
        <f t="shared" si="57"/>
        <v>DonleyF0</v>
      </c>
      <c r="V334" s="29" t="str">
        <f t="shared" si="58"/>
        <v>1976F0</v>
      </c>
      <c r="W334" s="80">
        <v>10</v>
      </c>
      <c r="X334" s="32">
        <v>0.1</v>
      </c>
      <c r="Y334" s="467">
        <v>5.0000000000000001E-4</v>
      </c>
      <c r="Z334" s="80"/>
      <c r="AA334" s="29" t="str">
        <f t="shared" si="59"/>
        <v>F010</v>
      </c>
      <c r="AB334" s="29" t="str">
        <f t="shared" si="60"/>
        <v>F00.1</v>
      </c>
      <c r="AC334" s="29" t="str">
        <f t="shared" si="61"/>
        <v>F00.0005</v>
      </c>
      <c r="AD334" s="29" t="str">
        <f t="shared" si="62"/>
        <v>F016</v>
      </c>
      <c r="AE334" s="443"/>
      <c r="AF334" s="443"/>
      <c r="AG334" s="443"/>
      <c r="AH334" s="443"/>
    </row>
    <row r="335" spans="1:34" ht="16.5">
      <c r="A335" s="728">
        <f t="shared" si="65"/>
        <v>328</v>
      </c>
      <c r="B335" s="563">
        <v>2</v>
      </c>
      <c r="C335" s="694">
        <v>27857</v>
      </c>
      <c r="D335" s="694" t="s">
        <v>147</v>
      </c>
      <c r="E335" s="563">
        <v>7</v>
      </c>
      <c r="F335" s="503">
        <v>1976</v>
      </c>
      <c r="G335" s="563" t="s">
        <v>120</v>
      </c>
      <c r="H335" s="503" t="s">
        <v>122</v>
      </c>
      <c r="I335" s="695">
        <v>10</v>
      </c>
      <c r="J335" s="695">
        <v>0.1</v>
      </c>
      <c r="K335" s="777">
        <f t="shared" si="64"/>
        <v>5.6818181818181826E-4</v>
      </c>
      <c r="L335" s="968">
        <v>0</v>
      </c>
      <c r="M335" s="503">
        <f t="shared" si="55"/>
        <v>16</v>
      </c>
      <c r="N335" s="504">
        <v>0.69097222222222221</v>
      </c>
      <c r="O335" s="719">
        <f t="shared" si="56"/>
        <v>0.69097222222222221</v>
      </c>
      <c r="P335" s="564"/>
      <c r="Q335" s="564">
        <f t="shared" si="63"/>
        <v>-0.69097222222222221</v>
      </c>
      <c r="R335" s="965" t="s">
        <v>1520</v>
      </c>
      <c r="S335" s="487"/>
      <c r="T335" s="29"/>
      <c r="U335" s="29" t="str">
        <f t="shared" si="57"/>
        <v>DonleyF0</v>
      </c>
      <c r="V335" s="29" t="str">
        <f t="shared" si="58"/>
        <v>1976F0</v>
      </c>
      <c r="W335" s="80">
        <v>10</v>
      </c>
      <c r="X335" s="32">
        <v>0.1</v>
      </c>
      <c r="Y335" s="467">
        <v>5.0000000000000001E-4</v>
      </c>
      <c r="Z335" s="80"/>
      <c r="AA335" s="29" t="str">
        <f t="shared" si="59"/>
        <v>F010</v>
      </c>
      <c r="AB335" s="29" t="str">
        <f t="shared" si="60"/>
        <v>F00.1</v>
      </c>
      <c r="AC335" s="29" t="str">
        <f t="shared" si="61"/>
        <v>F00.0005</v>
      </c>
      <c r="AD335" s="29" t="str">
        <f t="shared" si="62"/>
        <v>F016</v>
      </c>
      <c r="AE335" s="443"/>
      <c r="AF335" s="443"/>
      <c r="AG335" s="443"/>
      <c r="AH335" s="443"/>
    </row>
    <row r="336" spans="1:34" ht="16.5">
      <c r="A336" s="728">
        <f t="shared" si="65"/>
        <v>329</v>
      </c>
      <c r="B336" s="563">
        <v>3</v>
      </c>
      <c r="C336" s="694">
        <v>27857</v>
      </c>
      <c r="D336" s="694" t="s">
        <v>147</v>
      </c>
      <c r="E336" s="563">
        <v>7</v>
      </c>
      <c r="F336" s="503">
        <v>1976</v>
      </c>
      <c r="G336" s="563" t="s">
        <v>121</v>
      </c>
      <c r="H336" s="503" t="s">
        <v>122</v>
      </c>
      <c r="I336" s="695">
        <v>10</v>
      </c>
      <c r="J336" s="695">
        <v>0.1</v>
      </c>
      <c r="K336" s="777">
        <f t="shared" si="64"/>
        <v>5.6818181818181826E-4</v>
      </c>
      <c r="L336" s="968">
        <v>0</v>
      </c>
      <c r="M336" s="503">
        <f t="shared" si="55"/>
        <v>17</v>
      </c>
      <c r="N336" s="504">
        <v>0.74305555555555547</v>
      </c>
      <c r="O336" s="719">
        <f t="shared" si="56"/>
        <v>0.74305555555555547</v>
      </c>
      <c r="P336" s="564"/>
      <c r="Q336" s="564">
        <f t="shared" si="63"/>
        <v>-0.74305555555555547</v>
      </c>
      <c r="R336" s="965" t="s">
        <v>1520</v>
      </c>
      <c r="S336" s="487"/>
      <c r="T336" s="29"/>
      <c r="U336" s="29" t="str">
        <f t="shared" si="57"/>
        <v>CollingsworthF0</v>
      </c>
      <c r="V336" s="29" t="str">
        <f t="shared" si="58"/>
        <v>1976F0</v>
      </c>
      <c r="W336" s="80">
        <v>10</v>
      </c>
      <c r="X336" s="32">
        <v>0.1</v>
      </c>
      <c r="Y336" s="467">
        <v>5.0000000000000001E-4</v>
      </c>
      <c r="Z336" s="80"/>
      <c r="AA336" s="29" t="str">
        <f t="shared" si="59"/>
        <v>F010</v>
      </c>
      <c r="AB336" s="29" t="str">
        <f t="shared" si="60"/>
        <v>F00.1</v>
      </c>
      <c r="AC336" s="29" t="str">
        <f t="shared" si="61"/>
        <v>F00.0005</v>
      </c>
      <c r="AD336" s="29" t="str">
        <f t="shared" si="62"/>
        <v>F017</v>
      </c>
      <c r="AE336" s="443"/>
      <c r="AF336" s="443"/>
      <c r="AG336" s="443"/>
      <c r="AH336" s="443"/>
    </row>
    <row r="337" spans="1:34" ht="16.5">
      <c r="A337" s="728">
        <f t="shared" si="65"/>
        <v>330</v>
      </c>
      <c r="B337" s="563">
        <v>4</v>
      </c>
      <c r="C337" s="694">
        <v>27865</v>
      </c>
      <c r="D337" s="694" t="s">
        <v>147</v>
      </c>
      <c r="E337" s="563">
        <v>15</v>
      </c>
      <c r="F337" s="503">
        <v>1976</v>
      </c>
      <c r="G337" s="563" t="s">
        <v>117</v>
      </c>
      <c r="H337" s="503" t="s">
        <v>123</v>
      </c>
      <c r="I337" s="695">
        <v>30</v>
      </c>
      <c r="J337" s="695">
        <v>0.5</v>
      </c>
      <c r="K337" s="777">
        <f t="shared" si="64"/>
        <v>8.5227272727272721E-3</v>
      </c>
      <c r="L337" s="968">
        <v>25000</v>
      </c>
      <c r="M337" s="503">
        <f t="shared" si="55"/>
        <v>12</v>
      </c>
      <c r="N337" s="504">
        <v>0.51736111111111105</v>
      </c>
      <c r="O337" s="719">
        <f t="shared" si="56"/>
        <v>0.51736111111111105</v>
      </c>
      <c r="P337" s="564"/>
      <c r="Q337" s="564">
        <f t="shared" si="63"/>
        <v>-0.51736111111111105</v>
      </c>
      <c r="R337" s="965" t="s">
        <v>1520</v>
      </c>
      <c r="S337" s="487"/>
      <c r="T337" s="29"/>
      <c r="U337" s="29" t="str">
        <f t="shared" si="57"/>
        <v>Deaf SmithF1</v>
      </c>
      <c r="V337" s="29" t="str">
        <f t="shared" si="58"/>
        <v>1976F1</v>
      </c>
      <c r="W337" s="80">
        <v>20</v>
      </c>
      <c r="X337" s="32">
        <v>0.5</v>
      </c>
      <c r="Y337" s="467">
        <v>5.0000000000000001E-3</v>
      </c>
      <c r="Z337" s="80"/>
      <c r="AA337" s="29" t="str">
        <f t="shared" si="59"/>
        <v>F120</v>
      </c>
      <c r="AB337" s="29" t="str">
        <f t="shared" si="60"/>
        <v>F10.5</v>
      </c>
      <c r="AC337" s="29" t="str">
        <f t="shared" si="61"/>
        <v>F10.005</v>
      </c>
      <c r="AD337" s="29" t="str">
        <f t="shared" si="62"/>
        <v>F112</v>
      </c>
      <c r="AE337" s="443"/>
      <c r="AF337" s="443"/>
      <c r="AG337" s="443"/>
      <c r="AH337" s="443"/>
    </row>
    <row r="338" spans="1:34" ht="16.5">
      <c r="A338" s="728">
        <f t="shared" si="65"/>
        <v>331</v>
      </c>
      <c r="B338" s="563">
        <v>5</v>
      </c>
      <c r="C338" s="694">
        <v>27865</v>
      </c>
      <c r="D338" s="694" t="s">
        <v>147</v>
      </c>
      <c r="E338" s="563">
        <v>15</v>
      </c>
      <c r="F338" s="503">
        <v>1976</v>
      </c>
      <c r="G338" s="563" t="s">
        <v>104</v>
      </c>
      <c r="H338" s="503" t="s">
        <v>122</v>
      </c>
      <c r="I338" s="695">
        <v>10</v>
      </c>
      <c r="J338" s="695">
        <v>0.1</v>
      </c>
      <c r="K338" s="777">
        <f t="shared" si="64"/>
        <v>5.6818181818181826E-4</v>
      </c>
      <c r="L338" s="968">
        <v>0</v>
      </c>
      <c r="M338" s="503">
        <f t="shared" si="55"/>
        <v>14</v>
      </c>
      <c r="N338" s="504">
        <v>0.60416666666666663</v>
      </c>
      <c r="O338" s="719">
        <f t="shared" si="56"/>
        <v>0.60416666666666663</v>
      </c>
      <c r="P338" s="564"/>
      <c r="Q338" s="564">
        <f t="shared" si="63"/>
        <v>-0.60416666666666663</v>
      </c>
      <c r="R338" s="965" t="s">
        <v>1520</v>
      </c>
      <c r="S338" s="487"/>
      <c r="T338" s="29"/>
      <c r="U338" s="29" t="str">
        <f t="shared" si="57"/>
        <v>HansfordF0</v>
      </c>
      <c r="V338" s="29" t="str">
        <f t="shared" si="58"/>
        <v>1976F0</v>
      </c>
      <c r="W338" s="80">
        <v>10</v>
      </c>
      <c r="X338" s="32">
        <v>0.1</v>
      </c>
      <c r="Y338" s="467">
        <v>5.0000000000000001E-4</v>
      </c>
      <c r="Z338" s="80"/>
      <c r="AA338" s="29" t="str">
        <f t="shared" si="59"/>
        <v>F010</v>
      </c>
      <c r="AB338" s="29" t="str">
        <f t="shared" si="60"/>
        <v>F00.1</v>
      </c>
      <c r="AC338" s="29" t="str">
        <f t="shared" si="61"/>
        <v>F00.0005</v>
      </c>
      <c r="AD338" s="29" t="str">
        <f t="shared" si="62"/>
        <v>F014</v>
      </c>
      <c r="AE338" s="443"/>
      <c r="AF338" s="443"/>
      <c r="AG338" s="443"/>
      <c r="AH338" s="443"/>
    </row>
    <row r="339" spans="1:34" ht="16.5">
      <c r="A339" s="728">
        <f t="shared" si="65"/>
        <v>332</v>
      </c>
      <c r="B339" s="563">
        <v>6</v>
      </c>
      <c r="C339" s="694">
        <v>27865</v>
      </c>
      <c r="D339" s="694" t="s">
        <v>147</v>
      </c>
      <c r="E339" s="563">
        <v>15</v>
      </c>
      <c r="F339" s="503">
        <v>1976</v>
      </c>
      <c r="G339" s="563" t="s">
        <v>104</v>
      </c>
      <c r="H339" s="503" t="s">
        <v>122</v>
      </c>
      <c r="I339" s="695">
        <v>10</v>
      </c>
      <c r="J339" s="695">
        <v>0.1</v>
      </c>
      <c r="K339" s="777">
        <f t="shared" si="64"/>
        <v>5.6818181818181826E-4</v>
      </c>
      <c r="L339" s="968">
        <v>0</v>
      </c>
      <c r="M339" s="503">
        <f t="shared" si="55"/>
        <v>14</v>
      </c>
      <c r="N339" s="504">
        <v>0.60416666666666663</v>
      </c>
      <c r="O339" s="719">
        <f t="shared" si="56"/>
        <v>0.60416666666666663</v>
      </c>
      <c r="P339" s="564"/>
      <c r="Q339" s="564">
        <f t="shared" si="63"/>
        <v>-0.60416666666666663</v>
      </c>
      <c r="R339" s="965" t="s">
        <v>1520</v>
      </c>
      <c r="S339" s="487"/>
      <c r="T339" s="29"/>
      <c r="U339" s="29" t="str">
        <f t="shared" si="57"/>
        <v>HansfordF0</v>
      </c>
      <c r="V339" s="29" t="str">
        <f t="shared" si="58"/>
        <v>1976F0</v>
      </c>
      <c r="W339" s="80">
        <v>10</v>
      </c>
      <c r="X339" s="32">
        <v>0.1</v>
      </c>
      <c r="Y339" s="467">
        <v>5.0000000000000001E-4</v>
      </c>
      <c r="Z339" s="80"/>
      <c r="AA339" s="29" t="str">
        <f t="shared" si="59"/>
        <v>F010</v>
      </c>
      <c r="AB339" s="29" t="str">
        <f t="shared" si="60"/>
        <v>F00.1</v>
      </c>
      <c r="AC339" s="29" t="str">
        <f t="shared" si="61"/>
        <v>F00.0005</v>
      </c>
      <c r="AD339" s="29" t="str">
        <f t="shared" si="62"/>
        <v>F014</v>
      </c>
      <c r="AE339" s="443"/>
      <c r="AF339" s="443"/>
      <c r="AG339" s="443"/>
      <c r="AH339" s="443"/>
    </row>
    <row r="340" spans="1:34" ht="16.5">
      <c r="A340" s="728">
        <f t="shared" si="65"/>
        <v>333</v>
      </c>
      <c r="B340" s="563">
        <v>7</v>
      </c>
      <c r="C340" s="694">
        <v>27865</v>
      </c>
      <c r="D340" s="694" t="s">
        <v>147</v>
      </c>
      <c r="E340" s="563">
        <v>15</v>
      </c>
      <c r="F340" s="503">
        <v>1976</v>
      </c>
      <c r="G340" s="563" t="s">
        <v>104</v>
      </c>
      <c r="H340" s="503" t="s">
        <v>122</v>
      </c>
      <c r="I340" s="695">
        <v>10</v>
      </c>
      <c r="J340" s="695">
        <v>0.1</v>
      </c>
      <c r="K340" s="777">
        <f t="shared" si="64"/>
        <v>5.6818181818181826E-4</v>
      </c>
      <c r="L340" s="968">
        <v>0</v>
      </c>
      <c r="M340" s="503">
        <f t="shared" si="55"/>
        <v>14</v>
      </c>
      <c r="N340" s="504">
        <v>0.61597222222222225</v>
      </c>
      <c r="O340" s="719">
        <f t="shared" si="56"/>
        <v>0.61597222222222225</v>
      </c>
      <c r="P340" s="564"/>
      <c r="Q340" s="564">
        <f t="shared" si="63"/>
        <v>-0.61597222222222225</v>
      </c>
      <c r="R340" s="965" t="s">
        <v>1520</v>
      </c>
      <c r="S340" s="487"/>
      <c r="T340" s="29"/>
      <c r="U340" s="29" t="str">
        <f t="shared" si="57"/>
        <v>HansfordF0</v>
      </c>
      <c r="V340" s="29" t="str">
        <f t="shared" si="58"/>
        <v>1976F0</v>
      </c>
      <c r="W340" s="80">
        <v>10</v>
      </c>
      <c r="X340" s="32">
        <v>0.1</v>
      </c>
      <c r="Y340" s="467">
        <v>5.0000000000000001E-4</v>
      </c>
      <c r="Z340" s="80"/>
      <c r="AA340" s="29" t="str">
        <f t="shared" si="59"/>
        <v>F010</v>
      </c>
      <c r="AB340" s="29" t="str">
        <f t="shared" si="60"/>
        <v>F00.1</v>
      </c>
      <c r="AC340" s="29" t="str">
        <f t="shared" si="61"/>
        <v>F00.0005</v>
      </c>
      <c r="AD340" s="29" t="str">
        <f t="shared" si="62"/>
        <v>F014</v>
      </c>
      <c r="AE340" s="443"/>
      <c r="AF340" s="443"/>
      <c r="AG340" s="443"/>
      <c r="AH340" s="443"/>
    </row>
    <row r="341" spans="1:34" ht="16.5">
      <c r="A341" s="728">
        <f t="shared" si="65"/>
        <v>334</v>
      </c>
      <c r="B341" s="563">
        <v>8</v>
      </c>
      <c r="C341" s="694">
        <v>27869</v>
      </c>
      <c r="D341" s="694" t="s">
        <v>147</v>
      </c>
      <c r="E341" s="563">
        <v>19</v>
      </c>
      <c r="F341" s="503">
        <v>1976</v>
      </c>
      <c r="G341" s="563" t="s">
        <v>108</v>
      </c>
      <c r="H341" s="503" t="s">
        <v>122</v>
      </c>
      <c r="I341" s="695">
        <v>10</v>
      </c>
      <c r="J341" s="695">
        <v>0.1</v>
      </c>
      <c r="K341" s="777">
        <f t="shared" si="64"/>
        <v>5.6818181818181826E-4</v>
      </c>
      <c r="L341" s="968">
        <v>0</v>
      </c>
      <c r="M341" s="503">
        <f t="shared" si="55"/>
        <v>14</v>
      </c>
      <c r="N341" s="504">
        <v>0.62152777777777779</v>
      </c>
      <c r="O341" s="719">
        <f t="shared" si="56"/>
        <v>0.62152777777777779</v>
      </c>
      <c r="P341" s="564"/>
      <c r="Q341" s="564">
        <f t="shared" si="63"/>
        <v>-0.62152777777777779</v>
      </c>
      <c r="R341" s="965" t="s">
        <v>1520</v>
      </c>
      <c r="S341" s="487"/>
      <c r="T341" s="29"/>
      <c r="U341" s="29" t="str">
        <f t="shared" si="57"/>
        <v>MooreF0</v>
      </c>
      <c r="V341" s="29" t="str">
        <f t="shared" si="58"/>
        <v>1976F0</v>
      </c>
      <c r="W341" s="80">
        <v>10</v>
      </c>
      <c r="X341" s="32">
        <v>0.1</v>
      </c>
      <c r="Y341" s="467">
        <v>5.0000000000000001E-4</v>
      </c>
      <c r="Z341" s="80"/>
      <c r="AA341" s="29" t="str">
        <f t="shared" si="59"/>
        <v>F010</v>
      </c>
      <c r="AB341" s="29" t="str">
        <f t="shared" si="60"/>
        <v>F00.1</v>
      </c>
      <c r="AC341" s="29" t="str">
        <f t="shared" si="61"/>
        <v>F00.0005</v>
      </c>
      <c r="AD341" s="29" t="str">
        <f t="shared" si="62"/>
        <v>F014</v>
      </c>
      <c r="AE341" s="443"/>
      <c r="AF341" s="443"/>
      <c r="AG341" s="443"/>
      <c r="AH341" s="443"/>
    </row>
    <row r="342" spans="1:34" ht="16.5">
      <c r="A342" s="728">
        <f t="shared" si="65"/>
        <v>335</v>
      </c>
      <c r="B342" s="563">
        <v>9</v>
      </c>
      <c r="C342" s="694">
        <v>27877</v>
      </c>
      <c r="D342" s="694" t="s">
        <v>147</v>
      </c>
      <c r="E342" s="563">
        <v>27</v>
      </c>
      <c r="F342" s="503">
        <v>1976</v>
      </c>
      <c r="G342" s="563" t="s">
        <v>108</v>
      </c>
      <c r="H342" s="503" t="s">
        <v>122</v>
      </c>
      <c r="I342" s="695">
        <v>10</v>
      </c>
      <c r="J342" s="695">
        <v>0.1</v>
      </c>
      <c r="K342" s="777">
        <f t="shared" si="64"/>
        <v>5.6818181818181826E-4</v>
      </c>
      <c r="L342" s="968">
        <v>0</v>
      </c>
      <c r="M342" s="503">
        <f t="shared" si="55"/>
        <v>19</v>
      </c>
      <c r="N342" s="504">
        <v>0.79166666666666663</v>
      </c>
      <c r="O342" s="719">
        <f t="shared" si="56"/>
        <v>0.79166666666666663</v>
      </c>
      <c r="P342" s="564"/>
      <c r="Q342" s="564">
        <f t="shared" si="63"/>
        <v>-0.79166666666666663</v>
      </c>
      <c r="R342" s="965" t="s">
        <v>1520</v>
      </c>
      <c r="S342" s="487"/>
      <c r="T342" s="29"/>
      <c r="U342" s="29" t="str">
        <f t="shared" si="57"/>
        <v>MooreF0</v>
      </c>
      <c r="V342" s="29" t="str">
        <f t="shared" si="58"/>
        <v>1976F0</v>
      </c>
      <c r="W342" s="80">
        <v>10</v>
      </c>
      <c r="X342" s="32">
        <v>0.1</v>
      </c>
      <c r="Y342" s="467">
        <v>5.0000000000000001E-4</v>
      </c>
      <c r="Z342" s="80"/>
      <c r="AA342" s="29" t="str">
        <f t="shared" si="59"/>
        <v>F010</v>
      </c>
      <c r="AB342" s="29" t="str">
        <f t="shared" si="60"/>
        <v>F00.1</v>
      </c>
      <c r="AC342" s="29" t="str">
        <f t="shared" si="61"/>
        <v>F00.0005</v>
      </c>
      <c r="AD342" s="29" t="str">
        <f t="shared" si="62"/>
        <v>F019</v>
      </c>
      <c r="AE342" s="443"/>
      <c r="AF342" s="443"/>
      <c r="AG342" s="443"/>
      <c r="AH342" s="443"/>
    </row>
    <row r="343" spans="1:34" ht="16.5">
      <c r="A343" s="728">
        <f t="shared" si="65"/>
        <v>336</v>
      </c>
      <c r="B343" s="563">
        <v>10</v>
      </c>
      <c r="C343" s="694">
        <v>27932</v>
      </c>
      <c r="D343" s="694" t="s">
        <v>149</v>
      </c>
      <c r="E343" s="563">
        <v>21</v>
      </c>
      <c r="F343" s="503">
        <v>1976</v>
      </c>
      <c r="G343" s="563" t="s">
        <v>118</v>
      </c>
      <c r="H343" s="503" t="s">
        <v>122</v>
      </c>
      <c r="I343" s="695">
        <v>10</v>
      </c>
      <c r="J343" s="695">
        <v>0.3</v>
      </c>
      <c r="K343" s="777">
        <f t="shared" si="64"/>
        <v>1.7045454545454545E-3</v>
      </c>
      <c r="L343" s="968">
        <v>0</v>
      </c>
      <c r="M343" s="503">
        <f t="shared" si="55"/>
        <v>18</v>
      </c>
      <c r="N343" s="504">
        <v>0.76249999999999996</v>
      </c>
      <c r="O343" s="719">
        <f t="shared" si="56"/>
        <v>0.76249999999999996</v>
      </c>
      <c r="P343" s="564"/>
      <c r="Q343" s="564">
        <f t="shared" si="63"/>
        <v>-0.76249999999999996</v>
      </c>
      <c r="R343" s="965" t="s">
        <v>1520</v>
      </c>
      <c r="S343" s="487"/>
      <c r="T343" s="29"/>
      <c r="U343" s="29" t="str">
        <f t="shared" si="57"/>
        <v>RandallF0</v>
      </c>
      <c r="V343" s="29" t="str">
        <f t="shared" si="58"/>
        <v>1976F0</v>
      </c>
      <c r="W343" s="80">
        <v>10</v>
      </c>
      <c r="X343" s="32">
        <v>0.2</v>
      </c>
      <c r="Y343" s="467">
        <v>1E-3</v>
      </c>
      <c r="Z343" s="80"/>
      <c r="AA343" s="29" t="str">
        <f t="shared" si="59"/>
        <v>F010</v>
      </c>
      <c r="AB343" s="29" t="str">
        <f t="shared" si="60"/>
        <v>F00.2</v>
      </c>
      <c r="AC343" s="29" t="str">
        <f t="shared" si="61"/>
        <v>F00.001</v>
      </c>
      <c r="AD343" s="29" t="str">
        <f t="shared" si="62"/>
        <v>F018</v>
      </c>
      <c r="AE343" s="443"/>
      <c r="AF343" s="443"/>
      <c r="AG343" s="443"/>
      <c r="AH343" s="443"/>
    </row>
    <row r="344" spans="1:34" ht="16.5">
      <c r="A344" s="728">
        <f t="shared" si="65"/>
        <v>337</v>
      </c>
      <c r="B344" s="563">
        <v>1</v>
      </c>
      <c r="C344" s="694">
        <v>28234</v>
      </c>
      <c r="D344" s="694" t="s">
        <v>147</v>
      </c>
      <c r="E344" s="563">
        <v>19</v>
      </c>
      <c r="F344" s="503">
        <v>1977</v>
      </c>
      <c r="G344" s="563" t="s">
        <v>120</v>
      </c>
      <c r="H344" s="503" t="s">
        <v>122</v>
      </c>
      <c r="I344" s="695">
        <v>10</v>
      </c>
      <c r="J344" s="695">
        <v>0.1</v>
      </c>
      <c r="K344" s="777">
        <f t="shared" si="64"/>
        <v>5.6818181818181826E-4</v>
      </c>
      <c r="L344" s="968">
        <v>0</v>
      </c>
      <c r="M344" s="503">
        <f t="shared" si="55"/>
        <v>15</v>
      </c>
      <c r="N344" s="504">
        <v>0.64583333333333337</v>
      </c>
      <c r="O344" s="719">
        <f t="shared" si="56"/>
        <v>0.64583333333333337</v>
      </c>
      <c r="P344" s="564"/>
      <c r="Q344" s="564">
        <f t="shared" si="63"/>
        <v>-0.64583333333333337</v>
      </c>
      <c r="R344" s="965" t="s">
        <v>1520</v>
      </c>
      <c r="S344" s="487"/>
      <c r="T344" s="29"/>
      <c r="U344" s="29" t="str">
        <f t="shared" si="57"/>
        <v>DonleyF0</v>
      </c>
      <c r="V344" s="29" t="str">
        <f t="shared" si="58"/>
        <v>1977F0</v>
      </c>
      <c r="W344" s="80">
        <v>10</v>
      </c>
      <c r="X344" s="32">
        <v>0.1</v>
      </c>
      <c r="Y344" s="467">
        <v>5.0000000000000001E-4</v>
      </c>
      <c r="Z344" s="80"/>
      <c r="AA344" s="29" t="str">
        <f t="shared" si="59"/>
        <v>F010</v>
      </c>
      <c r="AB344" s="29" t="str">
        <f t="shared" si="60"/>
        <v>F00.1</v>
      </c>
      <c r="AC344" s="29" t="str">
        <f t="shared" si="61"/>
        <v>F00.0005</v>
      </c>
      <c r="AD344" s="29" t="str">
        <f t="shared" si="62"/>
        <v>F015</v>
      </c>
      <c r="AE344" s="443"/>
      <c r="AF344" s="443"/>
      <c r="AG344" s="443"/>
      <c r="AH344" s="443"/>
    </row>
    <row r="345" spans="1:34" ht="16.5">
      <c r="A345" s="728">
        <f t="shared" si="65"/>
        <v>338</v>
      </c>
      <c r="B345" s="563">
        <v>2</v>
      </c>
      <c r="C345" s="694">
        <v>28246</v>
      </c>
      <c r="D345" s="694" t="s">
        <v>148</v>
      </c>
      <c r="E345" s="563">
        <v>1</v>
      </c>
      <c r="F345" s="503">
        <v>1977</v>
      </c>
      <c r="G345" s="563" t="s">
        <v>101</v>
      </c>
      <c r="H345" s="503" t="s">
        <v>124</v>
      </c>
      <c r="I345" s="695">
        <v>100</v>
      </c>
      <c r="J345" s="695">
        <v>2.7</v>
      </c>
      <c r="K345" s="777">
        <f t="shared" si="64"/>
        <v>0.15340909090909091</v>
      </c>
      <c r="L345" s="968">
        <v>0</v>
      </c>
      <c r="M345" s="503">
        <f t="shared" si="55"/>
        <v>15</v>
      </c>
      <c r="N345" s="504">
        <v>0.65972222222222221</v>
      </c>
      <c r="O345" s="719">
        <f t="shared" si="56"/>
        <v>0.65972222222222221</v>
      </c>
      <c r="P345" s="564">
        <v>0.67361111111111116</v>
      </c>
      <c r="Q345" s="564">
        <f t="shared" si="63"/>
        <v>1.3888888888888951E-2</v>
      </c>
      <c r="R345" s="965" t="s">
        <v>1520</v>
      </c>
      <c r="S345" s="487"/>
      <c r="T345" s="29"/>
      <c r="U345" s="29" t="str">
        <f t="shared" si="57"/>
        <v>BeaverF2</v>
      </c>
      <c r="V345" s="29" t="str">
        <f t="shared" si="58"/>
        <v>1977F2</v>
      </c>
      <c r="W345" s="80">
        <v>100</v>
      </c>
      <c r="X345" s="32">
        <v>2</v>
      </c>
      <c r="Y345" s="467">
        <v>0.1</v>
      </c>
      <c r="Z345" s="80"/>
      <c r="AA345" s="29" t="str">
        <f t="shared" si="59"/>
        <v>F2100</v>
      </c>
      <c r="AB345" s="29" t="str">
        <f t="shared" si="60"/>
        <v>F22</v>
      </c>
      <c r="AC345" s="29" t="str">
        <f t="shared" si="61"/>
        <v>F20.1</v>
      </c>
      <c r="AD345" s="29" t="str">
        <f t="shared" si="62"/>
        <v>F215</v>
      </c>
      <c r="AE345" s="443"/>
      <c r="AF345" s="443"/>
      <c r="AG345" s="443"/>
      <c r="AH345" s="443"/>
    </row>
    <row r="346" spans="1:34" ht="25.5">
      <c r="A346" s="728">
        <f t="shared" si="65"/>
        <v>339</v>
      </c>
      <c r="B346" s="563">
        <v>3</v>
      </c>
      <c r="C346" s="694">
        <v>28259</v>
      </c>
      <c r="D346" s="694" t="s">
        <v>148</v>
      </c>
      <c r="E346" s="563">
        <v>14</v>
      </c>
      <c r="F346" s="503">
        <v>1977</v>
      </c>
      <c r="G346" s="563" t="s">
        <v>102</v>
      </c>
      <c r="H346" s="503" t="s">
        <v>123</v>
      </c>
      <c r="I346" s="695">
        <v>20</v>
      </c>
      <c r="J346" s="695">
        <v>1</v>
      </c>
      <c r="K346" s="777">
        <f t="shared" si="64"/>
        <v>1.1363636363636364E-2</v>
      </c>
      <c r="L346" s="968">
        <v>0</v>
      </c>
      <c r="M346" s="503">
        <f t="shared" si="55"/>
        <v>0</v>
      </c>
      <c r="N346" s="504">
        <v>6.9444444444444447E-4</v>
      </c>
      <c r="O346" s="719">
        <f t="shared" si="56"/>
        <v>6.9444444444444447E-4</v>
      </c>
      <c r="P346" s="564"/>
      <c r="Q346" s="564">
        <f t="shared" si="63"/>
        <v>-6.9444444444444447E-4</v>
      </c>
      <c r="R346" s="965" t="s">
        <v>1520</v>
      </c>
      <c r="S346" s="303" t="s">
        <v>822</v>
      </c>
      <c r="T346" s="29"/>
      <c r="U346" s="29" t="str">
        <f t="shared" si="57"/>
        <v>DallamF1</v>
      </c>
      <c r="V346" s="29" t="str">
        <f t="shared" si="58"/>
        <v>1977F1</v>
      </c>
      <c r="W346" s="80">
        <v>20</v>
      </c>
      <c r="X346" s="32">
        <v>1</v>
      </c>
      <c r="Y346" s="467">
        <v>0.01</v>
      </c>
      <c r="Z346" s="80"/>
      <c r="AA346" s="29" t="str">
        <f t="shared" si="59"/>
        <v>F120</v>
      </c>
      <c r="AB346" s="29" t="str">
        <f t="shared" si="60"/>
        <v>F11</v>
      </c>
      <c r="AC346" s="29" t="str">
        <f t="shared" si="61"/>
        <v>F10.01</v>
      </c>
      <c r="AD346" s="29" t="str">
        <f t="shared" si="62"/>
        <v>F10</v>
      </c>
      <c r="AE346" s="443"/>
      <c r="AF346" s="443"/>
      <c r="AG346" s="443"/>
      <c r="AH346" s="443"/>
    </row>
    <row r="347" spans="1:34" ht="16.5">
      <c r="A347" s="728">
        <f t="shared" si="65"/>
        <v>340</v>
      </c>
      <c r="B347" s="563">
        <v>4</v>
      </c>
      <c r="C347" s="694">
        <v>28259</v>
      </c>
      <c r="D347" s="694" t="s">
        <v>148</v>
      </c>
      <c r="E347" s="563">
        <v>14</v>
      </c>
      <c r="F347" s="503">
        <v>1977</v>
      </c>
      <c r="G347" s="563" t="s">
        <v>114</v>
      </c>
      <c r="H347" s="503" t="s">
        <v>123</v>
      </c>
      <c r="I347" s="695">
        <v>20</v>
      </c>
      <c r="J347" s="695">
        <v>1</v>
      </c>
      <c r="K347" s="777">
        <f t="shared" si="64"/>
        <v>1.1363636363636364E-2</v>
      </c>
      <c r="L347" s="968">
        <v>0</v>
      </c>
      <c r="M347" s="503">
        <f t="shared" si="55"/>
        <v>14</v>
      </c>
      <c r="N347" s="504">
        <v>0.60069444444444442</v>
      </c>
      <c r="O347" s="719">
        <f t="shared" si="56"/>
        <v>0.60069444444444442</v>
      </c>
      <c r="P347" s="564">
        <v>0.6020833333333333</v>
      </c>
      <c r="Q347" s="564">
        <f t="shared" si="63"/>
        <v>1.388888888888884E-3</v>
      </c>
      <c r="R347" s="965" t="s">
        <v>1520</v>
      </c>
      <c r="S347" s="487" t="s">
        <v>77</v>
      </c>
      <c r="T347" s="29"/>
      <c r="U347" s="29" t="str">
        <f t="shared" si="57"/>
        <v>CarsonF1</v>
      </c>
      <c r="V347" s="29" t="str">
        <f t="shared" si="58"/>
        <v>1977F1</v>
      </c>
      <c r="W347" s="80">
        <v>20</v>
      </c>
      <c r="X347" s="32">
        <v>1</v>
      </c>
      <c r="Y347" s="467">
        <v>0.01</v>
      </c>
      <c r="Z347" s="80"/>
      <c r="AA347" s="29" t="str">
        <f t="shared" si="59"/>
        <v>F120</v>
      </c>
      <c r="AB347" s="29" t="str">
        <f t="shared" si="60"/>
        <v>F11</v>
      </c>
      <c r="AC347" s="29" t="str">
        <f t="shared" si="61"/>
        <v>F10.01</v>
      </c>
      <c r="AD347" s="29" t="str">
        <f t="shared" si="62"/>
        <v>F114</v>
      </c>
      <c r="AE347" s="443"/>
      <c r="AF347" s="443"/>
      <c r="AG347" s="443"/>
      <c r="AH347" s="443"/>
    </row>
    <row r="348" spans="1:34" ht="16.5">
      <c r="A348" s="728">
        <f t="shared" si="65"/>
        <v>341</v>
      </c>
      <c r="B348" s="563">
        <v>5</v>
      </c>
      <c r="C348" s="694">
        <v>28261</v>
      </c>
      <c r="D348" s="694" t="s">
        <v>148</v>
      </c>
      <c r="E348" s="563">
        <v>16</v>
      </c>
      <c r="F348" s="503">
        <v>1977</v>
      </c>
      <c r="G348" s="563" t="s">
        <v>121</v>
      </c>
      <c r="H348" s="503" t="s">
        <v>125</v>
      </c>
      <c r="I348" s="695">
        <v>500</v>
      </c>
      <c r="J348" s="695">
        <v>16.7</v>
      </c>
      <c r="K348" s="777">
        <f t="shared" si="64"/>
        <v>4.7443181818181817</v>
      </c>
      <c r="L348" s="968">
        <v>3000</v>
      </c>
      <c r="M348" s="503">
        <f t="shared" si="55"/>
        <v>15</v>
      </c>
      <c r="N348" s="504">
        <v>0.63194444444444442</v>
      </c>
      <c r="O348" s="719">
        <f t="shared" si="56"/>
        <v>0.63194444444444442</v>
      </c>
      <c r="P348" s="564">
        <v>0.65972222222222221</v>
      </c>
      <c r="Q348" s="564">
        <f t="shared" si="63"/>
        <v>2.777777777777779E-2</v>
      </c>
      <c r="R348" s="965" t="s">
        <v>1520</v>
      </c>
      <c r="S348" s="487" t="s">
        <v>78</v>
      </c>
      <c r="T348" s="29"/>
      <c r="U348" s="29" t="str">
        <f t="shared" si="57"/>
        <v>CollingsworthF3</v>
      </c>
      <c r="V348" s="29" t="str">
        <f t="shared" si="58"/>
        <v>1977F3</v>
      </c>
      <c r="W348" s="80">
        <v>500</v>
      </c>
      <c r="X348" s="32">
        <v>10</v>
      </c>
      <c r="Y348" s="467">
        <v>2</v>
      </c>
      <c r="Z348" s="80"/>
      <c r="AA348" s="29" t="str">
        <f t="shared" si="59"/>
        <v>F3500</v>
      </c>
      <c r="AB348" s="29" t="str">
        <f t="shared" si="60"/>
        <v>F310</v>
      </c>
      <c r="AC348" s="29" t="str">
        <f t="shared" si="61"/>
        <v>F32</v>
      </c>
      <c r="AD348" s="29" t="str">
        <f t="shared" si="62"/>
        <v>F315</v>
      </c>
      <c r="AE348" s="443"/>
      <c r="AF348" s="443"/>
      <c r="AG348" s="443"/>
      <c r="AH348" s="443"/>
    </row>
    <row r="349" spans="1:34" ht="40.5" customHeight="1">
      <c r="A349" s="728">
        <f t="shared" si="65"/>
        <v>342</v>
      </c>
      <c r="B349" s="563">
        <v>6</v>
      </c>
      <c r="C349" s="694">
        <v>28261</v>
      </c>
      <c r="D349" s="694" t="s">
        <v>148</v>
      </c>
      <c r="E349" s="563">
        <v>16</v>
      </c>
      <c r="F349" s="503">
        <v>1977</v>
      </c>
      <c r="G349" s="563" t="s">
        <v>121</v>
      </c>
      <c r="H349" s="503" t="s">
        <v>125</v>
      </c>
      <c r="I349" s="695">
        <v>500</v>
      </c>
      <c r="J349" s="695">
        <v>3</v>
      </c>
      <c r="K349" s="777">
        <f t="shared" si="64"/>
        <v>0.85227272727272729</v>
      </c>
      <c r="L349" s="968">
        <v>3000</v>
      </c>
      <c r="M349" s="503">
        <f t="shared" si="55"/>
        <v>16</v>
      </c>
      <c r="N349" s="504">
        <v>0.67013888888888884</v>
      </c>
      <c r="O349" s="719">
        <f t="shared" si="56"/>
        <v>0.67013888888888884</v>
      </c>
      <c r="P349" s="564">
        <v>0.67569444444444438</v>
      </c>
      <c r="Q349" s="564">
        <f t="shared" si="63"/>
        <v>5.5555555555555358E-3</v>
      </c>
      <c r="R349" s="965" t="s">
        <v>1520</v>
      </c>
      <c r="S349" s="303" t="s">
        <v>710</v>
      </c>
      <c r="T349" s="29"/>
      <c r="U349" s="29" t="str">
        <f t="shared" si="57"/>
        <v>CollingsworthF3</v>
      </c>
      <c r="V349" s="29" t="str">
        <f t="shared" si="58"/>
        <v>1977F3</v>
      </c>
      <c r="W349" s="80">
        <v>500</v>
      </c>
      <c r="X349" s="32">
        <v>2</v>
      </c>
      <c r="Y349" s="467">
        <v>0.5</v>
      </c>
      <c r="Z349" s="80"/>
      <c r="AA349" s="29" t="str">
        <f t="shared" si="59"/>
        <v>F3500</v>
      </c>
      <c r="AB349" s="29" t="str">
        <f t="shared" si="60"/>
        <v>F32</v>
      </c>
      <c r="AC349" s="29" t="str">
        <f t="shared" si="61"/>
        <v>F30.5</v>
      </c>
      <c r="AD349" s="29" t="str">
        <f t="shared" si="62"/>
        <v>F316</v>
      </c>
      <c r="AE349" s="443"/>
      <c r="AF349" s="443"/>
      <c r="AG349" s="443"/>
      <c r="AH349" s="443"/>
    </row>
    <row r="350" spans="1:34" ht="41.25" customHeight="1">
      <c r="A350" s="728">
        <f t="shared" si="65"/>
        <v>343</v>
      </c>
      <c r="B350" s="563">
        <v>7</v>
      </c>
      <c r="C350" s="694">
        <v>28261</v>
      </c>
      <c r="D350" s="694" t="s">
        <v>148</v>
      </c>
      <c r="E350" s="563">
        <v>16</v>
      </c>
      <c r="F350" s="503">
        <v>1977</v>
      </c>
      <c r="G350" s="563" t="s">
        <v>116</v>
      </c>
      <c r="H350" s="503" t="s">
        <v>125</v>
      </c>
      <c r="I350" s="695">
        <v>500</v>
      </c>
      <c r="J350" s="695">
        <v>12</v>
      </c>
      <c r="K350" s="777">
        <f t="shared" si="64"/>
        <v>3.4090909090909092</v>
      </c>
      <c r="L350" s="968">
        <v>3000</v>
      </c>
      <c r="M350" s="503">
        <f t="shared" ref="M350:M413" si="66">HOUR(O350)</f>
        <v>16</v>
      </c>
      <c r="N350" s="504">
        <v>0.67569444444444438</v>
      </c>
      <c r="O350" s="719">
        <f t="shared" si="56"/>
        <v>0.67569444444444438</v>
      </c>
      <c r="P350" s="564">
        <v>0.69444444444444453</v>
      </c>
      <c r="Q350" s="564">
        <f t="shared" si="63"/>
        <v>1.8750000000000155E-2</v>
      </c>
      <c r="R350" s="965" t="s">
        <v>1520</v>
      </c>
      <c r="S350" s="303" t="s">
        <v>711</v>
      </c>
      <c r="T350" s="29"/>
      <c r="U350" s="29" t="str">
        <f t="shared" si="57"/>
        <v>WheelerF3</v>
      </c>
      <c r="V350" s="29" t="str">
        <f t="shared" si="58"/>
        <v>1977F3</v>
      </c>
      <c r="W350" s="80">
        <v>20</v>
      </c>
      <c r="X350" s="32">
        <v>10</v>
      </c>
      <c r="Y350" s="467">
        <v>2</v>
      </c>
      <c r="Z350" s="80"/>
      <c r="AA350" s="29" t="str">
        <f t="shared" si="59"/>
        <v>F320</v>
      </c>
      <c r="AB350" s="29" t="str">
        <f t="shared" si="60"/>
        <v>F310</v>
      </c>
      <c r="AC350" s="29" t="str">
        <f t="shared" si="61"/>
        <v>F32</v>
      </c>
      <c r="AD350" s="29" t="str">
        <f t="shared" si="62"/>
        <v>F316</v>
      </c>
      <c r="AE350" s="443"/>
      <c r="AF350" s="443"/>
      <c r="AG350" s="443"/>
      <c r="AH350" s="443"/>
    </row>
    <row r="351" spans="1:34" ht="16.5">
      <c r="A351" s="728">
        <f t="shared" si="65"/>
        <v>344</v>
      </c>
      <c r="B351" s="563">
        <v>8</v>
      </c>
      <c r="C351" s="694">
        <v>28262</v>
      </c>
      <c r="D351" s="694" t="s">
        <v>148</v>
      </c>
      <c r="E351" s="563">
        <v>17</v>
      </c>
      <c r="F351" s="503">
        <v>1977</v>
      </c>
      <c r="G351" s="563" t="s">
        <v>119</v>
      </c>
      <c r="H351" s="503" t="s">
        <v>122</v>
      </c>
      <c r="I351" s="695">
        <v>20</v>
      </c>
      <c r="J351" s="695">
        <v>0.2</v>
      </c>
      <c r="K351" s="777">
        <f t="shared" si="64"/>
        <v>2.2727272727272731E-3</v>
      </c>
      <c r="L351" s="968">
        <v>0</v>
      </c>
      <c r="M351" s="503">
        <f t="shared" si="66"/>
        <v>18</v>
      </c>
      <c r="N351" s="504">
        <v>0.77083333333333337</v>
      </c>
      <c r="O351" s="719">
        <f t="shared" si="56"/>
        <v>0.77083333333333337</v>
      </c>
      <c r="P351" s="564"/>
      <c r="Q351" s="564">
        <f t="shared" si="63"/>
        <v>-0.77083333333333337</v>
      </c>
      <c r="R351" s="965" t="s">
        <v>1520</v>
      </c>
      <c r="S351" s="487" t="s">
        <v>1081</v>
      </c>
      <c r="T351" s="29"/>
      <c r="U351" s="29" t="str">
        <f t="shared" si="57"/>
        <v>ArmstrongF0</v>
      </c>
      <c r="V351" s="29" t="str">
        <f t="shared" si="58"/>
        <v>1977F0</v>
      </c>
      <c r="W351" s="80">
        <v>20</v>
      </c>
      <c r="X351" s="32">
        <v>0.2</v>
      </c>
      <c r="Y351" s="467">
        <v>2E-3</v>
      </c>
      <c r="Z351" s="80"/>
      <c r="AA351" s="29" t="str">
        <f t="shared" si="59"/>
        <v>F020</v>
      </c>
      <c r="AB351" s="29" t="str">
        <f t="shared" si="60"/>
        <v>F00.2</v>
      </c>
      <c r="AC351" s="29" t="str">
        <f t="shared" si="61"/>
        <v>F00.002</v>
      </c>
      <c r="AD351" s="29" t="str">
        <f t="shared" si="62"/>
        <v>F018</v>
      </c>
      <c r="AE351" s="443"/>
      <c r="AF351" s="443"/>
      <c r="AG351" s="443"/>
      <c r="AH351" s="443"/>
    </row>
    <row r="352" spans="1:34" ht="16.5">
      <c r="A352" s="728">
        <f t="shared" si="65"/>
        <v>345</v>
      </c>
      <c r="B352" s="563">
        <v>9</v>
      </c>
      <c r="C352" s="694">
        <v>28262</v>
      </c>
      <c r="D352" s="694" t="s">
        <v>148</v>
      </c>
      <c r="E352" s="563">
        <v>17</v>
      </c>
      <c r="F352" s="503">
        <v>1977</v>
      </c>
      <c r="G352" s="563" t="s">
        <v>109</v>
      </c>
      <c r="H352" s="503" t="s">
        <v>123</v>
      </c>
      <c r="I352" s="695">
        <v>20</v>
      </c>
      <c r="J352" s="695">
        <v>1</v>
      </c>
      <c r="K352" s="777">
        <f t="shared" si="64"/>
        <v>1.1363636363636364E-2</v>
      </c>
      <c r="L352" s="968">
        <v>0</v>
      </c>
      <c r="M352" s="503">
        <f t="shared" si="66"/>
        <v>19</v>
      </c>
      <c r="N352" s="504">
        <v>0.79166666666666663</v>
      </c>
      <c r="O352" s="719">
        <f t="shared" si="56"/>
        <v>0.79166666666666663</v>
      </c>
      <c r="P352" s="564"/>
      <c r="Q352" s="564">
        <f t="shared" si="63"/>
        <v>-0.79166666666666663</v>
      </c>
      <c r="R352" s="965" t="s">
        <v>1520</v>
      </c>
      <c r="S352" s="487" t="s">
        <v>1082</v>
      </c>
      <c r="T352" s="29"/>
      <c r="U352" s="29" t="str">
        <f t="shared" si="57"/>
        <v>HutchinsonF1</v>
      </c>
      <c r="V352" s="29" t="str">
        <f t="shared" si="58"/>
        <v>1977F1</v>
      </c>
      <c r="W352" s="80">
        <v>20</v>
      </c>
      <c r="X352" s="32">
        <v>1</v>
      </c>
      <c r="Y352" s="467">
        <v>0.01</v>
      </c>
      <c r="Z352" s="80"/>
      <c r="AA352" s="29" t="str">
        <f t="shared" si="59"/>
        <v>F120</v>
      </c>
      <c r="AB352" s="29" t="str">
        <f t="shared" si="60"/>
        <v>F11</v>
      </c>
      <c r="AC352" s="29" t="str">
        <f t="shared" si="61"/>
        <v>F10.01</v>
      </c>
      <c r="AD352" s="29" t="str">
        <f t="shared" si="62"/>
        <v>F119</v>
      </c>
      <c r="AE352" s="443"/>
      <c r="AF352" s="443"/>
      <c r="AG352" s="443"/>
      <c r="AH352" s="443"/>
    </row>
    <row r="353" spans="1:34" ht="16.5">
      <c r="A353" s="728">
        <f t="shared" si="65"/>
        <v>346</v>
      </c>
      <c r="B353" s="563">
        <v>10</v>
      </c>
      <c r="C353" s="694">
        <v>28262</v>
      </c>
      <c r="D353" s="694" t="s">
        <v>148</v>
      </c>
      <c r="E353" s="563">
        <v>17</v>
      </c>
      <c r="F353" s="503">
        <v>1977</v>
      </c>
      <c r="G353" s="563" t="s">
        <v>119</v>
      </c>
      <c r="H353" s="503" t="s">
        <v>123</v>
      </c>
      <c r="I353" s="695">
        <v>20</v>
      </c>
      <c r="J353" s="695">
        <v>6.4</v>
      </c>
      <c r="K353" s="777">
        <f t="shared" si="64"/>
        <v>7.2727272727272738E-2</v>
      </c>
      <c r="L353" s="968">
        <v>0</v>
      </c>
      <c r="M353" s="503">
        <f t="shared" si="66"/>
        <v>19</v>
      </c>
      <c r="N353" s="504">
        <v>0.81041666666666667</v>
      </c>
      <c r="O353" s="719">
        <f t="shared" si="56"/>
        <v>0.81041666666666667</v>
      </c>
      <c r="P353" s="564"/>
      <c r="Q353" s="564">
        <f t="shared" si="63"/>
        <v>-0.81041666666666667</v>
      </c>
      <c r="R353" s="965" t="s">
        <v>1520</v>
      </c>
      <c r="S353" s="487" t="s">
        <v>39</v>
      </c>
      <c r="T353" s="29"/>
      <c r="U353" s="29" t="str">
        <f t="shared" si="57"/>
        <v>ArmstrongF1</v>
      </c>
      <c r="V353" s="29" t="str">
        <f t="shared" si="58"/>
        <v>1977F1</v>
      </c>
      <c r="W353" s="80">
        <v>20</v>
      </c>
      <c r="X353" s="32">
        <v>5</v>
      </c>
      <c r="Y353" s="467">
        <v>0.05</v>
      </c>
      <c r="Z353" s="80"/>
      <c r="AA353" s="29" t="str">
        <f t="shared" si="59"/>
        <v>F120</v>
      </c>
      <c r="AB353" s="29" t="str">
        <f t="shared" si="60"/>
        <v>F15</v>
      </c>
      <c r="AC353" s="29" t="str">
        <f t="shared" si="61"/>
        <v>F10.05</v>
      </c>
      <c r="AD353" s="29" t="str">
        <f t="shared" si="62"/>
        <v>F119</v>
      </c>
      <c r="AE353" s="443"/>
      <c r="AF353" s="443"/>
      <c r="AG353" s="443"/>
      <c r="AH353" s="443"/>
    </row>
    <row r="354" spans="1:34" ht="16.5">
      <c r="A354" s="728">
        <f t="shared" si="65"/>
        <v>347</v>
      </c>
      <c r="B354" s="563">
        <v>11</v>
      </c>
      <c r="C354" s="694">
        <v>28262</v>
      </c>
      <c r="D354" s="694" t="s">
        <v>148</v>
      </c>
      <c r="E354" s="563">
        <v>17</v>
      </c>
      <c r="F354" s="503">
        <v>1977</v>
      </c>
      <c r="G354" s="563" t="s">
        <v>114</v>
      </c>
      <c r="H354" s="503" t="s">
        <v>123</v>
      </c>
      <c r="I354" s="695">
        <v>20</v>
      </c>
      <c r="J354" s="695">
        <v>1</v>
      </c>
      <c r="K354" s="777">
        <f t="shared" si="64"/>
        <v>1.1363636363636364E-2</v>
      </c>
      <c r="L354" s="968">
        <v>0</v>
      </c>
      <c r="M354" s="503">
        <f t="shared" si="66"/>
        <v>19</v>
      </c>
      <c r="N354" s="504">
        <v>0.82638888888888884</v>
      </c>
      <c r="O354" s="719">
        <f t="shared" si="56"/>
        <v>0.82638888888888884</v>
      </c>
      <c r="P354" s="564"/>
      <c r="Q354" s="564">
        <f t="shared" si="63"/>
        <v>-0.82638888888888884</v>
      </c>
      <c r="R354" s="965" t="s">
        <v>1520</v>
      </c>
      <c r="S354" s="487" t="s">
        <v>1083</v>
      </c>
      <c r="T354" s="29"/>
      <c r="U354" s="29" t="str">
        <f t="shared" si="57"/>
        <v>CarsonF1</v>
      </c>
      <c r="V354" s="29" t="str">
        <f t="shared" si="58"/>
        <v>1977F1</v>
      </c>
      <c r="W354" s="80">
        <v>20</v>
      </c>
      <c r="X354" s="32">
        <v>1</v>
      </c>
      <c r="Y354" s="467">
        <v>0.01</v>
      </c>
      <c r="Z354" s="80"/>
      <c r="AA354" s="29" t="str">
        <f t="shared" si="59"/>
        <v>F120</v>
      </c>
      <c r="AB354" s="29" t="str">
        <f t="shared" si="60"/>
        <v>F11</v>
      </c>
      <c r="AC354" s="29" t="str">
        <f t="shared" si="61"/>
        <v>F10.01</v>
      </c>
      <c r="AD354" s="29" t="str">
        <f t="shared" si="62"/>
        <v>F119</v>
      </c>
      <c r="AE354" s="443"/>
      <c r="AF354" s="443"/>
      <c r="AG354" s="443"/>
      <c r="AH354" s="443"/>
    </row>
    <row r="355" spans="1:34" ht="16.5">
      <c r="A355" s="728">
        <f t="shared" si="65"/>
        <v>348</v>
      </c>
      <c r="B355" s="563">
        <v>12</v>
      </c>
      <c r="C355" s="694">
        <v>28262</v>
      </c>
      <c r="D355" s="694" t="s">
        <v>148</v>
      </c>
      <c r="E355" s="563">
        <v>17</v>
      </c>
      <c r="F355" s="503">
        <v>1977</v>
      </c>
      <c r="G355" s="563" t="s">
        <v>119</v>
      </c>
      <c r="H355" s="503" t="s">
        <v>123</v>
      </c>
      <c r="I355" s="695">
        <v>20</v>
      </c>
      <c r="J355" s="695">
        <v>1</v>
      </c>
      <c r="K355" s="777">
        <f t="shared" si="64"/>
        <v>1.1363636363636364E-2</v>
      </c>
      <c r="L355" s="968">
        <v>0</v>
      </c>
      <c r="M355" s="503">
        <f t="shared" si="66"/>
        <v>20</v>
      </c>
      <c r="N355" s="504">
        <v>0.86111111111111116</v>
      </c>
      <c r="O355" s="719">
        <f t="shared" si="56"/>
        <v>0.86111111111111116</v>
      </c>
      <c r="P355" s="564"/>
      <c r="Q355" s="564">
        <f t="shared" si="63"/>
        <v>-0.86111111111111116</v>
      </c>
      <c r="R355" s="965" t="s">
        <v>1520</v>
      </c>
      <c r="S355" s="487" t="s">
        <v>1084</v>
      </c>
      <c r="T355" s="29"/>
      <c r="U355" s="29" t="str">
        <f t="shared" si="57"/>
        <v>ArmstrongF1</v>
      </c>
      <c r="V355" s="29" t="str">
        <f t="shared" si="58"/>
        <v>1977F1</v>
      </c>
      <c r="W355" s="80">
        <v>20</v>
      </c>
      <c r="X355" s="32">
        <v>1</v>
      </c>
      <c r="Y355" s="467">
        <v>0.01</v>
      </c>
      <c r="Z355" s="80"/>
      <c r="AA355" s="29" t="str">
        <f t="shared" si="59"/>
        <v>F120</v>
      </c>
      <c r="AB355" s="29" t="str">
        <f t="shared" si="60"/>
        <v>F11</v>
      </c>
      <c r="AC355" s="29" t="str">
        <f t="shared" si="61"/>
        <v>F10.01</v>
      </c>
      <c r="AD355" s="29" t="str">
        <f t="shared" si="62"/>
        <v>F120</v>
      </c>
      <c r="AE355" s="443"/>
      <c r="AF355" s="443"/>
      <c r="AG355" s="443"/>
      <c r="AH355" s="443"/>
    </row>
    <row r="356" spans="1:34" ht="16.5">
      <c r="A356" s="728">
        <f t="shared" si="65"/>
        <v>349</v>
      </c>
      <c r="B356" s="563">
        <v>13</v>
      </c>
      <c r="C356" s="694">
        <v>28262</v>
      </c>
      <c r="D356" s="694" t="s">
        <v>148</v>
      </c>
      <c r="E356" s="563">
        <v>17</v>
      </c>
      <c r="F356" s="503">
        <v>1977</v>
      </c>
      <c r="G356" s="563" t="s">
        <v>115</v>
      </c>
      <c r="H356" s="503" t="s">
        <v>122</v>
      </c>
      <c r="I356" s="695">
        <v>20</v>
      </c>
      <c r="J356" s="695">
        <v>0.5</v>
      </c>
      <c r="K356" s="777">
        <f t="shared" si="64"/>
        <v>5.681818181818182E-3</v>
      </c>
      <c r="L356" s="968">
        <v>0</v>
      </c>
      <c r="M356" s="503">
        <f t="shared" si="66"/>
        <v>22</v>
      </c>
      <c r="N356" s="504">
        <v>0.92361111111111116</v>
      </c>
      <c r="O356" s="719">
        <f t="shared" si="56"/>
        <v>0.92361111111111116</v>
      </c>
      <c r="P356" s="564"/>
      <c r="Q356" s="564">
        <f t="shared" si="63"/>
        <v>-0.92361111111111116</v>
      </c>
      <c r="R356" s="965" t="s">
        <v>1520</v>
      </c>
      <c r="S356" s="487" t="s">
        <v>1085</v>
      </c>
      <c r="T356" s="29"/>
      <c r="U356" s="29" t="str">
        <f t="shared" si="57"/>
        <v>GrayF0</v>
      </c>
      <c r="V356" s="29" t="str">
        <f t="shared" si="58"/>
        <v>1977F0</v>
      </c>
      <c r="W356" s="80">
        <v>20</v>
      </c>
      <c r="X356" s="32">
        <v>0.5</v>
      </c>
      <c r="Y356" s="467">
        <v>5.0000000000000001E-3</v>
      </c>
      <c r="Z356" s="80"/>
      <c r="AA356" s="29" t="str">
        <f t="shared" si="59"/>
        <v>F020</v>
      </c>
      <c r="AB356" s="29" t="str">
        <f t="shared" si="60"/>
        <v>F00.5</v>
      </c>
      <c r="AC356" s="29" t="str">
        <f t="shared" si="61"/>
        <v>F00.005</v>
      </c>
      <c r="AD356" s="29" t="str">
        <f t="shared" si="62"/>
        <v>F022</v>
      </c>
      <c r="AE356" s="443"/>
      <c r="AF356" s="443"/>
      <c r="AG356" s="443"/>
      <c r="AH356" s="443"/>
    </row>
    <row r="357" spans="1:34" ht="41.25" customHeight="1">
      <c r="A357" s="728">
        <f t="shared" si="65"/>
        <v>350</v>
      </c>
      <c r="B357" s="563">
        <v>14</v>
      </c>
      <c r="C357" s="694">
        <v>28263</v>
      </c>
      <c r="D357" s="694" t="s">
        <v>148</v>
      </c>
      <c r="E357" s="563">
        <v>18</v>
      </c>
      <c r="F357" s="503">
        <v>1977</v>
      </c>
      <c r="G357" s="563" t="s">
        <v>99</v>
      </c>
      <c r="H357" s="503" t="s">
        <v>126</v>
      </c>
      <c r="I357" s="695">
        <v>440</v>
      </c>
      <c r="J357" s="695">
        <v>29.3</v>
      </c>
      <c r="K357" s="777">
        <f t="shared" si="64"/>
        <v>7.3250000000000002</v>
      </c>
      <c r="L357" s="968">
        <v>25000</v>
      </c>
      <c r="M357" s="503">
        <f t="shared" si="66"/>
        <v>13</v>
      </c>
      <c r="N357" s="504">
        <v>0.57638888888888895</v>
      </c>
      <c r="O357" s="719">
        <f t="shared" si="56"/>
        <v>0.57638888888888895</v>
      </c>
      <c r="P357" s="564">
        <v>0.60069444444444442</v>
      </c>
      <c r="Q357" s="564">
        <f t="shared" si="63"/>
        <v>2.4305555555555469E-2</v>
      </c>
      <c r="R357" s="965" t="s">
        <v>1520</v>
      </c>
      <c r="S357" s="303" t="s">
        <v>712</v>
      </c>
      <c r="T357" s="29"/>
      <c r="U357" s="29" t="str">
        <f t="shared" si="57"/>
        <v>CimarronF4</v>
      </c>
      <c r="V357" s="29" t="str">
        <f t="shared" si="58"/>
        <v>1977F4</v>
      </c>
      <c r="W357" s="80">
        <v>200</v>
      </c>
      <c r="X357" s="32">
        <v>20</v>
      </c>
      <c r="Y357" s="467">
        <v>5</v>
      </c>
      <c r="Z357" s="80"/>
      <c r="AA357" s="29" t="str">
        <f t="shared" si="59"/>
        <v>F4200</v>
      </c>
      <c r="AB357" s="29" t="str">
        <f t="shared" si="60"/>
        <v>F420</v>
      </c>
      <c r="AC357" s="29" t="str">
        <f t="shared" si="61"/>
        <v>F45</v>
      </c>
      <c r="AD357" s="29" t="str">
        <f t="shared" si="62"/>
        <v>F413</v>
      </c>
      <c r="AE357" s="443"/>
      <c r="AF357" s="443"/>
      <c r="AG357" s="443"/>
      <c r="AH357" s="443"/>
    </row>
    <row r="358" spans="1:34" ht="43.5" customHeight="1">
      <c r="A358" s="728">
        <f t="shared" si="65"/>
        <v>351</v>
      </c>
      <c r="B358" s="563">
        <v>15</v>
      </c>
      <c r="C358" s="694">
        <v>28263</v>
      </c>
      <c r="D358" s="694" t="s">
        <v>148</v>
      </c>
      <c r="E358" s="563">
        <v>18</v>
      </c>
      <c r="F358" s="503">
        <v>1977</v>
      </c>
      <c r="G358" s="563" t="s">
        <v>99</v>
      </c>
      <c r="H358" s="503" t="s">
        <v>124</v>
      </c>
      <c r="I358" s="695">
        <v>50</v>
      </c>
      <c r="J358" s="695">
        <v>16.100000000000001</v>
      </c>
      <c r="K358" s="777">
        <f t="shared" si="64"/>
        <v>0.45738636363636365</v>
      </c>
      <c r="L358" s="968">
        <v>0</v>
      </c>
      <c r="M358" s="503">
        <f t="shared" si="66"/>
        <v>13</v>
      </c>
      <c r="N358" s="504">
        <v>0.5625</v>
      </c>
      <c r="O358" s="719">
        <f t="shared" si="56"/>
        <v>0.5625</v>
      </c>
      <c r="P358" s="564"/>
      <c r="Q358" s="564">
        <f t="shared" si="63"/>
        <v>-0.5625</v>
      </c>
      <c r="R358" s="965" t="s">
        <v>1520</v>
      </c>
      <c r="S358" s="303" t="s">
        <v>713</v>
      </c>
      <c r="T358" s="29"/>
      <c r="U358" s="29" t="str">
        <f t="shared" si="57"/>
        <v>CimarronF2</v>
      </c>
      <c r="V358" s="29" t="str">
        <f t="shared" si="58"/>
        <v>1977F2</v>
      </c>
      <c r="W358" s="80">
        <v>50</v>
      </c>
      <c r="X358" s="32">
        <v>10</v>
      </c>
      <c r="Y358" s="467">
        <v>0.2</v>
      </c>
      <c r="Z358" s="80"/>
      <c r="AA358" s="29" t="str">
        <f t="shared" si="59"/>
        <v>F250</v>
      </c>
      <c r="AB358" s="29" t="str">
        <f t="shared" si="60"/>
        <v>F210</v>
      </c>
      <c r="AC358" s="29" t="str">
        <f t="shared" si="61"/>
        <v>F20.2</v>
      </c>
      <c r="AD358" s="29" t="str">
        <f t="shared" si="62"/>
        <v>F213</v>
      </c>
      <c r="AE358" s="443"/>
      <c r="AF358" s="443"/>
      <c r="AG358" s="443"/>
      <c r="AH358" s="443"/>
    </row>
    <row r="359" spans="1:34" ht="16.5">
      <c r="A359" s="728">
        <f t="shared" si="65"/>
        <v>352</v>
      </c>
      <c r="B359" s="563">
        <v>16</v>
      </c>
      <c r="C359" s="694">
        <v>28265</v>
      </c>
      <c r="D359" s="694" t="s">
        <v>148</v>
      </c>
      <c r="E359" s="563">
        <v>20</v>
      </c>
      <c r="F359" s="503">
        <v>1977</v>
      </c>
      <c r="G359" s="563" t="s">
        <v>120</v>
      </c>
      <c r="H359" s="503" t="s">
        <v>123</v>
      </c>
      <c r="I359" s="695">
        <v>30</v>
      </c>
      <c r="J359" s="695">
        <v>2</v>
      </c>
      <c r="K359" s="777">
        <f t="shared" si="64"/>
        <v>3.4090909090909088E-2</v>
      </c>
      <c r="L359" s="968">
        <v>0</v>
      </c>
      <c r="M359" s="503">
        <f t="shared" si="66"/>
        <v>15</v>
      </c>
      <c r="N359" s="504">
        <v>0.64444444444444449</v>
      </c>
      <c r="O359" s="719">
        <f t="shared" si="56"/>
        <v>0.64444444444444449</v>
      </c>
      <c r="P359" s="564"/>
      <c r="Q359" s="564">
        <f t="shared" si="63"/>
        <v>-0.64444444444444449</v>
      </c>
      <c r="R359" s="965" t="s">
        <v>1520</v>
      </c>
      <c r="S359" s="487" t="s">
        <v>1086</v>
      </c>
      <c r="T359" s="29"/>
      <c r="U359" s="29" t="str">
        <f t="shared" si="57"/>
        <v>DonleyF1</v>
      </c>
      <c r="V359" s="29" t="str">
        <f t="shared" si="58"/>
        <v>1977F1</v>
      </c>
      <c r="W359" s="80">
        <v>20</v>
      </c>
      <c r="X359" s="32">
        <v>2</v>
      </c>
      <c r="Y359" s="467">
        <v>0.02</v>
      </c>
      <c r="Z359" s="80"/>
      <c r="AA359" s="29" t="str">
        <f t="shared" si="59"/>
        <v>F120</v>
      </c>
      <c r="AB359" s="29" t="str">
        <f t="shared" si="60"/>
        <v>F12</v>
      </c>
      <c r="AC359" s="29" t="str">
        <f t="shared" si="61"/>
        <v>F10.02</v>
      </c>
      <c r="AD359" s="29" t="str">
        <f t="shared" si="62"/>
        <v>F115</v>
      </c>
      <c r="AE359" s="443"/>
      <c r="AF359" s="443"/>
      <c r="AG359" s="443"/>
      <c r="AH359" s="443"/>
    </row>
    <row r="360" spans="1:34" ht="16.5">
      <c r="A360" s="728">
        <f t="shared" si="65"/>
        <v>353</v>
      </c>
      <c r="B360" s="563">
        <v>17</v>
      </c>
      <c r="C360" s="694">
        <v>28265</v>
      </c>
      <c r="D360" s="694" t="s">
        <v>148</v>
      </c>
      <c r="E360" s="563">
        <v>20</v>
      </c>
      <c r="F360" s="503">
        <v>1977</v>
      </c>
      <c r="G360" s="563" t="s">
        <v>116</v>
      </c>
      <c r="H360" s="503" t="s">
        <v>122</v>
      </c>
      <c r="I360" s="695">
        <v>20</v>
      </c>
      <c r="J360" s="695">
        <v>1</v>
      </c>
      <c r="K360" s="777">
        <f t="shared" si="64"/>
        <v>1.1363636363636364E-2</v>
      </c>
      <c r="L360" s="968">
        <v>0</v>
      </c>
      <c r="M360" s="503">
        <f t="shared" si="66"/>
        <v>17</v>
      </c>
      <c r="N360" s="504">
        <v>0.71805555555555556</v>
      </c>
      <c r="O360" s="719">
        <f t="shared" si="56"/>
        <v>0.71805555555555556</v>
      </c>
      <c r="P360" s="564"/>
      <c r="Q360" s="564">
        <f t="shared" si="63"/>
        <v>-0.71805555555555556</v>
      </c>
      <c r="R360" s="965" t="s">
        <v>1520</v>
      </c>
      <c r="S360" s="487" t="s">
        <v>1087</v>
      </c>
      <c r="T360" s="29"/>
      <c r="U360" s="29" t="str">
        <f t="shared" si="57"/>
        <v>WheelerF0</v>
      </c>
      <c r="V360" s="29" t="str">
        <f t="shared" si="58"/>
        <v>1977F0</v>
      </c>
      <c r="W360" s="80">
        <v>20</v>
      </c>
      <c r="X360" s="32">
        <v>1</v>
      </c>
      <c r="Y360" s="467">
        <v>0.01</v>
      </c>
      <c r="Z360" s="80"/>
      <c r="AA360" s="29" t="str">
        <f t="shared" si="59"/>
        <v>F020</v>
      </c>
      <c r="AB360" s="29" t="str">
        <f t="shared" si="60"/>
        <v>F01</v>
      </c>
      <c r="AC360" s="29" t="str">
        <f t="shared" si="61"/>
        <v>F00.01</v>
      </c>
      <c r="AD360" s="29" t="str">
        <f t="shared" si="62"/>
        <v>F017</v>
      </c>
      <c r="AE360" s="443"/>
      <c r="AF360" s="443"/>
      <c r="AG360" s="443"/>
      <c r="AH360" s="443"/>
    </row>
    <row r="361" spans="1:34" ht="16.5">
      <c r="A361" s="728">
        <f t="shared" si="65"/>
        <v>354</v>
      </c>
      <c r="B361" s="563">
        <v>18</v>
      </c>
      <c r="C361" s="694">
        <v>28267</v>
      </c>
      <c r="D361" s="694" t="s">
        <v>148</v>
      </c>
      <c r="E361" s="563">
        <v>22</v>
      </c>
      <c r="F361" s="503">
        <v>1977</v>
      </c>
      <c r="G361" s="563" t="s">
        <v>106</v>
      </c>
      <c r="H361" s="503" t="s">
        <v>123</v>
      </c>
      <c r="I361" s="695">
        <v>30</v>
      </c>
      <c r="J361" s="695">
        <v>2</v>
      </c>
      <c r="K361" s="777">
        <f t="shared" si="64"/>
        <v>3.4090909090909088E-2</v>
      </c>
      <c r="L361" s="968">
        <v>0</v>
      </c>
      <c r="M361" s="503">
        <f t="shared" si="66"/>
        <v>18</v>
      </c>
      <c r="N361" s="504">
        <v>0.76597222222222217</v>
      </c>
      <c r="O361" s="719">
        <f t="shared" si="56"/>
        <v>0.76597222222222217</v>
      </c>
      <c r="P361" s="564"/>
      <c r="Q361" s="564">
        <f t="shared" si="63"/>
        <v>-0.76597222222222217</v>
      </c>
      <c r="R361" s="965" t="s">
        <v>1520</v>
      </c>
      <c r="S361" s="487"/>
      <c r="T361" s="29"/>
      <c r="U361" s="29" t="str">
        <f t="shared" si="57"/>
        <v>LipscombF1</v>
      </c>
      <c r="V361" s="29" t="str">
        <f t="shared" si="58"/>
        <v>1977F1</v>
      </c>
      <c r="W361" s="80">
        <v>20</v>
      </c>
      <c r="X361" s="32">
        <v>2</v>
      </c>
      <c r="Y361" s="467">
        <v>0.02</v>
      </c>
      <c r="Z361" s="80"/>
      <c r="AA361" s="29" t="str">
        <f t="shared" si="59"/>
        <v>F120</v>
      </c>
      <c r="AB361" s="29" t="str">
        <f t="shared" si="60"/>
        <v>F12</v>
      </c>
      <c r="AC361" s="29" t="str">
        <f t="shared" si="61"/>
        <v>F10.02</v>
      </c>
      <c r="AD361" s="29" t="str">
        <f t="shared" si="62"/>
        <v>F118</v>
      </c>
      <c r="AE361" s="443"/>
      <c r="AF361" s="443"/>
      <c r="AG361" s="443"/>
      <c r="AH361" s="443"/>
    </row>
    <row r="362" spans="1:34" ht="16.5">
      <c r="A362" s="728">
        <f t="shared" si="65"/>
        <v>355</v>
      </c>
      <c r="B362" s="563">
        <v>19</v>
      </c>
      <c r="C362" s="694">
        <v>28270</v>
      </c>
      <c r="D362" s="694" t="s">
        <v>148</v>
      </c>
      <c r="E362" s="563">
        <v>25</v>
      </c>
      <c r="F362" s="503">
        <v>1977</v>
      </c>
      <c r="G362" s="563" t="s">
        <v>104</v>
      </c>
      <c r="H362" s="503" t="s">
        <v>122</v>
      </c>
      <c r="I362" s="695">
        <v>20</v>
      </c>
      <c r="J362" s="695">
        <v>1</v>
      </c>
      <c r="K362" s="777">
        <f t="shared" si="64"/>
        <v>1.1363636363636364E-2</v>
      </c>
      <c r="L362" s="968">
        <v>0</v>
      </c>
      <c r="M362" s="503">
        <f t="shared" si="66"/>
        <v>17</v>
      </c>
      <c r="N362" s="504">
        <v>0.71944444444444444</v>
      </c>
      <c r="O362" s="719">
        <f t="shared" si="56"/>
        <v>0.71944444444444444</v>
      </c>
      <c r="P362" s="564"/>
      <c r="Q362" s="564">
        <f t="shared" si="63"/>
        <v>-0.71944444444444444</v>
      </c>
      <c r="R362" s="965" t="s">
        <v>1520</v>
      </c>
      <c r="S362" s="487"/>
      <c r="T362" s="29"/>
      <c r="U362" s="29" t="str">
        <f t="shared" si="57"/>
        <v>HansfordF0</v>
      </c>
      <c r="V362" s="29" t="str">
        <f t="shared" si="58"/>
        <v>1977F0</v>
      </c>
      <c r="W362" s="80">
        <v>20</v>
      </c>
      <c r="X362" s="32">
        <v>1</v>
      </c>
      <c r="Y362" s="467">
        <v>0.01</v>
      </c>
      <c r="Z362" s="80"/>
      <c r="AA362" s="29" t="str">
        <f t="shared" si="59"/>
        <v>F020</v>
      </c>
      <c r="AB362" s="29" t="str">
        <f t="shared" si="60"/>
        <v>F01</v>
      </c>
      <c r="AC362" s="29" t="str">
        <f t="shared" si="61"/>
        <v>F00.01</v>
      </c>
      <c r="AD362" s="29" t="str">
        <f t="shared" si="62"/>
        <v>F017</v>
      </c>
      <c r="AE362" s="443"/>
      <c r="AF362" s="443"/>
      <c r="AG362" s="443"/>
      <c r="AH362" s="443"/>
    </row>
    <row r="363" spans="1:34" ht="16.5">
      <c r="A363" s="728">
        <f t="shared" si="65"/>
        <v>356</v>
      </c>
      <c r="B363" s="563">
        <v>20</v>
      </c>
      <c r="C363" s="694">
        <v>28295</v>
      </c>
      <c r="D363" s="694" t="s">
        <v>149</v>
      </c>
      <c r="E363" s="563">
        <v>19</v>
      </c>
      <c r="F363" s="503">
        <v>1977</v>
      </c>
      <c r="G363" s="563" t="s">
        <v>103</v>
      </c>
      <c r="H363" s="503" t="s">
        <v>122</v>
      </c>
      <c r="I363" s="695">
        <v>30</v>
      </c>
      <c r="J363" s="695">
        <v>0.5</v>
      </c>
      <c r="K363" s="777">
        <f t="shared" si="64"/>
        <v>8.5227272727272721E-3</v>
      </c>
      <c r="L363" s="968">
        <v>0</v>
      </c>
      <c r="M363" s="503">
        <f t="shared" si="66"/>
        <v>20</v>
      </c>
      <c r="N363" s="504">
        <v>0.87152777777777779</v>
      </c>
      <c r="O363" s="719">
        <f t="shared" si="56"/>
        <v>0.87152777777777779</v>
      </c>
      <c r="P363" s="564"/>
      <c r="Q363" s="564">
        <f t="shared" si="63"/>
        <v>-0.87152777777777779</v>
      </c>
      <c r="R363" s="965" t="s">
        <v>1520</v>
      </c>
      <c r="S363" s="487"/>
      <c r="T363" s="29"/>
      <c r="U363" s="29" t="str">
        <f t="shared" si="57"/>
        <v>ShermanF0</v>
      </c>
      <c r="V363" s="29" t="str">
        <f t="shared" si="58"/>
        <v>1977F0</v>
      </c>
      <c r="W363" s="80">
        <v>20</v>
      </c>
      <c r="X363" s="32">
        <v>0.5</v>
      </c>
      <c r="Y363" s="467">
        <v>5.0000000000000001E-3</v>
      </c>
      <c r="Z363" s="80"/>
      <c r="AA363" s="29" t="str">
        <f t="shared" si="59"/>
        <v>F020</v>
      </c>
      <c r="AB363" s="29" t="str">
        <f t="shared" si="60"/>
        <v>F00.5</v>
      </c>
      <c r="AC363" s="29" t="str">
        <f t="shared" si="61"/>
        <v>F00.005</v>
      </c>
      <c r="AD363" s="29" t="str">
        <f t="shared" si="62"/>
        <v>F020</v>
      </c>
      <c r="AE363" s="443"/>
      <c r="AF363" s="443"/>
      <c r="AG363" s="443"/>
      <c r="AH363" s="443"/>
    </row>
    <row r="364" spans="1:34" ht="16.5">
      <c r="A364" s="728">
        <f t="shared" si="65"/>
        <v>357</v>
      </c>
      <c r="B364" s="563">
        <v>21</v>
      </c>
      <c r="C364" s="694">
        <v>28331</v>
      </c>
      <c r="D364" s="694" t="s">
        <v>150</v>
      </c>
      <c r="E364" s="563">
        <v>25</v>
      </c>
      <c r="F364" s="503">
        <v>1977</v>
      </c>
      <c r="G364" s="563" t="s">
        <v>103</v>
      </c>
      <c r="H364" s="503" t="s">
        <v>123</v>
      </c>
      <c r="I364" s="695">
        <v>20</v>
      </c>
      <c r="J364" s="695">
        <v>0.5</v>
      </c>
      <c r="K364" s="777">
        <f t="shared" si="64"/>
        <v>5.681818181818182E-3</v>
      </c>
      <c r="L364" s="968">
        <v>0</v>
      </c>
      <c r="M364" s="503">
        <f t="shared" si="66"/>
        <v>23</v>
      </c>
      <c r="N364" s="504">
        <v>0.9590277777777777</v>
      </c>
      <c r="O364" s="719">
        <f t="shared" si="56"/>
        <v>0.9590277777777777</v>
      </c>
      <c r="P364" s="564"/>
      <c r="Q364" s="564">
        <f t="shared" si="63"/>
        <v>-0.9590277777777777</v>
      </c>
      <c r="R364" s="965" t="s">
        <v>1520</v>
      </c>
      <c r="S364" s="487"/>
      <c r="T364" s="29"/>
      <c r="U364" s="29" t="str">
        <f t="shared" si="57"/>
        <v>ShermanF1</v>
      </c>
      <c r="V364" s="29" t="str">
        <f t="shared" si="58"/>
        <v>1977F1</v>
      </c>
      <c r="W364" s="80">
        <v>20</v>
      </c>
      <c r="X364" s="32">
        <v>0.5</v>
      </c>
      <c r="Y364" s="467">
        <v>5.0000000000000001E-3</v>
      </c>
      <c r="Z364" s="80"/>
      <c r="AA364" s="29" t="str">
        <f t="shared" si="59"/>
        <v>F120</v>
      </c>
      <c r="AB364" s="29" t="str">
        <f t="shared" si="60"/>
        <v>F10.5</v>
      </c>
      <c r="AC364" s="29" t="str">
        <f t="shared" si="61"/>
        <v>F10.005</v>
      </c>
      <c r="AD364" s="29" t="str">
        <f t="shared" si="62"/>
        <v>F123</v>
      </c>
      <c r="AE364" s="443"/>
      <c r="AF364" s="443"/>
      <c r="AG364" s="443"/>
      <c r="AH364" s="443"/>
    </row>
    <row r="365" spans="1:34" ht="16.5">
      <c r="A365" s="728">
        <f t="shared" si="65"/>
        <v>358</v>
      </c>
      <c r="B365" s="563">
        <v>22</v>
      </c>
      <c r="C365" s="694">
        <v>28339</v>
      </c>
      <c r="D365" s="694" t="s">
        <v>151</v>
      </c>
      <c r="E365" s="563">
        <v>2</v>
      </c>
      <c r="F365" s="503">
        <v>1977</v>
      </c>
      <c r="G365" s="563" t="s">
        <v>104</v>
      </c>
      <c r="H365" s="503" t="s">
        <v>122</v>
      </c>
      <c r="I365" s="695">
        <v>30</v>
      </c>
      <c r="J365" s="695">
        <v>0.5</v>
      </c>
      <c r="K365" s="777">
        <f t="shared" si="64"/>
        <v>8.5227272727272721E-3</v>
      </c>
      <c r="L365" s="968">
        <v>0</v>
      </c>
      <c r="M365" s="503">
        <f t="shared" si="66"/>
        <v>16</v>
      </c>
      <c r="N365" s="504">
        <v>0.6875</v>
      </c>
      <c r="O365" s="719">
        <f t="shared" si="56"/>
        <v>0.6875</v>
      </c>
      <c r="P365" s="564"/>
      <c r="Q365" s="564">
        <f t="shared" si="63"/>
        <v>-0.6875</v>
      </c>
      <c r="R365" s="965" t="s">
        <v>1520</v>
      </c>
      <c r="S365" s="487"/>
      <c r="T365" s="29"/>
      <c r="U365" s="29" t="str">
        <f t="shared" si="57"/>
        <v>HansfordF0</v>
      </c>
      <c r="V365" s="29" t="str">
        <f t="shared" si="58"/>
        <v>1977F0</v>
      </c>
      <c r="W365" s="80">
        <v>20</v>
      </c>
      <c r="X365" s="32">
        <v>0.5</v>
      </c>
      <c r="Y365" s="467">
        <v>5.0000000000000001E-3</v>
      </c>
      <c r="Z365" s="80"/>
      <c r="AA365" s="29" t="str">
        <f t="shared" si="59"/>
        <v>F020</v>
      </c>
      <c r="AB365" s="29" t="str">
        <f t="shared" si="60"/>
        <v>F00.5</v>
      </c>
      <c r="AC365" s="29" t="str">
        <f t="shared" si="61"/>
        <v>F00.005</v>
      </c>
      <c r="AD365" s="29" t="str">
        <f t="shared" si="62"/>
        <v>F016</v>
      </c>
      <c r="AE365" s="443"/>
      <c r="AF365" s="443"/>
      <c r="AG365" s="443"/>
      <c r="AH365" s="443"/>
    </row>
    <row r="366" spans="1:34" ht="16.5">
      <c r="A366" s="728">
        <f t="shared" si="65"/>
        <v>359</v>
      </c>
      <c r="B366" s="563">
        <v>1</v>
      </c>
      <c r="C366" s="694">
        <v>28610</v>
      </c>
      <c r="D366" s="694" t="s">
        <v>147</v>
      </c>
      <c r="E366" s="563">
        <v>30</v>
      </c>
      <c r="F366" s="503">
        <v>1978</v>
      </c>
      <c r="G366" s="563" t="s">
        <v>105</v>
      </c>
      <c r="H366" s="503" t="s">
        <v>124</v>
      </c>
      <c r="I366" s="695">
        <v>100</v>
      </c>
      <c r="J366" s="695">
        <v>8.6</v>
      </c>
      <c r="K366" s="777">
        <f t="shared" si="64"/>
        <v>0.48863636363636359</v>
      </c>
      <c r="L366" s="968">
        <v>250000</v>
      </c>
      <c r="M366" s="503">
        <f t="shared" si="66"/>
        <v>15</v>
      </c>
      <c r="N366" s="504">
        <v>0.64166666666666672</v>
      </c>
      <c r="O366" s="719">
        <f t="shared" si="56"/>
        <v>0.64166666666666672</v>
      </c>
      <c r="P366" s="564"/>
      <c r="Q366" s="564">
        <f t="shared" si="63"/>
        <v>-0.64166666666666672</v>
      </c>
      <c r="R366" s="965" t="s">
        <v>1520</v>
      </c>
      <c r="S366" s="487"/>
      <c r="T366" s="29"/>
      <c r="U366" s="29" t="str">
        <f t="shared" si="57"/>
        <v>OchiltreeF2</v>
      </c>
      <c r="V366" s="29" t="str">
        <f t="shared" si="58"/>
        <v>1978F2</v>
      </c>
      <c r="W366" s="80">
        <v>100</v>
      </c>
      <c r="X366" s="32">
        <v>5</v>
      </c>
      <c r="Y366" s="467">
        <v>0.2</v>
      </c>
      <c r="Z366" s="80"/>
      <c r="AA366" s="29" t="str">
        <f t="shared" si="59"/>
        <v>F2100</v>
      </c>
      <c r="AB366" s="29" t="str">
        <f t="shared" si="60"/>
        <v>F25</v>
      </c>
      <c r="AC366" s="29" t="str">
        <f t="shared" si="61"/>
        <v>F20.2</v>
      </c>
      <c r="AD366" s="29" t="str">
        <f t="shared" si="62"/>
        <v>F215</v>
      </c>
      <c r="AE366" s="443"/>
      <c r="AF366" s="443"/>
      <c r="AG366" s="443"/>
      <c r="AH366" s="443"/>
    </row>
    <row r="367" spans="1:34" ht="16.5">
      <c r="A367" s="728">
        <f t="shared" si="65"/>
        <v>360</v>
      </c>
      <c r="B367" s="563">
        <v>2</v>
      </c>
      <c r="C367" s="694">
        <v>28610</v>
      </c>
      <c r="D367" s="694" t="s">
        <v>147</v>
      </c>
      <c r="E367" s="563">
        <v>30</v>
      </c>
      <c r="F367" s="503">
        <v>1978</v>
      </c>
      <c r="G367" s="563" t="s">
        <v>106</v>
      </c>
      <c r="H367" s="503" t="s">
        <v>125</v>
      </c>
      <c r="I367" s="695">
        <v>100</v>
      </c>
      <c r="J367" s="695">
        <v>14.4</v>
      </c>
      <c r="K367" s="777">
        <f t="shared" si="64"/>
        <v>0.81818181818181812</v>
      </c>
      <c r="L367" s="968">
        <v>25000</v>
      </c>
      <c r="M367" s="503">
        <f t="shared" si="66"/>
        <v>16</v>
      </c>
      <c r="N367" s="504">
        <v>0.68611111111111101</v>
      </c>
      <c r="O367" s="719">
        <f t="shared" si="56"/>
        <v>0.68611111111111101</v>
      </c>
      <c r="P367" s="564"/>
      <c r="Q367" s="564">
        <f t="shared" si="63"/>
        <v>-0.68611111111111101</v>
      </c>
      <c r="R367" s="965" t="s">
        <v>1520</v>
      </c>
      <c r="S367" s="487"/>
      <c r="T367" s="29"/>
      <c r="U367" s="29" t="str">
        <f t="shared" si="57"/>
        <v>LipscombF3</v>
      </c>
      <c r="V367" s="29" t="str">
        <f t="shared" si="58"/>
        <v>1978F3</v>
      </c>
      <c r="W367" s="80">
        <v>100</v>
      </c>
      <c r="X367" s="32">
        <v>10</v>
      </c>
      <c r="Y367" s="467">
        <v>0.5</v>
      </c>
      <c r="Z367" s="80"/>
      <c r="AA367" s="29" t="str">
        <f t="shared" si="59"/>
        <v>F3100</v>
      </c>
      <c r="AB367" s="29" t="str">
        <f t="shared" si="60"/>
        <v>F310</v>
      </c>
      <c r="AC367" s="29" t="str">
        <f t="shared" si="61"/>
        <v>F30.5</v>
      </c>
      <c r="AD367" s="29" t="str">
        <f t="shared" si="62"/>
        <v>F316</v>
      </c>
      <c r="AE367" s="443"/>
      <c r="AF367" s="443"/>
      <c r="AG367" s="443"/>
      <c r="AH367" s="443"/>
    </row>
    <row r="368" spans="1:34" ht="16.5">
      <c r="A368" s="728">
        <f t="shared" si="65"/>
        <v>361</v>
      </c>
      <c r="B368" s="563">
        <v>3</v>
      </c>
      <c r="C368" s="694">
        <v>28613</v>
      </c>
      <c r="D368" s="694" t="s">
        <v>148</v>
      </c>
      <c r="E368" s="563">
        <v>3</v>
      </c>
      <c r="F368" s="503">
        <v>1978</v>
      </c>
      <c r="G368" s="563" t="s">
        <v>106</v>
      </c>
      <c r="H368" s="503" t="s">
        <v>122</v>
      </c>
      <c r="I368" s="695">
        <v>400</v>
      </c>
      <c r="J368" s="695">
        <v>6.5</v>
      </c>
      <c r="K368" s="777">
        <f t="shared" si="64"/>
        <v>1.4772727272727273</v>
      </c>
      <c r="L368" s="968">
        <v>250000</v>
      </c>
      <c r="M368" s="503">
        <f t="shared" si="66"/>
        <v>16</v>
      </c>
      <c r="N368" s="504">
        <v>0.6875</v>
      </c>
      <c r="O368" s="719">
        <f t="shared" si="56"/>
        <v>0.6875</v>
      </c>
      <c r="P368" s="564"/>
      <c r="Q368" s="564">
        <f t="shared" si="63"/>
        <v>-0.6875</v>
      </c>
      <c r="R368" s="965" t="s">
        <v>1520</v>
      </c>
      <c r="S368" s="487"/>
      <c r="T368" s="29"/>
      <c r="U368" s="29" t="str">
        <f t="shared" si="57"/>
        <v>LipscombF0</v>
      </c>
      <c r="V368" s="29" t="str">
        <f t="shared" si="58"/>
        <v>1978F0</v>
      </c>
      <c r="W368" s="80">
        <v>200</v>
      </c>
      <c r="X368" s="32">
        <v>5</v>
      </c>
      <c r="Y368" s="467">
        <v>1</v>
      </c>
      <c r="Z368" s="80"/>
      <c r="AA368" s="29" t="str">
        <f t="shared" si="59"/>
        <v>F0200</v>
      </c>
      <c r="AB368" s="29" t="str">
        <f t="shared" si="60"/>
        <v>F05</v>
      </c>
      <c r="AC368" s="29" t="str">
        <f t="shared" si="61"/>
        <v>F01</v>
      </c>
      <c r="AD368" s="29" t="str">
        <f t="shared" si="62"/>
        <v>F016</v>
      </c>
      <c r="AE368" s="443"/>
      <c r="AF368" s="443"/>
      <c r="AG368" s="443"/>
      <c r="AH368" s="443"/>
    </row>
    <row r="369" spans="1:34" ht="16.5">
      <c r="A369" s="728">
        <f t="shared" si="65"/>
        <v>362</v>
      </c>
      <c r="B369" s="563">
        <v>4</v>
      </c>
      <c r="C369" s="694">
        <v>28614</v>
      </c>
      <c r="D369" s="694" t="s">
        <v>148</v>
      </c>
      <c r="E369" s="563">
        <v>4</v>
      </c>
      <c r="F369" s="503">
        <v>1978</v>
      </c>
      <c r="G369" s="563" t="s">
        <v>103</v>
      </c>
      <c r="H369" s="503" t="s">
        <v>122</v>
      </c>
      <c r="I369" s="695">
        <v>60</v>
      </c>
      <c r="J369" s="695">
        <v>11.3</v>
      </c>
      <c r="K369" s="777">
        <f t="shared" si="64"/>
        <v>0.3852272727272727</v>
      </c>
      <c r="L369" s="968">
        <v>250000</v>
      </c>
      <c r="M369" s="503">
        <f t="shared" si="66"/>
        <v>16</v>
      </c>
      <c r="N369" s="504">
        <v>0.70138888888888884</v>
      </c>
      <c r="O369" s="719">
        <f t="shared" si="56"/>
        <v>0.70138888888888884</v>
      </c>
      <c r="P369" s="564"/>
      <c r="Q369" s="564">
        <f t="shared" si="63"/>
        <v>-0.70138888888888884</v>
      </c>
      <c r="R369" s="965" t="s">
        <v>1520</v>
      </c>
      <c r="S369" s="487"/>
      <c r="T369" s="29"/>
      <c r="U369" s="29" t="str">
        <f t="shared" si="57"/>
        <v>ShermanF0</v>
      </c>
      <c r="V369" s="29" t="str">
        <f t="shared" si="58"/>
        <v>1978F0</v>
      </c>
      <c r="W369" s="80">
        <v>50</v>
      </c>
      <c r="X369" s="32">
        <v>10</v>
      </c>
      <c r="Y369" s="467">
        <v>0.2</v>
      </c>
      <c r="Z369" s="80"/>
      <c r="AA369" s="29" t="str">
        <f t="shared" si="59"/>
        <v>F050</v>
      </c>
      <c r="AB369" s="29" t="str">
        <f t="shared" si="60"/>
        <v>F010</v>
      </c>
      <c r="AC369" s="29" t="str">
        <f t="shared" si="61"/>
        <v>F00.2</v>
      </c>
      <c r="AD369" s="29" t="str">
        <f t="shared" si="62"/>
        <v>F016</v>
      </c>
      <c r="AE369" s="443"/>
      <c r="AF369" s="443"/>
      <c r="AG369" s="443"/>
      <c r="AH369" s="443"/>
    </row>
    <row r="370" spans="1:34" ht="16.5">
      <c r="A370" s="728">
        <f t="shared" si="65"/>
        <v>363</v>
      </c>
      <c r="B370" s="563">
        <v>5</v>
      </c>
      <c r="C370" s="694">
        <v>28615</v>
      </c>
      <c r="D370" s="694" t="s">
        <v>148</v>
      </c>
      <c r="E370" s="563">
        <v>5</v>
      </c>
      <c r="F370" s="503">
        <v>1978</v>
      </c>
      <c r="G370" s="563" t="s">
        <v>102</v>
      </c>
      <c r="H370" s="503" t="s">
        <v>122</v>
      </c>
      <c r="I370" s="695">
        <v>30</v>
      </c>
      <c r="J370" s="695">
        <v>4.5</v>
      </c>
      <c r="K370" s="777">
        <f t="shared" si="64"/>
        <v>7.6704545454545442E-2</v>
      </c>
      <c r="L370" s="968">
        <v>0</v>
      </c>
      <c r="M370" s="503">
        <f t="shared" si="66"/>
        <v>17</v>
      </c>
      <c r="N370" s="504">
        <v>0.73958333333333337</v>
      </c>
      <c r="O370" s="719">
        <f t="shared" si="56"/>
        <v>0.73958333333333337</v>
      </c>
      <c r="P370" s="564"/>
      <c r="Q370" s="564">
        <f t="shared" si="63"/>
        <v>-0.73958333333333337</v>
      </c>
      <c r="R370" s="965" t="s">
        <v>1520</v>
      </c>
      <c r="S370" s="487"/>
      <c r="T370" s="29"/>
      <c r="U370" s="29" t="str">
        <f t="shared" si="57"/>
        <v>DallamF0</v>
      </c>
      <c r="V370" s="29" t="str">
        <f t="shared" si="58"/>
        <v>1978F0</v>
      </c>
      <c r="W370" s="80">
        <v>20</v>
      </c>
      <c r="X370" s="32">
        <v>2</v>
      </c>
      <c r="Y370" s="467">
        <v>0.05</v>
      </c>
      <c r="Z370" s="80"/>
      <c r="AA370" s="29" t="str">
        <f t="shared" si="59"/>
        <v>F020</v>
      </c>
      <c r="AB370" s="29" t="str">
        <f t="shared" si="60"/>
        <v>F02</v>
      </c>
      <c r="AC370" s="29" t="str">
        <f t="shared" si="61"/>
        <v>F00.05</v>
      </c>
      <c r="AD370" s="29" t="str">
        <f t="shared" si="62"/>
        <v>F017</v>
      </c>
      <c r="AE370" s="443"/>
      <c r="AF370" s="443"/>
      <c r="AG370" s="443"/>
      <c r="AH370" s="443"/>
    </row>
    <row r="371" spans="1:34" ht="16.5">
      <c r="A371" s="728">
        <f t="shared" si="65"/>
        <v>364</v>
      </c>
      <c r="B371" s="563">
        <v>6</v>
      </c>
      <c r="C371" s="694">
        <v>28615</v>
      </c>
      <c r="D371" s="694" t="s">
        <v>148</v>
      </c>
      <c r="E371" s="563">
        <v>5</v>
      </c>
      <c r="F371" s="503">
        <v>1978</v>
      </c>
      <c r="G371" s="563" t="s">
        <v>102</v>
      </c>
      <c r="H371" s="503" t="s">
        <v>122</v>
      </c>
      <c r="I371" s="695">
        <v>30</v>
      </c>
      <c r="J371" s="695">
        <v>2</v>
      </c>
      <c r="K371" s="777">
        <f t="shared" si="64"/>
        <v>3.4090909090909088E-2</v>
      </c>
      <c r="L371" s="968">
        <v>0</v>
      </c>
      <c r="M371" s="503">
        <f t="shared" si="66"/>
        <v>18</v>
      </c>
      <c r="N371" s="504">
        <v>0.77083333333333337</v>
      </c>
      <c r="O371" s="719">
        <f t="shared" si="56"/>
        <v>0.77083333333333337</v>
      </c>
      <c r="P371" s="564"/>
      <c r="Q371" s="564">
        <f t="shared" si="63"/>
        <v>-0.77083333333333337</v>
      </c>
      <c r="R371" s="965" t="s">
        <v>1520</v>
      </c>
      <c r="S371" s="487"/>
      <c r="T371" s="29"/>
      <c r="U371" s="29" t="str">
        <f t="shared" si="57"/>
        <v>DallamF0</v>
      </c>
      <c r="V371" s="29" t="str">
        <f t="shared" si="58"/>
        <v>1978F0</v>
      </c>
      <c r="W371" s="80">
        <v>20</v>
      </c>
      <c r="X371" s="32">
        <v>2</v>
      </c>
      <c r="Y371" s="467">
        <v>0.02</v>
      </c>
      <c r="Z371" s="80"/>
      <c r="AA371" s="29" t="str">
        <f t="shared" si="59"/>
        <v>F020</v>
      </c>
      <c r="AB371" s="29" t="str">
        <f t="shared" si="60"/>
        <v>F02</v>
      </c>
      <c r="AC371" s="29" t="str">
        <f t="shared" si="61"/>
        <v>F00.02</v>
      </c>
      <c r="AD371" s="29" t="str">
        <f t="shared" si="62"/>
        <v>F018</v>
      </c>
      <c r="AE371" s="443"/>
      <c r="AF371" s="443"/>
      <c r="AG371" s="443"/>
      <c r="AH371" s="443"/>
    </row>
    <row r="372" spans="1:34" ht="16.5">
      <c r="A372" s="728">
        <f t="shared" si="65"/>
        <v>365</v>
      </c>
      <c r="B372" s="563">
        <v>7</v>
      </c>
      <c r="C372" s="694">
        <v>28630</v>
      </c>
      <c r="D372" s="694" t="s">
        <v>148</v>
      </c>
      <c r="E372" s="563">
        <v>20</v>
      </c>
      <c r="F372" s="503">
        <v>1978</v>
      </c>
      <c r="G372" s="563" t="s">
        <v>116</v>
      </c>
      <c r="H372" s="503" t="s">
        <v>122</v>
      </c>
      <c r="I372" s="695">
        <v>30</v>
      </c>
      <c r="J372" s="695">
        <v>2</v>
      </c>
      <c r="K372" s="777">
        <f t="shared" si="64"/>
        <v>3.4090909090909088E-2</v>
      </c>
      <c r="L372" s="968">
        <v>0</v>
      </c>
      <c r="M372" s="503">
        <f t="shared" si="66"/>
        <v>23</v>
      </c>
      <c r="N372" s="504">
        <v>0.96597222222222223</v>
      </c>
      <c r="O372" s="719">
        <f t="shared" si="56"/>
        <v>0.96597222222222223</v>
      </c>
      <c r="P372" s="564"/>
      <c r="Q372" s="564">
        <f t="shared" si="63"/>
        <v>-0.96597222222222223</v>
      </c>
      <c r="R372" s="965" t="s">
        <v>1520</v>
      </c>
      <c r="S372" s="487"/>
      <c r="T372" s="29"/>
      <c r="U372" s="29" t="str">
        <f t="shared" si="57"/>
        <v>WheelerF0</v>
      </c>
      <c r="V372" s="29" t="str">
        <f t="shared" si="58"/>
        <v>1978F0</v>
      </c>
      <c r="W372" s="80">
        <v>20</v>
      </c>
      <c r="X372" s="32">
        <v>2</v>
      </c>
      <c r="Y372" s="467">
        <v>0.02</v>
      </c>
      <c r="Z372" s="80"/>
      <c r="AA372" s="29" t="str">
        <f t="shared" si="59"/>
        <v>F020</v>
      </c>
      <c r="AB372" s="29" t="str">
        <f t="shared" si="60"/>
        <v>F02</v>
      </c>
      <c r="AC372" s="29" t="str">
        <f t="shared" si="61"/>
        <v>F00.02</v>
      </c>
      <c r="AD372" s="29" t="str">
        <f t="shared" si="62"/>
        <v>F023</v>
      </c>
      <c r="AE372" s="443"/>
      <c r="AF372" s="443"/>
      <c r="AG372" s="443"/>
      <c r="AH372" s="443"/>
    </row>
    <row r="373" spans="1:34" ht="16.5">
      <c r="A373" s="728">
        <f t="shared" si="65"/>
        <v>366</v>
      </c>
      <c r="B373" s="563">
        <v>8</v>
      </c>
      <c r="C373" s="694">
        <v>28635</v>
      </c>
      <c r="D373" s="694" t="s">
        <v>148</v>
      </c>
      <c r="E373" s="563">
        <v>25</v>
      </c>
      <c r="F373" s="503">
        <v>1978</v>
      </c>
      <c r="G373" s="563" t="s">
        <v>117</v>
      </c>
      <c r="H373" s="503" t="s">
        <v>122</v>
      </c>
      <c r="I373" s="695">
        <v>60</v>
      </c>
      <c r="J373" s="695">
        <v>6.1</v>
      </c>
      <c r="K373" s="777">
        <f t="shared" si="64"/>
        <v>0.20795454545454542</v>
      </c>
      <c r="L373" s="968">
        <v>250000</v>
      </c>
      <c r="M373" s="503">
        <f t="shared" si="66"/>
        <v>18</v>
      </c>
      <c r="N373" s="504">
        <v>0.76736111111111116</v>
      </c>
      <c r="O373" s="719">
        <f t="shared" si="56"/>
        <v>0.76736111111111116</v>
      </c>
      <c r="P373" s="564"/>
      <c r="Q373" s="564">
        <f t="shared" si="63"/>
        <v>-0.76736111111111116</v>
      </c>
      <c r="R373" s="965" t="s">
        <v>1520</v>
      </c>
      <c r="S373" s="487"/>
      <c r="T373" s="29"/>
      <c r="U373" s="29" t="str">
        <f t="shared" si="57"/>
        <v>Deaf SmithF0</v>
      </c>
      <c r="V373" s="29" t="str">
        <f t="shared" si="58"/>
        <v>1978F0</v>
      </c>
      <c r="W373" s="80">
        <v>50</v>
      </c>
      <c r="X373" s="32">
        <v>5</v>
      </c>
      <c r="Y373" s="467">
        <v>0.2</v>
      </c>
      <c r="Z373" s="80"/>
      <c r="AA373" s="29" t="str">
        <f t="shared" si="59"/>
        <v>F050</v>
      </c>
      <c r="AB373" s="29" t="str">
        <f t="shared" si="60"/>
        <v>F05</v>
      </c>
      <c r="AC373" s="29" t="str">
        <f t="shared" si="61"/>
        <v>F00.2</v>
      </c>
      <c r="AD373" s="29" t="str">
        <f t="shared" si="62"/>
        <v>F018</v>
      </c>
      <c r="AE373" s="443"/>
      <c r="AF373" s="443"/>
      <c r="AG373" s="443"/>
      <c r="AH373" s="443"/>
    </row>
    <row r="374" spans="1:34" ht="16.5">
      <c r="A374" s="728">
        <f t="shared" si="65"/>
        <v>367</v>
      </c>
      <c r="B374" s="563">
        <v>9</v>
      </c>
      <c r="C374" s="694">
        <v>28636</v>
      </c>
      <c r="D374" s="694" t="s">
        <v>148</v>
      </c>
      <c r="E374" s="563">
        <v>26</v>
      </c>
      <c r="F374" s="503">
        <v>1978</v>
      </c>
      <c r="G374" s="563" t="s">
        <v>118</v>
      </c>
      <c r="H374" s="503" t="s">
        <v>122</v>
      </c>
      <c r="I374" s="695">
        <v>40</v>
      </c>
      <c r="J374" s="695">
        <v>1</v>
      </c>
      <c r="K374" s="777">
        <f t="shared" si="64"/>
        <v>2.2727272727272728E-2</v>
      </c>
      <c r="L374" s="968">
        <v>0</v>
      </c>
      <c r="M374" s="503">
        <f t="shared" si="66"/>
        <v>18</v>
      </c>
      <c r="N374" s="504">
        <v>0.78888888888888886</v>
      </c>
      <c r="O374" s="719">
        <f t="shared" si="56"/>
        <v>0.78888888888888886</v>
      </c>
      <c r="P374" s="564"/>
      <c r="Q374" s="564">
        <f t="shared" si="63"/>
        <v>-0.78888888888888886</v>
      </c>
      <c r="R374" s="965" t="s">
        <v>1520</v>
      </c>
      <c r="S374" s="487"/>
      <c r="T374" s="29"/>
      <c r="U374" s="29" t="str">
        <f t="shared" si="57"/>
        <v>RandallF0</v>
      </c>
      <c r="V374" s="29" t="str">
        <f t="shared" si="58"/>
        <v>1978F0</v>
      </c>
      <c r="W374" s="80">
        <v>20</v>
      </c>
      <c r="X374" s="32">
        <v>1</v>
      </c>
      <c r="Y374" s="467">
        <v>0.02</v>
      </c>
      <c r="Z374" s="80"/>
      <c r="AA374" s="29" t="str">
        <f t="shared" si="59"/>
        <v>F020</v>
      </c>
      <c r="AB374" s="29" t="str">
        <f t="shared" si="60"/>
        <v>F01</v>
      </c>
      <c r="AC374" s="29" t="str">
        <f t="shared" si="61"/>
        <v>F00.02</v>
      </c>
      <c r="AD374" s="29" t="str">
        <f t="shared" si="62"/>
        <v>F018</v>
      </c>
      <c r="AE374" s="443"/>
      <c r="AF374" s="443"/>
      <c r="AG374" s="443"/>
      <c r="AH374" s="443"/>
    </row>
    <row r="375" spans="1:34" ht="16.5">
      <c r="A375" s="728">
        <f t="shared" si="65"/>
        <v>368</v>
      </c>
      <c r="B375" s="563">
        <v>10</v>
      </c>
      <c r="C375" s="694">
        <v>28636</v>
      </c>
      <c r="D375" s="694" t="s">
        <v>148</v>
      </c>
      <c r="E375" s="563">
        <v>26</v>
      </c>
      <c r="F375" s="503">
        <v>1978</v>
      </c>
      <c r="G375" s="563" t="s">
        <v>117</v>
      </c>
      <c r="H375" s="503" t="s">
        <v>122</v>
      </c>
      <c r="I375" s="695">
        <v>30</v>
      </c>
      <c r="J375" s="695">
        <v>2</v>
      </c>
      <c r="K375" s="777">
        <f t="shared" si="64"/>
        <v>3.4090909090909088E-2</v>
      </c>
      <c r="L375" s="968">
        <v>250000</v>
      </c>
      <c r="M375" s="503">
        <f t="shared" si="66"/>
        <v>19</v>
      </c>
      <c r="N375" s="504">
        <v>0.7944444444444444</v>
      </c>
      <c r="O375" s="719">
        <f t="shared" si="56"/>
        <v>0.7944444444444444</v>
      </c>
      <c r="P375" s="564"/>
      <c r="Q375" s="564">
        <f t="shared" si="63"/>
        <v>-0.7944444444444444</v>
      </c>
      <c r="R375" s="965" t="s">
        <v>1520</v>
      </c>
      <c r="S375" s="487"/>
      <c r="T375" s="29"/>
      <c r="U375" s="29" t="str">
        <f t="shared" si="57"/>
        <v>Deaf SmithF0</v>
      </c>
      <c r="V375" s="29" t="str">
        <f t="shared" si="58"/>
        <v>1978F0</v>
      </c>
      <c r="W375" s="80">
        <v>20</v>
      </c>
      <c r="X375" s="32">
        <v>2</v>
      </c>
      <c r="Y375" s="467">
        <v>0.02</v>
      </c>
      <c r="Z375" s="80"/>
      <c r="AA375" s="29" t="str">
        <f t="shared" si="59"/>
        <v>F020</v>
      </c>
      <c r="AB375" s="29" t="str">
        <f t="shared" si="60"/>
        <v>F02</v>
      </c>
      <c r="AC375" s="29" t="str">
        <f t="shared" si="61"/>
        <v>F00.02</v>
      </c>
      <c r="AD375" s="29" t="str">
        <f t="shared" si="62"/>
        <v>F019</v>
      </c>
      <c r="AE375" s="443"/>
      <c r="AF375" s="443"/>
      <c r="AG375" s="443"/>
      <c r="AH375" s="443"/>
    </row>
    <row r="376" spans="1:34" ht="16.5">
      <c r="A376" s="728">
        <f t="shared" si="65"/>
        <v>369</v>
      </c>
      <c r="B376" s="563">
        <v>11</v>
      </c>
      <c r="C376" s="694">
        <v>28636</v>
      </c>
      <c r="D376" s="694" t="s">
        <v>148</v>
      </c>
      <c r="E376" s="563">
        <v>26</v>
      </c>
      <c r="F376" s="503">
        <v>1978</v>
      </c>
      <c r="G376" s="563" t="s">
        <v>117</v>
      </c>
      <c r="H376" s="503" t="s">
        <v>122</v>
      </c>
      <c r="I376" s="695">
        <v>50</v>
      </c>
      <c r="J376" s="695">
        <v>2</v>
      </c>
      <c r="K376" s="777">
        <f t="shared" si="64"/>
        <v>5.6818181818181816E-2</v>
      </c>
      <c r="L376" s="968">
        <v>0</v>
      </c>
      <c r="M376" s="503">
        <f t="shared" si="66"/>
        <v>19</v>
      </c>
      <c r="N376" s="504">
        <v>0.80902777777777779</v>
      </c>
      <c r="O376" s="719">
        <f t="shared" si="56"/>
        <v>0.80902777777777779</v>
      </c>
      <c r="P376" s="564"/>
      <c r="Q376" s="564">
        <f t="shared" si="63"/>
        <v>-0.80902777777777779</v>
      </c>
      <c r="R376" s="965" t="s">
        <v>1520</v>
      </c>
      <c r="S376" s="487"/>
      <c r="T376" s="29"/>
      <c r="U376" s="29" t="str">
        <f t="shared" si="57"/>
        <v>Deaf SmithF0</v>
      </c>
      <c r="V376" s="29" t="str">
        <f t="shared" si="58"/>
        <v>1978F0</v>
      </c>
      <c r="W376" s="80">
        <v>50</v>
      </c>
      <c r="X376" s="32">
        <v>2</v>
      </c>
      <c r="Y376" s="467">
        <v>0.05</v>
      </c>
      <c r="Z376" s="80"/>
      <c r="AA376" s="29" t="str">
        <f t="shared" si="59"/>
        <v>F050</v>
      </c>
      <c r="AB376" s="29" t="str">
        <f t="shared" si="60"/>
        <v>F02</v>
      </c>
      <c r="AC376" s="29" t="str">
        <f t="shared" si="61"/>
        <v>F00.05</v>
      </c>
      <c r="AD376" s="29" t="str">
        <f t="shared" si="62"/>
        <v>F019</v>
      </c>
      <c r="AE376" s="443"/>
      <c r="AF376" s="443"/>
      <c r="AG376" s="443"/>
      <c r="AH376" s="443"/>
    </row>
    <row r="377" spans="1:34" ht="16.5">
      <c r="A377" s="728">
        <f t="shared" si="65"/>
        <v>370</v>
      </c>
      <c r="B377" s="563">
        <v>12</v>
      </c>
      <c r="C377" s="694">
        <v>28636</v>
      </c>
      <c r="D377" s="694" t="s">
        <v>148</v>
      </c>
      <c r="E377" s="563">
        <v>26</v>
      </c>
      <c r="F377" s="503">
        <v>1978</v>
      </c>
      <c r="G377" s="563" t="s">
        <v>120</v>
      </c>
      <c r="H377" s="503" t="s">
        <v>122</v>
      </c>
      <c r="I377" s="695">
        <v>40</v>
      </c>
      <c r="J377" s="695">
        <v>1</v>
      </c>
      <c r="K377" s="777">
        <f t="shared" si="64"/>
        <v>2.2727272727272728E-2</v>
      </c>
      <c r="L377" s="968">
        <v>25000</v>
      </c>
      <c r="M377" s="503">
        <f t="shared" si="66"/>
        <v>22</v>
      </c>
      <c r="N377" s="504">
        <v>0.91666666666666663</v>
      </c>
      <c r="O377" s="719">
        <f t="shared" si="56"/>
        <v>0.91666666666666663</v>
      </c>
      <c r="P377" s="564"/>
      <c r="Q377" s="564">
        <f t="shared" si="63"/>
        <v>-0.91666666666666663</v>
      </c>
      <c r="R377" s="965" t="s">
        <v>1520</v>
      </c>
      <c r="S377" s="487"/>
      <c r="T377" s="29"/>
      <c r="U377" s="29" t="str">
        <f t="shared" si="57"/>
        <v>DonleyF0</v>
      </c>
      <c r="V377" s="29" t="str">
        <f t="shared" si="58"/>
        <v>1978F0</v>
      </c>
      <c r="W377" s="80">
        <v>20</v>
      </c>
      <c r="X377" s="32">
        <v>1</v>
      </c>
      <c r="Y377" s="467">
        <v>0.02</v>
      </c>
      <c r="Z377" s="80"/>
      <c r="AA377" s="29" t="str">
        <f t="shared" si="59"/>
        <v>F020</v>
      </c>
      <c r="AB377" s="29" t="str">
        <f t="shared" si="60"/>
        <v>F01</v>
      </c>
      <c r="AC377" s="29" t="str">
        <f t="shared" si="61"/>
        <v>F00.02</v>
      </c>
      <c r="AD377" s="29" t="str">
        <f t="shared" si="62"/>
        <v>F022</v>
      </c>
      <c r="AE377" s="443"/>
      <c r="AF377" s="443"/>
      <c r="AG377" s="443"/>
      <c r="AH377" s="443"/>
    </row>
    <row r="378" spans="1:34" ht="16.5">
      <c r="A378" s="728">
        <f t="shared" si="65"/>
        <v>371</v>
      </c>
      <c r="B378" s="563">
        <v>13</v>
      </c>
      <c r="C378" s="694">
        <v>28637</v>
      </c>
      <c r="D378" s="694" t="s">
        <v>148</v>
      </c>
      <c r="E378" s="563">
        <v>27</v>
      </c>
      <c r="F378" s="503">
        <v>1978</v>
      </c>
      <c r="G378" s="563" t="s">
        <v>121</v>
      </c>
      <c r="H378" s="503" t="s">
        <v>122</v>
      </c>
      <c r="I378" s="695">
        <v>30</v>
      </c>
      <c r="J378" s="695">
        <v>2</v>
      </c>
      <c r="K378" s="777">
        <f t="shared" si="64"/>
        <v>3.4090909090909088E-2</v>
      </c>
      <c r="L378" s="968">
        <v>0</v>
      </c>
      <c r="M378" s="503">
        <f t="shared" si="66"/>
        <v>2</v>
      </c>
      <c r="N378" s="504">
        <v>8.3333333333333329E-2</v>
      </c>
      <c r="O378" s="719">
        <f t="shared" si="56"/>
        <v>8.3333333333333329E-2</v>
      </c>
      <c r="P378" s="564"/>
      <c r="Q378" s="564">
        <f t="shared" si="63"/>
        <v>-8.3333333333333329E-2</v>
      </c>
      <c r="R378" s="965" t="s">
        <v>1520</v>
      </c>
      <c r="S378" s="487"/>
      <c r="U378" s="29" t="str">
        <f t="shared" si="57"/>
        <v>CollingsworthF0</v>
      </c>
      <c r="V378" s="29" t="str">
        <f t="shared" si="58"/>
        <v>1978F0</v>
      </c>
      <c r="W378" s="80">
        <v>20</v>
      </c>
      <c r="X378" s="32">
        <v>2</v>
      </c>
      <c r="Y378" s="467">
        <v>0.02</v>
      </c>
      <c r="Z378" s="80"/>
      <c r="AA378" s="29" t="str">
        <f t="shared" si="59"/>
        <v>F020</v>
      </c>
      <c r="AB378" s="29" t="str">
        <f t="shared" si="60"/>
        <v>F02</v>
      </c>
      <c r="AC378" s="29" t="str">
        <f t="shared" si="61"/>
        <v>F00.02</v>
      </c>
      <c r="AD378" s="29" t="str">
        <f t="shared" si="62"/>
        <v>F02</v>
      </c>
      <c r="AE378" s="443"/>
      <c r="AF378" s="443"/>
      <c r="AG378" s="443"/>
      <c r="AH378" s="443"/>
    </row>
    <row r="379" spans="1:34" ht="16.5">
      <c r="A379" s="728">
        <f t="shared" si="65"/>
        <v>372</v>
      </c>
      <c r="B379" s="563">
        <v>14</v>
      </c>
      <c r="C379" s="694">
        <v>28641</v>
      </c>
      <c r="D379" s="694" t="s">
        <v>148</v>
      </c>
      <c r="E379" s="563">
        <v>31</v>
      </c>
      <c r="F379" s="503">
        <v>1978</v>
      </c>
      <c r="G379" s="563" t="s">
        <v>117</v>
      </c>
      <c r="H379" s="503" t="s">
        <v>122</v>
      </c>
      <c r="I379" s="695">
        <v>30</v>
      </c>
      <c r="J379" s="695">
        <v>2</v>
      </c>
      <c r="K379" s="777">
        <f t="shared" si="64"/>
        <v>3.4090909090909088E-2</v>
      </c>
      <c r="L379" s="968">
        <v>0</v>
      </c>
      <c r="M379" s="503">
        <f t="shared" si="66"/>
        <v>15</v>
      </c>
      <c r="N379" s="504">
        <v>0.64930555555555558</v>
      </c>
      <c r="O379" s="719">
        <f t="shared" si="56"/>
        <v>0.64930555555555558</v>
      </c>
      <c r="P379" s="564"/>
      <c r="Q379" s="564">
        <f t="shared" si="63"/>
        <v>-0.64930555555555558</v>
      </c>
      <c r="R379" s="965" t="s">
        <v>1520</v>
      </c>
      <c r="S379" s="487"/>
      <c r="U379" s="29" t="str">
        <f t="shared" si="57"/>
        <v>Deaf SmithF0</v>
      </c>
      <c r="V379" s="29" t="str">
        <f t="shared" si="58"/>
        <v>1978F0</v>
      </c>
      <c r="W379" s="80">
        <v>20</v>
      </c>
      <c r="X379" s="32">
        <v>2</v>
      </c>
      <c r="Y379" s="467">
        <v>0.02</v>
      </c>
      <c r="Z379" s="80"/>
      <c r="AA379" s="29" t="str">
        <f t="shared" si="59"/>
        <v>F020</v>
      </c>
      <c r="AB379" s="29" t="str">
        <f t="shared" si="60"/>
        <v>F02</v>
      </c>
      <c r="AC379" s="29" t="str">
        <f t="shared" si="61"/>
        <v>F00.02</v>
      </c>
      <c r="AD379" s="29" t="str">
        <f t="shared" si="62"/>
        <v>F015</v>
      </c>
      <c r="AE379" s="443"/>
      <c r="AF379" s="443"/>
      <c r="AG379" s="443"/>
      <c r="AH379" s="443"/>
    </row>
    <row r="380" spans="1:34" ht="16.5">
      <c r="A380" s="728">
        <f t="shared" si="65"/>
        <v>373</v>
      </c>
      <c r="B380" s="563">
        <v>15</v>
      </c>
      <c r="C380" s="694">
        <v>28645</v>
      </c>
      <c r="D380" s="694" t="s">
        <v>149</v>
      </c>
      <c r="E380" s="563">
        <v>4</v>
      </c>
      <c r="F380" s="503">
        <v>1978</v>
      </c>
      <c r="G380" s="563" t="s">
        <v>103</v>
      </c>
      <c r="H380" s="503" t="s">
        <v>122</v>
      </c>
      <c r="I380" s="695">
        <v>60</v>
      </c>
      <c r="J380" s="695">
        <v>1</v>
      </c>
      <c r="K380" s="777">
        <f t="shared" si="64"/>
        <v>3.4090909090909088E-2</v>
      </c>
      <c r="L380" s="968">
        <v>0</v>
      </c>
      <c r="M380" s="503">
        <f t="shared" si="66"/>
        <v>0</v>
      </c>
      <c r="N380" s="504">
        <v>2.9861111111111113E-2</v>
      </c>
      <c r="O380" s="719">
        <f t="shared" si="56"/>
        <v>2.9861111111111113E-2</v>
      </c>
      <c r="P380" s="564"/>
      <c r="Q380" s="564">
        <f t="shared" si="63"/>
        <v>-2.9861111111111113E-2</v>
      </c>
      <c r="R380" s="965" t="s">
        <v>1520</v>
      </c>
      <c r="S380" s="487"/>
      <c r="U380" s="29" t="str">
        <f t="shared" si="57"/>
        <v>ShermanF0</v>
      </c>
      <c r="V380" s="29" t="str">
        <f t="shared" si="58"/>
        <v>1978F0</v>
      </c>
      <c r="W380" s="80">
        <v>50</v>
      </c>
      <c r="X380" s="32">
        <v>1</v>
      </c>
      <c r="Y380" s="467">
        <v>0.02</v>
      </c>
      <c r="Z380" s="80"/>
      <c r="AA380" s="29" t="str">
        <f t="shared" si="59"/>
        <v>F050</v>
      </c>
      <c r="AB380" s="29" t="str">
        <f t="shared" si="60"/>
        <v>F01</v>
      </c>
      <c r="AC380" s="29" t="str">
        <f t="shared" si="61"/>
        <v>F00.02</v>
      </c>
      <c r="AD380" s="29" t="str">
        <f t="shared" si="62"/>
        <v>F00</v>
      </c>
      <c r="AE380" s="443"/>
      <c r="AF380" s="443"/>
      <c r="AG380" s="443"/>
      <c r="AH380" s="443"/>
    </row>
    <row r="381" spans="1:34" ht="16.5">
      <c r="A381" s="728">
        <f t="shared" si="65"/>
        <v>374</v>
      </c>
      <c r="B381" s="563">
        <v>16</v>
      </c>
      <c r="C381" s="694">
        <v>28672</v>
      </c>
      <c r="D381" s="694" t="s">
        <v>150</v>
      </c>
      <c r="E381" s="563">
        <v>1</v>
      </c>
      <c r="F381" s="503">
        <v>1978</v>
      </c>
      <c r="G381" s="563" t="s">
        <v>103</v>
      </c>
      <c r="H381" s="503" t="s">
        <v>122</v>
      </c>
      <c r="I381" s="695">
        <v>7</v>
      </c>
      <c r="J381" s="695">
        <v>0.4</v>
      </c>
      <c r="K381" s="777">
        <f t="shared" si="64"/>
        <v>1.5909090909090907E-3</v>
      </c>
      <c r="L381" s="968">
        <v>0</v>
      </c>
      <c r="M381" s="503">
        <f t="shared" si="66"/>
        <v>16</v>
      </c>
      <c r="N381" s="504">
        <v>0.68055555555555547</v>
      </c>
      <c r="O381" s="719">
        <f t="shared" si="56"/>
        <v>0.68055555555555547</v>
      </c>
      <c r="P381" s="564"/>
      <c r="Q381" s="564">
        <f t="shared" si="63"/>
        <v>-0.68055555555555547</v>
      </c>
      <c r="R381" s="965" t="s">
        <v>1520</v>
      </c>
      <c r="S381" s="487"/>
      <c r="U381" s="29" t="str">
        <f t="shared" si="57"/>
        <v>ShermanF0</v>
      </c>
      <c r="V381" s="29" t="str">
        <f t="shared" si="58"/>
        <v>1978F0</v>
      </c>
      <c r="W381" s="80">
        <v>5</v>
      </c>
      <c r="X381" s="32">
        <v>0.2</v>
      </c>
      <c r="Y381" s="467">
        <v>1E-3</v>
      </c>
      <c r="Z381" s="80"/>
      <c r="AA381" s="29" t="str">
        <f t="shared" si="59"/>
        <v>F05</v>
      </c>
      <c r="AB381" s="29" t="str">
        <f t="shared" si="60"/>
        <v>F00.2</v>
      </c>
      <c r="AC381" s="29" t="str">
        <f t="shared" si="61"/>
        <v>F00.001</v>
      </c>
      <c r="AD381" s="29" t="str">
        <f t="shared" si="62"/>
        <v>F016</v>
      </c>
      <c r="AE381" s="443"/>
      <c r="AF381" s="443"/>
      <c r="AG381" s="443"/>
      <c r="AH381" s="443"/>
    </row>
    <row r="382" spans="1:34" ht="16.5">
      <c r="A382" s="728">
        <f t="shared" si="65"/>
        <v>375</v>
      </c>
      <c r="B382" s="563">
        <v>1</v>
      </c>
      <c r="C382" s="694">
        <v>28932</v>
      </c>
      <c r="D382" s="735" t="s">
        <v>146</v>
      </c>
      <c r="E382" s="695">
        <v>18</v>
      </c>
      <c r="F382" s="503">
        <v>1979</v>
      </c>
      <c r="G382" s="563" t="s">
        <v>114</v>
      </c>
      <c r="H382" s="503" t="s">
        <v>122</v>
      </c>
      <c r="I382" s="695">
        <v>30</v>
      </c>
      <c r="J382" s="695">
        <v>0.5</v>
      </c>
      <c r="K382" s="777">
        <f t="shared" si="64"/>
        <v>8.5227272727272721E-3</v>
      </c>
      <c r="L382" s="968">
        <v>0</v>
      </c>
      <c r="M382" s="503">
        <f t="shared" si="66"/>
        <v>2</v>
      </c>
      <c r="N382" s="504">
        <v>0.10416666666666667</v>
      </c>
      <c r="O382" s="719">
        <f t="shared" si="56"/>
        <v>0.10416666666666667</v>
      </c>
      <c r="P382" s="564"/>
      <c r="Q382" s="564">
        <f t="shared" si="63"/>
        <v>-0.10416666666666667</v>
      </c>
      <c r="R382" s="965" t="s">
        <v>1520</v>
      </c>
      <c r="S382" s="487"/>
      <c r="T382" s="29"/>
      <c r="U382" s="29" t="str">
        <f t="shared" si="57"/>
        <v>CarsonF0</v>
      </c>
      <c r="V382" s="29" t="str">
        <f t="shared" si="58"/>
        <v>1979F0</v>
      </c>
      <c r="W382" s="80">
        <v>20</v>
      </c>
      <c r="X382" s="32">
        <v>0.5</v>
      </c>
      <c r="Y382" s="467">
        <v>5.0000000000000001E-3</v>
      </c>
      <c r="Z382" s="80"/>
      <c r="AA382" s="29" t="str">
        <f t="shared" si="59"/>
        <v>F020</v>
      </c>
      <c r="AB382" s="29" t="str">
        <f t="shared" si="60"/>
        <v>F00.5</v>
      </c>
      <c r="AC382" s="29" t="str">
        <f t="shared" si="61"/>
        <v>F00.005</v>
      </c>
      <c r="AD382" s="29" t="str">
        <f t="shared" si="62"/>
        <v>F02</v>
      </c>
      <c r="AE382" s="443"/>
      <c r="AF382" s="443"/>
      <c r="AG382" s="443"/>
      <c r="AH382" s="443"/>
    </row>
    <row r="383" spans="1:34" ht="16.5">
      <c r="A383" s="728">
        <f t="shared" si="65"/>
        <v>376</v>
      </c>
      <c r="B383" s="563">
        <v>2</v>
      </c>
      <c r="C383" s="694">
        <v>28932</v>
      </c>
      <c r="D383" s="735" t="s">
        <v>146</v>
      </c>
      <c r="E383" s="695">
        <v>18</v>
      </c>
      <c r="F383" s="503">
        <v>1979</v>
      </c>
      <c r="G383" s="563" t="s">
        <v>121</v>
      </c>
      <c r="H383" s="503" t="s">
        <v>123</v>
      </c>
      <c r="I383" s="695">
        <v>500</v>
      </c>
      <c r="J383" s="695">
        <v>13.3</v>
      </c>
      <c r="K383" s="777">
        <f t="shared" si="64"/>
        <v>3.7784090909090913</v>
      </c>
      <c r="L383" s="968">
        <v>250000</v>
      </c>
      <c r="M383" s="503">
        <f t="shared" si="66"/>
        <v>3</v>
      </c>
      <c r="N383" s="504">
        <v>0.13194444444444445</v>
      </c>
      <c r="O383" s="719">
        <f t="shared" si="56"/>
        <v>0.13194444444444445</v>
      </c>
      <c r="P383" s="564"/>
      <c r="Q383" s="564">
        <f t="shared" si="63"/>
        <v>-0.13194444444444445</v>
      </c>
      <c r="R383" s="965" t="s">
        <v>1520</v>
      </c>
      <c r="S383" s="487"/>
      <c r="T383" s="29"/>
      <c r="U383" s="29" t="str">
        <f t="shared" si="57"/>
        <v>CollingsworthF1</v>
      </c>
      <c r="V383" s="29" t="str">
        <f t="shared" si="58"/>
        <v>1979F1</v>
      </c>
      <c r="W383" s="80">
        <v>500</v>
      </c>
      <c r="X383" s="32">
        <v>10</v>
      </c>
      <c r="Y383" s="467">
        <v>2</v>
      </c>
      <c r="Z383" s="80"/>
      <c r="AA383" s="29" t="str">
        <f t="shared" si="59"/>
        <v>F1500</v>
      </c>
      <c r="AB383" s="29" t="str">
        <f t="shared" si="60"/>
        <v>F110</v>
      </c>
      <c r="AC383" s="29" t="str">
        <f t="shared" si="61"/>
        <v>F12</v>
      </c>
      <c r="AD383" s="29" t="str">
        <f t="shared" si="62"/>
        <v>F13</v>
      </c>
      <c r="AE383" s="443"/>
      <c r="AF383" s="443"/>
      <c r="AG383" s="443"/>
      <c r="AH383" s="443"/>
    </row>
    <row r="384" spans="1:34" ht="16.5">
      <c r="A384" s="728">
        <f t="shared" si="65"/>
        <v>377</v>
      </c>
      <c r="B384" s="563">
        <v>3</v>
      </c>
      <c r="C384" s="694">
        <v>28984</v>
      </c>
      <c r="D384" s="694" t="s">
        <v>148</v>
      </c>
      <c r="E384" s="563">
        <v>9</v>
      </c>
      <c r="F384" s="503">
        <v>1979</v>
      </c>
      <c r="G384" s="563" t="s">
        <v>111</v>
      </c>
      <c r="H384" s="503" t="s">
        <v>122</v>
      </c>
      <c r="I384" s="695">
        <v>33</v>
      </c>
      <c r="J384" s="695">
        <v>5.7</v>
      </c>
      <c r="K384" s="777">
        <f t="shared" si="64"/>
        <v>0.106875</v>
      </c>
      <c r="L384" s="968">
        <v>0</v>
      </c>
      <c r="M384" s="503">
        <f t="shared" si="66"/>
        <v>17</v>
      </c>
      <c r="N384" s="504">
        <v>0.72013888888888899</v>
      </c>
      <c r="O384" s="719">
        <f t="shared" si="56"/>
        <v>0.72013888888888899</v>
      </c>
      <c r="P384" s="564"/>
      <c r="Q384" s="564">
        <f t="shared" si="63"/>
        <v>-0.72013888888888899</v>
      </c>
      <c r="R384" s="965" t="s">
        <v>1520</v>
      </c>
      <c r="S384" s="487"/>
      <c r="T384" s="29"/>
      <c r="U384" s="29" t="str">
        <f t="shared" si="57"/>
        <v>HemphillF0</v>
      </c>
      <c r="V384" s="29" t="str">
        <f t="shared" si="58"/>
        <v>1979F0</v>
      </c>
      <c r="W384" s="80">
        <v>20</v>
      </c>
      <c r="X384" s="32">
        <v>5</v>
      </c>
      <c r="Y384" s="467">
        <v>0.1</v>
      </c>
      <c r="Z384" s="80"/>
      <c r="AA384" s="29" t="str">
        <f t="shared" si="59"/>
        <v>F020</v>
      </c>
      <c r="AB384" s="29" t="str">
        <f t="shared" si="60"/>
        <v>F05</v>
      </c>
      <c r="AC384" s="29" t="str">
        <f t="shared" si="61"/>
        <v>F00.1</v>
      </c>
      <c r="AD384" s="29" t="str">
        <f t="shared" si="62"/>
        <v>F017</v>
      </c>
      <c r="AE384" s="443"/>
      <c r="AF384" s="443"/>
      <c r="AG384" s="443"/>
      <c r="AH384" s="443"/>
    </row>
    <row r="385" spans="1:34" ht="16.5">
      <c r="A385" s="728">
        <f t="shared" si="65"/>
        <v>378</v>
      </c>
      <c r="B385" s="563">
        <v>4</v>
      </c>
      <c r="C385" s="694">
        <v>29001</v>
      </c>
      <c r="D385" s="694" t="s">
        <v>148</v>
      </c>
      <c r="E385" s="563">
        <v>26</v>
      </c>
      <c r="F385" s="503">
        <v>1979</v>
      </c>
      <c r="G385" s="563" t="s">
        <v>115</v>
      </c>
      <c r="H385" s="503" t="s">
        <v>122</v>
      </c>
      <c r="I385" s="695">
        <v>30</v>
      </c>
      <c r="J385" s="695">
        <v>0.3</v>
      </c>
      <c r="K385" s="777">
        <f t="shared" si="64"/>
        <v>5.1136363636363627E-3</v>
      </c>
      <c r="L385" s="968">
        <v>0</v>
      </c>
      <c r="M385" s="503">
        <f t="shared" si="66"/>
        <v>15</v>
      </c>
      <c r="N385" s="504">
        <v>0.65347222222222223</v>
      </c>
      <c r="O385" s="719">
        <f t="shared" si="56"/>
        <v>0.65347222222222223</v>
      </c>
      <c r="P385" s="564"/>
      <c r="Q385" s="564">
        <f t="shared" si="63"/>
        <v>-0.65347222222222223</v>
      </c>
      <c r="R385" s="965" t="s">
        <v>1520</v>
      </c>
      <c r="S385" s="487"/>
      <c r="T385" s="29"/>
      <c r="U385" s="29" t="str">
        <f t="shared" si="57"/>
        <v>GrayF0</v>
      </c>
      <c r="V385" s="29" t="str">
        <f t="shared" si="58"/>
        <v>1979F0</v>
      </c>
      <c r="W385" s="80">
        <v>20</v>
      </c>
      <c r="X385" s="32">
        <v>0.2</v>
      </c>
      <c r="Y385" s="467">
        <v>5.0000000000000001E-3</v>
      </c>
      <c r="Z385" s="80"/>
      <c r="AA385" s="29" t="str">
        <f t="shared" si="59"/>
        <v>F020</v>
      </c>
      <c r="AB385" s="29" t="str">
        <f t="shared" si="60"/>
        <v>F00.2</v>
      </c>
      <c r="AC385" s="29" t="str">
        <f t="shared" si="61"/>
        <v>F00.005</v>
      </c>
      <c r="AD385" s="29" t="str">
        <f t="shared" si="62"/>
        <v>F015</v>
      </c>
      <c r="AE385" s="443"/>
      <c r="AF385" s="443"/>
      <c r="AG385" s="443"/>
      <c r="AH385" s="443"/>
    </row>
    <row r="386" spans="1:34" ht="16.5">
      <c r="A386" s="728">
        <f t="shared" si="65"/>
        <v>379</v>
      </c>
      <c r="B386" s="563">
        <v>5</v>
      </c>
      <c r="C386" s="694">
        <v>29002</v>
      </c>
      <c r="D386" s="694" t="s">
        <v>148</v>
      </c>
      <c r="E386" s="563">
        <v>27</v>
      </c>
      <c r="F386" s="503">
        <v>1979</v>
      </c>
      <c r="G386" s="563" t="s">
        <v>112</v>
      </c>
      <c r="H386" s="503" t="s">
        <v>122</v>
      </c>
      <c r="I386" s="695">
        <v>10</v>
      </c>
      <c r="J386" s="695">
        <v>0.1</v>
      </c>
      <c r="K386" s="777">
        <f t="shared" si="64"/>
        <v>5.6818181818181826E-4</v>
      </c>
      <c r="L386" s="968">
        <v>0</v>
      </c>
      <c r="M386" s="503">
        <f t="shared" si="66"/>
        <v>16</v>
      </c>
      <c r="N386" s="504">
        <v>0.6875</v>
      </c>
      <c r="O386" s="719">
        <f t="shared" si="56"/>
        <v>0.6875</v>
      </c>
      <c r="P386" s="564"/>
      <c r="Q386" s="564">
        <f t="shared" si="63"/>
        <v>-0.6875</v>
      </c>
      <c r="R386" s="965" t="s">
        <v>1520</v>
      </c>
      <c r="S386" s="487"/>
      <c r="T386" s="29"/>
      <c r="U386" s="29" t="str">
        <f t="shared" si="57"/>
        <v>OldhamF0</v>
      </c>
      <c r="V386" s="29" t="str">
        <f t="shared" si="58"/>
        <v>1979F0</v>
      </c>
      <c r="W386" s="80">
        <v>10</v>
      </c>
      <c r="X386" s="32">
        <v>0.1</v>
      </c>
      <c r="Y386" s="467">
        <v>5.0000000000000001E-4</v>
      </c>
      <c r="Z386" s="80"/>
      <c r="AA386" s="29" t="str">
        <f t="shared" si="59"/>
        <v>F010</v>
      </c>
      <c r="AB386" s="29" t="str">
        <f t="shared" si="60"/>
        <v>F00.1</v>
      </c>
      <c r="AC386" s="29" t="str">
        <f t="shared" si="61"/>
        <v>F00.0005</v>
      </c>
      <c r="AD386" s="29" t="str">
        <f t="shared" si="62"/>
        <v>F016</v>
      </c>
      <c r="AE386" s="443"/>
      <c r="AF386" s="443"/>
      <c r="AG386" s="443"/>
      <c r="AH386" s="443"/>
    </row>
    <row r="387" spans="1:34" ht="16.5">
      <c r="A387" s="728">
        <f t="shared" si="65"/>
        <v>380</v>
      </c>
      <c r="B387" s="563">
        <v>6</v>
      </c>
      <c r="C387" s="694">
        <v>29043</v>
      </c>
      <c r="D387" s="694" t="s">
        <v>150</v>
      </c>
      <c r="E387" s="563">
        <v>7</v>
      </c>
      <c r="F387" s="503">
        <v>1979</v>
      </c>
      <c r="G387" s="563" t="s">
        <v>113</v>
      </c>
      <c r="H387" s="503" t="s">
        <v>122</v>
      </c>
      <c r="I387" s="695">
        <v>10</v>
      </c>
      <c r="J387" s="695">
        <v>0.1</v>
      </c>
      <c r="K387" s="777">
        <f t="shared" si="64"/>
        <v>5.6818181818181826E-4</v>
      </c>
      <c r="L387" s="968">
        <v>0</v>
      </c>
      <c r="M387" s="503">
        <f t="shared" si="66"/>
        <v>21</v>
      </c>
      <c r="N387" s="504">
        <v>0.88194444444444453</v>
      </c>
      <c r="O387" s="719">
        <f t="shared" si="56"/>
        <v>0.88194444444444453</v>
      </c>
      <c r="P387" s="564"/>
      <c r="Q387" s="564">
        <f t="shared" si="63"/>
        <v>-0.88194444444444453</v>
      </c>
      <c r="R387" s="965" t="s">
        <v>1520</v>
      </c>
      <c r="S387" s="487"/>
      <c r="T387" s="29"/>
      <c r="U387" s="29" t="str">
        <f t="shared" si="57"/>
        <v>PotterF0</v>
      </c>
      <c r="V387" s="29" t="str">
        <f t="shared" si="58"/>
        <v>1979F0</v>
      </c>
      <c r="W387" s="80">
        <v>10</v>
      </c>
      <c r="X387" s="32">
        <v>0.1</v>
      </c>
      <c r="Y387" s="467">
        <v>5.0000000000000001E-4</v>
      </c>
      <c r="Z387" s="80"/>
      <c r="AA387" s="29" t="str">
        <f t="shared" si="59"/>
        <v>F010</v>
      </c>
      <c r="AB387" s="29" t="str">
        <f t="shared" si="60"/>
        <v>F00.1</v>
      </c>
      <c r="AC387" s="29" t="str">
        <f t="shared" si="61"/>
        <v>F00.0005</v>
      </c>
      <c r="AD387" s="29" t="str">
        <f t="shared" si="62"/>
        <v>F021</v>
      </c>
      <c r="AE387" s="443"/>
      <c r="AF387" s="443"/>
      <c r="AG387" s="443"/>
      <c r="AH387" s="443"/>
    </row>
    <row r="388" spans="1:34" ht="16.5">
      <c r="A388" s="728">
        <f t="shared" si="65"/>
        <v>381</v>
      </c>
      <c r="B388" s="563">
        <v>7</v>
      </c>
      <c r="C388" s="694">
        <v>29059</v>
      </c>
      <c r="D388" s="694" t="s">
        <v>150</v>
      </c>
      <c r="E388" s="563">
        <v>23</v>
      </c>
      <c r="F388" s="503">
        <v>1979</v>
      </c>
      <c r="G388" s="563" t="s">
        <v>111</v>
      </c>
      <c r="H388" s="503" t="s">
        <v>122</v>
      </c>
      <c r="I388" s="695">
        <v>10</v>
      </c>
      <c r="J388" s="695">
        <v>0.1</v>
      </c>
      <c r="K388" s="777">
        <f t="shared" si="64"/>
        <v>5.6818181818181826E-4</v>
      </c>
      <c r="L388" s="968">
        <v>0</v>
      </c>
      <c r="M388" s="503">
        <f t="shared" si="66"/>
        <v>16</v>
      </c>
      <c r="N388" s="504">
        <v>0.70486111111111116</v>
      </c>
      <c r="O388" s="719">
        <f t="shared" si="56"/>
        <v>0.70486111111111116</v>
      </c>
      <c r="P388" s="564"/>
      <c r="Q388" s="564">
        <f t="shared" si="63"/>
        <v>-0.70486111111111116</v>
      </c>
      <c r="R388" s="965" t="s">
        <v>1520</v>
      </c>
      <c r="S388" s="487"/>
      <c r="T388" s="29"/>
      <c r="U388" s="29" t="str">
        <f t="shared" si="57"/>
        <v>HemphillF0</v>
      </c>
      <c r="V388" s="29" t="str">
        <f t="shared" si="58"/>
        <v>1979F0</v>
      </c>
      <c r="W388" s="80">
        <v>10</v>
      </c>
      <c r="X388" s="32">
        <v>0.1</v>
      </c>
      <c r="Y388" s="467">
        <v>5.0000000000000001E-4</v>
      </c>
      <c r="Z388" s="80"/>
      <c r="AA388" s="29" t="str">
        <f t="shared" si="59"/>
        <v>F010</v>
      </c>
      <c r="AB388" s="29" t="str">
        <f t="shared" si="60"/>
        <v>F00.1</v>
      </c>
      <c r="AC388" s="29" t="str">
        <f t="shared" si="61"/>
        <v>F00.0005</v>
      </c>
      <c r="AD388" s="29" t="str">
        <f t="shared" si="62"/>
        <v>F016</v>
      </c>
      <c r="AE388" s="443"/>
      <c r="AF388" s="443"/>
      <c r="AG388" s="443"/>
      <c r="AH388" s="443"/>
    </row>
    <row r="389" spans="1:34" ht="16.5">
      <c r="A389" s="728">
        <f t="shared" si="65"/>
        <v>382</v>
      </c>
      <c r="B389" s="563">
        <v>8</v>
      </c>
      <c r="C389" s="694">
        <v>29060</v>
      </c>
      <c r="D389" s="694" t="s">
        <v>150</v>
      </c>
      <c r="E389" s="563">
        <v>24</v>
      </c>
      <c r="F389" s="503">
        <v>1979</v>
      </c>
      <c r="G389" s="563" t="s">
        <v>104</v>
      </c>
      <c r="H389" s="503" t="s">
        <v>122</v>
      </c>
      <c r="I389" s="695">
        <v>10</v>
      </c>
      <c r="J389" s="695">
        <v>0.1</v>
      </c>
      <c r="K389" s="777">
        <f t="shared" si="64"/>
        <v>5.6818181818181826E-4</v>
      </c>
      <c r="L389" s="968">
        <v>0</v>
      </c>
      <c r="M389" s="503">
        <f t="shared" si="66"/>
        <v>16</v>
      </c>
      <c r="N389" s="504">
        <v>0.70486111111111116</v>
      </c>
      <c r="O389" s="719">
        <f t="shared" si="56"/>
        <v>0.70486111111111116</v>
      </c>
      <c r="P389" s="564"/>
      <c r="Q389" s="564">
        <f t="shared" si="63"/>
        <v>-0.70486111111111116</v>
      </c>
      <c r="R389" s="965" t="s">
        <v>1520</v>
      </c>
      <c r="S389" s="487"/>
      <c r="T389" s="29"/>
      <c r="U389" s="29" t="str">
        <f t="shared" si="57"/>
        <v>HansfordF0</v>
      </c>
      <c r="V389" s="29" t="str">
        <f t="shared" si="58"/>
        <v>1979F0</v>
      </c>
      <c r="W389" s="80">
        <v>10</v>
      </c>
      <c r="X389" s="32">
        <v>0.1</v>
      </c>
      <c r="Y389" s="467">
        <v>5.0000000000000001E-4</v>
      </c>
      <c r="Z389" s="80"/>
      <c r="AA389" s="29" t="str">
        <f t="shared" si="59"/>
        <v>F010</v>
      </c>
      <c r="AB389" s="29" t="str">
        <f t="shared" si="60"/>
        <v>F00.1</v>
      </c>
      <c r="AC389" s="29" t="str">
        <f t="shared" si="61"/>
        <v>F00.0005</v>
      </c>
      <c r="AD389" s="29" t="str">
        <f t="shared" si="62"/>
        <v>F016</v>
      </c>
      <c r="AE389" s="443"/>
      <c r="AF389" s="443"/>
      <c r="AG389" s="443"/>
      <c r="AH389" s="443"/>
    </row>
    <row r="390" spans="1:34" ht="16.5">
      <c r="A390" s="728">
        <f t="shared" si="65"/>
        <v>383</v>
      </c>
      <c r="B390" s="563">
        <v>9</v>
      </c>
      <c r="C390" s="694">
        <v>29060</v>
      </c>
      <c r="D390" s="694" t="s">
        <v>150</v>
      </c>
      <c r="E390" s="563">
        <v>24</v>
      </c>
      <c r="F390" s="503">
        <v>1979</v>
      </c>
      <c r="G390" s="563" t="s">
        <v>104</v>
      </c>
      <c r="H390" s="503" t="s">
        <v>122</v>
      </c>
      <c r="I390" s="695">
        <v>10</v>
      </c>
      <c r="J390" s="695">
        <v>0.1</v>
      </c>
      <c r="K390" s="777">
        <f t="shared" si="64"/>
        <v>5.6818181818181826E-4</v>
      </c>
      <c r="L390" s="968">
        <v>0</v>
      </c>
      <c r="M390" s="503">
        <f t="shared" si="66"/>
        <v>16</v>
      </c>
      <c r="N390" s="504">
        <v>0.70486111111111116</v>
      </c>
      <c r="O390" s="719">
        <f t="shared" si="56"/>
        <v>0.70486111111111116</v>
      </c>
      <c r="P390" s="564"/>
      <c r="Q390" s="564">
        <f t="shared" si="63"/>
        <v>-0.70486111111111116</v>
      </c>
      <c r="R390" s="965" t="s">
        <v>1520</v>
      </c>
      <c r="S390" s="487"/>
      <c r="T390" s="29"/>
      <c r="U390" s="29" t="str">
        <f t="shared" si="57"/>
        <v>HansfordF0</v>
      </c>
      <c r="V390" s="29" t="str">
        <f t="shared" si="58"/>
        <v>1979F0</v>
      </c>
      <c r="W390" s="80">
        <v>10</v>
      </c>
      <c r="X390" s="32">
        <v>0.1</v>
      </c>
      <c r="Y390" s="467">
        <v>5.0000000000000001E-4</v>
      </c>
      <c r="Z390" s="80"/>
      <c r="AA390" s="29" t="str">
        <f t="shared" si="59"/>
        <v>F010</v>
      </c>
      <c r="AB390" s="29" t="str">
        <f t="shared" si="60"/>
        <v>F00.1</v>
      </c>
      <c r="AC390" s="29" t="str">
        <f t="shared" si="61"/>
        <v>F00.0005</v>
      </c>
      <c r="AD390" s="29" t="str">
        <f t="shared" si="62"/>
        <v>F016</v>
      </c>
      <c r="AE390" s="443"/>
      <c r="AF390" s="443"/>
      <c r="AG390" s="443"/>
      <c r="AH390" s="443"/>
    </row>
    <row r="391" spans="1:34" ht="16.5">
      <c r="A391" s="728">
        <f t="shared" si="65"/>
        <v>384</v>
      </c>
      <c r="B391" s="563">
        <v>10</v>
      </c>
      <c r="C391" s="694">
        <v>29088</v>
      </c>
      <c r="D391" s="694" t="s">
        <v>151</v>
      </c>
      <c r="E391" s="563">
        <v>21</v>
      </c>
      <c r="F391" s="503">
        <v>1979</v>
      </c>
      <c r="G391" s="563" t="s">
        <v>111</v>
      </c>
      <c r="H391" s="503" t="s">
        <v>122</v>
      </c>
      <c r="I391" s="695">
        <v>20</v>
      </c>
      <c r="J391" s="695">
        <v>1</v>
      </c>
      <c r="K391" s="777">
        <f t="shared" si="64"/>
        <v>1.1363636363636364E-2</v>
      </c>
      <c r="L391" s="968">
        <v>0</v>
      </c>
      <c r="M391" s="503">
        <f t="shared" si="66"/>
        <v>17</v>
      </c>
      <c r="N391" s="504">
        <v>0.73263888888888884</v>
      </c>
      <c r="O391" s="719">
        <f t="shared" ref="O391:O454" si="67">+N391</f>
        <v>0.73263888888888884</v>
      </c>
      <c r="P391" s="564"/>
      <c r="Q391" s="564">
        <f t="shared" si="63"/>
        <v>-0.73263888888888884</v>
      </c>
      <c r="R391" s="965" t="s">
        <v>1520</v>
      </c>
      <c r="S391" s="487"/>
      <c r="T391" s="29"/>
      <c r="U391" s="29" t="str">
        <f t="shared" ref="U391:U454" si="68">CONCATENATE(G391,H391)</f>
        <v>HemphillF0</v>
      </c>
      <c r="V391" s="29" t="str">
        <f t="shared" ref="V391:V454" si="69">CONCATENATE(F391,H391)</f>
        <v>1979F0</v>
      </c>
      <c r="W391" s="80">
        <v>20</v>
      </c>
      <c r="X391" s="32">
        <v>1</v>
      </c>
      <c r="Y391" s="467">
        <v>0.01</v>
      </c>
      <c r="Z391" s="80"/>
      <c r="AA391" s="29" t="str">
        <f t="shared" ref="AA391:AA454" si="70">CONCATENATE(H391,W391)</f>
        <v>F020</v>
      </c>
      <c r="AB391" s="29" t="str">
        <f t="shared" ref="AB391:AB454" si="71">CONCATENATE(H391,X391)</f>
        <v>F01</v>
      </c>
      <c r="AC391" s="29" t="str">
        <f t="shared" ref="AC391:AC454" si="72">CONCATENATE(H391,Y391)</f>
        <v>F00.01</v>
      </c>
      <c r="AD391" s="29" t="str">
        <f t="shared" ref="AD391:AD454" si="73">CONCATENATE(H391,M391)</f>
        <v>F017</v>
      </c>
      <c r="AE391" s="443"/>
      <c r="AF391" s="443"/>
      <c r="AG391" s="443"/>
      <c r="AH391" s="443"/>
    </row>
    <row r="392" spans="1:34" ht="16.5">
      <c r="A392" s="728">
        <f t="shared" si="65"/>
        <v>385</v>
      </c>
      <c r="B392" s="563">
        <v>11</v>
      </c>
      <c r="C392" s="694">
        <v>29092</v>
      </c>
      <c r="D392" s="694" t="s">
        <v>151</v>
      </c>
      <c r="E392" s="563">
        <v>25</v>
      </c>
      <c r="F392" s="503">
        <v>1979</v>
      </c>
      <c r="G392" s="563" t="s">
        <v>103</v>
      </c>
      <c r="H392" s="503" t="s">
        <v>122</v>
      </c>
      <c r="I392" s="695">
        <v>10</v>
      </c>
      <c r="J392" s="695">
        <v>0.1</v>
      </c>
      <c r="K392" s="777">
        <f t="shared" si="64"/>
        <v>5.6818181818181826E-4</v>
      </c>
      <c r="L392" s="968">
        <v>0</v>
      </c>
      <c r="M392" s="503">
        <f t="shared" si="66"/>
        <v>22</v>
      </c>
      <c r="N392" s="504">
        <v>0.92500000000000004</v>
      </c>
      <c r="O392" s="719">
        <f t="shared" si="67"/>
        <v>0.92500000000000004</v>
      </c>
      <c r="P392" s="564"/>
      <c r="Q392" s="564">
        <f t="shared" ref="Q392:Q455" si="74">+P392-O392</f>
        <v>-0.92500000000000004</v>
      </c>
      <c r="R392" s="965" t="s">
        <v>1520</v>
      </c>
      <c r="S392" s="487"/>
      <c r="T392" s="29"/>
      <c r="U392" s="29" t="str">
        <f t="shared" si="68"/>
        <v>ShermanF0</v>
      </c>
      <c r="V392" s="29" t="str">
        <f t="shared" si="69"/>
        <v>1979F0</v>
      </c>
      <c r="W392" s="80">
        <v>10</v>
      </c>
      <c r="X392" s="32">
        <v>0.1</v>
      </c>
      <c r="Y392" s="467">
        <v>5.0000000000000001E-4</v>
      </c>
      <c r="Z392" s="80"/>
      <c r="AA392" s="29" t="str">
        <f t="shared" si="70"/>
        <v>F010</v>
      </c>
      <c r="AB392" s="29" t="str">
        <f t="shared" si="71"/>
        <v>F00.1</v>
      </c>
      <c r="AC392" s="29" t="str">
        <f t="shared" si="72"/>
        <v>F00.0005</v>
      </c>
      <c r="AD392" s="29" t="str">
        <f t="shared" si="73"/>
        <v>F022</v>
      </c>
      <c r="AE392" s="443"/>
      <c r="AF392" s="443"/>
      <c r="AG392" s="443"/>
      <c r="AH392" s="443"/>
    </row>
    <row r="393" spans="1:34" ht="16.5">
      <c r="A393" s="728">
        <f t="shared" si="65"/>
        <v>386</v>
      </c>
      <c r="B393" s="563">
        <v>1</v>
      </c>
      <c r="C393" s="694">
        <v>29335</v>
      </c>
      <c r="D393" s="694" t="s">
        <v>147</v>
      </c>
      <c r="E393" s="563">
        <v>24</v>
      </c>
      <c r="F393" s="503">
        <v>1980</v>
      </c>
      <c r="G393" s="563" t="s">
        <v>118</v>
      </c>
      <c r="H393" s="503" t="s">
        <v>122</v>
      </c>
      <c r="I393" s="695">
        <v>7</v>
      </c>
      <c r="J393" s="695">
        <v>0.5</v>
      </c>
      <c r="K393" s="777">
        <f t="shared" ref="K393:K456" si="75">+(I393/1760)*J393</f>
        <v>1.9886363636363634E-3</v>
      </c>
      <c r="L393" s="968">
        <v>0</v>
      </c>
      <c r="M393" s="503">
        <f t="shared" si="66"/>
        <v>12</v>
      </c>
      <c r="N393" s="504">
        <v>0.50694444444444442</v>
      </c>
      <c r="O393" s="719">
        <f t="shared" si="67"/>
        <v>0.50694444444444442</v>
      </c>
      <c r="P393" s="564"/>
      <c r="Q393" s="564">
        <f t="shared" si="74"/>
        <v>-0.50694444444444442</v>
      </c>
      <c r="R393" s="965" t="s">
        <v>1520</v>
      </c>
      <c r="S393" s="487"/>
      <c r="T393" s="29"/>
      <c r="U393" s="29" t="str">
        <f t="shared" si="68"/>
        <v>RandallF0</v>
      </c>
      <c r="V393" s="29" t="str">
        <f t="shared" si="69"/>
        <v>1980F0</v>
      </c>
      <c r="W393" s="80">
        <v>5</v>
      </c>
      <c r="X393" s="32">
        <v>0.5</v>
      </c>
      <c r="Y393" s="467">
        <v>1E-3</v>
      </c>
      <c r="Z393" s="80"/>
      <c r="AA393" s="29" t="str">
        <f t="shared" si="70"/>
        <v>F05</v>
      </c>
      <c r="AB393" s="29" t="str">
        <f t="shared" si="71"/>
        <v>F00.5</v>
      </c>
      <c r="AC393" s="29" t="str">
        <f t="shared" si="72"/>
        <v>F00.001</v>
      </c>
      <c r="AD393" s="29" t="str">
        <f t="shared" si="73"/>
        <v>F012</v>
      </c>
      <c r="AE393" s="443"/>
      <c r="AF393" s="443"/>
      <c r="AG393" s="443"/>
      <c r="AH393" s="443"/>
    </row>
    <row r="394" spans="1:34" ht="16.5">
      <c r="A394" s="728">
        <f t="shared" ref="A394:A457" si="76">+A393+1</f>
        <v>387</v>
      </c>
      <c r="B394" s="563">
        <v>2</v>
      </c>
      <c r="C394" s="694">
        <v>29335</v>
      </c>
      <c r="D394" s="694" t="s">
        <v>147</v>
      </c>
      <c r="E394" s="563">
        <v>24</v>
      </c>
      <c r="F394" s="503">
        <v>1980</v>
      </c>
      <c r="G394" s="563" t="s">
        <v>111</v>
      </c>
      <c r="H394" s="503" t="s">
        <v>122</v>
      </c>
      <c r="I394" s="695">
        <v>7</v>
      </c>
      <c r="J394" s="695">
        <v>1.5</v>
      </c>
      <c r="K394" s="777">
        <f t="shared" si="75"/>
        <v>5.9659090909090903E-3</v>
      </c>
      <c r="L394" s="968">
        <v>0</v>
      </c>
      <c r="M394" s="503">
        <f t="shared" si="66"/>
        <v>17</v>
      </c>
      <c r="N394" s="504">
        <v>0.72916666666666663</v>
      </c>
      <c r="O394" s="719">
        <f t="shared" si="67"/>
        <v>0.72916666666666663</v>
      </c>
      <c r="P394" s="564"/>
      <c r="Q394" s="564">
        <f t="shared" si="74"/>
        <v>-0.72916666666666663</v>
      </c>
      <c r="R394" s="965" t="s">
        <v>1520</v>
      </c>
      <c r="S394" s="487"/>
      <c r="T394" s="29"/>
      <c r="U394" s="29" t="str">
        <f t="shared" si="68"/>
        <v>HemphillF0</v>
      </c>
      <c r="V394" s="29" t="str">
        <f t="shared" si="69"/>
        <v>1980F0</v>
      </c>
      <c r="W394" s="80">
        <v>5</v>
      </c>
      <c r="X394" s="32">
        <v>1</v>
      </c>
      <c r="Y394" s="467">
        <v>5.0000000000000001E-3</v>
      </c>
      <c r="Z394" s="80"/>
      <c r="AA394" s="29" t="str">
        <f t="shared" si="70"/>
        <v>F05</v>
      </c>
      <c r="AB394" s="29" t="str">
        <f t="shared" si="71"/>
        <v>F01</v>
      </c>
      <c r="AC394" s="29" t="str">
        <f t="shared" si="72"/>
        <v>F00.005</v>
      </c>
      <c r="AD394" s="29" t="str">
        <f t="shared" si="73"/>
        <v>F017</v>
      </c>
      <c r="AE394" s="443"/>
      <c r="AF394" s="443"/>
      <c r="AG394" s="443"/>
      <c r="AH394" s="443"/>
    </row>
    <row r="395" spans="1:34" ht="16.5">
      <c r="A395" s="728">
        <f t="shared" si="76"/>
        <v>388</v>
      </c>
      <c r="B395" s="563">
        <v>3</v>
      </c>
      <c r="C395" s="694">
        <v>29361</v>
      </c>
      <c r="D395" s="694" t="s">
        <v>148</v>
      </c>
      <c r="E395" s="563">
        <v>20</v>
      </c>
      <c r="F395" s="503">
        <v>1980</v>
      </c>
      <c r="G395" s="563" t="s">
        <v>101</v>
      </c>
      <c r="H395" s="503" t="s">
        <v>122</v>
      </c>
      <c r="I395" s="695">
        <v>10</v>
      </c>
      <c r="J395" s="695">
        <v>0.1</v>
      </c>
      <c r="K395" s="777">
        <f t="shared" si="75"/>
        <v>5.6818181818181826E-4</v>
      </c>
      <c r="L395" s="968">
        <v>0</v>
      </c>
      <c r="M395" s="503">
        <f t="shared" si="66"/>
        <v>16</v>
      </c>
      <c r="N395" s="504">
        <v>0.68402777777777779</v>
      </c>
      <c r="O395" s="719">
        <f t="shared" si="67"/>
        <v>0.68402777777777779</v>
      </c>
      <c r="P395" s="564"/>
      <c r="Q395" s="564">
        <f t="shared" si="74"/>
        <v>-0.68402777777777779</v>
      </c>
      <c r="R395" s="965" t="s">
        <v>1520</v>
      </c>
      <c r="S395" s="487"/>
      <c r="T395" s="29"/>
      <c r="U395" s="29" t="str">
        <f t="shared" si="68"/>
        <v>BeaverF0</v>
      </c>
      <c r="V395" s="29" t="str">
        <f t="shared" si="69"/>
        <v>1980F0</v>
      </c>
      <c r="W395" s="80">
        <v>10</v>
      </c>
      <c r="X395" s="32">
        <v>0.1</v>
      </c>
      <c r="Y395" s="467">
        <v>5.0000000000000001E-4</v>
      </c>
      <c r="Z395" s="80"/>
      <c r="AA395" s="29" t="str">
        <f t="shared" si="70"/>
        <v>F010</v>
      </c>
      <c r="AB395" s="29" t="str">
        <f t="shared" si="71"/>
        <v>F00.1</v>
      </c>
      <c r="AC395" s="29" t="str">
        <f t="shared" si="72"/>
        <v>F00.0005</v>
      </c>
      <c r="AD395" s="29" t="str">
        <f t="shared" si="73"/>
        <v>F016</v>
      </c>
      <c r="AE395" s="443"/>
      <c r="AF395" s="443"/>
      <c r="AG395" s="443"/>
      <c r="AH395" s="443"/>
    </row>
    <row r="396" spans="1:34" ht="16.5">
      <c r="A396" s="728">
        <f t="shared" si="76"/>
        <v>389</v>
      </c>
      <c r="B396" s="563">
        <v>4</v>
      </c>
      <c r="C396" s="694">
        <v>29368</v>
      </c>
      <c r="D396" s="694" t="s">
        <v>148</v>
      </c>
      <c r="E396" s="563">
        <v>27</v>
      </c>
      <c r="F396" s="503">
        <v>1980</v>
      </c>
      <c r="G396" s="563" t="s">
        <v>108</v>
      </c>
      <c r="H396" s="503" t="s">
        <v>123</v>
      </c>
      <c r="I396" s="695">
        <v>10</v>
      </c>
      <c r="J396" s="695">
        <v>0.1</v>
      </c>
      <c r="K396" s="777">
        <f t="shared" si="75"/>
        <v>5.6818181818181826E-4</v>
      </c>
      <c r="L396" s="968">
        <v>0</v>
      </c>
      <c r="M396" s="503">
        <f t="shared" si="66"/>
        <v>14</v>
      </c>
      <c r="N396" s="504">
        <v>0.59375</v>
      </c>
      <c r="O396" s="719">
        <f t="shared" si="67"/>
        <v>0.59375</v>
      </c>
      <c r="P396" s="564"/>
      <c r="Q396" s="564">
        <f t="shared" si="74"/>
        <v>-0.59375</v>
      </c>
      <c r="R396" s="965" t="s">
        <v>1520</v>
      </c>
      <c r="S396" s="487"/>
      <c r="T396" s="29"/>
      <c r="U396" s="29" t="str">
        <f t="shared" si="68"/>
        <v>MooreF1</v>
      </c>
      <c r="V396" s="29" t="str">
        <f t="shared" si="69"/>
        <v>1980F1</v>
      </c>
      <c r="W396" s="80">
        <v>10</v>
      </c>
      <c r="X396" s="32">
        <v>0.1</v>
      </c>
      <c r="Y396" s="467">
        <v>5.0000000000000001E-4</v>
      </c>
      <c r="Z396" s="80"/>
      <c r="AA396" s="29" t="str">
        <f t="shared" si="70"/>
        <v>F110</v>
      </c>
      <c r="AB396" s="29" t="str">
        <f t="shared" si="71"/>
        <v>F10.1</v>
      </c>
      <c r="AC396" s="29" t="str">
        <f t="shared" si="72"/>
        <v>F10.0005</v>
      </c>
      <c r="AD396" s="29" t="str">
        <f t="shared" si="73"/>
        <v>F114</v>
      </c>
      <c r="AE396" s="443"/>
      <c r="AF396" s="443"/>
      <c r="AG396" s="443"/>
      <c r="AH396" s="443"/>
    </row>
    <row r="397" spans="1:34" ht="16.5">
      <c r="A397" s="728">
        <f t="shared" si="76"/>
        <v>390</v>
      </c>
      <c r="B397" s="563">
        <v>5</v>
      </c>
      <c r="C397" s="694">
        <v>29368</v>
      </c>
      <c r="D397" s="694" t="s">
        <v>148</v>
      </c>
      <c r="E397" s="563">
        <v>27</v>
      </c>
      <c r="F397" s="503">
        <v>1980</v>
      </c>
      <c r="G397" s="563" t="s">
        <v>107</v>
      </c>
      <c r="H397" s="503" t="s">
        <v>122</v>
      </c>
      <c r="I397" s="695">
        <v>10</v>
      </c>
      <c r="J397" s="695">
        <v>0.1</v>
      </c>
      <c r="K397" s="777">
        <f t="shared" si="75"/>
        <v>5.6818181818181826E-4</v>
      </c>
      <c r="L397" s="968">
        <v>0</v>
      </c>
      <c r="M397" s="503">
        <f t="shared" si="66"/>
        <v>15</v>
      </c>
      <c r="N397" s="504">
        <v>0.63541666666666663</v>
      </c>
      <c r="O397" s="719">
        <f t="shared" si="67"/>
        <v>0.63541666666666663</v>
      </c>
      <c r="P397" s="564"/>
      <c r="Q397" s="564">
        <f t="shared" si="74"/>
        <v>-0.63541666666666663</v>
      </c>
      <c r="R397" s="965" t="s">
        <v>1520</v>
      </c>
      <c r="S397" s="487"/>
      <c r="T397" s="29"/>
      <c r="U397" s="29" t="str">
        <f t="shared" si="68"/>
        <v>HartleyF0</v>
      </c>
      <c r="V397" s="29" t="str">
        <f t="shared" si="69"/>
        <v>1980F0</v>
      </c>
      <c r="W397" s="80">
        <v>10</v>
      </c>
      <c r="X397" s="32">
        <v>0.1</v>
      </c>
      <c r="Y397" s="467">
        <v>5.0000000000000001E-4</v>
      </c>
      <c r="Z397" s="80"/>
      <c r="AA397" s="29" t="str">
        <f t="shared" si="70"/>
        <v>F010</v>
      </c>
      <c r="AB397" s="29" t="str">
        <f t="shared" si="71"/>
        <v>F00.1</v>
      </c>
      <c r="AC397" s="29" t="str">
        <f t="shared" si="72"/>
        <v>F00.0005</v>
      </c>
      <c r="AD397" s="29" t="str">
        <f t="shared" si="73"/>
        <v>F015</v>
      </c>
      <c r="AE397" s="443"/>
      <c r="AF397" s="443"/>
      <c r="AG397" s="443"/>
      <c r="AH397" s="443"/>
    </row>
    <row r="398" spans="1:34" ht="16.5">
      <c r="A398" s="728">
        <f t="shared" si="76"/>
        <v>391</v>
      </c>
      <c r="B398" s="563">
        <v>6</v>
      </c>
      <c r="C398" s="694">
        <v>29368</v>
      </c>
      <c r="D398" s="694" t="s">
        <v>148</v>
      </c>
      <c r="E398" s="563">
        <v>27</v>
      </c>
      <c r="F398" s="503">
        <v>1980</v>
      </c>
      <c r="G398" s="563" t="s">
        <v>107</v>
      </c>
      <c r="H398" s="503" t="s">
        <v>122</v>
      </c>
      <c r="I398" s="695">
        <v>10</v>
      </c>
      <c r="J398" s="695">
        <v>0.1</v>
      </c>
      <c r="K398" s="777">
        <f t="shared" si="75"/>
        <v>5.6818181818181826E-4</v>
      </c>
      <c r="L398" s="968">
        <v>0</v>
      </c>
      <c r="M398" s="503">
        <f t="shared" si="66"/>
        <v>15</v>
      </c>
      <c r="N398" s="504">
        <v>0.65138888888888891</v>
      </c>
      <c r="O398" s="719">
        <f t="shared" si="67"/>
        <v>0.65138888888888891</v>
      </c>
      <c r="P398" s="564"/>
      <c r="Q398" s="564">
        <f t="shared" si="74"/>
        <v>-0.65138888888888891</v>
      </c>
      <c r="R398" s="965" t="s">
        <v>1520</v>
      </c>
      <c r="S398" s="487"/>
      <c r="T398" s="29"/>
      <c r="U398" s="29" t="str">
        <f t="shared" si="68"/>
        <v>HartleyF0</v>
      </c>
      <c r="V398" s="29" t="str">
        <f t="shared" si="69"/>
        <v>1980F0</v>
      </c>
      <c r="W398" s="80">
        <v>10</v>
      </c>
      <c r="X398" s="32">
        <v>0.1</v>
      </c>
      <c r="Y398" s="467">
        <v>5.0000000000000001E-4</v>
      </c>
      <c r="Z398" s="80"/>
      <c r="AA398" s="29" t="str">
        <f t="shared" si="70"/>
        <v>F010</v>
      </c>
      <c r="AB398" s="29" t="str">
        <f t="shared" si="71"/>
        <v>F00.1</v>
      </c>
      <c r="AC398" s="29" t="str">
        <f t="shared" si="72"/>
        <v>F00.0005</v>
      </c>
      <c r="AD398" s="29" t="str">
        <f t="shared" si="73"/>
        <v>F015</v>
      </c>
      <c r="AE398" s="443"/>
      <c r="AF398" s="443"/>
      <c r="AG398" s="443"/>
      <c r="AH398" s="443"/>
    </row>
    <row r="399" spans="1:34" ht="16.5">
      <c r="A399" s="728">
        <f t="shared" si="76"/>
        <v>392</v>
      </c>
      <c r="B399" s="563">
        <v>7</v>
      </c>
      <c r="C399" s="694">
        <v>29369</v>
      </c>
      <c r="D399" s="694" t="s">
        <v>148</v>
      </c>
      <c r="E399" s="563">
        <v>28</v>
      </c>
      <c r="F399" s="503">
        <v>1980</v>
      </c>
      <c r="G399" s="563" t="s">
        <v>104</v>
      </c>
      <c r="H399" s="503" t="s">
        <v>122</v>
      </c>
      <c r="I399" s="695">
        <v>20</v>
      </c>
      <c r="J399" s="695">
        <v>0.3</v>
      </c>
      <c r="K399" s="777">
        <f t="shared" si="75"/>
        <v>3.4090909090909089E-3</v>
      </c>
      <c r="L399" s="968">
        <v>0</v>
      </c>
      <c r="M399" s="503">
        <f t="shared" si="66"/>
        <v>17</v>
      </c>
      <c r="N399" s="504">
        <v>0.73263888888888884</v>
      </c>
      <c r="O399" s="719">
        <f t="shared" si="67"/>
        <v>0.73263888888888884</v>
      </c>
      <c r="P399" s="564"/>
      <c r="Q399" s="564">
        <f t="shared" si="74"/>
        <v>-0.73263888888888884</v>
      </c>
      <c r="R399" s="965" t="s">
        <v>1520</v>
      </c>
      <c r="S399" s="487"/>
      <c r="T399" s="29"/>
      <c r="U399" s="29" t="str">
        <f t="shared" si="68"/>
        <v>HansfordF0</v>
      </c>
      <c r="V399" s="29" t="str">
        <f t="shared" si="69"/>
        <v>1980F0</v>
      </c>
      <c r="W399" s="80">
        <v>20</v>
      </c>
      <c r="X399" s="32">
        <v>0.2</v>
      </c>
      <c r="Y399" s="467">
        <v>2E-3</v>
      </c>
      <c r="Z399" s="80"/>
      <c r="AA399" s="29" t="str">
        <f t="shared" si="70"/>
        <v>F020</v>
      </c>
      <c r="AB399" s="29" t="str">
        <f t="shared" si="71"/>
        <v>F00.2</v>
      </c>
      <c r="AC399" s="29" t="str">
        <f t="shared" si="72"/>
        <v>F00.002</v>
      </c>
      <c r="AD399" s="29" t="str">
        <f t="shared" si="73"/>
        <v>F017</v>
      </c>
      <c r="AE399" s="443"/>
      <c r="AF399" s="443"/>
      <c r="AG399" s="443"/>
      <c r="AH399" s="443"/>
    </row>
    <row r="400" spans="1:34" ht="16.5">
      <c r="A400" s="728">
        <f t="shared" si="76"/>
        <v>393</v>
      </c>
      <c r="B400" s="563">
        <v>8</v>
      </c>
      <c r="C400" s="694">
        <v>29369</v>
      </c>
      <c r="D400" s="694" t="s">
        <v>148</v>
      </c>
      <c r="E400" s="563">
        <v>28</v>
      </c>
      <c r="F400" s="503">
        <v>1980</v>
      </c>
      <c r="G400" s="563" t="s">
        <v>116</v>
      </c>
      <c r="H400" s="503" t="s">
        <v>124</v>
      </c>
      <c r="I400" s="695">
        <v>50</v>
      </c>
      <c r="J400" s="695">
        <v>8</v>
      </c>
      <c r="K400" s="777">
        <f t="shared" si="75"/>
        <v>0.22727272727272727</v>
      </c>
      <c r="L400" s="968">
        <v>0</v>
      </c>
      <c r="M400" s="503">
        <f t="shared" si="66"/>
        <v>20</v>
      </c>
      <c r="N400" s="504">
        <v>0.85416666666666663</v>
      </c>
      <c r="O400" s="719">
        <f t="shared" si="67"/>
        <v>0.85416666666666663</v>
      </c>
      <c r="P400" s="564"/>
      <c r="Q400" s="564">
        <f t="shared" si="74"/>
        <v>-0.85416666666666663</v>
      </c>
      <c r="R400" s="965" t="s">
        <v>1524</v>
      </c>
      <c r="S400" s="487"/>
      <c r="T400" s="29"/>
      <c r="U400" s="29" t="str">
        <f t="shared" si="68"/>
        <v>WheelerF2</v>
      </c>
      <c r="V400" s="29" t="str">
        <f t="shared" si="69"/>
        <v>1980F2</v>
      </c>
      <c r="W400" s="80">
        <v>50</v>
      </c>
      <c r="X400" s="32">
        <v>5</v>
      </c>
      <c r="Y400" s="467">
        <v>0.2</v>
      </c>
      <c r="Z400" s="80"/>
      <c r="AA400" s="29" t="str">
        <f t="shared" si="70"/>
        <v>F250</v>
      </c>
      <c r="AB400" s="29" t="str">
        <f t="shared" si="71"/>
        <v>F25</v>
      </c>
      <c r="AC400" s="29" t="str">
        <f t="shared" si="72"/>
        <v>F20.2</v>
      </c>
      <c r="AD400" s="29" t="str">
        <f t="shared" si="73"/>
        <v>F220</v>
      </c>
      <c r="AE400" s="443"/>
      <c r="AF400" s="443"/>
      <c r="AG400" s="443"/>
      <c r="AH400" s="443"/>
    </row>
    <row r="401" spans="1:34" ht="16.5">
      <c r="A401" s="728">
        <f t="shared" si="76"/>
        <v>394</v>
      </c>
      <c r="B401" s="563">
        <v>9</v>
      </c>
      <c r="C401" s="694">
        <v>29369</v>
      </c>
      <c r="D401" s="694" t="s">
        <v>148</v>
      </c>
      <c r="E401" s="563">
        <v>28</v>
      </c>
      <c r="F401" s="503">
        <v>1980</v>
      </c>
      <c r="G401" s="563" t="s">
        <v>121</v>
      </c>
      <c r="H401" s="503" t="s">
        <v>124</v>
      </c>
      <c r="I401" s="695">
        <v>10</v>
      </c>
      <c r="J401" s="695">
        <v>0.1</v>
      </c>
      <c r="K401" s="777">
        <f t="shared" si="75"/>
        <v>5.6818181818181826E-4</v>
      </c>
      <c r="L401" s="968">
        <v>0</v>
      </c>
      <c r="M401" s="503">
        <f t="shared" si="66"/>
        <v>23</v>
      </c>
      <c r="N401" s="504">
        <v>0.99652777777777779</v>
      </c>
      <c r="O401" s="719">
        <f t="shared" si="67"/>
        <v>0.99652777777777779</v>
      </c>
      <c r="P401" s="564"/>
      <c r="Q401" s="564">
        <f t="shared" si="74"/>
        <v>-0.99652777777777779</v>
      </c>
      <c r="R401" s="965" t="s">
        <v>1520</v>
      </c>
      <c r="S401" s="487"/>
      <c r="T401" s="29"/>
      <c r="U401" s="29" t="str">
        <f t="shared" si="68"/>
        <v>CollingsworthF2</v>
      </c>
      <c r="V401" s="29" t="str">
        <f t="shared" si="69"/>
        <v>1980F2</v>
      </c>
      <c r="W401" s="80">
        <v>10</v>
      </c>
      <c r="X401" s="32">
        <v>0.1</v>
      </c>
      <c r="Y401" s="467">
        <v>5.0000000000000001E-4</v>
      </c>
      <c r="Z401" s="80"/>
      <c r="AA401" s="29" t="str">
        <f t="shared" si="70"/>
        <v>F210</v>
      </c>
      <c r="AB401" s="29" t="str">
        <f t="shared" si="71"/>
        <v>F20.1</v>
      </c>
      <c r="AC401" s="29" t="str">
        <f t="shared" si="72"/>
        <v>F20.0005</v>
      </c>
      <c r="AD401" s="29" t="str">
        <f t="shared" si="73"/>
        <v>F223</v>
      </c>
      <c r="AE401" s="443"/>
      <c r="AF401" s="443"/>
      <c r="AG401" s="443"/>
      <c r="AH401" s="443"/>
    </row>
    <row r="402" spans="1:34" ht="16.5">
      <c r="A402" s="728">
        <f t="shared" si="76"/>
        <v>395</v>
      </c>
      <c r="B402" s="563">
        <v>10</v>
      </c>
      <c r="C402" s="694">
        <v>29370</v>
      </c>
      <c r="D402" s="694" t="s">
        <v>148</v>
      </c>
      <c r="E402" s="563">
        <v>29</v>
      </c>
      <c r="F402" s="503">
        <v>1980</v>
      </c>
      <c r="G402" s="563" t="s">
        <v>121</v>
      </c>
      <c r="H402" s="503" t="s">
        <v>124</v>
      </c>
      <c r="I402" s="695">
        <v>160</v>
      </c>
      <c r="J402" s="695">
        <v>16.2</v>
      </c>
      <c r="K402" s="777">
        <f t="shared" si="75"/>
        <v>1.4727272727272727</v>
      </c>
      <c r="L402" s="968">
        <v>0</v>
      </c>
      <c r="M402" s="503">
        <f t="shared" si="66"/>
        <v>16</v>
      </c>
      <c r="N402" s="504">
        <v>0.69236111111111109</v>
      </c>
      <c r="O402" s="719">
        <f t="shared" si="67"/>
        <v>0.69236111111111109</v>
      </c>
      <c r="P402" s="564"/>
      <c r="Q402" s="564">
        <f t="shared" si="74"/>
        <v>-0.69236111111111109</v>
      </c>
      <c r="R402" s="965" t="s">
        <v>1520</v>
      </c>
      <c r="S402" s="487"/>
      <c r="T402" s="29"/>
      <c r="U402" s="29" t="str">
        <f t="shared" si="68"/>
        <v>CollingsworthF2</v>
      </c>
      <c r="V402" s="29" t="str">
        <f t="shared" si="69"/>
        <v>1980F2</v>
      </c>
      <c r="W402" s="80">
        <v>100</v>
      </c>
      <c r="X402" s="32">
        <v>10</v>
      </c>
      <c r="Y402" s="467">
        <v>1</v>
      </c>
      <c r="Z402" s="80"/>
      <c r="AA402" s="29" t="str">
        <f t="shared" si="70"/>
        <v>F2100</v>
      </c>
      <c r="AB402" s="29" t="str">
        <f t="shared" si="71"/>
        <v>F210</v>
      </c>
      <c r="AC402" s="29" t="str">
        <f t="shared" si="72"/>
        <v>F21</v>
      </c>
      <c r="AD402" s="29" t="str">
        <f t="shared" si="73"/>
        <v>F216</v>
      </c>
      <c r="AE402" s="443"/>
      <c r="AF402" s="443"/>
      <c r="AG402" s="443"/>
      <c r="AH402" s="443"/>
    </row>
    <row r="403" spans="1:34" ht="16.5">
      <c r="A403" s="728">
        <f t="shared" si="76"/>
        <v>396</v>
      </c>
      <c r="B403" s="563">
        <v>11</v>
      </c>
      <c r="C403" s="694">
        <v>29376</v>
      </c>
      <c r="D403" s="694" t="s">
        <v>149</v>
      </c>
      <c r="E403" s="563">
        <v>4</v>
      </c>
      <c r="F403" s="503">
        <v>1980</v>
      </c>
      <c r="G403" s="563" t="s">
        <v>104</v>
      </c>
      <c r="H403" s="503" t="s">
        <v>123</v>
      </c>
      <c r="I403" s="695">
        <v>60</v>
      </c>
      <c r="J403" s="695">
        <v>2.5</v>
      </c>
      <c r="K403" s="777">
        <f t="shared" si="75"/>
        <v>8.5227272727272721E-2</v>
      </c>
      <c r="L403" s="968">
        <v>250000</v>
      </c>
      <c r="M403" s="503">
        <f t="shared" si="66"/>
        <v>17</v>
      </c>
      <c r="N403" s="504">
        <v>0.73611111111111116</v>
      </c>
      <c r="O403" s="719">
        <f t="shared" si="67"/>
        <v>0.73611111111111116</v>
      </c>
      <c r="P403" s="564"/>
      <c r="Q403" s="564">
        <f t="shared" si="74"/>
        <v>-0.73611111111111116</v>
      </c>
      <c r="R403" s="965" t="s">
        <v>1520</v>
      </c>
      <c r="S403" s="487"/>
      <c r="T403" s="29"/>
      <c r="U403" s="29" t="str">
        <f t="shared" si="68"/>
        <v>HansfordF1</v>
      </c>
      <c r="V403" s="29" t="str">
        <f t="shared" si="69"/>
        <v>1980F1</v>
      </c>
      <c r="W403" s="80">
        <v>50</v>
      </c>
      <c r="X403" s="32">
        <v>2</v>
      </c>
      <c r="Y403" s="467">
        <v>0.05</v>
      </c>
      <c r="Z403" s="80"/>
      <c r="AA403" s="29" t="str">
        <f t="shared" si="70"/>
        <v>F150</v>
      </c>
      <c r="AB403" s="29" t="str">
        <f t="shared" si="71"/>
        <v>F12</v>
      </c>
      <c r="AC403" s="29" t="str">
        <f t="shared" si="72"/>
        <v>F10.05</v>
      </c>
      <c r="AD403" s="29" t="str">
        <f t="shared" si="73"/>
        <v>F117</v>
      </c>
      <c r="AE403" s="443"/>
      <c r="AF403" s="443"/>
      <c r="AG403" s="443"/>
      <c r="AH403" s="443"/>
    </row>
    <row r="404" spans="1:34" ht="16.5">
      <c r="A404" s="728">
        <f t="shared" si="76"/>
        <v>397</v>
      </c>
      <c r="B404" s="563">
        <v>12</v>
      </c>
      <c r="C404" s="694">
        <v>29438</v>
      </c>
      <c r="D404" s="694" t="s">
        <v>151</v>
      </c>
      <c r="E404" s="563">
        <v>5</v>
      </c>
      <c r="F404" s="503">
        <v>1980</v>
      </c>
      <c r="G404" s="563" t="s">
        <v>100</v>
      </c>
      <c r="H404" s="503" t="s">
        <v>123</v>
      </c>
      <c r="I404" s="695">
        <v>100</v>
      </c>
      <c r="J404" s="695">
        <v>0.6</v>
      </c>
      <c r="K404" s="777">
        <f t="shared" si="75"/>
        <v>3.4090909090909088E-2</v>
      </c>
      <c r="L404" s="968">
        <v>25000</v>
      </c>
      <c r="M404" s="503">
        <f t="shared" si="66"/>
        <v>16</v>
      </c>
      <c r="N404" s="504">
        <v>0.66666666666666663</v>
      </c>
      <c r="O404" s="719">
        <f t="shared" si="67"/>
        <v>0.66666666666666663</v>
      </c>
      <c r="P404" s="564"/>
      <c r="Q404" s="564">
        <f t="shared" si="74"/>
        <v>-0.66666666666666663</v>
      </c>
      <c r="R404" s="965" t="s">
        <v>1520</v>
      </c>
      <c r="S404" s="487"/>
      <c r="T404" s="29"/>
      <c r="U404" s="29" t="str">
        <f t="shared" si="68"/>
        <v>TexasF1</v>
      </c>
      <c r="V404" s="29" t="str">
        <f t="shared" si="69"/>
        <v>1980F1</v>
      </c>
      <c r="W404" s="80">
        <v>100</v>
      </c>
      <c r="X404" s="32">
        <v>0.5</v>
      </c>
      <c r="Y404" s="467">
        <v>0.02</v>
      </c>
      <c r="Z404" s="80"/>
      <c r="AA404" s="29" t="str">
        <f t="shared" si="70"/>
        <v>F1100</v>
      </c>
      <c r="AB404" s="29" t="str">
        <f t="shared" si="71"/>
        <v>F10.5</v>
      </c>
      <c r="AC404" s="29" t="str">
        <f t="shared" si="72"/>
        <v>F10.02</v>
      </c>
      <c r="AD404" s="29" t="str">
        <f t="shared" si="73"/>
        <v>F116</v>
      </c>
      <c r="AE404" s="443"/>
      <c r="AF404" s="443"/>
      <c r="AG404" s="443"/>
      <c r="AH404" s="443"/>
    </row>
    <row r="405" spans="1:34" ht="16.5">
      <c r="A405" s="728">
        <f t="shared" si="76"/>
        <v>398</v>
      </c>
      <c r="B405" s="563">
        <v>13</v>
      </c>
      <c r="C405" s="694">
        <v>29438</v>
      </c>
      <c r="D405" s="694" t="s">
        <v>151</v>
      </c>
      <c r="E405" s="563">
        <v>5</v>
      </c>
      <c r="F405" s="503">
        <v>1980</v>
      </c>
      <c r="G405" s="563" t="s">
        <v>100</v>
      </c>
      <c r="H405" s="503" t="s">
        <v>123</v>
      </c>
      <c r="I405" s="695">
        <v>100</v>
      </c>
      <c r="J405" s="695">
        <v>3.6</v>
      </c>
      <c r="K405" s="777">
        <f t="shared" si="75"/>
        <v>0.20454545454545453</v>
      </c>
      <c r="L405" s="968">
        <v>3000</v>
      </c>
      <c r="M405" s="503">
        <f t="shared" si="66"/>
        <v>16</v>
      </c>
      <c r="N405" s="504">
        <v>0.69444444444444453</v>
      </c>
      <c r="O405" s="719">
        <f t="shared" si="67"/>
        <v>0.69444444444444453</v>
      </c>
      <c r="P405" s="564"/>
      <c r="Q405" s="564">
        <f t="shared" si="74"/>
        <v>-0.69444444444444453</v>
      </c>
      <c r="R405" s="965" t="s">
        <v>1520</v>
      </c>
      <c r="S405" s="487"/>
      <c r="T405" s="29"/>
      <c r="U405" s="29" t="str">
        <f t="shared" si="68"/>
        <v>TexasF1</v>
      </c>
      <c r="V405" s="29" t="str">
        <f t="shared" si="69"/>
        <v>1980F1</v>
      </c>
      <c r="W405" s="80">
        <v>100</v>
      </c>
      <c r="X405" s="32">
        <v>2</v>
      </c>
      <c r="Y405" s="467">
        <v>0.2</v>
      </c>
      <c r="Z405" s="80"/>
      <c r="AA405" s="29" t="str">
        <f t="shared" si="70"/>
        <v>F1100</v>
      </c>
      <c r="AB405" s="29" t="str">
        <f t="shared" si="71"/>
        <v>F12</v>
      </c>
      <c r="AC405" s="29" t="str">
        <f t="shared" si="72"/>
        <v>F10.2</v>
      </c>
      <c r="AD405" s="29" t="str">
        <f t="shared" si="73"/>
        <v>F116</v>
      </c>
      <c r="AE405" s="443"/>
      <c r="AF405" s="443"/>
      <c r="AG405" s="443"/>
      <c r="AH405" s="443"/>
    </row>
    <row r="406" spans="1:34" ht="16.5">
      <c r="A406" s="728">
        <f t="shared" si="76"/>
        <v>399</v>
      </c>
      <c r="B406" s="563">
        <v>1</v>
      </c>
      <c r="C406" s="694">
        <v>29648</v>
      </c>
      <c r="D406" s="735" t="s">
        <v>146</v>
      </c>
      <c r="E406" s="695">
        <v>3</v>
      </c>
      <c r="F406" s="503">
        <v>1981</v>
      </c>
      <c r="G406" s="563" t="s">
        <v>109</v>
      </c>
      <c r="H406" s="503" t="s">
        <v>122</v>
      </c>
      <c r="I406" s="695">
        <v>50</v>
      </c>
      <c r="J406" s="695">
        <v>1</v>
      </c>
      <c r="K406" s="777">
        <f t="shared" si="75"/>
        <v>2.8409090909090908E-2</v>
      </c>
      <c r="L406" s="968">
        <v>0</v>
      </c>
      <c r="M406" s="503">
        <f t="shared" si="66"/>
        <v>16</v>
      </c>
      <c r="N406" s="504">
        <v>0.68402777777777779</v>
      </c>
      <c r="O406" s="719">
        <f t="shared" si="67"/>
        <v>0.68402777777777779</v>
      </c>
      <c r="P406" s="564"/>
      <c r="Q406" s="564">
        <f t="shared" si="74"/>
        <v>-0.68402777777777779</v>
      </c>
      <c r="R406" s="965" t="s">
        <v>1522</v>
      </c>
      <c r="S406" s="487"/>
      <c r="T406" s="29"/>
      <c r="U406" s="29" t="str">
        <f t="shared" si="68"/>
        <v>HutchinsonF0</v>
      </c>
      <c r="V406" s="29" t="str">
        <f t="shared" si="69"/>
        <v>1981F0</v>
      </c>
      <c r="W406" s="80">
        <v>50</v>
      </c>
      <c r="X406" s="32">
        <v>1</v>
      </c>
      <c r="Y406" s="467">
        <v>0.02</v>
      </c>
      <c r="Z406" s="80"/>
      <c r="AA406" s="29" t="str">
        <f t="shared" si="70"/>
        <v>F050</v>
      </c>
      <c r="AB406" s="29" t="str">
        <f t="shared" si="71"/>
        <v>F01</v>
      </c>
      <c r="AC406" s="29" t="str">
        <f t="shared" si="72"/>
        <v>F00.02</v>
      </c>
      <c r="AD406" s="29" t="str">
        <f t="shared" si="73"/>
        <v>F016</v>
      </c>
      <c r="AE406" s="443"/>
      <c r="AF406" s="443"/>
      <c r="AG406" s="443"/>
      <c r="AH406" s="443"/>
    </row>
    <row r="407" spans="1:34" ht="16.5">
      <c r="A407" s="728">
        <f t="shared" si="76"/>
        <v>400</v>
      </c>
      <c r="B407" s="563">
        <v>2</v>
      </c>
      <c r="C407" s="694">
        <v>29712</v>
      </c>
      <c r="D407" s="694" t="s">
        <v>148</v>
      </c>
      <c r="E407" s="563">
        <v>6</v>
      </c>
      <c r="F407" s="503">
        <v>1981</v>
      </c>
      <c r="G407" s="563" t="s">
        <v>104</v>
      </c>
      <c r="H407" s="503" t="s">
        <v>122</v>
      </c>
      <c r="I407" s="695">
        <v>30</v>
      </c>
      <c r="J407" s="695">
        <v>0.5</v>
      </c>
      <c r="K407" s="777">
        <f t="shared" si="75"/>
        <v>8.5227272727272721E-3</v>
      </c>
      <c r="L407" s="968">
        <v>0</v>
      </c>
      <c r="M407" s="503">
        <f t="shared" si="66"/>
        <v>20</v>
      </c>
      <c r="N407" s="504">
        <v>0.84722222222222221</v>
      </c>
      <c r="O407" s="719">
        <f t="shared" si="67"/>
        <v>0.84722222222222221</v>
      </c>
      <c r="P407" s="564"/>
      <c r="Q407" s="564">
        <f t="shared" si="74"/>
        <v>-0.84722222222222221</v>
      </c>
      <c r="R407" s="965" t="s">
        <v>1520</v>
      </c>
      <c r="S407" s="487"/>
      <c r="T407" s="29"/>
      <c r="U407" s="29" t="str">
        <f t="shared" si="68"/>
        <v>HansfordF0</v>
      </c>
      <c r="V407" s="29" t="str">
        <f t="shared" si="69"/>
        <v>1981F0</v>
      </c>
      <c r="W407" s="80">
        <v>20</v>
      </c>
      <c r="X407" s="32">
        <v>0.5</v>
      </c>
      <c r="Y407" s="467">
        <v>5.0000000000000001E-3</v>
      </c>
      <c r="Z407" s="80"/>
      <c r="AA407" s="29" t="str">
        <f t="shared" si="70"/>
        <v>F020</v>
      </c>
      <c r="AB407" s="29" t="str">
        <f t="shared" si="71"/>
        <v>F00.5</v>
      </c>
      <c r="AC407" s="29" t="str">
        <f t="shared" si="72"/>
        <v>F00.005</v>
      </c>
      <c r="AD407" s="29" t="str">
        <f t="shared" si="73"/>
        <v>F020</v>
      </c>
      <c r="AE407" s="443"/>
      <c r="AF407" s="443"/>
      <c r="AG407" s="443"/>
      <c r="AH407" s="443"/>
    </row>
    <row r="408" spans="1:34" ht="16.5">
      <c r="A408" s="728">
        <f t="shared" si="76"/>
        <v>401</v>
      </c>
      <c r="B408" s="563">
        <v>3</v>
      </c>
      <c r="C408" s="694">
        <v>29714</v>
      </c>
      <c r="D408" s="694" t="s">
        <v>148</v>
      </c>
      <c r="E408" s="563">
        <v>8</v>
      </c>
      <c r="F408" s="503">
        <v>1981</v>
      </c>
      <c r="G408" s="563" t="s">
        <v>111</v>
      </c>
      <c r="H408" s="503" t="s">
        <v>123</v>
      </c>
      <c r="I408" s="695">
        <v>30</v>
      </c>
      <c r="J408" s="695">
        <v>1</v>
      </c>
      <c r="K408" s="777">
        <f t="shared" si="75"/>
        <v>1.7045454545454544E-2</v>
      </c>
      <c r="L408" s="968">
        <v>25000</v>
      </c>
      <c r="M408" s="503">
        <f t="shared" si="66"/>
        <v>22</v>
      </c>
      <c r="N408" s="504">
        <v>0.9375</v>
      </c>
      <c r="O408" s="719">
        <f t="shared" si="67"/>
        <v>0.9375</v>
      </c>
      <c r="P408" s="564"/>
      <c r="Q408" s="564">
        <f t="shared" si="74"/>
        <v>-0.9375</v>
      </c>
      <c r="R408" s="965" t="s">
        <v>1520</v>
      </c>
      <c r="S408" s="487"/>
      <c r="T408" s="29"/>
      <c r="U408" s="29" t="str">
        <f t="shared" si="68"/>
        <v>HemphillF1</v>
      </c>
      <c r="V408" s="29" t="str">
        <f t="shared" si="69"/>
        <v>1981F1</v>
      </c>
      <c r="W408" s="80">
        <v>20</v>
      </c>
      <c r="X408" s="32">
        <v>1</v>
      </c>
      <c r="Y408" s="467">
        <v>0.01</v>
      </c>
      <c r="Z408" s="80"/>
      <c r="AA408" s="29" t="str">
        <f t="shared" si="70"/>
        <v>F120</v>
      </c>
      <c r="AB408" s="29" t="str">
        <f t="shared" si="71"/>
        <v>F11</v>
      </c>
      <c r="AC408" s="29" t="str">
        <f t="shared" si="72"/>
        <v>F10.01</v>
      </c>
      <c r="AD408" s="29" t="str">
        <f t="shared" si="73"/>
        <v>F122</v>
      </c>
      <c r="AE408" s="443"/>
      <c r="AF408" s="443"/>
      <c r="AG408" s="443"/>
      <c r="AH408" s="443"/>
    </row>
    <row r="409" spans="1:34" ht="16.5">
      <c r="A409" s="728">
        <f t="shared" si="76"/>
        <v>402</v>
      </c>
      <c r="B409" s="563">
        <v>4</v>
      </c>
      <c r="C409" s="694">
        <v>29738</v>
      </c>
      <c r="D409" s="694" t="s">
        <v>149</v>
      </c>
      <c r="E409" s="563">
        <v>1</v>
      </c>
      <c r="F409" s="503">
        <v>1981</v>
      </c>
      <c r="G409" s="563" t="s">
        <v>121</v>
      </c>
      <c r="H409" s="503" t="s">
        <v>122</v>
      </c>
      <c r="I409" s="695">
        <v>20</v>
      </c>
      <c r="J409" s="695">
        <v>0.3</v>
      </c>
      <c r="K409" s="777">
        <f t="shared" si="75"/>
        <v>3.4090909090909089E-3</v>
      </c>
      <c r="L409" s="968">
        <v>0</v>
      </c>
      <c r="M409" s="503">
        <f t="shared" si="66"/>
        <v>17</v>
      </c>
      <c r="N409" s="504">
        <v>0.72222222222222221</v>
      </c>
      <c r="O409" s="719">
        <f t="shared" si="67"/>
        <v>0.72222222222222221</v>
      </c>
      <c r="P409" s="564"/>
      <c r="Q409" s="564">
        <f t="shared" si="74"/>
        <v>-0.72222222222222221</v>
      </c>
      <c r="R409" s="965" t="s">
        <v>1520</v>
      </c>
      <c r="S409" s="487"/>
      <c r="T409" s="29"/>
      <c r="U409" s="29" t="str">
        <f t="shared" si="68"/>
        <v>CollingsworthF0</v>
      </c>
      <c r="V409" s="29" t="str">
        <f t="shared" si="69"/>
        <v>1981F0</v>
      </c>
      <c r="W409" s="80">
        <v>20</v>
      </c>
      <c r="X409" s="32">
        <v>0.2</v>
      </c>
      <c r="Y409" s="467">
        <v>2E-3</v>
      </c>
      <c r="Z409" s="80"/>
      <c r="AA409" s="29" t="str">
        <f t="shared" si="70"/>
        <v>F020</v>
      </c>
      <c r="AB409" s="29" t="str">
        <f t="shared" si="71"/>
        <v>F00.2</v>
      </c>
      <c r="AC409" s="29" t="str">
        <f t="shared" si="72"/>
        <v>F00.002</v>
      </c>
      <c r="AD409" s="29" t="str">
        <f t="shared" si="73"/>
        <v>F017</v>
      </c>
      <c r="AE409" s="443"/>
      <c r="AF409" s="443"/>
      <c r="AG409" s="443"/>
      <c r="AH409" s="443"/>
    </row>
    <row r="410" spans="1:34" ht="16.5">
      <c r="A410" s="728">
        <f t="shared" si="76"/>
        <v>403</v>
      </c>
      <c r="B410" s="563">
        <v>5</v>
      </c>
      <c r="C410" s="694">
        <v>29738</v>
      </c>
      <c r="D410" s="694" t="s">
        <v>149</v>
      </c>
      <c r="E410" s="563">
        <v>1</v>
      </c>
      <c r="F410" s="503">
        <v>1981</v>
      </c>
      <c r="G410" s="563" t="s">
        <v>121</v>
      </c>
      <c r="H410" s="503" t="s">
        <v>124</v>
      </c>
      <c r="I410" s="695">
        <v>50</v>
      </c>
      <c r="J410" s="695">
        <v>5.7</v>
      </c>
      <c r="K410" s="777">
        <f t="shared" si="75"/>
        <v>0.16193181818181818</v>
      </c>
      <c r="L410" s="968">
        <v>250000</v>
      </c>
      <c r="M410" s="503">
        <f t="shared" si="66"/>
        <v>17</v>
      </c>
      <c r="N410" s="504">
        <v>0.72916666666666663</v>
      </c>
      <c r="O410" s="719">
        <f t="shared" si="67"/>
        <v>0.72916666666666663</v>
      </c>
      <c r="P410" s="564"/>
      <c r="Q410" s="564">
        <f t="shared" si="74"/>
        <v>-0.72916666666666663</v>
      </c>
      <c r="R410" s="965" t="s">
        <v>1520</v>
      </c>
      <c r="S410" s="487" t="s">
        <v>69</v>
      </c>
      <c r="T410" s="29"/>
      <c r="U410" s="29" t="str">
        <f t="shared" si="68"/>
        <v>CollingsworthF2</v>
      </c>
      <c r="V410" s="29" t="str">
        <f t="shared" si="69"/>
        <v>1981F2</v>
      </c>
      <c r="W410" s="80">
        <v>50</v>
      </c>
      <c r="X410" s="32">
        <v>5</v>
      </c>
      <c r="Y410" s="467">
        <v>0.1</v>
      </c>
      <c r="Z410" s="80"/>
      <c r="AA410" s="29" t="str">
        <f t="shared" si="70"/>
        <v>F250</v>
      </c>
      <c r="AB410" s="29" t="str">
        <f t="shared" si="71"/>
        <v>F25</v>
      </c>
      <c r="AC410" s="29" t="str">
        <f t="shared" si="72"/>
        <v>F20.1</v>
      </c>
      <c r="AD410" s="29" t="str">
        <f t="shared" si="73"/>
        <v>F217</v>
      </c>
      <c r="AE410" s="443"/>
      <c r="AF410" s="443"/>
      <c r="AG410" s="443"/>
      <c r="AH410" s="443"/>
    </row>
    <row r="411" spans="1:34" ht="16.5">
      <c r="A411" s="728">
        <f t="shared" si="76"/>
        <v>404</v>
      </c>
      <c r="B411" s="563">
        <v>6</v>
      </c>
      <c r="C411" s="694">
        <v>29739</v>
      </c>
      <c r="D411" s="694" t="s">
        <v>149</v>
      </c>
      <c r="E411" s="563">
        <v>2</v>
      </c>
      <c r="F411" s="503">
        <v>1981</v>
      </c>
      <c r="G411" s="563" t="s">
        <v>108</v>
      </c>
      <c r="H411" s="503" t="s">
        <v>122</v>
      </c>
      <c r="I411" s="695">
        <v>10</v>
      </c>
      <c r="J411" s="695">
        <v>0.3</v>
      </c>
      <c r="K411" s="777">
        <f t="shared" si="75"/>
        <v>1.7045454545454545E-3</v>
      </c>
      <c r="L411" s="968">
        <v>0</v>
      </c>
      <c r="M411" s="503">
        <f t="shared" si="66"/>
        <v>17</v>
      </c>
      <c r="N411" s="504">
        <v>0.70833333333333337</v>
      </c>
      <c r="O411" s="719">
        <f t="shared" si="67"/>
        <v>0.70833333333333337</v>
      </c>
      <c r="P411" s="564"/>
      <c r="Q411" s="564">
        <f t="shared" si="74"/>
        <v>-0.70833333333333337</v>
      </c>
      <c r="R411" s="965" t="s">
        <v>1520</v>
      </c>
      <c r="S411" s="487"/>
      <c r="T411" s="29"/>
      <c r="U411" s="29" t="str">
        <f t="shared" si="68"/>
        <v>MooreF0</v>
      </c>
      <c r="V411" s="29" t="str">
        <f t="shared" si="69"/>
        <v>1981F0</v>
      </c>
      <c r="W411" s="80">
        <v>10</v>
      </c>
      <c r="X411" s="32">
        <v>0.2</v>
      </c>
      <c r="Y411" s="467">
        <v>1E-3</v>
      </c>
      <c r="Z411" s="80"/>
      <c r="AA411" s="29" t="str">
        <f t="shared" si="70"/>
        <v>F010</v>
      </c>
      <c r="AB411" s="29" t="str">
        <f t="shared" si="71"/>
        <v>F00.2</v>
      </c>
      <c r="AC411" s="29" t="str">
        <f t="shared" si="72"/>
        <v>F00.001</v>
      </c>
      <c r="AD411" s="29" t="str">
        <f t="shared" si="73"/>
        <v>F017</v>
      </c>
      <c r="AE411" s="443"/>
      <c r="AF411" s="443"/>
      <c r="AG411" s="443"/>
      <c r="AH411" s="443"/>
    </row>
    <row r="412" spans="1:34" ht="16.5">
      <c r="A412" s="728">
        <f t="shared" si="76"/>
        <v>405</v>
      </c>
      <c r="B412" s="563">
        <v>7</v>
      </c>
      <c r="C412" s="694">
        <v>29739</v>
      </c>
      <c r="D412" s="694" t="s">
        <v>149</v>
      </c>
      <c r="E412" s="563">
        <v>2</v>
      </c>
      <c r="F412" s="503">
        <v>1981</v>
      </c>
      <c r="G412" s="563" t="s">
        <v>108</v>
      </c>
      <c r="H412" s="503" t="s">
        <v>122</v>
      </c>
      <c r="I412" s="695">
        <v>10</v>
      </c>
      <c r="J412" s="695">
        <v>0.3</v>
      </c>
      <c r="K412" s="777">
        <f t="shared" si="75"/>
        <v>1.7045454545454545E-3</v>
      </c>
      <c r="L412" s="968">
        <v>0</v>
      </c>
      <c r="M412" s="503">
        <f t="shared" si="66"/>
        <v>17</v>
      </c>
      <c r="N412" s="504">
        <v>0.70833333333333337</v>
      </c>
      <c r="O412" s="719">
        <f t="shared" si="67"/>
        <v>0.70833333333333337</v>
      </c>
      <c r="P412" s="564"/>
      <c r="Q412" s="564">
        <f t="shared" si="74"/>
        <v>-0.70833333333333337</v>
      </c>
      <c r="R412" s="965" t="s">
        <v>1520</v>
      </c>
      <c r="S412" s="487"/>
      <c r="T412" s="29"/>
      <c r="U412" s="29" t="str">
        <f t="shared" si="68"/>
        <v>MooreF0</v>
      </c>
      <c r="V412" s="29" t="str">
        <f t="shared" si="69"/>
        <v>1981F0</v>
      </c>
      <c r="W412" s="80">
        <v>10</v>
      </c>
      <c r="X412" s="32">
        <v>0.2</v>
      </c>
      <c r="Y412" s="467">
        <v>1E-3</v>
      </c>
      <c r="Z412" s="80"/>
      <c r="AA412" s="29" t="str">
        <f t="shared" si="70"/>
        <v>F010</v>
      </c>
      <c r="AB412" s="29" t="str">
        <f t="shared" si="71"/>
        <v>F00.2</v>
      </c>
      <c r="AC412" s="29" t="str">
        <f t="shared" si="72"/>
        <v>F00.001</v>
      </c>
      <c r="AD412" s="29" t="str">
        <f t="shared" si="73"/>
        <v>F017</v>
      </c>
      <c r="AE412" s="443"/>
      <c r="AF412" s="443"/>
      <c r="AG412" s="443"/>
      <c r="AH412" s="443"/>
    </row>
    <row r="413" spans="1:34" ht="16.5">
      <c r="A413" s="728">
        <f t="shared" si="76"/>
        <v>406</v>
      </c>
      <c r="B413" s="563">
        <v>8</v>
      </c>
      <c r="C413" s="694">
        <v>29739</v>
      </c>
      <c r="D413" s="694" t="s">
        <v>149</v>
      </c>
      <c r="E413" s="563">
        <v>2</v>
      </c>
      <c r="F413" s="503">
        <v>1981</v>
      </c>
      <c r="G413" s="563" t="s">
        <v>100</v>
      </c>
      <c r="H413" s="503" t="s">
        <v>122</v>
      </c>
      <c r="I413" s="695">
        <v>10</v>
      </c>
      <c r="J413" s="695">
        <v>0.1</v>
      </c>
      <c r="K413" s="777">
        <f t="shared" si="75"/>
        <v>5.6818181818181826E-4</v>
      </c>
      <c r="L413" s="968">
        <v>0</v>
      </c>
      <c r="M413" s="503">
        <f t="shared" si="66"/>
        <v>17</v>
      </c>
      <c r="N413" s="504">
        <v>0.70833333333333337</v>
      </c>
      <c r="O413" s="719">
        <f t="shared" si="67"/>
        <v>0.70833333333333337</v>
      </c>
      <c r="P413" s="564"/>
      <c r="Q413" s="564">
        <f t="shared" si="74"/>
        <v>-0.70833333333333337</v>
      </c>
      <c r="R413" s="965" t="s">
        <v>1520</v>
      </c>
      <c r="S413" s="487"/>
      <c r="T413" s="29"/>
      <c r="U413" s="29" t="str">
        <f t="shared" si="68"/>
        <v>TexasF0</v>
      </c>
      <c r="V413" s="29" t="str">
        <f t="shared" si="69"/>
        <v>1981F0</v>
      </c>
      <c r="W413" s="80">
        <v>10</v>
      </c>
      <c r="X413" s="32">
        <v>0.1</v>
      </c>
      <c r="Y413" s="467">
        <v>5.0000000000000001E-4</v>
      </c>
      <c r="Z413" s="80"/>
      <c r="AA413" s="29" t="str">
        <f t="shared" si="70"/>
        <v>F010</v>
      </c>
      <c r="AB413" s="29" t="str">
        <f t="shared" si="71"/>
        <v>F00.1</v>
      </c>
      <c r="AC413" s="29" t="str">
        <f t="shared" si="72"/>
        <v>F00.0005</v>
      </c>
      <c r="AD413" s="29" t="str">
        <f t="shared" si="73"/>
        <v>F017</v>
      </c>
      <c r="AE413" s="443"/>
      <c r="AF413" s="443"/>
      <c r="AG413" s="443"/>
      <c r="AH413" s="443"/>
    </row>
    <row r="414" spans="1:34" ht="16.5">
      <c r="A414" s="728">
        <f t="shared" si="76"/>
        <v>407</v>
      </c>
      <c r="B414" s="563">
        <v>9</v>
      </c>
      <c r="C414" s="694">
        <v>29739</v>
      </c>
      <c r="D414" s="694" t="s">
        <v>149</v>
      </c>
      <c r="E414" s="563">
        <v>2</v>
      </c>
      <c r="F414" s="503">
        <v>1981</v>
      </c>
      <c r="G414" s="563" t="s">
        <v>121</v>
      </c>
      <c r="H414" s="503" t="s">
        <v>123</v>
      </c>
      <c r="I414" s="695">
        <v>40</v>
      </c>
      <c r="J414" s="695">
        <v>1</v>
      </c>
      <c r="K414" s="777">
        <f t="shared" si="75"/>
        <v>2.2727272727272728E-2</v>
      </c>
      <c r="L414" s="968">
        <v>0</v>
      </c>
      <c r="M414" s="503">
        <f t="shared" ref="M414:M477" si="77">HOUR(O414)</f>
        <v>21</v>
      </c>
      <c r="N414" s="504">
        <v>0.875</v>
      </c>
      <c r="O414" s="719">
        <f t="shared" si="67"/>
        <v>0.875</v>
      </c>
      <c r="P414" s="564"/>
      <c r="Q414" s="564">
        <f t="shared" si="74"/>
        <v>-0.875</v>
      </c>
      <c r="R414" s="965" t="s">
        <v>1520</v>
      </c>
      <c r="S414" s="487"/>
      <c r="T414" s="29"/>
      <c r="U414" s="29" t="str">
        <f t="shared" si="68"/>
        <v>CollingsworthF1</v>
      </c>
      <c r="V414" s="29" t="str">
        <f t="shared" si="69"/>
        <v>1981F1</v>
      </c>
      <c r="W414" s="80">
        <v>20</v>
      </c>
      <c r="X414" s="32">
        <v>1</v>
      </c>
      <c r="Y414" s="467">
        <v>0.02</v>
      </c>
      <c r="Z414" s="80"/>
      <c r="AA414" s="29" t="str">
        <f t="shared" si="70"/>
        <v>F120</v>
      </c>
      <c r="AB414" s="29" t="str">
        <f t="shared" si="71"/>
        <v>F11</v>
      </c>
      <c r="AC414" s="29" t="str">
        <f t="shared" si="72"/>
        <v>F10.02</v>
      </c>
      <c r="AD414" s="29" t="str">
        <f t="shared" si="73"/>
        <v>F121</v>
      </c>
      <c r="AE414" s="443"/>
      <c r="AF414" s="443"/>
      <c r="AG414" s="443"/>
      <c r="AH414" s="443"/>
    </row>
    <row r="415" spans="1:34" ht="16.5">
      <c r="A415" s="728">
        <f t="shared" si="76"/>
        <v>408</v>
      </c>
      <c r="B415" s="563">
        <v>10</v>
      </c>
      <c r="C415" s="694">
        <v>29748</v>
      </c>
      <c r="D415" s="694" t="s">
        <v>149</v>
      </c>
      <c r="E415" s="563">
        <v>11</v>
      </c>
      <c r="F415" s="503">
        <v>1981</v>
      </c>
      <c r="G415" s="563" t="s">
        <v>99</v>
      </c>
      <c r="H415" s="503" t="s">
        <v>122</v>
      </c>
      <c r="I415" s="695">
        <v>10</v>
      </c>
      <c r="J415" s="695">
        <v>0.1</v>
      </c>
      <c r="K415" s="777">
        <f t="shared" si="75"/>
        <v>5.6818181818181826E-4</v>
      </c>
      <c r="L415" s="968">
        <v>3000</v>
      </c>
      <c r="M415" s="503">
        <f t="shared" si="77"/>
        <v>18</v>
      </c>
      <c r="N415" s="504">
        <v>0.75</v>
      </c>
      <c r="O415" s="719">
        <f t="shared" si="67"/>
        <v>0.75</v>
      </c>
      <c r="P415" s="564"/>
      <c r="Q415" s="564">
        <f t="shared" si="74"/>
        <v>-0.75</v>
      </c>
      <c r="R415" s="965" t="s">
        <v>1520</v>
      </c>
      <c r="S415" s="487"/>
      <c r="T415" s="29"/>
      <c r="U415" s="29" t="str">
        <f t="shared" si="68"/>
        <v>CimarronF0</v>
      </c>
      <c r="V415" s="29" t="str">
        <f t="shared" si="69"/>
        <v>1981F0</v>
      </c>
      <c r="W415" s="80">
        <v>10</v>
      </c>
      <c r="X415" s="32">
        <v>0.1</v>
      </c>
      <c r="Y415" s="467">
        <v>5.0000000000000001E-4</v>
      </c>
      <c r="Z415" s="80"/>
      <c r="AA415" s="29" t="str">
        <f t="shared" si="70"/>
        <v>F010</v>
      </c>
      <c r="AB415" s="29" t="str">
        <f t="shared" si="71"/>
        <v>F00.1</v>
      </c>
      <c r="AC415" s="29" t="str">
        <f t="shared" si="72"/>
        <v>F00.0005</v>
      </c>
      <c r="AD415" s="29" t="str">
        <f t="shared" si="73"/>
        <v>F018</v>
      </c>
      <c r="AE415" s="443"/>
      <c r="AF415" s="443"/>
      <c r="AG415" s="443"/>
      <c r="AH415" s="443"/>
    </row>
    <row r="416" spans="1:34" ht="16.5">
      <c r="A416" s="728">
        <f t="shared" si="76"/>
        <v>409</v>
      </c>
      <c r="B416" s="563">
        <v>11</v>
      </c>
      <c r="C416" s="694">
        <v>29748</v>
      </c>
      <c r="D416" s="694" t="s">
        <v>149</v>
      </c>
      <c r="E416" s="563">
        <v>11</v>
      </c>
      <c r="F416" s="503">
        <v>1981</v>
      </c>
      <c r="G416" s="563" t="s">
        <v>114</v>
      </c>
      <c r="H416" s="503" t="s">
        <v>122</v>
      </c>
      <c r="I416" s="695">
        <v>30</v>
      </c>
      <c r="J416" s="695">
        <v>0.5</v>
      </c>
      <c r="K416" s="777">
        <f t="shared" si="75"/>
        <v>8.5227272727272721E-3</v>
      </c>
      <c r="L416" s="968">
        <v>0</v>
      </c>
      <c r="M416" s="503">
        <f t="shared" si="77"/>
        <v>21</v>
      </c>
      <c r="N416" s="504">
        <v>0.89583333333333337</v>
      </c>
      <c r="O416" s="719">
        <f t="shared" si="67"/>
        <v>0.89583333333333337</v>
      </c>
      <c r="P416" s="564"/>
      <c r="Q416" s="564">
        <f t="shared" si="74"/>
        <v>-0.89583333333333337</v>
      </c>
      <c r="R416" s="965" t="s">
        <v>1520</v>
      </c>
      <c r="S416" s="487"/>
      <c r="T416" s="29"/>
      <c r="U416" s="29" t="str">
        <f t="shared" si="68"/>
        <v>CarsonF0</v>
      </c>
      <c r="V416" s="29" t="str">
        <f t="shared" si="69"/>
        <v>1981F0</v>
      </c>
      <c r="W416" s="80">
        <v>20</v>
      </c>
      <c r="X416" s="32">
        <v>0.5</v>
      </c>
      <c r="Y416" s="467">
        <v>5.0000000000000001E-3</v>
      </c>
      <c r="Z416" s="80"/>
      <c r="AA416" s="29" t="str">
        <f t="shared" si="70"/>
        <v>F020</v>
      </c>
      <c r="AB416" s="29" t="str">
        <f t="shared" si="71"/>
        <v>F00.5</v>
      </c>
      <c r="AC416" s="29" t="str">
        <f t="shared" si="72"/>
        <v>F00.005</v>
      </c>
      <c r="AD416" s="29" t="str">
        <f t="shared" si="73"/>
        <v>F021</v>
      </c>
      <c r="AE416" s="443"/>
      <c r="AF416" s="443"/>
      <c r="AG416" s="443"/>
      <c r="AH416" s="443"/>
    </row>
    <row r="417" spans="1:34" ht="16.5">
      <c r="A417" s="728">
        <f t="shared" si="76"/>
        <v>410</v>
      </c>
      <c r="B417" s="563">
        <v>12</v>
      </c>
      <c r="C417" s="694">
        <v>29771</v>
      </c>
      <c r="D417" s="694" t="s">
        <v>150</v>
      </c>
      <c r="E417" s="563">
        <v>4</v>
      </c>
      <c r="F417" s="503">
        <v>1981</v>
      </c>
      <c r="G417" s="563" t="s">
        <v>104</v>
      </c>
      <c r="H417" s="503" t="s">
        <v>122</v>
      </c>
      <c r="I417" s="695">
        <v>10</v>
      </c>
      <c r="J417" s="695">
        <v>0.2</v>
      </c>
      <c r="K417" s="777">
        <f t="shared" si="75"/>
        <v>1.1363636363636365E-3</v>
      </c>
      <c r="L417" s="968">
        <v>0</v>
      </c>
      <c r="M417" s="503">
        <f t="shared" si="77"/>
        <v>16</v>
      </c>
      <c r="N417" s="504">
        <v>0.6875</v>
      </c>
      <c r="O417" s="719">
        <f t="shared" si="67"/>
        <v>0.6875</v>
      </c>
      <c r="P417" s="564"/>
      <c r="Q417" s="564">
        <f t="shared" si="74"/>
        <v>-0.6875</v>
      </c>
      <c r="R417" s="965" t="s">
        <v>1520</v>
      </c>
      <c r="S417" s="487"/>
      <c r="T417" s="29"/>
      <c r="U417" s="29" t="str">
        <f t="shared" si="68"/>
        <v>HansfordF0</v>
      </c>
      <c r="V417" s="29" t="str">
        <f t="shared" si="69"/>
        <v>1981F0</v>
      </c>
      <c r="W417" s="80">
        <v>10</v>
      </c>
      <c r="X417" s="32">
        <v>0.2</v>
      </c>
      <c r="Y417" s="467">
        <v>1E-3</v>
      </c>
      <c r="Z417" s="80"/>
      <c r="AA417" s="29" t="str">
        <f t="shared" si="70"/>
        <v>F010</v>
      </c>
      <c r="AB417" s="29" t="str">
        <f t="shared" si="71"/>
        <v>F00.2</v>
      </c>
      <c r="AC417" s="29" t="str">
        <f t="shared" si="72"/>
        <v>F00.001</v>
      </c>
      <c r="AD417" s="29" t="str">
        <f t="shared" si="73"/>
        <v>F016</v>
      </c>
      <c r="AE417" s="443"/>
      <c r="AF417" s="443"/>
      <c r="AG417" s="443"/>
      <c r="AH417" s="443"/>
    </row>
    <row r="418" spans="1:34" ht="16.5">
      <c r="A418" s="728">
        <f t="shared" si="76"/>
        <v>411</v>
      </c>
      <c r="B418" s="563">
        <v>13</v>
      </c>
      <c r="C418" s="694">
        <v>29774</v>
      </c>
      <c r="D418" s="694" t="s">
        <v>150</v>
      </c>
      <c r="E418" s="563">
        <v>7</v>
      </c>
      <c r="F418" s="503">
        <v>1981</v>
      </c>
      <c r="G418" s="563" t="s">
        <v>117</v>
      </c>
      <c r="H418" s="503" t="s">
        <v>123</v>
      </c>
      <c r="I418" s="695">
        <v>10</v>
      </c>
      <c r="J418" s="695">
        <v>0.3</v>
      </c>
      <c r="K418" s="777">
        <f t="shared" si="75"/>
        <v>1.7045454545454545E-3</v>
      </c>
      <c r="L418" s="968">
        <v>25000</v>
      </c>
      <c r="M418" s="503">
        <f t="shared" si="77"/>
        <v>23</v>
      </c>
      <c r="N418" s="504">
        <v>0.96875</v>
      </c>
      <c r="O418" s="719">
        <f t="shared" si="67"/>
        <v>0.96875</v>
      </c>
      <c r="P418" s="564"/>
      <c r="Q418" s="564">
        <f t="shared" si="74"/>
        <v>-0.96875</v>
      </c>
      <c r="R418" s="965" t="s">
        <v>1520</v>
      </c>
      <c r="S418" s="487"/>
      <c r="T418" s="29"/>
      <c r="U418" s="29" t="str">
        <f t="shared" si="68"/>
        <v>Deaf SmithF1</v>
      </c>
      <c r="V418" s="29" t="str">
        <f t="shared" si="69"/>
        <v>1981F1</v>
      </c>
      <c r="W418" s="80">
        <v>10</v>
      </c>
      <c r="X418" s="32">
        <v>0.2</v>
      </c>
      <c r="Y418" s="467">
        <v>1E-3</v>
      </c>
      <c r="Z418" s="80"/>
      <c r="AA418" s="29" t="str">
        <f t="shared" si="70"/>
        <v>F110</v>
      </c>
      <c r="AB418" s="29" t="str">
        <f t="shared" si="71"/>
        <v>F10.2</v>
      </c>
      <c r="AC418" s="29" t="str">
        <f t="shared" si="72"/>
        <v>F10.001</v>
      </c>
      <c r="AD418" s="29" t="str">
        <f t="shared" si="73"/>
        <v>F123</v>
      </c>
      <c r="AE418" s="443"/>
      <c r="AF418" s="443"/>
      <c r="AG418" s="443"/>
      <c r="AH418" s="443"/>
    </row>
    <row r="419" spans="1:34" ht="16.5">
      <c r="A419" s="728">
        <f t="shared" si="76"/>
        <v>412</v>
      </c>
      <c r="B419" s="563">
        <v>14</v>
      </c>
      <c r="C419" s="694">
        <v>29804</v>
      </c>
      <c r="D419" s="694" t="s">
        <v>151</v>
      </c>
      <c r="E419" s="563">
        <v>6</v>
      </c>
      <c r="F419" s="503">
        <v>1981</v>
      </c>
      <c r="G419" s="563" t="s">
        <v>102</v>
      </c>
      <c r="H419" s="503" t="s">
        <v>122</v>
      </c>
      <c r="I419" s="695">
        <v>67</v>
      </c>
      <c r="J419" s="695">
        <v>0.1</v>
      </c>
      <c r="K419" s="777">
        <f t="shared" si="75"/>
        <v>3.806818181818182E-3</v>
      </c>
      <c r="L419" s="968">
        <v>0</v>
      </c>
      <c r="M419" s="503">
        <f t="shared" si="77"/>
        <v>12</v>
      </c>
      <c r="N419" s="504">
        <v>0.54027777777777775</v>
      </c>
      <c r="O419" s="719">
        <f t="shared" si="67"/>
        <v>0.54027777777777775</v>
      </c>
      <c r="P419" s="564"/>
      <c r="Q419" s="564">
        <f t="shared" si="74"/>
        <v>-0.54027777777777775</v>
      </c>
      <c r="R419" s="965" t="s">
        <v>1520</v>
      </c>
      <c r="S419" s="487"/>
      <c r="T419" s="29"/>
      <c r="U419" s="29" t="str">
        <f t="shared" si="68"/>
        <v>DallamF0</v>
      </c>
      <c r="V419" s="29" t="str">
        <f t="shared" si="69"/>
        <v>1981F0</v>
      </c>
      <c r="W419" s="80">
        <v>50</v>
      </c>
      <c r="X419" s="32">
        <v>0.1</v>
      </c>
      <c r="Y419" s="467">
        <v>2E-3</v>
      </c>
      <c r="Z419" s="80"/>
      <c r="AA419" s="29" t="str">
        <f t="shared" si="70"/>
        <v>F050</v>
      </c>
      <c r="AB419" s="29" t="str">
        <f t="shared" si="71"/>
        <v>F00.1</v>
      </c>
      <c r="AC419" s="29" t="str">
        <f t="shared" si="72"/>
        <v>F00.002</v>
      </c>
      <c r="AD419" s="29" t="str">
        <f t="shared" si="73"/>
        <v>F012</v>
      </c>
      <c r="AE419" s="443"/>
      <c r="AF419" s="443"/>
      <c r="AG419" s="443"/>
      <c r="AH419" s="443"/>
    </row>
    <row r="420" spans="1:34" ht="63.75">
      <c r="A420" s="728">
        <f t="shared" si="76"/>
        <v>413</v>
      </c>
      <c r="B420" s="563">
        <v>1</v>
      </c>
      <c r="C420" s="694">
        <v>30028</v>
      </c>
      <c r="D420" s="735" t="s">
        <v>146</v>
      </c>
      <c r="E420" s="695">
        <v>18</v>
      </c>
      <c r="F420" s="503">
        <v>1982</v>
      </c>
      <c r="G420" s="563" t="s">
        <v>108</v>
      </c>
      <c r="H420" s="503" t="s">
        <v>126</v>
      </c>
      <c r="I420" s="695">
        <v>880</v>
      </c>
      <c r="J420" s="695">
        <v>5.9</v>
      </c>
      <c r="K420" s="777">
        <f t="shared" si="75"/>
        <v>2.95</v>
      </c>
      <c r="L420" s="968">
        <v>2500000</v>
      </c>
      <c r="M420" s="503">
        <f t="shared" si="77"/>
        <v>23</v>
      </c>
      <c r="N420" s="504">
        <v>0.99652777777777779</v>
      </c>
      <c r="O420" s="719">
        <f t="shared" si="67"/>
        <v>0.99652777777777779</v>
      </c>
      <c r="P420" s="564"/>
      <c r="Q420" s="564">
        <f t="shared" si="74"/>
        <v>-0.99652777777777779</v>
      </c>
      <c r="R420" s="965" t="s">
        <v>1520</v>
      </c>
      <c r="S420" s="79" t="s">
        <v>1088</v>
      </c>
      <c r="T420" s="29"/>
      <c r="U420" s="29" t="str">
        <f t="shared" si="68"/>
        <v>MooreF4</v>
      </c>
      <c r="V420" s="29" t="str">
        <f t="shared" si="69"/>
        <v>1982F4</v>
      </c>
      <c r="W420" s="80">
        <v>500</v>
      </c>
      <c r="X420" s="32">
        <v>5</v>
      </c>
      <c r="Y420" s="467">
        <v>2</v>
      </c>
      <c r="Z420" s="80"/>
      <c r="AA420" s="29" t="str">
        <f t="shared" si="70"/>
        <v>F4500</v>
      </c>
      <c r="AB420" s="29" t="str">
        <f t="shared" si="71"/>
        <v>F45</v>
      </c>
      <c r="AC420" s="29" t="str">
        <f t="shared" si="72"/>
        <v>F42</v>
      </c>
      <c r="AD420" s="29" t="str">
        <f t="shared" si="73"/>
        <v>F423</v>
      </c>
      <c r="AE420" s="443"/>
      <c r="AF420" s="443"/>
      <c r="AG420" s="443"/>
      <c r="AH420" s="443"/>
    </row>
    <row r="421" spans="1:34" ht="41.25" customHeight="1">
      <c r="A421" s="728">
        <f t="shared" si="76"/>
        <v>414</v>
      </c>
      <c r="B421" s="563">
        <v>2</v>
      </c>
      <c r="C421" s="694">
        <v>30029</v>
      </c>
      <c r="D421" s="735" t="s">
        <v>146</v>
      </c>
      <c r="E421" s="695">
        <v>19</v>
      </c>
      <c r="F421" s="503">
        <v>1982</v>
      </c>
      <c r="G421" s="563" t="s">
        <v>104</v>
      </c>
      <c r="H421" s="503" t="s">
        <v>126</v>
      </c>
      <c r="I421" s="695">
        <v>880</v>
      </c>
      <c r="J421" s="695">
        <v>48</v>
      </c>
      <c r="K421" s="777">
        <f t="shared" si="75"/>
        <v>24</v>
      </c>
      <c r="L421" s="968">
        <v>2500000</v>
      </c>
      <c r="M421" s="503">
        <f t="shared" si="77"/>
        <v>0</v>
      </c>
      <c r="N421" s="504">
        <v>6.9444444444444447E-4</v>
      </c>
      <c r="O421" s="719">
        <f t="shared" si="67"/>
        <v>6.9444444444444447E-4</v>
      </c>
      <c r="P421" s="564"/>
      <c r="Q421" s="564">
        <f t="shared" si="74"/>
        <v>-6.9444444444444447E-4</v>
      </c>
      <c r="R421" s="965" t="s">
        <v>1521</v>
      </c>
      <c r="S421" s="79" t="s">
        <v>714</v>
      </c>
      <c r="U421" s="29" t="str">
        <f t="shared" si="68"/>
        <v>HansfordF4</v>
      </c>
      <c r="V421" s="29" t="str">
        <f t="shared" si="69"/>
        <v>1982F4</v>
      </c>
      <c r="W421" s="80">
        <v>500</v>
      </c>
      <c r="X421" s="32">
        <v>20</v>
      </c>
      <c r="Y421" s="467">
        <v>20</v>
      </c>
      <c r="Z421" s="80"/>
      <c r="AA421" s="29" t="str">
        <f t="shared" si="70"/>
        <v>F4500</v>
      </c>
      <c r="AB421" s="29" t="str">
        <f t="shared" si="71"/>
        <v>F420</v>
      </c>
      <c r="AC421" s="29" t="str">
        <f t="shared" si="72"/>
        <v>F420</v>
      </c>
      <c r="AD421" s="29" t="str">
        <f t="shared" si="73"/>
        <v>F40</v>
      </c>
      <c r="AE421" s="443"/>
      <c r="AF421" s="443"/>
      <c r="AG421" s="443"/>
      <c r="AH421" s="443"/>
    </row>
    <row r="422" spans="1:34" ht="54.75" customHeight="1">
      <c r="A422" s="728">
        <f t="shared" si="76"/>
        <v>415</v>
      </c>
      <c r="B422" s="563">
        <v>3</v>
      </c>
      <c r="C422" s="694">
        <v>30029</v>
      </c>
      <c r="D422" s="735" t="s">
        <v>146</v>
      </c>
      <c r="E422" s="695">
        <v>19</v>
      </c>
      <c r="F422" s="503">
        <v>1982</v>
      </c>
      <c r="G422" s="563" t="s">
        <v>105</v>
      </c>
      <c r="H422" s="503" t="s">
        <v>126</v>
      </c>
      <c r="I422" s="695">
        <v>880</v>
      </c>
      <c r="J422" s="695">
        <v>5</v>
      </c>
      <c r="K422" s="777">
        <f t="shared" si="75"/>
        <v>2.5</v>
      </c>
      <c r="L422" s="968">
        <v>2500000</v>
      </c>
      <c r="M422" s="503">
        <f t="shared" si="77"/>
        <v>0</v>
      </c>
      <c r="N422" s="504">
        <v>3.4722222222222224E-2</v>
      </c>
      <c r="O422" s="719">
        <f t="shared" si="67"/>
        <v>3.4722222222222224E-2</v>
      </c>
      <c r="P422" s="564"/>
      <c r="Q422" s="564">
        <f t="shared" si="74"/>
        <v>-3.4722222222222224E-2</v>
      </c>
      <c r="R422" s="965" t="s">
        <v>1520</v>
      </c>
      <c r="S422" s="79" t="s">
        <v>826</v>
      </c>
      <c r="U422" s="29" t="str">
        <f t="shared" si="68"/>
        <v>OchiltreeF4</v>
      </c>
      <c r="V422" s="29" t="str">
        <f t="shared" si="69"/>
        <v>1982F4</v>
      </c>
      <c r="W422" s="80">
        <v>500</v>
      </c>
      <c r="X422" s="32">
        <v>5</v>
      </c>
      <c r="Y422" s="467">
        <v>2</v>
      </c>
      <c r="Z422" s="80"/>
      <c r="AA422" s="29" t="str">
        <f t="shared" si="70"/>
        <v>F4500</v>
      </c>
      <c r="AB422" s="29" t="str">
        <f t="shared" si="71"/>
        <v>F45</v>
      </c>
      <c r="AC422" s="29" t="str">
        <f t="shared" si="72"/>
        <v>F42</v>
      </c>
      <c r="AD422" s="29" t="str">
        <f t="shared" si="73"/>
        <v>F40</v>
      </c>
      <c r="AE422" s="443"/>
      <c r="AF422" s="443"/>
      <c r="AG422" s="443"/>
      <c r="AH422" s="443"/>
    </row>
    <row r="423" spans="1:34" ht="41.25" customHeight="1">
      <c r="A423" s="728">
        <f t="shared" si="76"/>
        <v>416</v>
      </c>
      <c r="B423" s="563">
        <v>4</v>
      </c>
      <c r="C423" s="694">
        <v>30029</v>
      </c>
      <c r="D423" s="735" t="s">
        <v>146</v>
      </c>
      <c r="E423" s="695">
        <v>19</v>
      </c>
      <c r="F423" s="503">
        <v>1982</v>
      </c>
      <c r="G423" s="563" t="s">
        <v>101</v>
      </c>
      <c r="H423" s="503" t="s">
        <v>125</v>
      </c>
      <c r="I423" s="695">
        <v>880</v>
      </c>
      <c r="J423" s="695">
        <v>29</v>
      </c>
      <c r="K423" s="777">
        <f t="shared" si="75"/>
        <v>14.5</v>
      </c>
      <c r="L423" s="968">
        <v>250000</v>
      </c>
      <c r="M423" s="503">
        <f t="shared" si="77"/>
        <v>1</v>
      </c>
      <c r="N423" s="504">
        <v>4.1666666666666664E-2</v>
      </c>
      <c r="O423" s="719">
        <f t="shared" si="67"/>
        <v>4.1666666666666664E-2</v>
      </c>
      <c r="P423" s="564"/>
      <c r="Q423" s="564">
        <f t="shared" si="74"/>
        <v>-4.1666666666666664E-2</v>
      </c>
      <c r="R423" s="965" t="s">
        <v>1525</v>
      </c>
      <c r="S423" s="79" t="s">
        <v>1089</v>
      </c>
      <c r="U423" s="29" t="str">
        <f t="shared" si="68"/>
        <v>BeaverF3</v>
      </c>
      <c r="V423" s="29" t="str">
        <f t="shared" si="69"/>
        <v>1982F3</v>
      </c>
      <c r="W423" s="80">
        <v>500</v>
      </c>
      <c r="X423" s="32">
        <v>20</v>
      </c>
      <c r="Y423" s="467">
        <v>10</v>
      </c>
      <c r="Z423" s="80"/>
      <c r="AA423" s="29" t="str">
        <f t="shared" si="70"/>
        <v>F3500</v>
      </c>
      <c r="AB423" s="29" t="str">
        <f t="shared" si="71"/>
        <v>F320</v>
      </c>
      <c r="AC423" s="29" t="str">
        <f t="shared" si="72"/>
        <v>F310</v>
      </c>
      <c r="AD423" s="29" t="str">
        <f t="shared" si="73"/>
        <v>F31</v>
      </c>
      <c r="AE423" s="443"/>
      <c r="AF423" s="443"/>
      <c r="AG423" s="443"/>
      <c r="AH423" s="443"/>
    </row>
    <row r="424" spans="1:34" ht="16.5">
      <c r="A424" s="728">
        <f t="shared" si="76"/>
        <v>417</v>
      </c>
      <c r="B424" s="563">
        <v>5</v>
      </c>
      <c r="C424" s="694">
        <v>30080</v>
      </c>
      <c r="D424" s="694" t="s">
        <v>148</v>
      </c>
      <c r="E424" s="695">
        <v>9</v>
      </c>
      <c r="F424" s="503">
        <v>1982</v>
      </c>
      <c r="G424" s="563" t="s">
        <v>109</v>
      </c>
      <c r="H424" s="503" t="s">
        <v>122</v>
      </c>
      <c r="I424" s="695">
        <v>20</v>
      </c>
      <c r="J424" s="695">
        <v>0.2</v>
      </c>
      <c r="K424" s="777">
        <f t="shared" si="75"/>
        <v>2.2727272727272731E-3</v>
      </c>
      <c r="L424" s="968">
        <v>0</v>
      </c>
      <c r="M424" s="503">
        <f t="shared" si="77"/>
        <v>18</v>
      </c>
      <c r="N424" s="504">
        <v>0.77361111111111114</v>
      </c>
      <c r="O424" s="719">
        <f t="shared" si="67"/>
        <v>0.77361111111111114</v>
      </c>
      <c r="P424" s="564"/>
      <c r="Q424" s="564">
        <f t="shared" si="74"/>
        <v>-0.77361111111111114</v>
      </c>
      <c r="R424" s="965" t="s">
        <v>1520</v>
      </c>
      <c r="S424" s="487" t="s">
        <v>1091</v>
      </c>
      <c r="U424" s="29" t="str">
        <f t="shared" si="68"/>
        <v>HutchinsonF0</v>
      </c>
      <c r="V424" s="29" t="str">
        <f t="shared" si="69"/>
        <v>1982F0</v>
      </c>
      <c r="W424" s="80">
        <v>20</v>
      </c>
      <c r="X424" s="32">
        <v>0.2</v>
      </c>
      <c r="Y424" s="467">
        <v>2E-3</v>
      </c>
      <c r="Z424" s="80"/>
      <c r="AA424" s="29" t="str">
        <f t="shared" si="70"/>
        <v>F020</v>
      </c>
      <c r="AB424" s="29" t="str">
        <f t="shared" si="71"/>
        <v>F00.2</v>
      </c>
      <c r="AC424" s="29" t="str">
        <f t="shared" si="72"/>
        <v>F00.002</v>
      </c>
      <c r="AD424" s="29" t="str">
        <f t="shared" si="73"/>
        <v>F018</v>
      </c>
      <c r="AE424" s="443"/>
      <c r="AF424" s="443"/>
      <c r="AG424" s="443"/>
      <c r="AH424" s="443"/>
    </row>
    <row r="425" spans="1:34" ht="16.5">
      <c r="A425" s="728">
        <f t="shared" si="76"/>
        <v>418</v>
      </c>
      <c r="B425" s="563">
        <v>6</v>
      </c>
      <c r="C425" s="694">
        <v>30080</v>
      </c>
      <c r="D425" s="694" t="s">
        <v>148</v>
      </c>
      <c r="E425" s="695">
        <v>9</v>
      </c>
      <c r="F425" s="503">
        <v>1982</v>
      </c>
      <c r="G425" s="563" t="s">
        <v>108</v>
      </c>
      <c r="H425" s="503" t="s">
        <v>122</v>
      </c>
      <c r="I425" s="695">
        <v>10</v>
      </c>
      <c r="J425" s="695">
        <v>0.1</v>
      </c>
      <c r="K425" s="777">
        <f t="shared" si="75"/>
        <v>5.6818181818181826E-4</v>
      </c>
      <c r="L425" s="968">
        <v>0</v>
      </c>
      <c r="M425" s="503">
        <f t="shared" si="77"/>
        <v>18</v>
      </c>
      <c r="N425" s="504">
        <v>0.78680555555555554</v>
      </c>
      <c r="O425" s="719">
        <f t="shared" si="67"/>
        <v>0.78680555555555554</v>
      </c>
      <c r="P425" s="564"/>
      <c r="Q425" s="564">
        <f t="shared" si="74"/>
        <v>-0.78680555555555554</v>
      </c>
      <c r="R425" s="965" t="s">
        <v>1520</v>
      </c>
      <c r="S425" s="487" t="s">
        <v>1092</v>
      </c>
      <c r="U425" s="29" t="str">
        <f t="shared" si="68"/>
        <v>MooreF0</v>
      </c>
      <c r="V425" s="29" t="str">
        <f t="shared" si="69"/>
        <v>1982F0</v>
      </c>
      <c r="W425" s="80">
        <v>10</v>
      </c>
      <c r="X425" s="32">
        <v>0.1</v>
      </c>
      <c r="Y425" s="467">
        <v>5.0000000000000001E-4</v>
      </c>
      <c r="Z425" s="80"/>
      <c r="AA425" s="29" t="str">
        <f t="shared" si="70"/>
        <v>F010</v>
      </c>
      <c r="AB425" s="29" t="str">
        <f t="shared" si="71"/>
        <v>F00.1</v>
      </c>
      <c r="AC425" s="29" t="str">
        <f t="shared" si="72"/>
        <v>F00.0005</v>
      </c>
      <c r="AD425" s="29" t="str">
        <f t="shared" si="73"/>
        <v>F018</v>
      </c>
      <c r="AE425" s="443"/>
      <c r="AF425" s="443"/>
      <c r="AG425" s="443"/>
      <c r="AH425" s="443"/>
    </row>
    <row r="426" spans="1:34" ht="16.5">
      <c r="A426" s="728">
        <f t="shared" si="76"/>
        <v>419</v>
      </c>
      <c r="B426" s="563">
        <v>7</v>
      </c>
      <c r="C426" s="694">
        <v>30080</v>
      </c>
      <c r="D426" s="694" t="s">
        <v>148</v>
      </c>
      <c r="E426" s="695">
        <v>9</v>
      </c>
      <c r="F426" s="503">
        <v>1982</v>
      </c>
      <c r="G426" s="563" t="s">
        <v>117</v>
      </c>
      <c r="H426" s="503" t="s">
        <v>122</v>
      </c>
      <c r="I426" s="695">
        <v>100</v>
      </c>
      <c r="J426" s="695">
        <v>1</v>
      </c>
      <c r="K426" s="777">
        <f t="shared" si="75"/>
        <v>5.6818181818181816E-2</v>
      </c>
      <c r="L426" s="968">
        <v>0</v>
      </c>
      <c r="M426" s="503">
        <f t="shared" si="77"/>
        <v>19</v>
      </c>
      <c r="N426" s="504">
        <v>0.80069444444444438</v>
      </c>
      <c r="O426" s="719">
        <f t="shared" si="67"/>
        <v>0.80069444444444438</v>
      </c>
      <c r="P426" s="564"/>
      <c r="Q426" s="564">
        <f t="shared" si="74"/>
        <v>-0.80069444444444438</v>
      </c>
      <c r="R426" s="965" t="s">
        <v>1520</v>
      </c>
      <c r="S426" s="303" t="s">
        <v>1093</v>
      </c>
      <c r="U426" s="29" t="str">
        <f t="shared" si="68"/>
        <v>Deaf SmithF0</v>
      </c>
      <c r="V426" s="29" t="str">
        <f t="shared" si="69"/>
        <v>1982F0</v>
      </c>
      <c r="W426" s="80">
        <v>100</v>
      </c>
      <c r="X426" s="32">
        <v>1</v>
      </c>
      <c r="Y426" s="467">
        <v>0.05</v>
      </c>
      <c r="Z426" s="80"/>
      <c r="AA426" s="29" t="str">
        <f t="shared" si="70"/>
        <v>F0100</v>
      </c>
      <c r="AB426" s="29" t="str">
        <f t="shared" si="71"/>
        <v>F01</v>
      </c>
      <c r="AC426" s="29" t="str">
        <f t="shared" si="72"/>
        <v>F00.05</v>
      </c>
      <c r="AD426" s="29" t="str">
        <f t="shared" si="73"/>
        <v>F019</v>
      </c>
      <c r="AE426" s="443"/>
      <c r="AF426" s="443"/>
      <c r="AG426" s="443"/>
      <c r="AH426" s="443"/>
    </row>
    <row r="427" spans="1:34" ht="25.5">
      <c r="A427" s="728">
        <f t="shared" si="76"/>
        <v>420</v>
      </c>
      <c r="B427" s="563">
        <v>8</v>
      </c>
      <c r="C427" s="694">
        <v>30080</v>
      </c>
      <c r="D427" s="694" t="s">
        <v>148</v>
      </c>
      <c r="E427" s="695">
        <v>9</v>
      </c>
      <c r="F427" s="503">
        <v>1982</v>
      </c>
      <c r="G427" s="563" t="s">
        <v>118</v>
      </c>
      <c r="H427" s="503" t="s">
        <v>125</v>
      </c>
      <c r="I427" s="695">
        <v>40</v>
      </c>
      <c r="J427" s="695">
        <v>2</v>
      </c>
      <c r="K427" s="777">
        <f t="shared" si="75"/>
        <v>4.5454545454545456E-2</v>
      </c>
      <c r="L427" s="968">
        <v>2500000</v>
      </c>
      <c r="M427" s="503">
        <f t="shared" si="77"/>
        <v>19</v>
      </c>
      <c r="N427" s="504">
        <v>0.7993055555555556</v>
      </c>
      <c r="O427" s="719">
        <f t="shared" si="67"/>
        <v>0.7993055555555556</v>
      </c>
      <c r="P427" s="564">
        <v>0.80208333333333337</v>
      </c>
      <c r="Q427" s="564">
        <f t="shared" si="74"/>
        <v>2.7777777777777679E-3</v>
      </c>
      <c r="R427" s="965" t="s">
        <v>1520</v>
      </c>
      <c r="S427" s="487" t="s">
        <v>1094</v>
      </c>
      <c r="U427" s="29" t="str">
        <f t="shared" si="68"/>
        <v>RandallF3</v>
      </c>
      <c r="V427" s="29" t="str">
        <f t="shared" si="69"/>
        <v>1982F3</v>
      </c>
      <c r="W427" s="80">
        <v>20</v>
      </c>
      <c r="X427" s="32">
        <v>2</v>
      </c>
      <c r="Y427" s="467">
        <v>0.02</v>
      </c>
      <c r="Z427" s="80"/>
      <c r="AA427" s="29" t="str">
        <f t="shared" si="70"/>
        <v>F320</v>
      </c>
      <c r="AB427" s="29" t="str">
        <f t="shared" si="71"/>
        <v>F32</v>
      </c>
      <c r="AC427" s="29" t="str">
        <f t="shared" si="72"/>
        <v>F30.02</v>
      </c>
      <c r="AD427" s="29" t="str">
        <f t="shared" si="73"/>
        <v>F319</v>
      </c>
      <c r="AE427" s="443"/>
      <c r="AF427" s="443"/>
      <c r="AG427" s="443"/>
      <c r="AH427" s="443"/>
    </row>
    <row r="428" spans="1:34" ht="16.5">
      <c r="A428" s="728">
        <f t="shared" si="76"/>
        <v>421</v>
      </c>
      <c r="B428" s="563">
        <v>9</v>
      </c>
      <c r="C428" s="694">
        <v>30080</v>
      </c>
      <c r="D428" s="694" t="s">
        <v>148</v>
      </c>
      <c r="E428" s="695">
        <v>9</v>
      </c>
      <c r="F428" s="503">
        <v>1982</v>
      </c>
      <c r="G428" s="563" t="s">
        <v>113</v>
      </c>
      <c r="H428" s="503" t="s">
        <v>125</v>
      </c>
      <c r="I428" s="695">
        <v>40</v>
      </c>
      <c r="J428" s="695">
        <v>6</v>
      </c>
      <c r="K428" s="777">
        <f t="shared" si="75"/>
        <v>0.13636363636363635</v>
      </c>
      <c r="L428" s="968">
        <v>2500000</v>
      </c>
      <c r="M428" s="503">
        <f t="shared" si="77"/>
        <v>19</v>
      </c>
      <c r="N428" s="504">
        <v>0.80208333333333337</v>
      </c>
      <c r="O428" s="719">
        <f t="shared" si="67"/>
        <v>0.80208333333333337</v>
      </c>
      <c r="P428" s="564"/>
      <c r="Q428" s="564">
        <f t="shared" si="74"/>
        <v>-0.80208333333333337</v>
      </c>
      <c r="R428" s="965" t="s">
        <v>1528</v>
      </c>
      <c r="S428" s="487" t="s">
        <v>60</v>
      </c>
      <c r="U428" s="29" t="str">
        <f t="shared" si="68"/>
        <v>PotterF3</v>
      </c>
      <c r="V428" s="29" t="str">
        <f t="shared" si="69"/>
        <v>1982F3</v>
      </c>
      <c r="W428" s="80">
        <v>20</v>
      </c>
      <c r="X428" s="32">
        <v>5</v>
      </c>
      <c r="Y428" s="467">
        <v>0.1</v>
      </c>
      <c r="Z428" s="80"/>
      <c r="AA428" s="29" t="str">
        <f t="shared" si="70"/>
        <v>F320</v>
      </c>
      <c r="AB428" s="29" t="str">
        <f t="shared" si="71"/>
        <v>F35</v>
      </c>
      <c r="AC428" s="29" t="str">
        <f t="shared" si="72"/>
        <v>F30.1</v>
      </c>
      <c r="AD428" s="29" t="str">
        <f t="shared" si="73"/>
        <v>F319</v>
      </c>
      <c r="AE428" s="443"/>
      <c r="AF428" s="443"/>
      <c r="AG428" s="443"/>
      <c r="AH428" s="443"/>
    </row>
    <row r="429" spans="1:34" ht="16.5">
      <c r="A429" s="728">
        <f t="shared" si="76"/>
        <v>422</v>
      </c>
      <c r="B429" s="563">
        <v>10</v>
      </c>
      <c r="C429" s="694">
        <v>30080</v>
      </c>
      <c r="D429" s="694" t="s">
        <v>148</v>
      </c>
      <c r="E429" s="695">
        <v>9</v>
      </c>
      <c r="F429" s="503">
        <v>1982</v>
      </c>
      <c r="G429" s="563" t="s">
        <v>118</v>
      </c>
      <c r="H429" s="503" t="s">
        <v>122</v>
      </c>
      <c r="I429" s="695">
        <v>10</v>
      </c>
      <c r="J429" s="695">
        <v>0.1</v>
      </c>
      <c r="K429" s="777">
        <f t="shared" si="75"/>
        <v>5.6818181818181826E-4</v>
      </c>
      <c r="L429" s="968">
        <v>0</v>
      </c>
      <c r="M429" s="503">
        <f t="shared" si="77"/>
        <v>19</v>
      </c>
      <c r="N429" s="504">
        <v>0.80833333333333324</v>
      </c>
      <c r="O429" s="719">
        <f t="shared" si="67"/>
        <v>0.80833333333333324</v>
      </c>
      <c r="P429" s="564"/>
      <c r="Q429" s="564">
        <f t="shared" si="74"/>
        <v>-0.80833333333333324</v>
      </c>
      <c r="R429" s="965" t="s">
        <v>1520</v>
      </c>
      <c r="S429" s="487" t="s">
        <v>1095</v>
      </c>
      <c r="U429" s="29" t="str">
        <f t="shared" si="68"/>
        <v>RandallF0</v>
      </c>
      <c r="V429" s="29" t="str">
        <f t="shared" si="69"/>
        <v>1982F0</v>
      </c>
      <c r="W429" s="80">
        <v>10</v>
      </c>
      <c r="X429" s="32">
        <v>0.1</v>
      </c>
      <c r="Y429" s="467">
        <v>5.0000000000000001E-4</v>
      </c>
      <c r="Z429" s="80"/>
      <c r="AA429" s="29" t="str">
        <f t="shared" si="70"/>
        <v>F010</v>
      </c>
      <c r="AB429" s="29" t="str">
        <f t="shared" si="71"/>
        <v>F00.1</v>
      </c>
      <c r="AC429" s="29" t="str">
        <f t="shared" si="72"/>
        <v>F00.0005</v>
      </c>
      <c r="AD429" s="29" t="str">
        <f t="shared" si="73"/>
        <v>F019</v>
      </c>
      <c r="AE429" s="443"/>
      <c r="AF429" s="443"/>
      <c r="AG429" s="443"/>
      <c r="AH429" s="443"/>
    </row>
    <row r="430" spans="1:34" ht="16.5">
      <c r="A430" s="728">
        <f t="shared" si="76"/>
        <v>423</v>
      </c>
      <c r="B430" s="563">
        <v>11</v>
      </c>
      <c r="C430" s="694">
        <v>30080</v>
      </c>
      <c r="D430" s="694" t="s">
        <v>148</v>
      </c>
      <c r="E430" s="695">
        <v>9</v>
      </c>
      <c r="F430" s="503">
        <v>1982</v>
      </c>
      <c r="G430" s="563" t="s">
        <v>113</v>
      </c>
      <c r="H430" s="503" t="s">
        <v>123</v>
      </c>
      <c r="I430" s="695">
        <v>10</v>
      </c>
      <c r="J430" s="695">
        <v>0.1</v>
      </c>
      <c r="K430" s="777">
        <f t="shared" si="75"/>
        <v>5.6818181818181826E-4</v>
      </c>
      <c r="L430" s="968">
        <v>25000</v>
      </c>
      <c r="M430" s="503">
        <f t="shared" si="77"/>
        <v>20</v>
      </c>
      <c r="N430" s="504">
        <v>0.83333333333333337</v>
      </c>
      <c r="O430" s="719">
        <f t="shared" si="67"/>
        <v>0.83333333333333337</v>
      </c>
      <c r="P430" s="564"/>
      <c r="Q430" s="564">
        <f t="shared" si="74"/>
        <v>-0.83333333333333337</v>
      </c>
      <c r="R430" s="965" t="s">
        <v>1520</v>
      </c>
      <c r="S430" s="303" t="s">
        <v>1096</v>
      </c>
      <c r="T430" s="29"/>
      <c r="U430" s="29" t="str">
        <f t="shared" si="68"/>
        <v>PotterF1</v>
      </c>
      <c r="V430" s="29" t="str">
        <f t="shared" si="69"/>
        <v>1982F1</v>
      </c>
      <c r="W430" s="80">
        <v>10</v>
      </c>
      <c r="X430" s="32">
        <v>0.1</v>
      </c>
      <c r="Y430" s="467">
        <v>5.0000000000000001E-4</v>
      </c>
      <c r="Z430" s="80"/>
      <c r="AA430" s="29" t="str">
        <f t="shared" si="70"/>
        <v>F110</v>
      </c>
      <c r="AB430" s="29" t="str">
        <f t="shared" si="71"/>
        <v>F10.1</v>
      </c>
      <c r="AC430" s="29" t="str">
        <f t="shared" si="72"/>
        <v>F10.0005</v>
      </c>
      <c r="AD430" s="29" t="str">
        <f t="shared" si="73"/>
        <v>F120</v>
      </c>
      <c r="AE430" s="443"/>
      <c r="AF430" s="443"/>
      <c r="AG430" s="443"/>
      <c r="AH430" s="443"/>
    </row>
    <row r="431" spans="1:34" ht="16.5">
      <c r="A431" s="728">
        <f t="shared" si="76"/>
        <v>424</v>
      </c>
      <c r="B431" s="563">
        <v>12</v>
      </c>
      <c r="C431" s="694">
        <v>30082</v>
      </c>
      <c r="D431" s="694" t="s">
        <v>148</v>
      </c>
      <c r="E431" s="695">
        <v>11</v>
      </c>
      <c r="F431" s="503">
        <v>1982</v>
      </c>
      <c r="G431" s="563" t="s">
        <v>119</v>
      </c>
      <c r="H431" s="503" t="s">
        <v>122</v>
      </c>
      <c r="I431" s="695">
        <v>20</v>
      </c>
      <c r="J431" s="695">
        <v>0.1</v>
      </c>
      <c r="K431" s="777">
        <f t="shared" si="75"/>
        <v>1.1363636363636365E-3</v>
      </c>
      <c r="L431" s="968">
        <v>0</v>
      </c>
      <c r="M431" s="503">
        <f t="shared" si="77"/>
        <v>14</v>
      </c>
      <c r="N431" s="504">
        <v>0.60069444444444442</v>
      </c>
      <c r="O431" s="719">
        <f t="shared" si="67"/>
        <v>0.60069444444444442</v>
      </c>
      <c r="P431" s="564"/>
      <c r="Q431" s="564">
        <f t="shared" si="74"/>
        <v>-0.60069444444444442</v>
      </c>
      <c r="R431" s="965" t="s">
        <v>1520</v>
      </c>
      <c r="S431" s="487"/>
      <c r="T431" s="29"/>
      <c r="U431" s="29" t="str">
        <f t="shared" si="68"/>
        <v>ArmstrongF0</v>
      </c>
      <c r="V431" s="29" t="str">
        <f t="shared" si="69"/>
        <v>1982F0</v>
      </c>
      <c r="W431" s="80">
        <v>20</v>
      </c>
      <c r="X431" s="32">
        <v>0.1</v>
      </c>
      <c r="Y431" s="467">
        <v>1E-3</v>
      </c>
      <c r="Z431" s="80"/>
      <c r="AA431" s="29" t="str">
        <f t="shared" si="70"/>
        <v>F020</v>
      </c>
      <c r="AB431" s="29" t="str">
        <f t="shared" si="71"/>
        <v>F00.1</v>
      </c>
      <c r="AC431" s="29" t="str">
        <f t="shared" si="72"/>
        <v>F00.001</v>
      </c>
      <c r="AD431" s="29" t="str">
        <f t="shared" si="73"/>
        <v>F014</v>
      </c>
      <c r="AE431" s="443"/>
      <c r="AF431" s="443"/>
      <c r="AG431" s="443"/>
      <c r="AH431" s="443"/>
    </row>
    <row r="432" spans="1:34" ht="16.5">
      <c r="A432" s="728">
        <f t="shared" si="76"/>
        <v>425</v>
      </c>
      <c r="B432" s="563">
        <v>13</v>
      </c>
      <c r="C432" s="694">
        <v>30083</v>
      </c>
      <c r="D432" s="694" t="s">
        <v>148</v>
      </c>
      <c r="E432" s="695">
        <v>12</v>
      </c>
      <c r="F432" s="503">
        <v>1982</v>
      </c>
      <c r="G432" s="563" t="s">
        <v>114</v>
      </c>
      <c r="H432" s="503" t="s">
        <v>123</v>
      </c>
      <c r="I432" s="695">
        <v>30</v>
      </c>
      <c r="J432" s="695">
        <v>0.6</v>
      </c>
      <c r="K432" s="777">
        <f t="shared" si="75"/>
        <v>1.0227272727272725E-2</v>
      </c>
      <c r="L432" s="968">
        <v>250000</v>
      </c>
      <c r="M432" s="503">
        <f t="shared" si="77"/>
        <v>14</v>
      </c>
      <c r="N432" s="504">
        <v>0.61111111111111105</v>
      </c>
      <c r="O432" s="719">
        <f t="shared" si="67"/>
        <v>0.61111111111111105</v>
      </c>
      <c r="P432" s="564"/>
      <c r="Q432" s="564">
        <f t="shared" si="74"/>
        <v>-0.61111111111111105</v>
      </c>
      <c r="R432" s="965" t="s">
        <v>1520</v>
      </c>
      <c r="S432" s="487"/>
      <c r="T432" s="29"/>
      <c r="U432" s="29" t="str">
        <f t="shared" si="68"/>
        <v>CarsonF1</v>
      </c>
      <c r="V432" s="29" t="str">
        <f t="shared" si="69"/>
        <v>1982F1</v>
      </c>
      <c r="W432" s="80">
        <v>20</v>
      </c>
      <c r="X432" s="32">
        <v>0.5</v>
      </c>
      <c r="Y432" s="467">
        <v>0.01</v>
      </c>
      <c r="Z432" s="80"/>
      <c r="AA432" s="29" t="str">
        <f t="shared" si="70"/>
        <v>F120</v>
      </c>
      <c r="AB432" s="29" t="str">
        <f t="shared" si="71"/>
        <v>F10.5</v>
      </c>
      <c r="AC432" s="29" t="str">
        <f t="shared" si="72"/>
        <v>F10.01</v>
      </c>
      <c r="AD432" s="29" t="str">
        <f t="shared" si="73"/>
        <v>F114</v>
      </c>
      <c r="AE432" s="443"/>
      <c r="AF432" s="443"/>
      <c r="AG432" s="443"/>
      <c r="AH432" s="443"/>
    </row>
    <row r="433" spans="1:34" ht="16.5">
      <c r="A433" s="728">
        <f t="shared" si="76"/>
        <v>426</v>
      </c>
      <c r="B433" s="563">
        <v>14</v>
      </c>
      <c r="C433" s="694">
        <v>30083</v>
      </c>
      <c r="D433" s="694" t="s">
        <v>148</v>
      </c>
      <c r="E433" s="695">
        <v>12</v>
      </c>
      <c r="F433" s="503">
        <v>1982</v>
      </c>
      <c r="G433" s="563" t="s">
        <v>115</v>
      </c>
      <c r="H433" s="503" t="s">
        <v>122</v>
      </c>
      <c r="I433" s="695">
        <v>10</v>
      </c>
      <c r="J433" s="695">
        <v>0.1</v>
      </c>
      <c r="K433" s="777">
        <f t="shared" si="75"/>
        <v>5.6818181818181826E-4</v>
      </c>
      <c r="L433" s="968">
        <v>0</v>
      </c>
      <c r="M433" s="503">
        <f t="shared" si="77"/>
        <v>15</v>
      </c>
      <c r="N433" s="504">
        <v>0.64375000000000004</v>
      </c>
      <c r="O433" s="719">
        <f t="shared" si="67"/>
        <v>0.64375000000000004</v>
      </c>
      <c r="P433" s="564"/>
      <c r="Q433" s="564">
        <f t="shared" si="74"/>
        <v>-0.64375000000000004</v>
      </c>
      <c r="R433" s="965" t="s">
        <v>1520</v>
      </c>
      <c r="S433" s="487"/>
      <c r="T433" s="29"/>
      <c r="U433" s="29" t="str">
        <f t="shared" si="68"/>
        <v>GrayF0</v>
      </c>
      <c r="V433" s="29" t="str">
        <f t="shared" si="69"/>
        <v>1982F0</v>
      </c>
      <c r="W433" s="80">
        <v>10</v>
      </c>
      <c r="X433" s="32">
        <v>0.1</v>
      </c>
      <c r="Y433" s="467">
        <v>5.0000000000000001E-4</v>
      </c>
      <c r="Z433" s="80"/>
      <c r="AA433" s="29" t="str">
        <f t="shared" si="70"/>
        <v>F010</v>
      </c>
      <c r="AB433" s="29" t="str">
        <f t="shared" si="71"/>
        <v>F00.1</v>
      </c>
      <c r="AC433" s="29" t="str">
        <f t="shared" si="72"/>
        <v>F00.0005</v>
      </c>
      <c r="AD433" s="29" t="str">
        <f t="shared" si="73"/>
        <v>F015</v>
      </c>
      <c r="AE433" s="443"/>
      <c r="AF433" s="443"/>
      <c r="AG433" s="443"/>
      <c r="AH433" s="443"/>
    </row>
    <row r="434" spans="1:34" ht="15" customHeight="1">
      <c r="A434" s="728">
        <f t="shared" si="76"/>
        <v>427</v>
      </c>
      <c r="B434" s="563">
        <v>15</v>
      </c>
      <c r="C434" s="694">
        <v>30088</v>
      </c>
      <c r="D434" s="694" t="s">
        <v>148</v>
      </c>
      <c r="E434" s="695">
        <v>17</v>
      </c>
      <c r="F434" s="503">
        <v>1982</v>
      </c>
      <c r="G434" s="563" t="s">
        <v>119</v>
      </c>
      <c r="H434" s="503" t="s">
        <v>122</v>
      </c>
      <c r="I434" s="695">
        <v>20</v>
      </c>
      <c r="J434" s="695">
        <v>0.2</v>
      </c>
      <c r="K434" s="777">
        <f t="shared" si="75"/>
        <v>2.2727272727272731E-3</v>
      </c>
      <c r="L434" s="968">
        <v>0</v>
      </c>
      <c r="M434" s="503">
        <f t="shared" si="77"/>
        <v>19</v>
      </c>
      <c r="N434" s="504">
        <v>0.80902777777777779</v>
      </c>
      <c r="O434" s="719">
        <f t="shared" si="67"/>
        <v>0.80902777777777779</v>
      </c>
      <c r="P434" s="564"/>
      <c r="Q434" s="564">
        <f t="shared" si="74"/>
        <v>-0.80902777777777779</v>
      </c>
      <c r="R434" s="965" t="s">
        <v>1520</v>
      </c>
      <c r="S434" s="487"/>
      <c r="T434" s="29"/>
      <c r="U434" s="29" t="str">
        <f t="shared" si="68"/>
        <v>ArmstrongF0</v>
      </c>
      <c r="V434" s="29" t="str">
        <f t="shared" si="69"/>
        <v>1982F0</v>
      </c>
      <c r="W434" s="80">
        <v>20</v>
      </c>
      <c r="X434" s="32">
        <v>0.2</v>
      </c>
      <c r="Y434" s="467">
        <v>2E-3</v>
      </c>
      <c r="Z434" s="80"/>
      <c r="AA434" s="29" t="str">
        <f t="shared" si="70"/>
        <v>F020</v>
      </c>
      <c r="AB434" s="29" t="str">
        <f t="shared" si="71"/>
        <v>F00.2</v>
      </c>
      <c r="AC434" s="29" t="str">
        <f t="shared" si="72"/>
        <v>F00.002</v>
      </c>
      <c r="AD434" s="29" t="str">
        <f t="shared" si="73"/>
        <v>F019</v>
      </c>
      <c r="AE434" s="443"/>
      <c r="AF434" s="443"/>
      <c r="AG434" s="443"/>
      <c r="AH434" s="443"/>
    </row>
    <row r="435" spans="1:34" ht="16.5">
      <c r="A435" s="728">
        <f t="shared" si="76"/>
        <v>428</v>
      </c>
      <c r="B435" s="563">
        <v>16</v>
      </c>
      <c r="C435" s="694">
        <v>30089</v>
      </c>
      <c r="D435" s="694" t="s">
        <v>148</v>
      </c>
      <c r="E435" s="695">
        <v>18</v>
      </c>
      <c r="F435" s="503">
        <v>1982</v>
      </c>
      <c r="G435" s="563" t="s">
        <v>114</v>
      </c>
      <c r="H435" s="503" t="s">
        <v>122</v>
      </c>
      <c r="I435" s="695">
        <v>10</v>
      </c>
      <c r="J435" s="695">
        <v>0.1</v>
      </c>
      <c r="K435" s="777">
        <f t="shared" si="75"/>
        <v>5.6818181818181826E-4</v>
      </c>
      <c r="L435" s="968">
        <v>0</v>
      </c>
      <c r="M435" s="503">
        <f t="shared" si="77"/>
        <v>19</v>
      </c>
      <c r="N435" s="504">
        <v>0.83263888888888893</v>
      </c>
      <c r="O435" s="719">
        <f t="shared" si="67"/>
        <v>0.83263888888888893</v>
      </c>
      <c r="P435" s="564"/>
      <c r="Q435" s="564">
        <f t="shared" si="74"/>
        <v>-0.83263888888888893</v>
      </c>
      <c r="R435" s="965" t="s">
        <v>1520</v>
      </c>
      <c r="S435" s="487"/>
      <c r="T435" s="29"/>
      <c r="U435" s="29" t="str">
        <f t="shared" si="68"/>
        <v>CarsonF0</v>
      </c>
      <c r="V435" s="29" t="str">
        <f t="shared" si="69"/>
        <v>1982F0</v>
      </c>
      <c r="W435" s="80">
        <v>10</v>
      </c>
      <c r="X435" s="32">
        <v>0.1</v>
      </c>
      <c r="Y435" s="467">
        <v>5.0000000000000001E-4</v>
      </c>
      <c r="Z435" s="80"/>
      <c r="AA435" s="29" t="str">
        <f t="shared" si="70"/>
        <v>F010</v>
      </c>
      <c r="AB435" s="29" t="str">
        <f t="shared" si="71"/>
        <v>F00.1</v>
      </c>
      <c r="AC435" s="29" t="str">
        <f t="shared" si="72"/>
        <v>F00.0005</v>
      </c>
      <c r="AD435" s="29" t="str">
        <f t="shared" si="73"/>
        <v>F019</v>
      </c>
      <c r="AE435" s="443"/>
      <c r="AF435" s="443"/>
      <c r="AG435" s="443"/>
      <c r="AH435" s="443"/>
    </row>
    <row r="436" spans="1:34" ht="16.5">
      <c r="A436" s="728">
        <f t="shared" si="76"/>
        <v>429</v>
      </c>
      <c r="B436" s="563">
        <v>17</v>
      </c>
      <c r="C436" s="694">
        <v>30089</v>
      </c>
      <c r="D436" s="694" t="s">
        <v>148</v>
      </c>
      <c r="E436" s="695">
        <v>18</v>
      </c>
      <c r="F436" s="503">
        <v>1982</v>
      </c>
      <c r="G436" s="563" t="s">
        <v>103</v>
      </c>
      <c r="H436" s="503" t="s">
        <v>122</v>
      </c>
      <c r="I436" s="695">
        <v>7</v>
      </c>
      <c r="J436" s="695">
        <v>0.1</v>
      </c>
      <c r="K436" s="777">
        <f t="shared" si="75"/>
        <v>3.9772727272727269E-4</v>
      </c>
      <c r="L436" s="968">
        <v>0</v>
      </c>
      <c r="M436" s="503">
        <f t="shared" si="77"/>
        <v>19</v>
      </c>
      <c r="N436" s="504">
        <v>0.83263888888888893</v>
      </c>
      <c r="O436" s="719">
        <f t="shared" si="67"/>
        <v>0.83263888888888893</v>
      </c>
      <c r="P436" s="564"/>
      <c r="Q436" s="564">
        <f t="shared" si="74"/>
        <v>-0.83263888888888893</v>
      </c>
      <c r="R436" s="965" t="s">
        <v>1520</v>
      </c>
      <c r="S436" s="487"/>
      <c r="T436" s="29"/>
      <c r="U436" s="29" t="str">
        <f t="shared" si="68"/>
        <v>ShermanF0</v>
      </c>
      <c r="V436" s="29" t="str">
        <f t="shared" si="69"/>
        <v>1982F0</v>
      </c>
      <c r="W436" s="80">
        <v>5</v>
      </c>
      <c r="X436" s="32">
        <v>0.1</v>
      </c>
      <c r="Y436" s="467">
        <v>2.0000000000000001E-4</v>
      </c>
      <c r="Z436" s="80"/>
      <c r="AA436" s="29" t="str">
        <f t="shared" si="70"/>
        <v>F05</v>
      </c>
      <c r="AB436" s="29" t="str">
        <f t="shared" si="71"/>
        <v>F00.1</v>
      </c>
      <c r="AC436" s="29" t="str">
        <f t="shared" si="72"/>
        <v>F00.0002</v>
      </c>
      <c r="AD436" s="29" t="str">
        <f t="shared" si="73"/>
        <v>F019</v>
      </c>
      <c r="AE436" s="443"/>
      <c r="AF436" s="443"/>
      <c r="AG436" s="443"/>
      <c r="AH436" s="443"/>
    </row>
    <row r="437" spans="1:34" ht="51">
      <c r="A437" s="728">
        <f t="shared" si="76"/>
        <v>430</v>
      </c>
      <c r="B437" s="563">
        <v>18</v>
      </c>
      <c r="C437" s="694">
        <v>30090</v>
      </c>
      <c r="D437" s="694" t="s">
        <v>148</v>
      </c>
      <c r="E437" s="695">
        <v>19</v>
      </c>
      <c r="F437" s="503">
        <v>1982</v>
      </c>
      <c r="G437" s="563" t="s">
        <v>114</v>
      </c>
      <c r="H437" s="503" t="s">
        <v>122</v>
      </c>
      <c r="I437" s="695">
        <v>50</v>
      </c>
      <c r="J437" s="695">
        <v>0.5</v>
      </c>
      <c r="K437" s="777">
        <f t="shared" si="75"/>
        <v>1.4204545454545454E-2</v>
      </c>
      <c r="L437" s="968">
        <v>0</v>
      </c>
      <c r="M437" s="503">
        <f t="shared" si="77"/>
        <v>16</v>
      </c>
      <c r="N437" s="504">
        <v>0.70694444444444438</v>
      </c>
      <c r="O437" s="719">
        <f t="shared" si="67"/>
        <v>0.70694444444444438</v>
      </c>
      <c r="P437" s="564"/>
      <c r="Q437" s="564">
        <f t="shared" si="74"/>
        <v>-0.70694444444444438</v>
      </c>
      <c r="R437" s="965" t="s">
        <v>1520</v>
      </c>
      <c r="S437" s="303" t="s">
        <v>1105</v>
      </c>
      <c r="T437" s="29"/>
      <c r="U437" s="29" t="str">
        <f t="shared" si="68"/>
        <v>CarsonF0</v>
      </c>
      <c r="V437" s="29" t="str">
        <f t="shared" si="69"/>
        <v>1982F0</v>
      </c>
      <c r="W437" s="80">
        <v>50</v>
      </c>
      <c r="X437" s="32">
        <v>0.5</v>
      </c>
      <c r="Y437" s="467">
        <v>0.01</v>
      </c>
      <c r="Z437" s="80"/>
      <c r="AA437" s="29" t="str">
        <f t="shared" si="70"/>
        <v>F050</v>
      </c>
      <c r="AB437" s="29" t="str">
        <f t="shared" si="71"/>
        <v>F00.5</v>
      </c>
      <c r="AC437" s="29" t="str">
        <f t="shared" si="72"/>
        <v>F00.01</v>
      </c>
      <c r="AD437" s="29" t="str">
        <f t="shared" si="73"/>
        <v>F016</v>
      </c>
      <c r="AE437" s="443"/>
      <c r="AF437" s="443"/>
      <c r="AG437" s="443"/>
      <c r="AH437" s="443"/>
    </row>
    <row r="438" spans="1:34" ht="51">
      <c r="A438" s="728">
        <f t="shared" si="76"/>
        <v>431</v>
      </c>
      <c r="B438" s="563">
        <v>19</v>
      </c>
      <c r="C438" s="694">
        <v>30090</v>
      </c>
      <c r="D438" s="694" t="s">
        <v>148</v>
      </c>
      <c r="E438" s="695">
        <v>19</v>
      </c>
      <c r="F438" s="503">
        <v>1982</v>
      </c>
      <c r="G438" s="563" t="s">
        <v>115</v>
      </c>
      <c r="H438" s="503" t="s">
        <v>125</v>
      </c>
      <c r="I438" s="695">
        <v>587</v>
      </c>
      <c r="J438" s="695">
        <v>1.5</v>
      </c>
      <c r="K438" s="777">
        <f t="shared" si="75"/>
        <v>0.50028409090909087</v>
      </c>
      <c r="L438" s="968">
        <v>250000</v>
      </c>
      <c r="M438" s="503">
        <f t="shared" si="77"/>
        <v>17</v>
      </c>
      <c r="N438" s="504">
        <v>0.72430555555555554</v>
      </c>
      <c r="O438" s="719">
        <f t="shared" si="67"/>
        <v>0.72430555555555554</v>
      </c>
      <c r="P438" s="564"/>
      <c r="Q438" s="564">
        <f t="shared" si="74"/>
        <v>-0.72430555555555554</v>
      </c>
      <c r="R438" s="965" t="s">
        <v>1520</v>
      </c>
      <c r="S438" s="303" t="s">
        <v>1104</v>
      </c>
      <c r="T438" s="29"/>
      <c r="U438" s="29" t="str">
        <f t="shared" si="68"/>
        <v>GrayF3</v>
      </c>
      <c r="V438" s="29" t="str">
        <f t="shared" si="69"/>
        <v>1982F3</v>
      </c>
      <c r="W438" s="80">
        <v>500</v>
      </c>
      <c r="X438" s="32">
        <v>1</v>
      </c>
      <c r="Y438" s="467">
        <v>0.5</v>
      </c>
      <c r="Z438" s="80"/>
      <c r="AA438" s="29" t="str">
        <f t="shared" si="70"/>
        <v>F3500</v>
      </c>
      <c r="AB438" s="29" t="str">
        <f t="shared" si="71"/>
        <v>F31</v>
      </c>
      <c r="AC438" s="29" t="str">
        <f t="shared" si="72"/>
        <v>F30.5</v>
      </c>
      <c r="AD438" s="29" t="str">
        <f t="shared" si="73"/>
        <v>F317</v>
      </c>
      <c r="AE438" s="443"/>
      <c r="AF438" s="443"/>
      <c r="AG438" s="443"/>
      <c r="AH438" s="443"/>
    </row>
    <row r="439" spans="1:34" ht="16.5">
      <c r="A439" s="728">
        <f t="shared" si="76"/>
        <v>432</v>
      </c>
      <c r="B439" s="563">
        <v>20</v>
      </c>
      <c r="C439" s="694">
        <v>30090</v>
      </c>
      <c r="D439" s="694" t="s">
        <v>148</v>
      </c>
      <c r="E439" s="695">
        <v>19</v>
      </c>
      <c r="F439" s="503">
        <v>1982</v>
      </c>
      <c r="G439" s="563" t="s">
        <v>115</v>
      </c>
      <c r="H439" s="503" t="s">
        <v>125</v>
      </c>
      <c r="I439" s="695">
        <v>880</v>
      </c>
      <c r="J439" s="695">
        <v>4</v>
      </c>
      <c r="K439" s="777">
        <f t="shared" si="75"/>
        <v>2</v>
      </c>
      <c r="L439" s="968">
        <v>2500000</v>
      </c>
      <c r="M439" s="503">
        <f t="shared" si="77"/>
        <v>17</v>
      </c>
      <c r="N439" s="504">
        <v>0.74513888888888891</v>
      </c>
      <c r="O439" s="719">
        <f t="shared" si="67"/>
        <v>0.74513888888888891</v>
      </c>
      <c r="P439" s="564"/>
      <c r="Q439" s="564">
        <f t="shared" si="74"/>
        <v>-0.74513888888888891</v>
      </c>
      <c r="R439" s="965" t="s">
        <v>1520</v>
      </c>
      <c r="S439" s="303" t="s">
        <v>1102</v>
      </c>
      <c r="T439" s="29"/>
      <c r="U439" s="29" t="str">
        <f t="shared" si="68"/>
        <v>GrayF3</v>
      </c>
      <c r="V439" s="29" t="str">
        <f t="shared" si="69"/>
        <v>1982F3</v>
      </c>
      <c r="W439" s="80">
        <v>500</v>
      </c>
      <c r="X439" s="32">
        <v>2</v>
      </c>
      <c r="Y439" s="467">
        <v>2</v>
      </c>
      <c r="Z439" s="80"/>
      <c r="AA439" s="29" t="str">
        <f t="shared" si="70"/>
        <v>F3500</v>
      </c>
      <c r="AB439" s="29" t="str">
        <f t="shared" si="71"/>
        <v>F32</v>
      </c>
      <c r="AC439" s="29" t="str">
        <f t="shared" si="72"/>
        <v>F32</v>
      </c>
      <c r="AD439" s="29" t="str">
        <f t="shared" si="73"/>
        <v>F317</v>
      </c>
      <c r="AE439" s="443"/>
      <c r="AF439" s="443"/>
      <c r="AG439" s="443"/>
      <c r="AH439" s="443"/>
    </row>
    <row r="440" spans="1:34" ht="16.5">
      <c r="A440" s="728">
        <f t="shared" si="76"/>
        <v>433</v>
      </c>
      <c r="B440" s="563">
        <v>21</v>
      </c>
      <c r="C440" s="694">
        <v>30090</v>
      </c>
      <c r="D440" s="694" t="s">
        <v>148</v>
      </c>
      <c r="E440" s="695">
        <v>19</v>
      </c>
      <c r="F440" s="503">
        <v>1982</v>
      </c>
      <c r="G440" s="563" t="s">
        <v>115</v>
      </c>
      <c r="H440" s="503" t="s">
        <v>122</v>
      </c>
      <c r="I440" s="695">
        <v>20</v>
      </c>
      <c r="J440" s="695">
        <v>0.5</v>
      </c>
      <c r="K440" s="777">
        <f t="shared" si="75"/>
        <v>5.681818181818182E-3</v>
      </c>
      <c r="L440" s="968">
        <v>0</v>
      </c>
      <c r="M440" s="503">
        <f t="shared" si="77"/>
        <v>18</v>
      </c>
      <c r="N440" s="504">
        <v>0.75624999999999998</v>
      </c>
      <c r="O440" s="719">
        <f t="shared" si="67"/>
        <v>0.75624999999999998</v>
      </c>
      <c r="P440" s="564"/>
      <c r="Q440" s="564">
        <f t="shared" si="74"/>
        <v>-0.75624999999999998</v>
      </c>
      <c r="R440" s="965" t="s">
        <v>1520</v>
      </c>
      <c r="S440" s="303" t="s">
        <v>1103</v>
      </c>
      <c r="T440" s="29"/>
      <c r="U440" s="29" t="str">
        <f t="shared" si="68"/>
        <v>GrayF0</v>
      </c>
      <c r="V440" s="29" t="str">
        <f t="shared" si="69"/>
        <v>1982F0</v>
      </c>
      <c r="W440" s="80">
        <v>20</v>
      </c>
      <c r="X440" s="32">
        <v>0.5</v>
      </c>
      <c r="Y440" s="467">
        <v>5.0000000000000001E-3</v>
      </c>
      <c r="Z440" s="80"/>
      <c r="AA440" s="29" t="str">
        <f t="shared" si="70"/>
        <v>F020</v>
      </c>
      <c r="AB440" s="29" t="str">
        <f t="shared" si="71"/>
        <v>F00.5</v>
      </c>
      <c r="AC440" s="29" t="str">
        <f t="shared" si="72"/>
        <v>F00.005</v>
      </c>
      <c r="AD440" s="29" t="str">
        <f t="shared" si="73"/>
        <v>F018</v>
      </c>
      <c r="AE440" s="443"/>
      <c r="AF440" s="443"/>
      <c r="AG440" s="443"/>
      <c r="AH440" s="443"/>
    </row>
    <row r="441" spans="1:34" ht="16.5">
      <c r="A441" s="728">
        <f t="shared" si="76"/>
        <v>434</v>
      </c>
      <c r="B441" s="563">
        <v>22</v>
      </c>
      <c r="C441" s="694">
        <v>30090</v>
      </c>
      <c r="D441" s="694" t="s">
        <v>148</v>
      </c>
      <c r="E441" s="695">
        <v>19</v>
      </c>
      <c r="F441" s="503">
        <v>1982</v>
      </c>
      <c r="G441" s="563" t="s">
        <v>115</v>
      </c>
      <c r="H441" s="503" t="s">
        <v>124</v>
      </c>
      <c r="I441" s="695">
        <v>1760</v>
      </c>
      <c r="J441" s="695">
        <v>6</v>
      </c>
      <c r="K441" s="777">
        <f t="shared" si="75"/>
        <v>6</v>
      </c>
      <c r="L441" s="968">
        <v>250000</v>
      </c>
      <c r="M441" s="503">
        <f t="shared" si="77"/>
        <v>18</v>
      </c>
      <c r="N441" s="504">
        <v>0.7583333333333333</v>
      </c>
      <c r="O441" s="719">
        <f t="shared" si="67"/>
        <v>0.7583333333333333</v>
      </c>
      <c r="P441" s="564"/>
      <c r="Q441" s="564">
        <f t="shared" si="74"/>
        <v>-0.7583333333333333</v>
      </c>
      <c r="R441" s="965" t="s">
        <v>1520</v>
      </c>
      <c r="S441" s="303" t="s">
        <v>1103</v>
      </c>
      <c r="T441" s="29"/>
      <c r="U441" s="29" t="str">
        <f t="shared" si="68"/>
        <v>GrayF2</v>
      </c>
      <c r="V441" s="29" t="str">
        <f t="shared" si="69"/>
        <v>1982F2</v>
      </c>
      <c r="W441" s="80">
        <v>1000</v>
      </c>
      <c r="X441" s="32">
        <v>5</v>
      </c>
      <c r="Y441" s="467">
        <v>5</v>
      </c>
      <c r="Z441" s="80"/>
      <c r="AA441" s="29" t="str">
        <f t="shared" si="70"/>
        <v>F21000</v>
      </c>
      <c r="AB441" s="29" t="str">
        <f t="shared" si="71"/>
        <v>F25</v>
      </c>
      <c r="AC441" s="29" t="str">
        <f t="shared" si="72"/>
        <v>F25</v>
      </c>
      <c r="AD441" s="29" t="str">
        <f t="shared" si="73"/>
        <v>F218</v>
      </c>
      <c r="AE441" s="443"/>
      <c r="AF441" s="443"/>
      <c r="AG441" s="443"/>
      <c r="AH441" s="443"/>
    </row>
    <row r="442" spans="1:34" ht="16.5">
      <c r="A442" s="728">
        <f t="shared" si="76"/>
        <v>435</v>
      </c>
      <c r="B442" s="563">
        <v>23</v>
      </c>
      <c r="C442" s="694">
        <v>30090</v>
      </c>
      <c r="D442" s="694" t="s">
        <v>148</v>
      </c>
      <c r="E442" s="695">
        <v>19</v>
      </c>
      <c r="F442" s="503">
        <v>1982</v>
      </c>
      <c r="G442" s="563" t="s">
        <v>115</v>
      </c>
      <c r="H442" s="503" t="s">
        <v>125</v>
      </c>
      <c r="I442" s="695">
        <v>100</v>
      </c>
      <c r="J442" s="695">
        <v>2</v>
      </c>
      <c r="K442" s="777">
        <f t="shared" si="75"/>
        <v>0.11363636363636363</v>
      </c>
      <c r="L442" s="968">
        <v>25000</v>
      </c>
      <c r="M442" s="503">
        <f t="shared" si="77"/>
        <v>18</v>
      </c>
      <c r="N442" s="504">
        <v>0.76736111111111116</v>
      </c>
      <c r="O442" s="719">
        <f t="shared" si="67"/>
        <v>0.76736111111111116</v>
      </c>
      <c r="P442" s="564"/>
      <c r="Q442" s="564">
        <f t="shared" si="74"/>
        <v>-0.76736111111111116</v>
      </c>
      <c r="R442" s="965" t="s">
        <v>1520</v>
      </c>
      <c r="S442" s="487" t="s">
        <v>1101</v>
      </c>
      <c r="T442" s="29"/>
      <c r="U442" s="29" t="str">
        <f t="shared" si="68"/>
        <v>GrayF3</v>
      </c>
      <c r="V442" s="29" t="str">
        <f t="shared" si="69"/>
        <v>1982F3</v>
      </c>
      <c r="W442" s="80">
        <v>100</v>
      </c>
      <c r="X442" s="32">
        <v>2</v>
      </c>
      <c r="Y442" s="467">
        <v>0.1</v>
      </c>
      <c r="Z442" s="80"/>
      <c r="AA442" s="29" t="str">
        <f t="shared" si="70"/>
        <v>F3100</v>
      </c>
      <c r="AB442" s="29" t="str">
        <f t="shared" si="71"/>
        <v>F32</v>
      </c>
      <c r="AC442" s="29" t="str">
        <f t="shared" si="72"/>
        <v>F30.1</v>
      </c>
      <c r="AD442" s="29" t="str">
        <f t="shared" si="73"/>
        <v>F318</v>
      </c>
      <c r="AE442" s="443"/>
      <c r="AF442" s="443"/>
      <c r="AG442" s="443"/>
      <c r="AH442" s="443"/>
    </row>
    <row r="443" spans="1:34" ht="16.5">
      <c r="A443" s="728">
        <f t="shared" si="76"/>
        <v>436</v>
      </c>
      <c r="B443" s="563">
        <v>24</v>
      </c>
      <c r="C443" s="694">
        <v>30090</v>
      </c>
      <c r="D443" s="694" t="s">
        <v>148</v>
      </c>
      <c r="E443" s="695">
        <v>19</v>
      </c>
      <c r="F443" s="503">
        <v>1982</v>
      </c>
      <c r="G443" s="563" t="s">
        <v>115</v>
      </c>
      <c r="H443" s="503" t="s">
        <v>124</v>
      </c>
      <c r="I443" s="695">
        <v>200</v>
      </c>
      <c r="J443" s="695">
        <v>2</v>
      </c>
      <c r="K443" s="777">
        <f t="shared" si="75"/>
        <v>0.22727272727272727</v>
      </c>
      <c r="L443" s="968">
        <v>250000</v>
      </c>
      <c r="M443" s="503">
        <f t="shared" si="77"/>
        <v>18</v>
      </c>
      <c r="N443" s="504">
        <v>0.78472222222222221</v>
      </c>
      <c r="O443" s="719">
        <f t="shared" si="67"/>
        <v>0.78472222222222221</v>
      </c>
      <c r="P443" s="564"/>
      <c r="Q443" s="564">
        <f t="shared" si="74"/>
        <v>-0.78472222222222221</v>
      </c>
      <c r="R443" s="965" t="s">
        <v>1520</v>
      </c>
      <c r="S443" s="705" t="s">
        <v>1100</v>
      </c>
      <c r="T443" s="29"/>
      <c r="U443" s="29" t="str">
        <f t="shared" si="68"/>
        <v>GrayF2</v>
      </c>
      <c r="V443" s="29" t="str">
        <f t="shared" si="69"/>
        <v>1982F2</v>
      </c>
      <c r="W443" s="80">
        <v>200</v>
      </c>
      <c r="X443" s="32">
        <v>2</v>
      </c>
      <c r="Y443" s="467">
        <v>0.2</v>
      </c>
      <c r="Z443" s="80"/>
      <c r="AA443" s="29" t="str">
        <f t="shared" si="70"/>
        <v>F2200</v>
      </c>
      <c r="AB443" s="29" t="str">
        <f t="shared" si="71"/>
        <v>F22</v>
      </c>
      <c r="AC443" s="29" t="str">
        <f t="shared" si="72"/>
        <v>F20.2</v>
      </c>
      <c r="AD443" s="29" t="str">
        <f t="shared" si="73"/>
        <v>F218</v>
      </c>
      <c r="AE443" s="443"/>
      <c r="AF443" s="443"/>
      <c r="AG443" s="443"/>
      <c r="AH443" s="443"/>
    </row>
    <row r="444" spans="1:34" ht="16.5">
      <c r="A444" s="728">
        <f t="shared" si="76"/>
        <v>437</v>
      </c>
      <c r="B444" s="563">
        <v>25</v>
      </c>
      <c r="C444" s="694">
        <v>30090</v>
      </c>
      <c r="D444" s="694" t="s">
        <v>148</v>
      </c>
      <c r="E444" s="695">
        <v>19</v>
      </c>
      <c r="F444" s="503">
        <v>1982</v>
      </c>
      <c r="G444" s="563" t="s">
        <v>110</v>
      </c>
      <c r="H444" s="503" t="s">
        <v>122</v>
      </c>
      <c r="I444" s="695">
        <v>20</v>
      </c>
      <c r="J444" s="695">
        <v>0.3</v>
      </c>
      <c r="K444" s="777">
        <f t="shared" si="75"/>
        <v>3.4090909090909089E-3</v>
      </c>
      <c r="L444" s="968">
        <v>0</v>
      </c>
      <c r="M444" s="503">
        <f t="shared" si="77"/>
        <v>19</v>
      </c>
      <c r="N444" s="504">
        <v>0.7944444444444444</v>
      </c>
      <c r="O444" s="719">
        <f t="shared" si="67"/>
        <v>0.7944444444444444</v>
      </c>
      <c r="P444" s="564"/>
      <c r="Q444" s="564">
        <f t="shared" si="74"/>
        <v>-0.7944444444444444</v>
      </c>
      <c r="R444" s="965" t="s">
        <v>1520</v>
      </c>
      <c r="S444" s="303" t="s">
        <v>1099</v>
      </c>
      <c r="T444" s="29"/>
      <c r="U444" s="29" t="str">
        <f t="shared" si="68"/>
        <v>RobertsF0</v>
      </c>
      <c r="V444" s="29" t="str">
        <f t="shared" si="69"/>
        <v>1982F0</v>
      </c>
      <c r="W444" s="80">
        <v>20</v>
      </c>
      <c r="X444" s="32">
        <v>0.2</v>
      </c>
      <c r="Y444" s="467">
        <v>2E-3</v>
      </c>
      <c r="Z444" s="80"/>
      <c r="AA444" s="29" t="str">
        <f t="shared" si="70"/>
        <v>F020</v>
      </c>
      <c r="AB444" s="29" t="str">
        <f t="shared" si="71"/>
        <v>F00.2</v>
      </c>
      <c r="AC444" s="29" t="str">
        <f t="shared" si="72"/>
        <v>F00.002</v>
      </c>
      <c r="AD444" s="29" t="str">
        <f t="shared" si="73"/>
        <v>F019</v>
      </c>
      <c r="AE444" s="443"/>
      <c r="AF444" s="443"/>
      <c r="AG444" s="443"/>
      <c r="AH444" s="443"/>
    </row>
    <row r="445" spans="1:34" ht="16.5">
      <c r="A445" s="728">
        <f t="shared" si="76"/>
        <v>438</v>
      </c>
      <c r="B445" s="563">
        <v>26</v>
      </c>
      <c r="C445" s="694">
        <v>30090</v>
      </c>
      <c r="D445" s="694" t="s">
        <v>148</v>
      </c>
      <c r="E445" s="695">
        <v>19</v>
      </c>
      <c r="F445" s="503">
        <v>1982</v>
      </c>
      <c r="G445" s="563" t="s">
        <v>111</v>
      </c>
      <c r="H445" s="503" t="s">
        <v>123</v>
      </c>
      <c r="I445" s="695">
        <v>10</v>
      </c>
      <c r="J445" s="695">
        <v>0.4</v>
      </c>
      <c r="K445" s="777">
        <f t="shared" si="75"/>
        <v>2.2727272727272731E-3</v>
      </c>
      <c r="L445" s="968">
        <v>0</v>
      </c>
      <c r="M445" s="503">
        <f t="shared" si="77"/>
        <v>19</v>
      </c>
      <c r="N445" s="504">
        <v>0.81597222222222221</v>
      </c>
      <c r="O445" s="719">
        <f t="shared" si="67"/>
        <v>0.81597222222222221</v>
      </c>
      <c r="P445" s="564"/>
      <c r="Q445" s="564">
        <f t="shared" si="74"/>
        <v>-0.81597222222222221</v>
      </c>
      <c r="R445" s="965" t="s">
        <v>1520</v>
      </c>
      <c r="S445" s="487" t="s">
        <v>1098</v>
      </c>
      <c r="T445" s="29"/>
      <c r="U445" s="29" t="str">
        <f t="shared" si="68"/>
        <v>HemphillF1</v>
      </c>
      <c r="V445" s="29" t="str">
        <f t="shared" si="69"/>
        <v>1982F1</v>
      </c>
      <c r="W445" s="80">
        <v>10</v>
      </c>
      <c r="X445" s="32">
        <v>0.2</v>
      </c>
      <c r="Y445" s="467">
        <v>2E-3</v>
      </c>
      <c r="Z445" s="80"/>
      <c r="AA445" s="29" t="str">
        <f t="shared" si="70"/>
        <v>F110</v>
      </c>
      <c r="AB445" s="29" t="str">
        <f t="shared" si="71"/>
        <v>F10.2</v>
      </c>
      <c r="AC445" s="29" t="str">
        <f t="shared" si="72"/>
        <v>F10.002</v>
      </c>
      <c r="AD445" s="29" t="str">
        <f t="shared" si="73"/>
        <v>F119</v>
      </c>
      <c r="AE445" s="443"/>
      <c r="AF445" s="443"/>
      <c r="AG445" s="443"/>
      <c r="AH445" s="443"/>
    </row>
    <row r="446" spans="1:34" ht="16.5">
      <c r="A446" s="728">
        <f t="shared" si="76"/>
        <v>439</v>
      </c>
      <c r="B446" s="563">
        <v>27</v>
      </c>
      <c r="C446" s="694">
        <v>30090</v>
      </c>
      <c r="D446" s="694" t="s">
        <v>148</v>
      </c>
      <c r="E446" s="695">
        <v>19</v>
      </c>
      <c r="F446" s="503">
        <v>1982</v>
      </c>
      <c r="G446" s="563" t="s">
        <v>110</v>
      </c>
      <c r="H446" s="503" t="s">
        <v>123</v>
      </c>
      <c r="I446" s="695">
        <v>10</v>
      </c>
      <c r="J446" s="695">
        <v>0.2</v>
      </c>
      <c r="K446" s="777">
        <f t="shared" si="75"/>
        <v>1.1363636363636365E-3</v>
      </c>
      <c r="L446" s="968">
        <v>0</v>
      </c>
      <c r="M446" s="503">
        <f t="shared" si="77"/>
        <v>19</v>
      </c>
      <c r="N446" s="504">
        <v>0.81597222222222221</v>
      </c>
      <c r="O446" s="719">
        <f t="shared" si="67"/>
        <v>0.81597222222222221</v>
      </c>
      <c r="P446" s="564"/>
      <c r="Q446" s="564">
        <f t="shared" si="74"/>
        <v>-0.81597222222222221</v>
      </c>
      <c r="R446" s="965" t="s">
        <v>1520</v>
      </c>
      <c r="S446" s="487" t="s">
        <v>1097</v>
      </c>
      <c r="T446" s="29"/>
      <c r="U446" s="29" t="str">
        <f t="shared" si="68"/>
        <v>RobertsF1</v>
      </c>
      <c r="V446" s="29" t="str">
        <f t="shared" si="69"/>
        <v>1982F1</v>
      </c>
      <c r="W446" s="80">
        <v>10</v>
      </c>
      <c r="X446" s="32">
        <v>0.2</v>
      </c>
      <c r="Y446" s="467">
        <v>1E-3</v>
      </c>
      <c r="Z446" s="80"/>
      <c r="AA446" s="29" t="str">
        <f t="shared" si="70"/>
        <v>F110</v>
      </c>
      <c r="AB446" s="29" t="str">
        <f t="shared" si="71"/>
        <v>F10.2</v>
      </c>
      <c r="AC446" s="29" t="str">
        <f t="shared" si="72"/>
        <v>F10.001</v>
      </c>
      <c r="AD446" s="29" t="str">
        <f t="shared" si="73"/>
        <v>F119</v>
      </c>
      <c r="AE446" s="443"/>
      <c r="AF446" s="443"/>
      <c r="AG446" s="443"/>
      <c r="AH446" s="443"/>
    </row>
    <row r="447" spans="1:34" ht="16.5">
      <c r="A447" s="728">
        <f t="shared" si="76"/>
        <v>440</v>
      </c>
      <c r="B447" s="563">
        <v>28</v>
      </c>
      <c r="C447" s="694">
        <v>30095</v>
      </c>
      <c r="D447" s="694" t="s">
        <v>148</v>
      </c>
      <c r="E447" s="695">
        <v>24</v>
      </c>
      <c r="F447" s="503">
        <v>1982</v>
      </c>
      <c r="G447" s="563" t="s">
        <v>101</v>
      </c>
      <c r="H447" s="503" t="s">
        <v>122</v>
      </c>
      <c r="I447" s="695">
        <v>10</v>
      </c>
      <c r="J447" s="695">
        <v>4</v>
      </c>
      <c r="K447" s="777">
        <f t="shared" si="75"/>
        <v>2.2727272727272728E-2</v>
      </c>
      <c r="L447" s="968">
        <v>0</v>
      </c>
      <c r="M447" s="503">
        <f t="shared" si="77"/>
        <v>16</v>
      </c>
      <c r="N447" s="504">
        <v>0.69791666666666663</v>
      </c>
      <c r="O447" s="719">
        <f t="shared" si="67"/>
        <v>0.69791666666666663</v>
      </c>
      <c r="P447" s="564"/>
      <c r="Q447" s="564">
        <f t="shared" si="74"/>
        <v>-0.69791666666666663</v>
      </c>
      <c r="R447" s="965" t="s">
        <v>1520</v>
      </c>
      <c r="S447" s="487"/>
      <c r="T447" s="29"/>
      <c r="U447" s="29" t="str">
        <f t="shared" si="68"/>
        <v>BeaverF0</v>
      </c>
      <c r="V447" s="29" t="str">
        <f t="shared" si="69"/>
        <v>1982F0</v>
      </c>
      <c r="W447" s="80">
        <v>10</v>
      </c>
      <c r="X447" s="32">
        <v>2</v>
      </c>
      <c r="Y447" s="467">
        <v>0.02</v>
      </c>
      <c r="Z447" s="80"/>
      <c r="AA447" s="29" t="str">
        <f t="shared" si="70"/>
        <v>F010</v>
      </c>
      <c r="AB447" s="29" t="str">
        <f t="shared" si="71"/>
        <v>F02</v>
      </c>
      <c r="AC447" s="29" t="str">
        <f t="shared" si="72"/>
        <v>F00.02</v>
      </c>
      <c r="AD447" s="29" t="str">
        <f t="shared" si="73"/>
        <v>F016</v>
      </c>
      <c r="AE447" s="443"/>
      <c r="AF447" s="443"/>
      <c r="AG447" s="443"/>
      <c r="AH447" s="443"/>
    </row>
    <row r="448" spans="1:34" ht="16.5">
      <c r="A448" s="728">
        <f t="shared" si="76"/>
        <v>441</v>
      </c>
      <c r="B448" s="563">
        <v>29</v>
      </c>
      <c r="C448" s="694">
        <v>30101</v>
      </c>
      <c r="D448" s="694" t="s">
        <v>148</v>
      </c>
      <c r="E448" s="695">
        <v>30</v>
      </c>
      <c r="F448" s="503">
        <v>1982</v>
      </c>
      <c r="G448" s="563" t="s">
        <v>100</v>
      </c>
      <c r="H448" s="503" t="s">
        <v>122</v>
      </c>
      <c r="I448" s="695">
        <v>10</v>
      </c>
      <c r="J448" s="695">
        <v>0.1</v>
      </c>
      <c r="K448" s="777">
        <f t="shared" si="75"/>
        <v>5.6818181818181826E-4</v>
      </c>
      <c r="L448" s="968">
        <v>0</v>
      </c>
      <c r="M448" s="503">
        <f t="shared" si="77"/>
        <v>17</v>
      </c>
      <c r="N448" s="504">
        <v>0.73958333333333337</v>
      </c>
      <c r="O448" s="719">
        <f t="shared" si="67"/>
        <v>0.73958333333333337</v>
      </c>
      <c r="P448" s="564"/>
      <c r="Q448" s="564">
        <f t="shared" si="74"/>
        <v>-0.73958333333333337</v>
      </c>
      <c r="R448" s="965" t="s">
        <v>1520</v>
      </c>
      <c r="S448" s="487"/>
      <c r="T448" s="29"/>
      <c r="U448" s="29" t="str">
        <f t="shared" si="68"/>
        <v>TexasF0</v>
      </c>
      <c r="V448" s="29" t="str">
        <f t="shared" si="69"/>
        <v>1982F0</v>
      </c>
      <c r="W448" s="80">
        <v>10</v>
      </c>
      <c r="X448" s="32">
        <v>0.1</v>
      </c>
      <c r="Y448" s="467">
        <v>5.0000000000000001E-4</v>
      </c>
      <c r="Z448" s="80"/>
      <c r="AA448" s="29" t="str">
        <f t="shared" si="70"/>
        <v>F010</v>
      </c>
      <c r="AB448" s="29" t="str">
        <f t="shared" si="71"/>
        <v>F00.1</v>
      </c>
      <c r="AC448" s="29" t="str">
        <f t="shared" si="72"/>
        <v>F00.0005</v>
      </c>
      <c r="AD448" s="29" t="str">
        <f t="shared" si="73"/>
        <v>F017</v>
      </c>
      <c r="AE448" s="443"/>
      <c r="AF448" s="443"/>
      <c r="AG448" s="443"/>
      <c r="AH448" s="443"/>
    </row>
    <row r="449" spans="1:34" ht="16.5">
      <c r="A449" s="728">
        <f t="shared" si="76"/>
        <v>442</v>
      </c>
      <c r="B449" s="563">
        <v>30</v>
      </c>
      <c r="C449" s="694">
        <v>30101</v>
      </c>
      <c r="D449" s="694" t="s">
        <v>148</v>
      </c>
      <c r="E449" s="695">
        <v>30</v>
      </c>
      <c r="F449" s="503">
        <v>1982</v>
      </c>
      <c r="G449" s="563" t="s">
        <v>105</v>
      </c>
      <c r="H449" s="503" t="s">
        <v>123</v>
      </c>
      <c r="I449" s="695">
        <v>50</v>
      </c>
      <c r="J449" s="695">
        <v>0.4</v>
      </c>
      <c r="K449" s="777">
        <f t="shared" si="75"/>
        <v>1.1363636363636364E-2</v>
      </c>
      <c r="L449" s="968">
        <v>250000</v>
      </c>
      <c r="M449" s="503">
        <f t="shared" si="77"/>
        <v>18</v>
      </c>
      <c r="N449" s="504">
        <v>0.77083333333333337</v>
      </c>
      <c r="O449" s="719">
        <f t="shared" si="67"/>
        <v>0.77083333333333337</v>
      </c>
      <c r="P449" s="564"/>
      <c r="Q449" s="564">
        <f t="shared" si="74"/>
        <v>-0.77083333333333337</v>
      </c>
      <c r="R449" s="965" t="s">
        <v>1520</v>
      </c>
      <c r="S449" s="487"/>
      <c r="T449" s="29"/>
      <c r="U449" s="29" t="str">
        <f t="shared" si="68"/>
        <v>OchiltreeF1</v>
      </c>
      <c r="V449" s="29" t="str">
        <f t="shared" si="69"/>
        <v>1982F1</v>
      </c>
      <c r="W449" s="80">
        <v>50</v>
      </c>
      <c r="X449" s="32">
        <v>0.2</v>
      </c>
      <c r="Y449" s="467">
        <v>0.01</v>
      </c>
      <c r="Z449" s="80"/>
      <c r="AA449" s="29" t="str">
        <f t="shared" si="70"/>
        <v>F150</v>
      </c>
      <c r="AB449" s="29" t="str">
        <f t="shared" si="71"/>
        <v>F10.2</v>
      </c>
      <c r="AC449" s="29" t="str">
        <f t="shared" si="72"/>
        <v>F10.01</v>
      </c>
      <c r="AD449" s="29" t="str">
        <f t="shared" si="73"/>
        <v>F118</v>
      </c>
      <c r="AE449" s="443"/>
      <c r="AF449" s="443"/>
      <c r="AG449" s="443"/>
      <c r="AH449" s="443"/>
    </row>
    <row r="450" spans="1:34" ht="16.5">
      <c r="A450" s="728">
        <f t="shared" si="76"/>
        <v>443</v>
      </c>
      <c r="B450" s="563">
        <v>31</v>
      </c>
      <c r="C450" s="694">
        <v>30107</v>
      </c>
      <c r="D450" s="694" t="s">
        <v>149</v>
      </c>
      <c r="E450" s="695">
        <v>5</v>
      </c>
      <c r="F450" s="503">
        <v>1982</v>
      </c>
      <c r="G450" s="563" t="s">
        <v>109</v>
      </c>
      <c r="H450" s="503" t="s">
        <v>124</v>
      </c>
      <c r="I450" s="695">
        <v>67</v>
      </c>
      <c r="J450" s="695">
        <v>3</v>
      </c>
      <c r="K450" s="777">
        <f t="shared" si="75"/>
        <v>0.11420454545454546</v>
      </c>
      <c r="L450" s="968">
        <v>2500000</v>
      </c>
      <c r="M450" s="503">
        <f t="shared" si="77"/>
        <v>18</v>
      </c>
      <c r="N450" s="504">
        <v>0.77222222222222225</v>
      </c>
      <c r="O450" s="719">
        <f t="shared" si="67"/>
        <v>0.77222222222222225</v>
      </c>
      <c r="P450" s="564"/>
      <c r="Q450" s="564">
        <f t="shared" si="74"/>
        <v>-0.77222222222222225</v>
      </c>
      <c r="R450" s="965" t="s">
        <v>1524</v>
      </c>
      <c r="S450" s="487"/>
      <c r="T450" s="29"/>
      <c r="U450" s="29" t="str">
        <f t="shared" si="68"/>
        <v>HutchinsonF2</v>
      </c>
      <c r="V450" s="29" t="str">
        <f t="shared" si="69"/>
        <v>1982F2</v>
      </c>
      <c r="W450" s="80">
        <v>50</v>
      </c>
      <c r="X450" s="32">
        <v>2</v>
      </c>
      <c r="Y450" s="467">
        <v>0.1</v>
      </c>
      <c r="Z450" s="80"/>
      <c r="AA450" s="29" t="str">
        <f t="shared" si="70"/>
        <v>F250</v>
      </c>
      <c r="AB450" s="29" t="str">
        <f t="shared" si="71"/>
        <v>F22</v>
      </c>
      <c r="AC450" s="29" t="str">
        <f t="shared" si="72"/>
        <v>F20.1</v>
      </c>
      <c r="AD450" s="29" t="str">
        <f t="shared" si="73"/>
        <v>F218</v>
      </c>
      <c r="AE450" s="443"/>
      <c r="AF450" s="443"/>
      <c r="AG450" s="443"/>
      <c r="AH450" s="443"/>
    </row>
    <row r="451" spans="1:34" ht="16.5">
      <c r="A451" s="728">
        <f t="shared" si="76"/>
        <v>444</v>
      </c>
      <c r="B451" s="563">
        <v>32</v>
      </c>
      <c r="C451" s="694">
        <v>30116</v>
      </c>
      <c r="D451" s="694" t="s">
        <v>149</v>
      </c>
      <c r="E451" s="695">
        <v>14</v>
      </c>
      <c r="F451" s="503">
        <v>1982</v>
      </c>
      <c r="G451" s="563" t="s">
        <v>104</v>
      </c>
      <c r="H451" s="503" t="s">
        <v>124</v>
      </c>
      <c r="I451" s="695">
        <v>100</v>
      </c>
      <c r="J451" s="695">
        <v>12.2</v>
      </c>
      <c r="K451" s="777">
        <f t="shared" si="75"/>
        <v>0.69318181818181812</v>
      </c>
      <c r="L451" s="968">
        <v>250000</v>
      </c>
      <c r="M451" s="503">
        <f t="shared" si="77"/>
        <v>19</v>
      </c>
      <c r="N451" s="504">
        <v>0.79791666666666661</v>
      </c>
      <c r="O451" s="719">
        <f t="shared" si="67"/>
        <v>0.79791666666666661</v>
      </c>
      <c r="P451" s="564"/>
      <c r="Q451" s="564">
        <f t="shared" si="74"/>
        <v>-0.79791666666666661</v>
      </c>
      <c r="R451" s="965" t="s">
        <v>1522</v>
      </c>
      <c r="S451" s="487" t="s">
        <v>70</v>
      </c>
      <c r="T451" s="29"/>
      <c r="U451" s="29" t="str">
        <f t="shared" si="68"/>
        <v>HansfordF2</v>
      </c>
      <c r="V451" s="29" t="str">
        <f t="shared" si="69"/>
        <v>1982F2</v>
      </c>
      <c r="W451" s="80">
        <v>100</v>
      </c>
      <c r="X451" s="32">
        <v>10</v>
      </c>
      <c r="Y451" s="467">
        <v>0.5</v>
      </c>
      <c r="Z451" s="80"/>
      <c r="AA451" s="29" t="str">
        <f t="shared" si="70"/>
        <v>F2100</v>
      </c>
      <c r="AB451" s="29" t="str">
        <f t="shared" si="71"/>
        <v>F210</v>
      </c>
      <c r="AC451" s="29" t="str">
        <f t="shared" si="72"/>
        <v>F20.5</v>
      </c>
      <c r="AD451" s="29" t="str">
        <f t="shared" si="73"/>
        <v>F219</v>
      </c>
      <c r="AE451" s="443"/>
      <c r="AF451" s="443"/>
      <c r="AG451" s="443"/>
      <c r="AH451" s="443"/>
    </row>
    <row r="452" spans="1:34" ht="16.5">
      <c r="A452" s="728">
        <f t="shared" si="76"/>
        <v>445</v>
      </c>
      <c r="B452" s="563">
        <v>33</v>
      </c>
      <c r="C452" s="694">
        <v>30116</v>
      </c>
      <c r="D452" s="694" t="s">
        <v>149</v>
      </c>
      <c r="E452" s="695">
        <v>14</v>
      </c>
      <c r="F452" s="503">
        <v>1982</v>
      </c>
      <c r="G452" s="563" t="s">
        <v>114</v>
      </c>
      <c r="H452" s="503" t="s">
        <v>122</v>
      </c>
      <c r="I452" s="695">
        <v>3</v>
      </c>
      <c r="J452" s="695">
        <v>0.1</v>
      </c>
      <c r="K452" s="777">
        <f t="shared" si="75"/>
        <v>1.7045454545454547E-4</v>
      </c>
      <c r="L452" s="968">
        <v>0</v>
      </c>
      <c r="M452" s="503">
        <f t="shared" si="77"/>
        <v>19</v>
      </c>
      <c r="N452" s="504">
        <v>0.80208333333333337</v>
      </c>
      <c r="O452" s="719">
        <f t="shared" si="67"/>
        <v>0.80208333333333337</v>
      </c>
      <c r="P452" s="564"/>
      <c r="Q452" s="564">
        <f t="shared" si="74"/>
        <v>-0.80208333333333337</v>
      </c>
      <c r="R452" s="965" t="s">
        <v>1520</v>
      </c>
      <c r="S452" s="487"/>
      <c r="T452" s="29"/>
      <c r="U452" s="29" t="str">
        <f t="shared" si="68"/>
        <v>CarsonF0</v>
      </c>
      <c r="V452" s="29" t="str">
        <f t="shared" si="69"/>
        <v>1982F0</v>
      </c>
      <c r="W452" s="80">
        <v>2</v>
      </c>
      <c r="X452" s="32">
        <v>0.1</v>
      </c>
      <c r="Y452" s="467">
        <v>1E-4</v>
      </c>
      <c r="Z452" s="80"/>
      <c r="AA452" s="29" t="str">
        <f t="shared" si="70"/>
        <v>F02</v>
      </c>
      <c r="AB452" s="29" t="str">
        <f t="shared" si="71"/>
        <v>F00.1</v>
      </c>
      <c r="AC452" s="29" t="str">
        <f t="shared" si="72"/>
        <v>F00.0001</v>
      </c>
      <c r="AD452" s="29" t="str">
        <f t="shared" si="73"/>
        <v>F019</v>
      </c>
      <c r="AE452" s="443"/>
      <c r="AF452" s="443"/>
      <c r="AG452" s="443"/>
      <c r="AH452" s="443"/>
    </row>
    <row r="453" spans="1:34" ht="16.5">
      <c r="A453" s="728">
        <f t="shared" si="76"/>
        <v>446</v>
      </c>
      <c r="B453" s="563">
        <v>34</v>
      </c>
      <c r="C453" s="694">
        <v>30116</v>
      </c>
      <c r="D453" s="694" t="s">
        <v>149</v>
      </c>
      <c r="E453" s="695">
        <v>14</v>
      </c>
      <c r="F453" s="503">
        <v>1982</v>
      </c>
      <c r="G453" s="563" t="s">
        <v>105</v>
      </c>
      <c r="H453" s="503" t="s">
        <v>124</v>
      </c>
      <c r="I453" s="695">
        <v>100</v>
      </c>
      <c r="J453" s="695">
        <v>5</v>
      </c>
      <c r="K453" s="777">
        <f t="shared" si="75"/>
        <v>0.28409090909090906</v>
      </c>
      <c r="L453" s="968">
        <v>250000</v>
      </c>
      <c r="M453" s="503">
        <f t="shared" si="77"/>
        <v>19</v>
      </c>
      <c r="N453" s="504">
        <v>0.80902777777777779</v>
      </c>
      <c r="O453" s="719">
        <f t="shared" si="67"/>
        <v>0.80902777777777779</v>
      </c>
      <c r="P453" s="564"/>
      <c r="Q453" s="564">
        <f t="shared" si="74"/>
        <v>-0.80902777777777779</v>
      </c>
      <c r="R453" s="965" t="s">
        <v>1520</v>
      </c>
      <c r="S453" s="487" t="s">
        <v>71</v>
      </c>
      <c r="U453" s="29" t="str">
        <f t="shared" si="68"/>
        <v>OchiltreeF2</v>
      </c>
      <c r="V453" s="29" t="str">
        <f t="shared" si="69"/>
        <v>1982F2</v>
      </c>
      <c r="W453" s="80">
        <v>100</v>
      </c>
      <c r="X453" s="32">
        <v>5</v>
      </c>
      <c r="Y453" s="467">
        <v>0.2</v>
      </c>
      <c r="Z453" s="80"/>
      <c r="AA453" s="29" t="str">
        <f t="shared" si="70"/>
        <v>F2100</v>
      </c>
      <c r="AB453" s="29" t="str">
        <f t="shared" si="71"/>
        <v>F25</v>
      </c>
      <c r="AC453" s="29" t="str">
        <f t="shared" si="72"/>
        <v>F20.2</v>
      </c>
      <c r="AD453" s="29" t="str">
        <f t="shared" si="73"/>
        <v>F219</v>
      </c>
      <c r="AE453" s="443"/>
      <c r="AF453" s="443"/>
      <c r="AG453" s="443"/>
      <c r="AH453" s="443"/>
    </row>
    <row r="454" spans="1:34" ht="16.5">
      <c r="A454" s="728">
        <f t="shared" si="76"/>
        <v>447</v>
      </c>
      <c r="B454" s="563">
        <v>35</v>
      </c>
      <c r="C454" s="694">
        <v>30116</v>
      </c>
      <c r="D454" s="694" t="s">
        <v>149</v>
      </c>
      <c r="E454" s="695">
        <v>14</v>
      </c>
      <c r="F454" s="503">
        <v>1982</v>
      </c>
      <c r="G454" s="563" t="s">
        <v>106</v>
      </c>
      <c r="H454" s="503" t="s">
        <v>122</v>
      </c>
      <c r="I454" s="695">
        <v>3</v>
      </c>
      <c r="J454" s="695">
        <v>0.1</v>
      </c>
      <c r="K454" s="777">
        <f t="shared" si="75"/>
        <v>1.7045454545454547E-4</v>
      </c>
      <c r="L454" s="968">
        <v>0</v>
      </c>
      <c r="M454" s="503">
        <f t="shared" si="77"/>
        <v>21</v>
      </c>
      <c r="N454" s="504">
        <v>0.87847222222222221</v>
      </c>
      <c r="O454" s="719">
        <f t="shared" si="67"/>
        <v>0.87847222222222221</v>
      </c>
      <c r="P454" s="564"/>
      <c r="Q454" s="564">
        <f t="shared" si="74"/>
        <v>-0.87847222222222221</v>
      </c>
      <c r="R454" s="965" t="s">
        <v>1520</v>
      </c>
      <c r="S454" s="487"/>
      <c r="U454" s="29" t="str">
        <f t="shared" si="68"/>
        <v>LipscombF0</v>
      </c>
      <c r="V454" s="29" t="str">
        <f t="shared" si="69"/>
        <v>1982F0</v>
      </c>
      <c r="W454" s="80">
        <v>2</v>
      </c>
      <c r="X454" s="32">
        <v>0.1</v>
      </c>
      <c r="Y454" s="467">
        <v>1E-4</v>
      </c>
      <c r="Z454" s="80"/>
      <c r="AA454" s="29" t="str">
        <f t="shared" si="70"/>
        <v>F02</v>
      </c>
      <c r="AB454" s="29" t="str">
        <f t="shared" si="71"/>
        <v>F00.1</v>
      </c>
      <c r="AC454" s="29" t="str">
        <f t="shared" si="72"/>
        <v>F00.0001</v>
      </c>
      <c r="AD454" s="29" t="str">
        <f t="shared" si="73"/>
        <v>F021</v>
      </c>
      <c r="AE454" s="443"/>
      <c r="AF454" s="443"/>
      <c r="AG454" s="443"/>
      <c r="AH454" s="443"/>
    </row>
    <row r="455" spans="1:34" ht="16.5">
      <c r="A455" s="728">
        <f t="shared" si="76"/>
        <v>448</v>
      </c>
      <c r="B455" s="563">
        <v>36</v>
      </c>
      <c r="C455" s="694">
        <v>30125</v>
      </c>
      <c r="D455" s="694" t="s">
        <v>149</v>
      </c>
      <c r="E455" s="695">
        <v>23</v>
      </c>
      <c r="F455" s="503">
        <v>1982</v>
      </c>
      <c r="G455" s="563" t="s">
        <v>99</v>
      </c>
      <c r="H455" s="503" t="s">
        <v>122</v>
      </c>
      <c r="I455" s="695">
        <v>3</v>
      </c>
      <c r="J455" s="695">
        <v>0.1</v>
      </c>
      <c r="K455" s="777">
        <f t="shared" si="75"/>
        <v>1.7045454545454547E-4</v>
      </c>
      <c r="L455" s="968">
        <v>0</v>
      </c>
      <c r="M455" s="503">
        <f t="shared" si="77"/>
        <v>17</v>
      </c>
      <c r="N455" s="504">
        <v>0.73611111111111116</v>
      </c>
      <c r="O455" s="719">
        <f t="shared" ref="O455:O518" si="78">+N455</f>
        <v>0.73611111111111116</v>
      </c>
      <c r="P455" s="564"/>
      <c r="Q455" s="564">
        <f t="shared" si="74"/>
        <v>-0.73611111111111116</v>
      </c>
      <c r="R455" s="965" t="s">
        <v>1520</v>
      </c>
      <c r="S455" s="487"/>
      <c r="U455" s="29" t="str">
        <f t="shared" ref="U455:U518" si="79">CONCATENATE(G455,H455)</f>
        <v>CimarronF0</v>
      </c>
      <c r="V455" s="29" t="str">
        <f t="shared" ref="V455:V518" si="80">CONCATENATE(F455,H455)</f>
        <v>1982F0</v>
      </c>
      <c r="W455" s="80">
        <v>2</v>
      </c>
      <c r="X455" s="32">
        <v>0.1</v>
      </c>
      <c r="Y455" s="467">
        <v>1E-4</v>
      </c>
      <c r="Z455" s="80"/>
      <c r="AA455" s="29" t="str">
        <f t="shared" ref="AA455:AA518" si="81">CONCATENATE(H455,W455)</f>
        <v>F02</v>
      </c>
      <c r="AB455" s="29" t="str">
        <f t="shared" ref="AB455:AB518" si="82">CONCATENATE(H455,X455)</f>
        <v>F00.1</v>
      </c>
      <c r="AC455" s="29" t="str">
        <f t="shared" ref="AC455:AC518" si="83">CONCATENATE(H455,Y455)</f>
        <v>F00.0001</v>
      </c>
      <c r="AD455" s="29" t="str">
        <f t="shared" ref="AD455:AD518" si="84">CONCATENATE(H455,M455)</f>
        <v>F017</v>
      </c>
      <c r="AE455" s="443"/>
      <c r="AF455" s="443"/>
      <c r="AG455" s="443"/>
      <c r="AH455" s="443"/>
    </row>
    <row r="456" spans="1:34" ht="16.5">
      <c r="A456" s="728">
        <f t="shared" si="76"/>
        <v>449</v>
      </c>
      <c r="B456" s="563">
        <v>37</v>
      </c>
      <c r="C456" s="694">
        <v>30125</v>
      </c>
      <c r="D456" s="694" t="s">
        <v>149</v>
      </c>
      <c r="E456" s="695">
        <v>23</v>
      </c>
      <c r="F456" s="503">
        <v>1982</v>
      </c>
      <c r="G456" s="563" t="s">
        <v>114</v>
      </c>
      <c r="H456" s="503" t="s">
        <v>122</v>
      </c>
      <c r="I456" s="695">
        <v>3</v>
      </c>
      <c r="J456" s="695">
        <v>0.1</v>
      </c>
      <c r="K456" s="777">
        <f t="shared" si="75"/>
        <v>1.7045454545454547E-4</v>
      </c>
      <c r="L456" s="968">
        <v>0</v>
      </c>
      <c r="M456" s="503">
        <f t="shared" si="77"/>
        <v>19</v>
      </c>
      <c r="N456" s="504">
        <v>0.8125</v>
      </c>
      <c r="O456" s="719">
        <f t="shared" si="78"/>
        <v>0.8125</v>
      </c>
      <c r="P456" s="564"/>
      <c r="Q456" s="564">
        <f t="shared" ref="Q456:Q519" si="85">+P456-O456</f>
        <v>-0.8125</v>
      </c>
      <c r="R456" s="965" t="s">
        <v>1520</v>
      </c>
      <c r="S456" s="487"/>
      <c r="T456" s="29"/>
      <c r="U456" s="29" t="str">
        <f t="shared" si="79"/>
        <v>CarsonF0</v>
      </c>
      <c r="V456" s="29" t="str">
        <f t="shared" si="80"/>
        <v>1982F0</v>
      </c>
      <c r="W456" s="80">
        <v>2</v>
      </c>
      <c r="X456" s="32">
        <v>0.1</v>
      </c>
      <c r="Y456" s="467">
        <v>1E-4</v>
      </c>
      <c r="Z456" s="80"/>
      <c r="AA456" s="29" t="str">
        <f t="shared" si="81"/>
        <v>F02</v>
      </c>
      <c r="AB456" s="29" t="str">
        <f t="shared" si="82"/>
        <v>F00.1</v>
      </c>
      <c r="AC456" s="29" t="str">
        <f t="shared" si="83"/>
        <v>F00.0001</v>
      </c>
      <c r="AD456" s="29" t="str">
        <f t="shared" si="84"/>
        <v>F019</v>
      </c>
      <c r="AE456" s="443"/>
      <c r="AF456" s="443"/>
      <c r="AG456" s="443"/>
      <c r="AH456" s="443"/>
    </row>
    <row r="457" spans="1:34" ht="16.5">
      <c r="A457" s="728">
        <f t="shared" si="76"/>
        <v>450</v>
      </c>
      <c r="B457" s="563">
        <v>38</v>
      </c>
      <c r="C457" s="694">
        <v>30126</v>
      </c>
      <c r="D457" s="694" t="s">
        <v>149</v>
      </c>
      <c r="E457" s="695">
        <v>24</v>
      </c>
      <c r="F457" s="503">
        <v>1982</v>
      </c>
      <c r="G457" s="563" t="s">
        <v>115</v>
      </c>
      <c r="H457" s="503" t="s">
        <v>123</v>
      </c>
      <c r="I457" s="695">
        <v>3</v>
      </c>
      <c r="J457" s="695">
        <v>0.1</v>
      </c>
      <c r="K457" s="777">
        <f t="shared" ref="K457:K520" si="86">+(I457/1760)*J457</f>
        <v>1.7045454545454547E-4</v>
      </c>
      <c r="L457" s="968">
        <v>3000</v>
      </c>
      <c r="M457" s="503">
        <f t="shared" si="77"/>
        <v>19</v>
      </c>
      <c r="N457" s="504">
        <v>0.79513888888888884</v>
      </c>
      <c r="O457" s="719">
        <f t="shared" si="78"/>
        <v>0.79513888888888884</v>
      </c>
      <c r="P457" s="564"/>
      <c r="Q457" s="564">
        <f t="shared" si="85"/>
        <v>-0.79513888888888884</v>
      </c>
      <c r="R457" s="965" t="s">
        <v>1520</v>
      </c>
      <c r="S457" s="487"/>
      <c r="T457" s="29"/>
      <c r="U457" s="29" t="str">
        <f t="shared" si="79"/>
        <v>GrayF1</v>
      </c>
      <c r="V457" s="29" t="str">
        <f t="shared" si="80"/>
        <v>1982F1</v>
      </c>
      <c r="W457" s="80">
        <v>2</v>
      </c>
      <c r="X457" s="32">
        <v>0.1</v>
      </c>
      <c r="Y457" s="467">
        <v>1E-4</v>
      </c>
      <c r="Z457" s="80"/>
      <c r="AA457" s="29" t="str">
        <f t="shared" si="81"/>
        <v>F12</v>
      </c>
      <c r="AB457" s="29" t="str">
        <f t="shared" si="82"/>
        <v>F10.1</v>
      </c>
      <c r="AC457" s="29" t="str">
        <f t="shared" si="83"/>
        <v>F10.0001</v>
      </c>
      <c r="AD457" s="29" t="str">
        <f t="shared" si="84"/>
        <v>F119</v>
      </c>
      <c r="AE457" s="443"/>
      <c r="AF457" s="443"/>
      <c r="AG457" s="443"/>
      <c r="AH457" s="443"/>
    </row>
    <row r="458" spans="1:34" ht="16.5">
      <c r="A458" s="728">
        <f t="shared" ref="A458:A521" si="87">+A457+1</f>
        <v>451</v>
      </c>
      <c r="B458" s="563">
        <v>39</v>
      </c>
      <c r="C458" s="694">
        <v>30141</v>
      </c>
      <c r="D458" s="694" t="s">
        <v>150</v>
      </c>
      <c r="E458" s="695">
        <v>9</v>
      </c>
      <c r="F458" s="503">
        <v>1982</v>
      </c>
      <c r="G458" s="563" t="s">
        <v>99</v>
      </c>
      <c r="H458" s="503" t="s">
        <v>122</v>
      </c>
      <c r="I458" s="695">
        <v>3</v>
      </c>
      <c r="J458" s="695">
        <v>0.1</v>
      </c>
      <c r="K458" s="777">
        <f t="shared" si="86"/>
        <v>1.7045454545454547E-4</v>
      </c>
      <c r="L458" s="968">
        <v>0</v>
      </c>
      <c r="M458" s="503">
        <f t="shared" si="77"/>
        <v>13</v>
      </c>
      <c r="N458" s="504">
        <v>0.57291666666666663</v>
      </c>
      <c r="O458" s="719">
        <f t="shared" si="78"/>
        <v>0.57291666666666663</v>
      </c>
      <c r="P458" s="564"/>
      <c r="Q458" s="564">
        <f t="shared" si="85"/>
        <v>-0.57291666666666663</v>
      </c>
      <c r="R458" s="965" t="s">
        <v>1520</v>
      </c>
      <c r="S458" s="487"/>
      <c r="T458" s="29"/>
      <c r="U458" s="29" t="str">
        <f t="shared" si="79"/>
        <v>CimarronF0</v>
      </c>
      <c r="V458" s="29" t="str">
        <f t="shared" si="80"/>
        <v>1982F0</v>
      </c>
      <c r="W458" s="80">
        <v>2</v>
      </c>
      <c r="X458" s="32">
        <v>0.1</v>
      </c>
      <c r="Y458" s="467">
        <v>1E-4</v>
      </c>
      <c r="Z458" s="80"/>
      <c r="AA458" s="29" t="str">
        <f t="shared" si="81"/>
        <v>F02</v>
      </c>
      <c r="AB458" s="29" t="str">
        <f t="shared" si="82"/>
        <v>F00.1</v>
      </c>
      <c r="AC458" s="29" t="str">
        <f t="shared" si="83"/>
        <v>F00.0001</v>
      </c>
      <c r="AD458" s="29" t="str">
        <f t="shared" si="84"/>
        <v>F013</v>
      </c>
      <c r="AE458" s="443"/>
      <c r="AF458" s="443"/>
      <c r="AG458" s="443"/>
      <c r="AH458" s="443"/>
    </row>
    <row r="459" spans="1:34" ht="16.5">
      <c r="A459" s="728">
        <f t="shared" si="87"/>
        <v>452</v>
      </c>
      <c r="B459" s="563">
        <v>40</v>
      </c>
      <c r="C459" s="694">
        <v>30178</v>
      </c>
      <c r="D459" s="694" t="s">
        <v>151</v>
      </c>
      <c r="E459" s="695">
        <v>15</v>
      </c>
      <c r="F459" s="503">
        <v>1982</v>
      </c>
      <c r="G459" s="563" t="s">
        <v>100</v>
      </c>
      <c r="H459" s="503" t="s">
        <v>123</v>
      </c>
      <c r="I459" s="695">
        <v>10</v>
      </c>
      <c r="J459" s="695">
        <v>0.1</v>
      </c>
      <c r="K459" s="777">
        <f t="shared" si="86"/>
        <v>5.6818181818181826E-4</v>
      </c>
      <c r="L459" s="968">
        <v>25000</v>
      </c>
      <c r="M459" s="503">
        <f t="shared" si="77"/>
        <v>17</v>
      </c>
      <c r="N459" s="504">
        <v>0.70833333333333337</v>
      </c>
      <c r="O459" s="719">
        <f t="shared" si="78"/>
        <v>0.70833333333333337</v>
      </c>
      <c r="P459" s="564"/>
      <c r="Q459" s="564">
        <f t="shared" si="85"/>
        <v>-0.70833333333333337</v>
      </c>
      <c r="R459" s="965" t="s">
        <v>1520</v>
      </c>
      <c r="S459" s="487"/>
      <c r="T459" s="29"/>
      <c r="U459" s="29" t="str">
        <f t="shared" si="79"/>
        <v>TexasF1</v>
      </c>
      <c r="V459" s="29" t="str">
        <f t="shared" si="80"/>
        <v>1982F1</v>
      </c>
      <c r="W459" s="80">
        <v>10</v>
      </c>
      <c r="X459" s="32">
        <v>0.1</v>
      </c>
      <c r="Y459" s="467">
        <v>5.0000000000000001E-4</v>
      </c>
      <c r="Z459" s="80"/>
      <c r="AA459" s="29" t="str">
        <f t="shared" si="81"/>
        <v>F110</v>
      </c>
      <c r="AB459" s="29" t="str">
        <f t="shared" si="82"/>
        <v>F10.1</v>
      </c>
      <c r="AC459" s="29" t="str">
        <f t="shared" si="83"/>
        <v>F10.0005</v>
      </c>
      <c r="AD459" s="29" t="str">
        <f t="shared" si="84"/>
        <v>F117</v>
      </c>
      <c r="AE459" s="443"/>
      <c r="AF459" s="443"/>
      <c r="AG459" s="443"/>
      <c r="AH459" s="443"/>
    </row>
    <row r="460" spans="1:34" ht="16.5">
      <c r="A460" s="728">
        <f t="shared" si="87"/>
        <v>453</v>
      </c>
      <c r="B460" s="563">
        <v>1</v>
      </c>
      <c r="C460" s="694">
        <v>30378</v>
      </c>
      <c r="D460" s="735" t="s">
        <v>146</v>
      </c>
      <c r="E460" s="695">
        <v>3</v>
      </c>
      <c r="F460" s="503">
        <v>1983</v>
      </c>
      <c r="G460" s="563" t="s">
        <v>120</v>
      </c>
      <c r="H460" s="503" t="s">
        <v>124</v>
      </c>
      <c r="I460" s="695">
        <v>880</v>
      </c>
      <c r="J460" s="695">
        <v>5</v>
      </c>
      <c r="K460" s="777">
        <f t="shared" si="86"/>
        <v>2.5</v>
      </c>
      <c r="L460" s="968">
        <v>0</v>
      </c>
      <c r="M460" s="503">
        <f t="shared" si="77"/>
        <v>16</v>
      </c>
      <c r="N460" s="504">
        <v>0.70138888888888884</v>
      </c>
      <c r="O460" s="719">
        <f t="shared" si="78"/>
        <v>0.70138888888888884</v>
      </c>
      <c r="P460" s="564"/>
      <c r="Q460" s="564">
        <f t="shared" si="85"/>
        <v>-0.70138888888888884</v>
      </c>
      <c r="R460" s="965" t="s">
        <v>1520</v>
      </c>
      <c r="S460" s="487"/>
      <c r="T460" s="29"/>
      <c r="U460" s="29" t="str">
        <f t="shared" si="79"/>
        <v>DonleyF2</v>
      </c>
      <c r="V460" s="29" t="str">
        <f t="shared" si="80"/>
        <v>1983F2</v>
      </c>
      <c r="W460" s="80">
        <v>500</v>
      </c>
      <c r="X460" s="32">
        <v>5</v>
      </c>
      <c r="Y460" s="467">
        <v>2</v>
      </c>
      <c r="Z460" s="80"/>
      <c r="AA460" s="29" t="str">
        <f t="shared" si="81"/>
        <v>F2500</v>
      </c>
      <c r="AB460" s="29" t="str">
        <f t="shared" si="82"/>
        <v>F25</v>
      </c>
      <c r="AC460" s="29" t="str">
        <f t="shared" si="83"/>
        <v>F22</v>
      </c>
      <c r="AD460" s="29" t="str">
        <f t="shared" si="84"/>
        <v>F216</v>
      </c>
      <c r="AE460" s="443"/>
      <c r="AF460" s="443"/>
      <c r="AG460" s="443"/>
      <c r="AH460" s="443"/>
    </row>
    <row r="461" spans="1:34" ht="16.5">
      <c r="A461" s="728">
        <f t="shared" si="87"/>
        <v>454</v>
      </c>
      <c r="B461" s="563">
        <v>2</v>
      </c>
      <c r="C461" s="694">
        <v>30378</v>
      </c>
      <c r="D461" s="735" t="s">
        <v>146</v>
      </c>
      <c r="E461" s="695">
        <v>3</v>
      </c>
      <c r="F461" s="503">
        <v>1983</v>
      </c>
      <c r="G461" s="563" t="s">
        <v>120</v>
      </c>
      <c r="H461" s="503" t="s">
        <v>124</v>
      </c>
      <c r="I461" s="695">
        <v>880</v>
      </c>
      <c r="J461" s="695">
        <v>5</v>
      </c>
      <c r="K461" s="777">
        <f t="shared" si="86"/>
        <v>2.5</v>
      </c>
      <c r="L461" s="968">
        <v>25000</v>
      </c>
      <c r="M461" s="503">
        <f t="shared" si="77"/>
        <v>17</v>
      </c>
      <c r="N461" s="504">
        <v>0.74930555555555556</v>
      </c>
      <c r="O461" s="719">
        <f t="shared" si="78"/>
        <v>0.74930555555555556</v>
      </c>
      <c r="P461" s="564"/>
      <c r="Q461" s="564">
        <f t="shared" si="85"/>
        <v>-0.74930555555555556</v>
      </c>
      <c r="R461" s="965" t="s">
        <v>1522</v>
      </c>
      <c r="S461" s="487"/>
      <c r="T461" s="29"/>
      <c r="U461" s="29" t="str">
        <f t="shared" si="79"/>
        <v>DonleyF2</v>
      </c>
      <c r="V461" s="29" t="str">
        <f t="shared" si="80"/>
        <v>1983F2</v>
      </c>
      <c r="W461" s="80">
        <v>500</v>
      </c>
      <c r="X461" s="32">
        <v>5</v>
      </c>
      <c r="Y461" s="467">
        <v>2</v>
      </c>
      <c r="Z461" s="80"/>
      <c r="AA461" s="29" t="str">
        <f t="shared" si="81"/>
        <v>F2500</v>
      </c>
      <c r="AB461" s="29" t="str">
        <f t="shared" si="82"/>
        <v>F25</v>
      </c>
      <c r="AC461" s="29" t="str">
        <f t="shared" si="83"/>
        <v>F22</v>
      </c>
      <c r="AD461" s="29" t="str">
        <f t="shared" si="84"/>
        <v>F217</v>
      </c>
      <c r="AE461" s="443"/>
      <c r="AF461" s="443"/>
      <c r="AG461" s="443"/>
      <c r="AH461" s="443"/>
    </row>
    <row r="462" spans="1:34" ht="16.5">
      <c r="A462" s="728">
        <f t="shared" si="87"/>
        <v>455</v>
      </c>
      <c r="B462" s="563">
        <v>3</v>
      </c>
      <c r="C462" s="694">
        <v>30378</v>
      </c>
      <c r="D462" s="735" t="s">
        <v>146</v>
      </c>
      <c r="E462" s="695">
        <v>3</v>
      </c>
      <c r="F462" s="503">
        <v>1983</v>
      </c>
      <c r="G462" s="563" t="s">
        <v>115</v>
      </c>
      <c r="H462" s="503" t="s">
        <v>122</v>
      </c>
      <c r="I462" s="695">
        <v>33</v>
      </c>
      <c r="J462" s="695">
        <v>0.5</v>
      </c>
      <c r="K462" s="777">
        <f t="shared" si="86"/>
        <v>9.3749999999999997E-3</v>
      </c>
      <c r="L462" s="968">
        <v>0</v>
      </c>
      <c r="M462" s="503">
        <f t="shared" si="77"/>
        <v>19</v>
      </c>
      <c r="N462" s="504">
        <v>0.79513888888888884</v>
      </c>
      <c r="O462" s="719">
        <f t="shared" si="78"/>
        <v>0.79513888888888884</v>
      </c>
      <c r="P462" s="564"/>
      <c r="Q462" s="564">
        <f t="shared" si="85"/>
        <v>-0.79513888888888884</v>
      </c>
      <c r="R462" s="965" t="s">
        <v>1520</v>
      </c>
      <c r="S462" s="487"/>
      <c r="T462" s="29"/>
      <c r="U462" s="29" t="str">
        <f t="shared" si="79"/>
        <v>GrayF0</v>
      </c>
      <c r="V462" s="29" t="str">
        <f t="shared" si="80"/>
        <v>1983F0</v>
      </c>
      <c r="W462" s="80">
        <v>20</v>
      </c>
      <c r="X462" s="32">
        <v>0.5</v>
      </c>
      <c r="Y462" s="467">
        <v>5.0000000000000001E-3</v>
      </c>
      <c r="Z462" s="80"/>
      <c r="AA462" s="29" t="str">
        <f t="shared" si="81"/>
        <v>F020</v>
      </c>
      <c r="AB462" s="29" t="str">
        <f t="shared" si="82"/>
        <v>F00.5</v>
      </c>
      <c r="AC462" s="29" t="str">
        <f t="shared" si="83"/>
        <v>F00.005</v>
      </c>
      <c r="AD462" s="29" t="str">
        <f t="shared" si="84"/>
        <v>F019</v>
      </c>
      <c r="AE462" s="443"/>
      <c r="AF462" s="443"/>
      <c r="AG462" s="443"/>
      <c r="AH462" s="443"/>
    </row>
    <row r="463" spans="1:34" ht="16.5">
      <c r="A463" s="728">
        <f t="shared" si="87"/>
        <v>456</v>
      </c>
      <c r="B463" s="563">
        <v>4</v>
      </c>
      <c r="C463" s="694">
        <v>30449</v>
      </c>
      <c r="D463" s="694" t="s">
        <v>148</v>
      </c>
      <c r="E463" s="695">
        <v>13</v>
      </c>
      <c r="F463" s="503">
        <v>1983</v>
      </c>
      <c r="G463" s="563" t="s">
        <v>108</v>
      </c>
      <c r="H463" s="503" t="s">
        <v>122</v>
      </c>
      <c r="I463" s="695">
        <v>50</v>
      </c>
      <c r="J463" s="695">
        <v>0.5</v>
      </c>
      <c r="K463" s="777">
        <f t="shared" si="86"/>
        <v>1.4204545454545454E-2</v>
      </c>
      <c r="L463" s="968">
        <v>0</v>
      </c>
      <c r="M463" s="503">
        <f t="shared" si="77"/>
        <v>13</v>
      </c>
      <c r="N463" s="504">
        <v>0.5625</v>
      </c>
      <c r="O463" s="719">
        <f t="shared" si="78"/>
        <v>0.5625</v>
      </c>
      <c r="P463" s="564"/>
      <c r="Q463" s="564">
        <f t="shared" si="85"/>
        <v>-0.5625</v>
      </c>
      <c r="R463" s="965" t="s">
        <v>1520</v>
      </c>
      <c r="S463" s="487"/>
      <c r="T463" s="29"/>
      <c r="U463" s="29" t="str">
        <f t="shared" si="79"/>
        <v>MooreF0</v>
      </c>
      <c r="V463" s="29" t="str">
        <f t="shared" si="80"/>
        <v>1983F0</v>
      </c>
      <c r="W463" s="80">
        <v>50</v>
      </c>
      <c r="X463" s="32">
        <v>0.5</v>
      </c>
      <c r="Y463" s="467">
        <v>0.01</v>
      </c>
      <c r="Z463" s="80"/>
      <c r="AA463" s="29" t="str">
        <f t="shared" si="81"/>
        <v>F050</v>
      </c>
      <c r="AB463" s="29" t="str">
        <f t="shared" si="82"/>
        <v>F00.5</v>
      </c>
      <c r="AC463" s="29" t="str">
        <f t="shared" si="83"/>
        <v>F00.01</v>
      </c>
      <c r="AD463" s="29" t="str">
        <f t="shared" si="84"/>
        <v>F013</v>
      </c>
      <c r="AE463" s="443"/>
      <c r="AF463" s="443"/>
      <c r="AG463" s="443"/>
      <c r="AH463" s="443"/>
    </row>
    <row r="464" spans="1:34" ht="16.5">
      <c r="A464" s="728">
        <f t="shared" si="87"/>
        <v>457</v>
      </c>
      <c r="B464" s="563">
        <v>5</v>
      </c>
      <c r="C464" s="694">
        <v>30460</v>
      </c>
      <c r="D464" s="694" t="s">
        <v>148</v>
      </c>
      <c r="E464" s="695">
        <v>24</v>
      </c>
      <c r="F464" s="503">
        <v>1983</v>
      </c>
      <c r="G464" s="563" t="s">
        <v>111</v>
      </c>
      <c r="H464" s="503" t="s">
        <v>123</v>
      </c>
      <c r="I464" s="695">
        <v>60</v>
      </c>
      <c r="J464" s="695">
        <v>0.3</v>
      </c>
      <c r="K464" s="777">
        <f t="shared" si="86"/>
        <v>1.0227272727272725E-2</v>
      </c>
      <c r="L464" s="968">
        <v>25000</v>
      </c>
      <c r="M464" s="503">
        <f t="shared" si="77"/>
        <v>20</v>
      </c>
      <c r="N464" s="504">
        <v>0.83333333333333337</v>
      </c>
      <c r="O464" s="719">
        <f t="shared" si="78"/>
        <v>0.83333333333333337</v>
      </c>
      <c r="P464" s="564"/>
      <c r="Q464" s="564">
        <f t="shared" si="85"/>
        <v>-0.83333333333333337</v>
      </c>
      <c r="R464" s="965" t="s">
        <v>1520</v>
      </c>
      <c r="S464" s="487"/>
      <c r="T464" s="29"/>
      <c r="U464" s="29" t="str">
        <f t="shared" si="79"/>
        <v>HemphillF1</v>
      </c>
      <c r="V464" s="29" t="str">
        <f t="shared" si="80"/>
        <v>1983F1</v>
      </c>
      <c r="W464" s="80">
        <v>50</v>
      </c>
      <c r="X464" s="32">
        <v>0.2</v>
      </c>
      <c r="Y464" s="467">
        <v>0.01</v>
      </c>
      <c r="Z464" s="80"/>
      <c r="AA464" s="29" t="str">
        <f t="shared" si="81"/>
        <v>F150</v>
      </c>
      <c r="AB464" s="29" t="str">
        <f t="shared" si="82"/>
        <v>F10.2</v>
      </c>
      <c r="AC464" s="29" t="str">
        <f t="shared" si="83"/>
        <v>F10.01</v>
      </c>
      <c r="AD464" s="29" t="str">
        <f t="shared" si="84"/>
        <v>F120</v>
      </c>
      <c r="AE464" s="443"/>
      <c r="AF464" s="443"/>
      <c r="AG464" s="443"/>
      <c r="AH464" s="443"/>
    </row>
    <row r="465" spans="1:34" ht="16.5">
      <c r="A465" s="728">
        <f t="shared" si="87"/>
        <v>458</v>
      </c>
      <c r="B465" s="563">
        <v>6</v>
      </c>
      <c r="C465" s="694">
        <v>30476</v>
      </c>
      <c r="D465" s="694" t="s">
        <v>149</v>
      </c>
      <c r="E465" s="695">
        <v>9</v>
      </c>
      <c r="F465" s="503">
        <v>1983</v>
      </c>
      <c r="G465" s="563" t="s">
        <v>109</v>
      </c>
      <c r="H465" s="503" t="s">
        <v>123</v>
      </c>
      <c r="I465" s="695">
        <v>17</v>
      </c>
      <c r="J465" s="695">
        <v>0.1</v>
      </c>
      <c r="K465" s="777">
        <f t="shared" si="86"/>
        <v>9.6590909090909095E-4</v>
      </c>
      <c r="L465" s="968">
        <v>25000</v>
      </c>
      <c r="M465" s="503">
        <f t="shared" si="77"/>
        <v>22</v>
      </c>
      <c r="N465" s="504">
        <v>0.94791666666666663</v>
      </c>
      <c r="O465" s="719">
        <f t="shared" si="78"/>
        <v>0.94791666666666663</v>
      </c>
      <c r="P465" s="564"/>
      <c r="Q465" s="564">
        <f t="shared" si="85"/>
        <v>-0.94791666666666663</v>
      </c>
      <c r="R465" s="965" t="s">
        <v>1532</v>
      </c>
      <c r="S465" s="487"/>
      <c r="T465" s="29"/>
      <c r="U465" s="29" t="str">
        <f t="shared" si="79"/>
        <v>HutchinsonF1</v>
      </c>
      <c r="V465" s="29" t="str">
        <f t="shared" si="80"/>
        <v>1983F1</v>
      </c>
      <c r="W465" s="80">
        <v>10</v>
      </c>
      <c r="X465" s="32">
        <v>0.1</v>
      </c>
      <c r="Y465" s="467">
        <v>5.0000000000000001E-4</v>
      </c>
      <c r="Z465" s="80"/>
      <c r="AA465" s="29" t="str">
        <f t="shared" si="81"/>
        <v>F110</v>
      </c>
      <c r="AB465" s="29" t="str">
        <f t="shared" si="82"/>
        <v>F10.1</v>
      </c>
      <c r="AC465" s="29" t="str">
        <f t="shared" si="83"/>
        <v>F10.0005</v>
      </c>
      <c r="AD465" s="29" t="str">
        <f t="shared" si="84"/>
        <v>F122</v>
      </c>
      <c r="AE465" s="443"/>
      <c r="AF465" s="443"/>
      <c r="AG465" s="443"/>
      <c r="AH465" s="443"/>
    </row>
    <row r="466" spans="1:34" ht="16.5">
      <c r="A466" s="728">
        <f t="shared" si="87"/>
        <v>459</v>
      </c>
      <c r="B466" s="563">
        <v>7</v>
      </c>
      <c r="C466" s="694">
        <v>30476</v>
      </c>
      <c r="D466" s="694" t="s">
        <v>149</v>
      </c>
      <c r="E466" s="695">
        <v>9</v>
      </c>
      <c r="F466" s="503">
        <v>1983</v>
      </c>
      <c r="G466" s="563" t="s">
        <v>109</v>
      </c>
      <c r="H466" s="503" t="s">
        <v>123</v>
      </c>
      <c r="I466" s="695">
        <v>17</v>
      </c>
      <c r="J466" s="695">
        <v>0.1</v>
      </c>
      <c r="K466" s="777">
        <f t="shared" si="86"/>
        <v>9.6590909090909095E-4</v>
      </c>
      <c r="L466" s="968">
        <v>250000</v>
      </c>
      <c r="M466" s="503">
        <f t="shared" si="77"/>
        <v>23</v>
      </c>
      <c r="N466" s="504">
        <v>0.95833333333333337</v>
      </c>
      <c r="O466" s="719">
        <f t="shared" si="78"/>
        <v>0.95833333333333337</v>
      </c>
      <c r="P466" s="564"/>
      <c r="Q466" s="564">
        <f t="shared" si="85"/>
        <v>-0.95833333333333337</v>
      </c>
      <c r="R466" s="965" t="s">
        <v>1520</v>
      </c>
      <c r="S466" s="487"/>
      <c r="T466" s="29"/>
      <c r="U466" s="29" t="str">
        <f t="shared" si="79"/>
        <v>HutchinsonF1</v>
      </c>
      <c r="V466" s="29" t="str">
        <f t="shared" si="80"/>
        <v>1983F1</v>
      </c>
      <c r="W466" s="80">
        <v>10</v>
      </c>
      <c r="X466" s="32">
        <v>0.1</v>
      </c>
      <c r="Y466" s="467">
        <v>5.0000000000000001E-4</v>
      </c>
      <c r="Z466" s="80"/>
      <c r="AA466" s="29" t="str">
        <f t="shared" si="81"/>
        <v>F110</v>
      </c>
      <c r="AB466" s="29" t="str">
        <f t="shared" si="82"/>
        <v>F10.1</v>
      </c>
      <c r="AC466" s="29" t="str">
        <f t="shared" si="83"/>
        <v>F10.0005</v>
      </c>
      <c r="AD466" s="29" t="str">
        <f t="shared" si="84"/>
        <v>F123</v>
      </c>
      <c r="AE466" s="443"/>
      <c r="AF466" s="443"/>
      <c r="AG466" s="443"/>
      <c r="AH466" s="443"/>
    </row>
    <row r="467" spans="1:34" ht="16.5">
      <c r="A467" s="728">
        <f t="shared" si="87"/>
        <v>460</v>
      </c>
      <c r="B467" s="563">
        <v>8</v>
      </c>
      <c r="C467" s="694">
        <v>30477</v>
      </c>
      <c r="D467" s="694" t="s">
        <v>149</v>
      </c>
      <c r="E467" s="695">
        <v>10</v>
      </c>
      <c r="F467" s="503">
        <v>1983</v>
      </c>
      <c r="G467" s="563" t="s">
        <v>103</v>
      </c>
      <c r="H467" s="503" t="s">
        <v>122</v>
      </c>
      <c r="I467" s="695">
        <v>70</v>
      </c>
      <c r="J467" s="695">
        <v>0.3</v>
      </c>
      <c r="K467" s="777">
        <f t="shared" si="86"/>
        <v>1.1931818181818181E-2</v>
      </c>
      <c r="L467" s="968">
        <v>0</v>
      </c>
      <c r="M467" s="503">
        <f t="shared" si="77"/>
        <v>22</v>
      </c>
      <c r="N467" s="504">
        <v>0.94791666666666663</v>
      </c>
      <c r="O467" s="719">
        <f t="shared" si="78"/>
        <v>0.94791666666666663</v>
      </c>
      <c r="P467" s="564"/>
      <c r="Q467" s="564">
        <f t="shared" si="85"/>
        <v>-0.94791666666666663</v>
      </c>
      <c r="R467" s="965" t="s">
        <v>1520</v>
      </c>
      <c r="S467" s="487"/>
      <c r="T467" s="29"/>
      <c r="U467" s="29" t="str">
        <f t="shared" si="79"/>
        <v>ShermanF0</v>
      </c>
      <c r="V467" s="29" t="str">
        <f t="shared" si="80"/>
        <v>1983F0</v>
      </c>
      <c r="W467" s="80">
        <v>50</v>
      </c>
      <c r="X467" s="32">
        <v>0.2</v>
      </c>
      <c r="Y467" s="467">
        <v>0.01</v>
      </c>
      <c r="Z467" s="80"/>
      <c r="AA467" s="29" t="str">
        <f t="shared" si="81"/>
        <v>F050</v>
      </c>
      <c r="AB467" s="29" t="str">
        <f t="shared" si="82"/>
        <v>F00.2</v>
      </c>
      <c r="AC467" s="29" t="str">
        <f t="shared" si="83"/>
        <v>F00.01</v>
      </c>
      <c r="AD467" s="29" t="str">
        <f t="shared" si="84"/>
        <v>F022</v>
      </c>
      <c r="AE467" s="443"/>
      <c r="AF467" s="443"/>
      <c r="AG467" s="443"/>
      <c r="AH467" s="443"/>
    </row>
    <row r="468" spans="1:34" ht="16.5">
      <c r="A468" s="728">
        <f t="shared" si="87"/>
        <v>461</v>
      </c>
      <c r="B468" s="563">
        <v>9</v>
      </c>
      <c r="C468" s="694">
        <v>30478</v>
      </c>
      <c r="D468" s="694" t="s">
        <v>149</v>
      </c>
      <c r="E468" s="695">
        <v>11</v>
      </c>
      <c r="F468" s="503">
        <v>1983</v>
      </c>
      <c r="G468" s="563" t="s">
        <v>110</v>
      </c>
      <c r="H468" s="503" t="s">
        <v>123</v>
      </c>
      <c r="I468" s="695">
        <v>17</v>
      </c>
      <c r="J468" s="695">
        <v>0.1</v>
      </c>
      <c r="K468" s="777">
        <f t="shared" si="86"/>
        <v>9.6590909090909095E-4</v>
      </c>
      <c r="L468" s="968">
        <v>250000</v>
      </c>
      <c r="M468" s="503">
        <f t="shared" si="77"/>
        <v>0</v>
      </c>
      <c r="N468" s="504">
        <v>6.9444444444444441E-3</v>
      </c>
      <c r="O468" s="719">
        <f t="shared" si="78"/>
        <v>6.9444444444444441E-3</v>
      </c>
      <c r="P468" s="564"/>
      <c r="Q468" s="564">
        <f t="shared" si="85"/>
        <v>-6.9444444444444441E-3</v>
      </c>
      <c r="R468" s="965" t="s">
        <v>1520</v>
      </c>
      <c r="S468" s="487"/>
      <c r="T468" s="29"/>
      <c r="U468" s="29" t="str">
        <f t="shared" si="79"/>
        <v>RobertsF1</v>
      </c>
      <c r="V468" s="29" t="str">
        <f t="shared" si="80"/>
        <v>1983F1</v>
      </c>
      <c r="W468" s="80">
        <v>10</v>
      </c>
      <c r="X468" s="32">
        <v>0.1</v>
      </c>
      <c r="Y468" s="467">
        <v>5.0000000000000001E-4</v>
      </c>
      <c r="Z468" s="80"/>
      <c r="AA468" s="29" t="str">
        <f t="shared" si="81"/>
        <v>F110</v>
      </c>
      <c r="AB468" s="29" t="str">
        <f t="shared" si="82"/>
        <v>F10.1</v>
      </c>
      <c r="AC468" s="29" t="str">
        <f t="shared" si="83"/>
        <v>F10.0005</v>
      </c>
      <c r="AD468" s="29" t="str">
        <f t="shared" si="84"/>
        <v>F10</v>
      </c>
      <c r="AE468" s="443"/>
      <c r="AF468" s="443"/>
      <c r="AG468" s="443"/>
      <c r="AH468" s="443"/>
    </row>
    <row r="469" spans="1:34" ht="16.5">
      <c r="A469" s="728">
        <f t="shared" si="87"/>
        <v>462</v>
      </c>
      <c r="B469" s="563">
        <v>10</v>
      </c>
      <c r="C469" s="694">
        <v>30478</v>
      </c>
      <c r="D469" s="694" t="s">
        <v>149</v>
      </c>
      <c r="E469" s="695">
        <v>11</v>
      </c>
      <c r="F469" s="503">
        <v>1983</v>
      </c>
      <c r="G469" s="563" t="s">
        <v>115</v>
      </c>
      <c r="H469" s="503" t="s">
        <v>122</v>
      </c>
      <c r="I469" s="695">
        <v>70</v>
      </c>
      <c r="J469" s="695">
        <v>0.3</v>
      </c>
      <c r="K469" s="777">
        <f t="shared" si="86"/>
        <v>1.1931818181818181E-2</v>
      </c>
      <c r="L469" s="968">
        <v>25000</v>
      </c>
      <c r="M469" s="503">
        <f t="shared" si="77"/>
        <v>0</v>
      </c>
      <c r="N469" s="504">
        <v>1.0416666666666666E-2</v>
      </c>
      <c r="O469" s="719">
        <f t="shared" si="78"/>
        <v>1.0416666666666666E-2</v>
      </c>
      <c r="P469" s="564"/>
      <c r="Q469" s="564">
        <f t="shared" si="85"/>
        <v>-1.0416666666666666E-2</v>
      </c>
      <c r="R469" s="965" t="s">
        <v>1520</v>
      </c>
      <c r="S469" s="487"/>
      <c r="T469" s="29"/>
      <c r="U469" s="29" t="str">
        <f t="shared" si="79"/>
        <v>GrayF0</v>
      </c>
      <c r="V469" s="29" t="str">
        <f t="shared" si="80"/>
        <v>1983F0</v>
      </c>
      <c r="W469" s="80">
        <v>50</v>
      </c>
      <c r="X469" s="32">
        <v>0.2</v>
      </c>
      <c r="Y469" s="467">
        <v>0.01</v>
      </c>
      <c r="Z469" s="80"/>
      <c r="AA469" s="29" t="str">
        <f t="shared" si="81"/>
        <v>F050</v>
      </c>
      <c r="AB469" s="29" t="str">
        <f t="shared" si="82"/>
        <v>F00.2</v>
      </c>
      <c r="AC469" s="29" t="str">
        <f t="shared" si="83"/>
        <v>F00.01</v>
      </c>
      <c r="AD469" s="29" t="str">
        <f t="shared" si="84"/>
        <v>F00</v>
      </c>
      <c r="AE469" s="443"/>
      <c r="AF469" s="443"/>
      <c r="AG469" s="443"/>
      <c r="AH469" s="443"/>
    </row>
    <row r="470" spans="1:34" ht="16.5">
      <c r="A470" s="728">
        <f t="shared" si="87"/>
        <v>463</v>
      </c>
      <c r="B470" s="563">
        <v>11</v>
      </c>
      <c r="C470" s="694">
        <v>30480</v>
      </c>
      <c r="D470" s="694" t="s">
        <v>149</v>
      </c>
      <c r="E470" s="695">
        <v>13</v>
      </c>
      <c r="F470" s="503">
        <v>1983</v>
      </c>
      <c r="G470" s="563" t="s">
        <v>105</v>
      </c>
      <c r="H470" s="503" t="s">
        <v>122</v>
      </c>
      <c r="I470" s="695">
        <v>80</v>
      </c>
      <c r="J470" s="695">
        <v>0.3</v>
      </c>
      <c r="K470" s="777">
        <f t="shared" si="86"/>
        <v>1.3636363636363636E-2</v>
      </c>
      <c r="L470" s="968">
        <v>0</v>
      </c>
      <c r="M470" s="503">
        <f t="shared" si="77"/>
        <v>14</v>
      </c>
      <c r="N470" s="504">
        <v>0.61805555555555558</v>
      </c>
      <c r="O470" s="719">
        <f t="shared" si="78"/>
        <v>0.61805555555555558</v>
      </c>
      <c r="P470" s="564"/>
      <c r="Q470" s="564">
        <f t="shared" si="85"/>
        <v>-0.61805555555555558</v>
      </c>
      <c r="R470" s="965" t="s">
        <v>1520</v>
      </c>
      <c r="S470" s="487"/>
      <c r="T470" s="29"/>
      <c r="U470" s="29" t="str">
        <f t="shared" si="79"/>
        <v>OchiltreeF0</v>
      </c>
      <c r="V470" s="29" t="str">
        <f t="shared" si="80"/>
        <v>1983F0</v>
      </c>
      <c r="W470" s="80">
        <v>50</v>
      </c>
      <c r="X470" s="32">
        <v>0.2</v>
      </c>
      <c r="Y470" s="467">
        <v>0.01</v>
      </c>
      <c r="Z470" s="80"/>
      <c r="AA470" s="29" t="str">
        <f t="shared" si="81"/>
        <v>F050</v>
      </c>
      <c r="AB470" s="29" t="str">
        <f t="shared" si="82"/>
        <v>F00.2</v>
      </c>
      <c r="AC470" s="29" t="str">
        <f t="shared" si="83"/>
        <v>F00.01</v>
      </c>
      <c r="AD470" s="29" t="str">
        <f t="shared" si="84"/>
        <v>F014</v>
      </c>
      <c r="AE470" s="443"/>
      <c r="AF470" s="443"/>
      <c r="AG470" s="443"/>
      <c r="AH470" s="443"/>
    </row>
    <row r="471" spans="1:34" ht="16.5">
      <c r="A471" s="728">
        <f t="shared" si="87"/>
        <v>464</v>
      </c>
      <c r="B471" s="563">
        <v>12</v>
      </c>
      <c r="C471" s="694">
        <v>30480</v>
      </c>
      <c r="D471" s="694" t="s">
        <v>149</v>
      </c>
      <c r="E471" s="695">
        <v>13</v>
      </c>
      <c r="F471" s="503">
        <v>1983</v>
      </c>
      <c r="G471" s="563" t="s">
        <v>100</v>
      </c>
      <c r="H471" s="503" t="s">
        <v>122</v>
      </c>
      <c r="I471" s="695">
        <v>10</v>
      </c>
      <c r="J471" s="695">
        <v>0.1</v>
      </c>
      <c r="K471" s="777">
        <f t="shared" si="86"/>
        <v>5.6818181818181826E-4</v>
      </c>
      <c r="L471" s="968">
        <v>0</v>
      </c>
      <c r="M471" s="503">
        <f t="shared" si="77"/>
        <v>15</v>
      </c>
      <c r="N471" s="504">
        <v>0.64583333333333337</v>
      </c>
      <c r="O471" s="719">
        <f t="shared" si="78"/>
        <v>0.64583333333333337</v>
      </c>
      <c r="P471" s="564"/>
      <c r="Q471" s="564">
        <f t="shared" si="85"/>
        <v>-0.64583333333333337</v>
      </c>
      <c r="R471" s="965" t="s">
        <v>1520</v>
      </c>
      <c r="S471" s="487"/>
      <c r="T471" s="29"/>
      <c r="U471" s="29" t="str">
        <f t="shared" si="79"/>
        <v>TexasF0</v>
      </c>
      <c r="V471" s="29" t="str">
        <f t="shared" si="80"/>
        <v>1983F0</v>
      </c>
      <c r="W471" s="80">
        <v>10</v>
      </c>
      <c r="X471" s="32">
        <v>0.1</v>
      </c>
      <c r="Y471" s="467">
        <v>5.0000000000000001E-4</v>
      </c>
      <c r="Z471" s="80"/>
      <c r="AA471" s="29" t="str">
        <f t="shared" si="81"/>
        <v>F010</v>
      </c>
      <c r="AB471" s="29" t="str">
        <f t="shared" si="82"/>
        <v>F00.1</v>
      </c>
      <c r="AC471" s="29" t="str">
        <f t="shared" si="83"/>
        <v>F00.0005</v>
      </c>
      <c r="AD471" s="29" t="str">
        <f t="shared" si="84"/>
        <v>F015</v>
      </c>
      <c r="AE471" s="443"/>
      <c r="AF471" s="443"/>
      <c r="AG471" s="443"/>
      <c r="AH471" s="443"/>
    </row>
    <row r="472" spans="1:34" ht="16.5">
      <c r="A472" s="728">
        <f t="shared" si="87"/>
        <v>465</v>
      </c>
      <c r="B472" s="563">
        <v>13</v>
      </c>
      <c r="C472" s="694">
        <v>30480</v>
      </c>
      <c r="D472" s="694" t="s">
        <v>149</v>
      </c>
      <c r="E472" s="695">
        <v>13</v>
      </c>
      <c r="F472" s="503">
        <v>1983</v>
      </c>
      <c r="G472" s="563" t="s">
        <v>101</v>
      </c>
      <c r="H472" s="503" t="s">
        <v>122</v>
      </c>
      <c r="I472" s="695">
        <v>10</v>
      </c>
      <c r="J472" s="695">
        <v>0.1</v>
      </c>
      <c r="K472" s="777">
        <f t="shared" si="86"/>
        <v>5.6818181818181826E-4</v>
      </c>
      <c r="L472" s="968">
        <v>0</v>
      </c>
      <c r="M472" s="503">
        <f t="shared" si="77"/>
        <v>17</v>
      </c>
      <c r="N472" s="504">
        <v>0.7104166666666667</v>
      </c>
      <c r="O472" s="719">
        <f t="shared" si="78"/>
        <v>0.7104166666666667</v>
      </c>
      <c r="P472" s="564"/>
      <c r="Q472" s="564">
        <f t="shared" si="85"/>
        <v>-0.7104166666666667</v>
      </c>
      <c r="R472" s="965" t="s">
        <v>1520</v>
      </c>
      <c r="S472" s="487"/>
      <c r="T472" s="29"/>
      <c r="U472" s="29" t="str">
        <f t="shared" si="79"/>
        <v>BeaverF0</v>
      </c>
      <c r="V472" s="29" t="str">
        <f t="shared" si="80"/>
        <v>1983F0</v>
      </c>
      <c r="W472" s="80">
        <v>10</v>
      </c>
      <c r="X472" s="32">
        <v>0.1</v>
      </c>
      <c r="Y472" s="467">
        <v>5.0000000000000001E-4</v>
      </c>
      <c r="Z472" s="80"/>
      <c r="AA472" s="29" t="str">
        <f t="shared" si="81"/>
        <v>F010</v>
      </c>
      <c r="AB472" s="29" t="str">
        <f t="shared" si="82"/>
        <v>F00.1</v>
      </c>
      <c r="AC472" s="29" t="str">
        <f t="shared" si="83"/>
        <v>F00.0005</v>
      </c>
      <c r="AD472" s="29" t="str">
        <f t="shared" si="84"/>
        <v>F017</v>
      </c>
      <c r="AE472" s="443"/>
      <c r="AF472" s="443"/>
      <c r="AG472" s="443"/>
      <c r="AH472" s="443"/>
    </row>
    <row r="473" spans="1:34" ht="16.5">
      <c r="A473" s="728">
        <f t="shared" si="87"/>
        <v>466</v>
      </c>
      <c r="B473" s="563">
        <v>14</v>
      </c>
      <c r="C473" s="694">
        <v>30549</v>
      </c>
      <c r="D473" s="694" t="s">
        <v>151</v>
      </c>
      <c r="E473" s="695">
        <v>21</v>
      </c>
      <c r="F473" s="503">
        <v>1983</v>
      </c>
      <c r="G473" s="563" t="s">
        <v>99</v>
      </c>
      <c r="H473" s="503" t="s">
        <v>122</v>
      </c>
      <c r="I473" s="695">
        <v>10</v>
      </c>
      <c r="J473" s="695">
        <v>0.2</v>
      </c>
      <c r="K473" s="777">
        <f t="shared" si="86"/>
        <v>1.1363636363636365E-3</v>
      </c>
      <c r="L473" s="968">
        <v>0</v>
      </c>
      <c r="M473" s="503">
        <f t="shared" si="77"/>
        <v>14</v>
      </c>
      <c r="N473" s="504">
        <v>0.60416666666666663</v>
      </c>
      <c r="O473" s="719">
        <f t="shared" si="78"/>
        <v>0.60416666666666663</v>
      </c>
      <c r="P473" s="564"/>
      <c r="Q473" s="564">
        <f t="shared" si="85"/>
        <v>-0.60416666666666663</v>
      </c>
      <c r="R473" s="965" t="s">
        <v>1520</v>
      </c>
      <c r="S473" s="487"/>
      <c r="T473" s="29"/>
      <c r="U473" s="29" t="str">
        <f t="shared" si="79"/>
        <v>CimarronF0</v>
      </c>
      <c r="V473" s="29" t="str">
        <f t="shared" si="80"/>
        <v>1983F0</v>
      </c>
      <c r="W473" s="80">
        <v>10</v>
      </c>
      <c r="X473" s="32">
        <v>0.2</v>
      </c>
      <c r="Y473" s="467">
        <v>1E-3</v>
      </c>
      <c r="Z473" s="80"/>
      <c r="AA473" s="29" t="str">
        <f t="shared" si="81"/>
        <v>F010</v>
      </c>
      <c r="AB473" s="29" t="str">
        <f t="shared" si="82"/>
        <v>F00.2</v>
      </c>
      <c r="AC473" s="29" t="str">
        <f t="shared" si="83"/>
        <v>F00.001</v>
      </c>
      <c r="AD473" s="29" t="str">
        <f t="shared" si="84"/>
        <v>F014</v>
      </c>
      <c r="AE473" s="443"/>
      <c r="AF473" s="443"/>
      <c r="AG473" s="443"/>
      <c r="AH473" s="443"/>
    </row>
    <row r="474" spans="1:34" ht="16.5">
      <c r="A474" s="728">
        <f t="shared" si="87"/>
        <v>467</v>
      </c>
      <c r="B474" s="563">
        <v>1</v>
      </c>
      <c r="C474" s="694">
        <v>30843</v>
      </c>
      <c r="D474" s="694" t="s">
        <v>149</v>
      </c>
      <c r="E474" s="695">
        <v>10</v>
      </c>
      <c r="F474" s="503">
        <v>1984</v>
      </c>
      <c r="G474" s="563" t="s">
        <v>108</v>
      </c>
      <c r="H474" s="503" t="s">
        <v>122</v>
      </c>
      <c r="I474" s="695">
        <v>33</v>
      </c>
      <c r="J474" s="695">
        <v>9</v>
      </c>
      <c r="K474" s="777">
        <f t="shared" si="86"/>
        <v>0.16874999999999998</v>
      </c>
      <c r="L474" s="968">
        <v>0</v>
      </c>
      <c r="M474" s="503">
        <f t="shared" si="77"/>
        <v>13</v>
      </c>
      <c r="N474" s="504">
        <v>0.55069444444444449</v>
      </c>
      <c r="O474" s="719">
        <f t="shared" si="78"/>
        <v>0.55069444444444449</v>
      </c>
      <c r="P474" s="564"/>
      <c r="Q474" s="564">
        <f t="shared" si="85"/>
        <v>-0.55069444444444449</v>
      </c>
      <c r="R474" s="965" t="s">
        <v>1520</v>
      </c>
      <c r="S474" s="487"/>
      <c r="T474" s="29"/>
      <c r="U474" s="29" t="str">
        <f t="shared" si="79"/>
        <v>MooreF0</v>
      </c>
      <c r="V474" s="29" t="str">
        <f t="shared" si="80"/>
        <v>1984F0</v>
      </c>
      <c r="W474" s="80">
        <v>20</v>
      </c>
      <c r="X474" s="32">
        <v>5</v>
      </c>
      <c r="Y474" s="467">
        <v>0.1</v>
      </c>
      <c r="Z474" s="80"/>
      <c r="AA474" s="29" t="str">
        <f t="shared" si="81"/>
        <v>F020</v>
      </c>
      <c r="AB474" s="29" t="str">
        <f t="shared" si="82"/>
        <v>F05</v>
      </c>
      <c r="AC474" s="29" t="str">
        <f t="shared" si="83"/>
        <v>F00.1</v>
      </c>
      <c r="AD474" s="29" t="str">
        <f t="shared" si="84"/>
        <v>F013</v>
      </c>
      <c r="AE474" s="443"/>
      <c r="AF474" s="443"/>
      <c r="AG474" s="443"/>
      <c r="AH474" s="443"/>
    </row>
    <row r="475" spans="1:34" ht="16.5">
      <c r="A475" s="728">
        <f t="shared" si="87"/>
        <v>468</v>
      </c>
      <c r="B475" s="563">
        <v>2</v>
      </c>
      <c r="C475" s="694">
        <v>30843</v>
      </c>
      <c r="D475" s="694" t="s">
        <v>149</v>
      </c>
      <c r="E475" s="695">
        <v>10</v>
      </c>
      <c r="F475" s="503">
        <v>1984</v>
      </c>
      <c r="G475" s="563" t="s">
        <v>116</v>
      </c>
      <c r="H475" s="503" t="s">
        <v>122</v>
      </c>
      <c r="I475" s="695">
        <v>10</v>
      </c>
      <c r="J475" s="695">
        <v>0.1</v>
      </c>
      <c r="K475" s="777">
        <f t="shared" si="86"/>
        <v>5.6818181818181826E-4</v>
      </c>
      <c r="L475" s="968">
        <v>0</v>
      </c>
      <c r="M475" s="503">
        <f t="shared" si="77"/>
        <v>14</v>
      </c>
      <c r="N475" s="504">
        <v>0.61597222222222225</v>
      </c>
      <c r="O475" s="719">
        <f t="shared" si="78"/>
        <v>0.61597222222222225</v>
      </c>
      <c r="P475" s="564"/>
      <c r="Q475" s="564">
        <f t="shared" si="85"/>
        <v>-0.61597222222222225</v>
      </c>
      <c r="R475" s="965" t="s">
        <v>1520</v>
      </c>
      <c r="S475" s="487"/>
      <c r="T475" s="29"/>
      <c r="U475" s="29" t="str">
        <f t="shared" si="79"/>
        <v>WheelerF0</v>
      </c>
      <c r="V475" s="29" t="str">
        <f t="shared" si="80"/>
        <v>1984F0</v>
      </c>
      <c r="W475" s="80">
        <v>10</v>
      </c>
      <c r="X475" s="32">
        <v>0.1</v>
      </c>
      <c r="Y475" s="467">
        <v>5.0000000000000001E-4</v>
      </c>
      <c r="Z475" s="80"/>
      <c r="AA475" s="29" t="str">
        <f t="shared" si="81"/>
        <v>F010</v>
      </c>
      <c r="AB475" s="29" t="str">
        <f t="shared" si="82"/>
        <v>F00.1</v>
      </c>
      <c r="AC475" s="29" t="str">
        <f t="shared" si="83"/>
        <v>F00.0005</v>
      </c>
      <c r="AD475" s="29" t="str">
        <f t="shared" si="84"/>
        <v>F014</v>
      </c>
      <c r="AE475" s="443"/>
      <c r="AF475" s="443"/>
      <c r="AG475" s="443"/>
      <c r="AH475" s="443"/>
    </row>
    <row r="476" spans="1:34" ht="16.5">
      <c r="A476" s="728">
        <f t="shared" si="87"/>
        <v>469</v>
      </c>
      <c r="B476" s="563">
        <v>3</v>
      </c>
      <c r="C476" s="694">
        <v>30843</v>
      </c>
      <c r="D476" s="694" t="s">
        <v>149</v>
      </c>
      <c r="E476" s="695">
        <v>10</v>
      </c>
      <c r="F476" s="503">
        <v>1984</v>
      </c>
      <c r="G476" s="563" t="s">
        <v>119</v>
      </c>
      <c r="H476" s="503" t="s">
        <v>123</v>
      </c>
      <c r="I476" s="695">
        <v>20</v>
      </c>
      <c r="J476" s="695">
        <v>0.1</v>
      </c>
      <c r="K476" s="777">
        <f t="shared" si="86"/>
        <v>1.1363636363636365E-3</v>
      </c>
      <c r="L476" s="968">
        <v>3000</v>
      </c>
      <c r="M476" s="503">
        <f t="shared" si="77"/>
        <v>16</v>
      </c>
      <c r="N476" s="504">
        <v>0.68055555555555547</v>
      </c>
      <c r="O476" s="719">
        <f t="shared" si="78"/>
        <v>0.68055555555555547</v>
      </c>
      <c r="P476" s="564"/>
      <c r="Q476" s="564">
        <f t="shared" si="85"/>
        <v>-0.68055555555555547</v>
      </c>
      <c r="R476" s="965" t="s">
        <v>1520</v>
      </c>
      <c r="S476" s="487"/>
      <c r="T476" s="29"/>
      <c r="U476" s="29" t="str">
        <f t="shared" si="79"/>
        <v>ArmstrongF1</v>
      </c>
      <c r="V476" s="29" t="str">
        <f t="shared" si="80"/>
        <v>1984F1</v>
      </c>
      <c r="W476" s="80">
        <v>20</v>
      </c>
      <c r="X476" s="32">
        <v>0.1</v>
      </c>
      <c r="Y476" s="467">
        <v>1E-3</v>
      </c>
      <c r="Z476" s="80"/>
      <c r="AA476" s="29" t="str">
        <f t="shared" si="81"/>
        <v>F120</v>
      </c>
      <c r="AB476" s="29" t="str">
        <f t="shared" si="82"/>
        <v>F10.1</v>
      </c>
      <c r="AC476" s="29" t="str">
        <f t="shared" si="83"/>
        <v>F10.001</v>
      </c>
      <c r="AD476" s="29" t="str">
        <f t="shared" si="84"/>
        <v>F116</v>
      </c>
      <c r="AE476" s="443"/>
      <c r="AF476" s="443"/>
      <c r="AG476" s="443"/>
      <c r="AH476" s="443"/>
    </row>
    <row r="477" spans="1:34" ht="16.5">
      <c r="A477" s="728">
        <f t="shared" si="87"/>
        <v>470</v>
      </c>
      <c r="B477" s="563">
        <v>4</v>
      </c>
      <c r="C477" s="694">
        <v>30843</v>
      </c>
      <c r="D477" s="694" t="s">
        <v>149</v>
      </c>
      <c r="E477" s="695">
        <v>10</v>
      </c>
      <c r="F477" s="503">
        <v>1984</v>
      </c>
      <c r="G477" s="563" t="s">
        <v>119</v>
      </c>
      <c r="H477" s="503" t="s">
        <v>123</v>
      </c>
      <c r="I477" s="695">
        <v>20</v>
      </c>
      <c r="J477" s="695">
        <v>0.1</v>
      </c>
      <c r="K477" s="777">
        <f t="shared" si="86"/>
        <v>1.1363636363636365E-3</v>
      </c>
      <c r="L477" s="968">
        <v>25000</v>
      </c>
      <c r="M477" s="503">
        <f t="shared" si="77"/>
        <v>16</v>
      </c>
      <c r="N477" s="504">
        <v>0.70138888888888884</v>
      </c>
      <c r="O477" s="719">
        <f t="shared" si="78"/>
        <v>0.70138888888888884</v>
      </c>
      <c r="P477" s="564"/>
      <c r="Q477" s="564">
        <f t="shared" si="85"/>
        <v>-0.70138888888888884</v>
      </c>
      <c r="R477" s="965" t="s">
        <v>1520</v>
      </c>
      <c r="S477" s="487"/>
      <c r="T477" s="29"/>
      <c r="U477" s="29" t="str">
        <f t="shared" si="79"/>
        <v>ArmstrongF1</v>
      </c>
      <c r="V477" s="29" t="str">
        <f t="shared" si="80"/>
        <v>1984F1</v>
      </c>
      <c r="W477" s="80">
        <v>20</v>
      </c>
      <c r="X477" s="32">
        <v>0.1</v>
      </c>
      <c r="Y477" s="467">
        <v>1E-3</v>
      </c>
      <c r="Z477" s="80"/>
      <c r="AA477" s="29" t="str">
        <f t="shared" si="81"/>
        <v>F120</v>
      </c>
      <c r="AB477" s="29" t="str">
        <f t="shared" si="82"/>
        <v>F10.1</v>
      </c>
      <c r="AC477" s="29" t="str">
        <f t="shared" si="83"/>
        <v>F10.001</v>
      </c>
      <c r="AD477" s="29" t="str">
        <f t="shared" si="84"/>
        <v>F116</v>
      </c>
      <c r="AE477" s="443"/>
      <c r="AF477" s="443"/>
      <c r="AG477" s="443"/>
      <c r="AH477" s="443"/>
    </row>
    <row r="478" spans="1:34" ht="16.5">
      <c r="A478" s="728">
        <f t="shared" si="87"/>
        <v>471</v>
      </c>
      <c r="B478" s="563">
        <v>5</v>
      </c>
      <c r="C478" s="694">
        <v>30860</v>
      </c>
      <c r="D478" s="694" t="s">
        <v>149</v>
      </c>
      <c r="E478" s="695">
        <v>27</v>
      </c>
      <c r="F478" s="503">
        <v>1984</v>
      </c>
      <c r="G478" s="563" t="s">
        <v>116</v>
      </c>
      <c r="H478" s="503" t="s">
        <v>122</v>
      </c>
      <c r="I478" s="695">
        <v>10</v>
      </c>
      <c r="J478" s="695">
        <v>0.1</v>
      </c>
      <c r="K478" s="777">
        <f t="shared" si="86"/>
        <v>5.6818181818181826E-4</v>
      </c>
      <c r="L478" s="968">
        <v>0</v>
      </c>
      <c r="M478" s="503">
        <f t="shared" ref="M478:M541" si="88">HOUR(O478)</f>
        <v>16</v>
      </c>
      <c r="N478" s="504">
        <v>0.66805555555555562</v>
      </c>
      <c r="O478" s="719">
        <f t="shared" si="78"/>
        <v>0.66805555555555562</v>
      </c>
      <c r="P478" s="564"/>
      <c r="Q478" s="564">
        <f t="shared" si="85"/>
        <v>-0.66805555555555562</v>
      </c>
      <c r="R478" s="965" t="s">
        <v>1520</v>
      </c>
      <c r="S478" s="487"/>
      <c r="T478" s="29"/>
      <c r="U478" s="29" t="str">
        <f t="shared" si="79"/>
        <v>WheelerF0</v>
      </c>
      <c r="V478" s="29" t="str">
        <f t="shared" si="80"/>
        <v>1984F0</v>
      </c>
      <c r="W478" s="80">
        <v>10</v>
      </c>
      <c r="X478" s="32">
        <v>0.1</v>
      </c>
      <c r="Y478" s="467">
        <v>5.0000000000000001E-4</v>
      </c>
      <c r="Z478" s="80"/>
      <c r="AA478" s="29" t="str">
        <f t="shared" si="81"/>
        <v>F010</v>
      </c>
      <c r="AB478" s="29" t="str">
        <f t="shared" si="82"/>
        <v>F00.1</v>
      </c>
      <c r="AC478" s="29" t="str">
        <f t="shared" si="83"/>
        <v>F00.0005</v>
      </c>
      <c r="AD478" s="29" t="str">
        <f t="shared" si="84"/>
        <v>F016</v>
      </c>
      <c r="AE478" s="443"/>
      <c r="AF478" s="443"/>
      <c r="AG478" s="443"/>
      <c r="AH478" s="443"/>
    </row>
    <row r="479" spans="1:34" ht="16.5">
      <c r="A479" s="728">
        <f t="shared" si="87"/>
        <v>472</v>
      </c>
      <c r="B479" s="563">
        <v>6</v>
      </c>
      <c r="C479" s="694">
        <v>30860</v>
      </c>
      <c r="D479" s="694" t="s">
        <v>149</v>
      </c>
      <c r="E479" s="695">
        <v>27</v>
      </c>
      <c r="F479" s="503">
        <v>1984</v>
      </c>
      <c r="G479" s="563" t="s">
        <v>121</v>
      </c>
      <c r="H479" s="503" t="s">
        <v>122</v>
      </c>
      <c r="I479" s="695">
        <v>10</v>
      </c>
      <c r="J479" s="695">
        <v>0.1</v>
      </c>
      <c r="K479" s="777">
        <f t="shared" si="86"/>
        <v>5.6818181818181826E-4</v>
      </c>
      <c r="L479" s="968">
        <v>0</v>
      </c>
      <c r="M479" s="503">
        <f t="shared" si="88"/>
        <v>16</v>
      </c>
      <c r="N479" s="504">
        <v>0.6875</v>
      </c>
      <c r="O479" s="719">
        <f t="shared" si="78"/>
        <v>0.6875</v>
      </c>
      <c r="P479" s="564"/>
      <c r="Q479" s="564">
        <f t="shared" si="85"/>
        <v>-0.6875</v>
      </c>
      <c r="R479" s="965" t="s">
        <v>1520</v>
      </c>
      <c r="S479" s="487"/>
      <c r="T479" s="29"/>
      <c r="U479" s="29" t="str">
        <f t="shared" si="79"/>
        <v>CollingsworthF0</v>
      </c>
      <c r="V479" s="29" t="str">
        <f t="shared" si="80"/>
        <v>1984F0</v>
      </c>
      <c r="W479" s="80">
        <v>10</v>
      </c>
      <c r="X479" s="32">
        <v>0.1</v>
      </c>
      <c r="Y479" s="467">
        <v>5.0000000000000001E-4</v>
      </c>
      <c r="Z479" s="80"/>
      <c r="AA479" s="29" t="str">
        <f t="shared" si="81"/>
        <v>F010</v>
      </c>
      <c r="AB479" s="29" t="str">
        <f t="shared" si="82"/>
        <v>F00.1</v>
      </c>
      <c r="AC479" s="29" t="str">
        <f t="shared" si="83"/>
        <v>F00.0005</v>
      </c>
      <c r="AD479" s="29" t="str">
        <f t="shared" si="84"/>
        <v>F016</v>
      </c>
      <c r="AE479" s="443"/>
      <c r="AF479" s="443"/>
      <c r="AG479" s="443"/>
      <c r="AH479" s="443"/>
    </row>
    <row r="480" spans="1:34" ht="16.5">
      <c r="A480" s="728">
        <f t="shared" si="87"/>
        <v>473</v>
      </c>
      <c r="B480" s="563">
        <v>7</v>
      </c>
      <c r="C480" s="694">
        <v>30860</v>
      </c>
      <c r="D480" s="694" t="s">
        <v>149</v>
      </c>
      <c r="E480" s="695">
        <v>27</v>
      </c>
      <c r="F480" s="503">
        <v>1984</v>
      </c>
      <c r="G480" s="563" t="s">
        <v>121</v>
      </c>
      <c r="H480" s="503" t="s">
        <v>122</v>
      </c>
      <c r="I480" s="695">
        <v>10</v>
      </c>
      <c r="J480" s="695">
        <v>0.1</v>
      </c>
      <c r="K480" s="777">
        <f t="shared" si="86"/>
        <v>5.6818181818181826E-4</v>
      </c>
      <c r="L480" s="968">
        <v>0</v>
      </c>
      <c r="M480" s="503">
        <f t="shared" si="88"/>
        <v>16</v>
      </c>
      <c r="N480" s="504">
        <v>0.6875</v>
      </c>
      <c r="O480" s="719">
        <f t="shared" si="78"/>
        <v>0.6875</v>
      </c>
      <c r="P480" s="564"/>
      <c r="Q480" s="564">
        <f t="shared" si="85"/>
        <v>-0.6875</v>
      </c>
      <c r="R480" s="965" t="s">
        <v>1520</v>
      </c>
      <c r="S480" s="487"/>
      <c r="T480" s="29"/>
      <c r="U480" s="29" t="str">
        <f t="shared" si="79"/>
        <v>CollingsworthF0</v>
      </c>
      <c r="V480" s="29" t="str">
        <f t="shared" si="80"/>
        <v>1984F0</v>
      </c>
      <c r="W480" s="80">
        <v>10</v>
      </c>
      <c r="X480" s="32">
        <v>0.1</v>
      </c>
      <c r="Y480" s="467">
        <v>5.0000000000000001E-4</v>
      </c>
      <c r="Z480" s="80"/>
      <c r="AA480" s="29" t="str">
        <f t="shared" si="81"/>
        <v>F010</v>
      </c>
      <c r="AB480" s="29" t="str">
        <f t="shared" si="82"/>
        <v>F00.1</v>
      </c>
      <c r="AC480" s="29" t="str">
        <f t="shared" si="83"/>
        <v>F00.0005</v>
      </c>
      <c r="AD480" s="29" t="str">
        <f t="shared" si="84"/>
        <v>F016</v>
      </c>
      <c r="AE480" s="443"/>
      <c r="AF480" s="443"/>
      <c r="AG480" s="443"/>
      <c r="AH480" s="443"/>
    </row>
    <row r="481" spans="1:34" ht="16.5">
      <c r="A481" s="728">
        <f t="shared" si="87"/>
        <v>474</v>
      </c>
      <c r="B481" s="563">
        <v>8</v>
      </c>
      <c r="C481" s="694">
        <v>30902</v>
      </c>
      <c r="D481" s="694" t="s">
        <v>151</v>
      </c>
      <c r="E481" s="695">
        <v>8</v>
      </c>
      <c r="F481" s="503">
        <v>1984</v>
      </c>
      <c r="G481" s="563" t="s">
        <v>118</v>
      </c>
      <c r="H481" s="503" t="s">
        <v>122</v>
      </c>
      <c r="I481" s="695">
        <v>10</v>
      </c>
      <c r="J481" s="695">
        <v>0.1</v>
      </c>
      <c r="K481" s="777">
        <f t="shared" si="86"/>
        <v>5.6818181818181826E-4</v>
      </c>
      <c r="L481" s="968">
        <v>0</v>
      </c>
      <c r="M481" s="503">
        <f t="shared" si="88"/>
        <v>23</v>
      </c>
      <c r="N481" s="504">
        <v>0.97013888888888899</v>
      </c>
      <c r="O481" s="719">
        <f t="shared" si="78"/>
        <v>0.97013888888888899</v>
      </c>
      <c r="P481" s="564"/>
      <c r="Q481" s="564">
        <f t="shared" si="85"/>
        <v>-0.97013888888888899</v>
      </c>
      <c r="R481" s="965" t="s">
        <v>1520</v>
      </c>
      <c r="S481" s="487"/>
      <c r="T481" s="29"/>
      <c r="U481" s="29" t="str">
        <f t="shared" si="79"/>
        <v>RandallF0</v>
      </c>
      <c r="V481" s="29" t="str">
        <f t="shared" si="80"/>
        <v>1984F0</v>
      </c>
      <c r="W481" s="80">
        <v>10</v>
      </c>
      <c r="X481" s="32">
        <v>0.1</v>
      </c>
      <c r="Y481" s="467">
        <v>5.0000000000000001E-4</v>
      </c>
      <c r="Z481" s="80"/>
      <c r="AA481" s="29" t="str">
        <f t="shared" si="81"/>
        <v>F010</v>
      </c>
      <c r="AB481" s="29" t="str">
        <f t="shared" si="82"/>
        <v>F00.1</v>
      </c>
      <c r="AC481" s="29" t="str">
        <f t="shared" si="83"/>
        <v>F00.0005</v>
      </c>
      <c r="AD481" s="29" t="str">
        <f t="shared" si="84"/>
        <v>F023</v>
      </c>
      <c r="AE481" s="443"/>
      <c r="AF481" s="443"/>
      <c r="AG481" s="443"/>
      <c r="AH481" s="443"/>
    </row>
    <row r="482" spans="1:34" ht="16.5">
      <c r="A482" s="728">
        <f t="shared" si="87"/>
        <v>475</v>
      </c>
      <c r="B482" s="563">
        <v>1</v>
      </c>
      <c r="C482" s="694">
        <v>31163</v>
      </c>
      <c r="D482" s="694" t="s">
        <v>147</v>
      </c>
      <c r="E482" s="695">
        <v>26</v>
      </c>
      <c r="F482" s="503">
        <v>1985</v>
      </c>
      <c r="G482" s="563" t="s">
        <v>115</v>
      </c>
      <c r="H482" s="503" t="s">
        <v>122</v>
      </c>
      <c r="I482" s="695">
        <v>30</v>
      </c>
      <c r="J482" s="695">
        <v>0.1</v>
      </c>
      <c r="K482" s="777">
        <f t="shared" si="86"/>
        <v>1.7045454545454545E-3</v>
      </c>
      <c r="L482" s="968">
        <v>0</v>
      </c>
      <c r="M482" s="503">
        <f t="shared" si="88"/>
        <v>15</v>
      </c>
      <c r="N482" s="504">
        <v>0.63194444444444442</v>
      </c>
      <c r="O482" s="719">
        <f t="shared" si="78"/>
        <v>0.63194444444444442</v>
      </c>
      <c r="P482" s="564"/>
      <c r="Q482" s="564">
        <f t="shared" si="85"/>
        <v>-0.63194444444444442</v>
      </c>
      <c r="R482" s="965" t="s">
        <v>1520</v>
      </c>
      <c r="S482" s="487"/>
      <c r="T482" s="29"/>
      <c r="U482" s="29" t="str">
        <f t="shared" si="79"/>
        <v>GrayF0</v>
      </c>
      <c r="V482" s="29" t="str">
        <f t="shared" si="80"/>
        <v>1985F0</v>
      </c>
      <c r="W482" s="80">
        <v>20</v>
      </c>
      <c r="X482" s="32">
        <v>0.1</v>
      </c>
      <c r="Y482" s="467">
        <v>1E-3</v>
      </c>
      <c r="Z482" s="80"/>
      <c r="AA482" s="29" t="str">
        <f t="shared" si="81"/>
        <v>F020</v>
      </c>
      <c r="AB482" s="29" t="str">
        <f t="shared" si="82"/>
        <v>F00.1</v>
      </c>
      <c r="AC482" s="29" t="str">
        <f t="shared" si="83"/>
        <v>F00.001</v>
      </c>
      <c r="AD482" s="29" t="str">
        <f t="shared" si="84"/>
        <v>F015</v>
      </c>
      <c r="AE482" s="443"/>
      <c r="AF482" s="443"/>
      <c r="AG482" s="443"/>
      <c r="AH482" s="443"/>
    </row>
    <row r="483" spans="1:34" ht="16.5">
      <c r="A483" s="728">
        <f t="shared" si="87"/>
        <v>476</v>
      </c>
      <c r="B483" s="563">
        <v>2</v>
      </c>
      <c r="C483" s="694">
        <v>31192</v>
      </c>
      <c r="D483" s="694" t="s">
        <v>148</v>
      </c>
      <c r="E483" s="695">
        <v>25</v>
      </c>
      <c r="F483" s="503">
        <v>1985</v>
      </c>
      <c r="G483" s="563" t="s">
        <v>109</v>
      </c>
      <c r="H483" s="503" t="s">
        <v>122</v>
      </c>
      <c r="I483" s="695">
        <v>50</v>
      </c>
      <c r="J483" s="695">
        <v>0.1</v>
      </c>
      <c r="K483" s="777">
        <f t="shared" si="86"/>
        <v>2.840909090909091E-3</v>
      </c>
      <c r="L483" s="968">
        <v>0</v>
      </c>
      <c r="M483" s="503">
        <f t="shared" si="88"/>
        <v>23</v>
      </c>
      <c r="N483" s="504">
        <v>0.99652777777777779</v>
      </c>
      <c r="O483" s="719">
        <f t="shared" si="78"/>
        <v>0.99652777777777779</v>
      </c>
      <c r="P483" s="564"/>
      <c r="Q483" s="564">
        <f t="shared" si="85"/>
        <v>-0.99652777777777779</v>
      </c>
      <c r="R483" s="965" t="s">
        <v>1520</v>
      </c>
      <c r="S483" s="487"/>
      <c r="T483" s="29"/>
      <c r="U483" s="29" t="str">
        <f t="shared" si="79"/>
        <v>HutchinsonF0</v>
      </c>
      <c r="V483" s="29" t="str">
        <f t="shared" si="80"/>
        <v>1985F0</v>
      </c>
      <c r="W483" s="80">
        <v>50</v>
      </c>
      <c r="X483" s="32">
        <v>0.1</v>
      </c>
      <c r="Y483" s="467">
        <v>2E-3</v>
      </c>
      <c r="Z483" s="80"/>
      <c r="AA483" s="29" t="str">
        <f t="shared" si="81"/>
        <v>F050</v>
      </c>
      <c r="AB483" s="29" t="str">
        <f t="shared" si="82"/>
        <v>F00.1</v>
      </c>
      <c r="AC483" s="29" t="str">
        <f t="shared" si="83"/>
        <v>F00.002</v>
      </c>
      <c r="AD483" s="29" t="str">
        <f t="shared" si="84"/>
        <v>F023</v>
      </c>
      <c r="AE483" s="443"/>
      <c r="AF483" s="443"/>
      <c r="AG483" s="443"/>
      <c r="AH483" s="443"/>
    </row>
    <row r="484" spans="1:34" ht="16.5">
      <c r="A484" s="728">
        <f t="shared" si="87"/>
        <v>477</v>
      </c>
      <c r="B484" s="563">
        <v>3</v>
      </c>
      <c r="C484" s="694">
        <v>31308</v>
      </c>
      <c r="D484" s="694" t="s">
        <v>152</v>
      </c>
      <c r="E484" s="695">
        <v>18</v>
      </c>
      <c r="F484" s="503">
        <v>1985</v>
      </c>
      <c r="G484" s="563" t="s">
        <v>105</v>
      </c>
      <c r="H484" s="503" t="s">
        <v>122</v>
      </c>
      <c r="I484" s="695">
        <v>10</v>
      </c>
      <c r="J484" s="695">
        <v>0.1</v>
      </c>
      <c r="K484" s="777">
        <f t="shared" si="86"/>
        <v>5.6818181818181826E-4</v>
      </c>
      <c r="L484" s="968">
        <v>0</v>
      </c>
      <c r="M484" s="503">
        <f t="shared" si="88"/>
        <v>19</v>
      </c>
      <c r="N484" s="504">
        <v>0.8125</v>
      </c>
      <c r="O484" s="719">
        <f t="shared" si="78"/>
        <v>0.8125</v>
      </c>
      <c r="P484" s="564"/>
      <c r="Q484" s="564">
        <f t="shared" si="85"/>
        <v>-0.8125</v>
      </c>
      <c r="R484" s="965" t="s">
        <v>1520</v>
      </c>
      <c r="S484" s="487"/>
      <c r="T484" s="29"/>
      <c r="U484" s="29" t="str">
        <f t="shared" si="79"/>
        <v>OchiltreeF0</v>
      </c>
      <c r="V484" s="29" t="str">
        <f t="shared" si="80"/>
        <v>1985F0</v>
      </c>
      <c r="W484" s="80">
        <v>10</v>
      </c>
      <c r="X484" s="32">
        <v>0.1</v>
      </c>
      <c r="Y484" s="467">
        <v>5.0000000000000001E-4</v>
      </c>
      <c r="Z484" s="80"/>
      <c r="AA484" s="29" t="str">
        <f t="shared" si="81"/>
        <v>F010</v>
      </c>
      <c r="AB484" s="29" t="str">
        <f t="shared" si="82"/>
        <v>F00.1</v>
      </c>
      <c r="AC484" s="29" t="str">
        <f t="shared" si="83"/>
        <v>F00.0005</v>
      </c>
      <c r="AD484" s="29" t="str">
        <f t="shared" si="84"/>
        <v>F019</v>
      </c>
      <c r="AE484" s="443"/>
      <c r="AF484" s="443"/>
      <c r="AG484" s="443"/>
      <c r="AH484" s="443"/>
    </row>
    <row r="485" spans="1:34" ht="16.5">
      <c r="A485" s="728">
        <f t="shared" si="87"/>
        <v>478</v>
      </c>
      <c r="B485" s="563">
        <v>1</v>
      </c>
      <c r="C485" s="694">
        <v>31539</v>
      </c>
      <c r="D485" s="694" t="s">
        <v>148</v>
      </c>
      <c r="E485" s="695">
        <v>7</v>
      </c>
      <c r="F485" s="503">
        <v>1986</v>
      </c>
      <c r="G485" s="563" t="s">
        <v>111</v>
      </c>
      <c r="H485" s="503" t="s">
        <v>122</v>
      </c>
      <c r="I485" s="695">
        <v>100</v>
      </c>
      <c r="J485" s="695">
        <v>1</v>
      </c>
      <c r="K485" s="777">
        <f t="shared" si="86"/>
        <v>5.6818181818181816E-2</v>
      </c>
      <c r="L485" s="968">
        <v>0</v>
      </c>
      <c r="M485" s="503">
        <f t="shared" si="88"/>
        <v>16</v>
      </c>
      <c r="N485" s="504">
        <v>0.67500000000000004</v>
      </c>
      <c r="O485" s="719">
        <f t="shared" si="78"/>
        <v>0.67500000000000004</v>
      </c>
      <c r="P485" s="564"/>
      <c r="Q485" s="564">
        <f t="shared" si="85"/>
        <v>-0.67500000000000004</v>
      </c>
      <c r="R485" s="965" t="s">
        <v>1520</v>
      </c>
      <c r="S485" s="487"/>
      <c r="T485" s="29"/>
      <c r="U485" s="29" t="str">
        <f t="shared" si="79"/>
        <v>HemphillF0</v>
      </c>
      <c r="V485" s="29" t="str">
        <f t="shared" si="80"/>
        <v>1986F0</v>
      </c>
      <c r="W485" s="80">
        <v>100</v>
      </c>
      <c r="X485" s="32">
        <v>1</v>
      </c>
      <c r="Y485" s="467">
        <v>0.05</v>
      </c>
      <c r="Z485" s="80"/>
      <c r="AA485" s="29" t="str">
        <f t="shared" si="81"/>
        <v>F0100</v>
      </c>
      <c r="AB485" s="29" t="str">
        <f t="shared" si="82"/>
        <v>F01</v>
      </c>
      <c r="AC485" s="29" t="str">
        <f t="shared" si="83"/>
        <v>F00.05</v>
      </c>
      <c r="AD485" s="29" t="str">
        <f t="shared" si="84"/>
        <v>F016</v>
      </c>
      <c r="AE485" s="443"/>
      <c r="AF485" s="443"/>
      <c r="AG485" s="443"/>
      <c r="AH485" s="443"/>
    </row>
    <row r="486" spans="1:34" ht="16.5">
      <c r="A486" s="728">
        <f t="shared" si="87"/>
        <v>479</v>
      </c>
      <c r="B486" s="563">
        <v>2</v>
      </c>
      <c r="C486" s="694">
        <v>31539</v>
      </c>
      <c r="D486" s="694" t="s">
        <v>148</v>
      </c>
      <c r="E486" s="695">
        <v>7</v>
      </c>
      <c r="F486" s="503">
        <v>1986</v>
      </c>
      <c r="G486" s="563" t="s">
        <v>111</v>
      </c>
      <c r="H486" s="503" t="s">
        <v>124</v>
      </c>
      <c r="I486" s="695">
        <v>100</v>
      </c>
      <c r="J486" s="695">
        <v>8</v>
      </c>
      <c r="K486" s="777">
        <f t="shared" si="86"/>
        <v>0.45454545454545453</v>
      </c>
      <c r="L486" s="968">
        <v>0</v>
      </c>
      <c r="M486" s="503">
        <f t="shared" si="88"/>
        <v>16</v>
      </c>
      <c r="N486" s="504">
        <v>0.6791666666666667</v>
      </c>
      <c r="O486" s="719">
        <f t="shared" si="78"/>
        <v>0.6791666666666667</v>
      </c>
      <c r="P486" s="564"/>
      <c r="Q486" s="564">
        <f t="shared" si="85"/>
        <v>-0.6791666666666667</v>
      </c>
      <c r="R486" s="965" t="s">
        <v>1520</v>
      </c>
      <c r="S486" s="487"/>
      <c r="U486" s="29" t="str">
        <f t="shared" si="79"/>
        <v>HemphillF2</v>
      </c>
      <c r="V486" s="29" t="str">
        <f t="shared" si="80"/>
        <v>1986F2</v>
      </c>
      <c r="W486" s="80">
        <v>100</v>
      </c>
      <c r="X486" s="32">
        <v>5</v>
      </c>
      <c r="Y486" s="467">
        <v>0.2</v>
      </c>
      <c r="Z486" s="80"/>
      <c r="AA486" s="29" t="str">
        <f t="shared" si="81"/>
        <v>F2100</v>
      </c>
      <c r="AB486" s="29" t="str">
        <f t="shared" si="82"/>
        <v>F25</v>
      </c>
      <c r="AC486" s="29" t="str">
        <f t="shared" si="83"/>
        <v>F20.2</v>
      </c>
      <c r="AD486" s="29" t="str">
        <f t="shared" si="84"/>
        <v>F216</v>
      </c>
      <c r="AE486" s="443"/>
      <c r="AF486" s="443"/>
      <c r="AG486" s="443"/>
      <c r="AH486" s="443"/>
    </row>
    <row r="487" spans="1:34" ht="16.5">
      <c r="A487" s="728">
        <f t="shared" si="87"/>
        <v>480</v>
      </c>
      <c r="B487" s="563">
        <v>3</v>
      </c>
      <c r="C487" s="694">
        <v>31539</v>
      </c>
      <c r="D487" s="694" t="s">
        <v>148</v>
      </c>
      <c r="E487" s="695">
        <v>7</v>
      </c>
      <c r="F487" s="503">
        <v>1986</v>
      </c>
      <c r="G487" s="563" t="s">
        <v>111</v>
      </c>
      <c r="H487" s="503" t="s">
        <v>125</v>
      </c>
      <c r="I487" s="695">
        <v>300</v>
      </c>
      <c r="J487" s="695">
        <v>7</v>
      </c>
      <c r="K487" s="777">
        <f t="shared" si="86"/>
        <v>1.1931818181818181</v>
      </c>
      <c r="L487" s="968">
        <v>250000</v>
      </c>
      <c r="M487" s="503">
        <f t="shared" si="88"/>
        <v>16</v>
      </c>
      <c r="N487" s="504">
        <v>0.69097222222222221</v>
      </c>
      <c r="O487" s="719">
        <f t="shared" si="78"/>
        <v>0.69097222222222221</v>
      </c>
      <c r="P487" s="564"/>
      <c r="Q487" s="564">
        <f t="shared" si="85"/>
        <v>-0.69097222222222221</v>
      </c>
      <c r="R487" s="965" t="s">
        <v>1520</v>
      </c>
      <c r="S487" s="487"/>
      <c r="U487" s="29" t="str">
        <f t="shared" si="79"/>
        <v>HemphillF3</v>
      </c>
      <c r="V487" s="29" t="str">
        <f t="shared" si="80"/>
        <v>1986F3</v>
      </c>
      <c r="W487" s="80">
        <v>200</v>
      </c>
      <c r="X487" s="32">
        <v>5</v>
      </c>
      <c r="Y487" s="467">
        <v>1</v>
      </c>
      <c r="Z487" s="80"/>
      <c r="AA487" s="29" t="str">
        <f t="shared" si="81"/>
        <v>F3200</v>
      </c>
      <c r="AB487" s="29" t="str">
        <f t="shared" si="82"/>
        <v>F35</v>
      </c>
      <c r="AC487" s="29" t="str">
        <f t="shared" si="83"/>
        <v>F31</v>
      </c>
      <c r="AD487" s="29" t="str">
        <f t="shared" si="84"/>
        <v>F316</v>
      </c>
      <c r="AE487" s="443"/>
      <c r="AF487" s="443"/>
      <c r="AG487" s="443"/>
      <c r="AH487" s="443"/>
    </row>
    <row r="488" spans="1:34" ht="16.5">
      <c r="A488" s="728">
        <f t="shared" si="87"/>
        <v>481</v>
      </c>
      <c r="B488" s="563">
        <v>4</v>
      </c>
      <c r="C488" s="694">
        <v>31539</v>
      </c>
      <c r="D488" s="694" t="s">
        <v>148</v>
      </c>
      <c r="E488" s="695">
        <v>7</v>
      </c>
      <c r="F488" s="503">
        <v>1986</v>
      </c>
      <c r="G488" s="563" t="s">
        <v>111</v>
      </c>
      <c r="H488" s="503" t="s">
        <v>122</v>
      </c>
      <c r="I488" s="695">
        <v>50</v>
      </c>
      <c r="J488" s="695">
        <v>0.2</v>
      </c>
      <c r="K488" s="777">
        <f t="shared" si="86"/>
        <v>5.681818181818182E-3</v>
      </c>
      <c r="L488" s="968">
        <v>0</v>
      </c>
      <c r="M488" s="503">
        <f t="shared" si="88"/>
        <v>16</v>
      </c>
      <c r="N488" s="504">
        <v>0.70625000000000004</v>
      </c>
      <c r="O488" s="719">
        <f t="shared" si="78"/>
        <v>0.70625000000000004</v>
      </c>
      <c r="P488" s="564"/>
      <c r="Q488" s="564">
        <f t="shared" si="85"/>
        <v>-0.70625000000000004</v>
      </c>
      <c r="R488" s="965" t="s">
        <v>1520</v>
      </c>
      <c r="S488" s="487"/>
      <c r="U488" s="29" t="str">
        <f t="shared" si="79"/>
        <v>HemphillF0</v>
      </c>
      <c r="V488" s="29" t="str">
        <f t="shared" si="80"/>
        <v>1986F0</v>
      </c>
      <c r="W488" s="80">
        <v>50</v>
      </c>
      <c r="X488" s="32">
        <v>0.2</v>
      </c>
      <c r="Y488" s="467">
        <v>5.0000000000000001E-3</v>
      </c>
      <c r="Z488" s="80"/>
      <c r="AA488" s="29" t="str">
        <f t="shared" si="81"/>
        <v>F050</v>
      </c>
      <c r="AB488" s="29" t="str">
        <f t="shared" si="82"/>
        <v>F00.2</v>
      </c>
      <c r="AC488" s="29" t="str">
        <f t="shared" si="83"/>
        <v>F00.005</v>
      </c>
      <c r="AD488" s="29" t="str">
        <f t="shared" si="84"/>
        <v>F016</v>
      </c>
      <c r="AE488" s="443"/>
      <c r="AF488" s="443"/>
      <c r="AG488" s="443"/>
      <c r="AH488" s="443"/>
    </row>
    <row r="489" spans="1:34" ht="16.5">
      <c r="A489" s="728">
        <f t="shared" si="87"/>
        <v>482</v>
      </c>
      <c r="B489" s="563">
        <v>5</v>
      </c>
      <c r="C489" s="694">
        <v>31539</v>
      </c>
      <c r="D489" s="694" t="s">
        <v>148</v>
      </c>
      <c r="E489" s="695">
        <v>7</v>
      </c>
      <c r="F489" s="503">
        <v>1986</v>
      </c>
      <c r="G489" s="563" t="s">
        <v>111</v>
      </c>
      <c r="H489" s="503" t="s">
        <v>122</v>
      </c>
      <c r="I489" s="695">
        <v>50</v>
      </c>
      <c r="J489" s="695">
        <v>0.2</v>
      </c>
      <c r="K489" s="777">
        <f t="shared" si="86"/>
        <v>5.681818181818182E-3</v>
      </c>
      <c r="L489" s="968">
        <v>0</v>
      </c>
      <c r="M489" s="503">
        <f t="shared" si="88"/>
        <v>18</v>
      </c>
      <c r="N489" s="504">
        <v>0.75555555555555554</v>
      </c>
      <c r="O489" s="719">
        <f t="shared" si="78"/>
        <v>0.75555555555555554</v>
      </c>
      <c r="P489" s="564"/>
      <c r="Q489" s="564">
        <f t="shared" si="85"/>
        <v>-0.75555555555555554</v>
      </c>
      <c r="R489" s="965" t="s">
        <v>1520</v>
      </c>
      <c r="S489" s="487"/>
      <c r="T489" s="29"/>
      <c r="U489" s="29" t="str">
        <f t="shared" si="79"/>
        <v>HemphillF0</v>
      </c>
      <c r="V489" s="29" t="str">
        <f t="shared" si="80"/>
        <v>1986F0</v>
      </c>
      <c r="W489" s="80">
        <v>50</v>
      </c>
      <c r="X489" s="32">
        <v>0.2</v>
      </c>
      <c r="Y489" s="467">
        <v>5.0000000000000001E-3</v>
      </c>
      <c r="Z489" s="80"/>
      <c r="AA489" s="29" t="str">
        <f t="shared" si="81"/>
        <v>F050</v>
      </c>
      <c r="AB489" s="29" t="str">
        <f t="shared" si="82"/>
        <v>F00.2</v>
      </c>
      <c r="AC489" s="29" t="str">
        <f t="shared" si="83"/>
        <v>F00.005</v>
      </c>
      <c r="AD489" s="29" t="str">
        <f t="shared" si="84"/>
        <v>F018</v>
      </c>
      <c r="AE489" s="443"/>
      <c r="AF489" s="443"/>
      <c r="AG489" s="443"/>
      <c r="AH489" s="443"/>
    </row>
    <row r="490" spans="1:34" ht="16.5">
      <c r="A490" s="728">
        <f t="shared" si="87"/>
        <v>483</v>
      </c>
      <c r="B490" s="563">
        <v>6</v>
      </c>
      <c r="C490" s="694">
        <v>31539</v>
      </c>
      <c r="D490" s="694" t="s">
        <v>148</v>
      </c>
      <c r="E490" s="695">
        <v>7</v>
      </c>
      <c r="F490" s="503">
        <v>1986</v>
      </c>
      <c r="G490" s="563" t="s">
        <v>106</v>
      </c>
      <c r="H490" s="503" t="s">
        <v>122</v>
      </c>
      <c r="I490" s="695">
        <v>10</v>
      </c>
      <c r="J490" s="695">
        <v>0.2</v>
      </c>
      <c r="K490" s="777">
        <f t="shared" si="86"/>
        <v>1.1363636363636365E-3</v>
      </c>
      <c r="L490" s="968">
        <v>25000</v>
      </c>
      <c r="M490" s="503">
        <f t="shared" si="88"/>
        <v>18</v>
      </c>
      <c r="N490" s="504">
        <v>0.78472222222222221</v>
      </c>
      <c r="O490" s="719">
        <f t="shared" si="78"/>
        <v>0.78472222222222221</v>
      </c>
      <c r="P490" s="564"/>
      <c r="Q490" s="564">
        <f t="shared" si="85"/>
        <v>-0.78472222222222221</v>
      </c>
      <c r="R490" s="965" t="s">
        <v>1520</v>
      </c>
      <c r="S490" s="487"/>
      <c r="T490" s="29"/>
      <c r="U490" s="29" t="str">
        <f t="shared" si="79"/>
        <v>LipscombF0</v>
      </c>
      <c r="V490" s="29" t="str">
        <f t="shared" si="80"/>
        <v>1986F0</v>
      </c>
      <c r="W490" s="80">
        <v>10</v>
      </c>
      <c r="X490" s="32">
        <v>0.2</v>
      </c>
      <c r="Y490" s="467">
        <v>1E-3</v>
      </c>
      <c r="Z490" s="80"/>
      <c r="AA490" s="29" t="str">
        <f t="shared" si="81"/>
        <v>F010</v>
      </c>
      <c r="AB490" s="29" t="str">
        <f t="shared" si="82"/>
        <v>F00.2</v>
      </c>
      <c r="AC490" s="29" t="str">
        <f t="shared" si="83"/>
        <v>F00.001</v>
      </c>
      <c r="AD490" s="29" t="str">
        <f t="shared" si="84"/>
        <v>F018</v>
      </c>
      <c r="AE490" s="443"/>
      <c r="AF490" s="443"/>
      <c r="AG490" s="443"/>
      <c r="AH490" s="443"/>
    </row>
    <row r="491" spans="1:34" ht="16.5">
      <c r="A491" s="728">
        <f t="shared" si="87"/>
        <v>484</v>
      </c>
      <c r="B491" s="563">
        <v>7</v>
      </c>
      <c r="C491" s="694">
        <v>31546</v>
      </c>
      <c r="D491" s="694" t="s">
        <v>148</v>
      </c>
      <c r="E491" s="695">
        <v>14</v>
      </c>
      <c r="F491" s="503">
        <v>1986</v>
      </c>
      <c r="G491" s="563" t="s">
        <v>102</v>
      </c>
      <c r="H491" s="503" t="s">
        <v>122</v>
      </c>
      <c r="I491" s="695">
        <v>10</v>
      </c>
      <c r="J491" s="695">
        <v>0.2</v>
      </c>
      <c r="K491" s="777">
        <f t="shared" si="86"/>
        <v>1.1363636363636365E-3</v>
      </c>
      <c r="L491" s="968">
        <v>0</v>
      </c>
      <c r="M491" s="503">
        <f t="shared" si="88"/>
        <v>13</v>
      </c>
      <c r="N491" s="504">
        <v>0.5625</v>
      </c>
      <c r="O491" s="719">
        <f t="shared" si="78"/>
        <v>0.5625</v>
      </c>
      <c r="P491" s="564"/>
      <c r="Q491" s="564">
        <f t="shared" si="85"/>
        <v>-0.5625</v>
      </c>
      <c r="R491" s="965" t="s">
        <v>1520</v>
      </c>
      <c r="S491" s="487"/>
      <c r="T491" s="29"/>
      <c r="U491" s="29" t="str">
        <f t="shared" si="79"/>
        <v>DallamF0</v>
      </c>
      <c r="V491" s="29" t="str">
        <f t="shared" si="80"/>
        <v>1986F0</v>
      </c>
      <c r="W491" s="80">
        <v>10</v>
      </c>
      <c r="X491" s="32">
        <v>0.2</v>
      </c>
      <c r="Y491" s="467">
        <v>1E-3</v>
      </c>
      <c r="Z491" s="80"/>
      <c r="AA491" s="29" t="str">
        <f t="shared" si="81"/>
        <v>F010</v>
      </c>
      <c r="AB491" s="29" t="str">
        <f t="shared" si="82"/>
        <v>F00.2</v>
      </c>
      <c r="AC491" s="29" t="str">
        <f t="shared" si="83"/>
        <v>F00.001</v>
      </c>
      <c r="AD491" s="29" t="str">
        <f t="shared" si="84"/>
        <v>F013</v>
      </c>
      <c r="AE491" s="443"/>
      <c r="AF491" s="443"/>
      <c r="AG491" s="443"/>
      <c r="AH491" s="443"/>
    </row>
    <row r="492" spans="1:34" ht="16.5">
      <c r="A492" s="728">
        <f t="shared" si="87"/>
        <v>485</v>
      </c>
      <c r="B492" s="563">
        <v>8</v>
      </c>
      <c r="C492" s="694">
        <v>31546</v>
      </c>
      <c r="D492" s="694" t="s">
        <v>148</v>
      </c>
      <c r="E492" s="695">
        <v>14</v>
      </c>
      <c r="F492" s="503">
        <v>1986</v>
      </c>
      <c r="G492" s="563" t="s">
        <v>118</v>
      </c>
      <c r="H492" s="503" t="s">
        <v>122</v>
      </c>
      <c r="I492" s="695">
        <v>50</v>
      </c>
      <c r="J492" s="695">
        <v>3</v>
      </c>
      <c r="K492" s="777">
        <f t="shared" si="86"/>
        <v>8.5227272727272721E-2</v>
      </c>
      <c r="L492" s="968">
        <v>0</v>
      </c>
      <c r="M492" s="503">
        <f t="shared" si="88"/>
        <v>13</v>
      </c>
      <c r="N492" s="504">
        <v>0.5625</v>
      </c>
      <c r="O492" s="719">
        <f t="shared" si="78"/>
        <v>0.5625</v>
      </c>
      <c r="P492" s="564"/>
      <c r="Q492" s="564">
        <f t="shared" si="85"/>
        <v>-0.5625</v>
      </c>
      <c r="R492" s="965" t="s">
        <v>1520</v>
      </c>
      <c r="S492" s="487"/>
      <c r="T492" s="29"/>
      <c r="U492" s="29" t="str">
        <f t="shared" si="79"/>
        <v>RandallF0</v>
      </c>
      <c r="V492" s="29" t="str">
        <f t="shared" si="80"/>
        <v>1986F0</v>
      </c>
      <c r="W492" s="80">
        <v>50</v>
      </c>
      <c r="X492" s="32">
        <v>2</v>
      </c>
      <c r="Y492" s="467">
        <v>0.05</v>
      </c>
      <c r="Z492" s="80"/>
      <c r="AA492" s="29" t="str">
        <f t="shared" si="81"/>
        <v>F050</v>
      </c>
      <c r="AB492" s="29" t="str">
        <f t="shared" si="82"/>
        <v>F02</v>
      </c>
      <c r="AC492" s="29" t="str">
        <f t="shared" si="83"/>
        <v>F00.05</v>
      </c>
      <c r="AD492" s="29" t="str">
        <f t="shared" si="84"/>
        <v>F013</v>
      </c>
      <c r="AE492" s="443"/>
      <c r="AF492" s="443"/>
      <c r="AG492" s="443"/>
      <c r="AH492" s="443"/>
    </row>
    <row r="493" spans="1:34" ht="16.5">
      <c r="A493" s="728">
        <f t="shared" si="87"/>
        <v>486</v>
      </c>
      <c r="B493" s="563">
        <v>9</v>
      </c>
      <c r="C493" s="694">
        <v>31546</v>
      </c>
      <c r="D493" s="694" t="s">
        <v>148</v>
      </c>
      <c r="E493" s="695">
        <v>14</v>
      </c>
      <c r="F493" s="503">
        <v>1986</v>
      </c>
      <c r="G493" s="563" t="s">
        <v>119</v>
      </c>
      <c r="H493" s="503" t="s">
        <v>122</v>
      </c>
      <c r="I493" s="695">
        <v>30</v>
      </c>
      <c r="J493" s="695">
        <v>0.2</v>
      </c>
      <c r="K493" s="777">
        <f t="shared" si="86"/>
        <v>3.4090909090909089E-3</v>
      </c>
      <c r="L493" s="968">
        <v>0</v>
      </c>
      <c r="M493" s="503">
        <f t="shared" si="88"/>
        <v>14</v>
      </c>
      <c r="N493" s="504">
        <v>0.58888888888888891</v>
      </c>
      <c r="O493" s="719">
        <f t="shared" si="78"/>
        <v>0.58888888888888891</v>
      </c>
      <c r="P493" s="564"/>
      <c r="Q493" s="564">
        <f t="shared" si="85"/>
        <v>-0.58888888888888891</v>
      </c>
      <c r="R493" s="965" t="s">
        <v>1520</v>
      </c>
      <c r="S493" s="487"/>
      <c r="T493" s="29"/>
      <c r="U493" s="29" t="str">
        <f t="shared" si="79"/>
        <v>ArmstrongF0</v>
      </c>
      <c r="V493" s="29" t="str">
        <f t="shared" si="80"/>
        <v>1986F0</v>
      </c>
      <c r="W493" s="80">
        <v>20</v>
      </c>
      <c r="X493" s="32">
        <v>0.2</v>
      </c>
      <c r="Y493" s="467">
        <v>2E-3</v>
      </c>
      <c r="Z493" s="80"/>
      <c r="AA493" s="29" t="str">
        <f t="shared" si="81"/>
        <v>F020</v>
      </c>
      <c r="AB493" s="29" t="str">
        <f t="shared" si="82"/>
        <v>F00.2</v>
      </c>
      <c r="AC493" s="29" t="str">
        <f t="shared" si="83"/>
        <v>F00.002</v>
      </c>
      <c r="AD493" s="29" t="str">
        <f t="shared" si="84"/>
        <v>F014</v>
      </c>
      <c r="AE493" s="443"/>
      <c r="AF493" s="443"/>
      <c r="AG493" s="443"/>
      <c r="AH493" s="443"/>
    </row>
    <row r="494" spans="1:34" ht="16.5">
      <c r="A494" s="728">
        <f t="shared" si="87"/>
        <v>487</v>
      </c>
      <c r="B494" s="563">
        <v>10</v>
      </c>
      <c r="C494" s="694">
        <v>31548</v>
      </c>
      <c r="D494" s="694" t="s">
        <v>148</v>
      </c>
      <c r="E494" s="695">
        <v>16</v>
      </c>
      <c r="F494" s="503">
        <v>1986</v>
      </c>
      <c r="G494" s="563" t="s">
        <v>120</v>
      </c>
      <c r="H494" s="503" t="s">
        <v>122</v>
      </c>
      <c r="I494" s="695">
        <v>30</v>
      </c>
      <c r="J494" s="695">
        <v>0.2</v>
      </c>
      <c r="K494" s="777">
        <f t="shared" si="86"/>
        <v>3.4090909090909089E-3</v>
      </c>
      <c r="L494" s="968">
        <v>0</v>
      </c>
      <c r="M494" s="503">
        <f t="shared" si="88"/>
        <v>17</v>
      </c>
      <c r="N494" s="504">
        <v>0.73124999999999996</v>
      </c>
      <c r="O494" s="719">
        <f t="shared" si="78"/>
        <v>0.73124999999999996</v>
      </c>
      <c r="P494" s="564"/>
      <c r="Q494" s="564">
        <f t="shared" si="85"/>
        <v>-0.73124999999999996</v>
      </c>
      <c r="R494" s="965" t="s">
        <v>1520</v>
      </c>
      <c r="S494" s="487"/>
      <c r="T494" s="29"/>
      <c r="U494" s="29" t="str">
        <f t="shared" si="79"/>
        <v>DonleyF0</v>
      </c>
      <c r="V494" s="29" t="str">
        <f t="shared" si="80"/>
        <v>1986F0</v>
      </c>
      <c r="W494" s="80">
        <v>20</v>
      </c>
      <c r="X494" s="32">
        <v>0.2</v>
      </c>
      <c r="Y494" s="467">
        <v>2E-3</v>
      </c>
      <c r="Z494" s="80"/>
      <c r="AA494" s="29" t="str">
        <f t="shared" si="81"/>
        <v>F020</v>
      </c>
      <c r="AB494" s="29" t="str">
        <f t="shared" si="82"/>
        <v>F00.2</v>
      </c>
      <c r="AC494" s="29" t="str">
        <f t="shared" si="83"/>
        <v>F00.002</v>
      </c>
      <c r="AD494" s="29" t="str">
        <f t="shared" si="84"/>
        <v>F017</v>
      </c>
      <c r="AE494" s="443"/>
      <c r="AF494" s="443"/>
      <c r="AG494" s="443"/>
      <c r="AH494" s="443"/>
    </row>
    <row r="495" spans="1:34" ht="16.5">
      <c r="A495" s="728">
        <f t="shared" si="87"/>
        <v>488</v>
      </c>
      <c r="B495" s="563">
        <v>11</v>
      </c>
      <c r="C495" s="694">
        <v>31571</v>
      </c>
      <c r="D495" s="694" t="s">
        <v>149</v>
      </c>
      <c r="E495" s="695">
        <v>8</v>
      </c>
      <c r="F495" s="503">
        <v>1986</v>
      </c>
      <c r="G495" s="563" t="s">
        <v>120</v>
      </c>
      <c r="H495" s="503" t="s">
        <v>122</v>
      </c>
      <c r="I495" s="695">
        <v>40</v>
      </c>
      <c r="J495" s="695">
        <v>0.2</v>
      </c>
      <c r="K495" s="777">
        <f t="shared" si="86"/>
        <v>4.5454545454545461E-3</v>
      </c>
      <c r="L495" s="968">
        <v>0</v>
      </c>
      <c r="M495" s="503">
        <f t="shared" si="88"/>
        <v>13</v>
      </c>
      <c r="N495" s="504">
        <v>0.55138888888888882</v>
      </c>
      <c r="O495" s="719">
        <f t="shared" si="78"/>
        <v>0.55138888888888882</v>
      </c>
      <c r="P495" s="564"/>
      <c r="Q495" s="564">
        <f t="shared" si="85"/>
        <v>-0.55138888888888882</v>
      </c>
      <c r="R495" s="965" t="s">
        <v>1520</v>
      </c>
      <c r="S495" s="487"/>
      <c r="T495" s="29"/>
      <c r="U495" s="29" t="str">
        <f t="shared" si="79"/>
        <v>DonleyF0</v>
      </c>
      <c r="V495" s="29" t="str">
        <f t="shared" si="80"/>
        <v>1986F0</v>
      </c>
      <c r="W495" s="80">
        <v>20</v>
      </c>
      <c r="X495" s="32">
        <v>0.2</v>
      </c>
      <c r="Y495" s="467">
        <v>2E-3</v>
      </c>
      <c r="Z495" s="80"/>
      <c r="AA495" s="29" t="str">
        <f t="shared" si="81"/>
        <v>F020</v>
      </c>
      <c r="AB495" s="29" t="str">
        <f t="shared" si="82"/>
        <v>F00.2</v>
      </c>
      <c r="AC495" s="29" t="str">
        <f t="shared" si="83"/>
        <v>F00.002</v>
      </c>
      <c r="AD495" s="29" t="str">
        <f t="shared" si="84"/>
        <v>F013</v>
      </c>
      <c r="AE495" s="443"/>
      <c r="AF495" s="443"/>
      <c r="AG495" s="443"/>
      <c r="AH495" s="443"/>
    </row>
    <row r="496" spans="1:34" ht="16.5">
      <c r="A496" s="728">
        <f t="shared" si="87"/>
        <v>489</v>
      </c>
      <c r="B496" s="563">
        <v>12</v>
      </c>
      <c r="C496" s="694">
        <v>31571</v>
      </c>
      <c r="D496" s="694" t="s">
        <v>149</v>
      </c>
      <c r="E496" s="695">
        <v>8</v>
      </c>
      <c r="F496" s="503">
        <v>1986</v>
      </c>
      <c r="G496" s="563" t="s">
        <v>120</v>
      </c>
      <c r="H496" s="503" t="s">
        <v>122</v>
      </c>
      <c r="I496" s="695">
        <v>30</v>
      </c>
      <c r="J496" s="695">
        <v>0.2</v>
      </c>
      <c r="K496" s="777">
        <f t="shared" si="86"/>
        <v>3.4090909090909089E-3</v>
      </c>
      <c r="L496" s="968">
        <v>0</v>
      </c>
      <c r="M496" s="503">
        <f t="shared" si="88"/>
        <v>15</v>
      </c>
      <c r="N496" s="504">
        <v>0.63194444444444442</v>
      </c>
      <c r="O496" s="719">
        <f t="shared" si="78"/>
        <v>0.63194444444444442</v>
      </c>
      <c r="P496" s="564"/>
      <c r="Q496" s="564">
        <f t="shared" si="85"/>
        <v>-0.63194444444444442</v>
      </c>
      <c r="R496" s="965" t="s">
        <v>1520</v>
      </c>
      <c r="S496" s="487"/>
      <c r="T496" s="29"/>
      <c r="U496" s="29" t="str">
        <f t="shared" si="79"/>
        <v>DonleyF0</v>
      </c>
      <c r="V496" s="29" t="str">
        <f t="shared" si="80"/>
        <v>1986F0</v>
      </c>
      <c r="W496" s="80">
        <v>20</v>
      </c>
      <c r="X496" s="32">
        <v>0.2</v>
      </c>
      <c r="Y496" s="467">
        <v>2E-3</v>
      </c>
      <c r="Z496" s="80"/>
      <c r="AA496" s="29" t="str">
        <f t="shared" si="81"/>
        <v>F020</v>
      </c>
      <c r="AB496" s="29" t="str">
        <f t="shared" si="82"/>
        <v>F00.2</v>
      </c>
      <c r="AC496" s="29" t="str">
        <f t="shared" si="83"/>
        <v>F00.002</v>
      </c>
      <c r="AD496" s="29" t="str">
        <f t="shared" si="84"/>
        <v>F015</v>
      </c>
      <c r="AE496" s="443"/>
      <c r="AF496" s="443"/>
      <c r="AG496" s="443"/>
      <c r="AH496" s="443"/>
    </row>
    <row r="497" spans="1:34" ht="16.5">
      <c r="A497" s="728">
        <f t="shared" si="87"/>
        <v>490</v>
      </c>
      <c r="B497" s="563">
        <v>13</v>
      </c>
      <c r="C497" s="694">
        <v>31593</v>
      </c>
      <c r="D497" s="694" t="s">
        <v>149</v>
      </c>
      <c r="E497" s="695">
        <v>30</v>
      </c>
      <c r="F497" s="503">
        <v>1986</v>
      </c>
      <c r="G497" s="563" t="s">
        <v>108</v>
      </c>
      <c r="H497" s="503" t="s">
        <v>122</v>
      </c>
      <c r="I497" s="695">
        <v>30</v>
      </c>
      <c r="J497" s="695">
        <v>0.2</v>
      </c>
      <c r="K497" s="777">
        <f t="shared" si="86"/>
        <v>3.4090909090909089E-3</v>
      </c>
      <c r="L497" s="968">
        <v>0</v>
      </c>
      <c r="M497" s="503">
        <f t="shared" si="88"/>
        <v>20</v>
      </c>
      <c r="N497" s="504">
        <v>0.83680555555555547</v>
      </c>
      <c r="O497" s="719">
        <f t="shared" si="78"/>
        <v>0.83680555555555547</v>
      </c>
      <c r="P497" s="564"/>
      <c r="Q497" s="564">
        <f t="shared" si="85"/>
        <v>-0.83680555555555547</v>
      </c>
      <c r="R497" s="965" t="s">
        <v>1520</v>
      </c>
      <c r="S497" s="487"/>
      <c r="T497" s="29"/>
      <c r="U497" s="29" t="str">
        <f t="shared" si="79"/>
        <v>MooreF0</v>
      </c>
      <c r="V497" s="29" t="str">
        <f t="shared" si="80"/>
        <v>1986F0</v>
      </c>
      <c r="W497" s="80">
        <v>20</v>
      </c>
      <c r="X497" s="32">
        <v>0.2</v>
      </c>
      <c r="Y497" s="467">
        <v>2E-3</v>
      </c>
      <c r="Z497" s="80"/>
      <c r="AA497" s="29" t="str">
        <f t="shared" si="81"/>
        <v>F020</v>
      </c>
      <c r="AB497" s="29" t="str">
        <f t="shared" si="82"/>
        <v>F00.2</v>
      </c>
      <c r="AC497" s="29" t="str">
        <f t="shared" si="83"/>
        <v>F00.002</v>
      </c>
      <c r="AD497" s="29" t="str">
        <f t="shared" si="84"/>
        <v>F020</v>
      </c>
      <c r="AE497" s="443"/>
      <c r="AF497" s="443"/>
      <c r="AG497" s="443"/>
      <c r="AH497" s="443"/>
    </row>
    <row r="498" spans="1:34" ht="16.5">
      <c r="A498" s="728">
        <f t="shared" si="87"/>
        <v>491</v>
      </c>
      <c r="B498" s="563">
        <v>14</v>
      </c>
      <c r="C498" s="694">
        <v>31605</v>
      </c>
      <c r="D498" s="694" t="s">
        <v>150</v>
      </c>
      <c r="E498" s="695">
        <v>12</v>
      </c>
      <c r="F498" s="503">
        <v>1986</v>
      </c>
      <c r="G498" s="563" t="s">
        <v>119</v>
      </c>
      <c r="H498" s="503" t="s">
        <v>122</v>
      </c>
      <c r="I498" s="695">
        <v>30</v>
      </c>
      <c r="J498" s="695">
        <v>0.2</v>
      </c>
      <c r="K498" s="777">
        <f t="shared" si="86"/>
        <v>3.4090909090909089E-3</v>
      </c>
      <c r="L498" s="968">
        <v>0</v>
      </c>
      <c r="M498" s="503">
        <f t="shared" si="88"/>
        <v>18</v>
      </c>
      <c r="N498" s="504">
        <v>0.78819444444444453</v>
      </c>
      <c r="O498" s="719">
        <f t="shared" si="78"/>
        <v>0.78819444444444453</v>
      </c>
      <c r="P498" s="564"/>
      <c r="Q498" s="564">
        <f t="shared" si="85"/>
        <v>-0.78819444444444453</v>
      </c>
      <c r="R498" s="965" t="s">
        <v>1520</v>
      </c>
      <c r="S498" s="487"/>
      <c r="T498" s="29"/>
      <c r="U498" s="29" t="str">
        <f t="shared" si="79"/>
        <v>ArmstrongF0</v>
      </c>
      <c r="V498" s="29" t="str">
        <f t="shared" si="80"/>
        <v>1986F0</v>
      </c>
      <c r="W498" s="80">
        <v>20</v>
      </c>
      <c r="X498" s="32">
        <v>0.2</v>
      </c>
      <c r="Y498" s="467">
        <v>2E-3</v>
      </c>
      <c r="Z498" s="80"/>
      <c r="AA498" s="29" t="str">
        <f t="shared" si="81"/>
        <v>F020</v>
      </c>
      <c r="AB498" s="29" t="str">
        <f t="shared" si="82"/>
        <v>F00.2</v>
      </c>
      <c r="AC498" s="29" t="str">
        <f t="shared" si="83"/>
        <v>F00.002</v>
      </c>
      <c r="AD498" s="29" t="str">
        <f t="shared" si="84"/>
        <v>F018</v>
      </c>
      <c r="AE498" s="443"/>
      <c r="AF498" s="443"/>
      <c r="AG498" s="443"/>
      <c r="AH498" s="443"/>
    </row>
    <row r="499" spans="1:34" ht="16.5">
      <c r="A499" s="728">
        <f t="shared" si="87"/>
        <v>492</v>
      </c>
      <c r="B499" s="563">
        <v>15</v>
      </c>
      <c r="C499" s="694">
        <v>31626</v>
      </c>
      <c r="D499" s="694" t="s">
        <v>151</v>
      </c>
      <c r="E499" s="695">
        <v>2</v>
      </c>
      <c r="F499" s="503">
        <v>1986</v>
      </c>
      <c r="G499" s="563" t="s">
        <v>99</v>
      </c>
      <c r="H499" s="503" t="s">
        <v>122</v>
      </c>
      <c r="I499" s="695">
        <v>50</v>
      </c>
      <c r="J499" s="695">
        <v>0.5</v>
      </c>
      <c r="K499" s="777">
        <f t="shared" si="86"/>
        <v>1.4204545454545454E-2</v>
      </c>
      <c r="L499" s="968">
        <v>0</v>
      </c>
      <c r="M499" s="503">
        <f t="shared" si="88"/>
        <v>15</v>
      </c>
      <c r="N499" s="504">
        <v>0.64583333333333337</v>
      </c>
      <c r="O499" s="719">
        <f t="shared" si="78"/>
        <v>0.64583333333333337</v>
      </c>
      <c r="P499" s="564"/>
      <c r="Q499" s="564">
        <f t="shared" si="85"/>
        <v>-0.64583333333333337</v>
      </c>
      <c r="R499" s="965" t="s">
        <v>1520</v>
      </c>
      <c r="S499" s="487"/>
      <c r="T499" s="29"/>
      <c r="U499" s="29" t="str">
        <f t="shared" si="79"/>
        <v>CimarronF0</v>
      </c>
      <c r="V499" s="29" t="str">
        <f t="shared" si="80"/>
        <v>1986F0</v>
      </c>
      <c r="W499" s="80">
        <v>50</v>
      </c>
      <c r="X499" s="32">
        <v>0.5</v>
      </c>
      <c r="Y499" s="467">
        <v>0.01</v>
      </c>
      <c r="Z499" s="80"/>
      <c r="AA499" s="29" t="str">
        <f t="shared" si="81"/>
        <v>F050</v>
      </c>
      <c r="AB499" s="29" t="str">
        <f t="shared" si="82"/>
        <v>F00.5</v>
      </c>
      <c r="AC499" s="29" t="str">
        <f t="shared" si="83"/>
        <v>F00.01</v>
      </c>
      <c r="AD499" s="29" t="str">
        <f t="shared" si="84"/>
        <v>F015</v>
      </c>
      <c r="AE499" s="443"/>
      <c r="AF499" s="443"/>
      <c r="AG499" s="443"/>
      <c r="AH499" s="443"/>
    </row>
    <row r="500" spans="1:34" ht="16.5">
      <c r="A500" s="728">
        <f t="shared" si="87"/>
        <v>493</v>
      </c>
      <c r="B500" s="563">
        <v>16</v>
      </c>
      <c r="C500" s="694">
        <v>31686</v>
      </c>
      <c r="D500" s="694" t="s">
        <v>153</v>
      </c>
      <c r="E500" s="695">
        <v>1</v>
      </c>
      <c r="F500" s="503">
        <v>1986</v>
      </c>
      <c r="G500" s="563" t="s">
        <v>121</v>
      </c>
      <c r="H500" s="503" t="s">
        <v>122</v>
      </c>
      <c r="I500" s="695">
        <v>30</v>
      </c>
      <c r="J500" s="695">
        <v>0.2</v>
      </c>
      <c r="K500" s="777">
        <f t="shared" si="86"/>
        <v>3.4090909090909089E-3</v>
      </c>
      <c r="L500" s="968">
        <v>0</v>
      </c>
      <c r="M500" s="503">
        <f t="shared" si="88"/>
        <v>18</v>
      </c>
      <c r="N500" s="504">
        <v>0.77777777777777779</v>
      </c>
      <c r="O500" s="719">
        <f t="shared" si="78"/>
        <v>0.77777777777777779</v>
      </c>
      <c r="P500" s="564"/>
      <c r="Q500" s="564">
        <f t="shared" si="85"/>
        <v>-0.77777777777777779</v>
      </c>
      <c r="R500" s="965" t="s">
        <v>1520</v>
      </c>
      <c r="S500" s="487"/>
      <c r="T500" s="29"/>
      <c r="U500" s="29" t="str">
        <f t="shared" si="79"/>
        <v>CollingsworthF0</v>
      </c>
      <c r="V500" s="29" t="str">
        <f t="shared" si="80"/>
        <v>1986F0</v>
      </c>
      <c r="W500" s="80">
        <v>20</v>
      </c>
      <c r="X500" s="32">
        <v>0.2</v>
      </c>
      <c r="Y500" s="467">
        <v>2E-3</v>
      </c>
      <c r="Z500" s="80"/>
      <c r="AA500" s="29" t="str">
        <f t="shared" si="81"/>
        <v>F020</v>
      </c>
      <c r="AB500" s="29" t="str">
        <f t="shared" si="82"/>
        <v>F00.2</v>
      </c>
      <c r="AC500" s="29" t="str">
        <f t="shared" si="83"/>
        <v>F00.002</v>
      </c>
      <c r="AD500" s="29" t="str">
        <f t="shared" si="84"/>
        <v>F018</v>
      </c>
      <c r="AE500" s="443"/>
      <c r="AF500" s="443"/>
      <c r="AG500" s="443"/>
      <c r="AH500" s="443"/>
    </row>
    <row r="501" spans="1:34" ht="16.5">
      <c r="A501" s="728">
        <f t="shared" si="87"/>
        <v>494</v>
      </c>
      <c r="B501" s="563">
        <v>1</v>
      </c>
      <c r="C501" s="694">
        <v>31858</v>
      </c>
      <c r="D501" s="735" t="s">
        <v>146</v>
      </c>
      <c r="E501" s="695">
        <v>22</v>
      </c>
      <c r="F501" s="503">
        <v>1987</v>
      </c>
      <c r="G501" s="563" t="s">
        <v>106</v>
      </c>
      <c r="H501" s="503" t="s">
        <v>125</v>
      </c>
      <c r="I501" s="695">
        <v>440</v>
      </c>
      <c r="J501" s="695">
        <v>30</v>
      </c>
      <c r="K501" s="777">
        <f t="shared" si="86"/>
        <v>7.5</v>
      </c>
      <c r="L501" s="968">
        <v>250000</v>
      </c>
      <c r="M501" s="503">
        <f t="shared" si="88"/>
        <v>17</v>
      </c>
      <c r="N501" s="504">
        <v>0.73958333333333337</v>
      </c>
      <c r="O501" s="719">
        <f t="shared" si="78"/>
        <v>0.73958333333333337</v>
      </c>
      <c r="P501" s="564">
        <v>0.76736111111111116</v>
      </c>
      <c r="Q501" s="564">
        <f t="shared" si="85"/>
        <v>2.777777777777779E-2</v>
      </c>
      <c r="R501" s="965" t="s">
        <v>1520</v>
      </c>
      <c r="S501" s="487" t="s">
        <v>361</v>
      </c>
      <c r="T501" s="29"/>
      <c r="U501" s="29" t="str">
        <f t="shared" si="79"/>
        <v>LipscombF3</v>
      </c>
      <c r="V501" s="29" t="str">
        <f t="shared" si="80"/>
        <v>1987F3</v>
      </c>
      <c r="W501" s="80">
        <v>200</v>
      </c>
      <c r="X501" s="32">
        <v>20</v>
      </c>
      <c r="Y501" s="467">
        <v>5</v>
      </c>
      <c r="Z501" s="80"/>
      <c r="AA501" s="29" t="str">
        <f t="shared" si="81"/>
        <v>F3200</v>
      </c>
      <c r="AB501" s="29" t="str">
        <f t="shared" si="82"/>
        <v>F320</v>
      </c>
      <c r="AC501" s="29" t="str">
        <f t="shared" si="83"/>
        <v>F35</v>
      </c>
      <c r="AD501" s="29" t="str">
        <f t="shared" si="84"/>
        <v>F317</v>
      </c>
      <c r="AE501" s="443"/>
      <c r="AF501" s="443"/>
      <c r="AG501" s="443"/>
      <c r="AH501" s="443"/>
    </row>
    <row r="502" spans="1:34" ht="16.5">
      <c r="A502" s="728">
        <f t="shared" si="87"/>
        <v>495</v>
      </c>
      <c r="B502" s="563">
        <v>2</v>
      </c>
      <c r="C502" s="694">
        <v>31858</v>
      </c>
      <c r="D502" s="735" t="s">
        <v>146</v>
      </c>
      <c r="E502" s="695">
        <v>22</v>
      </c>
      <c r="F502" s="503">
        <v>1987</v>
      </c>
      <c r="G502" s="563" t="s">
        <v>101</v>
      </c>
      <c r="H502" s="503" t="s">
        <v>124</v>
      </c>
      <c r="I502" s="695">
        <v>85</v>
      </c>
      <c r="J502" s="695">
        <v>10</v>
      </c>
      <c r="K502" s="777">
        <f t="shared" si="86"/>
        <v>0.48295454545454541</v>
      </c>
      <c r="L502" s="968">
        <v>25000</v>
      </c>
      <c r="M502" s="503">
        <f t="shared" si="88"/>
        <v>19</v>
      </c>
      <c r="N502" s="504">
        <v>0.81388888888888899</v>
      </c>
      <c r="O502" s="719">
        <f t="shared" si="78"/>
        <v>0.81388888888888899</v>
      </c>
      <c r="P502" s="564">
        <v>0.82777777777777783</v>
      </c>
      <c r="Q502" s="564">
        <f t="shared" si="85"/>
        <v>1.388888888888884E-2</v>
      </c>
      <c r="R502" s="965" t="s">
        <v>1541</v>
      </c>
      <c r="S502" s="487" t="s">
        <v>1106</v>
      </c>
      <c r="T502" s="29"/>
      <c r="U502" s="29" t="str">
        <f t="shared" si="79"/>
        <v>BeaverF2</v>
      </c>
      <c r="V502" s="29" t="str">
        <f t="shared" si="80"/>
        <v>1987F2</v>
      </c>
      <c r="W502" s="80">
        <v>50</v>
      </c>
      <c r="X502" s="32">
        <v>10</v>
      </c>
      <c r="Y502" s="467">
        <v>0.2</v>
      </c>
      <c r="Z502" s="80"/>
      <c r="AA502" s="29" t="str">
        <f t="shared" si="81"/>
        <v>F250</v>
      </c>
      <c r="AB502" s="29" t="str">
        <f t="shared" si="82"/>
        <v>F210</v>
      </c>
      <c r="AC502" s="29" t="str">
        <f t="shared" si="83"/>
        <v>F20.2</v>
      </c>
      <c r="AD502" s="29" t="str">
        <f t="shared" si="84"/>
        <v>F219</v>
      </c>
      <c r="AE502" s="443"/>
      <c r="AF502" s="443"/>
      <c r="AG502" s="443"/>
      <c r="AH502" s="443"/>
    </row>
    <row r="503" spans="1:34" ht="16.5">
      <c r="A503" s="728">
        <f t="shared" si="87"/>
        <v>496</v>
      </c>
      <c r="B503" s="563">
        <v>3</v>
      </c>
      <c r="C503" s="694">
        <v>31900</v>
      </c>
      <c r="D503" s="694" t="s">
        <v>148</v>
      </c>
      <c r="E503" s="695">
        <v>3</v>
      </c>
      <c r="F503" s="503">
        <v>1987</v>
      </c>
      <c r="G503" s="563" t="s">
        <v>99</v>
      </c>
      <c r="H503" s="503" t="s">
        <v>122</v>
      </c>
      <c r="I503" s="695">
        <v>30</v>
      </c>
      <c r="J503" s="695">
        <v>0.1</v>
      </c>
      <c r="K503" s="777">
        <f t="shared" si="86"/>
        <v>1.7045454545454545E-3</v>
      </c>
      <c r="L503" s="968">
        <v>0</v>
      </c>
      <c r="M503" s="503">
        <f t="shared" si="88"/>
        <v>13</v>
      </c>
      <c r="N503" s="504">
        <v>0.56944444444444442</v>
      </c>
      <c r="O503" s="719">
        <f t="shared" si="78"/>
        <v>0.56944444444444442</v>
      </c>
      <c r="P503" s="564"/>
      <c r="Q503" s="564">
        <f t="shared" si="85"/>
        <v>-0.56944444444444442</v>
      </c>
      <c r="R503" s="965" t="s">
        <v>1520</v>
      </c>
      <c r="S503" s="487"/>
      <c r="T503" s="29"/>
      <c r="U503" s="29" t="str">
        <f t="shared" si="79"/>
        <v>CimarronF0</v>
      </c>
      <c r="V503" s="29" t="str">
        <f t="shared" si="80"/>
        <v>1987F0</v>
      </c>
      <c r="W503" s="80">
        <v>20</v>
      </c>
      <c r="X503" s="32">
        <v>0.1</v>
      </c>
      <c r="Y503" s="467">
        <v>1E-3</v>
      </c>
      <c r="Z503" s="80"/>
      <c r="AA503" s="29" t="str">
        <f t="shared" si="81"/>
        <v>F020</v>
      </c>
      <c r="AB503" s="29" t="str">
        <f t="shared" si="82"/>
        <v>F00.1</v>
      </c>
      <c r="AC503" s="29" t="str">
        <f t="shared" si="83"/>
        <v>F00.001</v>
      </c>
      <c r="AD503" s="29" t="str">
        <f t="shared" si="84"/>
        <v>F013</v>
      </c>
      <c r="AE503" s="443"/>
      <c r="AF503" s="443"/>
      <c r="AG503" s="443"/>
      <c r="AH503" s="443"/>
    </row>
    <row r="504" spans="1:34" ht="16.5">
      <c r="A504" s="728">
        <f t="shared" si="87"/>
        <v>497</v>
      </c>
      <c r="B504" s="563">
        <v>4</v>
      </c>
      <c r="C504" s="694">
        <v>31918</v>
      </c>
      <c r="D504" s="694" t="s">
        <v>148</v>
      </c>
      <c r="E504" s="695">
        <v>21</v>
      </c>
      <c r="F504" s="503">
        <v>1987</v>
      </c>
      <c r="G504" s="563" t="s">
        <v>115</v>
      </c>
      <c r="H504" s="503" t="s">
        <v>122</v>
      </c>
      <c r="I504" s="695">
        <v>40</v>
      </c>
      <c r="J504" s="695">
        <v>1.5</v>
      </c>
      <c r="K504" s="777">
        <f t="shared" si="86"/>
        <v>3.4090909090909088E-2</v>
      </c>
      <c r="L504" s="968">
        <v>0</v>
      </c>
      <c r="M504" s="503">
        <f t="shared" si="88"/>
        <v>16</v>
      </c>
      <c r="N504" s="504">
        <v>0.70138888888888884</v>
      </c>
      <c r="O504" s="719">
        <f t="shared" si="78"/>
        <v>0.70138888888888884</v>
      </c>
      <c r="P504" s="564"/>
      <c r="Q504" s="564">
        <f t="shared" si="85"/>
        <v>-0.70138888888888884</v>
      </c>
      <c r="R504" s="965" t="s">
        <v>1520</v>
      </c>
      <c r="S504" s="487" t="s">
        <v>1107</v>
      </c>
      <c r="T504" s="29"/>
      <c r="U504" s="29" t="str">
        <f t="shared" si="79"/>
        <v>GrayF0</v>
      </c>
      <c r="V504" s="29" t="str">
        <f t="shared" si="80"/>
        <v>1987F0</v>
      </c>
      <c r="W504" s="80">
        <v>20</v>
      </c>
      <c r="X504" s="32">
        <v>1</v>
      </c>
      <c r="Y504" s="467">
        <v>0.02</v>
      </c>
      <c r="Z504" s="80"/>
      <c r="AA504" s="29" t="str">
        <f t="shared" si="81"/>
        <v>F020</v>
      </c>
      <c r="AB504" s="29" t="str">
        <f t="shared" si="82"/>
        <v>F01</v>
      </c>
      <c r="AC504" s="29" t="str">
        <f t="shared" si="83"/>
        <v>F00.02</v>
      </c>
      <c r="AD504" s="29" t="str">
        <f t="shared" si="84"/>
        <v>F016</v>
      </c>
      <c r="AE504" s="443"/>
      <c r="AF504" s="443"/>
      <c r="AG504" s="443"/>
      <c r="AH504" s="443"/>
    </row>
    <row r="505" spans="1:34" ht="16.5">
      <c r="A505" s="728">
        <f t="shared" si="87"/>
        <v>498</v>
      </c>
      <c r="B505" s="563">
        <v>5</v>
      </c>
      <c r="C505" s="694">
        <v>31921</v>
      </c>
      <c r="D505" s="694" t="s">
        <v>148</v>
      </c>
      <c r="E505" s="695">
        <v>24</v>
      </c>
      <c r="F505" s="503">
        <v>1987</v>
      </c>
      <c r="G505" s="563" t="s">
        <v>120</v>
      </c>
      <c r="H505" s="503" t="s">
        <v>122</v>
      </c>
      <c r="I505" s="695">
        <v>50</v>
      </c>
      <c r="J505" s="695">
        <v>0.5</v>
      </c>
      <c r="K505" s="777">
        <f t="shared" si="86"/>
        <v>1.4204545454545454E-2</v>
      </c>
      <c r="L505" s="968">
        <v>0</v>
      </c>
      <c r="M505" s="503">
        <f t="shared" si="88"/>
        <v>21</v>
      </c>
      <c r="N505" s="504">
        <v>0.89583333333333337</v>
      </c>
      <c r="O505" s="719">
        <f t="shared" si="78"/>
        <v>0.89583333333333337</v>
      </c>
      <c r="P505" s="564"/>
      <c r="Q505" s="564">
        <f t="shared" si="85"/>
        <v>-0.89583333333333337</v>
      </c>
      <c r="R505" s="965" t="s">
        <v>1520</v>
      </c>
      <c r="S505" s="487" t="s">
        <v>1108</v>
      </c>
      <c r="T505" s="29"/>
      <c r="U505" s="29" t="str">
        <f t="shared" si="79"/>
        <v>DonleyF0</v>
      </c>
      <c r="V505" s="29" t="str">
        <f t="shared" si="80"/>
        <v>1987F0</v>
      </c>
      <c r="W505" s="80">
        <v>50</v>
      </c>
      <c r="X505" s="32">
        <v>0.5</v>
      </c>
      <c r="Y505" s="467">
        <v>0.01</v>
      </c>
      <c r="Z505" s="80"/>
      <c r="AA505" s="29" t="str">
        <f t="shared" si="81"/>
        <v>F050</v>
      </c>
      <c r="AB505" s="29" t="str">
        <f t="shared" si="82"/>
        <v>F00.5</v>
      </c>
      <c r="AC505" s="29" t="str">
        <f t="shared" si="83"/>
        <v>F00.01</v>
      </c>
      <c r="AD505" s="29" t="str">
        <f t="shared" si="84"/>
        <v>F021</v>
      </c>
      <c r="AE505" s="443"/>
      <c r="AF505" s="443"/>
      <c r="AG505" s="443"/>
      <c r="AH505" s="443"/>
    </row>
    <row r="506" spans="1:34" ht="16.5">
      <c r="A506" s="728">
        <f t="shared" si="87"/>
        <v>499</v>
      </c>
      <c r="B506" s="563">
        <v>6</v>
      </c>
      <c r="C506" s="694">
        <v>31922</v>
      </c>
      <c r="D506" s="694" t="s">
        <v>148</v>
      </c>
      <c r="E506" s="695">
        <v>25</v>
      </c>
      <c r="F506" s="503">
        <v>1987</v>
      </c>
      <c r="G506" s="563" t="s">
        <v>104</v>
      </c>
      <c r="H506" s="503" t="s">
        <v>123</v>
      </c>
      <c r="I506" s="695">
        <v>100</v>
      </c>
      <c r="J506" s="695">
        <v>2</v>
      </c>
      <c r="K506" s="777">
        <f t="shared" si="86"/>
        <v>0.11363636363636363</v>
      </c>
      <c r="L506" s="968">
        <v>0</v>
      </c>
      <c r="M506" s="503">
        <f t="shared" si="88"/>
        <v>16</v>
      </c>
      <c r="N506" s="504">
        <v>0.68055555555555547</v>
      </c>
      <c r="O506" s="719">
        <f t="shared" si="78"/>
        <v>0.68055555555555547</v>
      </c>
      <c r="P506" s="564"/>
      <c r="Q506" s="564">
        <f t="shared" si="85"/>
        <v>-0.68055555555555547</v>
      </c>
      <c r="R506" s="965" t="s">
        <v>1520</v>
      </c>
      <c r="S506" s="487" t="s">
        <v>1109</v>
      </c>
      <c r="T506" s="29"/>
      <c r="U506" s="29" t="str">
        <f t="shared" si="79"/>
        <v>HansfordF1</v>
      </c>
      <c r="V506" s="29" t="str">
        <f t="shared" si="80"/>
        <v>1987F1</v>
      </c>
      <c r="W506" s="80">
        <v>100</v>
      </c>
      <c r="X506" s="32">
        <v>2</v>
      </c>
      <c r="Y506" s="467">
        <v>0.1</v>
      </c>
      <c r="Z506" s="80"/>
      <c r="AA506" s="29" t="str">
        <f t="shared" si="81"/>
        <v>F1100</v>
      </c>
      <c r="AB506" s="29" t="str">
        <f t="shared" si="82"/>
        <v>F12</v>
      </c>
      <c r="AC506" s="29" t="str">
        <f t="shared" si="83"/>
        <v>F10.1</v>
      </c>
      <c r="AD506" s="29" t="str">
        <f t="shared" si="84"/>
        <v>F116</v>
      </c>
      <c r="AE506" s="443"/>
      <c r="AF506" s="443"/>
      <c r="AG506" s="443"/>
      <c r="AH506" s="443"/>
    </row>
    <row r="507" spans="1:34" ht="16.5">
      <c r="A507" s="728">
        <f t="shared" si="87"/>
        <v>500</v>
      </c>
      <c r="B507" s="563">
        <v>7</v>
      </c>
      <c r="C507" s="694">
        <v>31922</v>
      </c>
      <c r="D507" s="694" t="s">
        <v>148</v>
      </c>
      <c r="E507" s="695">
        <v>25</v>
      </c>
      <c r="F507" s="503">
        <v>1987</v>
      </c>
      <c r="G507" s="563" t="s">
        <v>104</v>
      </c>
      <c r="H507" s="503" t="s">
        <v>125</v>
      </c>
      <c r="I507" s="695">
        <v>530</v>
      </c>
      <c r="J507" s="695">
        <v>3</v>
      </c>
      <c r="K507" s="777">
        <f t="shared" si="86"/>
        <v>0.90340909090909094</v>
      </c>
      <c r="L507" s="968">
        <v>25000</v>
      </c>
      <c r="M507" s="503">
        <f t="shared" si="88"/>
        <v>17</v>
      </c>
      <c r="N507" s="504">
        <v>0.72222222222222221</v>
      </c>
      <c r="O507" s="719">
        <f t="shared" si="78"/>
        <v>0.72222222222222221</v>
      </c>
      <c r="P507" s="564"/>
      <c r="Q507" s="564">
        <f t="shared" si="85"/>
        <v>-0.72222222222222221</v>
      </c>
      <c r="R507" s="965" t="s">
        <v>1520</v>
      </c>
      <c r="S507" s="487" t="s">
        <v>1110</v>
      </c>
      <c r="T507" s="29"/>
      <c r="U507" s="29" t="str">
        <f t="shared" si="79"/>
        <v>HansfordF3</v>
      </c>
      <c r="V507" s="29" t="str">
        <f t="shared" si="80"/>
        <v>1987F3</v>
      </c>
      <c r="W507" s="80">
        <v>500</v>
      </c>
      <c r="X507" s="32">
        <v>2</v>
      </c>
      <c r="Y507" s="467">
        <v>0.5</v>
      </c>
      <c r="Z507" s="80"/>
      <c r="AA507" s="29" t="str">
        <f t="shared" si="81"/>
        <v>F3500</v>
      </c>
      <c r="AB507" s="29" t="str">
        <f t="shared" si="82"/>
        <v>F32</v>
      </c>
      <c r="AC507" s="29" t="str">
        <f t="shared" si="83"/>
        <v>F30.5</v>
      </c>
      <c r="AD507" s="29" t="str">
        <f t="shared" si="84"/>
        <v>F317</v>
      </c>
      <c r="AE507" s="443"/>
      <c r="AF507" s="443"/>
      <c r="AG507" s="443"/>
      <c r="AH507" s="443"/>
    </row>
    <row r="508" spans="1:34" ht="16.5">
      <c r="A508" s="728">
        <f t="shared" si="87"/>
        <v>501</v>
      </c>
      <c r="B508" s="563">
        <v>8</v>
      </c>
      <c r="C508" s="694">
        <v>31922</v>
      </c>
      <c r="D508" s="694" t="s">
        <v>148</v>
      </c>
      <c r="E508" s="695">
        <v>25</v>
      </c>
      <c r="F508" s="503">
        <v>1987</v>
      </c>
      <c r="G508" s="563" t="s">
        <v>104</v>
      </c>
      <c r="H508" s="503" t="s">
        <v>122</v>
      </c>
      <c r="I508" s="695">
        <v>40</v>
      </c>
      <c r="J508" s="695">
        <v>0.1</v>
      </c>
      <c r="K508" s="777">
        <f t="shared" si="86"/>
        <v>2.2727272727272731E-3</v>
      </c>
      <c r="L508" s="968">
        <v>0</v>
      </c>
      <c r="M508" s="503">
        <f t="shared" si="88"/>
        <v>18</v>
      </c>
      <c r="N508" s="504">
        <v>0.76041666666666663</v>
      </c>
      <c r="O508" s="719">
        <f t="shared" si="78"/>
        <v>0.76041666666666663</v>
      </c>
      <c r="P508" s="564"/>
      <c r="Q508" s="564">
        <f t="shared" si="85"/>
        <v>-0.76041666666666663</v>
      </c>
      <c r="R508" s="965" t="s">
        <v>1520</v>
      </c>
      <c r="S508" s="487" t="s">
        <v>1111</v>
      </c>
      <c r="T508" s="29"/>
      <c r="U508" s="29" t="str">
        <f t="shared" si="79"/>
        <v>HansfordF0</v>
      </c>
      <c r="V508" s="29" t="str">
        <f t="shared" si="80"/>
        <v>1987F0</v>
      </c>
      <c r="W508" s="80">
        <v>20</v>
      </c>
      <c r="X508" s="32">
        <v>0.1</v>
      </c>
      <c r="Y508" s="467">
        <v>2E-3</v>
      </c>
      <c r="Z508" s="80"/>
      <c r="AA508" s="29" t="str">
        <f t="shared" si="81"/>
        <v>F020</v>
      </c>
      <c r="AB508" s="29" t="str">
        <f t="shared" si="82"/>
        <v>F00.1</v>
      </c>
      <c r="AC508" s="29" t="str">
        <f t="shared" si="83"/>
        <v>F00.002</v>
      </c>
      <c r="AD508" s="29" t="str">
        <f t="shared" si="84"/>
        <v>F018</v>
      </c>
      <c r="AE508" s="443"/>
      <c r="AF508" s="443"/>
      <c r="AG508" s="443"/>
      <c r="AH508" s="443"/>
    </row>
    <row r="509" spans="1:34" ht="25.5">
      <c r="A509" s="728">
        <f t="shared" si="87"/>
        <v>502</v>
      </c>
      <c r="B509" s="563">
        <v>9</v>
      </c>
      <c r="C509" s="694">
        <v>31922</v>
      </c>
      <c r="D509" s="694" t="s">
        <v>148</v>
      </c>
      <c r="E509" s="695">
        <v>25</v>
      </c>
      <c r="F509" s="503">
        <v>1987</v>
      </c>
      <c r="G509" s="563" t="s">
        <v>118</v>
      </c>
      <c r="H509" s="503" t="s">
        <v>124</v>
      </c>
      <c r="I509" s="695">
        <v>150</v>
      </c>
      <c r="J509" s="695">
        <v>6</v>
      </c>
      <c r="K509" s="777">
        <f t="shared" si="86"/>
        <v>0.51136363636363635</v>
      </c>
      <c r="L509" s="968">
        <v>0</v>
      </c>
      <c r="M509" s="503">
        <f t="shared" si="88"/>
        <v>18</v>
      </c>
      <c r="N509" s="504">
        <v>0.77083333333333337</v>
      </c>
      <c r="O509" s="719">
        <f t="shared" si="78"/>
        <v>0.77083333333333337</v>
      </c>
      <c r="P509" s="564">
        <v>0.77430555555555547</v>
      </c>
      <c r="Q509" s="564">
        <f t="shared" si="85"/>
        <v>3.4722222222220989E-3</v>
      </c>
      <c r="R509" s="965" t="s">
        <v>1520</v>
      </c>
      <c r="S509" s="487" t="s">
        <v>1112</v>
      </c>
      <c r="T509" s="29"/>
      <c r="U509" s="29" t="str">
        <f t="shared" si="79"/>
        <v>RandallF2</v>
      </c>
      <c r="V509" s="29" t="str">
        <f t="shared" si="80"/>
        <v>1987F2</v>
      </c>
      <c r="W509" s="80">
        <v>100</v>
      </c>
      <c r="X509" s="32">
        <v>5</v>
      </c>
      <c r="Y509" s="467">
        <v>0.5</v>
      </c>
      <c r="Z509" s="80"/>
      <c r="AA509" s="29" t="str">
        <f t="shared" si="81"/>
        <v>F2100</v>
      </c>
      <c r="AB509" s="29" t="str">
        <f t="shared" si="82"/>
        <v>F25</v>
      </c>
      <c r="AC509" s="29" t="str">
        <f t="shared" si="83"/>
        <v>F20.5</v>
      </c>
      <c r="AD509" s="29" t="str">
        <f t="shared" si="84"/>
        <v>F218</v>
      </c>
      <c r="AE509" s="443"/>
      <c r="AF509" s="443"/>
      <c r="AG509" s="443"/>
      <c r="AH509" s="443"/>
    </row>
    <row r="510" spans="1:34" ht="16.5">
      <c r="A510" s="728">
        <f t="shared" si="87"/>
        <v>503</v>
      </c>
      <c r="B510" s="563">
        <v>10</v>
      </c>
      <c r="C510" s="694">
        <v>31922</v>
      </c>
      <c r="D510" s="694" t="s">
        <v>148</v>
      </c>
      <c r="E510" s="695">
        <v>25</v>
      </c>
      <c r="F510" s="503">
        <v>1987</v>
      </c>
      <c r="G510" s="563" t="s">
        <v>119</v>
      </c>
      <c r="H510" s="503" t="s">
        <v>124</v>
      </c>
      <c r="I510" s="695">
        <v>150</v>
      </c>
      <c r="J510" s="695">
        <v>4</v>
      </c>
      <c r="K510" s="777">
        <f t="shared" si="86"/>
        <v>0.34090909090909088</v>
      </c>
      <c r="L510" s="968">
        <v>0</v>
      </c>
      <c r="M510" s="503">
        <f t="shared" si="88"/>
        <v>18</v>
      </c>
      <c r="N510" s="504">
        <v>0.77430555555555547</v>
      </c>
      <c r="O510" s="719">
        <f t="shared" si="78"/>
        <v>0.77430555555555547</v>
      </c>
      <c r="P510" s="564">
        <v>0.77777777777777779</v>
      </c>
      <c r="Q510" s="564">
        <f t="shared" si="85"/>
        <v>3.4722222222223209E-3</v>
      </c>
      <c r="R510" s="965" t="s">
        <v>1520</v>
      </c>
      <c r="S510" s="487" t="s">
        <v>60</v>
      </c>
      <c r="T510" s="29"/>
      <c r="U510" s="29" t="str">
        <f t="shared" si="79"/>
        <v>ArmstrongF2</v>
      </c>
      <c r="V510" s="29" t="str">
        <f t="shared" si="80"/>
        <v>1987F2</v>
      </c>
      <c r="W510" s="80">
        <v>100</v>
      </c>
      <c r="X510" s="32">
        <v>2</v>
      </c>
      <c r="Y510" s="467">
        <v>0.2</v>
      </c>
      <c r="Z510" s="80"/>
      <c r="AA510" s="29" t="str">
        <f t="shared" si="81"/>
        <v>F2100</v>
      </c>
      <c r="AB510" s="29" t="str">
        <f t="shared" si="82"/>
        <v>F22</v>
      </c>
      <c r="AC510" s="29" t="str">
        <f t="shared" si="83"/>
        <v>F20.2</v>
      </c>
      <c r="AD510" s="29" t="str">
        <f t="shared" si="84"/>
        <v>F218</v>
      </c>
      <c r="AE510" s="443"/>
      <c r="AF510" s="443"/>
      <c r="AG510" s="443"/>
      <c r="AH510" s="443"/>
    </row>
    <row r="511" spans="1:34" ht="16.5">
      <c r="A511" s="728">
        <f t="shared" si="87"/>
        <v>504</v>
      </c>
      <c r="B511" s="563">
        <v>11</v>
      </c>
      <c r="C511" s="694">
        <v>31922</v>
      </c>
      <c r="D511" s="694" t="s">
        <v>148</v>
      </c>
      <c r="E511" s="695">
        <v>25</v>
      </c>
      <c r="F511" s="503">
        <v>1987</v>
      </c>
      <c r="G511" s="563" t="s">
        <v>118</v>
      </c>
      <c r="H511" s="503" t="s">
        <v>122</v>
      </c>
      <c r="I511" s="695">
        <v>50</v>
      </c>
      <c r="J511" s="695">
        <v>1</v>
      </c>
      <c r="K511" s="777">
        <f t="shared" si="86"/>
        <v>2.8409090909090908E-2</v>
      </c>
      <c r="L511" s="968">
        <v>0</v>
      </c>
      <c r="M511" s="503">
        <f t="shared" si="88"/>
        <v>18</v>
      </c>
      <c r="N511" s="504">
        <v>0.78680555555555554</v>
      </c>
      <c r="O511" s="719">
        <f t="shared" si="78"/>
        <v>0.78680555555555554</v>
      </c>
      <c r="P511" s="564"/>
      <c r="Q511" s="564">
        <f t="shared" si="85"/>
        <v>-0.78680555555555554</v>
      </c>
      <c r="R511" s="965" t="s">
        <v>1520</v>
      </c>
      <c r="S511" s="487"/>
      <c r="T511" s="29"/>
      <c r="U511" s="29" t="str">
        <f t="shared" si="79"/>
        <v>RandallF0</v>
      </c>
      <c r="V511" s="29" t="str">
        <f t="shared" si="80"/>
        <v>1987F0</v>
      </c>
      <c r="W511" s="80">
        <v>50</v>
      </c>
      <c r="X511" s="32">
        <v>1</v>
      </c>
      <c r="Y511" s="467">
        <v>0.02</v>
      </c>
      <c r="Z511" s="80"/>
      <c r="AA511" s="29" t="str">
        <f t="shared" si="81"/>
        <v>F050</v>
      </c>
      <c r="AB511" s="29" t="str">
        <f t="shared" si="82"/>
        <v>F01</v>
      </c>
      <c r="AC511" s="29" t="str">
        <f t="shared" si="83"/>
        <v>F00.02</v>
      </c>
      <c r="AD511" s="29" t="str">
        <f t="shared" si="84"/>
        <v>F018</v>
      </c>
      <c r="AE511" s="443"/>
      <c r="AF511" s="443"/>
      <c r="AG511" s="443"/>
      <c r="AH511" s="443"/>
    </row>
    <row r="512" spans="1:34" ht="16.5">
      <c r="A512" s="728">
        <f t="shared" si="87"/>
        <v>505</v>
      </c>
      <c r="B512" s="563">
        <v>12</v>
      </c>
      <c r="C512" s="694">
        <v>31922</v>
      </c>
      <c r="D512" s="694" t="s">
        <v>148</v>
      </c>
      <c r="E512" s="695">
        <v>25</v>
      </c>
      <c r="F512" s="503">
        <v>1987</v>
      </c>
      <c r="G512" s="563" t="s">
        <v>105</v>
      </c>
      <c r="H512" s="503" t="s">
        <v>125</v>
      </c>
      <c r="I512" s="695">
        <v>700</v>
      </c>
      <c r="J512" s="695">
        <v>3</v>
      </c>
      <c r="K512" s="777">
        <f t="shared" si="86"/>
        <v>1.1931818181818181</v>
      </c>
      <c r="L512" s="968">
        <v>250000</v>
      </c>
      <c r="M512" s="503">
        <f t="shared" si="88"/>
        <v>19</v>
      </c>
      <c r="N512" s="504">
        <v>0.8</v>
      </c>
      <c r="O512" s="719">
        <f t="shared" si="78"/>
        <v>0.8</v>
      </c>
      <c r="P512" s="564"/>
      <c r="Q512" s="564">
        <f t="shared" si="85"/>
        <v>-0.8</v>
      </c>
      <c r="R512" s="965" t="s">
        <v>1520</v>
      </c>
      <c r="S512" s="487" t="s">
        <v>1113</v>
      </c>
      <c r="T512" s="29"/>
      <c r="U512" s="29" t="str">
        <f t="shared" si="79"/>
        <v>OchiltreeF3</v>
      </c>
      <c r="V512" s="29" t="str">
        <f t="shared" si="80"/>
        <v>1987F3</v>
      </c>
      <c r="W512" s="80">
        <v>500</v>
      </c>
      <c r="X512" s="32">
        <v>2</v>
      </c>
      <c r="Y512" s="467">
        <v>1</v>
      </c>
      <c r="Z512" s="80"/>
      <c r="AA512" s="29" t="str">
        <f t="shared" si="81"/>
        <v>F3500</v>
      </c>
      <c r="AB512" s="29" t="str">
        <f t="shared" si="82"/>
        <v>F32</v>
      </c>
      <c r="AC512" s="29" t="str">
        <f t="shared" si="83"/>
        <v>F31</v>
      </c>
      <c r="AD512" s="29" t="str">
        <f t="shared" si="84"/>
        <v>F319</v>
      </c>
      <c r="AE512" s="443"/>
      <c r="AF512" s="443"/>
      <c r="AG512" s="443"/>
      <c r="AH512" s="443"/>
    </row>
    <row r="513" spans="1:34" ht="16.5">
      <c r="A513" s="728">
        <f t="shared" si="87"/>
        <v>506</v>
      </c>
      <c r="B513" s="563">
        <v>13</v>
      </c>
      <c r="C513" s="694">
        <v>31922</v>
      </c>
      <c r="D513" s="694" t="s">
        <v>148</v>
      </c>
      <c r="E513" s="695">
        <v>25</v>
      </c>
      <c r="F513" s="503">
        <v>1987</v>
      </c>
      <c r="G513" s="563" t="s">
        <v>105</v>
      </c>
      <c r="H513" s="503" t="s">
        <v>123</v>
      </c>
      <c r="I513" s="695">
        <v>80</v>
      </c>
      <c r="J513" s="695">
        <v>10</v>
      </c>
      <c r="K513" s="777">
        <f t="shared" si="86"/>
        <v>0.45454545454545459</v>
      </c>
      <c r="L513" s="968">
        <v>0</v>
      </c>
      <c r="M513" s="503">
        <f t="shared" si="88"/>
        <v>19</v>
      </c>
      <c r="N513" s="504">
        <v>0.81597222222222221</v>
      </c>
      <c r="O513" s="719">
        <f t="shared" si="78"/>
        <v>0.81597222222222221</v>
      </c>
      <c r="P513" s="564"/>
      <c r="Q513" s="564">
        <f t="shared" si="85"/>
        <v>-0.81597222222222221</v>
      </c>
      <c r="R513" s="965" t="s">
        <v>1520</v>
      </c>
      <c r="S513" s="487" t="s">
        <v>1114</v>
      </c>
      <c r="T513" s="29"/>
      <c r="U513" s="29" t="str">
        <f t="shared" si="79"/>
        <v>OchiltreeF1</v>
      </c>
      <c r="V513" s="29" t="str">
        <f t="shared" si="80"/>
        <v>1987F1</v>
      </c>
      <c r="W513" s="80">
        <v>50</v>
      </c>
      <c r="X513" s="32">
        <v>10</v>
      </c>
      <c r="Y513" s="467">
        <v>0.2</v>
      </c>
      <c r="Z513" s="80"/>
      <c r="AA513" s="29" t="str">
        <f t="shared" si="81"/>
        <v>F150</v>
      </c>
      <c r="AB513" s="29" t="str">
        <f t="shared" si="82"/>
        <v>F110</v>
      </c>
      <c r="AC513" s="29" t="str">
        <f t="shared" si="83"/>
        <v>F10.2</v>
      </c>
      <c r="AD513" s="29" t="str">
        <f t="shared" si="84"/>
        <v>F119</v>
      </c>
      <c r="AE513" s="443"/>
      <c r="AF513" s="443"/>
      <c r="AG513" s="443"/>
      <c r="AH513" s="443"/>
    </row>
    <row r="514" spans="1:34" ht="16.5">
      <c r="A514" s="728">
        <f t="shared" si="87"/>
        <v>507</v>
      </c>
      <c r="B514" s="563">
        <v>14</v>
      </c>
      <c r="C514" s="694">
        <v>31922</v>
      </c>
      <c r="D514" s="694" t="s">
        <v>148</v>
      </c>
      <c r="E514" s="695">
        <v>25</v>
      </c>
      <c r="F514" s="503">
        <v>1987</v>
      </c>
      <c r="G514" s="563" t="s">
        <v>118</v>
      </c>
      <c r="H514" s="503" t="s">
        <v>122</v>
      </c>
      <c r="I514" s="695">
        <v>50</v>
      </c>
      <c r="J514" s="695">
        <v>0.1</v>
      </c>
      <c r="K514" s="777">
        <f t="shared" si="86"/>
        <v>2.840909090909091E-3</v>
      </c>
      <c r="L514" s="968">
        <v>0</v>
      </c>
      <c r="M514" s="503">
        <f t="shared" si="88"/>
        <v>20</v>
      </c>
      <c r="N514" s="504">
        <v>0.83888888888888891</v>
      </c>
      <c r="O514" s="719">
        <f t="shared" si="78"/>
        <v>0.83888888888888891</v>
      </c>
      <c r="P514" s="564"/>
      <c r="Q514" s="564">
        <f t="shared" si="85"/>
        <v>-0.83888888888888891</v>
      </c>
      <c r="R514" s="965" t="s">
        <v>1520</v>
      </c>
      <c r="S514" s="303" t="s">
        <v>1116</v>
      </c>
      <c r="T514" s="29"/>
      <c r="U514" s="29" t="str">
        <f t="shared" si="79"/>
        <v>RandallF0</v>
      </c>
      <c r="V514" s="29" t="str">
        <f t="shared" si="80"/>
        <v>1987F0</v>
      </c>
      <c r="W514" s="80">
        <v>50</v>
      </c>
      <c r="X514" s="32">
        <v>0.1</v>
      </c>
      <c r="Y514" s="467">
        <v>2E-3</v>
      </c>
      <c r="Z514" s="80"/>
      <c r="AA514" s="29" t="str">
        <f t="shared" si="81"/>
        <v>F050</v>
      </c>
      <c r="AB514" s="29" t="str">
        <f t="shared" si="82"/>
        <v>F00.1</v>
      </c>
      <c r="AC514" s="29" t="str">
        <f t="shared" si="83"/>
        <v>F00.002</v>
      </c>
      <c r="AD514" s="29" t="str">
        <f t="shared" si="84"/>
        <v>F020</v>
      </c>
      <c r="AE514" s="443"/>
      <c r="AF514" s="443"/>
      <c r="AG514" s="443"/>
      <c r="AH514" s="443"/>
    </row>
    <row r="515" spans="1:34" ht="16.5">
      <c r="A515" s="728">
        <f t="shared" si="87"/>
        <v>508</v>
      </c>
      <c r="B515" s="563">
        <v>15</v>
      </c>
      <c r="C515" s="694">
        <v>31922</v>
      </c>
      <c r="D515" s="694" t="s">
        <v>148</v>
      </c>
      <c r="E515" s="695">
        <v>25</v>
      </c>
      <c r="F515" s="503">
        <v>1987</v>
      </c>
      <c r="G515" s="563" t="s">
        <v>118</v>
      </c>
      <c r="H515" s="503" t="s">
        <v>122</v>
      </c>
      <c r="I515" s="695">
        <v>60</v>
      </c>
      <c r="J515" s="695">
        <v>3</v>
      </c>
      <c r="K515" s="777">
        <f t="shared" si="86"/>
        <v>0.10227272727272727</v>
      </c>
      <c r="L515" s="968">
        <v>0</v>
      </c>
      <c r="M515" s="503">
        <f t="shared" si="88"/>
        <v>20</v>
      </c>
      <c r="N515" s="504">
        <v>0.84722222222222221</v>
      </c>
      <c r="O515" s="719">
        <f t="shared" si="78"/>
        <v>0.84722222222222221</v>
      </c>
      <c r="P515" s="564"/>
      <c r="Q515" s="564">
        <f t="shared" si="85"/>
        <v>-0.84722222222222221</v>
      </c>
      <c r="R515" s="965" t="s">
        <v>1520</v>
      </c>
      <c r="S515" s="487" t="s">
        <v>1115</v>
      </c>
      <c r="T515" s="29"/>
      <c r="U515" s="29" t="str">
        <f t="shared" si="79"/>
        <v>RandallF0</v>
      </c>
      <c r="V515" s="29" t="str">
        <f t="shared" si="80"/>
        <v>1987F0</v>
      </c>
      <c r="W515" s="80">
        <v>50</v>
      </c>
      <c r="X515" s="32">
        <v>2</v>
      </c>
      <c r="Y515" s="467">
        <v>0.1</v>
      </c>
      <c r="Z515" s="80"/>
      <c r="AA515" s="29" t="str">
        <f t="shared" si="81"/>
        <v>F050</v>
      </c>
      <c r="AB515" s="29" t="str">
        <f t="shared" si="82"/>
        <v>F02</v>
      </c>
      <c r="AC515" s="29" t="str">
        <f t="shared" si="83"/>
        <v>F00.1</v>
      </c>
      <c r="AD515" s="29" t="str">
        <f t="shared" si="84"/>
        <v>F020</v>
      </c>
      <c r="AE515" s="443"/>
      <c r="AF515" s="443"/>
      <c r="AG515" s="443"/>
      <c r="AH515" s="443"/>
    </row>
    <row r="516" spans="1:34" ht="16.5">
      <c r="A516" s="728">
        <f t="shared" si="87"/>
        <v>509</v>
      </c>
      <c r="B516" s="563">
        <v>16</v>
      </c>
      <c r="C516" s="694">
        <v>31922</v>
      </c>
      <c r="D516" s="694" t="s">
        <v>148</v>
      </c>
      <c r="E516" s="695">
        <v>25</v>
      </c>
      <c r="F516" s="503">
        <v>1987</v>
      </c>
      <c r="G516" s="563" t="s">
        <v>118</v>
      </c>
      <c r="H516" s="503" t="s">
        <v>124</v>
      </c>
      <c r="I516" s="695">
        <v>150</v>
      </c>
      <c r="J516" s="695">
        <v>2</v>
      </c>
      <c r="K516" s="777">
        <f t="shared" si="86"/>
        <v>0.17045454545454544</v>
      </c>
      <c r="L516" s="968">
        <v>25000</v>
      </c>
      <c r="M516" s="503">
        <f t="shared" si="88"/>
        <v>21</v>
      </c>
      <c r="N516" s="504">
        <v>0.875</v>
      </c>
      <c r="O516" s="719">
        <f t="shared" si="78"/>
        <v>0.875</v>
      </c>
      <c r="P516" s="564"/>
      <c r="Q516" s="564">
        <f t="shared" si="85"/>
        <v>-0.875</v>
      </c>
      <c r="R516" s="965" t="s">
        <v>1520</v>
      </c>
      <c r="S516" s="487" t="s">
        <v>1117</v>
      </c>
      <c r="T516" s="29"/>
      <c r="U516" s="29" t="str">
        <f t="shared" si="79"/>
        <v>RandallF2</v>
      </c>
      <c r="V516" s="29" t="str">
        <f t="shared" si="80"/>
        <v>1987F2</v>
      </c>
      <c r="W516" s="80">
        <v>100</v>
      </c>
      <c r="X516" s="32">
        <v>2</v>
      </c>
      <c r="Y516" s="467">
        <v>0.1</v>
      </c>
      <c r="Z516" s="80"/>
      <c r="AA516" s="29" t="str">
        <f t="shared" si="81"/>
        <v>F2100</v>
      </c>
      <c r="AB516" s="29" t="str">
        <f t="shared" si="82"/>
        <v>F22</v>
      </c>
      <c r="AC516" s="29" t="str">
        <f t="shared" si="83"/>
        <v>F20.1</v>
      </c>
      <c r="AD516" s="29" t="str">
        <f t="shared" si="84"/>
        <v>F221</v>
      </c>
      <c r="AE516" s="443"/>
      <c r="AF516" s="443"/>
      <c r="AG516" s="443"/>
      <c r="AH516" s="443"/>
    </row>
    <row r="517" spans="1:34" ht="16.5">
      <c r="A517" s="728">
        <f t="shared" si="87"/>
        <v>510</v>
      </c>
      <c r="B517" s="563">
        <v>17</v>
      </c>
      <c r="C517" s="694">
        <v>31922</v>
      </c>
      <c r="D517" s="694" t="s">
        <v>148</v>
      </c>
      <c r="E517" s="695">
        <v>25</v>
      </c>
      <c r="F517" s="503">
        <v>1987</v>
      </c>
      <c r="G517" s="563" t="s">
        <v>113</v>
      </c>
      <c r="H517" s="503" t="s">
        <v>122</v>
      </c>
      <c r="I517" s="695">
        <v>40</v>
      </c>
      <c r="J517" s="695">
        <v>0.1</v>
      </c>
      <c r="K517" s="777">
        <f t="shared" si="86"/>
        <v>2.2727272727272731E-3</v>
      </c>
      <c r="L517" s="968">
        <v>0</v>
      </c>
      <c r="M517" s="503">
        <f t="shared" si="88"/>
        <v>21</v>
      </c>
      <c r="N517" s="504">
        <v>0.89583333333333337</v>
      </c>
      <c r="O517" s="719">
        <f t="shared" si="78"/>
        <v>0.89583333333333337</v>
      </c>
      <c r="P517" s="564">
        <v>0.92013888888888884</v>
      </c>
      <c r="Q517" s="564">
        <f t="shared" si="85"/>
        <v>2.4305555555555469E-2</v>
      </c>
      <c r="R517" s="965" t="s">
        <v>1520</v>
      </c>
      <c r="S517" s="487" t="s">
        <v>1118</v>
      </c>
      <c r="T517" s="29"/>
      <c r="U517" s="29" t="str">
        <f t="shared" si="79"/>
        <v>PotterF0</v>
      </c>
      <c r="V517" s="29" t="str">
        <f t="shared" si="80"/>
        <v>1987F0</v>
      </c>
      <c r="W517" s="80">
        <v>20</v>
      </c>
      <c r="X517" s="32">
        <v>0.1</v>
      </c>
      <c r="Y517" s="467">
        <v>2E-3</v>
      </c>
      <c r="Z517" s="80"/>
      <c r="AA517" s="29" t="str">
        <f t="shared" si="81"/>
        <v>F020</v>
      </c>
      <c r="AB517" s="29" t="str">
        <f t="shared" si="82"/>
        <v>F00.1</v>
      </c>
      <c r="AC517" s="29" t="str">
        <f t="shared" si="83"/>
        <v>F00.002</v>
      </c>
      <c r="AD517" s="29" t="str">
        <f t="shared" si="84"/>
        <v>F021</v>
      </c>
      <c r="AE517" s="443"/>
      <c r="AF517" s="443"/>
      <c r="AG517" s="443"/>
      <c r="AH517" s="443"/>
    </row>
    <row r="518" spans="1:34" ht="16.5">
      <c r="A518" s="728">
        <f t="shared" si="87"/>
        <v>511</v>
      </c>
      <c r="B518" s="563">
        <v>18</v>
      </c>
      <c r="C518" s="694">
        <v>31923</v>
      </c>
      <c r="D518" s="694" t="s">
        <v>148</v>
      </c>
      <c r="E518" s="695">
        <v>26</v>
      </c>
      <c r="F518" s="503">
        <v>1987</v>
      </c>
      <c r="G518" s="563" t="s">
        <v>100</v>
      </c>
      <c r="H518" s="503" t="s">
        <v>122</v>
      </c>
      <c r="I518" s="695">
        <v>30</v>
      </c>
      <c r="J518" s="695">
        <v>0.1</v>
      </c>
      <c r="K518" s="777">
        <f t="shared" si="86"/>
        <v>1.7045454545454545E-3</v>
      </c>
      <c r="L518" s="968">
        <v>0</v>
      </c>
      <c r="M518" s="503">
        <f t="shared" si="88"/>
        <v>22</v>
      </c>
      <c r="N518" s="504">
        <v>0.92013888888888884</v>
      </c>
      <c r="O518" s="719">
        <f t="shared" si="78"/>
        <v>0.92013888888888884</v>
      </c>
      <c r="P518" s="564"/>
      <c r="Q518" s="564">
        <f t="shared" si="85"/>
        <v>-0.92013888888888884</v>
      </c>
      <c r="R518" s="965" t="s">
        <v>1520</v>
      </c>
      <c r="S518" s="487"/>
      <c r="T518" s="29"/>
      <c r="U518" s="29" t="str">
        <f t="shared" si="79"/>
        <v>TexasF0</v>
      </c>
      <c r="V518" s="29" t="str">
        <f t="shared" si="80"/>
        <v>1987F0</v>
      </c>
      <c r="W518" s="80">
        <v>20</v>
      </c>
      <c r="X518" s="32">
        <v>0.1</v>
      </c>
      <c r="Y518" s="467">
        <v>1E-3</v>
      </c>
      <c r="Z518" s="80"/>
      <c r="AA518" s="29" t="str">
        <f t="shared" si="81"/>
        <v>F020</v>
      </c>
      <c r="AB518" s="29" t="str">
        <f t="shared" si="82"/>
        <v>F00.1</v>
      </c>
      <c r="AC518" s="29" t="str">
        <f t="shared" si="83"/>
        <v>F00.001</v>
      </c>
      <c r="AD518" s="29" t="str">
        <f t="shared" si="84"/>
        <v>F022</v>
      </c>
      <c r="AE518" s="443"/>
      <c r="AF518" s="443"/>
      <c r="AG518" s="443"/>
      <c r="AH518" s="443"/>
    </row>
    <row r="519" spans="1:34" ht="16.5">
      <c r="A519" s="728">
        <f t="shared" si="87"/>
        <v>512</v>
      </c>
      <c r="B519" s="563">
        <v>19</v>
      </c>
      <c r="C519" s="694">
        <v>31927</v>
      </c>
      <c r="D519" s="694" t="s">
        <v>148</v>
      </c>
      <c r="E519" s="695">
        <v>30</v>
      </c>
      <c r="F519" s="503">
        <v>1987</v>
      </c>
      <c r="G519" s="563" t="s">
        <v>104</v>
      </c>
      <c r="H519" s="503" t="s">
        <v>123</v>
      </c>
      <c r="I519" s="695">
        <v>70</v>
      </c>
      <c r="J519" s="695">
        <v>4</v>
      </c>
      <c r="K519" s="777">
        <f t="shared" si="86"/>
        <v>0.15909090909090909</v>
      </c>
      <c r="L519" s="968">
        <v>0</v>
      </c>
      <c r="M519" s="503">
        <f t="shared" si="88"/>
        <v>20</v>
      </c>
      <c r="N519" s="504">
        <v>0.84513888888888899</v>
      </c>
      <c r="O519" s="719">
        <f t="shared" ref="O519:O582" si="89">+N519</f>
        <v>0.84513888888888899</v>
      </c>
      <c r="P519" s="564"/>
      <c r="Q519" s="564">
        <f t="shared" si="85"/>
        <v>-0.84513888888888899</v>
      </c>
      <c r="R519" s="965" t="s">
        <v>1520</v>
      </c>
      <c r="S519" s="487"/>
      <c r="T519" s="29"/>
      <c r="U519" s="29" t="str">
        <f t="shared" ref="U519:U582" si="90">CONCATENATE(G519,H519)</f>
        <v>HansfordF1</v>
      </c>
      <c r="V519" s="29" t="str">
        <f t="shared" ref="V519:V582" si="91">CONCATENATE(F519,H519)</f>
        <v>1987F1</v>
      </c>
      <c r="W519" s="80">
        <v>50</v>
      </c>
      <c r="X519" s="32">
        <v>2</v>
      </c>
      <c r="Y519" s="467">
        <v>0.1</v>
      </c>
      <c r="Z519" s="80"/>
      <c r="AA519" s="29" t="str">
        <f t="shared" ref="AA519:AA582" si="92">CONCATENATE(H519,W519)</f>
        <v>F150</v>
      </c>
      <c r="AB519" s="29" t="str">
        <f t="shared" ref="AB519:AB582" si="93">CONCATENATE(H519,X519)</f>
        <v>F12</v>
      </c>
      <c r="AC519" s="29" t="str">
        <f t="shared" ref="AC519:AC582" si="94">CONCATENATE(H519,Y519)</f>
        <v>F10.1</v>
      </c>
      <c r="AD519" s="29" t="str">
        <f t="shared" ref="AD519:AD582" si="95">CONCATENATE(H519,M519)</f>
        <v>F120</v>
      </c>
      <c r="AE519" s="443"/>
      <c r="AF519" s="443"/>
      <c r="AG519" s="443"/>
      <c r="AH519" s="443"/>
    </row>
    <row r="520" spans="1:34" ht="16.5">
      <c r="A520" s="728">
        <f t="shared" si="87"/>
        <v>513</v>
      </c>
      <c r="B520" s="563">
        <v>20</v>
      </c>
      <c r="C520" s="694">
        <v>31930</v>
      </c>
      <c r="D520" s="694" t="s">
        <v>149</v>
      </c>
      <c r="E520" s="695">
        <v>2</v>
      </c>
      <c r="F520" s="503">
        <v>1987</v>
      </c>
      <c r="G520" s="563" t="s">
        <v>106</v>
      </c>
      <c r="H520" s="503" t="s">
        <v>124</v>
      </c>
      <c r="I520" s="695">
        <v>1600</v>
      </c>
      <c r="J520" s="695">
        <v>6</v>
      </c>
      <c r="K520" s="777">
        <f t="shared" si="86"/>
        <v>5.4545454545454541</v>
      </c>
      <c r="L520" s="968">
        <v>25000</v>
      </c>
      <c r="M520" s="503">
        <f t="shared" si="88"/>
        <v>14</v>
      </c>
      <c r="N520" s="504">
        <v>0.59722222222222221</v>
      </c>
      <c r="O520" s="719">
        <f t="shared" si="89"/>
        <v>0.59722222222222221</v>
      </c>
      <c r="P520" s="564"/>
      <c r="Q520" s="564">
        <f t="shared" ref="Q520:Q583" si="96">+P520-O520</f>
        <v>-0.59722222222222221</v>
      </c>
      <c r="R520" s="965" t="s">
        <v>1520</v>
      </c>
      <c r="S520" s="487"/>
      <c r="T520" s="29"/>
      <c r="U520" s="29" t="str">
        <f t="shared" si="90"/>
        <v>LipscombF2</v>
      </c>
      <c r="V520" s="29" t="str">
        <f t="shared" si="91"/>
        <v>1987F2</v>
      </c>
      <c r="W520" s="80">
        <v>1000</v>
      </c>
      <c r="X520" s="32">
        <v>5</v>
      </c>
      <c r="Y520" s="467">
        <v>5</v>
      </c>
      <c r="Z520" s="80"/>
      <c r="AA520" s="29" t="str">
        <f t="shared" si="92"/>
        <v>F21000</v>
      </c>
      <c r="AB520" s="29" t="str">
        <f t="shared" si="93"/>
        <v>F25</v>
      </c>
      <c r="AC520" s="29" t="str">
        <f t="shared" si="94"/>
        <v>F25</v>
      </c>
      <c r="AD520" s="29" t="str">
        <f t="shared" si="95"/>
        <v>F214</v>
      </c>
      <c r="AE520" s="443"/>
      <c r="AF520" s="443"/>
      <c r="AG520" s="443"/>
      <c r="AH520" s="443"/>
    </row>
    <row r="521" spans="1:34" ht="16.5">
      <c r="A521" s="728">
        <f t="shared" si="87"/>
        <v>514</v>
      </c>
      <c r="B521" s="563">
        <v>21</v>
      </c>
      <c r="C521" s="694">
        <v>31930</v>
      </c>
      <c r="D521" s="694" t="s">
        <v>149</v>
      </c>
      <c r="E521" s="695">
        <v>2</v>
      </c>
      <c r="F521" s="503">
        <v>1987</v>
      </c>
      <c r="G521" s="563" t="s">
        <v>106</v>
      </c>
      <c r="H521" s="503" t="s">
        <v>124</v>
      </c>
      <c r="I521" s="695">
        <v>1600</v>
      </c>
      <c r="J521" s="695">
        <v>7.5</v>
      </c>
      <c r="K521" s="777">
        <f t="shared" ref="K521:K584" si="97">+(I521/1760)*J521</f>
        <v>6.8181818181818183</v>
      </c>
      <c r="L521" s="968">
        <v>25000</v>
      </c>
      <c r="M521" s="503">
        <f t="shared" si="88"/>
        <v>15</v>
      </c>
      <c r="N521" s="504">
        <v>0.63541666666666663</v>
      </c>
      <c r="O521" s="719">
        <f t="shared" si="89"/>
        <v>0.63541666666666663</v>
      </c>
      <c r="P521" s="564"/>
      <c r="Q521" s="564">
        <f t="shared" si="96"/>
        <v>-0.63541666666666663</v>
      </c>
      <c r="R521" s="965" t="s">
        <v>1520</v>
      </c>
      <c r="S521" s="487"/>
      <c r="T521" s="29"/>
      <c r="U521" s="29" t="str">
        <f t="shared" si="90"/>
        <v>LipscombF2</v>
      </c>
      <c r="V521" s="29" t="str">
        <f t="shared" si="91"/>
        <v>1987F2</v>
      </c>
      <c r="W521" s="80">
        <v>1000</v>
      </c>
      <c r="X521" s="32">
        <v>5</v>
      </c>
      <c r="Y521" s="467">
        <v>5</v>
      </c>
      <c r="Z521" s="80"/>
      <c r="AA521" s="29" t="str">
        <f t="shared" si="92"/>
        <v>F21000</v>
      </c>
      <c r="AB521" s="29" t="str">
        <f t="shared" si="93"/>
        <v>F25</v>
      </c>
      <c r="AC521" s="29" t="str">
        <f t="shared" si="94"/>
        <v>F25</v>
      </c>
      <c r="AD521" s="29" t="str">
        <f t="shared" si="95"/>
        <v>F215</v>
      </c>
      <c r="AE521" s="443"/>
      <c r="AF521" s="443"/>
      <c r="AG521" s="443"/>
      <c r="AH521" s="443"/>
    </row>
    <row r="522" spans="1:34" ht="16.5">
      <c r="A522" s="728">
        <f t="shared" ref="A522:A585" si="98">+A521+1</f>
        <v>515</v>
      </c>
      <c r="B522" s="563">
        <v>22</v>
      </c>
      <c r="C522" s="694">
        <v>31930</v>
      </c>
      <c r="D522" s="694" t="s">
        <v>149</v>
      </c>
      <c r="E522" s="695">
        <v>2</v>
      </c>
      <c r="F522" s="503">
        <v>1987</v>
      </c>
      <c r="G522" s="563" t="s">
        <v>113</v>
      </c>
      <c r="H522" s="503" t="s">
        <v>123</v>
      </c>
      <c r="I522" s="695">
        <v>100</v>
      </c>
      <c r="J522" s="695">
        <v>3</v>
      </c>
      <c r="K522" s="777">
        <f t="shared" si="97"/>
        <v>0.17045454545454544</v>
      </c>
      <c r="L522" s="968">
        <v>0</v>
      </c>
      <c r="M522" s="503">
        <f t="shared" si="88"/>
        <v>18</v>
      </c>
      <c r="N522" s="504">
        <v>0.77777777777777779</v>
      </c>
      <c r="O522" s="719">
        <f t="shared" si="89"/>
        <v>0.77777777777777779</v>
      </c>
      <c r="P522" s="564"/>
      <c r="Q522" s="564">
        <f t="shared" si="96"/>
        <v>-0.77777777777777779</v>
      </c>
      <c r="R522" s="965" t="s">
        <v>1520</v>
      </c>
      <c r="S522" s="487"/>
      <c r="T522" s="29"/>
      <c r="U522" s="29" t="str">
        <f t="shared" si="90"/>
        <v>PotterF1</v>
      </c>
      <c r="V522" s="29" t="str">
        <f t="shared" si="91"/>
        <v>1987F1</v>
      </c>
      <c r="W522" s="80">
        <v>100</v>
      </c>
      <c r="X522" s="32">
        <v>2</v>
      </c>
      <c r="Y522" s="467">
        <v>0.1</v>
      </c>
      <c r="Z522" s="80"/>
      <c r="AA522" s="29" t="str">
        <f t="shared" si="92"/>
        <v>F1100</v>
      </c>
      <c r="AB522" s="29" t="str">
        <f t="shared" si="93"/>
        <v>F12</v>
      </c>
      <c r="AC522" s="29" t="str">
        <f t="shared" si="94"/>
        <v>F10.1</v>
      </c>
      <c r="AD522" s="29" t="str">
        <f t="shared" si="95"/>
        <v>F118</v>
      </c>
      <c r="AE522" s="443"/>
      <c r="AF522" s="443"/>
      <c r="AG522" s="443"/>
      <c r="AH522" s="443"/>
    </row>
    <row r="523" spans="1:34" ht="16.5">
      <c r="A523" s="728">
        <f t="shared" si="98"/>
        <v>516</v>
      </c>
      <c r="B523" s="563">
        <v>23</v>
      </c>
      <c r="C523" s="694">
        <v>31930</v>
      </c>
      <c r="D523" s="694" t="s">
        <v>149</v>
      </c>
      <c r="E523" s="695">
        <v>2</v>
      </c>
      <c r="F523" s="503">
        <v>1987</v>
      </c>
      <c r="G523" s="563" t="s">
        <v>113</v>
      </c>
      <c r="H523" s="503" t="s">
        <v>122</v>
      </c>
      <c r="I523" s="695">
        <v>40</v>
      </c>
      <c r="J523" s="695">
        <v>0.1</v>
      </c>
      <c r="K523" s="777">
        <f t="shared" si="97"/>
        <v>2.2727272727272731E-3</v>
      </c>
      <c r="L523" s="968">
        <v>0</v>
      </c>
      <c r="M523" s="503">
        <f t="shared" si="88"/>
        <v>19</v>
      </c>
      <c r="N523" s="504">
        <v>0.80555555555555547</v>
      </c>
      <c r="O523" s="719">
        <f t="shared" si="89"/>
        <v>0.80555555555555547</v>
      </c>
      <c r="P523" s="564"/>
      <c r="Q523" s="564">
        <f t="shared" si="96"/>
        <v>-0.80555555555555547</v>
      </c>
      <c r="R523" s="965" t="s">
        <v>1520</v>
      </c>
      <c r="S523" s="487"/>
      <c r="T523" s="29"/>
      <c r="U523" s="29" t="str">
        <f t="shared" si="90"/>
        <v>PotterF0</v>
      </c>
      <c r="V523" s="29" t="str">
        <f t="shared" si="91"/>
        <v>1987F0</v>
      </c>
      <c r="W523" s="80">
        <v>20</v>
      </c>
      <c r="X523" s="32">
        <v>0.1</v>
      </c>
      <c r="Y523" s="467">
        <v>2E-3</v>
      </c>
      <c r="Z523" s="80"/>
      <c r="AA523" s="29" t="str">
        <f t="shared" si="92"/>
        <v>F020</v>
      </c>
      <c r="AB523" s="29" t="str">
        <f t="shared" si="93"/>
        <v>F00.1</v>
      </c>
      <c r="AC523" s="29" t="str">
        <f t="shared" si="94"/>
        <v>F00.002</v>
      </c>
      <c r="AD523" s="29" t="str">
        <f t="shared" si="95"/>
        <v>F019</v>
      </c>
      <c r="AE523" s="443"/>
      <c r="AF523" s="443"/>
      <c r="AG523" s="443"/>
      <c r="AH523" s="443"/>
    </row>
    <row r="524" spans="1:34" ht="16.5">
      <c r="A524" s="728">
        <f t="shared" si="98"/>
        <v>517</v>
      </c>
      <c r="B524" s="563">
        <v>24</v>
      </c>
      <c r="C524" s="694">
        <v>31939</v>
      </c>
      <c r="D524" s="694" t="s">
        <v>149</v>
      </c>
      <c r="E524" s="695">
        <v>11</v>
      </c>
      <c r="F524" s="503">
        <v>1987</v>
      </c>
      <c r="G524" s="563" t="s">
        <v>105</v>
      </c>
      <c r="H524" s="503" t="s">
        <v>123</v>
      </c>
      <c r="I524" s="695">
        <v>60</v>
      </c>
      <c r="J524" s="695">
        <v>1.5</v>
      </c>
      <c r="K524" s="777">
        <f t="shared" si="97"/>
        <v>5.1136363636363633E-2</v>
      </c>
      <c r="L524" s="968">
        <v>25000</v>
      </c>
      <c r="M524" s="503">
        <f t="shared" si="88"/>
        <v>17</v>
      </c>
      <c r="N524" s="504">
        <v>0.72222222222222221</v>
      </c>
      <c r="O524" s="719">
        <f t="shared" si="89"/>
        <v>0.72222222222222221</v>
      </c>
      <c r="P524" s="564"/>
      <c r="Q524" s="564">
        <f t="shared" si="96"/>
        <v>-0.72222222222222221</v>
      </c>
      <c r="R524" s="965" t="s">
        <v>1542</v>
      </c>
      <c r="S524" s="487"/>
      <c r="T524" s="29"/>
      <c r="U524" s="29" t="str">
        <f t="shared" si="90"/>
        <v>OchiltreeF1</v>
      </c>
      <c r="V524" s="29" t="str">
        <f t="shared" si="91"/>
        <v>1987F1</v>
      </c>
      <c r="W524" s="80">
        <v>50</v>
      </c>
      <c r="X524" s="32">
        <v>1</v>
      </c>
      <c r="Y524" s="467">
        <v>0.05</v>
      </c>
      <c r="Z524" s="80"/>
      <c r="AA524" s="29" t="str">
        <f t="shared" si="92"/>
        <v>F150</v>
      </c>
      <c r="AB524" s="29" t="str">
        <f t="shared" si="93"/>
        <v>F11</v>
      </c>
      <c r="AC524" s="29" t="str">
        <f t="shared" si="94"/>
        <v>F10.05</v>
      </c>
      <c r="AD524" s="29" t="str">
        <f t="shared" si="95"/>
        <v>F117</v>
      </c>
      <c r="AE524" s="443"/>
      <c r="AF524" s="443"/>
      <c r="AG524" s="443"/>
      <c r="AH524" s="443"/>
    </row>
    <row r="525" spans="1:34" ht="16.5">
      <c r="A525" s="728">
        <f t="shared" si="98"/>
        <v>518</v>
      </c>
      <c r="B525" s="563">
        <v>25</v>
      </c>
      <c r="C525" s="694">
        <v>31957</v>
      </c>
      <c r="D525" s="694" t="s">
        <v>149</v>
      </c>
      <c r="E525" s="695">
        <v>29</v>
      </c>
      <c r="F525" s="503">
        <v>1987</v>
      </c>
      <c r="G525" s="563" t="s">
        <v>105</v>
      </c>
      <c r="H525" s="503" t="s">
        <v>122</v>
      </c>
      <c r="I525" s="695">
        <v>40</v>
      </c>
      <c r="J525" s="695">
        <v>0.1</v>
      </c>
      <c r="K525" s="777">
        <f t="shared" si="97"/>
        <v>2.2727272727272731E-3</v>
      </c>
      <c r="L525" s="968">
        <v>0</v>
      </c>
      <c r="M525" s="503">
        <f t="shared" si="88"/>
        <v>14</v>
      </c>
      <c r="N525" s="504">
        <v>0.60763888888888895</v>
      </c>
      <c r="O525" s="719">
        <f t="shared" si="89"/>
        <v>0.60763888888888895</v>
      </c>
      <c r="P525" s="564"/>
      <c r="Q525" s="564">
        <f t="shared" si="96"/>
        <v>-0.60763888888888895</v>
      </c>
      <c r="R525" s="965" t="s">
        <v>1520</v>
      </c>
      <c r="S525" s="487"/>
      <c r="T525" s="29"/>
      <c r="U525" s="29" t="str">
        <f t="shared" si="90"/>
        <v>OchiltreeF0</v>
      </c>
      <c r="V525" s="29" t="str">
        <f t="shared" si="91"/>
        <v>1987F0</v>
      </c>
      <c r="W525" s="80">
        <v>20</v>
      </c>
      <c r="X525" s="32">
        <v>0.1</v>
      </c>
      <c r="Y525" s="467">
        <v>2E-3</v>
      </c>
      <c r="Z525" s="80"/>
      <c r="AA525" s="29" t="str">
        <f t="shared" si="92"/>
        <v>F020</v>
      </c>
      <c r="AB525" s="29" t="str">
        <f t="shared" si="93"/>
        <v>F00.1</v>
      </c>
      <c r="AC525" s="29" t="str">
        <f t="shared" si="94"/>
        <v>F00.002</v>
      </c>
      <c r="AD525" s="29" t="str">
        <f t="shared" si="95"/>
        <v>F014</v>
      </c>
      <c r="AE525" s="443"/>
      <c r="AF525" s="443"/>
      <c r="AG525" s="443"/>
      <c r="AH525" s="443"/>
    </row>
    <row r="526" spans="1:34" ht="16.5">
      <c r="A526" s="728">
        <f t="shared" si="98"/>
        <v>519</v>
      </c>
      <c r="B526" s="563">
        <v>26</v>
      </c>
      <c r="C526" s="694">
        <v>31959</v>
      </c>
      <c r="D526" s="694" t="s">
        <v>150</v>
      </c>
      <c r="E526" s="695">
        <v>1</v>
      </c>
      <c r="F526" s="503">
        <v>1987</v>
      </c>
      <c r="G526" s="563" t="s">
        <v>109</v>
      </c>
      <c r="H526" s="503" t="s">
        <v>123</v>
      </c>
      <c r="I526" s="695">
        <v>80</v>
      </c>
      <c r="J526" s="695">
        <v>3</v>
      </c>
      <c r="K526" s="777">
        <f t="shared" si="97"/>
        <v>0.13636363636363635</v>
      </c>
      <c r="L526" s="968">
        <v>0</v>
      </c>
      <c r="M526" s="503">
        <f t="shared" si="88"/>
        <v>19</v>
      </c>
      <c r="N526" s="504">
        <v>0.79513888888888884</v>
      </c>
      <c r="O526" s="719">
        <f t="shared" si="89"/>
        <v>0.79513888888888884</v>
      </c>
      <c r="P526" s="564"/>
      <c r="Q526" s="564">
        <f t="shared" si="96"/>
        <v>-0.79513888888888884</v>
      </c>
      <c r="R526" s="965" t="s">
        <v>1520</v>
      </c>
      <c r="S526" s="487" t="s">
        <v>1119</v>
      </c>
      <c r="T526" s="29"/>
      <c r="U526" s="29" t="str">
        <f t="shared" si="90"/>
        <v>HutchinsonF1</v>
      </c>
      <c r="V526" s="29" t="str">
        <f t="shared" si="91"/>
        <v>1987F1</v>
      </c>
      <c r="W526" s="80">
        <v>50</v>
      </c>
      <c r="X526" s="32">
        <v>2</v>
      </c>
      <c r="Y526" s="467">
        <v>0.1</v>
      </c>
      <c r="Z526" s="80"/>
      <c r="AA526" s="29" t="str">
        <f t="shared" si="92"/>
        <v>F150</v>
      </c>
      <c r="AB526" s="29" t="str">
        <f t="shared" si="93"/>
        <v>F12</v>
      </c>
      <c r="AC526" s="29" t="str">
        <f t="shared" si="94"/>
        <v>F10.1</v>
      </c>
      <c r="AD526" s="29" t="str">
        <f t="shared" si="95"/>
        <v>F119</v>
      </c>
      <c r="AE526" s="443"/>
      <c r="AF526" s="443"/>
      <c r="AG526" s="443"/>
      <c r="AH526" s="443"/>
    </row>
    <row r="527" spans="1:34" ht="16.5">
      <c r="A527" s="728">
        <f t="shared" si="98"/>
        <v>520</v>
      </c>
      <c r="B527" s="563">
        <v>27</v>
      </c>
      <c r="C527" s="694">
        <v>31959</v>
      </c>
      <c r="D527" s="694" t="s">
        <v>150</v>
      </c>
      <c r="E527" s="695">
        <v>1</v>
      </c>
      <c r="F527" s="503">
        <v>1987</v>
      </c>
      <c r="G527" s="563" t="s">
        <v>114</v>
      </c>
      <c r="H527" s="503" t="s">
        <v>124</v>
      </c>
      <c r="I527" s="695">
        <v>200</v>
      </c>
      <c r="J527" s="695">
        <v>4.5</v>
      </c>
      <c r="K527" s="777">
        <f t="shared" si="97"/>
        <v>0.51136363636363635</v>
      </c>
      <c r="L527" s="968">
        <v>0</v>
      </c>
      <c r="M527" s="503">
        <f t="shared" si="88"/>
        <v>19</v>
      </c>
      <c r="N527" s="504">
        <v>0.8125</v>
      </c>
      <c r="O527" s="719">
        <f t="shared" si="89"/>
        <v>0.8125</v>
      </c>
      <c r="P527" s="564"/>
      <c r="Q527" s="564">
        <f t="shared" si="96"/>
        <v>-0.8125</v>
      </c>
      <c r="R527" s="965" t="s">
        <v>1520</v>
      </c>
      <c r="S527" s="487" t="s">
        <v>1120</v>
      </c>
      <c r="T527" s="29"/>
      <c r="U527" s="29" t="str">
        <f t="shared" si="90"/>
        <v>CarsonF2</v>
      </c>
      <c r="V527" s="29" t="str">
        <f t="shared" si="91"/>
        <v>1987F2</v>
      </c>
      <c r="W527" s="80">
        <v>200</v>
      </c>
      <c r="X527" s="32">
        <v>2</v>
      </c>
      <c r="Y527" s="467">
        <v>0.5</v>
      </c>
      <c r="Z527" s="80"/>
      <c r="AA527" s="29" t="str">
        <f t="shared" si="92"/>
        <v>F2200</v>
      </c>
      <c r="AB527" s="29" t="str">
        <f t="shared" si="93"/>
        <v>F22</v>
      </c>
      <c r="AC527" s="29" t="str">
        <f t="shared" si="94"/>
        <v>F20.5</v>
      </c>
      <c r="AD527" s="29" t="str">
        <f t="shared" si="95"/>
        <v>F219</v>
      </c>
      <c r="AE527" s="443"/>
      <c r="AF527" s="443"/>
      <c r="AG527" s="443"/>
      <c r="AH527" s="443"/>
    </row>
    <row r="528" spans="1:34" ht="25.5">
      <c r="A528" s="728">
        <f t="shared" si="98"/>
        <v>521</v>
      </c>
      <c r="B528" s="563">
        <v>28</v>
      </c>
      <c r="C528" s="694">
        <v>31959</v>
      </c>
      <c r="D528" s="694" t="s">
        <v>150</v>
      </c>
      <c r="E528" s="695">
        <v>1</v>
      </c>
      <c r="F528" s="503">
        <v>1987</v>
      </c>
      <c r="G528" s="563" t="s">
        <v>114</v>
      </c>
      <c r="H528" s="503" t="s">
        <v>124</v>
      </c>
      <c r="I528" s="695">
        <v>150</v>
      </c>
      <c r="J528" s="695">
        <v>3</v>
      </c>
      <c r="K528" s="777">
        <f t="shared" si="97"/>
        <v>0.25568181818181818</v>
      </c>
      <c r="L528" s="968">
        <v>25000</v>
      </c>
      <c r="M528" s="503">
        <f t="shared" si="88"/>
        <v>20</v>
      </c>
      <c r="N528" s="504">
        <v>0.87291666666666667</v>
      </c>
      <c r="O528" s="719">
        <f t="shared" si="89"/>
        <v>0.87291666666666667</v>
      </c>
      <c r="P528" s="504">
        <v>0.88194444444444453</v>
      </c>
      <c r="Q528" s="564">
        <f t="shared" si="96"/>
        <v>9.0277777777778567E-3</v>
      </c>
      <c r="R528" s="965" t="s">
        <v>1527</v>
      </c>
      <c r="S528" s="487" t="s">
        <v>1121</v>
      </c>
      <c r="T528" s="29"/>
      <c r="U528" s="29" t="str">
        <f t="shared" si="90"/>
        <v>CarsonF2</v>
      </c>
      <c r="V528" s="29" t="str">
        <f t="shared" si="91"/>
        <v>1987F2</v>
      </c>
      <c r="W528" s="80">
        <v>100</v>
      </c>
      <c r="X528" s="32">
        <v>2</v>
      </c>
      <c r="Y528" s="467">
        <v>0.2</v>
      </c>
      <c r="Z528" s="80"/>
      <c r="AA528" s="29" t="str">
        <f t="shared" si="92"/>
        <v>F2100</v>
      </c>
      <c r="AB528" s="29" t="str">
        <f t="shared" si="93"/>
        <v>F22</v>
      </c>
      <c r="AC528" s="29" t="str">
        <f t="shared" si="94"/>
        <v>F20.2</v>
      </c>
      <c r="AD528" s="29" t="str">
        <f t="shared" si="95"/>
        <v>F220</v>
      </c>
      <c r="AE528" s="443"/>
      <c r="AF528" s="443"/>
      <c r="AG528" s="443"/>
      <c r="AH528" s="443"/>
    </row>
    <row r="529" spans="1:34" ht="28.5" customHeight="1">
      <c r="A529" s="728">
        <f t="shared" si="98"/>
        <v>522</v>
      </c>
      <c r="B529" s="563">
        <v>29</v>
      </c>
      <c r="C529" s="694">
        <v>31959</v>
      </c>
      <c r="D529" s="694" t="s">
        <v>150</v>
      </c>
      <c r="E529" s="695">
        <v>1</v>
      </c>
      <c r="F529" s="503">
        <v>1987</v>
      </c>
      <c r="G529" s="563" t="s">
        <v>119</v>
      </c>
      <c r="H529" s="503" t="s">
        <v>124</v>
      </c>
      <c r="I529" s="695">
        <v>150</v>
      </c>
      <c r="J529" s="695">
        <v>6</v>
      </c>
      <c r="K529" s="777">
        <f t="shared" si="97"/>
        <v>0.51136363636363635</v>
      </c>
      <c r="L529" s="968">
        <v>25000</v>
      </c>
      <c r="M529" s="503">
        <f t="shared" si="88"/>
        <v>21</v>
      </c>
      <c r="N529" s="504">
        <v>0.88194444444444453</v>
      </c>
      <c r="O529" s="719">
        <f t="shared" si="89"/>
        <v>0.88194444444444453</v>
      </c>
      <c r="P529" s="504">
        <v>0.89930555555555547</v>
      </c>
      <c r="Q529" s="564">
        <f t="shared" si="96"/>
        <v>1.7361111111110938E-2</v>
      </c>
      <c r="R529" s="965" t="s">
        <v>1520</v>
      </c>
      <c r="S529" s="487" t="s">
        <v>827</v>
      </c>
      <c r="T529" s="29"/>
      <c r="U529" s="29" t="str">
        <f t="shared" si="90"/>
        <v>ArmstrongF2</v>
      </c>
      <c r="V529" s="29" t="str">
        <f t="shared" si="91"/>
        <v>1987F2</v>
      </c>
      <c r="W529" s="80">
        <v>100</v>
      </c>
      <c r="X529" s="32">
        <v>5</v>
      </c>
      <c r="Y529" s="467">
        <v>0.5</v>
      </c>
      <c r="Z529" s="80"/>
      <c r="AA529" s="29" t="str">
        <f t="shared" si="92"/>
        <v>F2100</v>
      </c>
      <c r="AB529" s="29" t="str">
        <f t="shared" si="93"/>
        <v>F25</v>
      </c>
      <c r="AC529" s="29" t="str">
        <f t="shared" si="94"/>
        <v>F20.5</v>
      </c>
      <c r="AD529" s="29" t="str">
        <f t="shared" si="95"/>
        <v>F221</v>
      </c>
      <c r="AE529" s="443"/>
      <c r="AF529" s="443"/>
      <c r="AG529" s="443"/>
      <c r="AH529" s="443"/>
    </row>
    <row r="530" spans="1:34" ht="16.5">
      <c r="A530" s="728">
        <f t="shared" si="98"/>
        <v>523</v>
      </c>
      <c r="B530" s="563">
        <v>30</v>
      </c>
      <c r="C530" s="694">
        <v>31965</v>
      </c>
      <c r="D530" s="694" t="s">
        <v>150</v>
      </c>
      <c r="E530" s="695">
        <v>7</v>
      </c>
      <c r="F530" s="503">
        <v>1987</v>
      </c>
      <c r="G530" s="563" t="s">
        <v>103</v>
      </c>
      <c r="H530" s="503" t="s">
        <v>123</v>
      </c>
      <c r="I530" s="695">
        <v>40</v>
      </c>
      <c r="J530" s="695">
        <v>0.5</v>
      </c>
      <c r="K530" s="777">
        <f t="shared" si="97"/>
        <v>1.1363636363636364E-2</v>
      </c>
      <c r="L530" s="968">
        <v>250000</v>
      </c>
      <c r="M530" s="503">
        <f t="shared" si="88"/>
        <v>18</v>
      </c>
      <c r="N530" s="504">
        <v>0.77777777777777779</v>
      </c>
      <c r="O530" s="719">
        <f t="shared" si="89"/>
        <v>0.77777777777777779</v>
      </c>
      <c r="P530" s="564"/>
      <c r="Q530" s="564">
        <f t="shared" si="96"/>
        <v>-0.77777777777777779</v>
      </c>
      <c r="R530" s="965" t="s">
        <v>1520</v>
      </c>
      <c r="S530" s="487"/>
      <c r="T530" s="29"/>
      <c r="U530" s="29" t="str">
        <f t="shared" si="90"/>
        <v>ShermanF1</v>
      </c>
      <c r="V530" s="29" t="str">
        <f t="shared" si="91"/>
        <v>1987F1</v>
      </c>
      <c r="W530" s="80">
        <v>20</v>
      </c>
      <c r="X530" s="32">
        <v>0.5</v>
      </c>
      <c r="Y530" s="467">
        <v>0.01</v>
      </c>
      <c r="Z530" s="80"/>
      <c r="AA530" s="29" t="str">
        <f t="shared" si="92"/>
        <v>F120</v>
      </c>
      <c r="AB530" s="29" t="str">
        <f t="shared" si="93"/>
        <v>F10.5</v>
      </c>
      <c r="AC530" s="29" t="str">
        <f t="shared" si="94"/>
        <v>F10.01</v>
      </c>
      <c r="AD530" s="29" t="str">
        <f t="shared" si="95"/>
        <v>F118</v>
      </c>
      <c r="AE530" s="443"/>
      <c r="AF530" s="443"/>
      <c r="AG530" s="443"/>
      <c r="AH530" s="443"/>
    </row>
    <row r="531" spans="1:34" ht="16.5">
      <c r="A531" s="728">
        <f t="shared" si="98"/>
        <v>524</v>
      </c>
      <c r="B531" s="563">
        <v>31</v>
      </c>
      <c r="C531" s="694">
        <v>31972</v>
      </c>
      <c r="D531" s="694" t="s">
        <v>150</v>
      </c>
      <c r="E531" s="695">
        <v>14</v>
      </c>
      <c r="F531" s="503">
        <v>1987</v>
      </c>
      <c r="G531" s="563" t="s">
        <v>104</v>
      </c>
      <c r="H531" s="503" t="s">
        <v>122</v>
      </c>
      <c r="I531" s="695">
        <v>60</v>
      </c>
      <c r="J531" s="695">
        <v>1</v>
      </c>
      <c r="K531" s="777">
        <f t="shared" si="97"/>
        <v>3.4090909090909088E-2</v>
      </c>
      <c r="L531" s="968">
        <v>0</v>
      </c>
      <c r="M531" s="503">
        <f t="shared" si="88"/>
        <v>15</v>
      </c>
      <c r="N531" s="504">
        <v>0.66111111111111109</v>
      </c>
      <c r="O531" s="719">
        <f t="shared" si="89"/>
        <v>0.66111111111111109</v>
      </c>
      <c r="P531" s="564"/>
      <c r="Q531" s="564">
        <f t="shared" si="96"/>
        <v>-0.66111111111111109</v>
      </c>
      <c r="R531" s="965" t="s">
        <v>1520</v>
      </c>
      <c r="S531" s="487"/>
      <c r="T531" s="29"/>
      <c r="U531" s="29" t="str">
        <f t="shared" si="90"/>
        <v>HansfordF0</v>
      </c>
      <c r="V531" s="29" t="str">
        <f t="shared" si="91"/>
        <v>1987F0</v>
      </c>
      <c r="W531" s="80">
        <v>50</v>
      </c>
      <c r="X531" s="32">
        <v>1</v>
      </c>
      <c r="Y531" s="467">
        <v>0.02</v>
      </c>
      <c r="Z531" s="80"/>
      <c r="AA531" s="29" t="str">
        <f t="shared" si="92"/>
        <v>F050</v>
      </c>
      <c r="AB531" s="29" t="str">
        <f t="shared" si="93"/>
        <v>F01</v>
      </c>
      <c r="AC531" s="29" t="str">
        <f t="shared" si="94"/>
        <v>F00.02</v>
      </c>
      <c r="AD531" s="29" t="str">
        <f t="shared" si="95"/>
        <v>F015</v>
      </c>
      <c r="AE531" s="443"/>
      <c r="AF531" s="443"/>
      <c r="AG531" s="443"/>
      <c r="AH531" s="443"/>
    </row>
    <row r="532" spans="1:34" ht="16.5">
      <c r="A532" s="728">
        <f t="shared" si="98"/>
        <v>525</v>
      </c>
      <c r="B532" s="563">
        <v>32</v>
      </c>
      <c r="C532" s="694">
        <v>31972</v>
      </c>
      <c r="D532" s="694" t="s">
        <v>150</v>
      </c>
      <c r="E532" s="695">
        <v>14</v>
      </c>
      <c r="F532" s="503">
        <v>1987</v>
      </c>
      <c r="G532" s="563" t="s">
        <v>105</v>
      </c>
      <c r="H532" s="503" t="s">
        <v>123</v>
      </c>
      <c r="I532" s="695">
        <v>90</v>
      </c>
      <c r="J532" s="695">
        <v>2</v>
      </c>
      <c r="K532" s="777">
        <f t="shared" si="97"/>
        <v>0.10227272727272728</v>
      </c>
      <c r="L532" s="968">
        <v>25000</v>
      </c>
      <c r="M532" s="503">
        <f t="shared" si="88"/>
        <v>15</v>
      </c>
      <c r="N532" s="504">
        <v>0.66319444444444442</v>
      </c>
      <c r="O532" s="719">
        <f t="shared" si="89"/>
        <v>0.66319444444444442</v>
      </c>
      <c r="P532" s="564"/>
      <c r="Q532" s="564">
        <f t="shared" si="96"/>
        <v>-0.66319444444444442</v>
      </c>
      <c r="R532" s="965" t="s">
        <v>1520</v>
      </c>
      <c r="S532" s="487"/>
      <c r="T532" s="29"/>
      <c r="U532" s="29" t="str">
        <f t="shared" si="90"/>
        <v>OchiltreeF1</v>
      </c>
      <c r="V532" s="29" t="str">
        <f t="shared" si="91"/>
        <v>1987F1</v>
      </c>
      <c r="W532" s="80">
        <v>50</v>
      </c>
      <c r="X532" s="32">
        <v>2</v>
      </c>
      <c r="Y532" s="467">
        <v>0.1</v>
      </c>
      <c r="Z532" s="80"/>
      <c r="AA532" s="29" t="str">
        <f t="shared" si="92"/>
        <v>F150</v>
      </c>
      <c r="AB532" s="29" t="str">
        <f t="shared" si="93"/>
        <v>F12</v>
      </c>
      <c r="AC532" s="29" t="str">
        <f t="shared" si="94"/>
        <v>F10.1</v>
      </c>
      <c r="AD532" s="29" t="str">
        <f t="shared" si="95"/>
        <v>F115</v>
      </c>
      <c r="AE532" s="443"/>
      <c r="AF532" s="443"/>
      <c r="AG532" s="443"/>
      <c r="AH532" s="443"/>
    </row>
    <row r="533" spans="1:34" ht="16.5">
      <c r="A533" s="728">
        <f t="shared" si="98"/>
        <v>526</v>
      </c>
      <c r="B533" s="563">
        <v>33</v>
      </c>
      <c r="C533" s="694">
        <v>31972</v>
      </c>
      <c r="D533" s="694" t="s">
        <v>150</v>
      </c>
      <c r="E533" s="695">
        <v>14</v>
      </c>
      <c r="F533" s="503">
        <v>1987</v>
      </c>
      <c r="G533" s="563" t="s">
        <v>115</v>
      </c>
      <c r="H533" s="503" t="s">
        <v>124</v>
      </c>
      <c r="I533" s="695">
        <v>150</v>
      </c>
      <c r="J533" s="695">
        <v>4.5</v>
      </c>
      <c r="K533" s="777">
        <f t="shared" si="97"/>
        <v>0.38352272727272724</v>
      </c>
      <c r="L533" s="968">
        <v>2500000</v>
      </c>
      <c r="M533" s="503">
        <f t="shared" si="88"/>
        <v>18</v>
      </c>
      <c r="N533" s="504">
        <v>0.75</v>
      </c>
      <c r="O533" s="719">
        <f t="shared" si="89"/>
        <v>0.75</v>
      </c>
      <c r="P533" s="564"/>
      <c r="Q533" s="564">
        <f t="shared" si="96"/>
        <v>-0.75</v>
      </c>
      <c r="R533" s="965" t="s">
        <v>1530</v>
      </c>
      <c r="S533" s="487" t="s">
        <v>1122</v>
      </c>
      <c r="T533" s="29"/>
      <c r="U533" s="29" t="str">
        <f t="shared" si="90"/>
        <v>GrayF2</v>
      </c>
      <c r="V533" s="29" t="str">
        <f t="shared" si="91"/>
        <v>1987F2</v>
      </c>
      <c r="W533" s="80">
        <v>100</v>
      </c>
      <c r="X533" s="32">
        <v>2</v>
      </c>
      <c r="Y533" s="467">
        <v>0.2</v>
      </c>
      <c r="Z533" s="80"/>
      <c r="AA533" s="29" t="str">
        <f t="shared" si="92"/>
        <v>F2100</v>
      </c>
      <c r="AB533" s="29" t="str">
        <f t="shared" si="93"/>
        <v>F22</v>
      </c>
      <c r="AC533" s="29" t="str">
        <f t="shared" si="94"/>
        <v>F20.2</v>
      </c>
      <c r="AD533" s="29" t="str">
        <f t="shared" si="95"/>
        <v>F218</v>
      </c>
      <c r="AE533" s="443"/>
      <c r="AF533" s="443"/>
      <c r="AG533" s="443"/>
      <c r="AH533" s="443"/>
    </row>
    <row r="534" spans="1:34" ht="16.5">
      <c r="A534" s="728">
        <f t="shared" si="98"/>
        <v>527</v>
      </c>
      <c r="B534" s="563">
        <v>34</v>
      </c>
      <c r="C534" s="694">
        <v>32031</v>
      </c>
      <c r="D534" s="694" t="s">
        <v>152</v>
      </c>
      <c r="E534" s="695">
        <v>11</v>
      </c>
      <c r="F534" s="503">
        <v>1987</v>
      </c>
      <c r="G534" s="563" t="s">
        <v>104</v>
      </c>
      <c r="H534" s="503" t="s">
        <v>122</v>
      </c>
      <c r="I534" s="695">
        <v>40</v>
      </c>
      <c r="J534" s="695">
        <v>0.1</v>
      </c>
      <c r="K534" s="777">
        <f t="shared" si="97"/>
        <v>2.2727272727272731E-3</v>
      </c>
      <c r="L534" s="968">
        <v>0</v>
      </c>
      <c r="M534" s="503">
        <f t="shared" si="88"/>
        <v>21</v>
      </c>
      <c r="N534" s="504">
        <v>0.90277777777777779</v>
      </c>
      <c r="O534" s="719">
        <f t="shared" si="89"/>
        <v>0.90277777777777779</v>
      </c>
      <c r="P534" s="564"/>
      <c r="Q534" s="564">
        <f t="shared" si="96"/>
        <v>-0.90277777777777779</v>
      </c>
      <c r="R534" s="965" t="s">
        <v>1520</v>
      </c>
      <c r="S534" s="487"/>
      <c r="T534" s="29"/>
      <c r="U534" s="29" t="str">
        <f t="shared" si="90"/>
        <v>HansfordF0</v>
      </c>
      <c r="V534" s="29" t="str">
        <f t="shared" si="91"/>
        <v>1987F0</v>
      </c>
      <c r="W534" s="80">
        <v>20</v>
      </c>
      <c r="X534" s="32">
        <v>0.1</v>
      </c>
      <c r="Y534" s="467">
        <v>2E-3</v>
      </c>
      <c r="Z534" s="80"/>
      <c r="AA534" s="29" t="str">
        <f t="shared" si="92"/>
        <v>F020</v>
      </c>
      <c r="AB534" s="29" t="str">
        <f t="shared" si="93"/>
        <v>F00.1</v>
      </c>
      <c r="AC534" s="29" t="str">
        <f t="shared" si="94"/>
        <v>F00.002</v>
      </c>
      <c r="AD534" s="29" t="str">
        <f t="shared" si="95"/>
        <v>F021</v>
      </c>
      <c r="AE534" s="443"/>
      <c r="AF534" s="443"/>
      <c r="AG534" s="443"/>
      <c r="AH534" s="443"/>
    </row>
    <row r="535" spans="1:34" ht="16.5">
      <c r="A535" s="728">
        <f t="shared" si="98"/>
        <v>528</v>
      </c>
      <c r="B535" s="563">
        <v>1</v>
      </c>
      <c r="C535" s="694">
        <v>32293</v>
      </c>
      <c r="D535" s="694" t="s">
        <v>148</v>
      </c>
      <c r="E535" s="695">
        <v>30</v>
      </c>
      <c r="F535" s="503">
        <v>1988</v>
      </c>
      <c r="G535" s="563" t="s">
        <v>99</v>
      </c>
      <c r="H535" s="503" t="s">
        <v>123</v>
      </c>
      <c r="I535" s="695">
        <v>73</v>
      </c>
      <c r="J535" s="695">
        <v>10</v>
      </c>
      <c r="K535" s="777">
        <f t="shared" si="97"/>
        <v>0.41477272727272729</v>
      </c>
      <c r="L535" s="968">
        <v>25000</v>
      </c>
      <c r="M535" s="503">
        <f t="shared" si="88"/>
        <v>18</v>
      </c>
      <c r="N535" s="504">
        <v>0.76041666666666663</v>
      </c>
      <c r="O535" s="719">
        <f t="shared" si="89"/>
        <v>0.76041666666666663</v>
      </c>
      <c r="P535" s="564"/>
      <c r="Q535" s="564">
        <f t="shared" si="96"/>
        <v>-0.76041666666666663</v>
      </c>
      <c r="R535" s="965" t="s">
        <v>1520</v>
      </c>
      <c r="S535" s="487"/>
      <c r="T535" s="29"/>
      <c r="U535" s="29" t="str">
        <f t="shared" si="90"/>
        <v>CimarronF1</v>
      </c>
      <c r="V535" s="29" t="str">
        <f t="shared" si="91"/>
        <v>1988F1</v>
      </c>
      <c r="W535" s="80">
        <v>50</v>
      </c>
      <c r="X535" s="32">
        <v>10</v>
      </c>
      <c r="Y535" s="467">
        <v>0.2</v>
      </c>
      <c r="Z535" s="80"/>
      <c r="AA535" s="29" t="str">
        <f t="shared" si="92"/>
        <v>F150</v>
      </c>
      <c r="AB535" s="29" t="str">
        <f t="shared" si="93"/>
        <v>F110</v>
      </c>
      <c r="AC535" s="29" t="str">
        <f t="shared" si="94"/>
        <v>F10.2</v>
      </c>
      <c r="AD535" s="29" t="str">
        <f t="shared" si="95"/>
        <v>F118</v>
      </c>
      <c r="AE535" s="443"/>
      <c r="AF535" s="443"/>
      <c r="AG535" s="443"/>
      <c r="AH535" s="443"/>
    </row>
    <row r="536" spans="1:34" ht="16.5">
      <c r="A536" s="728">
        <f t="shared" si="98"/>
        <v>529</v>
      </c>
      <c r="B536" s="563">
        <v>2</v>
      </c>
      <c r="C536" s="694">
        <v>32293</v>
      </c>
      <c r="D536" s="694" t="s">
        <v>148</v>
      </c>
      <c r="E536" s="695">
        <v>30</v>
      </c>
      <c r="F536" s="503">
        <v>1988</v>
      </c>
      <c r="G536" s="563" t="s">
        <v>102</v>
      </c>
      <c r="H536" s="503" t="s">
        <v>122</v>
      </c>
      <c r="I536" s="695">
        <v>100</v>
      </c>
      <c r="J536" s="695">
        <v>3</v>
      </c>
      <c r="K536" s="777">
        <f t="shared" si="97"/>
        <v>0.17045454545454544</v>
      </c>
      <c r="L536" s="968">
        <v>0</v>
      </c>
      <c r="M536" s="503">
        <f t="shared" si="88"/>
        <v>18</v>
      </c>
      <c r="N536" s="504">
        <v>0.77430555555555547</v>
      </c>
      <c r="O536" s="719">
        <f t="shared" si="89"/>
        <v>0.77430555555555547</v>
      </c>
      <c r="P536" s="564"/>
      <c r="Q536" s="564">
        <f t="shared" si="96"/>
        <v>-0.77430555555555547</v>
      </c>
      <c r="R536" s="965" t="s">
        <v>1520</v>
      </c>
      <c r="S536" s="487"/>
      <c r="T536" s="29"/>
      <c r="U536" s="29" t="str">
        <f t="shared" si="90"/>
        <v>DallamF0</v>
      </c>
      <c r="V536" s="29" t="str">
        <f t="shared" si="91"/>
        <v>1988F0</v>
      </c>
      <c r="W536" s="80">
        <v>100</v>
      </c>
      <c r="X536" s="32">
        <v>2</v>
      </c>
      <c r="Y536" s="467">
        <v>0.1</v>
      </c>
      <c r="Z536" s="80"/>
      <c r="AA536" s="29" t="str">
        <f t="shared" si="92"/>
        <v>F0100</v>
      </c>
      <c r="AB536" s="29" t="str">
        <f t="shared" si="93"/>
        <v>F02</v>
      </c>
      <c r="AC536" s="29" t="str">
        <f t="shared" si="94"/>
        <v>F00.1</v>
      </c>
      <c r="AD536" s="29" t="str">
        <f t="shared" si="95"/>
        <v>F018</v>
      </c>
      <c r="AE536" s="443"/>
      <c r="AF536" s="443"/>
      <c r="AG536" s="443"/>
      <c r="AH536" s="443"/>
    </row>
    <row r="537" spans="1:34" ht="16.5">
      <c r="A537" s="728">
        <f t="shared" si="98"/>
        <v>530</v>
      </c>
      <c r="B537" s="563">
        <v>3</v>
      </c>
      <c r="C537" s="694">
        <v>32372</v>
      </c>
      <c r="D537" s="694" t="s">
        <v>151</v>
      </c>
      <c r="E537" s="695">
        <v>17</v>
      </c>
      <c r="F537" s="503">
        <v>1988</v>
      </c>
      <c r="G537" s="563" t="s">
        <v>114</v>
      </c>
      <c r="H537" s="503" t="s">
        <v>122</v>
      </c>
      <c r="I537" s="695">
        <v>30</v>
      </c>
      <c r="J537" s="695">
        <v>0.1</v>
      </c>
      <c r="K537" s="777">
        <f t="shared" si="97"/>
        <v>1.7045454545454545E-3</v>
      </c>
      <c r="L537" s="968">
        <v>0</v>
      </c>
      <c r="M537" s="503">
        <f t="shared" si="88"/>
        <v>15</v>
      </c>
      <c r="N537" s="504">
        <v>0.66180555555555554</v>
      </c>
      <c r="O537" s="719">
        <f t="shared" si="89"/>
        <v>0.66180555555555554</v>
      </c>
      <c r="P537" s="564"/>
      <c r="Q537" s="564">
        <f t="shared" si="96"/>
        <v>-0.66180555555555554</v>
      </c>
      <c r="R537" s="965" t="s">
        <v>1520</v>
      </c>
      <c r="S537" s="487"/>
      <c r="T537" s="29"/>
      <c r="U537" s="29" t="str">
        <f t="shared" si="90"/>
        <v>CarsonF0</v>
      </c>
      <c r="V537" s="29" t="str">
        <f t="shared" si="91"/>
        <v>1988F0</v>
      </c>
      <c r="W537" s="80">
        <v>20</v>
      </c>
      <c r="X537" s="32">
        <v>0.1</v>
      </c>
      <c r="Y537" s="467">
        <v>1E-3</v>
      </c>
      <c r="Z537" s="80"/>
      <c r="AA537" s="29" t="str">
        <f t="shared" si="92"/>
        <v>F020</v>
      </c>
      <c r="AB537" s="29" t="str">
        <f t="shared" si="93"/>
        <v>F00.1</v>
      </c>
      <c r="AC537" s="29" t="str">
        <f t="shared" si="94"/>
        <v>F00.001</v>
      </c>
      <c r="AD537" s="29" t="str">
        <f t="shared" si="95"/>
        <v>F015</v>
      </c>
      <c r="AE537" s="443"/>
      <c r="AF537" s="443"/>
      <c r="AG537" s="443"/>
      <c r="AH537" s="443"/>
    </row>
    <row r="538" spans="1:34" ht="16.5">
      <c r="A538" s="728">
        <f t="shared" si="98"/>
        <v>531</v>
      </c>
      <c r="B538" s="563">
        <v>4</v>
      </c>
      <c r="C538" s="694">
        <v>32400</v>
      </c>
      <c r="D538" s="694" t="s">
        <v>152</v>
      </c>
      <c r="E538" s="695">
        <v>14</v>
      </c>
      <c r="F538" s="503">
        <v>1988</v>
      </c>
      <c r="G538" s="563" t="s">
        <v>118</v>
      </c>
      <c r="H538" s="503" t="s">
        <v>124</v>
      </c>
      <c r="I538" s="695">
        <v>173</v>
      </c>
      <c r="J538" s="695">
        <v>0.7</v>
      </c>
      <c r="K538" s="777">
        <f t="shared" si="97"/>
        <v>6.8806818181818177E-2</v>
      </c>
      <c r="L538" s="968">
        <v>250000</v>
      </c>
      <c r="M538" s="503">
        <f t="shared" si="88"/>
        <v>21</v>
      </c>
      <c r="N538" s="504">
        <v>0.875</v>
      </c>
      <c r="O538" s="719">
        <f t="shared" si="89"/>
        <v>0.875</v>
      </c>
      <c r="P538" s="564"/>
      <c r="Q538" s="564">
        <f t="shared" si="96"/>
        <v>-0.875</v>
      </c>
      <c r="R538" s="965" t="s">
        <v>1520</v>
      </c>
      <c r="S538" s="487" t="s">
        <v>450</v>
      </c>
      <c r="T538" s="29"/>
      <c r="U538" s="29" t="str">
        <f t="shared" si="90"/>
        <v>RandallF2</v>
      </c>
      <c r="V538" s="29" t="str">
        <f t="shared" si="91"/>
        <v>1988F2</v>
      </c>
      <c r="W538" s="80">
        <v>100</v>
      </c>
      <c r="X538" s="32">
        <v>0.5</v>
      </c>
      <c r="Y538" s="467">
        <v>0.05</v>
      </c>
      <c r="Z538" s="80"/>
      <c r="AA538" s="29" t="str">
        <f t="shared" si="92"/>
        <v>F2100</v>
      </c>
      <c r="AB538" s="29" t="str">
        <f t="shared" si="93"/>
        <v>F20.5</v>
      </c>
      <c r="AC538" s="29" t="str">
        <f t="shared" si="94"/>
        <v>F20.05</v>
      </c>
      <c r="AD538" s="29" t="str">
        <f t="shared" si="95"/>
        <v>F221</v>
      </c>
      <c r="AE538" s="443"/>
      <c r="AF538" s="443"/>
      <c r="AG538" s="443"/>
      <c r="AH538" s="443"/>
    </row>
    <row r="539" spans="1:34" ht="16.5">
      <c r="A539" s="728">
        <f t="shared" si="98"/>
        <v>532</v>
      </c>
      <c r="B539" s="563">
        <v>1</v>
      </c>
      <c r="C539" s="694">
        <v>32628</v>
      </c>
      <c r="D539" s="694" t="s">
        <v>147</v>
      </c>
      <c r="E539" s="695">
        <v>30</v>
      </c>
      <c r="F539" s="503">
        <v>1989</v>
      </c>
      <c r="G539" s="563" t="s">
        <v>108</v>
      </c>
      <c r="H539" s="503" t="s">
        <v>122</v>
      </c>
      <c r="I539" s="695">
        <v>40</v>
      </c>
      <c r="J539" s="695">
        <v>0.3</v>
      </c>
      <c r="K539" s="777">
        <f t="shared" si="97"/>
        <v>6.8181818181818179E-3</v>
      </c>
      <c r="L539" s="968">
        <v>0</v>
      </c>
      <c r="M539" s="503">
        <f t="shared" si="88"/>
        <v>17</v>
      </c>
      <c r="N539" s="504">
        <v>0.71875</v>
      </c>
      <c r="O539" s="719">
        <f t="shared" si="89"/>
        <v>0.71875</v>
      </c>
      <c r="P539" s="564"/>
      <c r="Q539" s="564">
        <f t="shared" si="96"/>
        <v>-0.71875</v>
      </c>
      <c r="R539" s="965" t="s">
        <v>1520</v>
      </c>
      <c r="S539" s="487"/>
      <c r="T539" s="29"/>
      <c r="U539" s="29" t="str">
        <f t="shared" si="90"/>
        <v>MooreF0</v>
      </c>
      <c r="V539" s="29" t="str">
        <f t="shared" si="91"/>
        <v>1989F0</v>
      </c>
      <c r="W539" s="80">
        <v>20</v>
      </c>
      <c r="X539" s="32">
        <v>0.2</v>
      </c>
      <c r="Y539" s="467">
        <v>5.0000000000000001E-3</v>
      </c>
      <c r="Z539" s="80"/>
      <c r="AA539" s="29" t="str">
        <f t="shared" si="92"/>
        <v>F020</v>
      </c>
      <c r="AB539" s="29" t="str">
        <f t="shared" si="93"/>
        <v>F00.2</v>
      </c>
      <c r="AC539" s="29" t="str">
        <f t="shared" si="94"/>
        <v>F00.005</v>
      </c>
      <c r="AD539" s="29" t="str">
        <f t="shared" si="95"/>
        <v>F017</v>
      </c>
      <c r="AE539" s="443"/>
      <c r="AF539" s="443"/>
      <c r="AG539" s="443"/>
      <c r="AH539" s="443"/>
    </row>
    <row r="540" spans="1:34" ht="16.5">
      <c r="A540" s="728">
        <f t="shared" si="98"/>
        <v>533</v>
      </c>
      <c r="B540" s="563">
        <v>2</v>
      </c>
      <c r="C540" s="694">
        <v>32628</v>
      </c>
      <c r="D540" s="694" t="s">
        <v>147</v>
      </c>
      <c r="E540" s="695">
        <v>30</v>
      </c>
      <c r="F540" s="503">
        <v>1989</v>
      </c>
      <c r="G540" s="563" t="s">
        <v>113</v>
      </c>
      <c r="H540" s="503" t="s">
        <v>122</v>
      </c>
      <c r="I540" s="695">
        <v>20</v>
      </c>
      <c r="J540" s="695">
        <v>0.1</v>
      </c>
      <c r="K540" s="777">
        <f t="shared" si="97"/>
        <v>1.1363636363636365E-3</v>
      </c>
      <c r="L540" s="968">
        <v>0</v>
      </c>
      <c r="M540" s="503">
        <f t="shared" si="88"/>
        <v>18</v>
      </c>
      <c r="N540" s="504">
        <v>0.76944444444444438</v>
      </c>
      <c r="O540" s="719">
        <f t="shared" si="89"/>
        <v>0.76944444444444438</v>
      </c>
      <c r="P540" s="564"/>
      <c r="Q540" s="564">
        <f t="shared" si="96"/>
        <v>-0.76944444444444438</v>
      </c>
      <c r="R540" s="965" t="s">
        <v>1520</v>
      </c>
      <c r="S540" s="487"/>
      <c r="T540" s="29"/>
      <c r="U540" s="29" t="str">
        <f t="shared" si="90"/>
        <v>PotterF0</v>
      </c>
      <c r="V540" s="29" t="str">
        <f t="shared" si="91"/>
        <v>1989F0</v>
      </c>
      <c r="W540" s="80">
        <v>20</v>
      </c>
      <c r="X540" s="32">
        <v>0.1</v>
      </c>
      <c r="Y540" s="467">
        <v>1E-3</v>
      </c>
      <c r="Z540" s="80"/>
      <c r="AA540" s="29" t="str">
        <f t="shared" si="92"/>
        <v>F020</v>
      </c>
      <c r="AB540" s="29" t="str">
        <f t="shared" si="93"/>
        <v>F00.1</v>
      </c>
      <c r="AC540" s="29" t="str">
        <f t="shared" si="94"/>
        <v>F00.001</v>
      </c>
      <c r="AD540" s="29" t="str">
        <f t="shared" si="95"/>
        <v>F018</v>
      </c>
      <c r="AE540" s="443"/>
      <c r="AF540" s="443"/>
      <c r="AG540" s="443"/>
      <c r="AH540" s="443"/>
    </row>
    <row r="541" spans="1:34" ht="16.5">
      <c r="A541" s="728">
        <f t="shared" si="98"/>
        <v>534</v>
      </c>
      <c r="B541" s="563">
        <v>3</v>
      </c>
      <c r="C541" s="694">
        <v>32628</v>
      </c>
      <c r="D541" s="694" t="s">
        <v>147</v>
      </c>
      <c r="E541" s="695">
        <v>30</v>
      </c>
      <c r="F541" s="503">
        <v>1989</v>
      </c>
      <c r="G541" s="563" t="s">
        <v>118</v>
      </c>
      <c r="H541" s="503" t="s">
        <v>122</v>
      </c>
      <c r="I541" s="695">
        <v>20</v>
      </c>
      <c r="J541" s="695">
        <v>0.2</v>
      </c>
      <c r="K541" s="777">
        <f t="shared" si="97"/>
        <v>2.2727272727272731E-3</v>
      </c>
      <c r="L541" s="968">
        <v>0</v>
      </c>
      <c r="M541" s="503">
        <f t="shared" si="88"/>
        <v>18</v>
      </c>
      <c r="N541" s="504">
        <v>0.76944444444444438</v>
      </c>
      <c r="O541" s="719">
        <f t="shared" si="89"/>
        <v>0.76944444444444438</v>
      </c>
      <c r="P541" s="564"/>
      <c r="Q541" s="564">
        <f t="shared" si="96"/>
        <v>-0.76944444444444438</v>
      </c>
      <c r="R541" s="965" t="s">
        <v>1520</v>
      </c>
      <c r="S541" s="487"/>
      <c r="T541" s="29"/>
      <c r="U541" s="29" t="str">
        <f t="shared" si="90"/>
        <v>RandallF0</v>
      </c>
      <c r="V541" s="29" t="str">
        <f t="shared" si="91"/>
        <v>1989F0</v>
      </c>
      <c r="W541" s="80">
        <v>20</v>
      </c>
      <c r="X541" s="32">
        <v>0.2</v>
      </c>
      <c r="Y541" s="467">
        <v>2E-3</v>
      </c>
      <c r="Z541" s="80"/>
      <c r="AA541" s="29" t="str">
        <f t="shared" si="92"/>
        <v>F020</v>
      </c>
      <c r="AB541" s="29" t="str">
        <f t="shared" si="93"/>
        <v>F00.2</v>
      </c>
      <c r="AC541" s="29" t="str">
        <f t="shared" si="94"/>
        <v>F00.002</v>
      </c>
      <c r="AD541" s="29" t="str">
        <f t="shared" si="95"/>
        <v>F018</v>
      </c>
      <c r="AE541" s="443"/>
      <c r="AF541" s="443"/>
      <c r="AG541" s="443"/>
      <c r="AH541" s="443"/>
    </row>
    <row r="542" spans="1:34" ht="16.5">
      <c r="A542" s="728">
        <f t="shared" si="98"/>
        <v>535</v>
      </c>
      <c r="B542" s="563">
        <v>4</v>
      </c>
      <c r="C542" s="694">
        <v>32632</v>
      </c>
      <c r="D542" s="694" t="s">
        <v>148</v>
      </c>
      <c r="E542" s="695">
        <v>4</v>
      </c>
      <c r="F542" s="503">
        <v>1989</v>
      </c>
      <c r="G542" s="563" t="s">
        <v>108</v>
      </c>
      <c r="H542" s="503" t="s">
        <v>122</v>
      </c>
      <c r="I542" s="695">
        <v>40</v>
      </c>
      <c r="J542" s="695">
        <v>1</v>
      </c>
      <c r="K542" s="777">
        <f t="shared" si="97"/>
        <v>2.2727272727272728E-2</v>
      </c>
      <c r="L542" s="968">
        <v>0</v>
      </c>
      <c r="M542" s="503">
        <f t="shared" ref="M542:M605" si="99">HOUR(O542)</f>
        <v>15</v>
      </c>
      <c r="N542" s="504">
        <v>0.64583333333333337</v>
      </c>
      <c r="O542" s="719">
        <f t="shared" si="89"/>
        <v>0.64583333333333337</v>
      </c>
      <c r="P542" s="564"/>
      <c r="Q542" s="564">
        <f t="shared" si="96"/>
        <v>-0.64583333333333337</v>
      </c>
      <c r="R542" s="965" t="s">
        <v>1520</v>
      </c>
      <c r="S542" s="487"/>
      <c r="U542" s="29" t="str">
        <f t="shared" si="90"/>
        <v>MooreF0</v>
      </c>
      <c r="V542" s="29" t="str">
        <f t="shared" si="91"/>
        <v>1989F0</v>
      </c>
      <c r="W542" s="80">
        <v>20</v>
      </c>
      <c r="X542" s="32">
        <v>1</v>
      </c>
      <c r="Y542" s="467">
        <v>0.02</v>
      </c>
      <c r="Z542" s="80"/>
      <c r="AA542" s="29" t="str">
        <f t="shared" si="92"/>
        <v>F020</v>
      </c>
      <c r="AB542" s="29" t="str">
        <f t="shared" si="93"/>
        <v>F01</v>
      </c>
      <c r="AC542" s="29" t="str">
        <f t="shared" si="94"/>
        <v>F00.02</v>
      </c>
      <c r="AD542" s="29" t="str">
        <f t="shared" si="95"/>
        <v>F015</v>
      </c>
      <c r="AE542" s="443"/>
      <c r="AF542" s="443"/>
      <c r="AG542" s="443"/>
      <c r="AH542" s="443"/>
    </row>
    <row r="543" spans="1:34" ht="16.5">
      <c r="A543" s="728">
        <f t="shared" si="98"/>
        <v>536</v>
      </c>
      <c r="B543" s="563">
        <v>5</v>
      </c>
      <c r="C543" s="694">
        <v>32632</v>
      </c>
      <c r="D543" s="694" t="s">
        <v>148</v>
      </c>
      <c r="E543" s="695">
        <v>4</v>
      </c>
      <c r="F543" s="503">
        <v>1989</v>
      </c>
      <c r="G543" s="563" t="s">
        <v>108</v>
      </c>
      <c r="H543" s="503" t="s">
        <v>122</v>
      </c>
      <c r="I543" s="695">
        <v>40</v>
      </c>
      <c r="J543" s="695">
        <v>1</v>
      </c>
      <c r="K543" s="777">
        <f t="shared" si="97"/>
        <v>2.2727272727272728E-2</v>
      </c>
      <c r="L543" s="968">
        <v>0</v>
      </c>
      <c r="M543" s="503">
        <f t="shared" si="99"/>
        <v>15</v>
      </c>
      <c r="N543" s="504">
        <v>0.65625</v>
      </c>
      <c r="O543" s="719">
        <f t="shared" si="89"/>
        <v>0.65625</v>
      </c>
      <c r="P543" s="564"/>
      <c r="Q543" s="564">
        <f t="shared" si="96"/>
        <v>-0.65625</v>
      </c>
      <c r="R543" s="965" t="s">
        <v>1520</v>
      </c>
      <c r="S543" s="487"/>
      <c r="U543" s="29" t="str">
        <f t="shared" si="90"/>
        <v>MooreF0</v>
      </c>
      <c r="V543" s="29" t="str">
        <f t="shared" si="91"/>
        <v>1989F0</v>
      </c>
      <c r="W543" s="80">
        <v>20</v>
      </c>
      <c r="X543" s="32">
        <v>1</v>
      </c>
      <c r="Y543" s="467">
        <v>0.02</v>
      </c>
      <c r="Z543" s="80"/>
      <c r="AA543" s="29" t="str">
        <f t="shared" si="92"/>
        <v>F020</v>
      </c>
      <c r="AB543" s="29" t="str">
        <f t="shared" si="93"/>
        <v>F01</v>
      </c>
      <c r="AC543" s="29" t="str">
        <f t="shared" si="94"/>
        <v>F00.02</v>
      </c>
      <c r="AD543" s="29" t="str">
        <f t="shared" si="95"/>
        <v>F015</v>
      </c>
      <c r="AE543" s="443"/>
      <c r="AF543" s="443"/>
      <c r="AG543" s="443"/>
      <c r="AH543" s="443"/>
    </row>
    <row r="544" spans="1:34" ht="16.5">
      <c r="A544" s="728">
        <f t="shared" si="98"/>
        <v>537</v>
      </c>
      <c r="B544" s="563">
        <v>6</v>
      </c>
      <c r="C544" s="694">
        <v>32632</v>
      </c>
      <c r="D544" s="694" t="s">
        <v>148</v>
      </c>
      <c r="E544" s="695">
        <v>4</v>
      </c>
      <c r="F544" s="503">
        <v>1989</v>
      </c>
      <c r="G544" s="563" t="s">
        <v>118</v>
      </c>
      <c r="H544" s="503" t="s">
        <v>122</v>
      </c>
      <c r="I544" s="695">
        <v>50</v>
      </c>
      <c r="J544" s="695">
        <v>2</v>
      </c>
      <c r="K544" s="777">
        <f t="shared" si="97"/>
        <v>5.6818181818181816E-2</v>
      </c>
      <c r="L544" s="968">
        <v>0</v>
      </c>
      <c r="M544" s="503">
        <f t="shared" si="99"/>
        <v>17</v>
      </c>
      <c r="N544" s="504">
        <v>0.71180555555555547</v>
      </c>
      <c r="O544" s="719">
        <f t="shared" si="89"/>
        <v>0.71180555555555547</v>
      </c>
      <c r="P544" s="564"/>
      <c r="Q544" s="564">
        <f t="shared" si="96"/>
        <v>-0.71180555555555547</v>
      </c>
      <c r="R544" s="965" t="s">
        <v>1520</v>
      </c>
      <c r="S544" s="487"/>
      <c r="U544" s="29" t="str">
        <f t="shared" si="90"/>
        <v>RandallF0</v>
      </c>
      <c r="V544" s="29" t="str">
        <f t="shared" si="91"/>
        <v>1989F0</v>
      </c>
      <c r="W544" s="80">
        <v>50</v>
      </c>
      <c r="X544" s="32">
        <v>2</v>
      </c>
      <c r="Y544" s="467">
        <v>0.05</v>
      </c>
      <c r="Z544" s="80"/>
      <c r="AA544" s="29" t="str">
        <f t="shared" si="92"/>
        <v>F050</v>
      </c>
      <c r="AB544" s="29" t="str">
        <f t="shared" si="93"/>
        <v>F02</v>
      </c>
      <c r="AC544" s="29" t="str">
        <f t="shared" si="94"/>
        <v>F00.05</v>
      </c>
      <c r="AD544" s="29" t="str">
        <f t="shared" si="95"/>
        <v>F017</v>
      </c>
      <c r="AE544" s="443"/>
      <c r="AF544" s="443"/>
      <c r="AG544" s="443"/>
      <c r="AH544" s="443"/>
    </row>
    <row r="545" spans="1:34" ht="16.5">
      <c r="A545" s="728">
        <f t="shared" si="98"/>
        <v>538</v>
      </c>
      <c r="B545" s="563">
        <v>7</v>
      </c>
      <c r="C545" s="694">
        <v>32640</v>
      </c>
      <c r="D545" s="694" t="s">
        <v>148</v>
      </c>
      <c r="E545" s="695">
        <v>12</v>
      </c>
      <c r="F545" s="503">
        <v>1989</v>
      </c>
      <c r="G545" s="563" t="s">
        <v>107</v>
      </c>
      <c r="H545" s="503" t="s">
        <v>124</v>
      </c>
      <c r="I545" s="695">
        <v>200</v>
      </c>
      <c r="J545" s="695">
        <v>7</v>
      </c>
      <c r="K545" s="777">
        <f t="shared" si="97"/>
        <v>0.79545454545454541</v>
      </c>
      <c r="L545" s="968">
        <v>0</v>
      </c>
      <c r="M545" s="503">
        <f t="shared" si="99"/>
        <v>17</v>
      </c>
      <c r="N545" s="504">
        <v>0.72638888888888886</v>
      </c>
      <c r="O545" s="719">
        <f t="shared" si="89"/>
        <v>0.72638888888888886</v>
      </c>
      <c r="P545" s="564"/>
      <c r="Q545" s="564">
        <f t="shared" si="96"/>
        <v>-0.72638888888888886</v>
      </c>
      <c r="R545" s="965" t="s">
        <v>1520</v>
      </c>
      <c r="S545" s="487"/>
      <c r="U545" s="29" t="str">
        <f t="shared" si="90"/>
        <v>HartleyF2</v>
      </c>
      <c r="V545" s="29" t="str">
        <f t="shared" si="91"/>
        <v>1989F2</v>
      </c>
      <c r="W545" s="80">
        <v>200</v>
      </c>
      <c r="X545" s="32">
        <v>5</v>
      </c>
      <c r="Y545" s="467">
        <v>0.5</v>
      </c>
      <c r="Z545" s="80"/>
      <c r="AA545" s="29" t="str">
        <f t="shared" si="92"/>
        <v>F2200</v>
      </c>
      <c r="AB545" s="29" t="str">
        <f t="shared" si="93"/>
        <v>F25</v>
      </c>
      <c r="AC545" s="29" t="str">
        <f t="shared" si="94"/>
        <v>F20.5</v>
      </c>
      <c r="AD545" s="29" t="str">
        <f t="shared" si="95"/>
        <v>F217</v>
      </c>
      <c r="AE545" s="443"/>
      <c r="AF545" s="443"/>
      <c r="AG545" s="443"/>
      <c r="AH545" s="443"/>
    </row>
    <row r="546" spans="1:34" ht="16.5">
      <c r="A546" s="728">
        <f t="shared" si="98"/>
        <v>539</v>
      </c>
      <c r="B546" s="563">
        <v>8</v>
      </c>
      <c r="C546" s="694">
        <v>32640</v>
      </c>
      <c r="D546" s="694" t="s">
        <v>148</v>
      </c>
      <c r="E546" s="695">
        <v>12</v>
      </c>
      <c r="F546" s="503">
        <v>1989</v>
      </c>
      <c r="G546" s="563" t="s">
        <v>112</v>
      </c>
      <c r="H546" s="503" t="s">
        <v>122</v>
      </c>
      <c r="I546" s="695">
        <v>60</v>
      </c>
      <c r="J546" s="695">
        <v>2</v>
      </c>
      <c r="K546" s="777">
        <f t="shared" si="97"/>
        <v>6.8181818181818177E-2</v>
      </c>
      <c r="L546" s="968">
        <v>0</v>
      </c>
      <c r="M546" s="503">
        <f t="shared" si="99"/>
        <v>18</v>
      </c>
      <c r="N546" s="504">
        <v>0.76875000000000004</v>
      </c>
      <c r="O546" s="719">
        <f t="shared" si="89"/>
        <v>0.76875000000000004</v>
      </c>
      <c r="P546" s="564"/>
      <c r="Q546" s="564">
        <f t="shared" si="96"/>
        <v>-0.76875000000000004</v>
      </c>
      <c r="R546" s="965" t="s">
        <v>1520</v>
      </c>
      <c r="S546" s="487"/>
      <c r="U546" s="29" t="str">
        <f t="shared" si="90"/>
        <v>OldhamF0</v>
      </c>
      <c r="V546" s="29" t="str">
        <f t="shared" si="91"/>
        <v>1989F0</v>
      </c>
      <c r="W546" s="80">
        <v>50</v>
      </c>
      <c r="X546" s="32">
        <v>2</v>
      </c>
      <c r="Y546" s="467">
        <v>0.05</v>
      </c>
      <c r="Z546" s="80"/>
      <c r="AA546" s="29" t="str">
        <f t="shared" si="92"/>
        <v>F050</v>
      </c>
      <c r="AB546" s="29" t="str">
        <f t="shared" si="93"/>
        <v>F02</v>
      </c>
      <c r="AC546" s="29" t="str">
        <f t="shared" si="94"/>
        <v>F00.05</v>
      </c>
      <c r="AD546" s="29" t="str">
        <f t="shared" si="95"/>
        <v>F018</v>
      </c>
      <c r="AE546" s="443"/>
      <c r="AF546" s="443"/>
      <c r="AG546" s="443"/>
      <c r="AH546" s="443"/>
    </row>
    <row r="547" spans="1:34" ht="16.5">
      <c r="A547" s="728">
        <f t="shared" si="98"/>
        <v>540</v>
      </c>
      <c r="B547" s="563">
        <v>9</v>
      </c>
      <c r="C547" s="694">
        <v>32643</v>
      </c>
      <c r="D547" s="694" t="s">
        <v>148</v>
      </c>
      <c r="E547" s="695">
        <v>15</v>
      </c>
      <c r="F547" s="503">
        <v>1989</v>
      </c>
      <c r="G547" s="563" t="s">
        <v>117</v>
      </c>
      <c r="H547" s="503" t="s">
        <v>122</v>
      </c>
      <c r="I547" s="695">
        <v>50</v>
      </c>
      <c r="J547" s="695">
        <v>1</v>
      </c>
      <c r="K547" s="777">
        <f t="shared" si="97"/>
        <v>2.8409090909090908E-2</v>
      </c>
      <c r="L547" s="968">
        <v>0</v>
      </c>
      <c r="M547" s="503">
        <f t="shared" si="99"/>
        <v>18</v>
      </c>
      <c r="N547" s="504">
        <v>0.76944444444444438</v>
      </c>
      <c r="O547" s="719">
        <f t="shared" si="89"/>
        <v>0.76944444444444438</v>
      </c>
      <c r="P547" s="564">
        <v>0.78125</v>
      </c>
      <c r="Q547" s="564">
        <f t="shared" si="96"/>
        <v>1.1805555555555625E-2</v>
      </c>
      <c r="R547" s="965" t="s">
        <v>1520</v>
      </c>
      <c r="S547" s="487" t="s">
        <v>61</v>
      </c>
      <c r="U547" s="29" t="str">
        <f t="shared" si="90"/>
        <v>Deaf SmithF0</v>
      </c>
      <c r="V547" s="29" t="str">
        <f t="shared" si="91"/>
        <v>1989F0</v>
      </c>
      <c r="W547" s="80">
        <v>50</v>
      </c>
      <c r="X547" s="32">
        <v>1</v>
      </c>
      <c r="Y547" s="467">
        <v>0.02</v>
      </c>
      <c r="Z547" s="80"/>
      <c r="AA547" s="29" t="str">
        <f t="shared" si="92"/>
        <v>F050</v>
      </c>
      <c r="AB547" s="29" t="str">
        <f t="shared" si="93"/>
        <v>F01</v>
      </c>
      <c r="AC547" s="29" t="str">
        <f t="shared" si="94"/>
        <v>F00.02</v>
      </c>
      <c r="AD547" s="29" t="str">
        <f t="shared" si="95"/>
        <v>F018</v>
      </c>
      <c r="AE547" s="443"/>
      <c r="AF547" s="443"/>
      <c r="AG547" s="443"/>
      <c r="AH547" s="443"/>
    </row>
    <row r="548" spans="1:34" ht="16.5">
      <c r="A548" s="728">
        <f t="shared" si="98"/>
        <v>541</v>
      </c>
      <c r="B548" s="563">
        <v>10</v>
      </c>
      <c r="C548" s="694">
        <v>32643</v>
      </c>
      <c r="D548" s="694" t="s">
        <v>148</v>
      </c>
      <c r="E548" s="695">
        <v>15</v>
      </c>
      <c r="F548" s="503">
        <v>1989</v>
      </c>
      <c r="G548" s="563" t="s">
        <v>112</v>
      </c>
      <c r="H548" s="503" t="s">
        <v>123</v>
      </c>
      <c r="I548" s="695">
        <v>210</v>
      </c>
      <c r="J548" s="695">
        <v>4</v>
      </c>
      <c r="K548" s="777">
        <f t="shared" si="97"/>
        <v>0.47727272727272729</v>
      </c>
      <c r="L548" s="968">
        <v>0</v>
      </c>
      <c r="M548" s="503">
        <f t="shared" si="99"/>
        <v>18</v>
      </c>
      <c r="N548" s="504">
        <v>0.78125</v>
      </c>
      <c r="O548" s="719">
        <f t="shared" si="89"/>
        <v>0.78125</v>
      </c>
      <c r="P548" s="564"/>
      <c r="Q548" s="564">
        <f t="shared" si="96"/>
        <v>-0.78125</v>
      </c>
      <c r="R548" s="965" t="s">
        <v>1520</v>
      </c>
      <c r="S548" s="487" t="s">
        <v>63</v>
      </c>
      <c r="U548" s="29" t="str">
        <f t="shared" si="90"/>
        <v>OldhamF1</v>
      </c>
      <c r="V548" s="29" t="str">
        <f t="shared" si="91"/>
        <v>1989F1</v>
      </c>
      <c r="W548" s="80">
        <v>200</v>
      </c>
      <c r="X548" s="32">
        <v>2</v>
      </c>
      <c r="Y548" s="467">
        <v>0.2</v>
      </c>
      <c r="Z548" s="80"/>
      <c r="AA548" s="29" t="str">
        <f t="shared" si="92"/>
        <v>F1200</v>
      </c>
      <c r="AB548" s="29" t="str">
        <f t="shared" si="93"/>
        <v>F12</v>
      </c>
      <c r="AC548" s="29" t="str">
        <f t="shared" si="94"/>
        <v>F10.2</v>
      </c>
      <c r="AD548" s="29" t="str">
        <f t="shared" si="95"/>
        <v>F118</v>
      </c>
      <c r="AE548" s="443"/>
      <c r="AF548" s="443"/>
      <c r="AG548" s="443"/>
      <c r="AH548" s="443"/>
    </row>
    <row r="549" spans="1:34" ht="16.5">
      <c r="A549" s="728">
        <f t="shared" si="98"/>
        <v>542</v>
      </c>
      <c r="B549" s="563">
        <v>11</v>
      </c>
      <c r="C549" s="694">
        <v>32643</v>
      </c>
      <c r="D549" s="694" t="s">
        <v>148</v>
      </c>
      <c r="E549" s="695">
        <v>15</v>
      </c>
      <c r="F549" s="503">
        <v>1989</v>
      </c>
      <c r="G549" s="563" t="s">
        <v>112</v>
      </c>
      <c r="H549" s="503" t="s">
        <v>122</v>
      </c>
      <c r="I549" s="695">
        <v>90</v>
      </c>
      <c r="J549" s="695">
        <v>1.5</v>
      </c>
      <c r="K549" s="777">
        <f t="shared" si="97"/>
        <v>7.6704545454545456E-2</v>
      </c>
      <c r="L549" s="968">
        <v>0</v>
      </c>
      <c r="M549" s="503">
        <f t="shared" si="99"/>
        <v>20</v>
      </c>
      <c r="N549" s="504">
        <v>0.83680555555555547</v>
      </c>
      <c r="O549" s="719">
        <f t="shared" si="89"/>
        <v>0.83680555555555547</v>
      </c>
      <c r="P549" s="564"/>
      <c r="Q549" s="564">
        <f t="shared" si="96"/>
        <v>-0.83680555555555547</v>
      </c>
      <c r="R549" s="965" t="s">
        <v>1520</v>
      </c>
      <c r="S549" s="487"/>
      <c r="U549" s="29" t="str">
        <f t="shared" si="90"/>
        <v>OldhamF0</v>
      </c>
      <c r="V549" s="29" t="str">
        <f t="shared" si="91"/>
        <v>1989F0</v>
      </c>
      <c r="W549" s="80">
        <v>50</v>
      </c>
      <c r="X549" s="32">
        <v>1</v>
      </c>
      <c r="Y549" s="467">
        <v>0.05</v>
      </c>
      <c r="Z549" s="80"/>
      <c r="AA549" s="29" t="str">
        <f t="shared" si="92"/>
        <v>F050</v>
      </c>
      <c r="AB549" s="29" t="str">
        <f t="shared" si="93"/>
        <v>F01</v>
      </c>
      <c r="AC549" s="29" t="str">
        <f t="shared" si="94"/>
        <v>F00.05</v>
      </c>
      <c r="AD549" s="29" t="str">
        <f t="shared" si="95"/>
        <v>F020</v>
      </c>
      <c r="AE549" s="443"/>
      <c r="AF549" s="443"/>
      <c r="AG549" s="443"/>
      <c r="AH549" s="443"/>
    </row>
    <row r="550" spans="1:34" ht="16.5">
      <c r="A550" s="728">
        <f t="shared" si="98"/>
        <v>543</v>
      </c>
      <c r="B550" s="563">
        <v>12</v>
      </c>
      <c r="C550" s="694">
        <v>32644</v>
      </c>
      <c r="D550" s="694" t="s">
        <v>148</v>
      </c>
      <c r="E550" s="695">
        <v>16</v>
      </c>
      <c r="F550" s="503">
        <v>1989</v>
      </c>
      <c r="G550" s="563" t="s">
        <v>112</v>
      </c>
      <c r="H550" s="503" t="s">
        <v>123</v>
      </c>
      <c r="I550" s="695">
        <v>80</v>
      </c>
      <c r="J550" s="695">
        <v>3</v>
      </c>
      <c r="K550" s="777">
        <f t="shared" si="97"/>
        <v>0.13636363636363635</v>
      </c>
      <c r="L550" s="968">
        <v>250000</v>
      </c>
      <c r="M550" s="503">
        <f t="shared" si="99"/>
        <v>13</v>
      </c>
      <c r="N550" s="504">
        <v>0.57986111111111105</v>
      </c>
      <c r="O550" s="719">
        <f t="shared" si="89"/>
        <v>0.57986111111111105</v>
      </c>
      <c r="P550" s="564"/>
      <c r="Q550" s="564">
        <f t="shared" si="96"/>
        <v>-0.57986111111111105</v>
      </c>
      <c r="R550" s="965" t="s">
        <v>1527</v>
      </c>
      <c r="S550" s="487"/>
      <c r="U550" s="29" t="str">
        <f t="shared" si="90"/>
        <v>OldhamF1</v>
      </c>
      <c r="V550" s="29" t="str">
        <f t="shared" si="91"/>
        <v>1989F1</v>
      </c>
      <c r="W550" s="80">
        <v>50</v>
      </c>
      <c r="X550" s="32">
        <v>2</v>
      </c>
      <c r="Y550" s="467">
        <v>0.1</v>
      </c>
      <c r="Z550" s="80"/>
      <c r="AA550" s="29" t="str">
        <f t="shared" si="92"/>
        <v>F150</v>
      </c>
      <c r="AB550" s="29" t="str">
        <f t="shared" si="93"/>
        <v>F12</v>
      </c>
      <c r="AC550" s="29" t="str">
        <f t="shared" si="94"/>
        <v>F10.1</v>
      </c>
      <c r="AD550" s="29" t="str">
        <f t="shared" si="95"/>
        <v>F113</v>
      </c>
      <c r="AE550" s="443"/>
      <c r="AF550" s="443"/>
      <c r="AG550" s="443"/>
      <c r="AH550" s="443"/>
    </row>
    <row r="551" spans="1:34" ht="16.5">
      <c r="A551" s="728">
        <f t="shared" si="98"/>
        <v>544</v>
      </c>
      <c r="B551" s="563">
        <v>13</v>
      </c>
      <c r="C551" s="694">
        <v>32644</v>
      </c>
      <c r="D551" s="694" t="s">
        <v>148</v>
      </c>
      <c r="E551" s="695">
        <v>16</v>
      </c>
      <c r="F551" s="503">
        <v>1989</v>
      </c>
      <c r="G551" s="563" t="s">
        <v>118</v>
      </c>
      <c r="H551" s="503" t="s">
        <v>122</v>
      </c>
      <c r="I551" s="695">
        <v>60</v>
      </c>
      <c r="J551" s="695">
        <v>1.5</v>
      </c>
      <c r="K551" s="777">
        <f t="shared" si="97"/>
        <v>5.1136363636363633E-2</v>
      </c>
      <c r="L551" s="968">
        <v>0</v>
      </c>
      <c r="M551" s="503">
        <f t="shared" si="99"/>
        <v>16</v>
      </c>
      <c r="N551" s="504">
        <v>0.68055555555555547</v>
      </c>
      <c r="O551" s="719">
        <f t="shared" si="89"/>
        <v>0.68055555555555547</v>
      </c>
      <c r="P551" s="564"/>
      <c r="Q551" s="564">
        <f t="shared" si="96"/>
        <v>-0.68055555555555547</v>
      </c>
      <c r="R551" s="965" t="s">
        <v>1520</v>
      </c>
      <c r="S551" s="487"/>
      <c r="T551" s="29"/>
      <c r="U551" s="29" t="str">
        <f t="shared" si="90"/>
        <v>RandallF0</v>
      </c>
      <c r="V551" s="29" t="str">
        <f t="shared" si="91"/>
        <v>1989F0</v>
      </c>
      <c r="W551" s="80">
        <v>50</v>
      </c>
      <c r="X551" s="32">
        <v>1</v>
      </c>
      <c r="Y551" s="467">
        <v>0.05</v>
      </c>
      <c r="Z551" s="80"/>
      <c r="AA551" s="29" t="str">
        <f t="shared" si="92"/>
        <v>F050</v>
      </c>
      <c r="AB551" s="29" t="str">
        <f t="shared" si="93"/>
        <v>F01</v>
      </c>
      <c r="AC551" s="29" t="str">
        <f t="shared" si="94"/>
        <v>F00.05</v>
      </c>
      <c r="AD551" s="29" t="str">
        <f t="shared" si="95"/>
        <v>F016</v>
      </c>
      <c r="AE551" s="443"/>
      <c r="AF551" s="443"/>
      <c r="AG551" s="443"/>
      <c r="AH551" s="443"/>
    </row>
    <row r="552" spans="1:34" ht="16.5">
      <c r="A552" s="728">
        <f t="shared" si="98"/>
        <v>545</v>
      </c>
      <c r="B552" s="563">
        <v>14</v>
      </c>
      <c r="C552" s="694">
        <v>32644</v>
      </c>
      <c r="D552" s="694" t="s">
        <v>148</v>
      </c>
      <c r="E552" s="695">
        <v>16</v>
      </c>
      <c r="F552" s="503">
        <v>1989</v>
      </c>
      <c r="G552" s="563" t="s">
        <v>118</v>
      </c>
      <c r="H552" s="503" t="s">
        <v>124</v>
      </c>
      <c r="I552" s="695">
        <v>300</v>
      </c>
      <c r="J552" s="695">
        <v>10</v>
      </c>
      <c r="K552" s="777">
        <f t="shared" si="97"/>
        <v>1.7045454545454544</v>
      </c>
      <c r="L552" s="968">
        <v>0</v>
      </c>
      <c r="M552" s="503">
        <f t="shared" si="99"/>
        <v>16</v>
      </c>
      <c r="N552" s="504">
        <v>0.69097222222222221</v>
      </c>
      <c r="O552" s="719">
        <f t="shared" si="89"/>
        <v>0.69097222222222221</v>
      </c>
      <c r="P552" s="564"/>
      <c r="Q552" s="564">
        <f t="shared" si="96"/>
        <v>-0.69097222222222221</v>
      </c>
      <c r="R552" s="965" t="s">
        <v>1520</v>
      </c>
      <c r="S552" s="487"/>
      <c r="T552" s="29"/>
      <c r="U552" s="29" t="str">
        <f t="shared" si="90"/>
        <v>RandallF2</v>
      </c>
      <c r="V552" s="29" t="str">
        <f t="shared" si="91"/>
        <v>1989F2</v>
      </c>
      <c r="W552" s="80">
        <v>200</v>
      </c>
      <c r="X552" s="32">
        <v>10</v>
      </c>
      <c r="Y552" s="467">
        <v>1</v>
      </c>
      <c r="Z552" s="80"/>
      <c r="AA552" s="29" t="str">
        <f t="shared" si="92"/>
        <v>F2200</v>
      </c>
      <c r="AB552" s="29" t="str">
        <f t="shared" si="93"/>
        <v>F210</v>
      </c>
      <c r="AC552" s="29" t="str">
        <f t="shared" si="94"/>
        <v>F21</v>
      </c>
      <c r="AD552" s="29" t="str">
        <f t="shared" si="95"/>
        <v>F216</v>
      </c>
      <c r="AE552" s="443"/>
      <c r="AF552" s="443"/>
      <c r="AG552" s="443"/>
      <c r="AH552" s="443"/>
    </row>
    <row r="553" spans="1:34" ht="16.5">
      <c r="A553" s="728">
        <f t="shared" si="98"/>
        <v>546</v>
      </c>
      <c r="B553" s="563">
        <v>15</v>
      </c>
      <c r="C553" s="694">
        <v>32644</v>
      </c>
      <c r="D553" s="694" t="s">
        <v>148</v>
      </c>
      <c r="E553" s="695">
        <v>16</v>
      </c>
      <c r="F553" s="503">
        <v>1989</v>
      </c>
      <c r="G553" s="563" t="s">
        <v>113</v>
      </c>
      <c r="H553" s="503" t="s">
        <v>122</v>
      </c>
      <c r="I553" s="695">
        <v>50</v>
      </c>
      <c r="J553" s="695">
        <v>3</v>
      </c>
      <c r="K553" s="777">
        <f t="shared" si="97"/>
        <v>8.5227272727272721E-2</v>
      </c>
      <c r="L553" s="968">
        <v>0</v>
      </c>
      <c r="M553" s="503">
        <f t="shared" si="99"/>
        <v>16</v>
      </c>
      <c r="N553" s="504">
        <v>0.70486111111111116</v>
      </c>
      <c r="O553" s="719">
        <f t="shared" si="89"/>
        <v>0.70486111111111116</v>
      </c>
      <c r="P553" s="564"/>
      <c r="Q553" s="564">
        <f t="shared" si="96"/>
        <v>-0.70486111111111116</v>
      </c>
      <c r="R553" s="965" t="s">
        <v>1520</v>
      </c>
      <c r="S553" s="487"/>
      <c r="T553" s="29"/>
      <c r="U553" s="29" t="str">
        <f t="shared" si="90"/>
        <v>PotterF0</v>
      </c>
      <c r="V553" s="29" t="str">
        <f t="shared" si="91"/>
        <v>1989F0</v>
      </c>
      <c r="W553" s="80">
        <v>50</v>
      </c>
      <c r="X553" s="32">
        <v>2</v>
      </c>
      <c r="Y553" s="467">
        <v>0.05</v>
      </c>
      <c r="Z553" s="80"/>
      <c r="AA553" s="29" t="str">
        <f t="shared" si="92"/>
        <v>F050</v>
      </c>
      <c r="AB553" s="29" t="str">
        <f t="shared" si="93"/>
        <v>F02</v>
      </c>
      <c r="AC553" s="29" t="str">
        <f t="shared" si="94"/>
        <v>F00.05</v>
      </c>
      <c r="AD553" s="29" t="str">
        <f t="shared" si="95"/>
        <v>F016</v>
      </c>
      <c r="AE553" s="443"/>
      <c r="AF553" s="443"/>
      <c r="AG553" s="443"/>
      <c r="AH553" s="443"/>
    </row>
    <row r="554" spans="1:34" ht="16.5">
      <c r="A554" s="728">
        <f t="shared" si="98"/>
        <v>547</v>
      </c>
      <c r="B554" s="563">
        <v>16</v>
      </c>
      <c r="C554" s="694">
        <v>32644</v>
      </c>
      <c r="D554" s="694" t="s">
        <v>148</v>
      </c>
      <c r="E554" s="695">
        <v>16</v>
      </c>
      <c r="F554" s="503">
        <v>1989</v>
      </c>
      <c r="G554" s="563" t="s">
        <v>118</v>
      </c>
      <c r="H554" s="503" t="s">
        <v>122</v>
      </c>
      <c r="I554" s="695">
        <v>40</v>
      </c>
      <c r="J554" s="695">
        <v>1</v>
      </c>
      <c r="K554" s="777">
        <f t="shared" si="97"/>
        <v>2.2727272727272728E-2</v>
      </c>
      <c r="L554" s="968">
        <v>0</v>
      </c>
      <c r="M554" s="503">
        <f t="shared" si="99"/>
        <v>16</v>
      </c>
      <c r="N554" s="504">
        <v>0.70486111111111116</v>
      </c>
      <c r="O554" s="719">
        <f t="shared" si="89"/>
        <v>0.70486111111111116</v>
      </c>
      <c r="P554" s="564"/>
      <c r="Q554" s="564">
        <f t="shared" si="96"/>
        <v>-0.70486111111111116</v>
      </c>
      <c r="R554" s="965" t="s">
        <v>1520</v>
      </c>
      <c r="S554" s="487"/>
      <c r="T554" s="29"/>
      <c r="U554" s="29" t="str">
        <f t="shared" si="90"/>
        <v>RandallF0</v>
      </c>
      <c r="V554" s="29" t="str">
        <f t="shared" si="91"/>
        <v>1989F0</v>
      </c>
      <c r="W554" s="80">
        <v>20</v>
      </c>
      <c r="X554" s="32">
        <v>1</v>
      </c>
      <c r="Y554" s="467">
        <v>0.02</v>
      </c>
      <c r="Z554" s="80"/>
      <c r="AA554" s="29" t="str">
        <f t="shared" si="92"/>
        <v>F020</v>
      </c>
      <c r="AB554" s="29" t="str">
        <f t="shared" si="93"/>
        <v>F01</v>
      </c>
      <c r="AC554" s="29" t="str">
        <f t="shared" si="94"/>
        <v>F00.02</v>
      </c>
      <c r="AD554" s="29" t="str">
        <f t="shared" si="95"/>
        <v>F016</v>
      </c>
      <c r="AE554" s="443"/>
      <c r="AF554" s="443"/>
      <c r="AG554" s="443"/>
      <c r="AH554" s="443"/>
    </row>
    <row r="555" spans="1:34" ht="16.5">
      <c r="A555" s="728">
        <f t="shared" si="98"/>
        <v>548</v>
      </c>
      <c r="B555" s="563">
        <v>17</v>
      </c>
      <c r="C555" s="694">
        <v>32644</v>
      </c>
      <c r="D555" s="694" t="s">
        <v>148</v>
      </c>
      <c r="E555" s="695">
        <v>16</v>
      </c>
      <c r="F555" s="503">
        <v>1989</v>
      </c>
      <c r="G555" s="563" t="s">
        <v>113</v>
      </c>
      <c r="H555" s="503" t="s">
        <v>122</v>
      </c>
      <c r="I555" s="695">
        <v>40</v>
      </c>
      <c r="J555" s="695">
        <v>0.1</v>
      </c>
      <c r="K555" s="777">
        <f t="shared" si="97"/>
        <v>2.2727272727272731E-3</v>
      </c>
      <c r="L555" s="968">
        <v>0</v>
      </c>
      <c r="M555" s="503">
        <f t="shared" si="99"/>
        <v>17</v>
      </c>
      <c r="N555" s="504">
        <v>0.70972222222222225</v>
      </c>
      <c r="O555" s="719">
        <f t="shared" si="89"/>
        <v>0.70972222222222225</v>
      </c>
      <c r="P555" s="564"/>
      <c r="Q555" s="564">
        <f t="shared" si="96"/>
        <v>-0.70972222222222225</v>
      </c>
      <c r="R555" s="965" t="s">
        <v>1520</v>
      </c>
      <c r="S555" s="487"/>
      <c r="T555" s="29"/>
      <c r="U555" s="29" t="str">
        <f t="shared" si="90"/>
        <v>PotterF0</v>
      </c>
      <c r="V555" s="29" t="str">
        <f t="shared" si="91"/>
        <v>1989F0</v>
      </c>
      <c r="W555" s="80">
        <v>20</v>
      </c>
      <c r="X555" s="32">
        <v>0.1</v>
      </c>
      <c r="Y555" s="467">
        <v>2E-3</v>
      </c>
      <c r="Z555" s="80"/>
      <c r="AA555" s="29" t="str">
        <f t="shared" si="92"/>
        <v>F020</v>
      </c>
      <c r="AB555" s="29" t="str">
        <f t="shared" si="93"/>
        <v>F00.1</v>
      </c>
      <c r="AC555" s="29" t="str">
        <f t="shared" si="94"/>
        <v>F00.002</v>
      </c>
      <c r="AD555" s="29" t="str">
        <f t="shared" si="95"/>
        <v>F017</v>
      </c>
      <c r="AE555" s="443"/>
      <c r="AF555" s="443"/>
      <c r="AG555" s="443"/>
      <c r="AH555" s="443"/>
    </row>
    <row r="556" spans="1:34" ht="16.5">
      <c r="A556" s="728">
        <f t="shared" si="98"/>
        <v>549</v>
      </c>
      <c r="B556" s="563">
        <v>18</v>
      </c>
      <c r="C556" s="694">
        <v>32644</v>
      </c>
      <c r="D556" s="694" t="s">
        <v>148</v>
      </c>
      <c r="E556" s="695">
        <v>16</v>
      </c>
      <c r="F556" s="503">
        <v>1989</v>
      </c>
      <c r="G556" s="563" t="s">
        <v>113</v>
      </c>
      <c r="H556" s="503" t="s">
        <v>123</v>
      </c>
      <c r="I556" s="695">
        <v>110</v>
      </c>
      <c r="J556" s="695">
        <v>0.2</v>
      </c>
      <c r="K556" s="777">
        <f t="shared" si="97"/>
        <v>1.2500000000000001E-2</v>
      </c>
      <c r="L556" s="968">
        <v>25000</v>
      </c>
      <c r="M556" s="503">
        <f t="shared" si="99"/>
        <v>17</v>
      </c>
      <c r="N556" s="504">
        <v>0.72430555555555554</v>
      </c>
      <c r="O556" s="719">
        <f t="shared" si="89"/>
        <v>0.72430555555555554</v>
      </c>
      <c r="P556" s="564"/>
      <c r="Q556" s="564">
        <f t="shared" si="96"/>
        <v>-0.72430555555555554</v>
      </c>
      <c r="R556" s="965" t="s">
        <v>1520</v>
      </c>
      <c r="S556" s="487"/>
      <c r="T556" s="29"/>
      <c r="U556" s="29" t="str">
        <f t="shared" si="90"/>
        <v>PotterF1</v>
      </c>
      <c r="V556" s="29" t="str">
        <f t="shared" si="91"/>
        <v>1989F1</v>
      </c>
      <c r="W556" s="80">
        <v>100</v>
      </c>
      <c r="X556" s="32">
        <v>0.2</v>
      </c>
      <c r="Y556" s="467">
        <v>0.01</v>
      </c>
      <c r="Z556" s="80"/>
      <c r="AA556" s="29" t="str">
        <f t="shared" si="92"/>
        <v>F1100</v>
      </c>
      <c r="AB556" s="29" t="str">
        <f t="shared" si="93"/>
        <v>F10.2</v>
      </c>
      <c r="AC556" s="29" t="str">
        <f t="shared" si="94"/>
        <v>F10.01</v>
      </c>
      <c r="AD556" s="29" t="str">
        <f t="shared" si="95"/>
        <v>F117</v>
      </c>
      <c r="AE556" s="443"/>
      <c r="AF556" s="443"/>
      <c r="AG556" s="443"/>
      <c r="AH556" s="443"/>
    </row>
    <row r="557" spans="1:34" ht="16.5">
      <c r="A557" s="728">
        <f t="shared" si="98"/>
        <v>550</v>
      </c>
      <c r="B557" s="563">
        <v>19</v>
      </c>
      <c r="C557" s="694">
        <v>32665</v>
      </c>
      <c r="D557" s="694" t="s">
        <v>149</v>
      </c>
      <c r="E557" s="695">
        <v>6</v>
      </c>
      <c r="F557" s="503">
        <v>1989</v>
      </c>
      <c r="G557" s="563" t="s">
        <v>106</v>
      </c>
      <c r="H557" s="503" t="s">
        <v>123</v>
      </c>
      <c r="I557" s="695">
        <v>60</v>
      </c>
      <c r="J557" s="695">
        <v>1</v>
      </c>
      <c r="K557" s="777">
        <f t="shared" si="97"/>
        <v>3.4090909090909088E-2</v>
      </c>
      <c r="L557" s="968">
        <v>0</v>
      </c>
      <c r="M557" s="503">
        <f t="shared" si="99"/>
        <v>20</v>
      </c>
      <c r="N557" s="504">
        <v>0.84236111111111101</v>
      </c>
      <c r="O557" s="719">
        <f t="shared" si="89"/>
        <v>0.84236111111111101</v>
      </c>
      <c r="P557" s="564"/>
      <c r="Q557" s="564">
        <f t="shared" si="96"/>
        <v>-0.84236111111111101</v>
      </c>
      <c r="R557" s="965" t="s">
        <v>1520</v>
      </c>
      <c r="S557" s="487"/>
      <c r="T557" s="29"/>
      <c r="U557" s="29" t="str">
        <f t="shared" si="90"/>
        <v>LipscombF1</v>
      </c>
      <c r="V557" s="29" t="str">
        <f t="shared" si="91"/>
        <v>1989F1</v>
      </c>
      <c r="W557" s="80">
        <v>50</v>
      </c>
      <c r="X557" s="32">
        <v>1</v>
      </c>
      <c r="Y557" s="467">
        <v>0.02</v>
      </c>
      <c r="Z557" s="80"/>
      <c r="AA557" s="29" t="str">
        <f t="shared" si="92"/>
        <v>F150</v>
      </c>
      <c r="AB557" s="29" t="str">
        <f t="shared" si="93"/>
        <v>F11</v>
      </c>
      <c r="AC557" s="29" t="str">
        <f t="shared" si="94"/>
        <v>F10.02</v>
      </c>
      <c r="AD557" s="29" t="str">
        <f t="shared" si="95"/>
        <v>F120</v>
      </c>
      <c r="AE557" s="443"/>
      <c r="AF557" s="443"/>
      <c r="AG557" s="443"/>
      <c r="AH557" s="443"/>
    </row>
    <row r="558" spans="1:34" ht="16.5">
      <c r="A558" s="728">
        <f t="shared" si="98"/>
        <v>551</v>
      </c>
      <c r="B558" s="563">
        <v>20</v>
      </c>
      <c r="C558" s="694">
        <v>32665</v>
      </c>
      <c r="D558" s="694" t="s">
        <v>149</v>
      </c>
      <c r="E558" s="695">
        <v>6</v>
      </c>
      <c r="F558" s="503">
        <v>1989</v>
      </c>
      <c r="G558" s="563" t="s">
        <v>106</v>
      </c>
      <c r="H558" s="503" t="s">
        <v>123</v>
      </c>
      <c r="I558" s="695">
        <v>40</v>
      </c>
      <c r="J558" s="695">
        <v>1</v>
      </c>
      <c r="K558" s="777">
        <f t="shared" si="97"/>
        <v>2.2727272727272728E-2</v>
      </c>
      <c r="L558" s="968">
        <v>0</v>
      </c>
      <c r="M558" s="503">
        <f t="shared" si="99"/>
        <v>20</v>
      </c>
      <c r="N558" s="504">
        <v>0.85624999999999996</v>
      </c>
      <c r="O558" s="719">
        <f t="shared" si="89"/>
        <v>0.85624999999999996</v>
      </c>
      <c r="P558" s="564"/>
      <c r="Q558" s="564">
        <f t="shared" si="96"/>
        <v>-0.85624999999999996</v>
      </c>
      <c r="R558" s="965" t="s">
        <v>1520</v>
      </c>
      <c r="S558" s="487"/>
      <c r="T558" s="29"/>
      <c r="U558" s="29" t="str">
        <f t="shared" si="90"/>
        <v>LipscombF1</v>
      </c>
      <c r="V558" s="29" t="str">
        <f t="shared" si="91"/>
        <v>1989F1</v>
      </c>
      <c r="W558" s="80">
        <v>20</v>
      </c>
      <c r="X558" s="32">
        <v>1</v>
      </c>
      <c r="Y558" s="467">
        <v>0.02</v>
      </c>
      <c r="Z558" s="80"/>
      <c r="AA558" s="29" t="str">
        <f t="shared" si="92"/>
        <v>F120</v>
      </c>
      <c r="AB558" s="29" t="str">
        <f t="shared" si="93"/>
        <v>F11</v>
      </c>
      <c r="AC558" s="29" t="str">
        <f t="shared" si="94"/>
        <v>F10.02</v>
      </c>
      <c r="AD558" s="29" t="str">
        <f t="shared" si="95"/>
        <v>F120</v>
      </c>
      <c r="AE558" s="443"/>
      <c r="AF558" s="443"/>
      <c r="AG558" s="443"/>
      <c r="AH558" s="443"/>
    </row>
    <row r="559" spans="1:34" ht="16.5">
      <c r="A559" s="728">
        <f t="shared" si="98"/>
        <v>552</v>
      </c>
      <c r="B559" s="563">
        <v>21</v>
      </c>
      <c r="C559" s="694">
        <v>32669</v>
      </c>
      <c r="D559" s="694" t="s">
        <v>149</v>
      </c>
      <c r="E559" s="695">
        <v>10</v>
      </c>
      <c r="F559" s="503">
        <v>1989</v>
      </c>
      <c r="G559" s="563" t="s">
        <v>108</v>
      </c>
      <c r="H559" s="503" t="s">
        <v>122</v>
      </c>
      <c r="I559" s="695">
        <v>110</v>
      </c>
      <c r="J559" s="695">
        <v>2.5</v>
      </c>
      <c r="K559" s="777">
        <f t="shared" si="97"/>
        <v>0.15625</v>
      </c>
      <c r="L559" s="968">
        <v>0</v>
      </c>
      <c r="M559" s="503">
        <f t="shared" si="99"/>
        <v>20</v>
      </c>
      <c r="N559" s="504">
        <v>0.83819444444444446</v>
      </c>
      <c r="O559" s="719">
        <f t="shared" si="89"/>
        <v>0.83819444444444446</v>
      </c>
      <c r="P559" s="564"/>
      <c r="Q559" s="564">
        <f t="shared" si="96"/>
        <v>-0.83819444444444446</v>
      </c>
      <c r="R559" s="965" t="s">
        <v>1520</v>
      </c>
      <c r="S559" s="487"/>
      <c r="T559" s="29"/>
      <c r="U559" s="29" t="str">
        <f t="shared" si="90"/>
        <v>MooreF0</v>
      </c>
      <c r="V559" s="29" t="str">
        <f t="shared" si="91"/>
        <v>1989F0</v>
      </c>
      <c r="W559" s="80">
        <v>100</v>
      </c>
      <c r="X559" s="32">
        <v>2</v>
      </c>
      <c r="Y559" s="467">
        <v>0.1</v>
      </c>
      <c r="Z559" s="80"/>
      <c r="AA559" s="29" t="str">
        <f t="shared" si="92"/>
        <v>F0100</v>
      </c>
      <c r="AB559" s="29" t="str">
        <f t="shared" si="93"/>
        <v>F02</v>
      </c>
      <c r="AC559" s="29" t="str">
        <f t="shared" si="94"/>
        <v>F00.1</v>
      </c>
      <c r="AD559" s="29" t="str">
        <f t="shared" si="95"/>
        <v>F020</v>
      </c>
      <c r="AE559" s="443"/>
      <c r="AF559" s="443"/>
      <c r="AG559" s="443"/>
      <c r="AH559" s="443"/>
    </row>
    <row r="560" spans="1:34" ht="16.5">
      <c r="A560" s="728">
        <f t="shared" si="98"/>
        <v>553</v>
      </c>
      <c r="B560" s="563">
        <v>22</v>
      </c>
      <c r="C560" s="694">
        <v>32669</v>
      </c>
      <c r="D560" s="694" t="s">
        <v>149</v>
      </c>
      <c r="E560" s="695">
        <v>10</v>
      </c>
      <c r="F560" s="503">
        <v>1989</v>
      </c>
      <c r="G560" s="563" t="s">
        <v>108</v>
      </c>
      <c r="H560" s="503" t="s">
        <v>122</v>
      </c>
      <c r="I560" s="695">
        <v>100</v>
      </c>
      <c r="J560" s="695">
        <v>3</v>
      </c>
      <c r="K560" s="777">
        <f t="shared" si="97"/>
        <v>0.17045454545454544</v>
      </c>
      <c r="L560" s="968">
        <v>0</v>
      </c>
      <c r="M560" s="503">
        <f t="shared" si="99"/>
        <v>20</v>
      </c>
      <c r="N560" s="504">
        <v>0.84375</v>
      </c>
      <c r="O560" s="719">
        <f t="shared" si="89"/>
        <v>0.84375</v>
      </c>
      <c r="P560" s="564"/>
      <c r="Q560" s="564">
        <f t="shared" si="96"/>
        <v>-0.84375</v>
      </c>
      <c r="R560" s="965" t="s">
        <v>1520</v>
      </c>
      <c r="S560" s="487"/>
      <c r="T560" s="29"/>
      <c r="U560" s="29" t="str">
        <f t="shared" si="90"/>
        <v>MooreF0</v>
      </c>
      <c r="V560" s="29" t="str">
        <f t="shared" si="91"/>
        <v>1989F0</v>
      </c>
      <c r="W560" s="80">
        <v>100</v>
      </c>
      <c r="X560" s="32">
        <v>2</v>
      </c>
      <c r="Y560" s="467">
        <v>0.1</v>
      </c>
      <c r="Z560" s="80"/>
      <c r="AA560" s="29" t="str">
        <f t="shared" si="92"/>
        <v>F0100</v>
      </c>
      <c r="AB560" s="29" t="str">
        <f t="shared" si="93"/>
        <v>F02</v>
      </c>
      <c r="AC560" s="29" t="str">
        <f t="shared" si="94"/>
        <v>F00.1</v>
      </c>
      <c r="AD560" s="29" t="str">
        <f t="shared" si="95"/>
        <v>F020</v>
      </c>
      <c r="AE560" s="443"/>
      <c r="AF560" s="443"/>
      <c r="AG560" s="443"/>
      <c r="AH560" s="443"/>
    </row>
    <row r="561" spans="1:34" ht="16.5">
      <c r="A561" s="728">
        <f t="shared" si="98"/>
        <v>554</v>
      </c>
      <c r="B561" s="563">
        <v>23</v>
      </c>
      <c r="C561" s="694">
        <v>32669</v>
      </c>
      <c r="D561" s="694" t="s">
        <v>149</v>
      </c>
      <c r="E561" s="695">
        <v>10</v>
      </c>
      <c r="F561" s="503">
        <v>1989</v>
      </c>
      <c r="G561" s="563" t="s">
        <v>109</v>
      </c>
      <c r="H561" s="503" t="s">
        <v>122</v>
      </c>
      <c r="I561" s="695">
        <v>100</v>
      </c>
      <c r="J561" s="695">
        <v>1</v>
      </c>
      <c r="K561" s="777">
        <f t="shared" si="97"/>
        <v>5.6818181818181816E-2</v>
      </c>
      <c r="L561" s="968">
        <v>0</v>
      </c>
      <c r="M561" s="503">
        <f t="shared" si="99"/>
        <v>20</v>
      </c>
      <c r="N561" s="504">
        <v>0.84513888888888899</v>
      </c>
      <c r="O561" s="719">
        <f t="shared" si="89"/>
        <v>0.84513888888888899</v>
      </c>
      <c r="P561" s="564"/>
      <c r="Q561" s="564">
        <f t="shared" si="96"/>
        <v>-0.84513888888888899</v>
      </c>
      <c r="R561" s="965" t="s">
        <v>1520</v>
      </c>
      <c r="S561" s="487"/>
      <c r="T561" s="29"/>
      <c r="U561" s="29" t="str">
        <f t="shared" si="90"/>
        <v>HutchinsonF0</v>
      </c>
      <c r="V561" s="29" t="str">
        <f t="shared" si="91"/>
        <v>1989F0</v>
      </c>
      <c r="W561" s="80">
        <v>100</v>
      </c>
      <c r="X561" s="32">
        <v>1</v>
      </c>
      <c r="Y561" s="467">
        <v>0.05</v>
      </c>
      <c r="Z561" s="80"/>
      <c r="AA561" s="29" t="str">
        <f t="shared" si="92"/>
        <v>F0100</v>
      </c>
      <c r="AB561" s="29" t="str">
        <f t="shared" si="93"/>
        <v>F01</v>
      </c>
      <c r="AC561" s="29" t="str">
        <f t="shared" si="94"/>
        <v>F00.05</v>
      </c>
      <c r="AD561" s="29" t="str">
        <f t="shared" si="95"/>
        <v>F020</v>
      </c>
      <c r="AE561" s="443"/>
      <c r="AF561" s="443"/>
      <c r="AG561" s="443"/>
      <c r="AH561" s="443"/>
    </row>
    <row r="562" spans="1:34" ht="16.5">
      <c r="A562" s="728">
        <f t="shared" si="98"/>
        <v>555</v>
      </c>
      <c r="B562" s="563">
        <v>24</v>
      </c>
      <c r="C562" s="694">
        <v>32669</v>
      </c>
      <c r="D562" s="694" t="s">
        <v>149</v>
      </c>
      <c r="E562" s="695">
        <v>10</v>
      </c>
      <c r="F562" s="503">
        <v>1989</v>
      </c>
      <c r="G562" s="563" t="s">
        <v>109</v>
      </c>
      <c r="H562" s="503" t="s">
        <v>122</v>
      </c>
      <c r="I562" s="695">
        <v>120</v>
      </c>
      <c r="J562" s="695">
        <v>4.5</v>
      </c>
      <c r="K562" s="777">
        <f t="shared" si="97"/>
        <v>0.30681818181818177</v>
      </c>
      <c r="L562" s="968">
        <v>0</v>
      </c>
      <c r="M562" s="503">
        <f t="shared" si="99"/>
        <v>20</v>
      </c>
      <c r="N562" s="504">
        <v>0.86111111111111116</v>
      </c>
      <c r="O562" s="719">
        <f t="shared" si="89"/>
        <v>0.86111111111111116</v>
      </c>
      <c r="P562" s="564"/>
      <c r="Q562" s="564">
        <f t="shared" si="96"/>
        <v>-0.86111111111111116</v>
      </c>
      <c r="R562" s="965" t="s">
        <v>1520</v>
      </c>
      <c r="S562" s="487"/>
      <c r="T562" s="29"/>
      <c r="U562" s="29" t="str">
        <f t="shared" si="90"/>
        <v>HutchinsonF0</v>
      </c>
      <c r="V562" s="29" t="str">
        <f t="shared" si="91"/>
        <v>1989F0</v>
      </c>
      <c r="W562" s="80">
        <v>100</v>
      </c>
      <c r="X562" s="32">
        <v>2</v>
      </c>
      <c r="Y562" s="467">
        <v>0.2</v>
      </c>
      <c r="Z562" s="80"/>
      <c r="AA562" s="29" t="str">
        <f t="shared" si="92"/>
        <v>F0100</v>
      </c>
      <c r="AB562" s="29" t="str">
        <f t="shared" si="93"/>
        <v>F02</v>
      </c>
      <c r="AC562" s="29" t="str">
        <f t="shared" si="94"/>
        <v>F00.2</v>
      </c>
      <c r="AD562" s="29" t="str">
        <f t="shared" si="95"/>
        <v>F020</v>
      </c>
      <c r="AE562" s="443"/>
      <c r="AF562" s="443"/>
      <c r="AG562" s="443"/>
      <c r="AH562" s="443"/>
    </row>
    <row r="563" spans="1:34" ht="16.5">
      <c r="A563" s="728">
        <f t="shared" si="98"/>
        <v>556</v>
      </c>
      <c r="B563" s="563">
        <v>25</v>
      </c>
      <c r="C563" s="694">
        <v>32670</v>
      </c>
      <c r="D563" s="694" t="s">
        <v>149</v>
      </c>
      <c r="E563" s="695">
        <v>11</v>
      </c>
      <c r="F563" s="503">
        <v>1989</v>
      </c>
      <c r="G563" s="563" t="s">
        <v>114</v>
      </c>
      <c r="H563" s="503" t="s">
        <v>123</v>
      </c>
      <c r="I563" s="695">
        <v>150</v>
      </c>
      <c r="J563" s="695">
        <v>4</v>
      </c>
      <c r="K563" s="777">
        <f t="shared" si="97"/>
        <v>0.34090909090909088</v>
      </c>
      <c r="L563" s="968">
        <v>0</v>
      </c>
      <c r="M563" s="503">
        <f t="shared" si="99"/>
        <v>21</v>
      </c>
      <c r="N563" s="504">
        <v>0.91319444444444453</v>
      </c>
      <c r="O563" s="719">
        <f t="shared" si="89"/>
        <v>0.91319444444444453</v>
      </c>
      <c r="P563" s="564"/>
      <c r="Q563" s="564">
        <f t="shared" si="96"/>
        <v>-0.91319444444444453</v>
      </c>
      <c r="R563" s="965" t="s">
        <v>1520</v>
      </c>
      <c r="S563" s="487"/>
      <c r="T563" s="29"/>
      <c r="U563" s="29" t="str">
        <f t="shared" si="90"/>
        <v>CarsonF1</v>
      </c>
      <c r="V563" s="29" t="str">
        <f t="shared" si="91"/>
        <v>1989F1</v>
      </c>
      <c r="W563" s="80">
        <v>100</v>
      </c>
      <c r="X563" s="32">
        <v>2</v>
      </c>
      <c r="Y563" s="467">
        <v>0.2</v>
      </c>
      <c r="Z563" s="80"/>
      <c r="AA563" s="29" t="str">
        <f t="shared" si="92"/>
        <v>F1100</v>
      </c>
      <c r="AB563" s="29" t="str">
        <f t="shared" si="93"/>
        <v>F12</v>
      </c>
      <c r="AC563" s="29" t="str">
        <f t="shared" si="94"/>
        <v>F10.2</v>
      </c>
      <c r="AD563" s="29" t="str">
        <f t="shared" si="95"/>
        <v>F121</v>
      </c>
      <c r="AE563" s="443"/>
      <c r="AF563" s="443"/>
      <c r="AG563" s="443"/>
      <c r="AH563" s="443"/>
    </row>
    <row r="564" spans="1:34" ht="16.5">
      <c r="A564" s="728">
        <f t="shared" si="98"/>
        <v>557</v>
      </c>
      <c r="B564" s="563">
        <v>26</v>
      </c>
      <c r="C564" s="694">
        <v>32670</v>
      </c>
      <c r="D564" s="694" t="s">
        <v>149</v>
      </c>
      <c r="E564" s="695">
        <v>11</v>
      </c>
      <c r="F564" s="503">
        <v>1989</v>
      </c>
      <c r="G564" s="563" t="s">
        <v>120</v>
      </c>
      <c r="H564" s="503" t="s">
        <v>122</v>
      </c>
      <c r="I564" s="695">
        <v>90</v>
      </c>
      <c r="J564" s="695">
        <v>1.5</v>
      </c>
      <c r="K564" s="777">
        <f t="shared" si="97"/>
        <v>7.6704545454545456E-2</v>
      </c>
      <c r="L564" s="968">
        <v>0</v>
      </c>
      <c r="M564" s="503">
        <f t="shared" si="99"/>
        <v>23</v>
      </c>
      <c r="N564" s="504">
        <v>0.95972222222222225</v>
      </c>
      <c r="O564" s="719">
        <f t="shared" si="89"/>
        <v>0.95972222222222225</v>
      </c>
      <c r="P564" s="564"/>
      <c r="Q564" s="564">
        <f t="shared" si="96"/>
        <v>-0.95972222222222225</v>
      </c>
      <c r="R564" s="965" t="s">
        <v>1520</v>
      </c>
      <c r="S564" s="487"/>
      <c r="T564" s="29"/>
      <c r="U564" s="29" t="str">
        <f t="shared" si="90"/>
        <v>DonleyF0</v>
      </c>
      <c r="V564" s="29" t="str">
        <f t="shared" si="91"/>
        <v>1989F0</v>
      </c>
      <c r="W564" s="80">
        <v>50</v>
      </c>
      <c r="X564" s="32">
        <v>1</v>
      </c>
      <c r="Y564" s="467">
        <v>0.05</v>
      </c>
      <c r="Z564" s="80"/>
      <c r="AA564" s="29" t="str">
        <f t="shared" si="92"/>
        <v>F050</v>
      </c>
      <c r="AB564" s="29" t="str">
        <f t="shared" si="93"/>
        <v>F01</v>
      </c>
      <c r="AC564" s="29" t="str">
        <f t="shared" si="94"/>
        <v>F00.05</v>
      </c>
      <c r="AD564" s="29" t="str">
        <f t="shared" si="95"/>
        <v>F023</v>
      </c>
      <c r="AE564" s="443"/>
      <c r="AF564" s="443"/>
      <c r="AG564" s="443"/>
      <c r="AH564" s="443"/>
    </row>
    <row r="565" spans="1:34" ht="16.5">
      <c r="A565" s="728">
        <f t="shared" si="98"/>
        <v>558</v>
      </c>
      <c r="B565" s="563">
        <v>27</v>
      </c>
      <c r="C565" s="694">
        <v>32670</v>
      </c>
      <c r="D565" s="694" t="s">
        <v>149</v>
      </c>
      <c r="E565" s="695">
        <v>11</v>
      </c>
      <c r="F565" s="503">
        <v>1989</v>
      </c>
      <c r="G565" s="563" t="s">
        <v>120</v>
      </c>
      <c r="H565" s="503" t="s">
        <v>122</v>
      </c>
      <c r="I565" s="695">
        <v>80</v>
      </c>
      <c r="J565" s="695">
        <v>0.3</v>
      </c>
      <c r="K565" s="777">
        <f t="shared" si="97"/>
        <v>1.3636363636363636E-2</v>
      </c>
      <c r="L565" s="968">
        <v>2500000</v>
      </c>
      <c r="M565" s="503">
        <f t="shared" si="99"/>
        <v>23</v>
      </c>
      <c r="N565" s="504">
        <v>0.96319444444444446</v>
      </c>
      <c r="O565" s="719">
        <f t="shared" si="89"/>
        <v>0.96319444444444446</v>
      </c>
      <c r="P565" s="564"/>
      <c r="Q565" s="564">
        <f t="shared" si="96"/>
        <v>-0.96319444444444446</v>
      </c>
      <c r="R565" s="965" t="s">
        <v>1520</v>
      </c>
      <c r="S565" s="487"/>
      <c r="T565" s="29"/>
      <c r="U565" s="29" t="str">
        <f t="shared" si="90"/>
        <v>DonleyF0</v>
      </c>
      <c r="V565" s="29" t="str">
        <f t="shared" si="91"/>
        <v>1989F0</v>
      </c>
      <c r="W565" s="80">
        <v>50</v>
      </c>
      <c r="X565" s="32">
        <v>0.2</v>
      </c>
      <c r="Y565" s="467">
        <v>0.01</v>
      </c>
      <c r="Z565" s="80"/>
      <c r="AA565" s="29" t="str">
        <f t="shared" si="92"/>
        <v>F050</v>
      </c>
      <c r="AB565" s="29" t="str">
        <f t="shared" si="93"/>
        <v>F00.2</v>
      </c>
      <c r="AC565" s="29" t="str">
        <f t="shared" si="94"/>
        <v>F00.01</v>
      </c>
      <c r="AD565" s="29" t="str">
        <f t="shared" si="95"/>
        <v>F023</v>
      </c>
      <c r="AE565" s="443"/>
      <c r="AF565" s="443"/>
      <c r="AG565" s="443"/>
      <c r="AH565" s="443"/>
    </row>
    <row r="566" spans="1:34" ht="16.5">
      <c r="A566" s="728">
        <f t="shared" si="98"/>
        <v>559</v>
      </c>
      <c r="B566" s="563">
        <v>28</v>
      </c>
      <c r="C566" s="694">
        <v>32670</v>
      </c>
      <c r="D566" s="694" t="s">
        <v>149</v>
      </c>
      <c r="E566" s="695">
        <v>11</v>
      </c>
      <c r="F566" s="503">
        <v>1989</v>
      </c>
      <c r="G566" s="563" t="s">
        <v>120</v>
      </c>
      <c r="H566" s="503" t="s">
        <v>122</v>
      </c>
      <c r="I566" s="695">
        <v>80</v>
      </c>
      <c r="J566" s="695">
        <v>0.3</v>
      </c>
      <c r="K566" s="777">
        <f t="shared" si="97"/>
        <v>1.3636363636363636E-2</v>
      </c>
      <c r="L566" s="968">
        <v>2500000</v>
      </c>
      <c r="M566" s="503">
        <f t="shared" si="99"/>
        <v>23</v>
      </c>
      <c r="N566" s="504">
        <v>0.96388888888888891</v>
      </c>
      <c r="O566" s="719">
        <f t="shared" si="89"/>
        <v>0.96388888888888891</v>
      </c>
      <c r="P566" s="564"/>
      <c r="Q566" s="564">
        <f t="shared" si="96"/>
        <v>-0.96388888888888891</v>
      </c>
      <c r="R566" s="965" t="s">
        <v>1520</v>
      </c>
      <c r="S566" s="487"/>
      <c r="T566" s="29"/>
      <c r="U566" s="29" t="str">
        <f t="shared" si="90"/>
        <v>DonleyF0</v>
      </c>
      <c r="V566" s="29" t="str">
        <f t="shared" si="91"/>
        <v>1989F0</v>
      </c>
      <c r="W566" s="80">
        <v>50</v>
      </c>
      <c r="X566" s="32">
        <v>0.2</v>
      </c>
      <c r="Y566" s="467">
        <v>0.01</v>
      </c>
      <c r="Z566" s="80"/>
      <c r="AA566" s="29" t="str">
        <f t="shared" si="92"/>
        <v>F050</v>
      </c>
      <c r="AB566" s="29" t="str">
        <f t="shared" si="93"/>
        <v>F00.2</v>
      </c>
      <c r="AC566" s="29" t="str">
        <f t="shared" si="94"/>
        <v>F00.01</v>
      </c>
      <c r="AD566" s="29" t="str">
        <f t="shared" si="95"/>
        <v>F023</v>
      </c>
      <c r="AE566" s="443"/>
      <c r="AF566" s="443"/>
      <c r="AG566" s="443"/>
      <c r="AH566" s="443"/>
    </row>
    <row r="567" spans="1:34" ht="16.5">
      <c r="A567" s="728">
        <f t="shared" si="98"/>
        <v>560</v>
      </c>
      <c r="B567" s="563">
        <v>29</v>
      </c>
      <c r="C567" s="694">
        <v>32671</v>
      </c>
      <c r="D567" s="694" t="s">
        <v>149</v>
      </c>
      <c r="E567" s="695">
        <v>12</v>
      </c>
      <c r="F567" s="503">
        <v>1989</v>
      </c>
      <c r="G567" s="563" t="s">
        <v>109</v>
      </c>
      <c r="H567" s="503" t="s">
        <v>123</v>
      </c>
      <c r="I567" s="695">
        <v>100</v>
      </c>
      <c r="J567" s="695">
        <v>1</v>
      </c>
      <c r="K567" s="777">
        <f t="shared" si="97"/>
        <v>5.6818181818181816E-2</v>
      </c>
      <c r="L567" s="968">
        <v>25000</v>
      </c>
      <c r="M567" s="503">
        <f t="shared" si="99"/>
        <v>18</v>
      </c>
      <c r="N567" s="504">
        <v>0.78472222222222221</v>
      </c>
      <c r="O567" s="719">
        <f t="shared" si="89"/>
        <v>0.78472222222222221</v>
      </c>
      <c r="P567" s="564"/>
      <c r="Q567" s="564">
        <f t="shared" si="96"/>
        <v>-0.78472222222222221</v>
      </c>
      <c r="R567" s="965" t="s">
        <v>1520</v>
      </c>
      <c r="S567" s="487"/>
      <c r="T567" s="29"/>
      <c r="U567" s="29" t="str">
        <f t="shared" si="90"/>
        <v>HutchinsonF1</v>
      </c>
      <c r="V567" s="29" t="str">
        <f t="shared" si="91"/>
        <v>1989F1</v>
      </c>
      <c r="W567" s="80">
        <v>100</v>
      </c>
      <c r="X567" s="32">
        <v>1</v>
      </c>
      <c r="Y567" s="467">
        <v>0.05</v>
      </c>
      <c r="Z567" s="80"/>
      <c r="AA567" s="29" t="str">
        <f t="shared" si="92"/>
        <v>F1100</v>
      </c>
      <c r="AB567" s="29" t="str">
        <f t="shared" si="93"/>
        <v>F11</v>
      </c>
      <c r="AC567" s="29" t="str">
        <f t="shared" si="94"/>
        <v>F10.05</v>
      </c>
      <c r="AD567" s="29" t="str">
        <f t="shared" si="95"/>
        <v>F118</v>
      </c>
      <c r="AE567" s="443"/>
      <c r="AF567" s="443"/>
      <c r="AG567" s="443"/>
      <c r="AH567" s="443"/>
    </row>
    <row r="568" spans="1:34" ht="16.5">
      <c r="A568" s="728">
        <f t="shared" si="98"/>
        <v>561</v>
      </c>
      <c r="B568" s="563">
        <v>30</v>
      </c>
      <c r="C568" s="694">
        <v>32671</v>
      </c>
      <c r="D568" s="694" t="s">
        <v>149</v>
      </c>
      <c r="E568" s="695">
        <v>12</v>
      </c>
      <c r="F568" s="503">
        <v>1989</v>
      </c>
      <c r="G568" s="563" t="s">
        <v>120</v>
      </c>
      <c r="H568" s="503" t="s">
        <v>122</v>
      </c>
      <c r="I568" s="695">
        <v>100</v>
      </c>
      <c r="J568" s="695">
        <v>2</v>
      </c>
      <c r="K568" s="777">
        <f t="shared" si="97"/>
        <v>0.11363636363636363</v>
      </c>
      <c r="L568" s="968">
        <v>0</v>
      </c>
      <c r="M568" s="503">
        <f t="shared" si="99"/>
        <v>22</v>
      </c>
      <c r="N568" s="504">
        <v>0.93402777777777779</v>
      </c>
      <c r="O568" s="719">
        <f t="shared" si="89"/>
        <v>0.93402777777777779</v>
      </c>
      <c r="P568" s="564"/>
      <c r="Q568" s="564">
        <f t="shared" si="96"/>
        <v>-0.93402777777777779</v>
      </c>
      <c r="R568" s="965" t="s">
        <v>1520</v>
      </c>
      <c r="S568" s="487"/>
      <c r="T568" s="29"/>
      <c r="U568" s="29" t="str">
        <f t="shared" si="90"/>
        <v>DonleyF0</v>
      </c>
      <c r="V568" s="29" t="str">
        <f t="shared" si="91"/>
        <v>1989F0</v>
      </c>
      <c r="W568" s="80">
        <v>100</v>
      </c>
      <c r="X568" s="32">
        <v>2</v>
      </c>
      <c r="Y568" s="467">
        <v>0.1</v>
      </c>
      <c r="Z568" s="80"/>
      <c r="AA568" s="29" t="str">
        <f t="shared" si="92"/>
        <v>F0100</v>
      </c>
      <c r="AB568" s="29" t="str">
        <f t="shared" si="93"/>
        <v>F02</v>
      </c>
      <c r="AC568" s="29" t="str">
        <f t="shared" si="94"/>
        <v>F00.1</v>
      </c>
      <c r="AD568" s="29" t="str">
        <f t="shared" si="95"/>
        <v>F022</v>
      </c>
      <c r="AE568" s="443"/>
      <c r="AF568" s="443"/>
      <c r="AG568" s="443"/>
      <c r="AH568" s="443"/>
    </row>
    <row r="569" spans="1:34" ht="16.5">
      <c r="A569" s="728">
        <f t="shared" si="98"/>
        <v>562</v>
      </c>
      <c r="B569" s="563">
        <v>31</v>
      </c>
      <c r="C569" s="694">
        <v>32735</v>
      </c>
      <c r="D569" s="694" t="s">
        <v>151</v>
      </c>
      <c r="E569" s="695">
        <v>15</v>
      </c>
      <c r="F569" s="503">
        <v>1989</v>
      </c>
      <c r="G569" s="563" t="s">
        <v>112</v>
      </c>
      <c r="H569" s="503" t="s">
        <v>122</v>
      </c>
      <c r="I569" s="695">
        <v>60</v>
      </c>
      <c r="J569" s="695">
        <v>2.5</v>
      </c>
      <c r="K569" s="777">
        <f t="shared" si="97"/>
        <v>8.5227272727272721E-2</v>
      </c>
      <c r="L569" s="968">
        <v>0</v>
      </c>
      <c r="M569" s="503">
        <f t="shared" si="99"/>
        <v>16</v>
      </c>
      <c r="N569" s="504">
        <v>0.69097222222222221</v>
      </c>
      <c r="O569" s="719">
        <f t="shared" si="89"/>
        <v>0.69097222222222221</v>
      </c>
      <c r="P569" s="564"/>
      <c r="Q569" s="564">
        <f t="shared" si="96"/>
        <v>-0.69097222222222221</v>
      </c>
      <c r="R569" s="965" t="s">
        <v>1520</v>
      </c>
      <c r="S569" s="487"/>
      <c r="T569" s="29"/>
      <c r="U569" s="29" t="str">
        <f t="shared" si="90"/>
        <v>OldhamF0</v>
      </c>
      <c r="V569" s="29" t="str">
        <f t="shared" si="91"/>
        <v>1989F0</v>
      </c>
      <c r="W569" s="80">
        <v>50</v>
      </c>
      <c r="X569" s="32">
        <v>2</v>
      </c>
      <c r="Y569" s="467">
        <v>0.05</v>
      </c>
      <c r="Z569" s="80"/>
      <c r="AA569" s="29" t="str">
        <f t="shared" si="92"/>
        <v>F050</v>
      </c>
      <c r="AB569" s="29" t="str">
        <f t="shared" si="93"/>
        <v>F02</v>
      </c>
      <c r="AC569" s="29" t="str">
        <f t="shared" si="94"/>
        <v>F00.05</v>
      </c>
      <c r="AD569" s="29" t="str">
        <f t="shared" si="95"/>
        <v>F016</v>
      </c>
      <c r="AE569" s="443"/>
      <c r="AF569" s="443"/>
      <c r="AG569" s="443"/>
      <c r="AH569" s="443"/>
    </row>
    <row r="570" spans="1:34" ht="16.5">
      <c r="A570" s="728">
        <f t="shared" si="98"/>
        <v>563</v>
      </c>
      <c r="B570" s="563">
        <v>32</v>
      </c>
      <c r="C570" s="694">
        <v>32735</v>
      </c>
      <c r="D570" s="694" t="s">
        <v>151</v>
      </c>
      <c r="E570" s="695">
        <v>15</v>
      </c>
      <c r="F570" s="503">
        <v>1989</v>
      </c>
      <c r="G570" s="563" t="s">
        <v>107</v>
      </c>
      <c r="H570" s="503" t="s">
        <v>122</v>
      </c>
      <c r="I570" s="695">
        <v>90</v>
      </c>
      <c r="J570" s="695">
        <v>3</v>
      </c>
      <c r="K570" s="777">
        <f t="shared" si="97"/>
        <v>0.15340909090909091</v>
      </c>
      <c r="L570" s="968">
        <v>0</v>
      </c>
      <c r="M570" s="503">
        <f t="shared" si="99"/>
        <v>19</v>
      </c>
      <c r="N570" s="504">
        <v>0.82916666666666661</v>
      </c>
      <c r="O570" s="719">
        <f t="shared" si="89"/>
        <v>0.82916666666666661</v>
      </c>
      <c r="P570" s="564"/>
      <c r="Q570" s="564">
        <f t="shared" si="96"/>
        <v>-0.82916666666666661</v>
      </c>
      <c r="R570" s="965" t="s">
        <v>1520</v>
      </c>
      <c r="S570" s="487"/>
      <c r="T570" s="29"/>
      <c r="U570" s="29" t="str">
        <f t="shared" si="90"/>
        <v>HartleyF0</v>
      </c>
      <c r="V570" s="29" t="str">
        <f t="shared" si="91"/>
        <v>1989F0</v>
      </c>
      <c r="W570" s="80">
        <v>50</v>
      </c>
      <c r="X570" s="32">
        <v>2</v>
      </c>
      <c r="Y570" s="467">
        <v>0.1</v>
      </c>
      <c r="Z570" s="80"/>
      <c r="AA570" s="29" t="str">
        <f t="shared" si="92"/>
        <v>F050</v>
      </c>
      <c r="AB570" s="29" t="str">
        <f t="shared" si="93"/>
        <v>F02</v>
      </c>
      <c r="AC570" s="29" t="str">
        <f t="shared" si="94"/>
        <v>F00.1</v>
      </c>
      <c r="AD570" s="29" t="str">
        <f t="shared" si="95"/>
        <v>F019</v>
      </c>
      <c r="AE570" s="443"/>
      <c r="AF570" s="443"/>
      <c r="AG570" s="443"/>
      <c r="AH570" s="443"/>
    </row>
    <row r="571" spans="1:34" ht="16.5">
      <c r="A571" s="728">
        <f t="shared" si="98"/>
        <v>564</v>
      </c>
      <c r="B571" s="563">
        <v>1</v>
      </c>
      <c r="C571" s="694">
        <v>32987</v>
      </c>
      <c r="D571" s="694" t="s">
        <v>147</v>
      </c>
      <c r="E571" s="695">
        <v>24</v>
      </c>
      <c r="F571" s="503">
        <v>1990</v>
      </c>
      <c r="G571" s="563" t="s">
        <v>115</v>
      </c>
      <c r="H571" s="503" t="s">
        <v>122</v>
      </c>
      <c r="I571" s="695">
        <v>80</v>
      </c>
      <c r="J571" s="695">
        <v>1.4</v>
      </c>
      <c r="K571" s="777">
        <f t="shared" si="97"/>
        <v>6.363636363636363E-2</v>
      </c>
      <c r="L571" s="968">
        <v>0</v>
      </c>
      <c r="M571" s="503">
        <f t="shared" si="99"/>
        <v>17</v>
      </c>
      <c r="N571" s="504">
        <v>0.71597222222222223</v>
      </c>
      <c r="O571" s="719">
        <f t="shared" si="89"/>
        <v>0.71597222222222223</v>
      </c>
      <c r="P571" s="564"/>
      <c r="Q571" s="564">
        <f t="shared" si="96"/>
        <v>-0.71597222222222223</v>
      </c>
      <c r="R571" s="965" t="s">
        <v>1520</v>
      </c>
      <c r="S571" s="487" t="s">
        <v>1123</v>
      </c>
      <c r="U571" s="29" t="str">
        <f t="shared" si="90"/>
        <v>GrayF0</v>
      </c>
      <c r="V571" s="29" t="str">
        <f t="shared" si="91"/>
        <v>1990F0</v>
      </c>
      <c r="W571" s="80">
        <v>50</v>
      </c>
      <c r="X571" s="32">
        <v>1</v>
      </c>
      <c r="Y571" s="467">
        <v>0.05</v>
      </c>
      <c r="Z571" s="80"/>
      <c r="AA571" s="29" t="str">
        <f t="shared" si="92"/>
        <v>F050</v>
      </c>
      <c r="AB571" s="29" t="str">
        <f t="shared" si="93"/>
        <v>F01</v>
      </c>
      <c r="AC571" s="29" t="str">
        <f t="shared" si="94"/>
        <v>F00.05</v>
      </c>
      <c r="AD571" s="29" t="str">
        <f t="shared" si="95"/>
        <v>F017</v>
      </c>
      <c r="AE571" s="443"/>
      <c r="AF571" s="443"/>
      <c r="AG571" s="443"/>
      <c r="AH571" s="443"/>
    </row>
    <row r="572" spans="1:34" ht="16.5">
      <c r="A572" s="728">
        <f t="shared" si="98"/>
        <v>565</v>
      </c>
      <c r="B572" s="563">
        <v>2</v>
      </c>
      <c r="C572" s="694">
        <v>32987</v>
      </c>
      <c r="D572" s="694" t="s">
        <v>147</v>
      </c>
      <c r="E572" s="695">
        <v>24</v>
      </c>
      <c r="F572" s="503">
        <v>1990</v>
      </c>
      <c r="G572" s="563" t="s">
        <v>111</v>
      </c>
      <c r="H572" s="503" t="s">
        <v>122</v>
      </c>
      <c r="I572" s="695">
        <v>70</v>
      </c>
      <c r="J572" s="695">
        <v>1.3</v>
      </c>
      <c r="K572" s="777">
        <f t="shared" si="97"/>
        <v>5.1704545454545454E-2</v>
      </c>
      <c r="L572" s="968">
        <v>0</v>
      </c>
      <c r="M572" s="503">
        <f t="shared" si="99"/>
        <v>19</v>
      </c>
      <c r="N572" s="504">
        <v>0.8125</v>
      </c>
      <c r="O572" s="719">
        <f t="shared" si="89"/>
        <v>0.8125</v>
      </c>
      <c r="P572" s="564"/>
      <c r="Q572" s="564">
        <f t="shared" si="96"/>
        <v>-0.8125</v>
      </c>
      <c r="R572" s="965" t="s">
        <v>1520</v>
      </c>
      <c r="S572" s="487" t="s">
        <v>1124</v>
      </c>
      <c r="U572" s="29" t="str">
        <f t="shared" si="90"/>
        <v>HemphillF0</v>
      </c>
      <c r="V572" s="29" t="str">
        <f t="shared" si="91"/>
        <v>1990F0</v>
      </c>
      <c r="W572" s="80">
        <v>50</v>
      </c>
      <c r="X572" s="32">
        <v>1</v>
      </c>
      <c r="Y572" s="467">
        <v>0.05</v>
      </c>
      <c r="Z572" s="80"/>
      <c r="AA572" s="29" t="str">
        <f t="shared" si="92"/>
        <v>F050</v>
      </c>
      <c r="AB572" s="29" t="str">
        <f t="shared" si="93"/>
        <v>F01</v>
      </c>
      <c r="AC572" s="29" t="str">
        <f t="shared" si="94"/>
        <v>F00.05</v>
      </c>
      <c r="AD572" s="29" t="str">
        <f t="shared" si="95"/>
        <v>F019</v>
      </c>
      <c r="AE572" s="443"/>
      <c r="AF572" s="443"/>
      <c r="AG572" s="443"/>
      <c r="AH572" s="443"/>
    </row>
    <row r="573" spans="1:34" ht="16.5">
      <c r="A573" s="728">
        <f t="shared" si="98"/>
        <v>566</v>
      </c>
      <c r="B573" s="563">
        <v>3</v>
      </c>
      <c r="C573" s="694">
        <v>32987</v>
      </c>
      <c r="D573" s="694" t="s">
        <v>147</v>
      </c>
      <c r="E573" s="695">
        <v>24</v>
      </c>
      <c r="F573" s="503">
        <v>1990</v>
      </c>
      <c r="G573" s="563" t="s">
        <v>111</v>
      </c>
      <c r="H573" s="503" t="s">
        <v>123</v>
      </c>
      <c r="I573" s="695">
        <v>130</v>
      </c>
      <c r="J573" s="695">
        <v>3</v>
      </c>
      <c r="K573" s="777">
        <f t="shared" si="97"/>
        <v>0.22159090909090912</v>
      </c>
      <c r="L573" s="968">
        <v>3000</v>
      </c>
      <c r="M573" s="503">
        <f t="shared" si="99"/>
        <v>20</v>
      </c>
      <c r="N573" s="504">
        <v>0.84375</v>
      </c>
      <c r="O573" s="719">
        <f t="shared" si="89"/>
        <v>0.84375</v>
      </c>
      <c r="P573" s="564"/>
      <c r="Q573" s="564">
        <f t="shared" si="96"/>
        <v>-0.84375</v>
      </c>
      <c r="R573" s="965" t="s">
        <v>1520</v>
      </c>
      <c r="S573" s="487" t="s">
        <v>1125</v>
      </c>
      <c r="T573" s="29"/>
      <c r="U573" s="29" t="str">
        <f t="shared" si="90"/>
        <v>HemphillF1</v>
      </c>
      <c r="V573" s="29" t="str">
        <f t="shared" si="91"/>
        <v>1990F1</v>
      </c>
      <c r="W573" s="80">
        <v>100</v>
      </c>
      <c r="X573" s="32">
        <v>2</v>
      </c>
      <c r="Y573" s="467">
        <v>0.2</v>
      </c>
      <c r="Z573" s="80"/>
      <c r="AA573" s="29" t="str">
        <f t="shared" si="92"/>
        <v>F1100</v>
      </c>
      <c r="AB573" s="29" t="str">
        <f t="shared" si="93"/>
        <v>F12</v>
      </c>
      <c r="AC573" s="29" t="str">
        <f t="shared" si="94"/>
        <v>F10.2</v>
      </c>
      <c r="AD573" s="29" t="str">
        <f t="shared" si="95"/>
        <v>F120</v>
      </c>
      <c r="AE573" s="443"/>
      <c r="AF573" s="443"/>
      <c r="AG573" s="443"/>
      <c r="AH573" s="443"/>
    </row>
    <row r="574" spans="1:34" ht="16.5">
      <c r="A574" s="728">
        <f t="shared" si="98"/>
        <v>567</v>
      </c>
      <c r="B574" s="563">
        <v>4</v>
      </c>
      <c r="C574" s="694">
        <v>32987</v>
      </c>
      <c r="D574" s="694" t="s">
        <v>147</v>
      </c>
      <c r="E574" s="695">
        <v>24</v>
      </c>
      <c r="F574" s="503">
        <v>1990</v>
      </c>
      <c r="G574" s="563" t="s">
        <v>106</v>
      </c>
      <c r="H574" s="503" t="s">
        <v>123</v>
      </c>
      <c r="I574" s="695">
        <v>110</v>
      </c>
      <c r="J574" s="695">
        <v>2.5</v>
      </c>
      <c r="K574" s="777">
        <f t="shared" si="97"/>
        <v>0.15625</v>
      </c>
      <c r="L574" s="968">
        <v>3000</v>
      </c>
      <c r="M574" s="503">
        <f t="shared" si="99"/>
        <v>20</v>
      </c>
      <c r="N574" s="504">
        <v>0.87291666666666667</v>
      </c>
      <c r="O574" s="719">
        <f t="shared" si="89"/>
        <v>0.87291666666666667</v>
      </c>
      <c r="P574" s="564"/>
      <c r="Q574" s="564">
        <f t="shared" si="96"/>
        <v>-0.87291666666666667</v>
      </c>
      <c r="R574" s="965" t="s">
        <v>1520</v>
      </c>
      <c r="S574" s="487" t="s">
        <v>1126</v>
      </c>
      <c r="T574" s="29"/>
      <c r="U574" s="29" t="str">
        <f t="shared" si="90"/>
        <v>LipscombF1</v>
      </c>
      <c r="V574" s="29" t="str">
        <f t="shared" si="91"/>
        <v>1990F1</v>
      </c>
      <c r="W574" s="80">
        <v>100</v>
      </c>
      <c r="X574" s="32">
        <v>2</v>
      </c>
      <c r="Y574" s="467">
        <v>0.1</v>
      </c>
      <c r="Z574" s="80"/>
      <c r="AA574" s="29" t="str">
        <f t="shared" si="92"/>
        <v>F1100</v>
      </c>
      <c r="AB574" s="29" t="str">
        <f t="shared" si="93"/>
        <v>F12</v>
      </c>
      <c r="AC574" s="29" t="str">
        <f t="shared" si="94"/>
        <v>F10.1</v>
      </c>
      <c r="AD574" s="29" t="str">
        <f t="shared" si="95"/>
        <v>F120</v>
      </c>
      <c r="AE574" s="443"/>
      <c r="AF574" s="443"/>
      <c r="AG574" s="443"/>
      <c r="AH574" s="443"/>
    </row>
    <row r="575" spans="1:34" ht="16.5">
      <c r="A575" s="728">
        <f t="shared" si="98"/>
        <v>568</v>
      </c>
      <c r="B575" s="563">
        <v>5</v>
      </c>
      <c r="C575" s="694">
        <v>32987</v>
      </c>
      <c r="D575" s="694" t="s">
        <v>147</v>
      </c>
      <c r="E575" s="695">
        <v>24</v>
      </c>
      <c r="F575" s="503">
        <v>1990</v>
      </c>
      <c r="G575" s="563" t="s">
        <v>120</v>
      </c>
      <c r="H575" s="503" t="s">
        <v>122</v>
      </c>
      <c r="I575" s="695">
        <v>90</v>
      </c>
      <c r="J575" s="695">
        <v>1.5</v>
      </c>
      <c r="K575" s="777">
        <f t="shared" si="97"/>
        <v>7.6704545454545456E-2</v>
      </c>
      <c r="L575" s="968">
        <v>0</v>
      </c>
      <c r="M575" s="503">
        <f t="shared" si="99"/>
        <v>21</v>
      </c>
      <c r="N575" s="504">
        <v>0.90277777777777779</v>
      </c>
      <c r="O575" s="719">
        <f t="shared" si="89"/>
        <v>0.90277777777777779</v>
      </c>
      <c r="P575" s="564"/>
      <c r="Q575" s="564">
        <f t="shared" si="96"/>
        <v>-0.90277777777777779</v>
      </c>
      <c r="R575" s="965" t="s">
        <v>1520</v>
      </c>
      <c r="S575" s="487" t="s">
        <v>1127</v>
      </c>
      <c r="T575" s="29"/>
      <c r="U575" s="29" t="str">
        <f t="shared" si="90"/>
        <v>DonleyF0</v>
      </c>
      <c r="V575" s="29" t="str">
        <f t="shared" si="91"/>
        <v>1990F0</v>
      </c>
      <c r="W575" s="80">
        <v>50</v>
      </c>
      <c r="X575" s="32">
        <v>1</v>
      </c>
      <c r="Y575" s="467">
        <v>0.05</v>
      </c>
      <c r="Z575" s="80"/>
      <c r="AA575" s="29" t="str">
        <f t="shared" si="92"/>
        <v>F050</v>
      </c>
      <c r="AB575" s="29" t="str">
        <f t="shared" si="93"/>
        <v>F01</v>
      </c>
      <c r="AC575" s="29" t="str">
        <f t="shared" si="94"/>
        <v>F00.05</v>
      </c>
      <c r="AD575" s="29" t="str">
        <f t="shared" si="95"/>
        <v>F021</v>
      </c>
      <c r="AE575" s="443"/>
      <c r="AF575" s="443"/>
      <c r="AG575" s="443"/>
      <c r="AH575" s="443"/>
    </row>
    <row r="576" spans="1:34" ht="16.5">
      <c r="A576" s="728">
        <f t="shared" si="98"/>
        <v>569</v>
      </c>
      <c r="B576" s="563">
        <v>6</v>
      </c>
      <c r="C576" s="694">
        <v>32987</v>
      </c>
      <c r="D576" s="694" t="s">
        <v>147</v>
      </c>
      <c r="E576" s="695">
        <v>24</v>
      </c>
      <c r="F576" s="503">
        <v>1990</v>
      </c>
      <c r="G576" s="563" t="s">
        <v>116</v>
      </c>
      <c r="H576" s="503" t="s">
        <v>123</v>
      </c>
      <c r="I576" s="695">
        <v>140</v>
      </c>
      <c r="J576" s="695">
        <v>3.5</v>
      </c>
      <c r="K576" s="777">
        <f t="shared" si="97"/>
        <v>0.27840909090909088</v>
      </c>
      <c r="L576" s="968">
        <v>3000</v>
      </c>
      <c r="M576" s="503">
        <f t="shared" si="99"/>
        <v>22</v>
      </c>
      <c r="N576" s="504">
        <v>0.9375</v>
      </c>
      <c r="O576" s="719">
        <f t="shared" si="89"/>
        <v>0.9375</v>
      </c>
      <c r="P576" s="564"/>
      <c r="Q576" s="564">
        <f t="shared" si="96"/>
        <v>-0.9375</v>
      </c>
      <c r="R576" s="965" t="s">
        <v>1528</v>
      </c>
      <c r="S576" s="487" t="s">
        <v>1128</v>
      </c>
      <c r="T576" s="29"/>
      <c r="U576" s="29" t="str">
        <f t="shared" si="90"/>
        <v>WheelerF1</v>
      </c>
      <c r="V576" s="29" t="str">
        <f t="shared" si="91"/>
        <v>1990F1</v>
      </c>
      <c r="W576" s="80">
        <v>100</v>
      </c>
      <c r="X576" s="32">
        <v>2</v>
      </c>
      <c r="Y576" s="467">
        <v>0.2</v>
      </c>
      <c r="Z576" s="80"/>
      <c r="AA576" s="29" t="str">
        <f t="shared" si="92"/>
        <v>F1100</v>
      </c>
      <c r="AB576" s="29" t="str">
        <f t="shared" si="93"/>
        <v>F12</v>
      </c>
      <c r="AC576" s="29" t="str">
        <f t="shared" si="94"/>
        <v>F10.2</v>
      </c>
      <c r="AD576" s="29" t="str">
        <f t="shared" si="95"/>
        <v>F122</v>
      </c>
      <c r="AE576" s="443"/>
      <c r="AF576" s="443"/>
      <c r="AG576" s="443"/>
      <c r="AH576" s="443"/>
    </row>
    <row r="577" spans="1:34" ht="16.5">
      <c r="A577" s="728">
        <f t="shared" si="98"/>
        <v>570</v>
      </c>
      <c r="B577" s="563">
        <v>7</v>
      </c>
      <c r="C577" s="694">
        <v>32987</v>
      </c>
      <c r="D577" s="694" t="s">
        <v>147</v>
      </c>
      <c r="E577" s="695">
        <v>24</v>
      </c>
      <c r="F577" s="503">
        <v>1990</v>
      </c>
      <c r="G577" s="563" t="s">
        <v>116</v>
      </c>
      <c r="H577" s="503" t="s">
        <v>123</v>
      </c>
      <c r="I577" s="695">
        <v>250</v>
      </c>
      <c r="J577" s="695">
        <v>4</v>
      </c>
      <c r="K577" s="777">
        <f t="shared" si="97"/>
        <v>0.56818181818181823</v>
      </c>
      <c r="L577" s="968">
        <v>25000</v>
      </c>
      <c r="M577" s="503">
        <f t="shared" si="99"/>
        <v>23</v>
      </c>
      <c r="N577" s="504">
        <v>0.97013888888888899</v>
      </c>
      <c r="O577" s="719">
        <f t="shared" si="89"/>
        <v>0.97013888888888899</v>
      </c>
      <c r="P577" s="564"/>
      <c r="Q577" s="564">
        <f t="shared" si="96"/>
        <v>-0.97013888888888899</v>
      </c>
      <c r="R577" s="965" t="s">
        <v>1520</v>
      </c>
      <c r="S577" s="487" t="s">
        <v>1129</v>
      </c>
      <c r="T577" s="29"/>
      <c r="U577" s="29" t="str">
        <f t="shared" si="90"/>
        <v>WheelerF1</v>
      </c>
      <c r="V577" s="29" t="str">
        <f t="shared" si="91"/>
        <v>1990F1</v>
      </c>
      <c r="W577" s="80">
        <v>200</v>
      </c>
      <c r="X577" s="32">
        <v>2</v>
      </c>
      <c r="Y577" s="467">
        <v>0.5</v>
      </c>
      <c r="Z577" s="80"/>
      <c r="AA577" s="29" t="str">
        <f t="shared" si="92"/>
        <v>F1200</v>
      </c>
      <c r="AB577" s="29" t="str">
        <f t="shared" si="93"/>
        <v>F12</v>
      </c>
      <c r="AC577" s="29" t="str">
        <f t="shared" si="94"/>
        <v>F10.5</v>
      </c>
      <c r="AD577" s="29" t="str">
        <f t="shared" si="95"/>
        <v>F123</v>
      </c>
      <c r="AE577" s="443"/>
      <c r="AF577" s="443"/>
      <c r="AG577" s="443"/>
      <c r="AH577" s="443"/>
    </row>
    <row r="578" spans="1:34" ht="16.5">
      <c r="A578" s="728">
        <f t="shared" si="98"/>
        <v>571</v>
      </c>
      <c r="B578" s="563">
        <v>8</v>
      </c>
      <c r="C578" s="694">
        <v>32988</v>
      </c>
      <c r="D578" s="694" t="s">
        <v>147</v>
      </c>
      <c r="E578" s="695">
        <v>25</v>
      </c>
      <c r="F578" s="503">
        <v>1990</v>
      </c>
      <c r="G578" s="563" t="s">
        <v>100</v>
      </c>
      <c r="H578" s="503" t="s">
        <v>123</v>
      </c>
      <c r="I578" s="695">
        <v>50</v>
      </c>
      <c r="J578" s="695">
        <v>2</v>
      </c>
      <c r="K578" s="777">
        <f t="shared" si="97"/>
        <v>5.6818181818181816E-2</v>
      </c>
      <c r="L578" s="968">
        <v>0</v>
      </c>
      <c r="M578" s="503">
        <f t="shared" si="99"/>
        <v>0</v>
      </c>
      <c r="N578" s="504">
        <v>3.4722222222222224E-2</v>
      </c>
      <c r="O578" s="719">
        <f t="shared" si="89"/>
        <v>3.4722222222222224E-2</v>
      </c>
      <c r="P578" s="564"/>
      <c r="Q578" s="564">
        <f t="shared" si="96"/>
        <v>-3.4722222222222224E-2</v>
      </c>
      <c r="R578" s="965" t="s">
        <v>1520</v>
      </c>
      <c r="S578" s="487" t="s">
        <v>1130</v>
      </c>
      <c r="T578" s="29"/>
      <c r="U578" s="29" t="str">
        <f t="shared" si="90"/>
        <v>TexasF1</v>
      </c>
      <c r="V578" s="29" t="str">
        <f t="shared" si="91"/>
        <v>1990F1</v>
      </c>
      <c r="W578" s="80">
        <v>50</v>
      </c>
      <c r="X578" s="32">
        <v>2</v>
      </c>
      <c r="Y578" s="467">
        <v>0.05</v>
      </c>
      <c r="Z578" s="80"/>
      <c r="AA578" s="29" t="str">
        <f t="shared" si="92"/>
        <v>F150</v>
      </c>
      <c r="AB578" s="29" t="str">
        <f t="shared" si="93"/>
        <v>F12</v>
      </c>
      <c r="AC578" s="29" t="str">
        <f t="shared" si="94"/>
        <v>F10.05</v>
      </c>
      <c r="AD578" s="29" t="str">
        <f t="shared" si="95"/>
        <v>F10</v>
      </c>
      <c r="AE578" s="443"/>
      <c r="AF578" s="443"/>
      <c r="AG578" s="443"/>
      <c r="AH578" s="443"/>
    </row>
    <row r="579" spans="1:34" ht="16.5">
      <c r="A579" s="728">
        <f t="shared" si="98"/>
        <v>572</v>
      </c>
      <c r="B579" s="563">
        <v>9</v>
      </c>
      <c r="C579" s="694">
        <v>33024</v>
      </c>
      <c r="D579" s="694" t="s">
        <v>148</v>
      </c>
      <c r="E579" s="695">
        <v>31</v>
      </c>
      <c r="F579" s="503">
        <v>1990</v>
      </c>
      <c r="G579" s="563" t="s">
        <v>105</v>
      </c>
      <c r="H579" s="503" t="s">
        <v>123</v>
      </c>
      <c r="I579" s="695">
        <v>175</v>
      </c>
      <c r="J579" s="695">
        <v>7</v>
      </c>
      <c r="K579" s="777">
        <f t="shared" si="97"/>
        <v>0.69602272727272729</v>
      </c>
      <c r="L579" s="968">
        <v>0</v>
      </c>
      <c r="M579" s="503">
        <f t="shared" si="99"/>
        <v>15</v>
      </c>
      <c r="N579" s="504">
        <v>0.64583333333333337</v>
      </c>
      <c r="O579" s="719">
        <f t="shared" si="89"/>
        <v>0.64583333333333337</v>
      </c>
      <c r="P579" s="564"/>
      <c r="Q579" s="564">
        <f t="shared" si="96"/>
        <v>-0.64583333333333337</v>
      </c>
      <c r="R579" s="965" t="s">
        <v>1520</v>
      </c>
      <c r="S579" s="487" t="s">
        <v>1131</v>
      </c>
      <c r="T579" s="29"/>
      <c r="U579" s="29" t="str">
        <f t="shared" si="90"/>
        <v>OchiltreeF1</v>
      </c>
      <c r="V579" s="29" t="str">
        <f t="shared" si="91"/>
        <v>1990F1</v>
      </c>
      <c r="W579" s="80">
        <v>100</v>
      </c>
      <c r="X579" s="32">
        <v>5</v>
      </c>
      <c r="Y579" s="467">
        <v>0.5</v>
      </c>
      <c r="Z579" s="80"/>
      <c r="AA579" s="29" t="str">
        <f t="shared" si="92"/>
        <v>F1100</v>
      </c>
      <c r="AB579" s="29" t="str">
        <f t="shared" si="93"/>
        <v>F15</v>
      </c>
      <c r="AC579" s="29" t="str">
        <f t="shared" si="94"/>
        <v>F10.5</v>
      </c>
      <c r="AD579" s="29" t="str">
        <f t="shared" si="95"/>
        <v>F115</v>
      </c>
      <c r="AE579" s="443"/>
      <c r="AF579" s="443"/>
      <c r="AG579" s="443"/>
      <c r="AH579" s="443"/>
    </row>
    <row r="580" spans="1:34" ht="16.5">
      <c r="A580" s="728">
        <f t="shared" si="98"/>
        <v>573</v>
      </c>
      <c r="B580" s="563">
        <v>10</v>
      </c>
      <c r="C580" s="694">
        <v>33024</v>
      </c>
      <c r="D580" s="694" t="s">
        <v>148</v>
      </c>
      <c r="E580" s="695">
        <v>31</v>
      </c>
      <c r="F580" s="503">
        <v>1990</v>
      </c>
      <c r="G580" s="563" t="s">
        <v>105</v>
      </c>
      <c r="H580" s="503" t="s">
        <v>122</v>
      </c>
      <c r="I580" s="695">
        <v>50</v>
      </c>
      <c r="J580" s="695">
        <v>1.2</v>
      </c>
      <c r="K580" s="777">
        <f t="shared" si="97"/>
        <v>3.4090909090909088E-2</v>
      </c>
      <c r="L580" s="968">
        <v>0</v>
      </c>
      <c r="M580" s="503">
        <f t="shared" si="99"/>
        <v>16</v>
      </c>
      <c r="N580" s="504">
        <v>0.67291666666666661</v>
      </c>
      <c r="O580" s="719">
        <f t="shared" si="89"/>
        <v>0.67291666666666661</v>
      </c>
      <c r="P580" s="564"/>
      <c r="Q580" s="564">
        <f t="shared" si="96"/>
        <v>-0.67291666666666661</v>
      </c>
      <c r="R580" s="965" t="s">
        <v>1520</v>
      </c>
      <c r="S580" s="487" t="s">
        <v>375</v>
      </c>
      <c r="T580" s="29"/>
      <c r="U580" s="29" t="str">
        <f t="shared" si="90"/>
        <v>OchiltreeF0</v>
      </c>
      <c r="V580" s="29" t="str">
        <f t="shared" si="91"/>
        <v>1990F0</v>
      </c>
      <c r="W580" s="80">
        <v>50</v>
      </c>
      <c r="X580" s="32">
        <v>1</v>
      </c>
      <c r="Y580" s="467">
        <v>0.02</v>
      </c>
      <c r="Z580" s="80"/>
      <c r="AA580" s="29" t="str">
        <f t="shared" si="92"/>
        <v>F050</v>
      </c>
      <c r="AB580" s="29" t="str">
        <f t="shared" si="93"/>
        <v>F01</v>
      </c>
      <c r="AC580" s="29" t="str">
        <f t="shared" si="94"/>
        <v>F00.02</v>
      </c>
      <c r="AD580" s="29" t="str">
        <f t="shared" si="95"/>
        <v>F016</v>
      </c>
      <c r="AE580" s="443"/>
      <c r="AF580" s="443"/>
      <c r="AG580" s="443"/>
      <c r="AH580" s="443"/>
    </row>
    <row r="581" spans="1:34" ht="16.5">
      <c r="A581" s="728">
        <f t="shared" si="98"/>
        <v>574</v>
      </c>
      <c r="B581" s="563">
        <v>11</v>
      </c>
      <c r="C581" s="694">
        <v>33024</v>
      </c>
      <c r="D581" s="694" t="s">
        <v>148</v>
      </c>
      <c r="E581" s="695">
        <v>31</v>
      </c>
      <c r="F581" s="503">
        <v>1990</v>
      </c>
      <c r="G581" s="563" t="s">
        <v>105</v>
      </c>
      <c r="H581" s="503" t="s">
        <v>125</v>
      </c>
      <c r="I581" s="695">
        <v>1407</v>
      </c>
      <c r="J581" s="695">
        <v>14</v>
      </c>
      <c r="K581" s="777">
        <f t="shared" si="97"/>
        <v>11.192045454545454</v>
      </c>
      <c r="L581" s="968">
        <v>2500000</v>
      </c>
      <c r="M581" s="503">
        <f t="shared" si="99"/>
        <v>17</v>
      </c>
      <c r="N581" s="504">
        <v>0.7368055555555556</v>
      </c>
      <c r="O581" s="719">
        <f t="shared" si="89"/>
        <v>0.7368055555555556</v>
      </c>
      <c r="P581" s="564"/>
      <c r="Q581" s="564">
        <f t="shared" si="96"/>
        <v>-0.7368055555555556</v>
      </c>
      <c r="R581" s="965" t="s">
        <v>1520</v>
      </c>
      <c r="S581" s="487" t="s">
        <v>1132</v>
      </c>
      <c r="T581" s="29"/>
      <c r="U581" s="29" t="str">
        <f t="shared" si="90"/>
        <v>OchiltreeF3</v>
      </c>
      <c r="V581" s="29" t="str">
        <f t="shared" si="91"/>
        <v>1990F3</v>
      </c>
      <c r="W581" s="80">
        <v>1000</v>
      </c>
      <c r="X581" s="32">
        <v>10</v>
      </c>
      <c r="Y581" s="467">
        <v>10</v>
      </c>
      <c r="Z581" s="80"/>
      <c r="AA581" s="29" t="str">
        <f t="shared" si="92"/>
        <v>F31000</v>
      </c>
      <c r="AB581" s="29" t="str">
        <f t="shared" si="93"/>
        <v>F310</v>
      </c>
      <c r="AC581" s="29" t="str">
        <f t="shared" si="94"/>
        <v>F310</v>
      </c>
      <c r="AD581" s="29" t="str">
        <f t="shared" si="95"/>
        <v>F317</v>
      </c>
      <c r="AE581" s="443"/>
      <c r="AF581" s="443"/>
      <c r="AG581" s="443"/>
      <c r="AH581" s="443"/>
    </row>
    <row r="582" spans="1:34" ht="16.5">
      <c r="A582" s="728">
        <f t="shared" si="98"/>
        <v>575</v>
      </c>
      <c r="B582" s="563">
        <v>12</v>
      </c>
      <c r="C582" s="694">
        <v>33024</v>
      </c>
      <c r="D582" s="694" t="s">
        <v>148</v>
      </c>
      <c r="E582" s="695">
        <v>31</v>
      </c>
      <c r="F582" s="503">
        <v>1990</v>
      </c>
      <c r="G582" s="563" t="s">
        <v>104</v>
      </c>
      <c r="H582" s="503" t="s">
        <v>122</v>
      </c>
      <c r="I582" s="695">
        <v>60</v>
      </c>
      <c r="J582" s="695">
        <v>1.3</v>
      </c>
      <c r="K582" s="777">
        <f t="shared" si="97"/>
        <v>4.4318181818181819E-2</v>
      </c>
      <c r="L582" s="968">
        <v>3000</v>
      </c>
      <c r="M582" s="503">
        <f t="shared" si="99"/>
        <v>17</v>
      </c>
      <c r="N582" s="504">
        <v>0.73958333333333337</v>
      </c>
      <c r="O582" s="719">
        <f t="shared" si="89"/>
        <v>0.73958333333333337</v>
      </c>
      <c r="P582" s="564">
        <v>0.74444444444444446</v>
      </c>
      <c r="Q582" s="564">
        <f t="shared" si="96"/>
        <v>4.8611111111110938E-3</v>
      </c>
      <c r="R582" s="965" t="s">
        <v>1520</v>
      </c>
      <c r="S582" s="487" t="s">
        <v>1133</v>
      </c>
      <c r="T582" s="29"/>
      <c r="U582" s="29" t="str">
        <f t="shared" si="90"/>
        <v>HansfordF0</v>
      </c>
      <c r="V582" s="29" t="str">
        <f t="shared" si="91"/>
        <v>1990F0</v>
      </c>
      <c r="W582" s="80">
        <v>50</v>
      </c>
      <c r="X582" s="32">
        <v>1</v>
      </c>
      <c r="Y582" s="467">
        <v>0.02</v>
      </c>
      <c r="Z582" s="80"/>
      <c r="AA582" s="29" t="str">
        <f t="shared" si="92"/>
        <v>F050</v>
      </c>
      <c r="AB582" s="29" t="str">
        <f t="shared" si="93"/>
        <v>F01</v>
      </c>
      <c r="AC582" s="29" t="str">
        <f t="shared" si="94"/>
        <v>F00.02</v>
      </c>
      <c r="AD582" s="29" t="str">
        <f t="shared" si="95"/>
        <v>F017</v>
      </c>
      <c r="AE582" s="443"/>
      <c r="AF582" s="443"/>
      <c r="AG582" s="443"/>
      <c r="AH582" s="443"/>
    </row>
    <row r="583" spans="1:34" ht="16.5">
      <c r="A583" s="728">
        <f t="shared" si="98"/>
        <v>576</v>
      </c>
      <c r="B583" s="563">
        <v>13</v>
      </c>
      <c r="C583" s="694">
        <v>33024</v>
      </c>
      <c r="D583" s="694" t="s">
        <v>148</v>
      </c>
      <c r="E583" s="695">
        <v>31</v>
      </c>
      <c r="F583" s="503">
        <v>1990</v>
      </c>
      <c r="G583" s="563" t="s">
        <v>104</v>
      </c>
      <c r="H583" s="503" t="s">
        <v>124</v>
      </c>
      <c r="I583" s="695">
        <v>600</v>
      </c>
      <c r="J583" s="695">
        <v>5.5</v>
      </c>
      <c r="K583" s="777">
        <f t="shared" si="97"/>
        <v>1.8749999999999998</v>
      </c>
      <c r="L583" s="968">
        <v>2500000</v>
      </c>
      <c r="M583" s="503">
        <f t="shared" si="99"/>
        <v>19</v>
      </c>
      <c r="N583" s="504">
        <v>0.80208333333333337</v>
      </c>
      <c r="O583" s="719">
        <f t="shared" ref="O583:O646" si="100">+N583</f>
        <v>0.80208333333333337</v>
      </c>
      <c r="P583" s="564">
        <v>0.8125</v>
      </c>
      <c r="Q583" s="564">
        <f t="shared" si="96"/>
        <v>1.041666666666663E-2</v>
      </c>
      <c r="R583" s="965" t="s">
        <v>1520</v>
      </c>
      <c r="S583" s="487" t="s">
        <v>1134</v>
      </c>
      <c r="T583" s="29"/>
      <c r="U583" s="29" t="str">
        <f t="shared" ref="U583:U646" si="101">CONCATENATE(G583,H583)</f>
        <v>HansfordF2</v>
      </c>
      <c r="V583" s="29" t="str">
        <f t="shared" ref="V583:V646" si="102">CONCATENATE(F583,H583)</f>
        <v>1990F2</v>
      </c>
      <c r="W583" s="80">
        <v>500</v>
      </c>
      <c r="X583" s="32">
        <v>5</v>
      </c>
      <c r="Y583" s="467">
        <v>1</v>
      </c>
      <c r="Z583" s="80"/>
      <c r="AA583" s="29" t="str">
        <f t="shared" ref="AA583:AA646" si="103">CONCATENATE(H583,W583)</f>
        <v>F2500</v>
      </c>
      <c r="AB583" s="29" t="str">
        <f t="shared" ref="AB583:AB646" si="104">CONCATENATE(H583,X583)</f>
        <v>F25</v>
      </c>
      <c r="AC583" s="29" t="str">
        <f t="shared" ref="AC583:AC646" si="105">CONCATENATE(H583,Y583)</f>
        <v>F21</v>
      </c>
      <c r="AD583" s="29" t="str">
        <f t="shared" ref="AD583:AD646" si="106">CONCATENATE(H583,M583)</f>
        <v>F219</v>
      </c>
      <c r="AE583" s="443"/>
      <c r="AF583" s="443"/>
      <c r="AG583" s="443"/>
      <c r="AH583" s="443"/>
    </row>
    <row r="584" spans="1:34" ht="16.5">
      <c r="A584" s="728">
        <f t="shared" si="98"/>
        <v>577</v>
      </c>
      <c r="B584" s="563">
        <v>14</v>
      </c>
      <c r="C584" s="694">
        <v>33024</v>
      </c>
      <c r="D584" s="694" t="s">
        <v>148</v>
      </c>
      <c r="E584" s="695">
        <v>31</v>
      </c>
      <c r="F584" s="503">
        <v>1990</v>
      </c>
      <c r="G584" s="563" t="s">
        <v>105</v>
      </c>
      <c r="H584" s="503" t="s">
        <v>122</v>
      </c>
      <c r="I584" s="695">
        <v>70</v>
      </c>
      <c r="J584" s="695">
        <v>0.7</v>
      </c>
      <c r="K584" s="777">
        <f t="shared" si="97"/>
        <v>2.784090909090909E-2</v>
      </c>
      <c r="L584" s="968">
        <v>0</v>
      </c>
      <c r="M584" s="503">
        <f t="shared" si="99"/>
        <v>20</v>
      </c>
      <c r="N584" s="504">
        <v>0.83888888888888891</v>
      </c>
      <c r="O584" s="719">
        <f t="shared" si="100"/>
        <v>0.83888888888888891</v>
      </c>
      <c r="P584" s="564"/>
      <c r="Q584" s="564">
        <f t="shared" ref="Q584:Q647" si="107">+P584-O584</f>
        <v>-0.83888888888888891</v>
      </c>
      <c r="R584" s="965" t="s">
        <v>1520</v>
      </c>
      <c r="S584" s="487" t="s">
        <v>1135</v>
      </c>
      <c r="T584" s="29"/>
      <c r="U584" s="29" t="str">
        <f t="shared" si="101"/>
        <v>OchiltreeF0</v>
      </c>
      <c r="V584" s="29" t="str">
        <f t="shared" si="102"/>
        <v>1990F0</v>
      </c>
      <c r="W584" s="80">
        <v>50</v>
      </c>
      <c r="X584" s="32">
        <v>0.5</v>
      </c>
      <c r="Y584" s="467">
        <v>0.02</v>
      </c>
      <c r="Z584" s="80"/>
      <c r="AA584" s="29" t="str">
        <f t="shared" si="103"/>
        <v>F050</v>
      </c>
      <c r="AB584" s="29" t="str">
        <f t="shared" si="104"/>
        <v>F00.5</v>
      </c>
      <c r="AC584" s="29" t="str">
        <f t="shared" si="105"/>
        <v>F00.02</v>
      </c>
      <c r="AD584" s="29" t="str">
        <f t="shared" si="106"/>
        <v>F020</v>
      </c>
      <c r="AE584" s="443"/>
      <c r="AF584" s="443"/>
      <c r="AG584" s="443"/>
      <c r="AH584" s="443"/>
    </row>
    <row r="585" spans="1:34" ht="16.5">
      <c r="A585" s="728">
        <f t="shared" si="98"/>
        <v>578</v>
      </c>
      <c r="B585" s="563">
        <v>15</v>
      </c>
      <c r="C585" s="694">
        <v>33024</v>
      </c>
      <c r="D585" s="694" t="s">
        <v>148</v>
      </c>
      <c r="E585" s="695">
        <v>31</v>
      </c>
      <c r="F585" s="503">
        <v>1990</v>
      </c>
      <c r="G585" s="563" t="s">
        <v>104</v>
      </c>
      <c r="H585" s="503" t="s">
        <v>122</v>
      </c>
      <c r="I585" s="695">
        <v>50</v>
      </c>
      <c r="J585" s="695">
        <v>0.6</v>
      </c>
      <c r="K585" s="777">
        <f t="shared" ref="K585:K648" si="108">+(I585/1760)*J585</f>
        <v>1.7045454545454544E-2</v>
      </c>
      <c r="L585" s="968">
        <v>0</v>
      </c>
      <c r="M585" s="503">
        <f t="shared" si="99"/>
        <v>20</v>
      </c>
      <c r="N585" s="504">
        <v>0.84305555555555556</v>
      </c>
      <c r="O585" s="719">
        <f t="shared" si="100"/>
        <v>0.84305555555555556</v>
      </c>
      <c r="P585" s="564"/>
      <c r="Q585" s="564">
        <f t="shared" si="107"/>
        <v>-0.84305555555555556</v>
      </c>
      <c r="R585" s="965" t="s">
        <v>1520</v>
      </c>
      <c r="S585" s="487" t="s">
        <v>1136</v>
      </c>
      <c r="T585" s="29"/>
      <c r="U585" s="29" t="str">
        <f t="shared" si="101"/>
        <v>HansfordF0</v>
      </c>
      <c r="V585" s="29" t="str">
        <f t="shared" si="102"/>
        <v>1990F0</v>
      </c>
      <c r="W585" s="80">
        <v>50</v>
      </c>
      <c r="X585" s="32">
        <v>0.5</v>
      </c>
      <c r="Y585" s="467">
        <v>0.01</v>
      </c>
      <c r="Z585" s="80"/>
      <c r="AA585" s="29" t="str">
        <f t="shared" si="103"/>
        <v>F050</v>
      </c>
      <c r="AB585" s="29" t="str">
        <f t="shared" si="104"/>
        <v>F00.5</v>
      </c>
      <c r="AC585" s="29" t="str">
        <f t="shared" si="105"/>
        <v>F00.01</v>
      </c>
      <c r="AD585" s="29" t="str">
        <f t="shared" si="106"/>
        <v>F020</v>
      </c>
      <c r="AE585" s="443"/>
      <c r="AF585" s="443"/>
      <c r="AG585" s="443"/>
      <c r="AH585" s="443"/>
    </row>
    <row r="586" spans="1:34" ht="16.5">
      <c r="A586" s="728">
        <f t="shared" ref="A586:A649" si="109">+A585+1</f>
        <v>579</v>
      </c>
      <c r="B586" s="563">
        <v>16</v>
      </c>
      <c r="C586" s="694">
        <v>33024</v>
      </c>
      <c r="D586" s="694" t="s">
        <v>148</v>
      </c>
      <c r="E586" s="695">
        <v>31</v>
      </c>
      <c r="F586" s="503">
        <v>1990</v>
      </c>
      <c r="G586" s="563" t="s">
        <v>105</v>
      </c>
      <c r="H586" s="503" t="s">
        <v>124</v>
      </c>
      <c r="I586" s="695">
        <v>450</v>
      </c>
      <c r="J586" s="695">
        <v>3</v>
      </c>
      <c r="K586" s="777">
        <f t="shared" si="108"/>
        <v>0.76704545454545459</v>
      </c>
      <c r="L586" s="968">
        <v>250000</v>
      </c>
      <c r="M586" s="503">
        <f t="shared" si="99"/>
        <v>21</v>
      </c>
      <c r="N586" s="504">
        <v>0.90625</v>
      </c>
      <c r="O586" s="719">
        <f t="shared" si="100"/>
        <v>0.90625</v>
      </c>
      <c r="P586" s="564">
        <v>0.91319444444444453</v>
      </c>
      <c r="Q586" s="564">
        <f t="shared" si="107"/>
        <v>6.9444444444445308E-3</v>
      </c>
      <c r="R586" s="965" t="s">
        <v>1520</v>
      </c>
      <c r="S586" s="487" t="s">
        <v>1137</v>
      </c>
      <c r="T586" s="29"/>
      <c r="U586" s="29" t="str">
        <f t="shared" si="101"/>
        <v>OchiltreeF2</v>
      </c>
      <c r="V586" s="29" t="str">
        <f t="shared" si="102"/>
        <v>1990F2</v>
      </c>
      <c r="W586" s="80">
        <v>200</v>
      </c>
      <c r="X586" s="32">
        <v>2</v>
      </c>
      <c r="Y586" s="467">
        <v>0.5</v>
      </c>
      <c r="Z586" s="80"/>
      <c r="AA586" s="29" t="str">
        <f t="shared" si="103"/>
        <v>F2200</v>
      </c>
      <c r="AB586" s="29" t="str">
        <f t="shared" si="104"/>
        <v>F22</v>
      </c>
      <c r="AC586" s="29" t="str">
        <f t="shared" si="105"/>
        <v>F20.5</v>
      </c>
      <c r="AD586" s="29" t="str">
        <f t="shared" si="106"/>
        <v>F221</v>
      </c>
      <c r="AE586" s="443"/>
      <c r="AF586" s="443"/>
      <c r="AG586" s="443"/>
      <c r="AH586" s="443"/>
    </row>
    <row r="587" spans="1:34" ht="16.5">
      <c r="A587" s="728">
        <f t="shared" si="109"/>
        <v>580</v>
      </c>
      <c r="B587" s="563">
        <v>17</v>
      </c>
      <c r="C587" s="694">
        <v>33024</v>
      </c>
      <c r="D587" s="694" t="s">
        <v>148</v>
      </c>
      <c r="E587" s="695">
        <v>31</v>
      </c>
      <c r="F587" s="503">
        <v>1990</v>
      </c>
      <c r="G587" s="563" t="s">
        <v>111</v>
      </c>
      <c r="H587" s="503" t="s">
        <v>122</v>
      </c>
      <c r="I587" s="695">
        <v>75</v>
      </c>
      <c r="J587" s="695">
        <v>0.6</v>
      </c>
      <c r="K587" s="777">
        <f t="shared" si="108"/>
        <v>2.5568181818181816E-2</v>
      </c>
      <c r="L587" s="968">
        <v>0</v>
      </c>
      <c r="M587" s="503">
        <f t="shared" si="99"/>
        <v>22</v>
      </c>
      <c r="N587" s="504">
        <v>0.92708333333333337</v>
      </c>
      <c r="O587" s="719">
        <f t="shared" si="100"/>
        <v>0.92708333333333337</v>
      </c>
      <c r="P587" s="564"/>
      <c r="Q587" s="564">
        <f t="shared" si="107"/>
        <v>-0.92708333333333337</v>
      </c>
      <c r="R587" s="965" t="s">
        <v>1520</v>
      </c>
      <c r="S587" s="487" t="s">
        <v>1138</v>
      </c>
      <c r="T587" s="29"/>
      <c r="U587" s="29" t="str">
        <f t="shared" si="101"/>
        <v>HemphillF0</v>
      </c>
      <c r="V587" s="29" t="str">
        <f t="shared" si="102"/>
        <v>1990F0</v>
      </c>
      <c r="W587" s="80">
        <v>50</v>
      </c>
      <c r="X587" s="32">
        <v>0.5</v>
      </c>
      <c r="Y587" s="467">
        <v>0.02</v>
      </c>
      <c r="Z587" s="80"/>
      <c r="AA587" s="29" t="str">
        <f t="shared" si="103"/>
        <v>F050</v>
      </c>
      <c r="AB587" s="29" t="str">
        <f t="shared" si="104"/>
        <v>F00.5</v>
      </c>
      <c r="AC587" s="29" t="str">
        <f t="shared" si="105"/>
        <v>F00.02</v>
      </c>
      <c r="AD587" s="29" t="str">
        <f t="shared" si="106"/>
        <v>F022</v>
      </c>
      <c r="AE587" s="443"/>
      <c r="AF587" s="443"/>
      <c r="AG587" s="443"/>
      <c r="AH587" s="443"/>
    </row>
    <row r="588" spans="1:34" ht="16.5">
      <c r="A588" s="728">
        <f t="shared" si="109"/>
        <v>581</v>
      </c>
      <c r="B588" s="563">
        <v>18</v>
      </c>
      <c r="C588" s="694">
        <v>33024</v>
      </c>
      <c r="D588" s="694" t="s">
        <v>148</v>
      </c>
      <c r="E588" s="695">
        <v>31</v>
      </c>
      <c r="F588" s="503">
        <v>1990</v>
      </c>
      <c r="G588" s="563" t="s">
        <v>111</v>
      </c>
      <c r="H588" s="503" t="s">
        <v>122</v>
      </c>
      <c r="I588" s="695">
        <v>70</v>
      </c>
      <c r="J588" s="695">
        <v>0.5</v>
      </c>
      <c r="K588" s="777">
        <f t="shared" si="108"/>
        <v>1.9886363636363636E-2</v>
      </c>
      <c r="L588" s="968">
        <v>0</v>
      </c>
      <c r="M588" s="503">
        <f t="shared" si="99"/>
        <v>22</v>
      </c>
      <c r="N588" s="504">
        <v>0.94513888888888886</v>
      </c>
      <c r="O588" s="719">
        <f t="shared" si="100"/>
        <v>0.94513888888888886</v>
      </c>
      <c r="P588" s="564"/>
      <c r="Q588" s="564">
        <f t="shared" si="107"/>
        <v>-0.94513888888888886</v>
      </c>
      <c r="R588" s="965" t="s">
        <v>1520</v>
      </c>
      <c r="S588" s="487" t="s">
        <v>1139</v>
      </c>
      <c r="T588" s="29"/>
      <c r="U588" s="29" t="str">
        <f t="shared" si="101"/>
        <v>HemphillF0</v>
      </c>
      <c r="V588" s="29" t="str">
        <f t="shared" si="102"/>
        <v>1990F0</v>
      </c>
      <c r="W588" s="80">
        <v>50</v>
      </c>
      <c r="X588" s="32">
        <v>0.5</v>
      </c>
      <c r="Y588" s="467">
        <v>0.01</v>
      </c>
      <c r="Z588" s="80"/>
      <c r="AA588" s="29" t="str">
        <f t="shared" si="103"/>
        <v>F050</v>
      </c>
      <c r="AB588" s="29" t="str">
        <f t="shared" si="104"/>
        <v>F00.5</v>
      </c>
      <c r="AC588" s="29" t="str">
        <f t="shared" si="105"/>
        <v>F00.01</v>
      </c>
      <c r="AD588" s="29" t="str">
        <f t="shared" si="106"/>
        <v>F022</v>
      </c>
      <c r="AE588" s="443"/>
      <c r="AF588" s="443"/>
      <c r="AG588" s="443"/>
      <c r="AH588" s="443"/>
    </row>
    <row r="589" spans="1:34" ht="16.5">
      <c r="A589" s="728">
        <f t="shared" si="109"/>
        <v>582</v>
      </c>
      <c r="B589" s="563">
        <v>19</v>
      </c>
      <c r="C589" s="694">
        <v>33024</v>
      </c>
      <c r="D589" s="694" t="s">
        <v>148</v>
      </c>
      <c r="E589" s="695">
        <v>31</v>
      </c>
      <c r="F589" s="503">
        <v>1990</v>
      </c>
      <c r="G589" s="563" t="s">
        <v>111</v>
      </c>
      <c r="H589" s="503" t="s">
        <v>123</v>
      </c>
      <c r="I589" s="695">
        <v>90</v>
      </c>
      <c r="J589" s="695">
        <v>1.1000000000000001</v>
      </c>
      <c r="K589" s="777">
        <f t="shared" si="108"/>
        <v>5.6250000000000008E-2</v>
      </c>
      <c r="L589" s="968">
        <v>0</v>
      </c>
      <c r="M589" s="503">
        <f t="shared" si="99"/>
        <v>22</v>
      </c>
      <c r="N589" s="504">
        <v>0.95694444444444438</v>
      </c>
      <c r="O589" s="719">
        <f t="shared" si="100"/>
        <v>0.95694444444444438</v>
      </c>
      <c r="P589" s="564"/>
      <c r="Q589" s="564">
        <f t="shared" si="107"/>
        <v>-0.95694444444444438</v>
      </c>
      <c r="R589" s="965" t="s">
        <v>1520</v>
      </c>
      <c r="S589" s="487" t="s">
        <v>1140</v>
      </c>
      <c r="T589" s="29"/>
      <c r="U589" s="29" t="str">
        <f t="shared" si="101"/>
        <v>HemphillF1</v>
      </c>
      <c r="V589" s="29" t="str">
        <f t="shared" si="102"/>
        <v>1990F1</v>
      </c>
      <c r="W589" s="80">
        <v>50</v>
      </c>
      <c r="X589" s="32">
        <v>1</v>
      </c>
      <c r="Y589" s="467">
        <v>0.05</v>
      </c>
      <c r="Z589" s="80"/>
      <c r="AA589" s="29" t="str">
        <f t="shared" si="103"/>
        <v>F150</v>
      </c>
      <c r="AB589" s="29" t="str">
        <f t="shared" si="104"/>
        <v>F11</v>
      </c>
      <c r="AC589" s="29" t="str">
        <f t="shared" si="105"/>
        <v>F10.05</v>
      </c>
      <c r="AD589" s="29" t="str">
        <f t="shared" si="106"/>
        <v>F122</v>
      </c>
      <c r="AE589" s="443"/>
      <c r="AF589" s="443"/>
      <c r="AG589" s="443"/>
      <c r="AH589" s="443"/>
    </row>
    <row r="590" spans="1:34" ht="16.5">
      <c r="A590" s="728">
        <f t="shared" si="109"/>
        <v>583</v>
      </c>
      <c r="B590" s="563">
        <v>20</v>
      </c>
      <c r="C590" s="694">
        <v>33024</v>
      </c>
      <c r="D590" s="694" t="s">
        <v>148</v>
      </c>
      <c r="E590" s="695">
        <v>31</v>
      </c>
      <c r="F590" s="503">
        <v>1990</v>
      </c>
      <c r="G590" s="563" t="s">
        <v>116</v>
      </c>
      <c r="H590" s="503" t="s">
        <v>122</v>
      </c>
      <c r="I590" s="695">
        <v>80</v>
      </c>
      <c r="J590" s="695">
        <v>0.8</v>
      </c>
      <c r="K590" s="777">
        <f t="shared" si="108"/>
        <v>3.6363636363636369E-2</v>
      </c>
      <c r="L590" s="968">
        <v>0</v>
      </c>
      <c r="M590" s="503">
        <f t="shared" si="99"/>
        <v>23</v>
      </c>
      <c r="N590" s="504">
        <v>0.97430555555555554</v>
      </c>
      <c r="O590" s="719">
        <f t="shared" si="100"/>
        <v>0.97430555555555554</v>
      </c>
      <c r="P590" s="564"/>
      <c r="Q590" s="564">
        <f t="shared" si="107"/>
        <v>-0.97430555555555554</v>
      </c>
      <c r="R590" s="965" t="s">
        <v>1520</v>
      </c>
      <c r="S590" s="487" t="s">
        <v>1141</v>
      </c>
      <c r="T590" s="29"/>
      <c r="U590" s="29" t="str">
        <f t="shared" si="101"/>
        <v>WheelerF0</v>
      </c>
      <c r="V590" s="29" t="str">
        <f t="shared" si="102"/>
        <v>1990F0</v>
      </c>
      <c r="W590" s="80">
        <v>50</v>
      </c>
      <c r="X590" s="32">
        <v>0.5</v>
      </c>
      <c r="Y590" s="467">
        <v>0.02</v>
      </c>
      <c r="Z590" s="80"/>
      <c r="AA590" s="29" t="str">
        <f t="shared" si="103"/>
        <v>F050</v>
      </c>
      <c r="AB590" s="29" t="str">
        <f t="shared" si="104"/>
        <v>F00.5</v>
      </c>
      <c r="AC590" s="29" t="str">
        <f t="shared" si="105"/>
        <v>F00.02</v>
      </c>
      <c r="AD590" s="29" t="str">
        <f t="shared" si="106"/>
        <v>F023</v>
      </c>
      <c r="AE590" s="443"/>
      <c r="AF590" s="443"/>
      <c r="AG590" s="443"/>
      <c r="AH590" s="443"/>
    </row>
    <row r="591" spans="1:34" ht="16.5">
      <c r="A591" s="728">
        <f t="shared" si="109"/>
        <v>584</v>
      </c>
      <c r="B591" s="563">
        <v>21</v>
      </c>
      <c r="C591" s="694">
        <v>33024</v>
      </c>
      <c r="D591" s="694" t="s">
        <v>148</v>
      </c>
      <c r="E591" s="695">
        <v>31</v>
      </c>
      <c r="F591" s="503">
        <v>1990</v>
      </c>
      <c r="G591" s="563" t="s">
        <v>116</v>
      </c>
      <c r="H591" s="503" t="s">
        <v>122</v>
      </c>
      <c r="I591" s="695">
        <v>65</v>
      </c>
      <c r="J591" s="695">
        <v>0.6</v>
      </c>
      <c r="K591" s="777">
        <f t="shared" si="108"/>
        <v>2.215909090909091E-2</v>
      </c>
      <c r="L591" s="968">
        <v>0</v>
      </c>
      <c r="M591" s="503">
        <f t="shared" si="99"/>
        <v>23</v>
      </c>
      <c r="N591" s="504">
        <v>0.99236111111111114</v>
      </c>
      <c r="O591" s="719">
        <f t="shared" si="100"/>
        <v>0.99236111111111114</v>
      </c>
      <c r="P591" s="564"/>
      <c r="Q591" s="564">
        <f t="shared" si="107"/>
        <v>-0.99236111111111114</v>
      </c>
      <c r="R591" s="965" t="s">
        <v>1520</v>
      </c>
      <c r="S591" s="487" t="s">
        <v>1142</v>
      </c>
      <c r="T591" s="29"/>
      <c r="U591" s="29" t="str">
        <f t="shared" si="101"/>
        <v>WheelerF0</v>
      </c>
      <c r="V591" s="29" t="str">
        <f t="shared" si="102"/>
        <v>1990F0</v>
      </c>
      <c r="W591" s="80">
        <v>50</v>
      </c>
      <c r="X591" s="32">
        <v>0.5</v>
      </c>
      <c r="Y591" s="467">
        <v>0.02</v>
      </c>
      <c r="Z591" s="80"/>
      <c r="AA591" s="29" t="str">
        <f t="shared" si="103"/>
        <v>F050</v>
      </c>
      <c r="AB591" s="29" t="str">
        <f t="shared" si="104"/>
        <v>F00.5</v>
      </c>
      <c r="AC591" s="29" t="str">
        <f t="shared" si="105"/>
        <v>F00.02</v>
      </c>
      <c r="AD591" s="29" t="str">
        <f t="shared" si="106"/>
        <v>F023</v>
      </c>
      <c r="AE591" s="443"/>
      <c r="AF591" s="443"/>
      <c r="AG591" s="443"/>
      <c r="AH591" s="443"/>
    </row>
    <row r="592" spans="1:34" ht="16.5">
      <c r="A592" s="728">
        <f t="shared" si="109"/>
        <v>585</v>
      </c>
      <c r="B592" s="563">
        <v>22</v>
      </c>
      <c r="C592" s="694">
        <v>33032</v>
      </c>
      <c r="D592" s="694" t="s">
        <v>149</v>
      </c>
      <c r="E592" s="695">
        <v>8</v>
      </c>
      <c r="F592" s="503">
        <v>1990</v>
      </c>
      <c r="G592" s="563" t="s">
        <v>115</v>
      </c>
      <c r="H592" s="503" t="s">
        <v>123</v>
      </c>
      <c r="I592" s="695">
        <v>90</v>
      </c>
      <c r="J592" s="695">
        <v>1.4</v>
      </c>
      <c r="K592" s="777">
        <f t="shared" si="108"/>
        <v>7.1590909090909094E-2</v>
      </c>
      <c r="L592" s="968">
        <v>0</v>
      </c>
      <c r="M592" s="503">
        <f t="shared" si="99"/>
        <v>17</v>
      </c>
      <c r="N592" s="504">
        <v>0.73263888888888884</v>
      </c>
      <c r="O592" s="719">
        <f t="shared" si="100"/>
        <v>0.73263888888888884</v>
      </c>
      <c r="P592" s="564"/>
      <c r="Q592" s="564">
        <f t="shared" si="107"/>
        <v>-0.73263888888888884</v>
      </c>
      <c r="R592" s="965" t="s">
        <v>1520</v>
      </c>
      <c r="S592" s="487" t="s">
        <v>1143</v>
      </c>
      <c r="T592" s="29"/>
      <c r="U592" s="29" t="str">
        <f t="shared" si="101"/>
        <v>GrayF1</v>
      </c>
      <c r="V592" s="29" t="str">
        <f t="shared" si="102"/>
        <v>1990F1</v>
      </c>
      <c r="W592" s="80">
        <v>50</v>
      </c>
      <c r="X592" s="32">
        <v>1</v>
      </c>
      <c r="Y592" s="467">
        <v>0.05</v>
      </c>
      <c r="Z592" s="80"/>
      <c r="AA592" s="29" t="str">
        <f t="shared" si="103"/>
        <v>F150</v>
      </c>
      <c r="AB592" s="29" t="str">
        <f t="shared" si="104"/>
        <v>F11</v>
      </c>
      <c r="AC592" s="29" t="str">
        <f t="shared" si="105"/>
        <v>F10.05</v>
      </c>
      <c r="AD592" s="29" t="str">
        <f t="shared" si="106"/>
        <v>F117</v>
      </c>
      <c r="AE592" s="443"/>
      <c r="AF592" s="443"/>
      <c r="AG592" s="443"/>
      <c r="AH592" s="443"/>
    </row>
    <row r="593" spans="1:34" ht="16.5">
      <c r="A593" s="728">
        <f t="shared" si="109"/>
        <v>586</v>
      </c>
      <c r="B593" s="563">
        <v>23</v>
      </c>
      <c r="C593" s="694">
        <v>33032</v>
      </c>
      <c r="D593" s="694" t="s">
        <v>149</v>
      </c>
      <c r="E593" s="695">
        <v>8</v>
      </c>
      <c r="F593" s="503">
        <v>1990</v>
      </c>
      <c r="G593" s="563" t="s">
        <v>115</v>
      </c>
      <c r="H593" s="503" t="s">
        <v>122</v>
      </c>
      <c r="I593" s="695">
        <v>80</v>
      </c>
      <c r="J593" s="695">
        <v>1.2</v>
      </c>
      <c r="K593" s="777">
        <f t="shared" si="108"/>
        <v>5.4545454545454543E-2</v>
      </c>
      <c r="L593" s="968">
        <v>0</v>
      </c>
      <c r="M593" s="503">
        <f t="shared" si="99"/>
        <v>18</v>
      </c>
      <c r="N593" s="504">
        <v>0.76875000000000004</v>
      </c>
      <c r="O593" s="719">
        <f t="shared" si="100"/>
        <v>0.76875000000000004</v>
      </c>
      <c r="P593" s="564"/>
      <c r="Q593" s="564">
        <f t="shared" si="107"/>
        <v>-0.76875000000000004</v>
      </c>
      <c r="R593" s="965" t="s">
        <v>1520</v>
      </c>
      <c r="S593" s="487" t="s">
        <v>1144</v>
      </c>
      <c r="T593" s="29"/>
      <c r="U593" s="29" t="str">
        <f t="shared" si="101"/>
        <v>GrayF0</v>
      </c>
      <c r="V593" s="29" t="str">
        <f t="shared" si="102"/>
        <v>1990F0</v>
      </c>
      <c r="W593" s="80">
        <v>50</v>
      </c>
      <c r="X593" s="32">
        <v>1</v>
      </c>
      <c r="Y593" s="467">
        <v>0.05</v>
      </c>
      <c r="Z593" s="80"/>
      <c r="AA593" s="29" t="str">
        <f t="shared" si="103"/>
        <v>F050</v>
      </c>
      <c r="AB593" s="29" t="str">
        <f t="shared" si="104"/>
        <v>F01</v>
      </c>
      <c r="AC593" s="29" t="str">
        <f t="shared" si="105"/>
        <v>F00.05</v>
      </c>
      <c r="AD593" s="29" t="str">
        <f t="shared" si="106"/>
        <v>F018</v>
      </c>
      <c r="AE593" s="443"/>
      <c r="AF593" s="443"/>
      <c r="AG593" s="443"/>
      <c r="AH593" s="443"/>
    </row>
    <row r="594" spans="1:34" ht="16.5">
      <c r="A594" s="728">
        <f t="shared" si="109"/>
        <v>587</v>
      </c>
      <c r="B594" s="563">
        <v>24</v>
      </c>
      <c r="C594" s="694">
        <v>33032</v>
      </c>
      <c r="D594" s="694" t="s">
        <v>149</v>
      </c>
      <c r="E594" s="695">
        <v>8</v>
      </c>
      <c r="F594" s="503">
        <v>1990</v>
      </c>
      <c r="G594" s="563" t="s">
        <v>114</v>
      </c>
      <c r="H594" s="503" t="s">
        <v>122</v>
      </c>
      <c r="I594" s="695">
        <v>70</v>
      </c>
      <c r="J594" s="695">
        <v>0.8</v>
      </c>
      <c r="K594" s="777">
        <f t="shared" si="108"/>
        <v>3.1818181818181822E-2</v>
      </c>
      <c r="L594" s="968">
        <v>0</v>
      </c>
      <c r="M594" s="503">
        <f t="shared" si="99"/>
        <v>18</v>
      </c>
      <c r="N594" s="504">
        <v>0.77083333333333337</v>
      </c>
      <c r="O594" s="719">
        <f t="shared" si="100"/>
        <v>0.77083333333333337</v>
      </c>
      <c r="P594" s="564"/>
      <c r="Q594" s="564">
        <f t="shared" si="107"/>
        <v>-0.77083333333333337</v>
      </c>
      <c r="R594" s="965" t="s">
        <v>1520</v>
      </c>
      <c r="S594" s="487" t="s">
        <v>1145</v>
      </c>
      <c r="T594" s="29"/>
      <c r="U594" s="29" t="str">
        <f t="shared" si="101"/>
        <v>CarsonF0</v>
      </c>
      <c r="V594" s="29" t="str">
        <f t="shared" si="102"/>
        <v>1990F0</v>
      </c>
      <c r="W594" s="80">
        <v>50</v>
      </c>
      <c r="X594" s="32">
        <v>0.5</v>
      </c>
      <c r="Y594" s="467">
        <v>0.02</v>
      </c>
      <c r="Z594" s="80"/>
      <c r="AA594" s="29" t="str">
        <f t="shared" si="103"/>
        <v>F050</v>
      </c>
      <c r="AB594" s="29" t="str">
        <f t="shared" si="104"/>
        <v>F00.5</v>
      </c>
      <c r="AC594" s="29" t="str">
        <f t="shared" si="105"/>
        <v>F00.02</v>
      </c>
      <c r="AD594" s="29" t="str">
        <f t="shared" si="106"/>
        <v>F018</v>
      </c>
      <c r="AE594" s="443"/>
      <c r="AF594" s="443"/>
      <c r="AG594" s="443"/>
      <c r="AH594" s="443"/>
    </row>
    <row r="595" spans="1:34" ht="16.5">
      <c r="A595" s="728">
        <f t="shared" si="109"/>
        <v>588</v>
      </c>
      <c r="B595" s="563">
        <v>25</v>
      </c>
      <c r="C595" s="694">
        <v>33032</v>
      </c>
      <c r="D595" s="694" t="s">
        <v>149</v>
      </c>
      <c r="E595" s="695">
        <v>8</v>
      </c>
      <c r="F595" s="503">
        <v>1990</v>
      </c>
      <c r="G595" s="563" t="s">
        <v>114</v>
      </c>
      <c r="H595" s="503" t="s">
        <v>122</v>
      </c>
      <c r="I595" s="695">
        <v>70</v>
      </c>
      <c r="J595" s="695">
        <v>1.1000000000000001</v>
      </c>
      <c r="K595" s="777">
        <f t="shared" si="108"/>
        <v>4.3750000000000004E-2</v>
      </c>
      <c r="L595" s="968">
        <v>0</v>
      </c>
      <c r="M595" s="503">
        <f t="shared" si="99"/>
        <v>18</v>
      </c>
      <c r="N595" s="504">
        <v>0.78263888888888899</v>
      </c>
      <c r="O595" s="719">
        <f t="shared" si="100"/>
        <v>0.78263888888888899</v>
      </c>
      <c r="P595" s="564"/>
      <c r="Q595" s="564">
        <f t="shared" si="107"/>
        <v>-0.78263888888888899</v>
      </c>
      <c r="R595" s="965" t="s">
        <v>1520</v>
      </c>
      <c r="S595" s="487" t="s">
        <v>1146</v>
      </c>
      <c r="T595" s="29"/>
      <c r="U595" s="29" t="str">
        <f t="shared" si="101"/>
        <v>CarsonF0</v>
      </c>
      <c r="V595" s="29" t="str">
        <f t="shared" si="102"/>
        <v>1990F0</v>
      </c>
      <c r="W595" s="80">
        <v>50</v>
      </c>
      <c r="X595" s="32">
        <v>1</v>
      </c>
      <c r="Y595" s="467">
        <v>0.02</v>
      </c>
      <c r="Z595" s="80"/>
      <c r="AA595" s="29" t="str">
        <f t="shared" si="103"/>
        <v>F050</v>
      </c>
      <c r="AB595" s="29" t="str">
        <f t="shared" si="104"/>
        <v>F01</v>
      </c>
      <c r="AC595" s="29" t="str">
        <f t="shared" si="105"/>
        <v>F00.02</v>
      </c>
      <c r="AD595" s="29" t="str">
        <f t="shared" si="106"/>
        <v>F018</v>
      </c>
      <c r="AE595" s="443"/>
      <c r="AF595" s="443"/>
      <c r="AG595" s="443"/>
      <c r="AH595" s="443"/>
    </row>
    <row r="596" spans="1:34" ht="16.5">
      <c r="A596" s="728">
        <f t="shared" si="109"/>
        <v>589</v>
      </c>
      <c r="B596" s="563">
        <v>26</v>
      </c>
      <c r="C596" s="694">
        <v>33032</v>
      </c>
      <c r="D596" s="694" t="s">
        <v>149</v>
      </c>
      <c r="E596" s="695">
        <v>8</v>
      </c>
      <c r="F596" s="503">
        <v>1990</v>
      </c>
      <c r="G596" s="563" t="s">
        <v>114</v>
      </c>
      <c r="H596" s="503" t="s">
        <v>122</v>
      </c>
      <c r="I596" s="695">
        <v>60</v>
      </c>
      <c r="J596" s="695">
        <v>0.9</v>
      </c>
      <c r="K596" s="777">
        <f t="shared" si="108"/>
        <v>3.0681818181818182E-2</v>
      </c>
      <c r="L596" s="968">
        <v>0</v>
      </c>
      <c r="M596" s="503">
        <f t="shared" si="99"/>
        <v>18</v>
      </c>
      <c r="N596" s="504">
        <v>0.78402777777777777</v>
      </c>
      <c r="O596" s="719">
        <f t="shared" si="100"/>
        <v>0.78402777777777777</v>
      </c>
      <c r="P596" s="564"/>
      <c r="Q596" s="564">
        <f t="shared" si="107"/>
        <v>-0.78402777777777777</v>
      </c>
      <c r="R596" s="965" t="s">
        <v>1520</v>
      </c>
      <c r="S596" s="487" t="s">
        <v>1146</v>
      </c>
      <c r="T596" s="29"/>
      <c r="U596" s="29" t="str">
        <f t="shared" si="101"/>
        <v>CarsonF0</v>
      </c>
      <c r="V596" s="29" t="str">
        <f t="shared" si="102"/>
        <v>1990F0</v>
      </c>
      <c r="W596" s="80">
        <v>50</v>
      </c>
      <c r="X596" s="32">
        <v>0.5</v>
      </c>
      <c r="Y596" s="468">
        <v>0.02</v>
      </c>
      <c r="Z596" s="80"/>
      <c r="AA596" s="29" t="str">
        <f t="shared" si="103"/>
        <v>F050</v>
      </c>
      <c r="AB596" s="29" t="str">
        <f t="shared" si="104"/>
        <v>F00.5</v>
      </c>
      <c r="AC596" s="29" t="str">
        <f t="shared" si="105"/>
        <v>F00.02</v>
      </c>
      <c r="AD596" s="29" t="str">
        <f t="shared" si="106"/>
        <v>F018</v>
      </c>
      <c r="AE596" s="443"/>
      <c r="AF596" s="443"/>
      <c r="AG596" s="443"/>
      <c r="AH596" s="443"/>
    </row>
    <row r="597" spans="1:34" ht="16.5">
      <c r="A597" s="728">
        <f t="shared" si="109"/>
        <v>590</v>
      </c>
      <c r="B597" s="563">
        <v>27</v>
      </c>
      <c r="C597" s="694">
        <v>33032</v>
      </c>
      <c r="D597" s="694" t="s">
        <v>149</v>
      </c>
      <c r="E597" s="695">
        <v>8</v>
      </c>
      <c r="F597" s="503">
        <v>1990</v>
      </c>
      <c r="G597" s="563" t="s">
        <v>114</v>
      </c>
      <c r="H597" s="503" t="s">
        <v>124</v>
      </c>
      <c r="I597" s="695">
        <v>300</v>
      </c>
      <c r="J597" s="695">
        <v>2.6</v>
      </c>
      <c r="K597" s="777">
        <f t="shared" si="108"/>
        <v>0.44318181818181818</v>
      </c>
      <c r="L597" s="968">
        <v>0</v>
      </c>
      <c r="M597" s="503">
        <f t="shared" si="99"/>
        <v>19</v>
      </c>
      <c r="N597" s="504">
        <v>0.7944444444444444</v>
      </c>
      <c r="O597" s="719">
        <f t="shared" si="100"/>
        <v>0.7944444444444444</v>
      </c>
      <c r="P597" s="564"/>
      <c r="Q597" s="564">
        <f t="shared" si="107"/>
        <v>-0.7944444444444444</v>
      </c>
      <c r="R597" s="965" t="s">
        <v>1520</v>
      </c>
      <c r="S597" s="487" t="s">
        <v>1147</v>
      </c>
      <c r="T597" s="29"/>
      <c r="U597" s="29" t="str">
        <f t="shared" si="101"/>
        <v>CarsonF2</v>
      </c>
      <c r="V597" s="29" t="str">
        <f t="shared" si="102"/>
        <v>1990F2</v>
      </c>
      <c r="W597" s="80">
        <v>200</v>
      </c>
      <c r="X597" s="32">
        <v>2</v>
      </c>
      <c r="Y597" s="467">
        <v>0.2</v>
      </c>
      <c r="Z597" s="80"/>
      <c r="AA597" s="29" t="str">
        <f t="shared" si="103"/>
        <v>F2200</v>
      </c>
      <c r="AB597" s="29" t="str">
        <f t="shared" si="104"/>
        <v>F22</v>
      </c>
      <c r="AC597" s="29" t="str">
        <f t="shared" si="105"/>
        <v>F20.2</v>
      </c>
      <c r="AD597" s="29" t="str">
        <f t="shared" si="106"/>
        <v>F219</v>
      </c>
      <c r="AE597" s="443"/>
      <c r="AF597" s="443"/>
      <c r="AG597" s="443"/>
      <c r="AH597" s="443"/>
    </row>
    <row r="598" spans="1:34" ht="16.5">
      <c r="A598" s="728">
        <f t="shared" si="109"/>
        <v>591</v>
      </c>
      <c r="B598" s="563">
        <v>28</v>
      </c>
      <c r="C598" s="694">
        <v>33032</v>
      </c>
      <c r="D598" s="694" t="s">
        <v>149</v>
      </c>
      <c r="E598" s="695">
        <v>8</v>
      </c>
      <c r="F598" s="503">
        <v>1990</v>
      </c>
      <c r="G598" s="563" t="s">
        <v>114</v>
      </c>
      <c r="H598" s="503" t="s">
        <v>122</v>
      </c>
      <c r="I598" s="695">
        <v>60</v>
      </c>
      <c r="J598" s="695">
        <v>1</v>
      </c>
      <c r="K598" s="777">
        <f t="shared" si="108"/>
        <v>3.4090909090909088E-2</v>
      </c>
      <c r="L598" s="968">
        <v>0</v>
      </c>
      <c r="M598" s="503">
        <f t="shared" si="99"/>
        <v>19</v>
      </c>
      <c r="N598" s="504">
        <v>0.80763888888888891</v>
      </c>
      <c r="O598" s="719">
        <f t="shared" si="100"/>
        <v>0.80763888888888891</v>
      </c>
      <c r="P598" s="564"/>
      <c r="Q598" s="564">
        <f t="shared" si="107"/>
        <v>-0.80763888888888891</v>
      </c>
      <c r="R598" s="965" t="s">
        <v>1520</v>
      </c>
      <c r="S598" s="487" t="s">
        <v>1148</v>
      </c>
      <c r="T598" s="29"/>
      <c r="U598" s="29" t="str">
        <f t="shared" si="101"/>
        <v>CarsonF0</v>
      </c>
      <c r="V598" s="29" t="str">
        <f t="shared" si="102"/>
        <v>1990F0</v>
      </c>
      <c r="W598" s="80">
        <v>50</v>
      </c>
      <c r="X598" s="32">
        <v>1</v>
      </c>
      <c r="Y598" s="467">
        <v>0.02</v>
      </c>
      <c r="Z598" s="80"/>
      <c r="AA598" s="29" t="str">
        <f t="shared" si="103"/>
        <v>F050</v>
      </c>
      <c r="AB598" s="29" t="str">
        <f t="shared" si="104"/>
        <v>F01</v>
      </c>
      <c r="AC598" s="29" t="str">
        <f t="shared" si="105"/>
        <v>F00.02</v>
      </c>
      <c r="AD598" s="29" t="str">
        <f t="shared" si="106"/>
        <v>F019</v>
      </c>
      <c r="AE598" s="443"/>
      <c r="AF598" s="443"/>
      <c r="AG598" s="443"/>
      <c r="AH598" s="443"/>
    </row>
    <row r="599" spans="1:34" ht="16.5">
      <c r="A599" s="728">
        <f t="shared" si="109"/>
        <v>592</v>
      </c>
      <c r="B599" s="563">
        <v>29</v>
      </c>
      <c r="C599" s="694">
        <v>33032</v>
      </c>
      <c r="D599" s="694" t="s">
        <v>149</v>
      </c>
      <c r="E599" s="695">
        <v>8</v>
      </c>
      <c r="F599" s="503">
        <v>1990</v>
      </c>
      <c r="G599" s="563" t="s">
        <v>114</v>
      </c>
      <c r="H599" s="503" t="s">
        <v>122</v>
      </c>
      <c r="I599" s="695">
        <v>80</v>
      </c>
      <c r="J599" s="695">
        <v>1.2</v>
      </c>
      <c r="K599" s="777">
        <f t="shared" si="108"/>
        <v>5.4545454545454543E-2</v>
      </c>
      <c r="L599" s="968">
        <v>0</v>
      </c>
      <c r="M599" s="503">
        <f t="shared" si="99"/>
        <v>19</v>
      </c>
      <c r="N599" s="504">
        <v>0.82361111111111107</v>
      </c>
      <c r="O599" s="719">
        <f t="shared" si="100"/>
        <v>0.82361111111111107</v>
      </c>
      <c r="P599" s="564"/>
      <c r="Q599" s="564">
        <f t="shared" si="107"/>
        <v>-0.82361111111111107</v>
      </c>
      <c r="R599" s="965" t="s">
        <v>1520</v>
      </c>
      <c r="S599" s="487" t="s">
        <v>1149</v>
      </c>
      <c r="T599" s="29"/>
      <c r="U599" s="29" t="str">
        <f t="shared" si="101"/>
        <v>CarsonF0</v>
      </c>
      <c r="V599" s="29" t="str">
        <f t="shared" si="102"/>
        <v>1990F0</v>
      </c>
      <c r="W599" s="80">
        <v>50</v>
      </c>
      <c r="X599" s="32">
        <v>1</v>
      </c>
      <c r="Y599" s="467">
        <v>0.05</v>
      </c>
      <c r="Z599" s="80"/>
      <c r="AA599" s="29" t="str">
        <f t="shared" si="103"/>
        <v>F050</v>
      </c>
      <c r="AB599" s="29" t="str">
        <f t="shared" si="104"/>
        <v>F01</v>
      </c>
      <c r="AC599" s="29" t="str">
        <f t="shared" si="105"/>
        <v>F00.05</v>
      </c>
      <c r="AD599" s="29" t="str">
        <f t="shared" si="106"/>
        <v>F019</v>
      </c>
      <c r="AE599" s="443"/>
      <c r="AF599" s="443"/>
      <c r="AG599" s="443"/>
      <c r="AH599" s="443"/>
    </row>
    <row r="600" spans="1:34" ht="16.5">
      <c r="A600" s="728">
        <f t="shared" si="109"/>
        <v>593</v>
      </c>
      <c r="B600" s="563">
        <v>30</v>
      </c>
      <c r="C600" s="694">
        <v>33032</v>
      </c>
      <c r="D600" s="694" t="s">
        <v>149</v>
      </c>
      <c r="E600" s="695">
        <v>8</v>
      </c>
      <c r="F600" s="503">
        <v>1990</v>
      </c>
      <c r="G600" s="563" t="s">
        <v>116</v>
      </c>
      <c r="H600" s="503" t="s">
        <v>123</v>
      </c>
      <c r="I600" s="695">
        <v>110</v>
      </c>
      <c r="J600" s="695">
        <v>2.2000000000000002</v>
      </c>
      <c r="K600" s="777">
        <f t="shared" si="108"/>
        <v>0.13750000000000001</v>
      </c>
      <c r="L600" s="968">
        <v>25000</v>
      </c>
      <c r="M600" s="503">
        <f t="shared" si="99"/>
        <v>19</v>
      </c>
      <c r="N600" s="504">
        <v>0.82986111111111116</v>
      </c>
      <c r="O600" s="719">
        <f t="shared" si="100"/>
        <v>0.82986111111111116</v>
      </c>
      <c r="P600" s="564"/>
      <c r="Q600" s="564">
        <f t="shared" si="107"/>
        <v>-0.82986111111111116</v>
      </c>
      <c r="R600" s="965" t="s">
        <v>1520</v>
      </c>
      <c r="S600" s="487" t="s">
        <v>1150</v>
      </c>
      <c r="T600" s="29"/>
      <c r="U600" s="29" t="str">
        <f t="shared" si="101"/>
        <v>WheelerF1</v>
      </c>
      <c r="V600" s="29" t="str">
        <f t="shared" si="102"/>
        <v>1990F1</v>
      </c>
      <c r="W600" s="80">
        <v>100</v>
      </c>
      <c r="X600" s="32">
        <v>2</v>
      </c>
      <c r="Y600" s="467">
        <v>0.1</v>
      </c>
      <c r="Z600" s="80"/>
      <c r="AA600" s="29" t="str">
        <f t="shared" si="103"/>
        <v>F1100</v>
      </c>
      <c r="AB600" s="29" t="str">
        <f t="shared" si="104"/>
        <v>F12</v>
      </c>
      <c r="AC600" s="29" t="str">
        <f t="shared" si="105"/>
        <v>F10.1</v>
      </c>
      <c r="AD600" s="29" t="str">
        <f t="shared" si="106"/>
        <v>F119</v>
      </c>
      <c r="AE600" s="443"/>
      <c r="AF600" s="443"/>
      <c r="AG600" s="443"/>
      <c r="AH600" s="443"/>
    </row>
    <row r="601" spans="1:34" ht="16.5">
      <c r="A601" s="728">
        <f t="shared" si="109"/>
        <v>594</v>
      </c>
      <c r="B601" s="563">
        <v>31</v>
      </c>
      <c r="C601" s="694">
        <v>33032</v>
      </c>
      <c r="D601" s="694" t="s">
        <v>149</v>
      </c>
      <c r="E601" s="695">
        <v>8</v>
      </c>
      <c r="F601" s="503">
        <v>1990</v>
      </c>
      <c r="G601" s="563" t="s">
        <v>114</v>
      </c>
      <c r="H601" s="503" t="s">
        <v>122</v>
      </c>
      <c r="I601" s="695">
        <v>60</v>
      </c>
      <c r="J601" s="695">
        <v>1.2</v>
      </c>
      <c r="K601" s="777">
        <f t="shared" si="108"/>
        <v>4.0909090909090902E-2</v>
      </c>
      <c r="L601" s="968">
        <v>0</v>
      </c>
      <c r="M601" s="503">
        <f t="shared" si="99"/>
        <v>20</v>
      </c>
      <c r="N601" s="504">
        <v>0.83680555555555547</v>
      </c>
      <c r="O601" s="719">
        <f t="shared" si="100"/>
        <v>0.83680555555555547</v>
      </c>
      <c r="P601" s="564"/>
      <c r="Q601" s="564">
        <f t="shared" si="107"/>
        <v>-0.83680555555555547</v>
      </c>
      <c r="R601" s="965" t="s">
        <v>1520</v>
      </c>
      <c r="S601" s="487" t="s">
        <v>1151</v>
      </c>
      <c r="T601" s="29"/>
      <c r="U601" s="29" t="str">
        <f t="shared" si="101"/>
        <v>CarsonF0</v>
      </c>
      <c r="V601" s="29" t="str">
        <f t="shared" si="102"/>
        <v>1990F0</v>
      </c>
      <c r="W601" s="80">
        <v>50</v>
      </c>
      <c r="X601" s="32">
        <v>1</v>
      </c>
      <c r="Y601" s="467">
        <v>0.02</v>
      </c>
      <c r="Z601" s="80"/>
      <c r="AA601" s="29" t="str">
        <f t="shared" si="103"/>
        <v>F050</v>
      </c>
      <c r="AB601" s="29" t="str">
        <f t="shared" si="104"/>
        <v>F01</v>
      </c>
      <c r="AC601" s="29" t="str">
        <f t="shared" si="105"/>
        <v>F00.02</v>
      </c>
      <c r="AD601" s="29" t="str">
        <f t="shared" si="106"/>
        <v>F020</v>
      </c>
      <c r="AE601" s="443"/>
      <c r="AF601" s="443"/>
      <c r="AG601" s="443"/>
      <c r="AH601" s="443"/>
    </row>
    <row r="602" spans="1:34" ht="16.5">
      <c r="A602" s="728">
        <f t="shared" si="109"/>
        <v>595</v>
      </c>
      <c r="B602" s="563">
        <v>32</v>
      </c>
      <c r="C602" s="694">
        <v>33032</v>
      </c>
      <c r="D602" s="694" t="s">
        <v>149</v>
      </c>
      <c r="E602" s="695">
        <v>8</v>
      </c>
      <c r="F602" s="503">
        <v>1990</v>
      </c>
      <c r="G602" s="563" t="s">
        <v>115</v>
      </c>
      <c r="H602" s="503" t="s">
        <v>122</v>
      </c>
      <c r="I602" s="695">
        <v>70</v>
      </c>
      <c r="J602" s="695">
        <v>1.8</v>
      </c>
      <c r="K602" s="777">
        <f t="shared" si="108"/>
        <v>7.1590909090909094E-2</v>
      </c>
      <c r="L602" s="968">
        <v>0</v>
      </c>
      <c r="M602" s="503">
        <f t="shared" si="99"/>
        <v>20</v>
      </c>
      <c r="N602" s="504">
        <v>0.84722222222222221</v>
      </c>
      <c r="O602" s="719">
        <f t="shared" si="100"/>
        <v>0.84722222222222221</v>
      </c>
      <c r="P602" s="564"/>
      <c r="Q602" s="564">
        <f t="shared" si="107"/>
        <v>-0.84722222222222221</v>
      </c>
      <c r="R602" s="965" t="s">
        <v>1520</v>
      </c>
      <c r="S602" s="487" t="s">
        <v>323</v>
      </c>
      <c r="T602" s="29"/>
      <c r="U602" s="29" t="str">
        <f t="shared" si="101"/>
        <v>GrayF0</v>
      </c>
      <c r="V602" s="29" t="str">
        <f t="shared" si="102"/>
        <v>1990F0</v>
      </c>
      <c r="W602" s="80">
        <v>50</v>
      </c>
      <c r="X602" s="32">
        <v>1</v>
      </c>
      <c r="Y602" s="467">
        <v>0.05</v>
      </c>
      <c r="Z602" s="80"/>
      <c r="AA602" s="29" t="str">
        <f t="shared" si="103"/>
        <v>F050</v>
      </c>
      <c r="AB602" s="29" t="str">
        <f t="shared" si="104"/>
        <v>F01</v>
      </c>
      <c r="AC602" s="29" t="str">
        <f t="shared" si="105"/>
        <v>F00.05</v>
      </c>
      <c r="AD602" s="29" t="str">
        <f t="shared" si="106"/>
        <v>F020</v>
      </c>
      <c r="AE602" s="443"/>
      <c r="AF602" s="443"/>
      <c r="AG602" s="443"/>
      <c r="AH602" s="443"/>
    </row>
    <row r="603" spans="1:34" ht="16.5">
      <c r="A603" s="728">
        <f t="shared" si="109"/>
        <v>596</v>
      </c>
      <c r="B603" s="563">
        <v>33</v>
      </c>
      <c r="C603" s="694">
        <v>33032</v>
      </c>
      <c r="D603" s="694" t="s">
        <v>149</v>
      </c>
      <c r="E603" s="695">
        <v>8</v>
      </c>
      <c r="F603" s="503">
        <v>1990</v>
      </c>
      <c r="G603" s="563" t="s">
        <v>116</v>
      </c>
      <c r="H603" s="503" t="s">
        <v>124</v>
      </c>
      <c r="I603" s="695">
        <v>200</v>
      </c>
      <c r="J603" s="695">
        <v>1.6</v>
      </c>
      <c r="K603" s="777">
        <f t="shared" si="108"/>
        <v>0.18181818181818182</v>
      </c>
      <c r="L603" s="968">
        <v>25000</v>
      </c>
      <c r="M603" s="503">
        <f t="shared" si="99"/>
        <v>20</v>
      </c>
      <c r="N603" s="504">
        <v>0.86805555555555547</v>
      </c>
      <c r="O603" s="719">
        <f t="shared" si="100"/>
        <v>0.86805555555555547</v>
      </c>
      <c r="P603" s="564"/>
      <c r="Q603" s="564">
        <f t="shared" si="107"/>
        <v>-0.86805555555555547</v>
      </c>
      <c r="R603" s="965" t="s">
        <v>1520</v>
      </c>
      <c r="S603" s="487" t="s">
        <v>1152</v>
      </c>
      <c r="T603" s="29"/>
      <c r="U603" s="29" t="str">
        <f t="shared" si="101"/>
        <v>WheelerF2</v>
      </c>
      <c r="V603" s="29" t="str">
        <f t="shared" si="102"/>
        <v>1990F2</v>
      </c>
      <c r="W603" s="80">
        <v>200</v>
      </c>
      <c r="X603" s="32">
        <v>1</v>
      </c>
      <c r="Y603" s="467">
        <v>0.1</v>
      </c>
      <c r="Z603" s="80"/>
      <c r="AA603" s="29" t="str">
        <f t="shared" si="103"/>
        <v>F2200</v>
      </c>
      <c r="AB603" s="29" t="str">
        <f t="shared" si="104"/>
        <v>F21</v>
      </c>
      <c r="AC603" s="29" t="str">
        <f t="shared" si="105"/>
        <v>F20.1</v>
      </c>
      <c r="AD603" s="29" t="str">
        <f t="shared" si="106"/>
        <v>F220</v>
      </c>
      <c r="AE603" s="443"/>
      <c r="AF603" s="443"/>
      <c r="AG603" s="443"/>
      <c r="AH603" s="443"/>
    </row>
    <row r="604" spans="1:34" ht="16.5">
      <c r="A604" s="728">
        <f t="shared" si="109"/>
        <v>597</v>
      </c>
      <c r="B604" s="563">
        <v>34</v>
      </c>
      <c r="C604" s="694">
        <v>33038</v>
      </c>
      <c r="D604" s="694" t="s">
        <v>149</v>
      </c>
      <c r="E604" s="695">
        <v>14</v>
      </c>
      <c r="F604" s="503">
        <v>1990</v>
      </c>
      <c r="G604" s="563" t="s">
        <v>110</v>
      </c>
      <c r="H604" s="503" t="s">
        <v>122</v>
      </c>
      <c r="I604" s="695">
        <v>73</v>
      </c>
      <c r="J604" s="695">
        <v>0.7</v>
      </c>
      <c r="K604" s="777">
        <f t="shared" si="108"/>
        <v>2.9034090909090909E-2</v>
      </c>
      <c r="L604" s="968">
        <v>0</v>
      </c>
      <c r="M604" s="503">
        <f t="shared" si="99"/>
        <v>15</v>
      </c>
      <c r="N604" s="504">
        <v>0.65555555555555556</v>
      </c>
      <c r="O604" s="719">
        <f t="shared" si="100"/>
        <v>0.65555555555555556</v>
      </c>
      <c r="P604" s="564"/>
      <c r="Q604" s="564">
        <f t="shared" si="107"/>
        <v>-0.65555555555555556</v>
      </c>
      <c r="R604" s="965" t="s">
        <v>1520</v>
      </c>
      <c r="S604" s="487"/>
      <c r="T604" s="29"/>
      <c r="U604" s="29" t="str">
        <f t="shared" si="101"/>
        <v>RobertsF0</v>
      </c>
      <c r="V604" s="29" t="str">
        <f t="shared" si="102"/>
        <v>1990F0</v>
      </c>
      <c r="W604" s="80">
        <v>50</v>
      </c>
      <c r="X604" s="32">
        <v>0.5</v>
      </c>
      <c r="Y604" s="467">
        <v>0.02</v>
      </c>
      <c r="Z604" s="80"/>
      <c r="AA604" s="29" t="str">
        <f t="shared" si="103"/>
        <v>F050</v>
      </c>
      <c r="AB604" s="29" t="str">
        <f t="shared" si="104"/>
        <v>F00.5</v>
      </c>
      <c r="AC604" s="29" t="str">
        <f t="shared" si="105"/>
        <v>F00.02</v>
      </c>
      <c r="AD604" s="29" t="str">
        <f t="shared" si="106"/>
        <v>F015</v>
      </c>
      <c r="AE604" s="443"/>
      <c r="AF604" s="443"/>
      <c r="AG604" s="443"/>
      <c r="AH604" s="443"/>
    </row>
    <row r="605" spans="1:34" ht="16.5">
      <c r="A605" s="728">
        <f t="shared" si="109"/>
        <v>598</v>
      </c>
      <c r="B605" s="563">
        <v>35</v>
      </c>
      <c r="C605" s="694">
        <v>33069</v>
      </c>
      <c r="D605" s="694" t="s">
        <v>150</v>
      </c>
      <c r="E605" s="695">
        <v>15</v>
      </c>
      <c r="F605" s="503">
        <v>1990</v>
      </c>
      <c r="G605" s="563" t="s">
        <v>114</v>
      </c>
      <c r="H605" s="503" t="s">
        <v>122</v>
      </c>
      <c r="I605" s="695">
        <v>60</v>
      </c>
      <c r="J605" s="695">
        <v>1.2</v>
      </c>
      <c r="K605" s="777">
        <f t="shared" si="108"/>
        <v>4.0909090909090902E-2</v>
      </c>
      <c r="L605" s="968">
        <v>0</v>
      </c>
      <c r="M605" s="503">
        <f t="shared" si="99"/>
        <v>15</v>
      </c>
      <c r="N605" s="504">
        <v>0.6333333333333333</v>
      </c>
      <c r="O605" s="719">
        <f t="shared" si="100"/>
        <v>0.6333333333333333</v>
      </c>
      <c r="P605" s="564"/>
      <c r="Q605" s="564">
        <f t="shared" si="107"/>
        <v>-0.6333333333333333</v>
      </c>
      <c r="R605" s="965" t="s">
        <v>1520</v>
      </c>
      <c r="S605" s="487" t="s">
        <v>1153</v>
      </c>
      <c r="T605" s="29"/>
      <c r="U605" s="29" t="str">
        <f t="shared" si="101"/>
        <v>CarsonF0</v>
      </c>
      <c r="V605" s="29" t="str">
        <f t="shared" si="102"/>
        <v>1990F0</v>
      </c>
      <c r="W605" s="80">
        <v>50</v>
      </c>
      <c r="X605" s="32">
        <v>1</v>
      </c>
      <c r="Y605" s="467">
        <v>0.02</v>
      </c>
      <c r="Z605" s="80"/>
      <c r="AA605" s="29" t="str">
        <f t="shared" si="103"/>
        <v>F050</v>
      </c>
      <c r="AB605" s="29" t="str">
        <f t="shared" si="104"/>
        <v>F01</v>
      </c>
      <c r="AC605" s="29" t="str">
        <f t="shared" si="105"/>
        <v>F00.02</v>
      </c>
      <c r="AD605" s="29" t="str">
        <f t="shared" si="106"/>
        <v>F015</v>
      </c>
      <c r="AE605" s="443"/>
      <c r="AF605" s="443"/>
      <c r="AG605" s="443"/>
      <c r="AH605" s="443"/>
    </row>
    <row r="606" spans="1:34" ht="16.5">
      <c r="A606" s="728">
        <f t="shared" si="109"/>
        <v>599</v>
      </c>
      <c r="B606" s="563">
        <v>36</v>
      </c>
      <c r="C606" s="694">
        <v>33069</v>
      </c>
      <c r="D606" s="694" t="s">
        <v>150</v>
      </c>
      <c r="E606" s="695">
        <v>15</v>
      </c>
      <c r="F606" s="503">
        <v>1990</v>
      </c>
      <c r="G606" s="563" t="s">
        <v>114</v>
      </c>
      <c r="H606" s="503" t="s">
        <v>122</v>
      </c>
      <c r="I606" s="695">
        <v>73</v>
      </c>
      <c r="J606" s="695">
        <v>1.5</v>
      </c>
      <c r="K606" s="777">
        <f t="shared" si="108"/>
        <v>6.2215909090909099E-2</v>
      </c>
      <c r="L606" s="968">
        <v>0</v>
      </c>
      <c r="M606" s="503">
        <f t="shared" ref="M606:M669" si="110">HOUR(O606)</f>
        <v>15</v>
      </c>
      <c r="N606" s="504">
        <v>0.64583333333333337</v>
      </c>
      <c r="O606" s="719">
        <f t="shared" si="100"/>
        <v>0.64583333333333337</v>
      </c>
      <c r="P606" s="564"/>
      <c r="Q606" s="564">
        <f t="shared" si="107"/>
        <v>-0.64583333333333337</v>
      </c>
      <c r="R606" s="965" t="s">
        <v>1520</v>
      </c>
      <c r="S606" s="487" t="s">
        <v>1154</v>
      </c>
      <c r="T606" s="29"/>
      <c r="U606" s="29" t="str">
        <f t="shared" si="101"/>
        <v>CarsonF0</v>
      </c>
      <c r="V606" s="29" t="str">
        <f t="shared" si="102"/>
        <v>1990F0</v>
      </c>
      <c r="W606" s="80">
        <v>50</v>
      </c>
      <c r="X606" s="32">
        <v>1</v>
      </c>
      <c r="Y606" s="467">
        <v>0.05</v>
      </c>
      <c r="Z606" s="80"/>
      <c r="AA606" s="29" t="str">
        <f t="shared" si="103"/>
        <v>F050</v>
      </c>
      <c r="AB606" s="29" t="str">
        <f t="shared" si="104"/>
        <v>F01</v>
      </c>
      <c r="AC606" s="29" t="str">
        <f t="shared" si="105"/>
        <v>F00.05</v>
      </c>
      <c r="AD606" s="29" t="str">
        <f t="shared" si="106"/>
        <v>F015</v>
      </c>
      <c r="AE606" s="443"/>
      <c r="AF606" s="443"/>
      <c r="AG606" s="443"/>
      <c r="AH606" s="443"/>
    </row>
    <row r="607" spans="1:34" ht="16.5">
      <c r="A607" s="728">
        <f t="shared" si="109"/>
        <v>600</v>
      </c>
      <c r="B607" s="563">
        <v>37</v>
      </c>
      <c r="C607" s="694">
        <v>33069</v>
      </c>
      <c r="D607" s="694" t="s">
        <v>150</v>
      </c>
      <c r="E607" s="695">
        <v>15</v>
      </c>
      <c r="F607" s="503">
        <v>1990</v>
      </c>
      <c r="G607" s="563" t="s">
        <v>114</v>
      </c>
      <c r="H607" s="503" t="s">
        <v>122</v>
      </c>
      <c r="I607" s="695">
        <v>100</v>
      </c>
      <c r="J607" s="695">
        <v>1.9</v>
      </c>
      <c r="K607" s="777">
        <f t="shared" si="108"/>
        <v>0.10795454545454544</v>
      </c>
      <c r="L607" s="968">
        <v>0</v>
      </c>
      <c r="M607" s="503">
        <f t="shared" si="110"/>
        <v>16</v>
      </c>
      <c r="N607" s="504">
        <v>0.69027777777777777</v>
      </c>
      <c r="O607" s="719">
        <f t="shared" si="100"/>
        <v>0.69027777777777777</v>
      </c>
      <c r="P607" s="564"/>
      <c r="Q607" s="564">
        <f t="shared" si="107"/>
        <v>-0.69027777777777777</v>
      </c>
      <c r="R607" s="965" t="s">
        <v>1520</v>
      </c>
      <c r="S607" s="487" t="s">
        <v>270</v>
      </c>
      <c r="T607" s="29"/>
      <c r="U607" s="29" t="str">
        <f t="shared" si="101"/>
        <v>CarsonF0</v>
      </c>
      <c r="V607" s="29" t="str">
        <f t="shared" si="102"/>
        <v>1990F0</v>
      </c>
      <c r="W607" s="80">
        <v>100</v>
      </c>
      <c r="X607" s="32">
        <v>1</v>
      </c>
      <c r="Y607" s="467">
        <v>0.1</v>
      </c>
      <c r="Z607" s="80"/>
      <c r="AA607" s="29" t="str">
        <f t="shared" si="103"/>
        <v>F0100</v>
      </c>
      <c r="AB607" s="29" t="str">
        <f t="shared" si="104"/>
        <v>F01</v>
      </c>
      <c r="AC607" s="29" t="str">
        <f t="shared" si="105"/>
        <v>F00.1</v>
      </c>
      <c r="AD607" s="29" t="str">
        <f t="shared" si="106"/>
        <v>F016</v>
      </c>
      <c r="AE607" s="443"/>
      <c r="AF607" s="443"/>
      <c r="AG607" s="443"/>
      <c r="AH607" s="443"/>
    </row>
    <row r="608" spans="1:34" ht="16.5">
      <c r="A608" s="728">
        <f t="shared" si="109"/>
        <v>601</v>
      </c>
      <c r="B608" s="563">
        <v>38</v>
      </c>
      <c r="C608" s="694">
        <v>33069</v>
      </c>
      <c r="D608" s="694" t="s">
        <v>150</v>
      </c>
      <c r="E608" s="695">
        <v>15</v>
      </c>
      <c r="F608" s="503">
        <v>1990</v>
      </c>
      <c r="G608" s="563" t="s">
        <v>101</v>
      </c>
      <c r="H608" s="503" t="s">
        <v>122</v>
      </c>
      <c r="I608" s="695">
        <v>20</v>
      </c>
      <c r="J608" s="695">
        <v>0.1</v>
      </c>
      <c r="K608" s="777">
        <f t="shared" si="108"/>
        <v>1.1363636363636365E-3</v>
      </c>
      <c r="L608" s="968">
        <v>0</v>
      </c>
      <c r="M608" s="503">
        <f t="shared" si="110"/>
        <v>16</v>
      </c>
      <c r="N608" s="504">
        <v>0.69791666666666663</v>
      </c>
      <c r="O608" s="719">
        <f t="shared" si="100"/>
        <v>0.69791666666666663</v>
      </c>
      <c r="P608" s="564"/>
      <c r="Q608" s="564">
        <f t="shared" si="107"/>
        <v>-0.69791666666666663</v>
      </c>
      <c r="R608" s="965" t="s">
        <v>1520</v>
      </c>
      <c r="S608" s="487" t="s">
        <v>1155</v>
      </c>
      <c r="T608" s="29"/>
      <c r="U608" s="29" t="str">
        <f t="shared" si="101"/>
        <v>BeaverF0</v>
      </c>
      <c r="V608" s="29" t="str">
        <f t="shared" si="102"/>
        <v>1990F0</v>
      </c>
      <c r="W608" s="80">
        <v>20</v>
      </c>
      <c r="X608" s="32">
        <v>0.1</v>
      </c>
      <c r="Y608" s="467">
        <v>1E-3</v>
      </c>
      <c r="Z608" s="80"/>
      <c r="AA608" s="29" t="str">
        <f t="shared" si="103"/>
        <v>F020</v>
      </c>
      <c r="AB608" s="29" t="str">
        <f t="shared" si="104"/>
        <v>F00.1</v>
      </c>
      <c r="AC608" s="29" t="str">
        <f t="shared" si="105"/>
        <v>F00.001</v>
      </c>
      <c r="AD608" s="29" t="str">
        <f t="shared" si="106"/>
        <v>F016</v>
      </c>
      <c r="AE608" s="443"/>
      <c r="AF608" s="443"/>
      <c r="AG608" s="443"/>
      <c r="AH608" s="443"/>
    </row>
    <row r="609" spans="1:34" ht="16.5">
      <c r="A609" s="728">
        <f t="shared" si="109"/>
        <v>602</v>
      </c>
      <c r="B609" s="563">
        <v>1</v>
      </c>
      <c r="C609" s="694">
        <v>33368</v>
      </c>
      <c r="D609" s="694" t="s">
        <v>148</v>
      </c>
      <c r="E609" s="695">
        <v>10</v>
      </c>
      <c r="F609" s="503">
        <v>1991</v>
      </c>
      <c r="G609" s="563" t="s">
        <v>102</v>
      </c>
      <c r="H609" s="503" t="s">
        <v>123</v>
      </c>
      <c r="I609" s="695">
        <v>160</v>
      </c>
      <c r="J609" s="695">
        <v>7</v>
      </c>
      <c r="K609" s="777">
        <f t="shared" si="108"/>
        <v>0.63636363636363635</v>
      </c>
      <c r="L609" s="968">
        <v>3000</v>
      </c>
      <c r="M609" s="503">
        <f t="shared" si="110"/>
        <v>19</v>
      </c>
      <c r="N609" s="504">
        <v>0.80555555555555547</v>
      </c>
      <c r="O609" s="719">
        <f t="shared" si="100"/>
        <v>0.80555555555555547</v>
      </c>
      <c r="P609" s="564"/>
      <c r="Q609" s="564">
        <f t="shared" si="107"/>
        <v>-0.80555555555555547</v>
      </c>
      <c r="R609" s="965" t="s">
        <v>1520</v>
      </c>
      <c r="S609" s="487"/>
      <c r="T609" s="29"/>
      <c r="U609" s="29" t="str">
        <f t="shared" si="101"/>
        <v>DallamF1</v>
      </c>
      <c r="V609" s="29" t="str">
        <f t="shared" si="102"/>
        <v>1991F1</v>
      </c>
      <c r="W609" s="80">
        <v>100</v>
      </c>
      <c r="X609" s="32">
        <v>5</v>
      </c>
      <c r="Y609" s="467">
        <v>0.5</v>
      </c>
      <c r="Z609" s="80"/>
      <c r="AA609" s="29" t="str">
        <f t="shared" si="103"/>
        <v>F1100</v>
      </c>
      <c r="AB609" s="29" t="str">
        <f t="shared" si="104"/>
        <v>F15</v>
      </c>
      <c r="AC609" s="29" t="str">
        <f t="shared" si="105"/>
        <v>F10.5</v>
      </c>
      <c r="AD609" s="29" t="str">
        <f t="shared" si="106"/>
        <v>F119</v>
      </c>
      <c r="AE609" s="443"/>
      <c r="AF609" s="443"/>
      <c r="AG609" s="443"/>
      <c r="AH609" s="443"/>
    </row>
    <row r="610" spans="1:34" ht="16.5">
      <c r="A610" s="728">
        <f t="shared" si="109"/>
        <v>603</v>
      </c>
      <c r="B610" s="563">
        <v>2</v>
      </c>
      <c r="C610" s="694">
        <v>33368</v>
      </c>
      <c r="D610" s="694" t="s">
        <v>148</v>
      </c>
      <c r="E610" s="695">
        <v>10</v>
      </c>
      <c r="F610" s="503">
        <v>1991</v>
      </c>
      <c r="G610" s="563" t="s">
        <v>102</v>
      </c>
      <c r="H610" s="503" t="s">
        <v>122</v>
      </c>
      <c r="I610" s="695">
        <v>40</v>
      </c>
      <c r="J610" s="695">
        <v>0.2</v>
      </c>
      <c r="K610" s="777">
        <f t="shared" si="108"/>
        <v>4.5454545454545461E-3</v>
      </c>
      <c r="L610" s="968">
        <v>0</v>
      </c>
      <c r="M610" s="503">
        <f t="shared" si="110"/>
        <v>19</v>
      </c>
      <c r="N610" s="504">
        <v>0.80902777777777779</v>
      </c>
      <c r="O610" s="719">
        <f t="shared" si="100"/>
        <v>0.80902777777777779</v>
      </c>
      <c r="P610" s="564"/>
      <c r="Q610" s="564">
        <f t="shared" si="107"/>
        <v>-0.80902777777777779</v>
      </c>
      <c r="R610" s="965" t="s">
        <v>1520</v>
      </c>
      <c r="S610" s="487"/>
      <c r="U610" s="29" t="str">
        <f t="shared" si="101"/>
        <v>DallamF0</v>
      </c>
      <c r="V610" s="29" t="str">
        <f t="shared" si="102"/>
        <v>1991F0</v>
      </c>
      <c r="W610" s="80">
        <v>20</v>
      </c>
      <c r="X610" s="32">
        <v>0.2</v>
      </c>
      <c r="Y610" s="467">
        <v>2E-3</v>
      </c>
      <c r="Z610" s="80"/>
      <c r="AA610" s="29" t="str">
        <f t="shared" si="103"/>
        <v>F020</v>
      </c>
      <c r="AB610" s="29" t="str">
        <f t="shared" si="104"/>
        <v>F00.2</v>
      </c>
      <c r="AC610" s="29" t="str">
        <f t="shared" si="105"/>
        <v>F00.002</v>
      </c>
      <c r="AD610" s="29" t="str">
        <f t="shared" si="106"/>
        <v>F019</v>
      </c>
      <c r="AE610" s="443"/>
      <c r="AF610" s="443"/>
      <c r="AG610" s="443"/>
      <c r="AH610" s="443"/>
    </row>
    <row r="611" spans="1:34" ht="16.5">
      <c r="A611" s="728">
        <f t="shared" si="109"/>
        <v>604</v>
      </c>
      <c r="B611" s="563">
        <v>3</v>
      </c>
      <c r="C611" s="694">
        <v>33369</v>
      </c>
      <c r="D611" s="694" t="s">
        <v>148</v>
      </c>
      <c r="E611" s="695">
        <v>11</v>
      </c>
      <c r="F611" s="503">
        <v>1991</v>
      </c>
      <c r="G611" s="563" t="s">
        <v>99</v>
      </c>
      <c r="H611" s="503" t="s">
        <v>122</v>
      </c>
      <c r="I611" s="695">
        <v>70</v>
      </c>
      <c r="J611" s="695">
        <v>0.5</v>
      </c>
      <c r="K611" s="777">
        <f t="shared" si="108"/>
        <v>1.9886363636363636E-2</v>
      </c>
      <c r="L611" s="968">
        <v>0</v>
      </c>
      <c r="M611" s="503">
        <f t="shared" si="110"/>
        <v>19</v>
      </c>
      <c r="N611" s="504">
        <v>0.79305555555555562</v>
      </c>
      <c r="O611" s="719">
        <f t="shared" si="100"/>
        <v>0.79305555555555562</v>
      </c>
      <c r="P611" s="564"/>
      <c r="Q611" s="564">
        <f t="shared" si="107"/>
        <v>-0.79305555555555562</v>
      </c>
      <c r="R611" s="965" t="s">
        <v>1520</v>
      </c>
      <c r="S611" s="487"/>
      <c r="U611" s="29" t="str">
        <f t="shared" si="101"/>
        <v>CimarronF0</v>
      </c>
      <c r="V611" s="29" t="str">
        <f t="shared" si="102"/>
        <v>1991F0</v>
      </c>
      <c r="W611" s="80">
        <v>50</v>
      </c>
      <c r="X611" s="32">
        <v>0.5</v>
      </c>
      <c r="Y611" s="467">
        <v>0.01</v>
      </c>
      <c r="Z611" s="80"/>
      <c r="AA611" s="29" t="str">
        <f t="shared" si="103"/>
        <v>F050</v>
      </c>
      <c r="AB611" s="29" t="str">
        <f t="shared" si="104"/>
        <v>F00.5</v>
      </c>
      <c r="AC611" s="29" t="str">
        <f t="shared" si="105"/>
        <v>F00.01</v>
      </c>
      <c r="AD611" s="29" t="str">
        <f t="shared" si="106"/>
        <v>F019</v>
      </c>
      <c r="AE611" s="443"/>
      <c r="AF611" s="443"/>
      <c r="AG611" s="443"/>
      <c r="AH611" s="443"/>
    </row>
    <row r="612" spans="1:34" ht="16.5">
      <c r="A612" s="728">
        <f t="shared" si="109"/>
        <v>605</v>
      </c>
      <c r="B612" s="563">
        <v>4</v>
      </c>
      <c r="C612" s="694">
        <v>33369</v>
      </c>
      <c r="D612" s="694" t="s">
        <v>148</v>
      </c>
      <c r="E612" s="695">
        <v>11</v>
      </c>
      <c r="F612" s="503">
        <v>1991</v>
      </c>
      <c r="G612" s="563" t="s">
        <v>118</v>
      </c>
      <c r="H612" s="503" t="s">
        <v>122</v>
      </c>
      <c r="I612" s="695">
        <v>30</v>
      </c>
      <c r="J612" s="695">
        <v>0.1</v>
      </c>
      <c r="K612" s="777">
        <f t="shared" si="108"/>
        <v>1.7045454545454545E-3</v>
      </c>
      <c r="L612" s="968">
        <v>0</v>
      </c>
      <c r="M612" s="503">
        <f t="shared" si="110"/>
        <v>19</v>
      </c>
      <c r="N612" s="504">
        <v>0.8125</v>
      </c>
      <c r="O612" s="719">
        <f t="shared" si="100"/>
        <v>0.8125</v>
      </c>
      <c r="P612" s="564"/>
      <c r="Q612" s="564">
        <f t="shared" si="107"/>
        <v>-0.8125</v>
      </c>
      <c r="R612" s="965" t="s">
        <v>1520</v>
      </c>
      <c r="S612" s="487"/>
      <c r="T612" s="29"/>
      <c r="U612" s="29" t="str">
        <f t="shared" si="101"/>
        <v>RandallF0</v>
      </c>
      <c r="V612" s="29" t="str">
        <f t="shared" si="102"/>
        <v>1991F0</v>
      </c>
      <c r="W612" s="80">
        <v>20</v>
      </c>
      <c r="X612" s="32">
        <v>0.1</v>
      </c>
      <c r="Y612" s="467">
        <v>1E-3</v>
      </c>
      <c r="Z612" s="80"/>
      <c r="AA612" s="29" t="str">
        <f t="shared" si="103"/>
        <v>F020</v>
      </c>
      <c r="AB612" s="29" t="str">
        <f t="shared" si="104"/>
        <v>F00.1</v>
      </c>
      <c r="AC612" s="29" t="str">
        <f t="shared" si="105"/>
        <v>F00.001</v>
      </c>
      <c r="AD612" s="29" t="str">
        <f t="shared" si="106"/>
        <v>F019</v>
      </c>
      <c r="AE612" s="443"/>
      <c r="AF612" s="443"/>
      <c r="AG612" s="443"/>
      <c r="AH612" s="443"/>
    </row>
    <row r="613" spans="1:34" ht="16.5">
      <c r="A613" s="728">
        <f t="shared" si="109"/>
        <v>606</v>
      </c>
      <c r="B613" s="563">
        <v>5</v>
      </c>
      <c r="C613" s="694">
        <v>33369</v>
      </c>
      <c r="D613" s="694" t="s">
        <v>148</v>
      </c>
      <c r="E613" s="695">
        <v>11</v>
      </c>
      <c r="F613" s="503">
        <v>1991</v>
      </c>
      <c r="G613" s="563" t="s">
        <v>118</v>
      </c>
      <c r="H613" s="503" t="s">
        <v>122</v>
      </c>
      <c r="I613" s="695">
        <v>30</v>
      </c>
      <c r="J613" s="695">
        <v>0.2</v>
      </c>
      <c r="K613" s="777">
        <f t="shared" si="108"/>
        <v>3.4090909090909089E-3</v>
      </c>
      <c r="L613" s="968">
        <v>0</v>
      </c>
      <c r="M613" s="503">
        <f t="shared" si="110"/>
        <v>19</v>
      </c>
      <c r="N613" s="504">
        <v>0.82291666666666663</v>
      </c>
      <c r="O613" s="719">
        <f t="shared" si="100"/>
        <v>0.82291666666666663</v>
      </c>
      <c r="P613" s="564"/>
      <c r="Q613" s="564">
        <f t="shared" si="107"/>
        <v>-0.82291666666666663</v>
      </c>
      <c r="R613" s="965" t="s">
        <v>1520</v>
      </c>
      <c r="S613" s="487"/>
      <c r="T613" s="29"/>
      <c r="U613" s="29" t="str">
        <f t="shared" si="101"/>
        <v>RandallF0</v>
      </c>
      <c r="V613" s="29" t="str">
        <f t="shared" si="102"/>
        <v>1991F0</v>
      </c>
      <c r="W613" s="80">
        <v>20</v>
      </c>
      <c r="X613" s="32">
        <v>0.2</v>
      </c>
      <c r="Y613" s="467">
        <v>2E-3</v>
      </c>
      <c r="Z613" s="80"/>
      <c r="AA613" s="29" t="str">
        <f t="shared" si="103"/>
        <v>F020</v>
      </c>
      <c r="AB613" s="29" t="str">
        <f t="shared" si="104"/>
        <v>F00.2</v>
      </c>
      <c r="AC613" s="29" t="str">
        <f t="shared" si="105"/>
        <v>F00.002</v>
      </c>
      <c r="AD613" s="29" t="str">
        <f t="shared" si="106"/>
        <v>F019</v>
      </c>
      <c r="AE613" s="443"/>
      <c r="AF613" s="443"/>
      <c r="AG613" s="443"/>
      <c r="AH613" s="443"/>
    </row>
    <row r="614" spans="1:34" ht="16.5">
      <c r="A614" s="728">
        <f t="shared" si="109"/>
        <v>607</v>
      </c>
      <c r="B614" s="563">
        <v>6</v>
      </c>
      <c r="C614" s="694">
        <v>33371</v>
      </c>
      <c r="D614" s="694" t="s">
        <v>148</v>
      </c>
      <c r="E614" s="695">
        <v>13</v>
      </c>
      <c r="F614" s="503">
        <v>1991</v>
      </c>
      <c r="G614" s="563" t="s">
        <v>109</v>
      </c>
      <c r="H614" s="503" t="s">
        <v>122</v>
      </c>
      <c r="I614" s="695">
        <v>30</v>
      </c>
      <c r="J614" s="695">
        <v>0.2</v>
      </c>
      <c r="K614" s="777">
        <f t="shared" si="108"/>
        <v>3.4090909090909089E-3</v>
      </c>
      <c r="L614" s="968">
        <v>0</v>
      </c>
      <c r="M614" s="503">
        <f t="shared" si="110"/>
        <v>16</v>
      </c>
      <c r="N614" s="504">
        <v>0.7</v>
      </c>
      <c r="O614" s="719">
        <f t="shared" si="100"/>
        <v>0.7</v>
      </c>
      <c r="P614" s="564"/>
      <c r="Q614" s="564">
        <f t="shared" si="107"/>
        <v>-0.7</v>
      </c>
      <c r="R614" s="965" t="s">
        <v>1520</v>
      </c>
      <c r="S614" s="487"/>
      <c r="T614" s="29"/>
      <c r="U614" s="29" t="str">
        <f t="shared" si="101"/>
        <v>HutchinsonF0</v>
      </c>
      <c r="V614" s="29" t="str">
        <f t="shared" si="102"/>
        <v>1991F0</v>
      </c>
      <c r="W614" s="80">
        <v>20</v>
      </c>
      <c r="X614" s="32">
        <v>0.2</v>
      </c>
      <c r="Y614" s="467">
        <v>2E-3</v>
      </c>
      <c r="Z614" s="80"/>
      <c r="AA614" s="29" t="str">
        <f t="shared" si="103"/>
        <v>F020</v>
      </c>
      <c r="AB614" s="29" t="str">
        <f t="shared" si="104"/>
        <v>F00.2</v>
      </c>
      <c r="AC614" s="29" t="str">
        <f t="shared" si="105"/>
        <v>F00.002</v>
      </c>
      <c r="AD614" s="29" t="str">
        <f t="shared" si="106"/>
        <v>F016</v>
      </c>
      <c r="AE614" s="443"/>
      <c r="AF614" s="443"/>
      <c r="AG614" s="443"/>
      <c r="AH614" s="443"/>
    </row>
    <row r="615" spans="1:34" ht="16.5">
      <c r="A615" s="728">
        <f t="shared" si="109"/>
        <v>608</v>
      </c>
      <c r="B615" s="563">
        <v>7</v>
      </c>
      <c r="C615" s="694">
        <v>33371</v>
      </c>
      <c r="D615" s="694" t="s">
        <v>148</v>
      </c>
      <c r="E615" s="695">
        <v>13</v>
      </c>
      <c r="F615" s="503">
        <v>1991</v>
      </c>
      <c r="G615" s="563" t="s">
        <v>109</v>
      </c>
      <c r="H615" s="503" t="s">
        <v>122</v>
      </c>
      <c r="I615" s="695">
        <v>20</v>
      </c>
      <c r="J615" s="695">
        <v>0.1</v>
      </c>
      <c r="K615" s="777">
        <f t="shared" si="108"/>
        <v>1.1363636363636365E-3</v>
      </c>
      <c r="L615" s="968">
        <v>0</v>
      </c>
      <c r="M615" s="503">
        <f t="shared" si="110"/>
        <v>17</v>
      </c>
      <c r="N615" s="504">
        <v>0.74305555555555547</v>
      </c>
      <c r="O615" s="719">
        <f t="shared" si="100"/>
        <v>0.74305555555555547</v>
      </c>
      <c r="P615" s="564"/>
      <c r="Q615" s="564">
        <f t="shared" si="107"/>
        <v>-0.74305555555555547</v>
      </c>
      <c r="R615" s="965" t="s">
        <v>1520</v>
      </c>
      <c r="S615" s="487"/>
      <c r="T615" s="29"/>
      <c r="U615" s="29" t="str">
        <f t="shared" si="101"/>
        <v>HutchinsonF0</v>
      </c>
      <c r="V615" s="29" t="str">
        <f t="shared" si="102"/>
        <v>1991F0</v>
      </c>
      <c r="W615" s="80">
        <v>20</v>
      </c>
      <c r="X615" s="32">
        <v>0.1</v>
      </c>
      <c r="Y615" s="467">
        <v>1E-3</v>
      </c>
      <c r="Z615" s="80"/>
      <c r="AA615" s="29" t="str">
        <f t="shared" si="103"/>
        <v>F020</v>
      </c>
      <c r="AB615" s="29" t="str">
        <f t="shared" si="104"/>
        <v>F00.1</v>
      </c>
      <c r="AC615" s="29" t="str">
        <f t="shared" si="105"/>
        <v>F00.001</v>
      </c>
      <c r="AD615" s="29" t="str">
        <f t="shared" si="106"/>
        <v>F017</v>
      </c>
      <c r="AE615" s="443"/>
      <c r="AF615" s="443"/>
      <c r="AG615" s="443"/>
      <c r="AH615" s="443"/>
    </row>
    <row r="616" spans="1:34" ht="16.5">
      <c r="A616" s="728">
        <f t="shared" si="109"/>
        <v>609</v>
      </c>
      <c r="B616" s="563">
        <v>8</v>
      </c>
      <c r="C616" s="694">
        <v>33373</v>
      </c>
      <c r="D616" s="694" t="s">
        <v>148</v>
      </c>
      <c r="E616" s="695">
        <v>15</v>
      </c>
      <c r="F616" s="503">
        <v>1991</v>
      </c>
      <c r="G616" s="563" t="s">
        <v>121</v>
      </c>
      <c r="H616" s="503" t="s">
        <v>125</v>
      </c>
      <c r="I616" s="695">
        <v>450</v>
      </c>
      <c r="J616" s="695">
        <v>12</v>
      </c>
      <c r="K616" s="777">
        <f t="shared" si="108"/>
        <v>3.0681818181818183</v>
      </c>
      <c r="L616" s="968">
        <v>250000</v>
      </c>
      <c r="M616" s="503">
        <f t="shared" si="110"/>
        <v>20</v>
      </c>
      <c r="N616" s="504">
        <v>0.84513888888888899</v>
      </c>
      <c r="O616" s="719">
        <f t="shared" si="100"/>
        <v>0.84513888888888899</v>
      </c>
      <c r="P616" s="564">
        <v>0.87361111111111101</v>
      </c>
      <c r="Q616" s="564">
        <f t="shared" si="107"/>
        <v>2.847222222222201E-2</v>
      </c>
      <c r="R616" s="965" t="s">
        <v>1520</v>
      </c>
      <c r="S616" s="487" t="s">
        <v>64</v>
      </c>
      <c r="T616" s="29"/>
      <c r="U616" s="29" t="str">
        <f t="shared" si="101"/>
        <v>CollingsworthF3</v>
      </c>
      <c r="V616" s="29" t="str">
        <f t="shared" si="102"/>
        <v>1991F3</v>
      </c>
      <c r="W616" s="80">
        <v>200</v>
      </c>
      <c r="X616" s="32">
        <v>10</v>
      </c>
      <c r="Y616" s="467">
        <v>2</v>
      </c>
      <c r="Z616" s="80"/>
      <c r="AA616" s="29" t="str">
        <f t="shared" si="103"/>
        <v>F3200</v>
      </c>
      <c r="AB616" s="29" t="str">
        <f t="shared" si="104"/>
        <v>F310</v>
      </c>
      <c r="AC616" s="29" t="str">
        <f t="shared" si="105"/>
        <v>F32</v>
      </c>
      <c r="AD616" s="29" t="str">
        <f t="shared" si="106"/>
        <v>F320</v>
      </c>
      <c r="AE616" s="443"/>
      <c r="AF616" s="443"/>
      <c r="AG616" s="443"/>
      <c r="AH616" s="443"/>
    </row>
    <row r="617" spans="1:34" ht="16.5">
      <c r="A617" s="728">
        <f t="shared" si="109"/>
        <v>610</v>
      </c>
      <c r="B617" s="563">
        <v>9</v>
      </c>
      <c r="C617" s="694">
        <v>33373</v>
      </c>
      <c r="D617" s="694" t="s">
        <v>148</v>
      </c>
      <c r="E617" s="695">
        <v>15</v>
      </c>
      <c r="F617" s="503">
        <v>1991</v>
      </c>
      <c r="G617" s="563" t="s">
        <v>116</v>
      </c>
      <c r="H617" s="503" t="s">
        <v>125</v>
      </c>
      <c r="I617" s="695">
        <v>450</v>
      </c>
      <c r="J617" s="695">
        <v>4</v>
      </c>
      <c r="K617" s="777">
        <f t="shared" si="108"/>
        <v>1.0227272727272727</v>
      </c>
      <c r="L617" s="968">
        <v>250000</v>
      </c>
      <c r="M617" s="503">
        <f t="shared" si="110"/>
        <v>20</v>
      </c>
      <c r="N617" s="504">
        <v>0.87361111111111101</v>
      </c>
      <c r="O617" s="719">
        <f t="shared" si="100"/>
        <v>0.87361111111111101</v>
      </c>
      <c r="P617" s="564"/>
      <c r="Q617" s="564">
        <f t="shared" si="107"/>
        <v>-0.87361111111111101</v>
      </c>
      <c r="R617" s="965" t="s">
        <v>1520</v>
      </c>
      <c r="S617" s="487" t="s">
        <v>65</v>
      </c>
      <c r="T617" s="29"/>
      <c r="U617" s="29" t="str">
        <f t="shared" si="101"/>
        <v>WheelerF3</v>
      </c>
      <c r="V617" s="29" t="str">
        <f t="shared" si="102"/>
        <v>1991F3</v>
      </c>
      <c r="W617" s="80">
        <v>200</v>
      </c>
      <c r="X617" s="32">
        <v>2</v>
      </c>
      <c r="Y617" s="467">
        <v>1</v>
      </c>
      <c r="Z617" s="80"/>
      <c r="AA617" s="29" t="str">
        <f t="shared" si="103"/>
        <v>F3200</v>
      </c>
      <c r="AB617" s="29" t="str">
        <f t="shared" si="104"/>
        <v>F32</v>
      </c>
      <c r="AC617" s="29" t="str">
        <f t="shared" si="105"/>
        <v>F31</v>
      </c>
      <c r="AD617" s="29" t="str">
        <f t="shared" si="106"/>
        <v>F320</v>
      </c>
      <c r="AE617" s="443"/>
      <c r="AF617" s="443"/>
      <c r="AG617" s="443"/>
      <c r="AH617" s="443"/>
    </row>
    <row r="618" spans="1:34" ht="16.5">
      <c r="A618" s="728">
        <f t="shared" si="109"/>
        <v>611</v>
      </c>
      <c r="B618" s="563">
        <v>10</v>
      </c>
      <c r="C618" s="694">
        <v>33381</v>
      </c>
      <c r="D618" s="694" t="s">
        <v>148</v>
      </c>
      <c r="E618" s="695">
        <v>23</v>
      </c>
      <c r="F618" s="503">
        <v>1991</v>
      </c>
      <c r="G618" s="563" t="s">
        <v>100</v>
      </c>
      <c r="H618" s="503" t="s">
        <v>122</v>
      </c>
      <c r="I618" s="695">
        <v>70</v>
      </c>
      <c r="J618" s="695">
        <v>0.1</v>
      </c>
      <c r="K618" s="777">
        <f t="shared" si="108"/>
        <v>3.9772727272727277E-3</v>
      </c>
      <c r="L618" s="968">
        <v>0</v>
      </c>
      <c r="M618" s="503">
        <f t="shared" si="110"/>
        <v>17</v>
      </c>
      <c r="N618" s="504">
        <v>0.72222222222222221</v>
      </c>
      <c r="O618" s="719">
        <f t="shared" si="100"/>
        <v>0.72222222222222221</v>
      </c>
      <c r="P618" s="564"/>
      <c r="Q618" s="564">
        <f t="shared" si="107"/>
        <v>-0.72222222222222221</v>
      </c>
      <c r="R618" s="965" t="s">
        <v>1520</v>
      </c>
      <c r="S618" s="487"/>
      <c r="T618" s="29"/>
      <c r="U618" s="29" t="str">
        <f t="shared" si="101"/>
        <v>TexasF0</v>
      </c>
      <c r="V618" s="29" t="str">
        <f t="shared" si="102"/>
        <v>1991F0</v>
      </c>
      <c r="W618" s="80">
        <v>50</v>
      </c>
      <c r="X618" s="32">
        <v>0.1</v>
      </c>
      <c r="Y618" s="467">
        <v>2E-3</v>
      </c>
      <c r="Z618" s="80"/>
      <c r="AA618" s="29" t="str">
        <f t="shared" si="103"/>
        <v>F050</v>
      </c>
      <c r="AB618" s="29" t="str">
        <f t="shared" si="104"/>
        <v>F00.1</v>
      </c>
      <c r="AC618" s="29" t="str">
        <f t="shared" si="105"/>
        <v>F00.002</v>
      </c>
      <c r="AD618" s="29" t="str">
        <f t="shared" si="106"/>
        <v>F017</v>
      </c>
      <c r="AE618" s="443"/>
      <c r="AF618" s="443"/>
      <c r="AG618" s="443"/>
      <c r="AH618" s="443"/>
    </row>
    <row r="619" spans="1:34" ht="16.5">
      <c r="A619" s="728">
        <f t="shared" si="109"/>
        <v>612</v>
      </c>
      <c r="B619" s="563">
        <v>11</v>
      </c>
      <c r="C619" s="694">
        <v>33381</v>
      </c>
      <c r="D619" s="694" t="s">
        <v>148</v>
      </c>
      <c r="E619" s="695">
        <v>23</v>
      </c>
      <c r="F619" s="503">
        <v>1991</v>
      </c>
      <c r="G619" s="563" t="s">
        <v>115</v>
      </c>
      <c r="H619" s="503" t="s">
        <v>122</v>
      </c>
      <c r="I619" s="695">
        <v>20</v>
      </c>
      <c r="J619" s="695">
        <v>0.1</v>
      </c>
      <c r="K619" s="777">
        <f t="shared" si="108"/>
        <v>1.1363636363636365E-3</v>
      </c>
      <c r="L619" s="968">
        <v>0</v>
      </c>
      <c r="M619" s="503">
        <f t="shared" si="110"/>
        <v>19</v>
      </c>
      <c r="N619" s="504">
        <v>0.79513888888888884</v>
      </c>
      <c r="O619" s="719">
        <f t="shared" si="100"/>
        <v>0.79513888888888884</v>
      </c>
      <c r="P619" s="564"/>
      <c r="Q619" s="564">
        <f t="shared" si="107"/>
        <v>-0.79513888888888884</v>
      </c>
      <c r="R619" s="965" t="s">
        <v>1520</v>
      </c>
      <c r="S619" s="487"/>
      <c r="T619" s="29"/>
      <c r="U619" s="29" t="str">
        <f t="shared" si="101"/>
        <v>GrayF0</v>
      </c>
      <c r="V619" s="29" t="str">
        <f t="shared" si="102"/>
        <v>1991F0</v>
      </c>
      <c r="W619" s="80">
        <v>20</v>
      </c>
      <c r="X619" s="32">
        <v>0.1</v>
      </c>
      <c r="Y619" s="467">
        <v>1E-3</v>
      </c>
      <c r="Z619" s="80"/>
      <c r="AA619" s="29" t="str">
        <f t="shared" si="103"/>
        <v>F020</v>
      </c>
      <c r="AB619" s="29" t="str">
        <f t="shared" si="104"/>
        <v>F00.1</v>
      </c>
      <c r="AC619" s="29" t="str">
        <f t="shared" si="105"/>
        <v>F00.001</v>
      </c>
      <c r="AD619" s="29" t="str">
        <f t="shared" si="106"/>
        <v>F019</v>
      </c>
      <c r="AE619" s="443"/>
      <c r="AF619" s="443"/>
      <c r="AG619" s="443"/>
      <c r="AH619" s="443"/>
    </row>
    <row r="620" spans="1:34" ht="16.5">
      <c r="A620" s="728">
        <f t="shared" si="109"/>
        <v>613</v>
      </c>
      <c r="B620" s="563">
        <v>12</v>
      </c>
      <c r="C620" s="694">
        <v>33386</v>
      </c>
      <c r="D620" s="694" t="s">
        <v>148</v>
      </c>
      <c r="E620" s="695">
        <v>28</v>
      </c>
      <c r="F620" s="503">
        <v>1991</v>
      </c>
      <c r="G620" s="563" t="s">
        <v>107</v>
      </c>
      <c r="H620" s="503" t="s">
        <v>122</v>
      </c>
      <c r="I620" s="695">
        <v>40</v>
      </c>
      <c r="J620" s="695">
        <v>0.5</v>
      </c>
      <c r="K620" s="777">
        <f t="shared" si="108"/>
        <v>1.1363636363636364E-2</v>
      </c>
      <c r="L620" s="968">
        <v>0</v>
      </c>
      <c r="M620" s="503">
        <f t="shared" si="110"/>
        <v>21</v>
      </c>
      <c r="N620" s="504">
        <v>0.87569444444444444</v>
      </c>
      <c r="O620" s="719">
        <f t="shared" si="100"/>
        <v>0.87569444444444444</v>
      </c>
      <c r="P620" s="564"/>
      <c r="Q620" s="564">
        <f t="shared" si="107"/>
        <v>-0.87569444444444444</v>
      </c>
      <c r="R620" s="965" t="s">
        <v>1520</v>
      </c>
      <c r="S620" s="487"/>
      <c r="T620" s="29"/>
      <c r="U620" s="29" t="str">
        <f t="shared" si="101"/>
        <v>HartleyF0</v>
      </c>
      <c r="V620" s="29" t="str">
        <f t="shared" si="102"/>
        <v>1991F0</v>
      </c>
      <c r="W620" s="80">
        <v>20</v>
      </c>
      <c r="X620" s="32">
        <v>0.5</v>
      </c>
      <c r="Y620" s="467">
        <v>0.01</v>
      </c>
      <c r="Z620" s="80"/>
      <c r="AA620" s="29" t="str">
        <f t="shared" si="103"/>
        <v>F020</v>
      </c>
      <c r="AB620" s="29" t="str">
        <f t="shared" si="104"/>
        <v>F00.5</v>
      </c>
      <c r="AC620" s="29" t="str">
        <f t="shared" si="105"/>
        <v>F00.01</v>
      </c>
      <c r="AD620" s="29" t="str">
        <f t="shared" si="106"/>
        <v>F021</v>
      </c>
      <c r="AE620" s="443"/>
      <c r="AF620" s="443"/>
      <c r="AG620" s="443"/>
      <c r="AH620" s="443"/>
    </row>
    <row r="621" spans="1:34" ht="16.5">
      <c r="A621" s="728">
        <f t="shared" si="109"/>
        <v>614</v>
      </c>
      <c r="B621" s="563">
        <v>13</v>
      </c>
      <c r="C621" s="694">
        <v>33386</v>
      </c>
      <c r="D621" s="694" t="s">
        <v>148</v>
      </c>
      <c r="E621" s="695">
        <v>28</v>
      </c>
      <c r="F621" s="503">
        <v>1991</v>
      </c>
      <c r="G621" s="563" t="s">
        <v>107</v>
      </c>
      <c r="H621" s="503" t="s">
        <v>122</v>
      </c>
      <c r="I621" s="695">
        <v>30</v>
      </c>
      <c r="J621" s="695">
        <v>0.1</v>
      </c>
      <c r="K621" s="777">
        <f t="shared" si="108"/>
        <v>1.7045454545454545E-3</v>
      </c>
      <c r="L621" s="968">
        <v>0</v>
      </c>
      <c r="M621" s="503">
        <f t="shared" si="110"/>
        <v>21</v>
      </c>
      <c r="N621" s="504">
        <v>0.88194444444444453</v>
      </c>
      <c r="O621" s="719">
        <f t="shared" si="100"/>
        <v>0.88194444444444453</v>
      </c>
      <c r="P621" s="564"/>
      <c r="Q621" s="564">
        <f t="shared" si="107"/>
        <v>-0.88194444444444453</v>
      </c>
      <c r="R621" s="965" t="s">
        <v>1520</v>
      </c>
      <c r="S621" s="487"/>
      <c r="T621" s="29"/>
      <c r="U621" s="29" t="str">
        <f t="shared" si="101"/>
        <v>HartleyF0</v>
      </c>
      <c r="V621" s="29" t="str">
        <f t="shared" si="102"/>
        <v>1991F0</v>
      </c>
      <c r="W621" s="80">
        <v>20</v>
      </c>
      <c r="X621" s="32">
        <v>0.1</v>
      </c>
      <c r="Y621" s="467">
        <v>1E-3</v>
      </c>
      <c r="Z621" s="80"/>
      <c r="AA621" s="29" t="str">
        <f t="shared" si="103"/>
        <v>F020</v>
      </c>
      <c r="AB621" s="29" t="str">
        <f t="shared" si="104"/>
        <v>F00.1</v>
      </c>
      <c r="AC621" s="29" t="str">
        <f t="shared" si="105"/>
        <v>F00.001</v>
      </c>
      <c r="AD621" s="29" t="str">
        <f t="shared" si="106"/>
        <v>F021</v>
      </c>
      <c r="AE621" s="443"/>
      <c r="AF621" s="443"/>
      <c r="AG621" s="443"/>
      <c r="AH621" s="443"/>
    </row>
    <row r="622" spans="1:34" ht="16.5">
      <c r="A622" s="728">
        <f t="shared" si="109"/>
        <v>615</v>
      </c>
      <c r="B622" s="563">
        <v>14</v>
      </c>
      <c r="C622" s="694">
        <v>33387</v>
      </c>
      <c r="D622" s="694" t="s">
        <v>148</v>
      </c>
      <c r="E622" s="695">
        <v>29</v>
      </c>
      <c r="F622" s="503">
        <v>1991</v>
      </c>
      <c r="G622" s="563" t="s">
        <v>105</v>
      </c>
      <c r="H622" s="503" t="s">
        <v>122</v>
      </c>
      <c r="I622" s="695">
        <v>60</v>
      </c>
      <c r="J622" s="695">
        <v>0.5</v>
      </c>
      <c r="K622" s="777">
        <f t="shared" si="108"/>
        <v>1.7045454545454544E-2</v>
      </c>
      <c r="L622" s="968">
        <v>25000</v>
      </c>
      <c r="M622" s="503">
        <f t="shared" si="110"/>
        <v>17</v>
      </c>
      <c r="N622" s="504">
        <v>0.71666666666666667</v>
      </c>
      <c r="O622" s="719">
        <f t="shared" si="100"/>
        <v>0.71666666666666667</v>
      </c>
      <c r="P622" s="564"/>
      <c r="Q622" s="564">
        <f t="shared" si="107"/>
        <v>-0.71666666666666667</v>
      </c>
      <c r="R622" s="965" t="s">
        <v>1520</v>
      </c>
      <c r="S622" s="487"/>
      <c r="T622" s="29"/>
      <c r="U622" s="29" t="str">
        <f t="shared" si="101"/>
        <v>OchiltreeF0</v>
      </c>
      <c r="V622" s="29" t="str">
        <f t="shared" si="102"/>
        <v>1991F0</v>
      </c>
      <c r="W622" s="80">
        <v>50</v>
      </c>
      <c r="X622" s="32">
        <v>0.5</v>
      </c>
      <c r="Y622" s="467">
        <v>0.01</v>
      </c>
      <c r="Z622" s="80"/>
      <c r="AA622" s="29" t="str">
        <f t="shared" si="103"/>
        <v>F050</v>
      </c>
      <c r="AB622" s="29" t="str">
        <f t="shared" si="104"/>
        <v>F00.5</v>
      </c>
      <c r="AC622" s="29" t="str">
        <f t="shared" si="105"/>
        <v>F00.01</v>
      </c>
      <c r="AD622" s="29" t="str">
        <f t="shared" si="106"/>
        <v>F017</v>
      </c>
      <c r="AE622" s="443"/>
      <c r="AF622" s="443"/>
      <c r="AG622" s="443"/>
      <c r="AH622" s="443"/>
    </row>
    <row r="623" spans="1:34" ht="16.5">
      <c r="A623" s="728">
        <f t="shared" si="109"/>
        <v>616</v>
      </c>
      <c r="B623" s="563">
        <v>15</v>
      </c>
      <c r="C623" s="694">
        <v>33387</v>
      </c>
      <c r="D623" s="694" t="s">
        <v>148</v>
      </c>
      <c r="E623" s="695">
        <v>29</v>
      </c>
      <c r="F623" s="503">
        <v>1991</v>
      </c>
      <c r="G623" s="563" t="s">
        <v>118</v>
      </c>
      <c r="H623" s="503" t="s">
        <v>122</v>
      </c>
      <c r="I623" s="695">
        <v>50</v>
      </c>
      <c r="J623" s="695">
        <v>0.5</v>
      </c>
      <c r="K623" s="777">
        <f t="shared" si="108"/>
        <v>1.4204545454545454E-2</v>
      </c>
      <c r="L623" s="968">
        <v>0</v>
      </c>
      <c r="M623" s="503">
        <f t="shared" si="110"/>
        <v>17</v>
      </c>
      <c r="N623" s="504">
        <v>0.74097222222222225</v>
      </c>
      <c r="O623" s="719">
        <f t="shared" si="100"/>
        <v>0.74097222222222225</v>
      </c>
      <c r="P623" s="564"/>
      <c r="Q623" s="564">
        <f t="shared" si="107"/>
        <v>-0.74097222222222225</v>
      </c>
      <c r="R623" s="965" t="s">
        <v>1520</v>
      </c>
      <c r="S623" s="487"/>
      <c r="T623" s="29"/>
      <c r="U623" s="29" t="str">
        <f t="shared" si="101"/>
        <v>RandallF0</v>
      </c>
      <c r="V623" s="29" t="str">
        <f t="shared" si="102"/>
        <v>1991F0</v>
      </c>
      <c r="W623" s="80">
        <v>50</v>
      </c>
      <c r="X623" s="32">
        <v>0.5</v>
      </c>
      <c r="Y623" s="467">
        <v>0.01</v>
      </c>
      <c r="Z623" s="80"/>
      <c r="AA623" s="29" t="str">
        <f t="shared" si="103"/>
        <v>F050</v>
      </c>
      <c r="AB623" s="29" t="str">
        <f t="shared" si="104"/>
        <v>F00.5</v>
      </c>
      <c r="AC623" s="29" t="str">
        <f t="shared" si="105"/>
        <v>F00.01</v>
      </c>
      <c r="AD623" s="29" t="str">
        <f t="shared" si="106"/>
        <v>F017</v>
      </c>
      <c r="AE623" s="443"/>
      <c r="AF623" s="443"/>
      <c r="AG623" s="443"/>
      <c r="AH623" s="443"/>
    </row>
    <row r="624" spans="1:34" ht="16.5">
      <c r="A624" s="728">
        <f t="shared" si="109"/>
        <v>617</v>
      </c>
      <c r="B624" s="563">
        <v>16</v>
      </c>
      <c r="C624" s="694">
        <v>33387</v>
      </c>
      <c r="D624" s="694" t="s">
        <v>148</v>
      </c>
      <c r="E624" s="695">
        <v>29</v>
      </c>
      <c r="F624" s="503">
        <v>1991</v>
      </c>
      <c r="G624" s="563" t="s">
        <v>113</v>
      </c>
      <c r="H624" s="503" t="s">
        <v>122</v>
      </c>
      <c r="I624" s="695">
        <v>60</v>
      </c>
      <c r="J624" s="695">
        <v>2.8</v>
      </c>
      <c r="K624" s="777">
        <f t="shared" si="108"/>
        <v>9.5454545454545445E-2</v>
      </c>
      <c r="L624" s="968">
        <v>0</v>
      </c>
      <c r="M624" s="503">
        <f t="shared" si="110"/>
        <v>17</v>
      </c>
      <c r="N624" s="504">
        <v>0.74375000000000002</v>
      </c>
      <c r="O624" s="719">
        <f t="shared" si="100"/>
        <v>0.74375000000000002</v>
      </c>
      <c r="P624" s="564"/>
      <c r="Q624" s="564">
        <f t="shared" si="107"/>
        <v>-0.74375000000000002</v>
      </c>
      <c r="R624" s="965" t="s">
        <v>1520</v>
      </c>
      <c r="S624" s="487" t="s">
        <v>430</v>
      </c>
      <c r="T624" s="29"/>
      <c r="U624" s="29" t="str">
        <f t="shared" si="101"/>
        <v>PotterF0</v>
      </c>
      <c r="V624" s="29" t="str">
        <f t="shared" si="102"/>
        <v>1991F0</v>
      </c>
      <c r="W624" s="80">
        <v>50</v>
      </c>
      <c r="X624" s="32">
        <v>2</v>
      </c>
      <c r="Y624" s="467">
        <v>0.05</v>
      </c>
      <c r="Z624" s="80"/>
      <c r="AA624" s="29" t="str">
        <f t="shared" si="103"/>
        <v>F050</v>
      </c>
      <c r="AB624" s="29" t="str">
        <f t="shared" si="104"/>
        <v>F02</v>
      </c>
      <c r="AC624" s="29" t="str">
        <f t="shared" si="105"/>
        <v>F00.05</v>
      </c>
      <c r="AD624" s="29" t="str">
        <f t="shared" si="106"/>
        <v>F017</v>
      </c>
      <c r="AE624" s="443"/>
      <c r="AF624" s="443"/>
      <c r="AG624" s="443"/>
      <c r="AH624" s="443"/>
    </row>
    <row r="625" spans="1:34" ht="16.5">
      <c r="A625" s="728">
        <f t="shared" si="109"/>
        <v>618</v>
      </c>
      <c r="B625" s="563">
        <v>17</v>
      </c>
      <c r="C625" s="694">
        <v>33387</v>
      </c>
      <c r="D625" s="694" t="s">
        <v>148</v>
      </c>
      <c r="E625" s="695">
        <v>29</v>
      </c>
      <c r="F625" s="503">
        <v>1991</v>
      </c>
      <c r="G625" s="563" t="s">
        <v>109</v>
      </c>
      <c r="H625" s="503" t="s">
        <v>122</v>
      </c>
      <c r="I625" s="695">
        <v>20</v>
      </c>
      <c r="J625" s="695">
        <v>0.1</v>
      </c>
      <c r="K625" s="777">
        <f t="shared" si="108"/>
        <v>1.1363636363636365E-3</v>
      </c>
      <c r="L625" s="968">
        <v>0</v>
      </c>
      <c r="M625" s="503">
        <f t="shared" si="110"/>
        <v>18</v>
      </c>
      <c r="N625" s="504">
        <v>0.75555555555555554</v>
      </c>
      <c r="O625" s="719">
        <f t="shared" si="100"/>
        <v>0.75555555555555554</v>
      </c>
      <c r="P625" s="564"/>
      <c r="Q625" s="564">
        <f t="shared" si="107"/>
        <v>-0.75555555555555554</v>
      </c>
      <c r="R625" s="965" t="s">
        <v>1520</v>
      </c>
      <c r="S625" s="487"/>
      <c r="T625" s="29"/>
      <c r="U625" s="29" t="str">
        <f t="shared" si="101"/>
        <v>HutchinsonF0</v>
      </c>
      <c r="V625" s="29" t="str">
        <f t="shared" si="102"/>
        <v>1991F0</v>
      </c>
      <c r="W625" s="80">
        <v>20</v>
      </c>
      <c r="X625" s="32">
        <v>0.1</v>
      </c>
      <c r="Y625" s="467">
        <v>1E-3</v>
      </c>
      <c r="Z625" s="80"/>
      <c r="AA625" s="29" t="str">
        <f t="shared" si="103"/>
        <v>F020</v>
      </c>
      <c r="AB625" s="29" t="str">
        <f t="shared" si="104"/>
        <v>F00.1</v>
      </c>
      <c r="AC625" s="29" t="str">
        <f t="shared" si="105"/>
        <v>F00.001</v>
      </c>
      <c r="AD625" s="29" t="str">
        <f t="shared" si="106"/>
        <v>F018</v>
      </c>
      <c r="AE625" s="443"/>
      <c r="AF625" s="443"/>
      <c r="AG625" s="443"/>
      <c r="AH625" s="443"/>
    </row>
    <row r="626" spans="1:34" ht="16.5">
      <c r="A626" s="728">
        <f t="shared" si="109"/>
        <v>619</v>
      </c>
      <c r="B626" s="563">
        <v>18</v>
      </c>
      <c r="C626" s="694">
        <v>33387</v>
      </c>
      <c r="D626" s="694" t="s">
        <v>148</v>
      </c>
      <c r="E626" s="695">
        <v>29</v>
      </c>
      <c r="F626" s="503">
        <v>1991</v>
      </c>
      <c r="G626" s="563" t="s">
        <v>108</v>
      </c>
      <c r="H626" s="503" t="s">
        <v>122</v>
      </c>
      <c r="I626" s="695">
        <v>40</v>
      </c>
      <c r="J626" s="695">
        <v>2</v>
      </c>
      <c r="K626" s="777">
        <f t="shared" si="108"/>
        <v>4.5454545454545456E-2</v>
      </c>
      <c r="L626" s="968">
        <v>0</v>
      </c>
      <c r="M626" s="503">
        <f t="shared" si="110"/>
        <v>18</v>
      </c>
      <c r="N626" s="504">
        <v>0.75694444444444453</v>
      </c>
      <c r="O626" s="719">
        <f t="shared" si="100"/>
        <v>0.75694444444444453</v>
      </c>
      <c r="P626" s="564"/>
      <c r="Q626" s="564">
        <f t="shared" si="107"/>
        <v>-0.75694444444444453</v>
      </c>
      <c r="R626" s="965" t="s">
        <v>1520</v>
      </c>
      <c r="S626" s="487"/>
      <c r="T626" s="29"/>
      <c r="U626" s="29" t="str">
        <f t="shared" si="101"/>
        <v>MooreF0</v>
      </c>
      <c r="V626" s="29" t="str">
        <f t="shared" si="102"/>
        <v>1991F0</v>
      </c>
      <c r="W626" s="80">
        <v>20</v>
      </c>
      <c r="X626" s="32">
        <v>2</v>
      </c>
      <c r="Y626" s="467">
        <v>0.02</v>
      </c>
      <c r="Z626" s="80"/>
      <c r="AA626" s="29" t="str">
        <f t="shared" si="103"/>
        <v>F020</v>
      </c>
      <c r="AB626" s="29" t="str">
        <f t="shared" si="104"/>
        <v>F02</v>
      </c>
      <c r="AC626" s="29" t="str">
        <f t="shared" si="105"/>
        <v>F00.02</v>
      </c>
      <c r="AD626" s="29" t="str">
        <f t="shared" si="106"/>
        <v>F018</v>
      </c>
      <c r="AE626" s="443"/>
      <c r="AF626" s="443"/>
      <c r="AG626" s="443"/>
      <c r="AH626" s="443"/>
    </row>
    <row r="627" spans="1:34" ht="16.5">
      <c r="A627" s="728">
        <f t="shared" si="109"/>
        <v>620</v>
      </c>
      <c r="B627" s="563">
        <v>19</v>
      </c>
      <c r="C627" s="694">
        <v>33387</v>
      </c>
      <c r="D627" s="694" t="s">
        <v>148</v>
      </c>
      <c r="E627" s="695">
        <v>29</v>
      </c>
      <c r="F627" s="503">
        <v>1991</v>
      </c>
      <c r="G627" s="563" t="s">
        <v>118</v>
      </c>
      <c r="H627" s="503" t="s">
        <v>122</v>
      </c>
      <c r="I627" s="695">
        <v>30</v>
      </c>
      <c r="J627" s="695">
        <v>0.2</v>
      </c>
      <c r="K627" s="777">
        <f t="shared" si="108"/>
        <v>3.4090909090909089E-3</v>
      </c>
      <c r="L627" s="968">
        <v>0</v>
      </c>
      <c r="M627" s="503">
        <f t="shared" si="110"/>
        <v>18</v>
      </c>
      <c r="N627" s="504">
        <v>0.78333333333333333</v>
      </c>
      <c r="O627" s="719">
        <f t="shared" si="100"/>
        <v>0.78333333333333333</v>
      </c>
      <c r="P627" s="564"/>
      <c r="Q627" s="564">
        <f t="shared" si="107"/>
        <v>-0.78333333333333333</v>
      </c>
      <c r="R627" s="965" t="s">
        <v>1520</v>
      </c>
      <c r="S627" s="487"/>
      <c r="T627" s="29"/>
      <c r="U627" s="29" t="str">
        <f t="shared" si="101"/>
        <v>RandallF0</v>
      </c>
      <c r="V627" s="29" t="str">
        <f t="shared" si="102"/>
        <v>1991F0</v>
      </c>
      <c r="W627" s="80">
        <v>20</v>
      </c>
      <c r="X627" s="32">
        <v>0.2</v>
      </c>
      <c r="Y627" s="467">
        <v>2E-3</v>
      </c>
      <c r="Z627" s="80"/>
      <c r="AA627" s="29" t="str">
        <f t="shared" si="103"/>
        <v>F020</v>
      </c>
      <c r="AB627" s="29" t="str">
        <f t="shared" si="104"/>
        <v>F00.2</v>
      </c>
      <c r="AC627" s="29" t="str">
        <f t="shared" si="105"/>
        <v>F00.002</v>
      </c>
      <c r="AD627" s="29" t="str">
        <f t="shared" si="106"/>
        <v>F018</v>
      </c>
      <c r="AE627" s="443"/>
      <c r="AF627" s="443"/>
      <c r="AG627" s="443"/>
      <c r="AH627" s="443"/>
    </row>
    <row r="628" spans="1:34" ht="16.5">
      <c r="A628" s="728">
        <f t="shared" si="109"/>
        <v>621</v>
      </c>
      <c r="B628" s="563">
        <v>20</v>
      </c>
      <c r="C628" s="694">
        <v>33387</v>
      </c>
      <c r="D628" s="694" t="s">
        <v>148</v>
      </c>
      <c r="E628" s="695">
        <v>29</v>
      </c>
      <c r="F628" s="503">
        <v>1991</v>
      </c>
      <c r="G628" s="563" t="s">
        <v>114</v>
      </c>
      <c r="H628" s="503" t="s">
        <v>122</v>
      </c>
      <c r="I628" s="695">
        <v>20</v>
      </c>
      <c r="J628" s="695">
        <v>0.1</v>
      </c>
      <c r="K628" s="777">
        <f t="shared" si="108"/>
        <v>1.1363636363636365E-3</v>
      </c>
      <c r="L628" s="968">
        <v>0</v>
      </c>
      <c r="M628" s="503">
        <f t="shared" si="110"/>
        <v>19</v>
      </c>
      <c r="N628" s="504">
        <v>0.8125</v>
      </c>
      <c r="O628" s="719">
        <f t="shared" si="100"/>
        <v>0.8125</v>
      </c>
      <c r="P628" s="564"/>
      <c r="Q628" s="564">
        <f t="shared" si="107"/>
        <v>-0.8125</v>
      </c>
      <c r="R628" s="965" t="s">
        <v>1520</v>
      </c>
      <c r="S628" s="487"/>
      <c r="T628" s="29"/>
      <c r="U628" s="29" t="str">
        <f t="shared" si="101"/>
        <v>CarsonF0</v>
      </c>
      <c r="V628" s="29" t="str">
        <f t="shared" si="102"/>
        <v>1991F0</v>
      </c>
      <c r="W628" s="80">
        <v>20</v>
      </c>
      <c r="X628" s="32">
        <v>0.1</v>
      </c>
      <c r="Y628" s="467">
        <v>1E-3</v>
      </c>
      <c r="Z628" s="80"/>
      <c r="AA628" s="29" t="str">
        <f t="shared" si="103"/>
        <v>F020</v>
      </c>
      <c r="AB628" s="29" t="str">
        <f t="shared" si="104"/>
        <v>F00.1</v>
      </c>
      <c r="AC628" s="29" t="str">
        <f t="shared" si="105"/>
        <v>F00.001</v>
      </c>
      <c r="AD628" s="29" t="str">
        <f t="shared" si="106"/>
        <v>F019</v>
      </c>
      <c r="AE628" s="443"/>
      <c r="AF628" s="443"/>
      <c r="AG628" s="443"/>
      <c r="AH628" s="443"/>
    </row>
    <row r="629" spans="1:34" ht="16.5">
      <c r="A629" s="728">
        <f t="shared" si="109"/>
        <v>622</v>
      </c>
      <c r="B629" s="563">
        <v>21</v>
      </c>
      <c r="C629" s="694">
        <v>33387</v>
      </c>
      <c r="D629" s="694" t="s">
        <v>148</v>
      </c>
      <c r="E629" s="695">
        <v>29</v>
      </c>
      <c r="F629" s="503">
        <v>1991</v>
      </c>
      <c r="G629" s="563" t="s">
        <v>114</v>
      </c>
      <c r="H629" s="503" t="s">
        <v>122</v>
      </c>
      <c r="I629" s="695">
        <v>30</v>
      </c>
      <c r="J629" s="695">
        <v>0.2</v>
      </c>
      <c r="K629" s="777">
        <f t="shared" si="108"/>
        <v>3.4090909090909089E-3</v>
      </c>
      <c r="L629" s="968">
        <v>0</v>
      </c>
      <c r="M629" s="503">
        <f t="shared" si="110"/>
        <v>20</v>
      </c>
      <c r="N629" s="504">
        <v>0.83680555555555547</v>
      </c>
      <c r="O629" s="719">
        <f t="shared" si="100"/>
        <v>0.83680555555555547</v>
      </c>
      <c r="P629" s="564"/>
      <c r="Q629" s="564">
        <f t="shared" si="107"/>
        <v>-0.83680555555555547</v>
      </c>
      <c r="R629" s="965" t="s">
        <v>1520</v>
      </c>
      <c r="S629" s="487"/>
      <c r="T629" s="29"/>
      <c r="U629" s="29" t="str">
        <f t="shared" si="101"/>
        <v>CarsonF0</v>
      </c>
      <c r="V629" s="29" t="str">
        <f t="shared" si="102"/>
        <v>1991F0</v>
      </c>
      <c r="W629" s="80">
        <v>20</v>
      </c>
      <c r="X629" s="32">
        <v>0.2</v>
      </c>
      <c r="Y629" s="467">
        <v>2E-3</v>
      </c>
      <c r="Z629" s="80"/>
      <c r="AA629" s="29" t="str">
        <f t="shared" si="103"/>
        <v>F020</v>
      </c>
      <c r="AB629" s="29" t="str">
        <f t="shared" si="104"/>
        <v>F00.2</v>
      </c>
      <c r="AC629" s="29" t="str">
        <f t="shared" si="105"/>
        <v>F00.002</v>
      </c>
      <c r="AD629" s="29" t="str">
        <f t="shared" si="106"/>
        <v>F020</v>
      </c>
      <c r="AE629" s="443"/>
      <c r="AF629" s="443"/>
      <c r="AG629" s="443"/>
      <c r="AH629" s="443"/>
    </row>
    <row r="630" spans="1:34" ht="16.5">
      <c r="A630" s="728">
        <f t="shared" si="109"/>
        <v>623</v>
      </c>
      <c r="B630" s="563">
        <v>22</v>
      </c>
      <c r="C630" s="694">
        <v>33407</v>
      </c>
      <c r="D630" s="694" t="s">
        <v>149</v>
      </c>
      <c r="E630" s="695">
        <v>18</v>
      </c>
      <c r="F630" s="503">
        <v>1991</v>
      </c>
      <c r="G630" s="563" t="s">
        <v>101</v>
      </c>
      <c r="H630" s="503" t="s">
        <v>122</v>
      </c>
      <c r="I630" s="695">
        <v>30</v>
      </c>
      <c r="J630" s="695">
        <v>0.5</v>
      </c>
      <c r="K630" s="777">
        <f t="shared" si="108"/>
        <v>8.5227272727272721E-3</v>
      </c>
      <c r="L630" s="968">
        <v>0</v>
      </c>
      <c r="M630" s="503">
        <f t="shared" si="110"/>
        <v>17</v>
      </c>
      <c r="N630" s="504">
        <v>0.73611111111111116</v>
      </c>
      <c r="O630" s="719">
        <f t="shared" si="100"/>
        <v>0.73611111111111116</v>
      </c>
      <c r="P630" s="564"/>
      <c r="Q630" s="564">
        <f t="shared" si="107"/>
        <v>-0.73611111111111116</v>
      </c>
      <c r="R630" s="965" t="s">
        <v>1520</v>
      </c>
      <c r="S630" s="487"/>
      <c r="T630" s="29"/>
      <c r="U630" s="29" t="str">
        <f t="shared" si="101"/>
        <v>BeaverF0</v>
      </c>
      <c r="V630" s="29" t="str">
        <f t="shared" si="102"/>
        <v>1991F0</v>
      </c>
      <c r="W630" s="80">
        <v>20</v>
      </c>
      <c r="X630" s="32">
        <v>0.5</v>
      </c>
      <c r="Y630" s="467">
        <v>5.0000000000000001E-3</v>
      </c>
      <c r="Z630" s="80"/>
      <c r="AA630" s="29" t="str">
        <f t="shared" si="103"/>
        <v>F020</v>
      </c>
      <c r="AB630" s="29" t="str">
        <f t="shared" si="104"/>
        <v>F00.5</v>
      </c>
      <c r="AC630" s="29" t="str">
        <f t="shared" si="105"/>
        <v>F00.005</v>
      </c>
      <c r="AD630" s="29" t="str">
        <f t="shared" si="106"/>
        <v>F017</v>
      </c>
      <c r="AE630" s="443"/>
      <c r="AF630" s="443"/>
      <c r="AG630" s="443"/>
      <c r="AH630" s="443"/>
    </row>
    <row r="631" spans="1:34" ht="16.5">
      <c r="A631" s="728">
        <f t="shared" si="109"/>
        <v>624</v>
      </c>
      <c r="B631" s="563">
        <v>1</v>
      </c>
      <c r="C631" s="694">
        <v>33710</v>
      </c>
      <c r="D631" s="694" t="s">
        <v>147</v>
      </c>
      <c r="E631" s="695">
        <v>16</v>
      </c>
      <c r="F631" s="503">
        <v>1992</v>
      </c>
      <c r="G631" s="563" t="s">
        <v>109</v>
      </c>
      <c r="H631" s="503" t="s">
        <v>122</v>
      </c>
      <c r="I631" s="695">
        <v>13</v>
      </c>
      <c r="J631" s="695">
        <v>0.5</v>
      </c>
      <c r="K631" s="777">
        <f t="shared" si="108"/>
        <v>3.6931818181818181E-3</v>
      </c>
      <c r="L631" s="968">
        <v>0</v>
      </c>
      <c r="M631" s="503">
        <f t="shared" si="110"/>
        <v>16</v>
      </c>
      <c r="N631" s="504">
        <v>0.70138888888888884</v>
      </c>
      <c r="O631" s="719">
        <f t="shared" si="100"/>
        <v>0.70138888888888884</v>
      </c>
      <c r="P631" s="564"/>
      <c r="Q631" s="564">
        <f t="shared" si="107"/>
        <v>-0.70138888888888884</v>
      </c>
      <c r="R631" s="965" t="s">
        <v>1520</v>
      </c>
      <c r="S631" s="487"/>
      <c r="T631" s="29"/>
      <c r="U631" s="29" t="str">
        <f t="shared" si="101"/>
        <v>HutchinsonF0</v>
      </c>
      <c r="V631" s="29" t="str">
        <f t="shared" si="102"/>
        <v>1992F0</v>
      </c>
      <c r="W631" s="80">
        <v>10</v>
      </c>
      <c r="X631" s="32">
        <v>0.5</v>
      </c>
      <c r="Y631" s="467">
        <v>2E-3</v>
      </c>
      <c r="Z631" s="80"/>
      <c r="AA631" s="29" t="str">
        <f t="shared" si="103"/>
        <v>F010</v>
      </c>
      <c r="AB631" s="29" t="str">
        <f t="shared" si="104"/>
        <v>F00.5</v>
      </c>
      <c r="AC631" s="29" t="str">
        <f t="shared" si="105"/>
        <v>F00.002</v>
      </c>
      <c r="AD631" s="29" t="str">
        <f t="shared" si="106"/>
        <v>F016</v>
      </c>
      <c r="AE631" s="443"/>
      <c r="AF631" s="443"/>
      <c r="AG631" s="443"/>
      <c r="AH631" s="443"/>
    </row>
    <row r="632" spans="1:34" ht="16.5">
      <c r="A632" s="728">
        <f t="shared" si="109"/>
        <v>625</v>
      </c>
      <c r="B632" s="563">
        <v>2</v>
      </c>
      <c r="C632" s="694">
        <v>33710</v>
      </c>
      <c r="D632" s="694" t="s">
        <v>147</v>
      </c>
      <c r="E632" s="695">
        <v>16</v>
      </c>
      <c r="F632" s="503">
        <v>1992</v>
      </c>
      <c r="G632" s="563" t="s">
        <v>109</v>
      </c>
      <c r="H632" s="503" t="s">
        <v>122</v>
      </c>
      <c r="I632" s="695">
        <v>13</v>
      </c>
      <c r="J632" s="695">
        <v>0.5</v>
      </c>
      <c r="K632" s="777">
        <f t="shared" si="108"/>
        <v>3.6931818181818181E-3</v>
      </c>
      <c r="L632" s="968">
        <v>0</v>
      </c>
      <c r="M632" s="503">
        <f t="shared" si="110"/>
        <v>16</v>
      </c>
      <c r="N632" s="504">
        <v>0.70763888888888893</v>
      </c>
      <c r="O632" s="719">
        <f t="shared" si="100"/>
        <v>0.70763888888888893</v>
      </c>
      <c r="P632" s="564"/>
      <c r="Q632" s="564">
        <f t="shared" si="107"/>
        <v>-0.70763888888888893</v>
      </c>
      <c r="R632" s="965" t="s">
        <v>1520</v>
      </c>
      <c r="S632" s="487"/>
      <c r="T632" s="29"/>
      <c r="U632" s="29" t="str">
        <f t="shared" si="101"/>
        <v>HutchinsonF0</v>
      </c>
      <c r="V632" s="29" t="str">
        <f t="shared" si="102"/>
        <v>1992F0</v>
      </c>
      <c r="W632" s="80">
        <v>10</v>
      </c>
      <c r="X632" s="32">
        <v>0.5</v>
      </c>
      <c r="Y632" s="467">
        <v>2E-3</v>
      </c>
      <c r="Z632" s="80"/>
      <c r="AA632" s="29" t="str">
        <f t="shared" si="103"/>
        <v>F010</v>
      </c>
      <c r="AB632" s="29" t="str">
        <f t="shared" si="104"/>
        <v>F00.5</v>
      </c>
      <c r="AC632" s="29" t="str">
        <f t="shared" si="105"/>
        <v>F00.002</v>
      </c>
      <c r="AD632" s="29" t="str">
        <f t="shared" si="106"/>
        <v>F016</v>
      </c>
      <c r="AE632" s="443"/>
      <c r="AF632" s="443"/>
      <c r="AG632" s="443"/>
      <c r="AH632" s="443"/>
    </row>
    <row r="633" spans="1:34" ht="16.5">
      <c r="A633" s="728">
        <f t="shared" si="109"/>
        <v>626</v>
      </c>
      <c r="B633" s="563">
        <v>3</v>
      </c>
      <c r="C633" s="694">
        <v>33710</v>
      </c>
      <c r="D633" s="694" t="s">
        <v>147</v>
      </c>
      <c r="E633" s="695">
        <v>16</v>
      </c>
      <c r="F633" s="503">
        <v>1992</v>
      </c>
      <c r="G633" s="563" t="s">
        <v>109</v>
      </c>
      <c r="H633" s="503" t="s">
        <v>123</v>
      </c>
      <c r="I633" s="695">
        <v>50</v>
      </c>
      <c r="J633" s="695">
        <v>3</v>
      </c>
      <c r="K633" s="777">
        <f t="shared" si="108"/>
        <v>8.5227272727272721E-2</v>
      </c>
      <c r="L633" s="968">
        <v>3000</v>
      </c>
      <c r="M633" s="503">
        <f t="shared" si="110"/>
        <v>17</v>
      </c>
      <c r="N633" s="504">
        <v>0.7090277777777777</v>
      </c>
      <c r="O633" s="719">
        <f t="shared" si="100"/>
        <v>0.7090277777777777</v>
      </c>
      <c r="P633" s="564"/>
      <c r="Q633" s="564">
        <f t="shared" si="107"/>
        <v>-0.7090277777777777</v>
      </c>
      <c r="R633" s="965" t="s">
        <v>1520</v>
      </c>
      <c r="S633" s="487"/>
      <c r="T633" s="29"/>
      <c r="U633" s="29" t="str">
        <f t="shared" si="101"/>
        <v>HutchinsonF1</v>
      </c>
      <c r="V633" s="29" t="str">
        <f t="shared" si="102"/>
        <v>1992F1</v>
      </c>
      <c r="W633" s="80">
        <v>50</v>
      </c>
      <c r="X633" s="32">
        <v>2</v>
      </c>
      <c r="Y633" s="467">
        <v>0.05</v>
      </c>
      <c r="Z633" s="80"/>
      <c r="AA633" s="29" t="str">
        <f t="shared" si="103"/>
        <v>F150</v>
      </c>
      <c r="AB633" s="29" t="str">
        <f t="shared" si="104"/>
        <v>F12</v>
      </c>
      <c r="AC633" s="29" t="str">
        <f t="shared" si="105"/>
        <v>F10.05</v>
      </c>
      <c r="AD633" s="29" t="str">
        <f t="shared" si="106"/>
        <v>F117</v>
      </c>
      <c r="AE633" s="443"/>
      <c r="AF633" s="443"/>
      <c r="AG633" s="443"/>
      <c r="AH633" s="443"/>
    </row>
    <row r="634" spans="1:34" ht="16.5">
      <c r="A634" s="728">
        <f t="shared" si="109"/>
        <v>627</v>
      </c>
      <c r="B634" s="563">
        <v>4</v>
      </c>
      <c r="C634" s="694">
        <v>33710</v>
      </c>
      <c r="D634" s="694" t="s">
        <v>147</v>
      </c>
      <c r="E634" s="695">
        <v>16</v>
      </c>
      <c r="F634" s="503">
        <v>1992</v>
      </c>
      <c r="G634" s="563" t="s">
        <v>114</v>
      </c>
      <c r="H634" s="503" t="s">
        <v>122</v>
      </c>
      <c r="I634" s="695">
        <v>10</v>
      </c>
      <c r="J634" s="695">
        <v>0.5</v>
      </c>
      <c r="K634" s="777">
        <f t="shared" si="108"/>
        <v>2.840909090909091E-3</v>
      </c>
      <c r="L634" s="968">
        <v>0</v>
      </c>
      <c r="M634" s="503">
        <f t="shared" si="110"/>
        <v>17</v>
      </c>
      <c r="N634" s="504">
        <v>0.71527777777777779</v>
      </c>
      <c r="O634" s="719">
        <f t="shared" si="100"/>
        <v>0.71527777777777779</v>
      </c>
      <c r="P634" s="564"/>
      <c r="Q634" s="564">
        <f t="shared" si="107"/>
        <v>-0.71527777777777779</v>
      </c>
      <c r="R634" s="965" t="s">
        <v>1520</v>
      </c>
      <c r="S634" s="487"/>
      <c r="T634" s="29"/>
      <c r="U634" s="29" t="str">
        <f t="shared" si="101"/>
        <v>CarsonF0</v>
      </c>
      <c r="V634" s="29" t="str">
        <f t="shared" si="102"/>
        <v>1992F0</v>
      </c>
      <c r="W634" s="80">
        <v>10</v>
      </c>
      <c r="X634" s="32">
        <v>0.5</v>
      </c>
      <c r="Y634" s="467">
        <v>2E-3</v>
      </c>
      <c r="Z634" s="80"/>
      <c r="AA634" s="29" t="str">
        <f t="shared" si="103"/>
        <v>F010</v>
      </c>
      <c r="AB634" s="29" t="str">
        <f t="shared" si="104"/>
        <v>F00.5</v>
      </c>
      <c r="AC634" s="29" t="str">
        <f t="shared" si="105"/>
        <v>F00.002</v>
      </c>
      <c r="AD634" s="29" t="str">
        <f t="shared" si="106"/>
        <v>F017</v>
      </c>
      <c r="AE634" s="443"/>
      <c r="AF634" s="443"/>
      <c r="AG634" s="443"/>
      <c r="AH634" s="443"/>
    </row>
    <row r="635" spans="1:34" ht="16.5">
      <c r="A635" s="728">
        <f t="shared" si="109"/>
        <v>628</v>
      </c>
      <c r="B635" s="563">
        <v>5</v>
      </c>
      <c r="C635" s="694">
        <v>33751</v>
      </c>
      <c r="D635" s="694" t="s">
        <v>148</v>
      </c>
      <c r="E635" s="695">
        <v>27</v>
      </c>
      <c r="F635" s="503">
        <v>1992</v>
      </c>
      <c r="G635" s="563" t="s">
        <v>112</v>
      </c>
      <c r="H635" s="503" t="s">
        <v>122</v>
      </c>
      <c r="I635" s="695">
        <v>50</v>
      </c>
      <c r="J635" s="695">
        <v>0.1</v>
      </c>
      <c r="K635" s="777">
        <f t="shared" si="108"/>
        <v>2.840909090909091E-3</v>
      </c>
      <c r="L635" s="968">
        <v>0</v>
      </c>
      <c r="M635" s="503">
        <f t="shared" si="110"/>
        <v>16</v>
      </c>
      <c r="N635" s="504">
        <v>0.67708333333333337</v>
      </c>
      <c r="O635" s="719">
        <f t="shared" si="100"/>
        <v>0.67708333333333337</v>
      </c>
      <c r="P635" s="564"/>
      <c r="Q635" s="564">
        <f t="shared" si="107"/>
        <v>-0.67708333333333337</v>
      </c>
      <c r="R635" s="965" t="s">
        <v>1520</v>
      </c>
      <c r="S635" s="487"/>
      <c r="T635" s="29"/>
      <c r="U635" s="29" t="str">
        <f t="shared" si="101"/>
        <v>OldhamF0</v>
      </c>
      <c r="V635" s="29" t="str">
        <f t="shared" si="102"/>
        <v>1992F0</v>
      </c>
      <c r="W635" s="80">
        <v>50</v>
      </c>
      <c r="X635" s="32">
        <v>0.1</v>
      </c>
      <c r="Y635" s="467">
        <v>2E-3</v>
      </c>
      <c r="Z635" s="80"/>
      <c r="AA635" s="29" t="str">
        <f t="shared" si="103"/>
        <v>F050</v>
      </c>
      <c r="AB635" s="29" t="str">
        <f t="shared" si="104"/>
        <v>F00.1</v>
      </c>
      <c r="AC635" s="29" t="str">
        <f t="shared" si="105"/>
        <v>F00.002</v>
      </c>
      <c r="AD635" s="29" t="str">
        <f t="shared" si="106"/>
        <v>F016</v>
      </c>
      <c r="AE635" s="443"/>
      <c r="AF635" s="443"/>
      <c r="AG635" s="443"/>
      <c r="AH635" s="443"/>
    </row>
    <row r="636" spans="1:34" ht="16.5">
      <c r="A636" s="728">
        <f t="shared" si="109"/>
        <v>629</v>
      </c>
      <c r="B636" s="563">
        <v>6</v>
      </c>
      <c r="C636" s="694">
        <v>33759</v>
      </c>
      <c r="D636" s="694" t="s">
        <v>149</v>
      </c>
      <c r="E636" s="695">
        <v>4</v>
      </c>
      <c r="F636" s="503">
        <v>1992</v>
      </c>
      <c r="G636" s="563" t="s">
        <v>108</v>
      </c>
      <c r="H636" s="503" t="s">
        <v>122</v>
      </c>
      <c r="I636" s="695">
        <v>13</v>
      </c>
      <c r="J636" s="695">
        <v>0.5</v>
      </c>
      <c r="K636" s="777">
        <f t="shared" si="108"/>
        <v>3.6931818181818181E-3</v>
      </c>
      <c r="L636" s="968">
        <v>0</v>
      </c>
      <c r="M636" s="503">
        <f t="shared" si="110"/>
        <v>20</v>
      </c>
      <c r="N636" s="504">
        <v>0.86458333333333337</v>
      </c>
      <c r="O636" s="719">
        <f t="shared" si="100"/>
        <v>0.86458333333333337</v>
      </c>
      <c r="P636" s="564"/>
      <c r="Q636" s="564">
        <f t="shared" si="107"/>
        <v>-0.86458333333333337</v>
      </c>
      <c r="R636" s="965" t="s">
        <v>1520</v>
      </c>
      <c r="S636" s="487"/>
      <c r="T636" s="29"/>
      <c r="U636" s="29" t="str">
        <f t="shared" si="101"/>
        <v>MooreF0</v>
      </c>
      <c r="V636" s="29" t="str">
        <f t="shared" si="102"/>
        <v>1992F0</v>
      </c>
      <c r="W636" s="80">
        <v>10</v>
      </c>
      <c r="X636" s="32">
        <v>0.5</v>
      </c>
      <c r="Y636" s="467">
        <v>2E-3</v>
      </c>
      <c r="Z636" s="80"/>
      <c r="AA636" s="29" t="str">
        <f t="shared" si="103"/>
        <v>F010</v>
      </c>
      <c r="AB636" s="29" t="str">
        <f t="shared" si="104"/>
        <v>F00.5</v>
      </c>
      <c r="AC636" s="29" t="str">
        <f t="shared" si="105"/>
        <v>F00.002</v>
      </c>
      <c r="AD636" s="29" t="str">
        <f t="shared" si="106"/>
        <v>F020</v>
      </c>
      <c r="AE636" s="443"/>
      <c r="AF636" s="443"/>
      <c r="AG636" s="443"/>
      <c r="AH636" s="443"/>
    </row>
    <row r="637" spans="1:34" ht="16.5">
      <c r="A637" s="728">
        <f t="shared" si="109"/>
        <v>630</v>
      </c>
      <c r="B637" s="563">
        <v>7</v>
      </c>
      <c r="C637" s="694">
        <v>33759</v>
      </c>
      <c r="D637" s="694" t="s">
        <v>149</v>
      </c>
      <c r="E637" s="695">
        <v>4</v>
      </c>
      <c r="F637" s="503">
        <v>1992</v>
      </c>
      <c r="G637" s="563" t="s">
        <v>108</v>
      </c>
      <c r="H637" s="503" t="s">
        <v>122</v>
      </c>
      <c r="I637" s="695">
        <v>13</v>
      </c>
      <c r="J637" s="695">
        <v>0.5</v>
      </c>
      <c r="K637" s="777">
        <f t="shared" si="108"/>
        <v>3.6931818181818181E-3</v>
      </c>
      <c r="L637" s="968">
        <v>0</v>
      </c>
      <c r="M637" s="503">
        <f t="shared" si="110"/>
        <v>21</v>
      </c>
      <c r="N637" s="504">
        <v>0.90486111111111101</v>
      </c>
      <c r="O637" s="719">
        <f t="shared" si="100"/>
        <v>0.90486111111111101</v>
      </c>
      <c r="P637" s="564"/>
      <c r="Q637" s="564">
        <f t="shared" si="107"/>
        <v>-0.90486111111111101</v>
      </c>
      <c r="R637" s="965" t="s">
        <v>1520</v>
      </c>
      <c r="S637" s="487"/>
      <c r="T637" s="29"/>
      <c r="U637" s="29" t="str">
        <f t="shared" si="101"/>
        <v>MooreF0</v>
      </c>
      <c r="V637" s="29" t="str">
        <f t="shared" si="102"/>
        <v>1992F0</v>
      </c>
      <c r="W637" s="80">
        <v>10</v>
      </c>
      <c r="X637" s="32">
        <v>0.5</v>
      </c>
      <c r="Y637" s="467">
        <v>2E-3</v>
      </c>
      <c r="Z637" s="80"/>
      <c r="AA637" s="29" t="str">
        <f t="shared" si="103"/>
        <v>F010</v>
      </c>
      <c r="AB637" s="29" t="str">
        <f t="shared" si="104"/>
        <v>F00.5</v>
      </c>
      <c r="AC637" s="29" t="str">
        <f t="shared" si="105"/>
        <v>F00.002</v>
      </c>
      <c r="AD637" s="29" t="str">
        <f t="shared" si="106"/>
        <v>F021</v>
      </c>
      <c r="AE637" s="443"/>
      <c r="AF637" s="443"/>
      <c r="AG637" s="443"/>
      <c r="AH637" s="443"/>
    </row>
    <row r="638" spans="1:34" ht="16.5">
      <c r="A638" s="728">
        <f t="shared" si="109"/>
        <v>631</v>
      </c>
      <c r="B638" s="563">
        <v>8</v>
      </c>
      <c r="C638" s="694">
        <v>33759</v>
      </c>
      <c r="D638" s="694" t="s">
        <v>149</v>
      </c>
      <c r="E638" s="695">
        <v>4</v>
      </c>
      <c r="F638" s="503">
        <v>1992</v>
      </c>
      <c r="G638" s="563" t="s">
        <v>108</v>
      </c>
      <c r="H638" s="503" t="s">
        <v>122</v>
      </c>
      <c r="I638" s="695">
        <v>13</v>
      </c>
      <c r="J638" s="695">
        <v>0.5</v>
      </c>
      <c r="K638" s="777">
        <f t="shared" si="108"/>
        <v>3.6931818181818181E-3</v>
      </c>
      <c r="L638" s="968">
        <v>0</v>
      </c>
      <c r="M638" s="503">
        <f t="shared" si="110"/>
        <v>22</v>
      </c>
      <c r="N638" s="504">
        <v>0.92152777777777783</v>
      </c>
      <c r="O638" s="719">
        <f t="shared" si="100"/>
        <v>0.92152777777777783</v>
      </c>
      <c r="P638" s="564"/>
      <c r="Q638" s="564">
        <f t="shared" si="107"/>
        <v>-0.92152777777777783</v>
      </c>
      <c r="R638" s="965" t="s">
        <v>1520</v>
      </c>
      <c r="S638" s="487"/>
      <c r="T638" s="29"/>
      <c r="U638" s="29" t="str">
        <f t="shared" si="101"/>
        <v>MooreF0</v>
      </c>
      <c r="V638" s="29" t="str">
        <f t="shared" si="102"/>
        <v>1992F0</v>
      </c>
      <c r="W638" s="80">
        <v>10</v>
      </c>
      <c r="X638" s="32">
        <v>0.5</v>
      </c>
      <c r="Y638" s="467">
        <v>2E-3</v>
      </c>
      <c r="Z638" s="80"/>
      <c r="AA638" s="29" t="str">
        <f t="shared" si="103"/>
        <v>F010</v>
      </c>
      <c r="AB638" s="29" t="str">
        <f t="shared" si="104"/>
        <v>F00.5</v>
      </c>
      <c r="AC638" s="29" t="str">
        <f t="shared" si="105"/>
        <v>F00.002</v>
      </c>
      <c r="AD638" s="29" t="str">
        <f t="shared" si="106"/>
        <v>F022</v>
      </c>
      <c r="AE638" s="443"/>
      <c r="AF638" s="443"/>
      <c r="AG638" s="443"/>
      <c r="AH638" s="443"/>
    </row>
    <row r="639" spans="1:34" ht="16.5">
      <c r="A639" s="728">
        <f t="shared" si="109"/>
        <v>632</v>
      </c>
      <c r="B639" s="563">
        <v>9</v>
      </c>
      <c r="C639" s="694">
        <v>33766</v>
      </c>
      <c r="D639" s="694" t="s">
        <v>149</v>
      </c>
      <c r="E639" s="695">
        <v>11</v>
      </c>
      <c r="F639" s="503">
        <v>1992</v>
      </c>
      <c r="G639" s="563" t="s">
        <v>118</v>
      </c>
      <c r="H639" s="503" t="s">
        <v>122</v>
      </c>
      <c r="I639" s="695">
        <v>13</v>
      </c>
      <c r="J639" s="695">
        <v>0.5</v>
      </c>
      <c r="K639" s="777">
        <f t="shared" si="108"/>
        <v>3.6931818181818181E-3</v>
      </c>
      <c r="L639" s="968">
        <v>3000</v>
      </c>
      <c r="M639" s="503">
        <f t="shared" si="110"/>
        <v>15</v>
      </c>
      <c r="N639" s="504">
        <v>0.66041666666666665</v>
      </c>
      <c r="O639" s="719">
        <f t="shared" si="100"/>
        <v>0.66041666666666665</v>
      </c>
      <c r="P639" s="564"/>
      <c r="Q639" s="564">
        <f t="shared" si="107"/>
        <v>-0.66041666666666665</v>
      </c>
      <c r="R639" s="965" t="s">
        <v>1520</v>
      </c>
      <c r="S639" s="487"/>
      <c r="T639" s="29"/>
      <c r="U639" s="29" t="str">
        <f t="shared" si="101"/>
        <v>RandallF0</v>
      </c>
      <c r="V639" s="29" t="str">
        <f t="shared" si="102"/>
        <v>1992F0</v>
      </c>
      <c r="W639" s="80">
        <v>10</v>
      </c>
      <c r="X639" s="32">
        <v>0.5</v>
      </c>
      <c r="Y639" s="467">
        <v>2E-3</v>
      </c>
      <c r="Z639" s="80"/>
      <c r="AA639" s="29" t="str">
        <f t="shared" si="103"/>
        <v>F010</v>
      </c>
      <c r="AB639" s="29" t="str">
        <f t="shared" si="104"/>
        <v>F00.5</v>
      </c>
      <c r="AC639" s="29" t="str">
        <f t="shared" si="105"/>
        <v>F00.002</v>
      </c>
      <c r="AD639" s="29" t="str">
        <f t="shared" si="106"/>
        <v>F015</v>
      </c>
      <c r="AE639" s="443"/>
      <c r="AF639" s="443"/>
      <c r="AG639" s="443"/>
      <c r="AH639" s="443"/>
    </row>
    <row r="640" spans="1:34" ht="16.5">
      <c r="A640" s="728">
        <f t="shared" si="109"/>
        <v>633</v>
      </c>
      <c r="B640" s="563">
        <v>10</v>
      </c>
      <c r="C640" s="694">
        <v>33766</v>
      </c>
      <c r="D640" s="694" t="s">
        <v>149</v>
      </c>
      <c r="E640" s="695">
        <v>11</v>
      </c>
      <c r="F640" s="503">
        <v>1992</v>
      </c>
      <c r="G640" s="563" t="s">
        <v>118</v>
      </c>
      <c r="H640" s="503" t="s">
        <v>122</v>
      </c>
      <c r="I640" s="695">
        <v>13</v>
      </c>
      <c r="J640" s="695">
        <v>0.5</v>
      </c>
      <c r="K640" s="777">
        <f t="shared" si="108"/>
        <v>3.6931818181818181E-3</v>
      </c>
      <c r="L640" s="968">
        <v>0</v>
      </c>
      <c r="M640" s="503">
        <f t="shared" si="110"/>
        <v>15</v>
      </c>
      <c r="N640" s="504">
        <v>0.66111111111111109</v>
      </c>
      <c r="O640" s="719">
        <f t="shared" si="100"/>
        <v>0.66111111111111109</v>
      </c>
      <c r="P640" s="564"/>
      <c r="Q640" s="564">
        <f t="shared" si="107"/>
        <v>-0.66111111111111109</v>
      </c>
      <c r="R640" s="965" t="s">
        <v>1520</v>
      </c>
      <c r="S640" s="487"/>
      <c r="T640" s="29"/>
      <c r="U640" s="29" t="str">
        <f t="shared" si="101"/>
        <v>RandallF0</v>
      </c>
      <c r="V640" s="29" t="str">
        <f t="shared" si="102"/>
        <v>1992F0</v>
      </c>
      <c r="W640" s="80">
        <v>10</v>
      </c>
      <c r="X640" s="32">
        <v>0.5</v>
      </c>
      <c r="Y640" s="467">
        <v>2E-3</v>
      </c>
      <c r="Z640" s="80"/>
      <c r="AA640" s="29" t="str">
        <f t="shared" si="103"/>
        <v>F010</v>
      </c>
      <c r="AB640" s="29" t="str">
        <f t="shared" si="104"/>
        <v>F00.5</v>
      </c>
      <c r="AC640" s="29" t="str">
        <f t="shared" si="105"/>
        <v>F00.002</v>
      </c>
      <c r="AD640" s="29" t="str">
        <f t="shared" si="106"/>
        <v>F015</v>
      </c>
      <c r="AE640" s="443"/>
      <c r="AF640" s="443"/>
      <c r="AG640" s="443"/>
      <c r="AH640" s="443"/>
    </row>
    <row r="641" spans="1:34" ht="16.5">
      <c r="A641" s="728">
        <f t="shared" si="109"/>
        <v>634</v>
      </c>
      <c r="B641" s="563">
        <v>11</v>
      </c>
      <c r="C641" s="694">
        <v>33773</v>
      </c>
      <c r="D641" s="694" t="s">
        <v>149</v>
      </c>
      <c r="E641" s="695">
        <v>18</v>
      </c>
      <c r="F641" s="503">
        <v>1992</v>
      </c>
      <c r="G641" s="563" t="s">
        <v>105</v>
      </c>
      <c r="H641" s="503" t="s">
        <v>122</v>
      </c>
      <c r="I641" s="695">
        <v>7</v>
      </c>
      <c r="J641" s="695">
        <v>0.3</v>
      </c>
      <c r="K641" s="777">
        <f t="shared" si="108"/>
        <v>1.1931818181818181E-3</v>
      </c>
      <c r="L641" s="968">
        <v>0</v>
      </c>
      <c r="M641" s="503">
        <f t="shared" si="110"/>
        <v>16</v>
      </c>
      <c r="N641" s="504">
        <v>0.70138888888888884</v>
      </c>
      <c r="O641" s="719">
        <f t="shared" si="100"/>
        <v>0.70138888888888884</v>
      </c>
      <c r="P641" s="564"/>
      <c r="Q641" s="564">
        <f t="shared" si="107"/>
        <v>-0.70138888888888884</v>
      </c>
      <c r="R641" s="965" t="s">
        <v>1520</v>
      </c>
      <c r="S641" s="487"/>
      <c r="T641" s="29"/>
      <c r="U641" s="29" t="str">
        <f t="shared" si="101"/>
        <v>OchiltreeF0</v>
      </c>
      <c r="V641" s="29" t="str">
        <f t="shared" si="102"/>
        <v>1992F0</v>
      </c>
      <c r="W641" s="80">
        <v>5</v>
      </c>
      <c r="X641" s="32">
        <v>0.2</v>
      </c>
      <c r="Y641" s="467">
        <v>1E-3</v>
      </c>
      <c r="Z641" s="80"/>
      <c r="AA641" s="29" t="str">
        <f t="shared" si="103"/>
        <v>F05</v>
      </c>
      <c r="AB641" s="29" t="str">
        <f t="shared" si="104"/>
        <v>F00.2</v>
      </c>
      <c r="AC641" s="29" t="str">
        <f t="shared" si="105"/>
        <v>F00.001</v>
      </c>
      <c r="AD641" s="29" t="str">
        <f t="shared" si="106"/>
        <v>F016</v>
      </c>
      <c r="AE641" s="443"/>
      <c r="AF641" s="443"/>
      <c r="AG641" s="443"/>
      <c r="AH641" s="443"/>
    </row>
    <row r="642" spans="1:34" ht="16.5">
      <c r="A642" s="728">
        <f t="shared" si="109"/>
        <v>635</v>
      </c>
      <c r="B642" s="563">
        <v>12</v>
      </c>
      <c r="C642" s="694">
        <v>33774</v>
      </c>
      <c r="D642" s="694" t="s">
        <v>149</v>
      </c>
      <c r="E642" s="695">
        <v>19</v>
      </c>
      <c r="F642" s="503">
        <v>1992</v>
      </c>
      <c r="G642" s="563" t="s">
        <v>121</v>
      </c>
      <c r="H642" s="503" t="s">
        <v>122</v>
      </c>
      <c r="I642" s="695">
        <v>5</v>
      </c>
      <c r="J642" s="695">
        <v>0.1</v>
      </c>
      <c r="K642" s="777">
        <f t="shared" si="108"/>
        <v>2.8409090909090913E-4</v>
      </c>
      <c r="L642" s="968">
        <v>0</v>
      </c>
      <c r="M642" s="503">
        <f t="shared" si="110"/>
        <v>19</v>
      </c>
      <c r="N642" s="504">
        <v>0.80625000000000002</v>
      </c>
      <c r="O642" s="719">
        <f t="shared" si="100"/>
        <v>0.80625000000000002</v>
      </c>
      <c r="P642" s="564"/>
      <c r="Q642" s="564">
        <f t="shared" si="107"/>
        <v>-0.80625000000000002</v>
      </c>
      <c r="R642" s="965" t="s">
        <v>1520</v>
      </c>
      <c r="S642" s="487"/>
      <c r="T642" s="29"/>
      <c r="U642" s="29" t="str">
        <f t="shared" si="101"/>
        <v>CollingsworthF0</v>
      </c>
      <c r="V642" s="29" t="str">
        <f t="shared" si="102"/>
        <v>1992F0</v>
      </c>
      <c r="W642" s="80">
        <v>5</v>
      </c>
      <c r="X642" s="32">
        <v>0.1</v>
      </c>
      <c r="Y642" s="467">
        <v>2.0000000000000001E-4</v>
      </c>
      <c r="Z642" s="80"/>
      <c r="AA642" s="29" t="str">
        <f t="shared" si="103"/>
        <v>F05</v>
      </c>
      <c r="AB642" s="29" t="str">
        <f t="shared" si="104"/>
        <v>F00.1</v>
      </c>
      <c r="AC642" s="29" t="str">
        <f t="shared" si="105"/>
        <v>F00.0002</v>
      </c>
      <c r="AD642" s="29" t="str">
        <f t="shared" si="106"/>
        <v>F019</v>
      </c>
      <c r="AE642" s="443"/>
      <c r="AF642" s="443"/>
      <c r="AG642" s="443"/>
      <c r="AH642" s="443"/>
    </row>
    <row r="643" spans="1:34" ht="16.5">
      <c r="A643" s="728">
        <f t="shared" si="109"/>
        <v>636</v>
      </c>
      <c r="B643" s="563">
        <v>13</v>
      </c>
      <c r="C643" s="694">
        <v>33774</v>
      </c>
      <c r="D643" s="694" t="s">
        <v>149</v>
      </c>
      <c r="E643" s="695">
        <v>19</v>
      </c>
      <c r="F643" s="503">
        <v>1992</v>
      </c>
      <c r="G643" s="563" t="s">
        <v>99</v>
      </c>
      <c r="H643" s="503" t="s">
        <v>123</v>
      </c>
      <c r="I643" s="695">
        <v>23</v>
      </c>
      <c r="J643" s="695">
        <v>2</v>
      </c>
      <c r="K643" s="777">
        <f t="shared" si="108"/>
        <v>2.6136363636363635E-2</v>
      </c>
      <c r="L643" s="968">
        <v>2500000</v>
      </c>
      <c r="M643" s="503">
        <f t="shared" si="110"/>
        <v>20</v>
      </c>
      <c r="N643" s="504">
        <v>0.84027777777777779</v>
      </c>
      <c r="O643" s="719">
        <f t="shared" si="100"/>
        <v>0.84027777777777779</v>
      </c>
      <c r="P643" s="564"/>
      <c r="Q643" s="564">
        <f t="shared" si="107"/>
        <v>-0.84027777777777779</v>
      </c>
      <c r="R643" s="965" t="s">
        <v>1523</v>
      </c>
      <c r="S643" s="487"/>
      <c r="T643" s="29"/>
      <c r="U643" s="29" t="str">
        <f t="shared" si="101"/>
        <v>CimarronF1</v>
      </c>
      <c r="V643" s="29" t="str">
        <f t="shared" si="102"/>
        <v>1992F1</v>
      </c>
      <c r="W643" s="80">
        <v>20</v>
      </c>
      <c r="X643" s="32">
        <v>2</v>
      </c>
      <c r="Y643" s="467">
        <v>0.02</v>
      </c>
      <c r="Z643" s="80"/>
      <c r="AA643" s="29" t="str">
        <f t="shared" si="103"/>
        <v>F120</v>
      </c>
      <c r="AB643" s="29" t="str">
        <f t="shared" si="104"/>
        <v>F12</v>
      </c>
      <c r="AC643" s="29" t="str">
        <f t="shared" si="105"/>
        <v>F10.02</v>
      </c>
      <c r="AD643" s="29" t="str">
        <f t="shared" si="106"/>
        <v>F120</v>
      </c>
      <c r="AE643" s="443"/>
      <c r="AF643" s="443"/>
      <c r="AG643" s="443"/>
      <c r="AH643" s="443"/>
    </row>
    <row r="644" spans="1:34" ht="16.5">
      <c r="A644" s="728">
        <f t="shared" si="109"/>
        <v>637</v>
      </c>
      <c r="B644" s="563">
        <v>14</v>
      </c>
      <c r="C644" s="694">
        <v>33781</v>
      </c>
      <c r="D644" s="694" t="s">
        <v>149</v>
      </c>
      <c r="E644" s="695">
        <v>26</v>
      </c>
      <c r="F644" s="503">
        <v>1992</v>
      </c>
      <c r="G644" s="563" t="s">
        <v>100</v>
      </c>
      <c r="H644" s="503" t="s">
        <v>122</v>
      </c>
      <c r="I644" s="695">
        <v>10</v>
      </c>
      <c r="J644" s="695">
        <v>0.2</v>
      </c>
      <c r="K644" s="777">
        <f t="shared" si="108"/>
        <v>1.1363636363636365E-3</v>
      </c>
      <c r="L644" s="968">
        <v>0</v>
      </c>
      <c r="M644" s="503">
        <f t="shared" si="110"/>
        <v>19</v>
      </c>
      <c r="N644" s="504">
        <v>0.82291666666666663</v>
      </c>
      <c r="O644" s="719">
        <f t="shared" si="100"/>
        <v>0.82291666666666663</v>
      </c>
      <c r="P644" s="564"/>
      <c r="Q644" s="564">
        <f t="shared" si="107"/>
        <v>-0.82291666666666663</v>
      </c>
      <c r="R644" s="965" t="s">
        <v>1520</v>
      </c>
      <c r="S644" s="487"/>
      <c r="T644" s="29"/>
      <c r="U644" s="29" t="str">
        <f t="shared" si="101"/>
        <v>TexasF0</v>
      </c>
      <c r="V644" s="29" t="str">
        <f t="shared" si="102"/>
        <v>1992F0</v>
      </c>
      <c r="W644" s="80">
        <v>10</v>
      </c>
      <c r="X644" s="32">
        <v>0.2</v>
      </c>
      <c r="Y644" s="467">
        <v>1E-3</v>
      </c>
      <c r="Z644" s="80"/>
      <c r="AA644" s="29" t="str">
        <f t="shared" si="103"/>
        <v>F010</v>
      </c>
      <c r="AB644" s="29" t="str">
        <f t="shared" si="104"/>
        <v>F00.2</v>
      </c>
      <c r="AC644" s="29" t="str">
        <f t="shared" si="105"/>
        <v>F00.001</v>
      </c>
      <c r="AD644" s="29" t="str">
        <f t="shared" si="106"/>
        <v>F019</v>
      </c>
      <c r="AE644" s="443"/>
      <c r="AF644" s="443"/>
      <c r="AG644" s="443"/>
      <c r="AH644" s="443"/>
    </row>
    <row r="645" spans="1:34" ht="29.25" customHeight="1">
      <c r="A645" s="728">
        <f t="shared" si="109"/>
        <v>638</v>
      </c>
      <c r="B645" s="563">
        <v>15</v>
      </c>
      <c r="C645" s="694">
        <v>33782</v>
      </c>
      <c r="D645" s="694" t="s">
        <v>149</v>
      </c>
      <c r="E645" s="695">
        <v>27</v>
      </c>
      <c r="F645" s="503">
        <v>1992</v>
      </c>
      <c r="G645" s="563" t="s">
        <v>108</v>
      </c>
      <c r="H645" s="503" t="s">
        <v>122</v>
      </c>
      <c r="I645" s="695">
        <v>10</v>
      </c>
      <c r="J645" s="695">
        <v>0.1</v>
      </c>
      <c r="K645" s="777">
        <f t="shared" si="108"/>
        <v>5.6818181818181826E-4</v>
      </c>
      <c r="L645" s="968">
        <v>0</v>
      </c>
      <c r="M645" s="503">
        <f t="shared" si="110"/>
        <v>17</v>
      </c>
      <c r="N645" s="504">
        <v>0.72083333333333333</v>
      </c>
      <c r="O645" s="719">
        <f t="shared" si="100"/>
        <v>0.72083333333333333</v>
      </c>
      <c r="P645" s="564"/>
      <c r="Q645" s="564">
        <f t="shared" si="107"/>
        <v>-0.72083333333333333</v>
      </c>
      <c r="R645" s="965" t="s">
        <v>1520</v>
      </c>
      <c r="S645" s="487" t="s">
        <v>438</v>
      </c>
      <c r="T645" s="29"/>
      <c r="U645" s="29" t="str">
        <f t="shared" si="101"/>
        <v>MooreF0</v>
      </c>
      <c r="V645" s="29" t="str">
        <f t="shared" si="102"/>
        <v>1992F0</v>
      </c>
      <c r="W645" s="80">
        <v>10</v>
      </c>
      <c r="X645" s="32">
        <v>0.1</v>
      </c>
      <c r="Y645" s="467">
        <v>5.0000000000000001E-4</v>
      </c>
      <c r="Z645" s="80"/>
      <c r="AA645" s="29" t="str">
        <f t="shared" si="103"/>
        <v>F010</v>
      </c>
      <c r="AB645" s="29" t="str">
        <f t="shared" si="104"/>
        <v>F00.1</v>
      </c>
      <c r="AC645" s="29" t="str">
        <f t="shared" si="105"/>
        <v>F00.0005</v>
      </c>
      <c r="AD645" s="29" t="str">
        <f t="shared" si="106"/>
        <v>F017</v>
      </c>
      <c r="AE645" s="443"/>
      <c r="AF645" s="443"/>
      <c r="AG645" s="443"/>
      <c r="AH645" s="443"/>
    </row>
    <row r="646" spans="1:34" ht="16.5">
      <c r="A646" s="728">
        <f t="shared" si="109"/>
        <v>639</v>
      </c>
      <c r="B646" s="563">
        <v>16</v>
      </c>
      <c r="C646" s="694">
        <v>33782</v>
      </c>
      <c r="D646" s="694" t="s">
        <v>149</v>
      </c>
      <c r="E646" s="695">
        <v>27</v>
      </c>
      <c r="F646" s="503">
        <v>1992</v>
      </c>
      <c r="G646" s="563" t="s">
        <v>108</v>
      </c>
      <c r="H646" s="503" t="s">
        <v>125</v>
      </c>
      <c r="I646" s="695">
        <v>300</v>
      </c>
      <c r="J646" s="695">
        <v>5</v>
      </c>
      <c r="K646" s="777">
        <f t="shared" si="108"/>
        <v>0.85227272727272718</v>
      </c>
      <c r="L646" s="968">
        <v>250000</v>
      </c>
      <c r="M646" s="503">
        <f t="shared" si="110"/>
        <v>17</v>
      </c>
      <c r="N646" s="504">
        <v>0.73402777777777783</v>
      </c>
      <c r="O646" s="719">
        <f t="shared" si="100"/>
        <v>0.73402777777777783</v>
      </c>
      <c r="P646" s="564"/>
      <c r="Q646" s="564">
        <f t="shared" si="107"/>
        <v>-0.73402777777777783</v>
      </c>
      <c r="R646" s="965" t="s">
        <v>1520</v>
      </c>
      <c r="S646" s="487" t="s">
        <v>93</v>
      </c>
      <c r="T646" s="29"/>
      <c r="U646" s="29" t="str">
        <f t="shared" si="101"/>
        <v>MooreF3</v>
      </c>
      <c r="V646" s="29" t="str">
        <f t="shared" si="102"/>
        <v>1992F3</v>
      </c>
      <c r="W646" s="80">
        <v>200</v>
      </c>
      <c r="X646" s="32">
        <v>5</v>
      </c>
      <c r="Y646" s="467">
        <v>0.5</v>
      </c>
      <c r="Z646" s="80"/>
      <c r="AA646" s="29" t="str">
        <f t="shared" si="103"/>
        <v>F3200</v>
      </c>
      <c r="AB646" s="29" t="str">
        <f t="shared" si="104"/>
        <v>F35</v>
      </c>
      <c r="AC646" s="29" t="str">
        <f t="shared" si="105"/>
        <v>F30.5</v>
      </c>
      <c r="AD646" s="29" t="str">
        <f t="shared" si="106"/>
        <v>F317</v>
      </c>
      <c r="AE646" s="443"/>
      <c r="AF646" s="443"/>
      <c r="AG646" s="443"/>
      <c r="AH646" s="443"/>
    </row>
    <row r="647" spans="1:34" ht="81.75" customHeight="1">
      <c r="A647" s="728">
        <f t="shared" si="109"/>
        <v>640</v>
      </c>
      <c r="B647" s="563">
        <v>17</v>
      </c>
      <c r="C647" s="694">
        <v>33782</v>
      </c>
      <c r="D647" s="694" t="s">
        <v>149</v>
      </c>
      <c r="E647" s="695">
        <v>27</v>
      </c>
      <c r="F647" s="503">
        <v>1992</v>
      </c>
      <c r="G647" s="563" t="s">
        <v>108</v>
      </c>
      <c r="H647" s="503" t="s">
        <v>126</v>
      </c>
      <c r="I647" s="695">
        <v>1583</v>
      </c>
      <c r="J647" s="695">
        <v>10</v>
      </c>
      <c r="K647" s="777">
        <f t="shared" si="108"/>
        <v>8.9943181818181817</v>
      </c>
      <c r="L647" s="968">
        <v>25000000</v>
      </c>
      <c r="M647" s="503">
        <f t="shared" si="110"/>
        <v>18</v>
      </c>
      <c r="N647" s="504">
        <v>0.7715277777777777</v>
      </c>
      <c r="O647" s="719">
        <f t="shared" ref="O647:O710" si="111">+N647</f>
        <v>0.7715277777777777</v>
      </c>
      <c r="P647" s="564">
        <v>0.78819444444444453</v>
      </c>
      <c r="Q647" s="564">
        <f t="shared" si="107"/>
        <v>1.6666666666666829E-2</v>
      </c>
      <c r="R647" s="965" t="s">
        <v>1520</v>
      </c>
      <c r="S647" s="487" t="s">
        <v>715</v>
      </c>
      <c r="T647" s="29"/>
      <c r="U647" s="29" t="str">
        <f t="shared" ref="U647:U710" si="112">CONCATENATE(G647,H647)</f>
        <v>MooreF4</v>
      </c>
      <c r="V647" s="29" t="str">
        <f t="shared" ref="V647:V710" si="113">CONCATENATE(F647,H647)</f>
        <v>1992F4</v>
      </c>
      <c r="W647" s="80">
        <v>1000</v>
      </c>
      <c r="X647" s="32">
        <v>10</v>
      </c>
      <c r="Y647" s="467">
        <v>5</v>
      </c>
      <c r="Z647" s="80"/>
      <c r="AA647" s="29" t="str">
        <f t="shared" ref="AA647:AA710" si="114">CONCATENATE(H647,W647)</f>
        <v>F41000</v>
      </c>
      <c r="AB647" s="29" t="str">
        <f t="shared" ref="AB647:AB710" si="115">CONCATENATE(H647,X647)</f>
        <v>F410</v>
      </c>
      <c r="AC647" s="29" t="str">
        <f t="shared" ref="AC647:AC710" si="116">CONCATENATE(H647,Y647)</f>
        <v>F45</v>
      </c>
      <c r="AD647" s="29" t="str">
        <f t="shared" ref="AD647:AD710" si="117">CONCATENATE(H647,M647)</f>
        <v>F418</v>
      </c>
      <c r="AE647" s="443"/>
      <c r="AF647" s="443"/>
      <c r="AG647" s="443"/>
      <c r="AH647" s="443"/>
    </row>
    <row r="648" spans="1:34" ht="45" customHeight="1">
      <c r="A648" s="728">
        <f t="shared" si="109"/>
        <v>641</v>
      </c>
      <c r="B648" s="563">
        <v>18</v>
      </c>
      <c r="C648" s="694">
        <v>33782</v>
      </c>
      <c r="D648" s="694" t="s">
        <v>149</v>
      </c>
      <c r="E648" s="695">
        <v>27</v>
      </c>
      <c r="F648" s="503">
        <v>1992</v>
      </c>
      <c r="G648" s="563" t="s">
        <v>109</v>
      </c>
      <c r="H648" s="503" t="s">
        <v>126</v>
      </c>
      <c r="I648" s="695">
        <v>1583</v>
      </c>
      <c r="J648" s="695">
        <v>3</v>
      </c>
      <c r="K648" s="777">
        <f t="shared" si="108"/>
        <v>2.6982954545454545</v>
      </c>
      <c r="L648" s="968">
        <v>25000000</v>
      </c>
      <c r="M648" s="503">
        <f t="shared" si="110"/>
        <v>18</v>
      </c>
      <c r="N648" s="504">
        <v>0.78819444444444453</v>
      </c>
      <c r="O648" s="719">
        <f t="shared" si="111"/>
        <v>0.78819444444444453</v>
      </c>
      <c r="P648" s="564"/>
      <c r="Q648" s="564">
        <f t="shared" ref="Q648:Q711" si="118">+P648-O648</f>
        <v>-0.78819444444444453</v>
      </c>
      <c r="R648" s="965" t="s">
        <v>1525</v>
      </c>
      <c r="S648" s="79" t="s">
        <v>716</v>
      </c>
      <c r="T648" s="29"/>
      <c r="U648" s="29" t="str">
        <f t="shared" si="112"/>
        <v>HutchinsonF4</v>
      </c>
      <c r="V648" s="29" t="str">
        <f t="shared" si="113"/>
        <v>1992F4</v>
      </c>
      <c r="W648" s="80">
        <v>1000</v>
      </c>
      <c r="X648" s="32">
        <v>2</v>
      </c>
      <c r="Y648" s="467">
        <v>2</v>
      </c>
      <c r="Z648" s="80"/>
      <c r="AA648" s="29" t="str">
        <f t="shared" si="114"/>
        <v>F41000</v>
      </c>
      <c r="AB648" s="29" t="str">
        <f t="shared" si="115"/>
        <v>F42</v>
      </c>
      <c r="AC648" s="29" t="str">
        <f t="shared" si="116"/>
        <v>F42</v>
      </c>
      <c r="AD648" s="29" t="str">
        <f t="shared" si="117"/>
        <v>F418</v>
      </c>
      <c r="AE648" s="443"/>
      <c r="AF648" s="443"/>
      <c r="AG648" s="443"/>
      <c r="AH648" s="443"/>
    </row>
    <row r="649" spans="1:34" ht="25.5">
      <c r="A649" s="728">
        <f t="shared" si="109"/>
        <v>642</v>
      </c>
      <c r="B649" s="563">
        <v>19</v>
      </c>
      <c r="C649" s="694">
        <v>33782</v>
      </c>
      <c r="D649" s="694" t="s">
        <v>149</v>
      </c>
      <c r="E649" s="695">
        <v>27</v>
      </c>
      <c r="F649" s="503">
        <v>1992</v>
      </c>
      <c r="G649" s="563" t="s">
        <v>108</v>
      </c>
      <c r="H649" s="503" t="s">
        <v>123</v>
      </c>
      <c r="I649" s="695">
        <v>55</v>
      </c>
      <c r="J649" s="695">
        <v>1</v>
      </c>
      <c r="K649" s="777">
        <f t="shared" ref="K649:K712" si="119">+(I649/1760)*J649</f>
        <v>3.125E-2</v>
      </c>
      <c r="L649" s="968">
        <v>250000</v>
      </c>
      <c r="M649" s="503">
        <f t="shared" si="110"/>
        <v>19</v>
      </c>
      <c r="N649" s="504">
        <v>0.79236111111111107</v>
      </c>
      <c r="O649" s="719">
        <f t="shared" si="111"/>
        <v>0.79236111111111107</v>
      </c>
      <c r="P649" s="564">
        <v>0.7944444444444444</v>
      </c>
      <c r="Q649" s="564">
        <f t="shared" si="118"/>
        <v>2.0833333333333259E-3</v>
      </c>
      <c r="R649" s="965" t="s">
        <v>1520</v>
      </c>
      <c r="S649" s="487" t="s">
        <v>717</v>
      </c>
      <c r="T649" s="29"/>
      <c r="U649" s="29" t="str">
        <f t="shared" si="112"/>
        <v>MooreF1</v>
      </c>
      <c r="V649" s="29" t="str">
        <f t="shared" si="113"/>
        <v>1992F1</v>
      </c>
      <c r="W649" s="80">
        <v>50</v>
      </c>
      <c r="X649" s="32">
        <v>1</v>
      </c>
      <c r="Y649" s="467">
        <v>0.02</v>
      </c>
      <c r="Z649" s="80"/>
      <c r="AA649" s="29" t="str">
        <f t="shared" si="114"/>
        <v>F150</v>
      </c>
      <c r="AB649" s="29" t="str">
        <f t="shared" si="115"/>
        <v>F11</v>
      </c>
      <c r="AC649" s="29" t="str">
        <f t="shared" si="116"/>
        <v>F10.02</v>
      </c>
      <c r="AD649" s="29" t="str">
        <f t="shared" si="117"/>
        <v>F119</v>
      </c>
      <c r="AE649" s="443"/>
      <c r="AF649" s="443"/>
      <c r="AG649" s="443"/>
      <c r="AH649" s="443"/>
    </row>
    <row r="650" spans="1:34" ht="15" customHeight="1">
      <c r="A650" s="728">
        <f t="shared" ref="A650:A713" si="120">+A649+1</f>
        <v>643</v>
      </c>
      <c r="B650" s="563">
        <v>20</v>
      </c>
      <c r="C650" s="694">
        <v>33782</v>
      </c>
      <c r="D650" s="694" t="s">
        <v>149</v>
      </c>
      <c r="E650" s="695">
        <v>27</v>
      </c>
      <c r="F650" s="503">
        <v>1992</v>
      </c>
      <c r="G650" s="563" t="s">
        <v>109</v>
      </c>
      <c r="H650" s="503" t="s">
        <v>123</v>
      </c>
      <c r="I650" s="695">
        <v>55</v>
      </c>
      <c r="J650" s="695">
        <v>1</v>
      </c>
      <c r="K650" s="777">
        <f t="shared" si="119"/>
        <v>3.125E-2</v>
      </c>
      <c r="L650" s="968">
        <v>250000</v>
      </c>
      <c r="M650" s="503">
        <f t="shared" si="110"/>
        <v>19</v>
      </c>
      <c r="N650" s="504">
        <v>0.7944444444444444</v>
      </c>
      <c r="O650" s="719">
        <f t="shared" si="111"/>
        <v>0.7944444444444444</v>
      </c>
      <c r="P650" s="564">
        <v>0.79861111111111116</v>
      </c>
      <c r="Q650" s="564">
        <f t="shared" si="118"/>
        <v>4.1666666666667629E-3</v>
      </c>
      <c r="R650" s="965" t="s">
        <v>1520</v>
      </c>
      <c r="S650" s="487" t="s">
        <v>72</v>
      </c>
      <c r="U650" s="29" t="str">
        <f t="shared" si="112"/>
        <v>HutchinsonF1</v>
      </c>
      <c r="V650" s="29" t="str">
        <f t="shared" si="113"/>
        <v>1992F1</v>
      </c>
      <c r="W650" s="80">
        <v>50</v>
      </c>
      <c r="X650" s="32">
        <v>1</v>
      </c>
      <c r="Y650" s="467">
        <v>0.02</v>
      </c>
      <c r="Z650" s="80"/>
      <c r="AA650" s="29" t="str">
        <f t="shared" si="114"/>
        <v>F150</v>
      </c>
      <c r="AB650" s="29" t="str">
        <f t="shared" si="115"/>
        <v>F11</v>
      </c>
      <c r="AC650" s="29" t="str">
        <f t="shared" si="116"/>
        <v>F10.02</v>
      </c>
      <c r="AD650" s="29" t="str">
        <f t="shared" si="117"/>
        <v>F119</v>
      </c>
      <c r="AE650" s="443"/>
      <c r="AF650" s="443"/>
      <c r="AG650" s="443"/>
      <c r="AH650" s="443"/>
    </row>
    <row r="651" spans="1:34" ht="28.5" customHeight="1">
      <c r="A651" s="728">
        <f t="shared" si="120"/>
        <v>644</v>
      </c>
      <c r="B651" s="563">
        <v>21</v>
      </c>
      <c r="C651" s="694">
        <v>33782</v>
      </c>
      <c r="D651" s="694" t="s">
        <v>149</v>
      </c>
      <c r="E651" s="695">
        <v>27</v>
      </c>
      <c r="F651" s="503">
        <v>1992</v>
      </c>
      <c r="G651" s="563" t="s">
        <v>109</v>
      </c>
      <c r="H651" s="503" t="s">
        <v>124</v>
      </c>
      <c r="I651" s="695">
        <v>150</v>
      </c>
      <c r="J651" s="695">
        <v>4</v>
      </c>
      <c r="K651" s="777">
        <f t="shared" si="119"/>
        <v>0.34090909090909088</v>
      </c>
      <c r="L651" s="968">
        <v>2500000</v>
      </c>
      <c r="M651" s="503">
        <f t="shared" si="110"/>
        <v>19</v>
      </c>
      <c r="N651" s="504">
        <v>0.79583333333333339</v>
      </c>
      <c r="O651" s="719">
        <f t="shared" si="111"/>
        <v>0.79583333333333339</v>
      </c>
      <c r="P651" s="564"/>
      <c r="Q651" s="564">
        <f t="shared" si="118"/>
        <v>-0.79583333333333339</v>
      </c>
      <c r="R651" s="965" t="s">
        <v>1520</v>
      </c>
      <c r="S651" s="487" t="s">
        <v>439</v>
      </c>
      <c r="U651" s="29" t="str">
        <f t="shared" si="112"/>
        <v>HutchinsonF2</v>
      </c>
      <c r="V651" s="29" t="str">
        <f t="shared" si="113"/>
        <v>1992F2</v>
      </c>
      <c r="W651" s="80">
        <v>100</v>
      </c>
      <c r="X651" s="32">
        <v>2</v>
      </c>
      <c r="Y651" s="467">
        <v>0.2</v>
      </c>
      <c r="Z651" s="80"/>
      <c r="AA651" s="29" t="str">
        <f t="shared" si="114"/>
        <v>F2100</v>
      </c>
      <c r="AB651" s="29" t="str">
        <f t="shared" si="115"/>
        <v>F22</v>
      </c>
      <c r="AC651" s="29" t="str">
        <f t="shared" si="116"/>
        <v>F20.2</v>
      </c>
      <c r="AD651" s="29" t="str">
        <f t="shared" si="117"/>
        <v>F219</v>
      </c>
      <c r="AE651" s="443"/>
      <c r="AF651" s="443"/>
      <c r="AG651" s="443"/>
      <c r="AH651" s="443"/>
    </row>
    <row r="652" spans="1:34" ht="42" customHeight="1">
      <c r="A652" s="728">
        <f t="shared" si="120"/>
        <v>645</v>
      </c>
      <c r="B652" s="563">
        <v>22</v>
      </c>
      <c r="C652" s="694">
        <v>33782</v>
      </c>
      <c r="D652" s="694" t="s">
        <v>149</v>
      </c>
      <c r="E652" s="695">
        <v>27</v>
      </c>
      <c r="F652" s="503">
        <v>1992</v>
      </c>
      <c r="G652" s="563" t="s">
        <v>114</v>
      </c>
      <c r="H652" s="503" t="s">
        <v>126</v>
      </c>
      <c r="I652" s="695">
        <v>1583</v>
      </c>
      <c r="J652" s="695">
        <v>5</v>
      </c>
      <c r="K652" s="777">
        <f t="shared" si="119"/>
        <v>4.4971590909090908</v>
      </c>
      <c r="L652" s="968">
        <v>25000000</v>
      </c>
      <c r="M652" s="503">
        <f t="shared" si="110"/>
        <v>19</v>
      </c>
      <c r="N652" s="504">
        <v>0.79861111111111116</v>
      </c>
      <c r="O652" s="719">
        <f t="shared" si="111"/>
        <v>0.79861111111111116</v>
      </c>
      <c r="P652" s="564"/>
      <c r="Q652" s="564">
        <f t="shared" si="118"/>
        <v>-0.79861111111111116</v>
      </c>
      <c r="R652" s="965" t="s">
        <v>1520</v>
      </c>
      <c r="S652" s="487" t="s">
        <v>718</v>
      </c>
      <c r="U652" s="29" t="str">
        <f t="shared" si="112"/>
        <v>CarsonF4</v>
      </c>
      <c r="V652" s="29" t="str">
        <f t="shared" si="113"/>
        <v>1992F4</v>
      </c>
      <c r="W652" s="80">
        <v>1000</v>
      </c>
      <c r="X652" s="32">
        <v>5</v>
      </c>
      <c r="Y652" s="467">
        <v>2</v>
      </c>
      <c r="Z652" s="80"/>
      <c r="AA652" s="29" t="str">
        <f t="shared" si="114"/>
        <v>F41000</v>
      </c>
      <c r="AB652" s="29" t="str">
        <f t="shared" si="115"/>
        <v>F45</v>
      </c>
      <c r="AC652" s="29" t="str">
        <f t="shared" si="116"/>
        <v>F42</v>
      </c>
      <c r="AD652" s="29" t="str">
        <f t="shared" si="117"/>
        <v>F419</v>
      </c>
      <c r="AE652" s="443"/>
      <c r="AF652" s="443"/>
      <c r="AG652" s="443"/>
      <c r="AH652" s="443"/>
    </row>
    <row r="653" spans="1:34" ht="16.5">
      <c r="A653" s="728">
        <f t="shared" si="120"/>
        <v>646</v>
      </c>
      <c r="B653" s="563">
        <v>1</v>
      </c>
      <c r="C653" s="694">
        <v>34087</v>
      </c>
      <c r="D653" s="694" t="s">
        <v>147</v>
      </c>
      <c r="E653" s="695">
        <v>28</v>
      </c>
      <c r="F653" s="503">
        <v>1993</v>
      </c>
      <c r="G653" s="563" t="s">
        <v>112</v>
      </c>
      <c r="H653" s="503" t="s">
        <v>122</v>
      </c>
      <c r="I653" s="695">
        <v>50</v>
      </c>
      <c r="J653" s="695">
        <v>0.2</v>
      </c>
      <c r="K653" s="777">
        <f t="shared" si="119"/>
        <v>5.681818181818182E-3</v>
      </c>
      <c r="L653" s="968">
        <v>0</v>
      </c>
      <c r="M653" s="503">
        <f t="shared" si="110"/>
        <v>17</v>
      </c>
      <c r="N653" s="504">
        <v>0.7368055555555556</v>
      </c>
      <c r="O653" s="719">
        <f t="shared" si="111"/>
        <v>0.7368055555555556</v>
      </c>
      <c r="P653" s="564"/>
      <c r="Q653" s="564">
        <f t="shared" si="118"/>
        <v>-0.7368055555555556</v>
      </c>
      <c r="R653" s="965" t="s">
        <v>1520</v>
      </c>
      <c r="S653" s="487" t="s">
        <v>384</v>
      </c>
      <c r="T653" s="29"/>
      <c r="U653" s="29" t="str">
        <f t="shared" si="112"/>
        <v>OldhamF0</v>
      </c>
      <c r="V653" s="29" t="str">
        <f t="shared" si="113"/>
        <v>1993F0</v>
      </c>
      <c r="W653" s="80">
        <v>50</v>
      </c>
      <c r="X653" s="32">
        <v>0.2</v>
      </c>
      <c r="Y653" s="467">
        <v>5.0000000000000001E-3</v>
      </c>
      <c r="Z653" s="80"/>
      <c r="AA653" s="29" t="str">
        <f t="shared" si="114"/>
        <v>F050</v>
      </c>
      <c r="AB653" s="29" t="str">
        <f t="shared" si="115"/>
        <v>F00.2</v>
      </c>
      <c r="AC653" s="29" t="str">
        <f t="shared" si="116"/>
        <v>F00.005</v>
      </c>
      <c r="AD653" s="29" t="str">
        <f t="shared" si="117"/>
        <v>F017</v>
      </c>
      <c r="AE653" s="443"/>
      <c r="AF653" s="443"/>
      <c r="AG653" s="443"/>
      <c r="AH653" s="443"/>
    </row>
    <row r="654" spans="1:34" ht="16.5">
      <c r="A654" s="728">
        <f t="shared" si="120"/>
        <v>647</v>
      </c>
      <c r="B654" s="563">
        <v>2</v>
      </c>
      <c r="C654" s="694">
        <v>34087</v>
      </c>
      <c r="D654" s="694" t="s">
        <v>147</v>
      </c>
      <c r="E654" s="695">
        <v>28</v>
      </c>
      <c r="F654" s="503">
        <v>1993</v>
      </c>
      <c r="G654" s="563" t="s">
        <v>113</v>
      </c>
      <c r="H654" s="503" t="s">
        <v>122</v>
      </c>
      <c r="I654" s="695">
        <v>75</v>
      </c>
      <c r="J654" s="695">
        <v>1.5</v>
      </c>
      <c r="K654" s="777">
        <f t="shared" si="119"/>
        <v>6.3920454545454544E-2</v>
      </c>
      <c r="L654" s="968">
        <v>0</v>
      </c>
      <c r="M654" s="503">
        <f t="shared" si="110"/>
        <v>17</v>
      </c>
      <c r="N654" s="504">
        <v>0.74375000000000002</v>
      </c>
      <c r="O654" s="719">
        <f t="shared" si="111"/>
        <v>0.74375000000000002</v>
      </c>
      <c r="P654" s="564"/>
      <c r="Q654" s="564">
        <f t="shared" si="118"/>
        <v>-0.74375000000000002</v>
      </c>
      <c r="R654" s="965" t="s">
        <v>1520</v>
      </c>
      <c r="S654" s="487" t="s">
        <v>386</v>
      </c>
      <c r="T654" s="29"/>
      <c r="U654" s="29" t="str">
        <f t="shared" si="112"/>
        <v>PotterF0</v>
      </c>
      <c r="V654" s="29" t="str">
        <f t="shared" si="113"/>
        <v>1993F0</v>
      </c>
      <c r="W654" s="80">
        <v>50</v>
      </c>
      <c r="X654" s="32">
        <v>1</v>
      </c>
      <c r="Y654" s="467">
        <v>0.05</v>
      </c>
      <c r="Z654" s="80"/>
      <c r="AA654" s="29" t="str">
        <f t="shared" si="114"/>
        <v>F050</v>
      </c>
      <c r="AB654" s="29" t="str">
        <f t="shared" si="115"/>
        <v>F01</v>
      </c>
      <c r="AC654" s="29" t="str">
        <f t="shared" si="116"/>
        <v>F00.05</v>
      </c>
      <c r="AD654" s="29" t="str">
        <f t="shared" si="117"/>
        <v>F017</v>
      </c>
      <c r="AE654" s="443"/>
      <c r="AF654" s="443"/>
      <c r="AG654" s="443"/>
      <c r="AH654" s="443"/>
    </row>
    <row r="655" spans="1:34" ht="16.5">
      <c r="A655" s="728">
        <f t="shared" si="120"/>
        <v>648</v>
      </c>
      <c r="B655" s="563">
        <v>3</v>
      </c>
      <c r="C655" s="694">
        <v>34087</v>
      </c>
      <c r="D655" s="694" t="s">
        <v>147</v>
      </c>
      <c r="E655" s="695">
        <v>28</v>
      </c>
      <c r="F655" s="503">
        <v>1993</v>
      </c>
      <c r="G655" s="563" t="s">
        <v>114</v>
      </c>
      <c r="H655" s="503" t="s">
        <v>123</v>
      </c>
      <c r="I655" s="695">
        <v>100</v>
      </c>
      <c r="J655" s="695">
        <v>2.5</v>
      </c>
      <c r="K655" s="777">
        <f t="shared" si="119"/>
        <v>0.14204545454545453</v>
      </c>
      <c r="L655" s="968">
        <v>0</v>
      </c>
      <c r="M655" s="503">
        <f t="shared" si="110"/>
        <v>18</v>
      </c>
      <c r="N655" s="504">
        <v>0.78263888888888899</v>
      </c>
      <c r="O655" s="719">
        <f t="shared" si="111"/>
        <v>0.78263888888888899</v>
      </c>
      <c r="P655" s="564"/>
      <c r="Q655" s="564">
        <f t="shared" si="118"/>
        <v>-0.78263888888888899</v>
      </c>
      <c r="R655" s="965" t="s">
        <v>1520</v>
      </c>
      <c r="S655" s="487" t="s">
        <v>255</v>
      </c>
      <c r="T655" s="29"/>
      <c r="U655" s="29" t="str">
        <f t="shared" si="112"/>
        <v>CarsonF1</v>
      </c>
      <c r="V655" s="29" t="str">
        <f t="shared" si="113"/>
        <v>1993F1</v>
      </c>
      <c r="W655" s="80">
        <v>100</v>
      </c>
      <c r="X655" s="32">
        <v>2</v>
      </c>
      <c r="Y655" s="467">
        <v>0.1</v>
      </c>
      <c r="Z655" s="80"/>
      <c r="AA655" s="29" t="str">
        <f t="shared" si="114"/>
        <v>F1100</v>
      </c>
      <c r="AB655" s="29" t="str">
        <f t="shared" si="115"/>
        <v>F12</v>
      </c>
      <c r="AC655" s="29" t="str">
        <f t="shared" si="116"/>
        <v>F10.1</v>
      </c>
      <c r="AD655" s="29" t="str">
        <f t="shared" si="117"/>
        <v>F118</v>
      </c>
      <c r="AE655" s="443"/>
      <c r="AF655" s="443"/>
      <c r="AG655" s="443"/>
      <c r="AH655" s="443"/>
    </row>
    <row r="656" spans="1:34" ht="16.5">
      <c r="A656" s="728">
        <f t="shared" si="120"/>
        <v>649</v>
      </c>
      <c r="B656" s="563">
        <v>4</v>
      </c>
      <c r="C656" s="694">
        <v>34094</v>
      </c>
      <c r="D656" s="694" t="s">
        <v>148</v>
      </c>
      <c r="E656" s="695">
        <v>5</v>
      </c>
      <c r="F656" s="503">
        <v>1993</v>
      </c>
      <c r="G656" s="563" t="s">
        <v>104</v>
      </c>
      <c r="H656" s="503" t="s">
        <v>122</v>
      </c>
      <c r="I656" s="695">
        <v>100</v>
      </c>
      <c r="J656" s="695">
        <v>0.5</v>
      </c>
      <c r="K656" s="777">
        <f t="shared" si="119"/>
        <v>2.8409090909090908E-2</v>
      </c>
      <c r="L656" s="968">
        <v>0</v>
      </c>
      <c r="M656" s="503">
        <f t="shared" si="110"/>
        <v>17</v>
      </c>
      <c r="N656" s="504">
        <v>0.71875</v>
      </c>
      <c r="O656" s="719">
        <f t="shared" si="111"/>
        <v>0.71875</v>
      </c>
      <c r="P656" s="564"/>
      <c r="Q656" s="564">
        <f t="shared" si="118"/>
        <v>-0.71875</v>
      </c>
      <c r="R656" s="965" t="s">
        <v>1520</v>
      </c>
      <c r="S656" s="487" t="s">
        <v>324</v>
      </c>
      <c r="T656" s="29"/>
      <c r="U656" s="29" t="str">
        <f t="shared" si="112"/>
        <v>HansfordF0</v>
      </c>
      <c r="V656" s="29" t="str">
        <f t="shared" si="113"/>
        <v>1993F0</v>
      </c>
      <c r="W656" s="80">
        <v>100</v>
      </c>
      <c r="X656" s="32">
        <v>0.5</v>
      </c>
      <c r="Y656" s="467">
        <v>0.02</v>
      </c>
      <c r="Z656" s="80"/>
      <c r="AA656" s="29" t="str">
        <f t="shared" si="114"/>
        <v>F0100</v>
      </c>
      <c r="AB656" s="29" t="str">
        <f t="shared" si="115"/>
        <v>F00.5</v>
      </c>
      <c r="AC656" s="29" t="str">
        <f t="shared" si="116"/>
        <v>F00.02</v>
      </c>
      <c r="AD656" s="29" t="str">
        <f t="shared" si="117"/>
        <v>F017</v>
      </c>
      <c r="AE656" s="443"/>
      <c r="AF656" s="443"/>
      <c r="AG656" s="443"/>
      <c r="AH656" s="443"/>
    </row>
    <row r="657" spans="1:34" ht="25.5">
      <c r="A657" s="728">
        <f t="shared" si="120"/>
        <v>650</v>
      </c>
      <c r="B657" s="563">
        <v>5</v>
      </c>
      <c r="C657" s="694">
        <v>34094</v>
      </c>
      <c r="D657" s="694" t="s">
        <v>148</v>
      </c>
      <c r="E657" s="695">
        <v>5</v>
      </c>
      <c r="F657" s="503">
        <v>1993</v>
      </c>
      <c r="G657" s="563" t="s">
        <v>100</v>
      </c>
      <c r="H657" s="503" t="s">
        <v>125</v>
      </c>
      <c r="I657" s="695">
        <v>500</v>
      </c>
      <c r="J657" s="695">
        <v>4</v>
      </c>
      <c r="K657" s="777">
        <f t="shared" si="119"/>
        <v>1.1363636363636365</v>
      </c>
      <c r="L657" s="968">
        <v>1000000</v>
      </c>
      <c r="M657" s="503">
        <f t="shared" si="110"/>
        <v>17</v>
      </c>
      <c r="N657" s="504">
        <v>0.73472222222222217</v>
      </c>
      <c r="O657" s="719">
        <f t="shared" si="111"/>
        <v>0.73472222222222217</v>
      </c>
      <c r="P657" s="564"/>
      <c r="Q657" s="564">
        <f t="shared" si="118"/>
        <v>-0.73472222222222217</v>
      </c>
      <c r="R657" s="965" t="s">
        <v>1520</v>
      </c>
      <c r="S657" s="487" t="s">
        <v>440</v>
      </c>
      <c r="T657" s="29"/>
      <c r="U657" s="29" t="str">
        <f t="shared" si="112"/>
        <v>TexasF3</v>
      </c>
      <c r="V657" s="29" t="str">
        <f t="shared" si="113"/>
        <v>1993F3</v>
      </c>
      <c r="W657" s="80">
        <v>500</v>
      </c>
      <c r="X657" s="32">
        <v>2</v>
      </c>
      <c r="Y657" s="467">
        <v>1</v>
      </c>
      <c r="Z657" s="80"/>
      <c r="AA657" s="29" t="str">
        <f t="shared" si="114"/>
        <v>F3500</v>
      </c>
      <c r="AB657" s="29" t="str">
        <f t="shared" si="115"/>
        <v>F32</v>
      </c>
      <c r="AC657" s="29" t="str">
        <f t="shared" si="116"/>
        <v>F31</v>
      </c>
      <c r="AD657" s="29" t="str">
        <f t="shared" si="117"/>
        <v>F317</v>
      </c>
      <c r="AE657" s="443"/>
      <c r="AF657" s="443"/>
      <c r="AG657" s="443"/>
      <c r="AH657" s="443"/>
    </row>
    <row r="658" spans="1:34" ht="16.5">
      <c r="A658" s="728">
        <f t="shared" si="120"/>
        <v>651</v>
      </c>
      <c r="B658" s="563">
        <v>6</v>
      </c>
      <c r="C658" s="694">
        <v>34094</v>
      </c>
      <c r="D658" s="694" t="s">
        <v>148</v>
      </c>
      <c r="E658" s="695">
        <v>5</v>
      </c>
      <c r="F658" s="503">
        <v>1993</v>
      </c>
      <c r="G658" s="563" t="s">
        <v>100</v>
      </c>
      <c r="H658" s="503" t="s">
        <v>122</v>
      </c>
      <c r="I658" s="695">
        <v>150</v>
      </c>
      <c r="J658" s="695">
        <v>1</v>
      </c>
      <c r="K658" s="777">
        <f t="shared" si="119"/>
        <v>8.5227272727272721E-2</v>
      </c>
      <c r="L658" s="968">
        <v>0</v>
      </c>
      <c r="M658" s="503">
        <f t="shared" si="110"/>
        <v>17</v>
      </c>
      <c r="N658" s="504">
        <v>0.74652777777777779</v>
      </c>
      <c r="O658" s="719">
        <f t="shared" si="111"/>
        <v>0.74652777777777779</v>
      </c>
      <c r="P658" s="564"/>
      <c r="Q658" s="564">
        <f t="shared" si="118"/>
        <v>-0.74652777777777779</v>
      </c>
      <c r="R658" s="965" t="s">
        <v>1520</v>
      </c>
      <c r="S658" s="487" t="s">
        <v>212</v>
      </c>
      <c r="T658" s="29"/>
      <c r="U658" s="29" t="str">
        <f t="shared" si="112"/>
        <v>TexasF0</v>
      </c>
      <c r="V658" s="29" t="str">
        <f t="shared" si="113"/>
        <v>1993F0</v>
      </c>
      <c r="W658" s="80">
        <v>100</v>
      </c>
      <c r="X658" s="32">
        <v>1</v>
      </c>
      <c r="Y658" s="467">
        <v>0.05</v>
      </c>
      <c r="Z658" s="80"/>
      <c r="AA658" s="29" t="str">
        <f t="shared" si="114"/>
        <v>F0100</v>
      </c>
      <c r="AB658" s="29" t="str">
        <f t="shared" si="115"/>
        <v>F01</v>
      </c>
      <c r="AC658" s="29" t="str">
        <f t="shared" si="116"/>
        <v>F00.05</v>
      </c>
      <c r="AD658" s="29" t="str">
        <f t="shared" si="117"/>
        <v>F017</v>
      </c>
      <c r="AE658" s="443"/>
      <c r="AF658" s="443"/>
      <c r="AG658" s="443"/>
      <c r="AH658" s="443"/>
    </row>
    <row r="659" spans="1:34" ht="16.5">
      <c r="A659" s="728">
        <f t="shared" si="120"/>
        <v>652</v>
      </c>
      <c r="B659" s="563">
        <v>7</v>
      </c>
      <c r="C659" s="694">
        <v>34094</v>
      </c>
      <c r="D659" s="694" t="s">
        <v>148</v>
      </c>
      <c r="E659" s="695">
        <v>5</v>
      </c>
      <c r="F659" s="503">
        <v>1993</v>
      </c>
      <c r="G659" s="563" t="s">
        <v>100</v>
      </c>
      <c r="H659" s="503" t="s">
        <v>123</v>
      </c>
      <c r="I659" s="695">
        <v>275</v>
      </c>
      <c r="J659" s="695">
        <v>2</v>
      </c>
      <c r="K659" s="777">
        <f t="shared" si="119"/>
        <v>0.3125</v>
      </c>
      <c r="L659" s="968">
        <v>0</v>
      </c>
      <c r="M659" s="503">
        <f t="shared" si="110"/>
        <v>18</v>
      </c>
      <c r="N659" s="504">
        <v>0.75694444444444453</v>
      </c>
      <c r="O659" s="719">
        <f t="shared" si="111"/>
        <v>0.75694444444444453</v>
      </c>
      <c r="P659" s="564"/>
      <c r="Q659" s="564">
        <f t="shared" si="118"/>
        <v>-0.75694444444444453</v>
      </c>
      <c r="R659" s="965" t="s">
        <v>1520</v>
      </c>
      <c r="S659" s="487" t="s">
        <v>213</v>
      </c>
      <c r="T659" s="29"/>
      <c r="U659" s="29" t="str">
        <f t="shared" si="112"/>
        <v>TexasF1</v>
      </c>
      <c r="V659" s="29" t="str">
        <f t="shared" si="113"/>
        <v>1993F1</v>
      </c>
      <c r="W659" s="80">
        <v>200</v>
      </c>
      <c r="X659" s="32">
        <v>2</v>
      </c>
      <c r="Y659" s="467">
        <v>0.2</v>
      </c>
      <c r="Z659" s="80"/>
      <c r="AA659" s="29" t="str">
        <f t="shared" si="114"/>
        <v>F1200</v>
      </c>
      <c r="AB659" s="29" t="str">
        <f t="shared" si="115"/>
        <v>F12</v>
      </c>
      <c r="AC659" s="29" t="str">
        <f t="shared" si="116"/>
        <v>F10.2</v>
      </c>
      <c r="AD659" s="29" t="str">
        <f t="shared" si="117"/>
        <v>F118</v>
      </c>
      <c r="AE659" s="443"/>
      <c r="AF659" s="443"/>
      <c r="AG659" s="443"/>
      <c r="AH659" s="443"/>
    </row>
    <row r="660" spans="1:34" ht="16.5">
      <c r="A660" s="728">
        <f t="shared" si="120"/>
        <v>653</v>
      </c>
      <c r="B660" s="563">
        <v>8</v>
      </c>
      <c r="C660" s="694">
        <v>34094</v>
      </c>
      <c r="D660" s="694" t="s">
        <v>148</v>
      </c>
      <c r="E660" s="695">
        <v>5</v>
      </c>
      <c r="F660" s="503">
        <v>1993</v>
      </c>
      <c r="G660" s="563" t="s">
        <v>100</v>
      </c>
      <c r="H660" s="503" t="s">
        <v>122</v>
      </c>
      <c r="I660" s="695">
        <v>100</v>
      </c>
      <c r="J660" s="695">
        <v>0.5</v>
      </c>
      <c r="K660" s="777">
        <f t="shared" si="119"/>
        <v>2.8409090909090908E-2</v>
      </c>
      <c r="L660" s="968">
        <v>0</v>
      </c>
      <c r="M660" s="503">
        <f t="shared" si="110"/>
        <v>18</v>
      </c>
      <c r="N660" s="504">
        <v>0.78263888888888899</v>
      </c>
      <c r="O660" s="719">
        <f t="shared" si="111"/>
        <v>0.78263888888888899</v>
      </c>
      <c r="P660" s="564"/>
      <c r="Q660" s="564">
        <f t="shared" si="118"/>
        <v>-0.78263888888888899</v>
      </c>
      <c r="R660" s="965" t="s">
        <v>1520</v>
      </c>
      <c r="S660" s="487" t="s">
        <v>214</v>
      </c>
      <c r="T660" s="29"/>
      <c r="U660" s="29" t="str">
        <f t="shared" si="112"/>
        <v>TexasF0</v>
      </c>
      <c r="V660" s="29" t="str">
        <f t="shared" si="113"/>
        <v>1993F0</v>
      </c>
      <c r="W660" s="80">
        <v>100</v>
      </c>
      <c r="X660" s="32">
        <v>0.5</v>
      </c>
      <c r="Y660" s="467">
        <v>0.02</v>
      </c>
      <c r="Z660" s="80"/>
      <c r="AA660" s="29" t="str">
        <f t="shared" si="114"/>
        <v>F0100</v>
      </c>
      <c r="AB660" s="29" t="str">
        <f t="shared" si="115"/>
        <v>F00.5</v>
      </c>
      <c r="AC660" s="29" t="str">
        <f t="shared" si="116"/>
        <v>F00.02</v>
      </c>
      <c r="AD660" s="29" t="str">
        <f t="shared" si="117"/>
        <v>F018</v>
      </c>
      <c r="AE660" s="443"/>
      <c r="AF660" s="443"/>
      <c r="AG660" s="443"/>
      <c r="AH660" s="443"/>
    </row>
    <row r="661" spans="1:34" ht="16.5">
      <c r="A661" s="728">
        <f t="shared" si="120"/>
        <v>654</v>
      </c>
      <c r="B661" s="563">
        <v>9</v>
      </c>
      <c r="C661" s="694">
        <v>34094</v>
      </c>
      <c r="D661" s="694" t="s">
        <v>148</v>
      </c>
      <c r="E661" s="695">
        <v>5</v>
      </c>
      <c r="F661" s="503">
        <v>1993</v>
      </c>
      <c r="G661" s="563" t="s">
        <v>100</v>
      </c>
      <c r="H661" s="503" t="s">
        <v>122</v>
      </c>
      <c r="I661" s="695">
        <v>150</v>
      </c>
      <c r="J661" s="695">
        <v>2</v>
      </c>
      <c r="K661" s="777">
        <f t="shared" si="119"/>
        <v>0.17045454545454544</v>
      </c>
      <c r="L661" s="968">
        <v>0</v>
      </c>
      <c r="M661" s="503">
        <f t="shared" si="110"/>
        <v>18</v>
      </c>
      <c r="N661" s="504">
        <v>0.78472222222222221</v>
      </c>
      <c r="O661" s="719">
        <f t="shared" si="111"/>
        <v>0.78472222222222221</v>
      </c>
      <c r="P661" s="564"/>
      <c r="Q661" s="564">
        <f t="shared" si="118"/>
        <v>-0.78472222222222221</v>
      </c>
      <c r="R661" s="965" t="s">
        <v>1520</v>
      </c>
      <c r="S661" s="487" t="s">
        <v>215</v>
      </c>
      <c r="T661" s="29"/>
      <c r="U661" s="29" t="str">
        <f t="shared" si="112"/>
        <v>TexasF0</v>
      </c>
      <c r="V661" s="29" t="str">
        <f t="shared" si="113"/>
        <v>1993F0</v>
      </c>
      <c r="W661" s="80">
        <v>100</v>
      </c>
      <c r="X661" s="32">
        <v>2</v>
      </c>
      <c r="Y661" s="467">
        <v>0.1</v>
      </c>
      <c r="Z661" s="80"/>
      <c r="AA661" s="29" t="str">
        <f t="shared" si="114"/>
        <v>F0100</v>
      </c>
      <c r="AB661" s="29" t="str">
        <f t="shared" si="115"/>
        <v>F02</v>
      </c>
      <c r="AC661" s="29" t="str">
        <f t="shared" si="116"/>
        <v>F00.1</v>
      </c>
      <c r="AD661" s="29" t="str">
        <f t="shared" si="117"/>
        <v>F018</v>
      </c>
      <c r="AE661" s="443"/>
      <c r="AF661" s="443"/>
      <c r="AG661" s="443"/>
      <c r="AH661" s="443"/>
    </row>
    <row r="662" spans="1:34" ht="25.5">
      <c r="A662" s="728">
        <f t="shared" si="120"/>
        <v>655</v>
      </c>
      <c r="B662" s="563">
        <v>10</v>
      </c>
      <c r="C662" s="694">
        <v>34094</v>
      </c>
      <c r="D662" s="694" t="s">
        <v>148</v>
      </c>
      <c r="E662" s="695">
        <v>5</v>
      </c>
      <c r="F662" s="503">
        <v>1993</v>
      </c>
      <c r="G662" s="563" t="s">
        <v>100</v>
      </c>
      <c r="H662" s="503" t="s">
        <v>125</v>
      </c>
      <c r="I662" s="695">
        <v>1200</v>
      </c>
      <c r="J662" s="695">
        <v>11</v>
      </c>
      <c r="K662" s="777">
        <f t="shared" si="119"/>
        <v>7.4999999999999991</v>
      </c>
      <c r="L662" s="968">
        <v>100000</v>
      </c>
      <c r="M662" s="503">
        <f t="shared" si="110"/>
        <v>18</v>
      </c>
      <c r="N662" s="504">
        <v>0.78749999999999998</v>
      </c>
      <c r="O662" s="719">
        <f t="shared" si="111"/>
        <v>0.78749999999999998</v>
      </c>
      <c r="P662" s="564"/>
      <c r="Q662" s="564">
        <f t="shared" si="118"/>
        <v>-0.78749999999999998</v>
      </c>
      <c r="R662" s="965" t="s">
        <v>1520</v>
      </c>
      <c r="S662" s="487" t="s">
        <v>66</v>
      </c>
      <c r="T662" s="29"/>
      <c r="U662" s="29" t="str">
        <f t="shared" si="112"/>
        <v>TexasF3</v>
      </c>
      <c r="V662" s="29" t="str">
        <f t="shared" si="113"/>
        <v>1993F3</v>
      </c>
      <c r="W662" s="80">
        <v>1000</v>
      </c>
      <c r="X662" s="32">
        <v>10</v>
      </c>
      <c r="Y662" s="467">
        <v>5</v>
      </c>
      <c r="Z662" s="80"/>
      <c r="AA662" s="29" t="str">
        <f t="shared" si="114"/>
        <v>F31000</v>
      </c>
      <c r="AB662" s="29" t="str">
        <f t="shared" si="115"/>
        <v>F310</v>
      </c>
      <c r="AC662" s="29" t="str">
        <f t="shared" si="116"/>
        <v>F35</v>
      </c>
      <c r="AD662" s="29" t="str">
        <f t="shared" si="117"/>
        <v>F318</v>
      </c>
      <c r="AE662" s="443"/>
      <c r="AF662" s="443"/>
      <c r="AG662" s="443"/>
      <c r="AH662" s="443"/>
    </row>
    <row r="663" spans="1:34" ht="16.5">
      <c r="A663" s="728">
        <f t="shared" si="120"/>
        <v>656</v>
      </c>
      <c r="B663" s="563">
        <v>11</v>
      </c>
      <c r="C663" s="694">
        <v>34096</v>
      </c>
      <c r="D663" s="694" t="s">
        <v>148</v>
      </c>
      <c r="E663" s="695">
        <v>7</v>
      </c>
      <c r="F663" s="503">
        <v>1993</v>
      </c>
      <c r="G663" s="563" t="s">
        <v>111</v>
      </c>
      <c r="H663" s="503" t="s">
        <v>122</v>
      </c>
      <c r="I663" s="695">
        <v>75</v>
      </c>
      <c r="J663" s="695">
        <v>0.5</v>
      </c>
      <c r="K663" s="777">
        <f t="shared" si="119"/>
        <v>2.130681818181818E-2</v>
      </c>
      <c r="L663" s="968">
        <v>0</v>
      </c>
      <c r="M663" s="503">
        <f t="shared" si="110"/>
        <v>16</v>
      </c>
      <c r="N663" s="504">
        <v>0.70486111111111116</v>
      </c>
      <c r="O663" s="719">
        <f t="shared" si="111"/>
        <v>0.70486111111111116</v>
      </c>
      <c r="P663" s="564"/>
      <c r="Q663" s="564">
        <f t="shared" si="118"/>
        <v>-0.70486111111111116</v>
      </c>
      <c r="R663" s="965" t="s">
        <v>1520</v>
      </c>
      <c r="S663" s="487" t="s">
        <v>343</v>
      </c>
      <c r="T663" s="29"/>
      <c r="U663" s="29" t="str">
        <f t="shared" si="112"/>
        <v>HemphillF0</v>
      </c>
      <c r="V663" s="29" t="str">
        <f t="shared" si="113"/>
        <v>1993F0</v>
      </c>
      <c r="W663" s="80">
        <v>50</v>
      </c>
      <c r="X663" s="32">
        <v>0.5</v>
      </c>
      <c r="Y663" s="467">
        <v>0.02</v>
      </c>
      <c r="Z663" s="80"/>
      <c r="AA663" s="29" t="str">
        <f t="shared" si="114"/>
        <v>F050</v>
      </c>
      <c r="AB663" s="29" t="str">
        <f t="shared" si="115"/>
        <v>F00.5</v>
      </c>
      <c r="AC663" s="29" t="str">
        <f t="shared" si="116"/>
        <v>F00.02</v>
      </c>
      <c r="AD663" s="29" t="str">
        <f t="shared" si="117"/>
        <v>F016</v>
      </c>
      <c r="AE663" s="443"/>
      <c r="AF663" s="443"/>
      <c r="AG663" s="443"/>
      <c r="AH663" s="443"/>
    </row>
    <row r="664" spans="1:34" ht="16.5">
      <c r="A664" s="728">
        <f t="shared" si="120"/>
        <v>657</v>
      </c>
      <c r="B664" s="563">
        <v>12</v>
      </c>
      <c r="C664" s="694">
        <v>34096</v>
      </c>
      <c r="D664" s="694" t="s">
        <v>148</v>
      </c>
      <c r="E664" s="695">
        <v>7</v>
      </c>
      <c r="F664" s="503">
        <v>1993</v>
      </c>
      <c r="G664" s="563" t="s">
        <v>121</v>
      </c>
      <c r="H664" s="503" t="s">
        <v>122</v>
      </c>
      <c r="I664" s="695">
        <v>100</v>
      </c>
      <c r="J664" s="695">
        <v>1</v>
      </c>
      <c r="K664" s="777">
        <f t="shared" si="119"/>
        <v>5.6818181818181816E-2</v>
      </c>
      <c r="L664" s="968">
        <v>0</v>
      </c>
      <c r="M664" s="503">
        <f t="shared" si="110"/>
        <v>17</v>
      </c>
      <c r="N664" s="504">
        <v>0.72986111111111107</v>
      </c>
      <c r="O664" s="719">
        <f t="shared" si="111"/>
        <v>0.72986111111111107</v>
      </c>
      <c r="P664" s="564"/>
      <c r="Q664" s="564">
        <f t="shared" si="118"/>
        <v>-0.72986111111111107</v>
      </c>
      <c r="R664" s="965" t="s">
        <v>1520</v>
      </c>
      <c r="S664" s="487" t="s">
        <v>275</v>
      </c>
      <c r="T664" s="29"/>
      <c r="U664" s="29" t="str">
        <f t="shared" si="112"/>
        <v>CollingsworthF0</v>
      </c>
      <c r="V664" s="29" t="str">
        <f t="shared" si="113"/>
        <v>1993F0</v>
      </c>
      <c r="W664" s="80">
        <v>100</v>
      </c>
      <c r="X664" s="32">
        <v>1</v>
      </c>
      <c r="Y664" s="467">
        <v>0.05</v>
      </c>
      <c r="Z664" s="80"/>
      <c r="AA664" s="29" t="str">
        <f t="shared" si="114"/>
        <v>F0100</v>
      </c>
      <c r="AB664" s="29" t="str">
        <f t="shared" si="115"/>
        <v>F01</v>
      </c>
      <c r="AC664" s="29" t="str">
        <f t="shared" si="116"/>
        <v>F00.05</v>
      </c>
      <c r="AD664" s="29" t="str">
        <f t="shared" si="117"/>
        <v>F017</v>
      </c>
      <c r="AE664" s="443"/>
      <c r="AF664" s="443"/>
      <c r="AG664" s="443"/>
      <c r="AH664" s="443"/>
    </row>
    <row r="665" spans="1:34" ht="16.5">
      <c r="A665" s="728">
        <f t="shared" si="120"/>
        <v>658</v>
      </c>
      <c r="B665" s="563">
        <v>13</v>
      </c>
      <c r="C665" s="694">
        <v>34096</v>
      </c>
      <c r="D665" s="694" t="s">
        <v>148</v>
      </c>
      <c r="E665" s="695">
        <v>7</v>
      </c>
      <c r="F665" s="503">
        <v>1993</v>
      </c>
      <c r="G665" s="563" t="s">
        <v>121</v>
      </c>
      <c r="H665" s="503" t="s">
        <v>122</v>
      </c>
      <c r="I665" s="695">
        <v>100</v>
      </c>
      <c r="J665" s="695">
        <v>1</v>
      </c>
      <c r="K665" s="777">
        <f t="shared" si="119"/>
        <v>5.6818181818181816E-2</v>
      </c>
      <c r="L665" s="968">
        <v>0</v>
      </c>
      <c r="M665" s="503">
        <f t="shared" si="110"/>
        <v>17</v>
      </c>
      <c r="N665" s="504">
        <v>0.73958333333333337</v>
      </c>
      <c r="O665" s="719">
        <f t="shared" si="111"/>
        <v>0.73958333333333337</v>
      </c>
      <c r="P665" s="564"/>
      <c r="Q665" s="564">
        <f t="shared" si="118"/>
        <v>-0.73958333333333337</v>
      </c>
      <c r="R665" s="965" t="s">
        <v>1520</v>
      </c>
      <c r="S665" s="487" t="s">
        <v>276</v>
      </c>
      <c r="T665" s="29"/>
      <c r="U665" s="29" t="str">
        <f t="shared" si="112"/>
        <v>CollingsworthF0</v>
      </c>
      <c r="V665" s="29" t="str">
        <f t="shared" si="113"/>
        <v>1993F0</v>
      </c>
      <c r="W665" s="80">
        <v>100</v>
      </c>
      <c r="X665" s="32">
        <v>1</v>
      </c>
      <c r="Y665" s="467">
        <v>0.05</v>
      </c>
      <c r="Z665" s="80"/>
      <c r="AA665" s="29" t="str">
        <f t="shared" si="114"/>
        <v>F0100</v>
      </c>
      <c r="AB665" s="29" t="str">
        <f t="shared" si="115"/>
        <v>F01</v>
      </c>
      <c r="AC665" s="29" t="str">
        <f t="shared" si="116"/>
        <v>F00.05</v>
      </c>
      <c r="AD665" s="29" t="str">
        <f t="shared" si="117"/>
        <v>F017</v>
      </c>
      <c r="AE665" s="443"/>
      <c r="AF665" s="443"/>
      <c r="AG665" s="443"/>
      <c r="AH665" s="443"/>
    </row>
    <row r="666" spans="1:34" ht="16.5">
      <c r="A666" s="728">
        <f t="shared" si="120"/>
        <v>659</v>
      </c>
      <c r="B666" s="563">
        <v>14</v>
      </c>
      <c r="C666" s="694">
        <v>34106</v>
      </c>
      <c r="D666" s="694" t="s">
        <v>148</v>
      </c>
      <c r="E666" s="695">
        <v>17</v>
      </c>
      <c r="F666" s="503">
        <v>1993</v>
      </c>
      <c r="G666" s="563" t="s">
        <v>116</v>
      </c>
      <c r="H666" s="503" t="s">
        <v>123</v>
      </c>
      <c r="I666" s="695">
        <v>150</v>
      </c>
      <c r="J666" s="695">
        <v>2.5</v>
      </c>
      <c r="K666" s="777">
        <f t="shared" si="119"/>
        <v>0.2130681818181818</v>
      </c>
      <c r="L666" s="968">
        <v>5000</v>
      </c>
      <c r="M666" s="503">
        <f t="shared" si="110"/>
        <v>18</v>
      </c>
      <c r="N666" s="504">
        <v>0.77361111111111114</v>
      </c>
      <c r="O666" s="719">
        <f t="shared" si="111"/>
        <v>0.77361111111111114</v>
      </c>
      <c r="P666" s="564"/>
      <c r="Q666" s="564">
        <f t="shared" si="118"/>
        <v>-0.77361111111111114</v>
      </c>
      <c r="R666" s="965" t="s">
        <v>1520</v>
      </c>
      <c r="S666" s="487" t="s">
        <v>415</v>
      </c>
      <c r="T666" s="29"/>
      <c r="U666" s="29" t="str">
        <f t="shared" si="112"/>
        <v>WheelerF1</v>
      </c>
      <c r="V666" s="29" t="str">
        <f t="shared" si="113"/>
        <v>1993F1</v>
      </c>
      <c r="W666" s="80">
        <v>100</v>
      </c>
      <c r="X666" s="32">
        <v>2</v>
      </c>
      <c r="Y666" s="467">
        <v>0.2</v>
      </c>
      <c r="Z666" s="80"/>
      <c r="AA666" s="29" t="str">
        <f t="shared" si="114"/>
        <v>F1100</v>
      </c>
      <c r="AB666" s="29" t="str">
        <f t="shared" si="115"/>
        <v>F12</v>
      </c>
      <c r="AC666" s="29" t="str">
        <f t="shared" si="116"/>
        <v>F10.2</v>
      </c>
      <c r="AD666" s="29" t="str">
        <f t="shared" si="117"/>
        <v>F118</v>
      </c>
      <c r="AE666" s="443"/>
      <c r="AF666" s="443"/>
      <c r="AG666" s="443"/>
      <c r="AH666" s="443"/>
    </row>
    <row r="667" spans="1:34" ht="30" customHeight="1">
      <c r="A667" s="728">
        <f t="shared" si="120"/>
        <v>660</v>
      </c>
      <c r="B667" s="563">
        <v>15</v>
      </c>
      <c r="C667" s="694">
        <v>34122</v>
      </c>
      <c r="D667" s="694" t="s">
        <v>149</v>
      </c>
      <c r="E667" s="695">
        <v>2</v>
      </c>
      <c r="F667" s="503">
        <v>1993</v>
      </c>
      <c r="G667" s="563" t="s">
        <v>101</v>
      </c>
      <c r="H667" s="503" t="s">
        <v>122</v>
      </c>
      <c r="I667" s="695">
        <v>50</v>
      </c>
      <c r="J667" s="695">
        <v>0.5</v>
      </c>
      <c r="K667" s="777">
        <f t="shared" si="119"/>
        <v>1.4204545454545454E-2</v>
      </c>
      <c r="L667" s="968">
        <v>0</v>
      </c>
      <c r="M667" s="503">
        <f t="shared" si="110"/>
        <v>21</v>
      </c>
      <c r="N667" s="504">
        <v>0.89583333333333337</v>
      </c>
      <c r="O667" s="719">
        <f t="shared" si="111"/>
        <v>0.89583333333333337</v>
      </c>
      <c r="P667" s="564"/>
      <c r="Q667" s="564">
        <f t="shared" si="118"/>
        <v>-0.89583333333333337</v>
      </c>
      <c r="R667" s="965" t="s">
        <v>1520</v>
      </c>
      <c r="S667" s="79" t="s">
        <v>469</v>
      </c>
      <c r="T667" s="29"/>
      <c r="U667" s="29" t="str">
        <f t="shared" si="112"/>
        <v>BeaverF0</v>
      </c>
      <c r="V667" s="29" t="str">
        <f t="shared" si="113"/>
        <v>1993F0</v>
      </c>
      <c r="W667" s="80">
        <v>50</v>
      </c>
      <c r="X667" s="32">
        <v>0.5</v>
      </c>
      <c r="Y667" s="467">
        <v>0.01</v>
      </c>
      <c r="Z667" s="80"/>
      <c r="AA667" s="29" t="str">
        <f t="shared" si="114"/>
        <v>F050</v>
      </c>
      <c r="AB667" s="29" t="str">
        <f t="shared" si="115"/>
        <v>F00.5</v>
      </c>
      <c r="AC667" s="29" t="str">
        <f t="shared" si="116"/>
        <v>F00.01</v>
      </c>
      <c r="AD667" s="29" t="str">
        <f t="shared" si="117"/>
        <v>F021</v>
      </c>
      <c r="AE667" s="443"/>
      <c r="AF667" s="443"/>
      <c r="AG667" s="443"/>
      <c r="AH667" s="443"/>
    </row>
    <row r="668" spans="1:34" ht="30" customHeight="1">
      <c r="A668" s="728">
        <f t="shared" si="120"/>
        <v>661</v>
      </c>
      <c r="B668" s="563">
        <v>16</v>
      </c>
      <c r="C668" s="694">
        <v>34157</v>
      </c>
      <c r="D668" s="694" t="s">
        <v>150</v>
      </c>
      <c r="E668" s="695">
        <v>7</v>
      </c>
      <c r="F668" s="503">
        <v>1993</v>
      </c>
      <c r="G668" s="563" t="s">
        <v>114</v>
      </c>
      <c r="H668" s="503" t="s">
        <v>122</v>
      </c>
      <c r="I668" s="695">
        <v>50</v>
      </c>
      <c r="J668" s="695">
        <v>0.5</v>
      </c>
      <c r="K668" s="777">
        <f t="shared" si="119"/>
        <v>1.4204545454545454E-2</v>
      </c>
      <c r="L668" s="968">
        <v>0</v>
      </c>
      <c r="M668" s="503">
        <f t="shared" si="110"/>
        <v>19</v>
      </c>
      <c r="N668" s="504">
        <v>0.79166666666666663</v>
      </c>
      <c r="O668" s="719">
        <f t="shared" si="111"/>
        <v>0.79166666666666663</v>
      </c>
      <c r="P668" s="564"/>
      <c r="Q668" s="564">
        <f t="shared" si="118"/>
        <v>-0.79166666666666663</v>
      </c>
      <c r="R668" s="965" t="s">
        <v>1520</v>
      </c>
      <c r="S668" s="79" t="s">
        <v>470</v>
      </c>
      <c r="T668" s="29"/>
      <c r="U668" s="29" t="str">
        <f t="shared" si="112"/>
        <v>CarsonF0</v>
      </c>
      <c r="V668" s="29" t="str">
        <f t="shared" si="113"/>
        <v>1993F0</v>
      </c>
      <c r="W668" s="80">
        <v>50</v>
      </c>
      <c r="X668" s="32">
        <v>0.5</v>
      </c>
      <c r="Y668" s="467">
        <v>0.01</v>
      </c>
      <c r="Z668" s="80"/>
      <c r="AA668" s="29" t="str">
        <f t="shared" si="114"/>
        <v>F050</v>
      </c>
      <c r="AB668" s="29" t="str">
        <f t="shared" si="115"/>
        <v>F00.5</v>
      </c>
      <c r="AC668" s="29" t="str">
        <f t="shared" si="116"/>
        <v>F00.01</v>
      </c>
      <c r="AD668" s="29" t="str">
        <f t="shared" si="117"/>
        <v>F019</v>
      </c>
      <c r="AE668" s="443"/>
      <c r="AF668" s="443"/>
      <c r="AG668" s="443"/>
      <c r="AH668" s="443"/>
    </row>
    <row r="669" spans="1:34" ht="30" customHeight="1">
      <c r="A669" s="728">
        <f t="shared" si="120"/>
        <v>662</v>
      </c>
      <c r="B669" s="563">
        <v>17</v>
      </c>
      <c r="C669" s="694">
        <v>34230</v>
      </c>
      <c r="D669" s="694" t="s">
        <v>152</v>
      </c>
      <c r="E669" s="695">
        <v>18</v>
      </c>
      <c r="F669" s="503">
        <v>1993</v>
      </c>
      <c r="G669" s="563" t="s">
        <v>101</v>
      </c>
      <c r="H669" s="503" t="s">
        <v>122</v>
      </c>
      <c r="I669" s="695">
        <v>100</v>
      </c>
      <c r="J669" s="695">
        <v>0.5</v>
      </c>
      <c r="K669" s="777">
        <f t="shared" si="119"/>
        <v>2.8409090909090908E-2</v>
      </c>
      <c r="L669" s="968">
        <v>50000</v>
      </c>
      <c r="M669" s="503">
        <f t="shared" si="110"/>
        <v>18</v>
      </c>
      <c r="N669" s="504">
        <v>0.7597222222222223</v>
      </c>
      <c r="O669" s="719">
        <f t="shared" si="111"/>
        <v>0.7597222222222223</v>
      </c>
      <c r="P669" s="564">
        <v>0.76249999999999996</v>
      </c>
      <c r="Q669" s="564">
        <f t="shared" si="118"/>
        <v>2.7777777777776569E-3</v>
      </c>
      <c r="R669" s="965" t="s">
        <v>1520</v>
      </c>
      <c r="S669" s="79" t="s">
        <v>462</v>
      </c>
      <c r="T669" s="29"/>
      <c r="U669" s="29" t="str">
        <f t="shared" si="112"/>
        <v>BeaverF0</v>
      </c>
      <c r="V669" s="29" t="str">
        <f t="shared" si="113"/>
        <v>1993F0</v>
      </c>
      <c r="W669" s="80">
        <v>100</v>
      </c>
      <c r="X669" s="32">
        <v>0.5</v>
      </c>
      <c r="Y669" s="467">
        <v>0.02</v>
      </c>
      <c r="Z669" s="80"/>
      <c r="AA669" s="29" t="str">
        <f t="shared" si="114"/>
        <v>F0100</v>
      </c>
      <c r="AB669" s="29" t="str">
        <f t="shared" si="115"/>
        <v>F00.5</v>
      </c>
      <c r="AC669" s="29" t="str">
        <f t="shared" si="116"/>
        <v>F00.02</v>
      </c>
      <c r="AD669" s="29" t="str">
        <f t="shared" si="117"/>
        <v>F018</v>
      </c>
      <c r="AE669" s="443"/>
      <c r="AF669" s="443"/>
      <c r="AG669" s="443"/>
      <c r="AH669" s="443"/>
    </row>
    <row r="670" spans="1:34" ht="16.5">
      <c r="A670" s="728">
        <f t="shared" si="120"/>
        <v>663</v>
      </c>
      <c r="B670" s="563">
        <v>18</v>
      </c>
      <c r="C670" s="694">
        <v>34254</v>
      </c>
      <c r="D670" s="694" t="s">
        <v>153</v>
      </c>
      <c r="E670" s="695">
        <v>12</v>
      </c>
      <c r="F670" s="503">
        <v>1993</v>
      </c>
      <c r="G670" s="563" t="s">
        <v>115</v>
      </c>
      <c r="H670" s="503" t="s">
        <v>123</v>
      </c>
      <c r="I670" s="695">
        <v>75</v>
      </c>
      <c r="J670" s="695">
        <v>2</v>
      </c>
      <c r="K670" s="777">
        <f t="shared" si="119"/>
        <v>8.5227272727272721E-2</v>
      </c>
      <c r="L670" s="968">
        <v>500000</v>
      </c>
      <c r="M670" s="503">
        <f t="shared" ref="M670:M733" si="121">HOUR(O670)</f>
        <v>17</v>
      </c>
      <c r="N670" s="504">
        <v>0.73958333333333337</v>
      </c>
      <c r="O670" s="719">
        <f t="shared" si="111"/>
        <v>0.73958333333333337</v>
      </c>
      <c r="P670" s="564"/>
      <c r="Q670" s="564">
        <f t="shared" si="118"/>
        <v>-0.73958333333333337</v>
      </c>
      <c r="R670" s="965" t="s">
        <v>1520</v>
      </c>
      <c r="S670" s="487" t="s">
        <v>310</v>
      </c>
      <c r="T670" s="29"/>
      <c r="U670" s="29" t="str">
        <f t="shared" si="112"/>
        <v>GrayF1</v>
      </c>
      <c r="V670" s="29" t="str">
        <f t="shared" si="113"/>
        <v>1993F1</v>
      </c>
      <c r="W670" s="80">
        <v>50</v>
      </c>
      <c r="X670" s="32">
        <v>2</v>
      </c>
      <c r="Y670" s="467">
        <v>0.05</v>
      </c>
      <c r="Z670" s="80"/>
      <c r="AA670" s="29" t="str">
        <f t="shared" si="114"/>
        <v>F150</v>
      </c>
      <c r="AB670" s="29" t="str">
        <f t="shared" si="115"/>
        <v>F12</v>
      </c>
      <c r="AC670" s="29" t="str">
        <f t="shared" si="116"/>
        <v>F10.05</v>
      </c>
      <c r="AD670" s="29" t="str">
        <f t="shared" si="117"/>
        <v>F117</v>
      </c>
      <c r="AE670" s="443"/>
      <c r="AF670" s="443"/>
      <c r="AG670" s="443"/>
      <c r="AH670" s="443"/>
    </row>
    <row r="671" spans="1:34" ht="16.5">
      <c r="A671" s="728">
        <f t="shared" si="120"/>
        <v>664</v>
      </c>
      <c r="B671" s="563">
        <v>1</v>
      </c>
      <c r="C671" s="694">
        <v>34463</v>
      </c>
      <c r="D671" s="694" t="s">
        <v>148</v>
      </c>
      <c r="E671" s="695">
        <v>9</v>
      </c>
      <c r="F671" s="503">
        <v>1994</v>
      </c>
      <c r="G671" s="563" t="s">
        <v>102</v>
      </c>
      <c r="H671" s="503" t="s">
        <v>123</v>
      </c>
      <c r="I671" s="695">
        <v>100</v>
      </c>
      <c r="J671" s="695">
        <v>2</v>
      </c>
      <c r="K671" s="777">
        <f t="shared" si="119"/>
        <v>0.11363636363636363</v>
      </c>
      <c r="L671" s="968">
        <v>0</v>
      </c>
      <c r="M671" s="503">
        <f t="shared" si="121"/>
        <v>16</v>
      </c>
      <c r="N671" s="504">
        <v>0.69444444444444453</v>
      </c>
      <c r="O671" s="719">
        <f t="shared" si="111"/>
        <v>0.69444444444444453</v>
      </c>
      <c r="P671" s="564"/>
      <c r="Q671" s="564">
        <f t="shared" si="118"/>
        <v>-0.69444444444444453</v>
      </c>
      <c r="R671" s="965" t="s">
        <v>1520</v>
      </c>
      <c r="S671" s="487" t="s">
        <v>281</v>
      </c>
      <c r="T671" s="29"/>
      <c r="U671" s="29" t="str">
        <f t="shared" si="112"/>
        <v>DallamF1</v>
      </c>
      <c r="V671" s="29" t="str">
        <f t="shared" si="113"/>
        <v>1994F1</v>
      </c>
      <c r="W671" s="80">
        <v>100</v>
      </c>
      <c r="X671" s="32">
        <v>2</v>
      </c>
      <c r="Y671" s="467">
        <v>0.1</v>
      </c>
      <c r="Z671" s="80"/>
      <c r="AA671" s="29" t="str">
        <f t="shared" si="114"/>
        <v>F1100</v>
      </c>
      <c r="AB671" s="29" t="str">
        <f t="shared" si="115"/>
        <v>F12</v>
      </c>
      <c r="AC671" s="29" t="str">
        <f t="shared" si="116"/>
        <v>F10.1</v>
      </c>
      <c r="AD671" s="29" t="str">
        <f t="shared" si="117"/>
        <v>F116</v>
      </c>
      <c r="AE671" s="443"/>
      <c r="AF671" s="443"/>
      <c r="AG671" s="443"/>
      <c r="AH671" s="443"/>
    </row>
    <row r="672" spans="1:34" ht="16.5">
      <c r="A672" s="728">
        <f t="shared" si="120"/>
        <v>665</v>
      </c>
      <c r="B672" s="563">
        <v>2</v>
      </c>
      <c r="C672" s="694">
        <v>34463</v>
      </c>
      <c r="D672" s="694" t="s">
        <v>148</v>
      </c>
      <c r="E672" s="695">
        <v>9</v>
      </c>
      <c r="F672" s="503">
        <v>1994</v>
      </c>
      <c r="G672" s="563" t="s">
        <v>102</v>
      </c>
      <c r="H672" s="503" t="s">
        <v>122</v>
      </c>
      <c r="I672" s="695">
        <v>25</v>
      </c>
      <c r="J672" s="695">
        <v>1</v>
      </c>
      <c r="K672" s="777">
        <f t="shared" si="119"/>
        <v>1.4204545454545454E-2</v>
      </c>
      <c r="L672" s="968">
        <v>0</v>
      </c>
      <c r="M672" s="503">
        <f t="shared" si="121"/>
        <v>17</v>
      </c>
      <c r="N672" s="504">
        <v>0.71527777777777779</v>
      </c>
      <c r="O672" s="719">
        <f t="shared" si="111"/>
        <v>0.71527777777777779</v>
      </c>
      <c r="P672" s="564"/>
      <c r="Q672" s="564">
        <f t="shared" si="118"/>
        <v>-0.71527777777777779</v>
      </c>
      <c r="R672" s="965" t="s">
        <v>1520</v>
      </c>
      <c r="S672" s="487" t="s">
        <v>282</v>
      </c>
      <c r="T672" s="29"/>
      <c r="U672" s="29" t="str">
        <f t="shared" si="112"/>
        <v>DallamF0</v>
      </c>
      <c r="V672" s="29" t="str">
        <f t="shared" si="113"/>
        <v>1994F0</v>
      </c>
      <c r="W672" s="80">
        <v>20</v>
      </c>
      <c r="X672" s="32">
        <v>1</v>
      </c>
      <c r="Y672" s="467">
        <v>0.01</v>
      </c>
      <c r="Z672" s="80"/>
      <c r="AA672" s="29" t="str">
        <f t="shared" si="114"/>
        <v>F020</v>
      </c>
      <c r="AB672" s="29" t="str">
        <f t="shared" si="115"/>
        <v>F01</v>
      </c>
      <c r="AC672" s="29" t="str">
        <f t="shared" si="116"/>
        <v>F00.01</v>
      </c>
      <c r="AD672" s="29" t="str">
        <f t="shared" si="117"/>
        <v>F017</v>
      </c>
      <c r="AE672" s="443"/>
      <c r="AF672" s="443"/>
      <c r="AG672" s="443"/>
      <c r="AH672" s="443"/>
    </row>
    <row r="673" spans="1:34" ht="16.5">
      <c r="A673" s="728">
        <f t="shared" si="120"/>
        <v>666</v>
      </c>
      <c r="B673" s="563">
        <v>3</v>
      </c>
      <c r="C673" s="694">
        <v>34482</v>
      </c>
      <c r="D673" s="694" t="s">
        <v>148</v>
      </c>
      <c r="E673" s="695">
        <v>28</v>
      </c>
      <c r="F673" s="503">
        <v>1994</v>
      </c>
      <c r="G673" s="563" t="s">
        <v>110</v>
      </c>
      <c r="H673" s="503" t="s">
        <v>123</v>
      </c>
      <c r="I673" s="695">
        <v>350</v>
      </c>
      <c r="J673" s="695">
        <v>4</v>
      </c>
      <c r="K673" s="777">
        <f t="shared" si="119"/>
        <v>0.79545454545454541</v>
      </c>
      <c r="L673" s="968">
        <v>0</v>
      </c>
      <c r="M673" s="503">
        <f t="shared" si="121"/>
        <v>19</v>
      </c>
      <c r="N673" s="504">
        <v>0.7944444444444444</v>
      </c>
      <c r="O673" s="719">
        <f t="shared" si="111"/>
        <v>0.7944444444444444</v>
      </c>
      <c r="P673" s="564">
        <v>0.80694444444444446</v>
      </c>
      <c r="Q673" s="564">
        <f t="shared" si="118"/>
        <v>1.2500000000000067E-2</v>
      </c>
      <c r="R673" s="965" t="s">
        <v>1520</v>
      </c>
      <c r="S673" s="487" t="s">
        <v>401</v>
      </c>
      <c r="T673" s="29"/>
      <c r="U673" s="29" t="str">
        <f t="shared" si="112"/>
        <v>RobertsF1</v>
      </c>
      <c r="V673" s="29" t="str">
        <f t="shared" si="113"/>
        <v>1994F1</v>
      </c>
      <c r="W673" s="80">
        <v>200</v>
      </c>
      <c r="X673" s="32">
        <v>2</v>
      </c>
      <c r="Y673" s="467">
        <v>0.5</v>
      </c>
      <c r="Z673" s="80"/>
      <c r="AA673" s="29" t="str">
        <f t="shared" si="114"/>
        <v>F1200</v>
      </c>
      <c r="AB673" s="29" t="str">
        <f t="shared" si="115"/>
        <v>F12</v>
      </c>
      <c r="AC673" s="29" t="str">
        <f t="shared" si="116"/>
        <v>F10.5</v>
      </c>
      <c r="AD673" s="29" t="str">
        <f t="shared" si="117"/>
        <v>F119</v>
      </c>
      <c r="AE673" s="443"/>
      <c r="AF673" s="443"/>
      <c r="AG673" s="443"/>
      <c r="AH673" s="443"/>
    </row>
    <row r="674" spans="1:34" ht="16.5">
      <c r="A674" s="728">
        <f t="shared" si="120"/>
        <v>667</v>
      </c>
      <c r="B674" s="563">
        <v>4</v>
      </c>
      <c r="C674" s="694">
        <v>34495</v>
      </c>
      <c r="D674" s="694" t="s">
        <v>149</v>
      </c>
      <c r="E674" s="695">
        <v>10</v>
      </c>
      <c r="F674" s="503">
        <v>1994</v>
      </c>
      <c r="G674" s="563" t="s">
        <v>112</v>
      </c>
      <c r="H674" s="503" t="s">
        <v>122</v>
      </c>
      <c r="I674" s="695">
        <v>50</v>
      </c>
      <c r="J674" s="695">
        <v>1</v>
      </c>
      <c r="K674" s="777">
        <f t="shared" si="119"/>
        <v>2.8409090909090908E-2</v>
      </c>
      <c r="L674" s="968">
        <v>0</v>
      </c>
      <c r="M674" s="503">
        <f t="shared" si="121"/>
        <v>19</v>
      </c>
      <c r="N674" s="504">
        <v>0.8125</v>
      </c>
      <c r="O674" s="719">
        <f t="shared" si="111"/>
        <v>0.8125</v>
      </c>
      <c r="P674" s="564"/>
      <c r="Q674" s="564">
        <f t="shared" si="118"/>
        <v>-0.8125</v>
      </c>
      <c r="R674" s="965" t="s">
        <v>1520</v>
      </c>
      <c r="S674" s="487" t="s">
        <v>385</v>
      </c>
      <c r="T674" s="29"/>
      <c r="U674" s="29" t="str">
        <f t="shared" si="112"/>
        <v>OldhamF0</v>
      </c>
      <c r="V674" s="29" t="str">
        <f t="shared" si="113"/>
        <v>1994F0</v>
      </c>
      <c r="W674" s="80">
        <v>50</v>
      </c>
      <c r="X674" s="32">
        <v>1</v>
      </c>
      <c r="Y674" s="467">
        <v>0.02</v>
      </c>
      <c r="Z674" s="80"/>
      <c r="AA674" s="29" t="str">
        <f t="shared" si="114"/>
        <v>F050</v>
      </c>
      <c r="AB674" s="29" t="str">
        <f t="shared" si="115"/>
        <v>F01</v>
      </c>
      <c r="AC674" s="29" t="str">
        <f t="shared" si="116"/>
        <v>F00.02</v>
      </c>
      <c r="AD674" s="29" t="str">
        <f t="shared" si="117"/>
        <v>F019</v>
      </c>
      <c r="AE674" s="443"/>
      <c r="AF674" s="443"/>
      <c r="AG674" s="443"/>
      <c r="AH674" s="443"/>
    </row>
    <row r="675" spans="1:34" ht="16.5">
      <c r="A675" s="728">
        <f t="shared" si="120"/>
        <v>668</v>
      </c>
      <c r="B675" s="563">
        <v>5</v>
      </c>
      <c r="C675" s="694">
        <v>34514</v>
      </c>
      <c r="D675" s="694" t="s">
        <v>149</v>
      </c>
      <c r="E675" s="695">
        <v>29</v>
      </c>
      <c r="F675" s="503">
        <v>1994</v>
      </c>
      <c r="G675" s="563" t="s">
        <v>106</v>
      </c>
      <c r="H675" s="503" t="s">
        <v>122</v>
      </c>
      <c r="I675" s="695">
        <v>25</v>
      </c>
      <c r="J675" s="695">
        <v>0.5</v>
      </c>
      <c r="K675" s="777">
        <f t="shared" si="119"/>
        <v>7.102272727272727E-3</v>
      </c>
      <c r="L675" s="968">
        <v>0</v>
      </c>
      <c r="M675" s="503">
        <f t="shared" si="121"/>
        <v>19</v>
      </c>
      <c r="N675" s="504">
        <v>0.79861111111111116</v>
      </c>
      <c r="O675" s="719">
        <f t="shared" si="111"/>
        <v>0.79861111111111116</v>
      </c>
      <c r="P675" s="564"/>
      <c r="Q675" s="564">
        <f t="shared" si="118"/>
        <v>-0.79861111111111116</v>
      </c>
      <c r="R675" s="965" t="s">
        <v>1520</v>
      </c>
      <c r="S675" s="487" t="s">
        <v>431</v>
      </c>
      <c r="T675" s="29"/>
      <c r="U675" s="29" t="str">
        <f t="shared" si="112"/>
        <v>LipscombF0</v>
      </c>
      <c r="V675" s="29" t="str">
        <f t="shared" si="113"/>
        <v>1994F0</v>
      </c>
      <c r="W675" s="80">
        <v>20</v>
      </c>
      <c r="X675" s="32">
        <v>0.5</v>
      </c>
      <c r="Y675" s="467">
        <v>5.0000000000000001E-3</v>
      </c>
      <c r="Z675" s="80"/>
      <c r="AA675" s="29" t="str">
        <f t="shared" si="114"/>
        <v>F020</v>
      </c>
      <c r="AB675" s="29" t="str">
        <f t="shared" si="115"/>
        <v>F00.5</v>
      </c>
      <c r="AC675" s="29" t="str">
        <f t="shared" si="116"/>
        <v>F00.005</v>
      </c>
      <c r="AD675" s="29" t="str">
        <f t="shared" si="117"/>
        <v>F019</v>
      </c>
      <c r="AE675" s="443"/>
      <c r="AF675" s="443"/>
      <c r="AG675" s="443"/>
      <c r="AH675" s="443"/>
    </row>
    <row r="676" spans="1:34" ht="16.5">
      <c r="A676" s="728">
        <f t="shared" si="120"/>
        <v>669</v>
      </c>
      <c r="B676" s="563">
        <v>1</v>
      </c>
      <c r="C676" s="694">
        <v>34783</v>
      </c>
      <c r="D676" s="735" t="s">
        <v>146</v>
      </c>
      <c r="E676" s="695">
        <v>25</v>
      </c>
      <c r="F676" s="503">
        <v>1995</v>
      </c>
      <c r="G676" s="563" t="s">
        <v>101</v>
      </c>
      <c r="H676" s="503" t="s">
        <v>123</v>
      </c>
      <c r="I676" s="695">
        <v>100</v>
      </c>
      <c r="J676" s="695">
        <v>3</v>
      </c>
      <c r="K676" s="777">
        <f t="shared" si="119"/>
        <v>0.17045454545454544</v>
      </c>
      <c r="L676" s="968">
        <v>300000</v>
      </c>
      <c r="M676" s="503">
        <f t="shared" si="121"/>
        <v>15</v>
      </c>
      <c r="N676" s="504">
        <v>0.64236111111111105</v>
      </c>
      <c r="O676" s="719">
        <f t="shared" si="111"/>
        <v>0.64236111111111105</v>
      </c>
      <c r="P676" s="564"/>
      <c r="Q676" s="564">
        <f t="shared" si="118"/>
        <v>-0.64236111111111105</v>
      </c>
      <c r="R676" s="965" t="s">
        <v>1520</v>
      </c>
      <c r="S676" s="487" t="s">
        <v>236</v>
      </c>
      <c r="T676" s="29"/>
      <c r="U676" s="29" t="str">
        <f t="shared" si="112"/>
        <v>BeaverF1</v>
      </c>
      <c r="V676" s="29" t="str">
        <f t="shared" si="113"/>
        <v>1995F1</v>
      </c>
      <c r="W676" s="80">
        <v>100</v>
      </c>
      <c r="X676" s="32">
        <v>2</v>
      </c>
      <c r="Y676" s="467">
        <v>0.1</v>
      </c>
      <c r="Z676" s="80"/>
      <c r="AA676" s="29" t="str">
        <f t="shared" si="114"/>
        <v>F1100</v>
      </c>
      <c r="AB676" s="29" t="str">
        <f t="shared" si="115"/>
        <v>F12</v>
      </c>
      <c r="AC676" s="29" t="str">
        <f t="shared" si="116"/>
        <v>F10.1</v>
      </c>
      <c r="AD676" s="29" t="str">
        <f t="shared" si="117"/>
        <v>F115</v>
      </c>
      <c r="AE676" s="443"/>
      <c r="AF676" s="443"/>
      <c r="AG676" s="443"/>
      <c r="AH676" s="443"/>
    </row>
    <row r="677" spans="1:34" ht="16.5">
      <c r="A677" s="728">
        <f t="shared" si="120"/>
        <v>670</v>
      </c>
      <c r="B677" s="563">
        <v>2</v>
      </c>
      <c r="C677" s="694">
        <v>34783</v>
      </c>
      <c r="D677" s="735" t="s">
        <v>146</v>
      </c>
      <c r="E677" s="695">
        <v>25</v>
      </c>
      <c r="F677" s="503">
        <v>1995</v>
      </c>
      <c r="G677" s="563" t="s">
        <v>106</v>
      </c>
      <c r="H677" s="503" t="s">
        <v>123</v>
      </c>
      <c r="I677" s="695">
        <v>200</v>
      </c>
      <c r="J677" s="695">
        <v>5</v>
      </c>
      <c r="K677" s="777">
        <f t="shared" si="119"/>
        <v>0.56818181818181812</v>
      </c>
      <c r="L677" s="968">
        <v>0</v>
      </c>
      <c r="M677" s="503">
        <f t="shared" si="121"/>
        <v>17</v>
      </c>
      <c r="N677" s="504">
        <v>0.73750000000000004</v>
      </c>
      <c r="O677" s="719">
        <f t="shared" si="111"/>
        <v>0.73750000000000004</v>
      </c>
      <c r="P677" s="564"/>
      <c r="Q677" s="564">
        <f t="shared" si="118"/>
        <v>-0.73750000000000004</v>
      </c>
      <c r="R677" s="965" t="s">
        <v>1520</v>
      </c>
      <c r="S677" s="487" t="s">
        <v>357</v>
      </c>
      <c r="T677" s="29"/>
      <c r="U677" s="29" t="str">
        <f t="shared" si="112"/>
        <v>LipscombF1</v>
      </c>
      <c r="V677" s="29" t="str">
        <f t="shared" si="113"/>
        <v>1995F1</v>
      </c>
      <c r="W677" s="80">
        <v>200</v>
      </c>
      <c r="X677" s="32">
        <v>5</v>
      </c>
      <c r="Y677" s="467">
        <v>0.5</v>
      </c>
      <c r="Z677" s="80"/>
      <c r="AA677" s="29" t="str">
        <f t="shared" si="114"/>
        <v>F1200</v>
      </c>
      <c r="AB677" s="29" t="str">
        <f t="shared" si="115"/>
        <v>F15</v>
      </c>
      <c r="AC677" s="29" t="str">
        <f t="shared" si="116"/>
        <v>F10.5</v>
      </c>
      <c r="AD677" s="29" t="str">
        <f t="shared" si="117"/>
        <v>F117</v>
      </c>
      <c r="AE677" s="443"/>
      <c r="AF677" s="443"/>
      <c r="AG677" s="443"/>
      <c r="AH677" s="443"/>
    </row>
    <row r="678" spans="1:34" ht="16.5">
      <c r="A678" s="728">
        <f t="shared" si="120"/>
        <v>671</v>
      </c>
      <c r="B678" s="563">
        <v>3</v>
      </c>
      <c r="C678" s="694">
        <v>34783</v>
      </c>
      <c r="D678" s="735" t="s">
        <v>146</v>
      </c>
      <c r="E678" s="695">
        <v>25</v>
      </c>
      <c r="F678" s="503">
        <v>1995</v>
      </c>
      <c r="G678" s="563" t="s">
        <v>101</v>
      </c>
      <c r="H678" s="503" t="s">
        <v>122</v>
      </c>
      <c r="I678" s="695">
        <v>50</v>
      </c>
      <c r="J678" s="695">
        <v>0.5</v>
      </c>
      <c r="K678" s="777">
        <f t="shared" si="119"/>
        <v>1.4204545454545454E-2</v>
      </c>
      <c r="L678" s="968">
        <v>0</v>
      </c>
      <c r="M678" s="503">
        <f t="shared" si="121"/>
        <v>18</v>
      </c>
      <c r="N678" s="504">
        <v>0.76041666666666663</v>
      </c>
      <c r="O678" s="719">
        <f t="shared" si="111"/>
        <v>0.76041666666666663</v>
      </c>
      <c r="P678" s="564"/>
      <c r="Q678" s="564">
        <f t="shared" si="118"/>
        <v>-0.76041666666666663</v>
      </c>
      <c r="R678" s="965" t="s">
        <v>1520</v>
      </c>
      <c r="S678" s="487" t="s">
        <v>237</v>
      </c>
      <c r="T678" s="29"/>
      <c r="U678" s="29" t="str">
        <f t="shared" si="112"/>
        <v>BeaverF0</v>
      </c>
      <c r="V678" s="29" t="str">
        <f t="shared" si="113"/>
        <v>1995F0</v>
      </c>
      <c r="W678" s="80">
        <v>50</v>
      </c>
      <c r="X678" s="32">
        <v>0.5</v>
      </c>
      <c r="Y678" s="467">
        <v>0.01</v>
      </c>
      <c r="Z678" s="80"/>
      <c r="AA678" s="29" t="str">
        <f t="shared" si="114"/>
        <v>F050</v>
      </c>
      <c r="AB678" s="29" t="str">
        <f t="shared" si="115"/>
        <v>F00.5</v>
      </c>
      <c r="AC678" s="29" t="str">
        <f t="shared" si="116"/>
        <v>F00.01</v>
      </c>
      <c r="AD678" s="29" t="str">
        <f t="shared" si="117"/>
        <v>F018</v>
      </c>
      <c r="AE678" s="443"/>
      <c r="AF678" s="443"/>
      <c r="AG678" s="443"/>
      <c r="AH678" s="443"/>
    </row>
    <row r="679" spans="1:34" ht="16.5">
      <c r="A679" s="728">
        <f t="shared" si="120"/>
        <v>672</v>
      </c>
      <c r="B679" s="563">
        <v>4</v>
      </c>
      <c r="C679" s="694">
        <v>34808</v>
      </c>
      <c r="D679" s="694" t="s">
        <v>147</v>
      </c>
      <c r="E679" s="695">
        <v>19</v>
      </c>
      <c r="F679" s="503">
        <v>1995</v>
      </c>
      <c r="G679" s="563" t="s">
        <v>108</v>
      </c>
      <c r="H679" s="503" t="s">
        <v>122</v>
      </c>
      <c r="I679" s="695">
        <v>20</v>
      </c>
      <c r="J679" s="695">
        <v>0.2</v>
      </c>
      <c r="K679" s="777">
        <f t="shared" si="119"/>
        <v>2.2727272727272731E-3</v>
      </c>
      <c r="L679" s="968">
        <v>0</v>
      </c>
      <c r="M679" s="503">
        <f t="shared" si="121"/>
        <v>19</v>
      </c>
      <c r="N679" s="504">
        <v>0.80208333333333337</v>
      </c>
      <c r="O679" s="719">
        <f t="shared" si="111"/>
        <v>0.80208333333333337</v>
      </c>
      <c r="P679" s="564"/>
      <c r="Q679" s="564">
        <f t="shared" si="118"/>
        <v>-0.80208333333333337</v>
      </c>
      <c r="R679" s="965" t="s">
        <v>1520</v>
      </c>
      <c r="S679" s="487" t="s">
        <v>363</v>
      </c>
      <c r="T679" s="29"/>
      <c r="U679" s="29" t="str">
        <f t="shared" si="112"/>
        <v>MooreF0</v>
      </c>
      <c r="V679" s="29" t="str">
        <f t="shared" si="113"/>
        <v>1995F0</v>
      </c>
      <c r="W679" s="80">
        <v>20</v>
      </c>
      <c r="X679" s="32">
        <v>0.2</v>
      </c>
      <c r="Y679" s="467">
        <v>2E-3</v>
      </c>
      <c r="Z679" s="80"/>
      <c r="AA679" s="29" t="str">
        <f t="shared" si="114"/>
        <v>F020</v>
      </c>
      <c r="AB679" s="29" t="str">
        <f t="shared" si="115"/>
        <v>F00.2</v>
      </c>
      <c r="AC679" s="29" t="str">
        <f t="shared" si="116"/>
        <v>F00.002</v>
      </c>
      <c r="AD679" s="29" t="str">
        <f t="shared" si="117"/>
        <v>F019</v>
      </c>
      <c r="AE679" s="443"/>
      <c r="AF679" s="443"/>
      <c r="AG679" s="443"/>
      <c r="AH679" s="443"/>
    </row>
    <row r="680" spans="1:34" ht="30" customHeight="1">
      <c r="A680" s="728">
        <f t="shared" si="120"/>
        <v>673</v>
      </c>
      <c r="B680" s="563">
        <v>5</v>
      </c>
      <c r="C680" s="694">
        <v>34826</v>
      </c>
      <c r="D680" s="694" t="s">
        <v>148</v>
      </c>
      <c r="E680" s="695">
        <v>7</v>
      </c>
      <c r="F680" s="503">
        <v>1995</v>
      </c>
      <c r="G680" s="563" t="s">
        <v>118</v>
      </c>
      <c r="H680" s="503" t="s">
        <v>124</v>
      </c>
      <c r="I680" s="695">
        <v>200</v>
      </c>
      <c r="J680" s="695">
        <v>12</v>
      </c>
      <c r="K680" s="777">
        <f t="shared" si="119"/>
        <v>1.3636363636363635</v>
      </c>
      <c r="L680" s="968">
        <v>500000</v>
      </c>
      <c r="M680" s="503">
        <f t="shared" si="121"/>
        <v>0</v>
      </c>
      <c r="N680" s="504">
        <v>2.7777777777777776E-2</v>
      </c>
      <c r="O680" s="719">
        <f t="shared" si="111"/>
        <v>2.7777777777777776E-2</v>
      </c>
      <c r="P680" s="564">
        <v>4.1666666666666664E-2</v>
      </c>
      <c r="Q680" s="564">
        <f t="shared" si="118"/>
        <v>1.3888888888888888E-2</v>
      </c>
      <c r="R680" s="965" t="s">
        <v>1535</v>
      </c>
      <c r="S680" s="79" t="s">
        <v>461</v>
      </c>
      <c r="T680" s="29"/>
      <c r="U680" s="29" t="str">
        <f t="shared" si="112"/>
        <v>RandallF2</v>
      </c>
      <c r="V680" s="29" t="str">
        <f t="shared" si="113"/>
        <v>1995F2</v>
      </c>
      <c r="W680" s="80">
        <v>200</v>
      </c>
      <c r="X680" s="32">
        <v>10</v>
      </c>
      <c r="Y680" s="467">
        <v>1</v>
      </c>
      <c r="Z680" s="80"/>
      <c r="AA680" s="29" t="str">
        <f t="shared" si="114"/>
        <v>F2200</v>
      </c>
      <c r="AB680" s="29" t="str">
        <f t="shared" si="115"/>
        <v>F210</v>
      </c>
      <c r="AC680" s="29" t="str">
        <f t="shared" si="116"/>
        <v>F21</v>
      </c>
      <c r="AD680" s="29" t="str">
        <f t="shared" si="117"/>
        <v>F20</v>
      </c>
      <c r="AE680" s="443"/>
      <c r="AF680" s="443"/>
      <c r="AG680" s="443"/>
      <c r="AH680" s="443"/>
    </row>
    <row r="681" spans="1:34" ht="16.5">
      <c r="A681" s="728">
        <f t="shared" si="120"/>
        <v>674</v>
      </c>
      <c r="B681" s="563">
        <v>6</v>
      </c>
      <c r="C681" s="694">
        <v>34826</v>
      </c>
      <c r="D681" s="694" t="s">
        <v>148</v>
      </c>
      <c r="E681" s="695">
        <v>7</v>
      </c>
      <c r="F681" s="503">
        <v>1995</v>
      </c>
      <c r="G681" s="563" t="s">
        <v>104</v>
      </c>
      <c r="H681" s="503" t="s">
        <v>122</v>
      </c>
      <c r="I681" s="695">
        <v>25</v>
      </c>
      <c r="J681" s="695">
        <v>0.2</v>
      </c>
      <c r="K681" s="777">
        <f t="shared" si="119"/>
        <v>2.840909090909091E-3</v>
      </c>
      <c r="L681" s="968">
        <v>0</v>
      </c>
      <c r="M681" s="503">
        <f t="shared" si="121"/>
        <v>7</v>
      </c>
      <c r="N681" s="504">
        <v>0.2951388888888889</v>
      </c>
      <c r="O681" s="719">
        <f t="shared" si="111"/>
        <v>0.2951388888888889</v>
      </c>
      <c r="P681" s="564"/>
      <c r="Q681" s="564">
        <f t="shared" si="118"/>
        <v>-0.2951388888888889</v>
      </c>
      <c r="R681" s="965" t="s">
        <v>1520</v>
      </c>
      <c r="S681" s="487" t="s">
        <v>325</v>
      </c>
      <c r="T681" s="29"/>
      <c r="U681" s="29" t="str">
        <f t="shared" si="112"/>
        <v>HansfordF0</v>
      </c>
      <c r="V681" s="29" t="str">
        <f t="shared" si="113"/>
        <v>1995F0</v>
      </c>
      <c r="W681" s="80">
        <v>20</v>
      </c>
      <c r="X681" s="32">
        <v>0.2</v>
      </c>
      <c r="Y681" s="467">
        <v>2E-3</v>
      </c>
      <c r="Z681" s="80"/>
      <c r="AA681" s="29" t="str">
        <f t="shared" si="114"/>
        <v>F020</v>
      </c>
      <c r="AB681" s="29" t="str">
        <f t="shared" si="115"/>
        <v>F00.2</v>
      </c>
      <c r="AC681" s="29" t="str">
        <f t="shared" si="116"/>
        <v>F00.002</v>
      </c>
      <c r="AD681" s="29" t="str">
        <f t="shared" si="117"/>
        <v>F07</v>
      </c>
      <c r="AE681" s="443"/>
      <c r="AF681" s="443"/>
      <c r="AG681" s="443"/>
      <c r="AH681" s="443"/>
    </row>
    <row r="682" spans="1:34" ht="16.5">
      <c r="A682" s="728">
        <f t="shared" si="120"/>
        <v>675</v>
      </c>
      <c r="B682" s="563">
        <v>7</v>
      </c>
      <c r="C682" s="694">
        <v>34836</v>
      </c>
      <c r="D682" s="694" t="s">
        <v>148</v>
      </c>
      <c r="E682" s="695">
        <v>17</v>
      </c>
      <c r="F682" s="503">
        <v>1995</v>
      </c>
      <c r="G682" s="563" t="s">
        <v>105</v>
      </c>
      <c r="H682" s="503" t="s">
        <v>122</v>
      </c>
      <c r="I682" s="695">
        <v>75</v>
      </c>
      <c r="J682" s="695">
        <v>3</v>
      </c>
      <c r="K682" s="777">
        <f t="shared" si="119"/>
        <v>0.12784090909090909</v>
      </c>
      <c r="L682" s="968">
        <v>0</v>
      </c>
      <c r="M682" s="503">
        <f t="shared" si="121"/>
        <v>13</v>
      </c>
      <c r="N682" s="504">
        <v>0.54513888888888895</v>
      </c>
      <c r="O682" s="719">
        <f t="shared" si="111"/>
        <v>0.54513888888888895</v>
      </c>
      <c r="P682" s="564"/>
      <c r="Q682" s="564">
        <f t="shared" si="118"/>
        <v>-0.54513888888888895</v>
      </c>
      <c r="R682" s="965" t="s">
        <v>1520</v>
      </c>
      <c r="S682" s="487" t="s">
        <v>434</v>
      </c>
      <c r="T682" s="29"/>
      <c r="U682" s="29" t="str">
        <f t="shared" si="112"/>
        <v>OchiltreeF0</v>
      </c>
      <c r="V682" s="29" t="str">
        <f t="shared" si="113"/>
        <v>1995F0</v>
      </c>
      <c r="W682" s="80">
        <v>50</v>
      </c>
      <c r="X682" s="32">
        <v>2</v>
      </c>
      <c r="Y682" s="467">
        <v>0.1</v>
      </c>
      <c r="Z682" s="80"/>
      <c r="AA682" s="29" t="str">
        <f t="shared" si="114"/>
        <v>F050</v>
      </c>
      <c r="AB682" s="29" t="str">
        <f t="shared" si="115"/>
        <v>F02</v>
      </c>
      <c r="AC682" s="29" t="str">
        <f t="shared" si="116"/>
        <v>F00.1</v>
      </c>
      <c r="AD682" s="29" t="str">
        <f t="shared" si="117"/>
        <v>F013</v>
      </c>
      <c r="AE682" s="443"/>
      <c r="AF682" s="443"/>
      <c r="AG682" s="443"/>
      <c r="AH682" s="443"/>
    </row>
    <row r="683" spans="1:34" ht="30" customHeight="1">
      <c r="A683" s="728">
        <f t="shared" si="120"/>
        <v>676</v>
      </c>
      <c r="B683" s="563">
        <v>8</v>
      </c>
      <c r="C683" s="694">
        <v>34836</v>
      </c>
      <c r="D683" s="694" t="s">
        <v>148</v>
      </c>
      <c r="E683" s="695">
        <v>17</v>
      </c>
      <c r="F683" s="503">
        <v>1995</v>
      </c>
      <c r="G683" s="563" t="s">
        <v>101</v>
      </c>
      <c r="H683" s="503" t="s">
        <v>122</v>
      </c>
      <c r="I683" s="695">
        <v>100</v>
      </c>
      <c r="J683" s="695">
        <v>2</v>
      </c>
      <c r="K683" s="777">
        <f t="shared" si="119"/>
        <v>0.11363636363636363</v>
      </c>
      <c r="L683" s="968">
        <v>0</v>
      </c>
      <c r="M683" s="503">
        <f t="shared" si="121"/>
        <v>14</v>
      </c>
      <c r="N683" s="504">
        <v>0.59444444444444444</v>
      </c>
      <c r="O683" s="719">
        <f t="shared" si="111"/>
        <v>0.59444444444444444</v>
      </c>
      <c r="P683" s="564">
        <v>0.6</v>
      </c>
      <c r="Q683" s="564">
        <f t="shared" si="118"/>
        <v>5.5555555555555358E-3</v>
      </c>
      <c r="R683" s="965" t="s">
        <v>1520</v>
      </c>
      <c r="S683" s="79" t="s">
        <v>460</v>
      </c>
      <c r="T683" s="29"/>
      <c r="U683" s="29" t="str">
        <f t="shared" si="112"/>
        <v>BeaverF0</v>
      </c>
      <c r="V683" s="29" t="str">
        <f t="shared" si="113"/>
        <v>1995F0</v>
      </c>
      <c r="W683" s="80">
        <v>100</v>
      </c>
      <c r="X683" s="32">
        <v>2</v>
      </c>
      <c r="Y683" s="467">
        <v>0.1</v>
      </c>
      <c r="Z683" s="80"/>
      <c r="AA683" s="29" t="str">
        <f t="shared" si="114"/>
        <v>F0100</v>
      </c>
      <c r="AB683" s="29" t="str">
        <f t="shared" si="115"/>
        <v>F02</v>
      </c>
      <c r="AC683" s="29" t="str">
        <f t="shared" si="116"/>
        <v>F00.1</v>
      </c>
      <c r="AD683" s="29" t="str">
        <f t="shared" si="117"/>
        <v>F014</v>
      </c>
      <c r="AE683" s="443"/>
      <c r="AF683" s="443"/>
      <c r="AG683" s="443"/>
      <c r="AH683" s="443"/>
    </row>
    <row r="684" spans="1:34" ht="16.5">
      <c r="A684" s="728">
        <f t="shared" si="120"/>
        <v>677</v>
      </c>
      <c r="B684" s="563">
        <v>9</v>
      </c>
      <c r="C684" s="694">
        <v>34841</v>
      </c>
      <c r="D684" s="694" t="s">
        <v>148</v>
      </c>
      <c r="E684" s="695">
        <v>22</v>
      </c>
      <c r="F684" s="503">
        <v>1995</v>
      </c>
      <c r="G684" s="563" t="s">
        <v>109</v>
      </c>
      <c r="H684" s="503" t="s">
        <v>123</v>
      </c>
      <c r="I684" s="695">
        <v>200</v>
      </c>
      <c r="J684" s="695">
        <v>2</v>
      </c>
      <c r="K684" s="777">
        <f t="shared" si="119"/>
        <v>0.22727272727272727</v>
      </c>
      <c r="L684" s="968">
        <v>0</v>
      </c>
      <c r="M684" s="503">
        <f t="shared" si="121"/>
        <v>15</v>
      </c>
      <c r="N684" s="504">
        <v>0.63472222222222219</v>
      </c>
      <c r="O684" s="719">
        <f t="shared" si="111"/>
        <v>0.63472222222222219</v>
      </c>
      <c r="P684" s="564"/>
      <c r="Q684" s="564">
        <f t="shared" si="118"/>
        <v>-0.63472222222222219</v>
      </c>
      <c r="R684" s="965" t="s">
        <v>1520</v>
      </c>
      <c r="S684" s="487" t="s">
        <v>347</v>
      </c>
      <c r="T684" s="29"/>
      <c r="U684" s="29" t="str">
        <f t="shared" si="112"/>
        <v>HutchinsonF1</v>
      </c>
      <c r="V684" s="29" t="str">
        <f t="shared" si="113"/>
        <v>1995F1</v>
      </c>
      <c r="W684" s="80">
        <v>200</v>
      </c>
      <c r="X684" s="32">
        <v>2</v>
      </c>
      <c r="Y684" s="467">
        <v>0.2</v>
      </c>
      <c r="Z684" s="80"/>
      <c r="AA684" s="29" t="str">
        <f t="shared" si="114"/>
        <v>F1200</v>
      </c>
      <c r="AB684" s="29" t="str">
        <f t="shared" si="115"/>
        <v>F12</v>
      </c>
      <c r="AC684" s="29" t="str">
        <f t="shared" si="116"/>
        <v>F10.2</v>
      </c>
      <c r="AD684" s="29" t="str">
        <f t="shared" si="117"/>
        <v>F115</v>
      </c>
      <c r="AE684" s="443"/>
      <c r="AF684" s="443"/>
      <c r="AG684" s="443"/>
      <c r="AH684" s="443"/>
    </row>
    <row r="685" spans="1:34" ht="16.5">
      <c r="A685" s="728">
        <f t="shared" si="120"/>
        <v>678</v>
      </c>
      <c r="B685" s="563">
        <v>10</v>
      </c>
      <c r="C685" s="694">
        <v>34841</v>
      </c>
      <c r="D685" s="694" t="s">
        <v>148</v>
      </c>
      <c r="E685" s="695">
        <v>22</v>
      </c>
      <c r="F685" s="503">
        <v>1995</v>
      </c>
      <c r="G685" s="563" t="s">
        <v>114</v>
      </c>
      <c r="H685" s="503" t="s">
        <v>122</v>
      </c>
      <c r="I685" s="695">
        <v>25</v>
      </c>
      <c r="J685" s="695">
        <v>0.5</v>
      </c>
      <c r="K685" s="777">
        <f t="shared" si="119"/>
        <v>7.102272727272727E-3</v>
      </c>
      <c r="L685" s="968">
        <v>0</v>
      </c>
      <c r="M685" s="503">
        <f t="shared" si="121"/>
        <v>15</v>
      </c>
      <c r="N685" s="504">
        <v>0.63541666666666663</v>
      </c>
      <c r="O685" s="719">
        <f t="shared" si="111"/>
        <v>0.63541666666666663</v>
      </c>
      <c r="P685" s="564"/>
      <c r="Q685" s="564">
        <f t="shared" si="118"/>
        <v>-0.63541666666666663</v>
      </c>
      <c r="R685" s="965" t="s">
        <v>1520</v>
      </c>
      <c r="S685" s="487" t="s">
        <v>256</v>
      </c>
      <c r="T685" s="29"/>
      <c r="U685" s="29" t="str">
        <f t="shared" si="112"/>
        <v>CarsonF0</v>
      </c>
      <c r="V685" s="29" t="str">
        <f t="shared" si="113"/>
        <v>1995F0</v>
      </c>
      <c r="W685" s="80">
        <v>20</v>
      </c>
      <c r="X685" s="32">
        <v>0.5</v>
      </c>
      <c r="Y685" s="467">
        <v>5.0000000000000001E-3</v>
      </c>
      <c r="Z685" s="80"/>
      <c r="AA685" s="29" t="str">
        <f t="shared" si="114"/>
        <v>F020</v>
      </c>
      <c r="AB685" s="29" t="str">
        <f t="shared" si="115"/>
        <v>F00.5</v>
      </c>
      <c r="AC685" s="29" t="str">
        <f t="shared" si="116"/>
        <v>F00.005</v>
      </c>
      <c r="AD685" s="29" t="str">
        <f t="shared" si="117"/>
        <v>F015</v>
      </c>
      <c r="AE685" s="443"/>
      <c r="AF685" s="443"/>
      <c r="AG685" s="443"/>
      <c r="AH685" s="443"/>
    </row>
    <row r="686" spans="1:34" ht="16.5">
      <c r="A686" s="728">
        <f t="shared" si="120"/>
        <v>679</v>
      </c>
      <c r="B686" s="563">
        <v>11</v>
      </c>
      <c r="C686" s="694">
        <v>34841</v>
      </c>
      <c r="D686" s="694" t="s">
        <v>148</v>
      </c>
      <c r="E686" s="695">
        <v>22</v>
      </c>
      <c r="F686" s="503">
        <v>1995</v>
      </c>
      <c r="G686" s="563" t="s">
        <v>116</v>
      </c>
      <c r="H686" s="503" t="s">
        <v>122</v>
      </c>
      <c r="I686" s="695">
        <v>50</v>
      </c>
      <c r="J686" s="695">
        <v>1</v>
      </c>
      <c r="K686" s="777">
        <f t="shared" si="119"/>
        <v>2.8409090909090908E-2</v>
      </c>
      <c r="L686" s="968">
        <v>0</v>
      </c>
      <c r="M686" s="503">
        <f t="shared" si="121"/>
        <v>18</v>
      </c>
      <c r="N686" s="504">
        <v>0.76249999999999996</v>
      </c>
      <c r="O686" s="719">
        <f t="shared" si="111"/>
        <v>0.76249999999999996</v>
      </c>
      <c r="P686" s="564"/>
      <c r="Q686" s="564">
        <f t="shared" si="118"/>
        <v>-0.76249999999999996</v>
      </c>
      <c r="R686" s="965" t="s">
        <v>1520</v>
      </c>
      <c r="S686" s="487" t="s">
        <v>416</v>
      </c>
      <c r="T686" s="29"/>
      <c r="U686" s="29" t="str">
        <f t="shared" si="112"/>
        <v>WheelerF0</v>
      </c>
      <c r="V686" s="29" t="str">
        <f t="shared" si="113"/>
        <v>1995F0</v>
      </c>
      <c r="W686" s="80">
        <v>50</v>
      </c>
      <c r="X686" s="32">
        <v>1</v>
      </c>
      <c r="Y686" s="467">
        <v>0.02</v>
      </c>
      <c r="Z686" s="80"/>
      <c r="AA686" s="29" t="str">
        <f t="shared" si="114"/>
        <v>F050</v>
      </c>
      <c r="AB686" s="29" t="str">
        <f t="shared" si="115"/>
        <v>F01</v>
      </c>
      <c r="AC686" s="29" t="str">
        <f t="shared" si="116"/>
        <v>F00.02</v>
      </c>
      <c r="AD686" s="29" t="str">
        <f t="shared" si="117"/>
        <v>F018</v>
      </c>
      <c r="AE686" s="443"/>
      <c r="AF686" s="443"/>
      <c r="AG686" s="443"/>
      <c r="AH686" s="443"/>
    </row>
    <row r="687" spans="1:34" ht="16.5">
      <c r="A687" s="728">
        <f t="shared" si="120"/>
        <v>680</v>
      </c>
      <c r="B687" s="563">
        <v>12</v>
      </c>
      <c r="C687" s="694">
        <v>34841</v>
      </c>
      <c r="D687" s="694" t="s">
        <v>148</v>
      </c>
      <c r="E687" s="695">
        <v>22</v>
      </c>
      <c r="F687" s="503">
        <v>1995</v>
      </c>
      <c r="G687" s="563" t="s">
        <v>116</v>
      </c>
      <c r="H687" s="503" t="s">
        <v>122</v>
      </c>
      <c r="I687" s="695">
        <v>25</v>
      </c>
      <c r="J687" s="695">
        <v>0.3</v>
      </c>
      <c r="K687" s="777">
        <f t="shared" si="119"/>
        <v>4.261363636363636E-3</v>
      </c>
      <c r="L687" s="968">
        <v>0</v>
      </c>
      <c r="M687" s="503">
        <f t="shared" si="121"/>
        <v>19</v>
      </c>
      <c r="N687" s="504">
        <v>0.81597222222222221</v>
      </c>
      <c r="O687" s="719">
        <f t="shared" si="111"/>
        <v>0.81597222222222221</v>
      </c>
      <c r="P687" s="564"/>
      <c r="Q687" s="564">
        <f t="shared" si="118"/>
        <v>-0.81597222222222221</v>
      </c>
      <c r="R687" s="965" t="s">
        <v>1520</v>
      </c>
      <c r="S687" s="487" t="s">
        <v>417</v>
      </c>
      <c r="T687" s="29"/>
      <c r="U687" s="29" t="str">
        <f t="shared" si="112"/>
        <v>WheelerF0</v>
      </c>
      <c r="V687" s="29" t="str">
        <f t="shared" si="113"/>
        <v>1995F0</v>
      </c>
      <c r="W687" s="80">
        <v>20</v>
      </c>
      <c r="X687" s="32">
        <v>0.2</v>
      </c>
      <c r="Y687" s="467">
        <v>2E-3</v>
      </c>
      <c r="Z687" s="80"/>
      <c r="AA687" s="29" t="str">
        <f t="shared" si="114"/>
        <v>F020</v>
      </c>
      <c r="AB687" s="29" t="str">
        <f t="shared" si="115"/>
        <v>F00.2</v>
      </c>
      <c r="AC687" s="29" t="str">
        <f t="shared" si="116"/>
        <v>F00.002</v>
      </c>
      <c r="AD687" s="29" t="str">
        <f t="shared" si="117"/>
        <v>F019</v>
      </c>
      <c r="AE687" s="443"/>
      <c r="AF687" s="443"/>
      <c r="AG687" s="443"/>
      <c r="AH687" s="443"/>
    </row>
    <row r="688" spans="1:34" ht="16.5">
      <c r="A688" s="728">
        <f t="shared" si="120"/>
        <v>681</v>
      </c>
      <c r="B688" s="563">
        <v>13</v>
      </c>
      <c r="C688" s="694">
        <v>34841</v>
      </c>
      <c r="D688" s="694" t="s">
        <v>148</v>
      </c>
      <c r="E688" s="695">
        <v>22</v>
      </c>
      <c r="F688" s="503">
        <v>1995</v>
      </c>
      <c r="G688" s="563" t="s">
        <v>116</v>
      </c>
      <c r="H688" s="503" t="s">
        <v>122</v>
      </c>
      <c r="I688" s="695">
        <v>75</v>
      </c>
      <c r="J688" s="695">
        <v>1</v>
      </c>
      <c r="K688" s="777">
        <f t="shared" si="119"/>
        <v>4.261363636363636E-2</v>
      </c>
      <c r="L688" s="968">
        <v>0</v>
      </c>
      <c r="M688" s="503">
        <f t="shared" si="121"/>
        <v>20</v>
      </c>
      <c r="N688" s="504">
        <v>0.8340277777777777</v>
      </c>
      <c r="O688" s="719">
        <f t="shared" si="111"/>
        <v>0.8340277777777777</v>
      </c>
      <c r="P688" s="564"/>
      <c r="Q688" s="564">
        <f t="shared" si="118"/>
        <v>-0.8340277777777777</v>
      </c>
      <c r="R688" s="965" t="s">
        <v>1520</v>
      </c>
      <c r="S688" s="487" t="s">
        <v>418</v>
      </c>
      <c r="T688" s="29"/>
      <c r="U688" s="29" t="str">
        <f t="shared" si="112"/>
        <v>WheelerF0</v>
      </c>
      <c r="V688" s="29" t="str">
        <f t="shared" si="113"/>
        <v>1995F0</v>
      </c>
      <c r="W688" s="80">
        <v>50</v>
      </c>
      <c r="X688" s="32">
        <v>1</v>
      </c>
      <c r="Y688" s="467">
        <v>0.02</v>
      </c>
      <c r="Z688" s="80"/>
      <c r="AA688" s="29" t="str">
        <f t="shared" si="114"/>
        <v>F050</v>
      </c>
      <c r="AB688" s="29" t="str">
        <f t="shared" si="115"/>
        <v>F01</v>
      </c>
      <c r="AC688" s="29" t="str">
        <f t="shared" si="116"/>
        <v>F00.02</v>
      </c>
      <c r="AD688" s="29" t="str">
        <f t="shared" si="117"/>
        <v>F020</v>
      </c>
      <c r="AE688" s="443"/>
      <c r="AF688" s="443"/>
      <c r="AG688" s="443"/>
      <c r="AH688" s="443"/>
    </row>
    <row r="689" spans="1:34" ht="16.5">
      <c r="A689" s="728">
        <f t="shared" si="120"/>
        <v>682</v>
      </c>
      <c r="B689" s="563">
        <v>14</v>
      </c>
      <c r="C689" s="694">
        <v>34845</v>
      </c>
      <c r="D689" s="694" t="s">
        <v>148</v>
      </c>
      <c r="E689" s="695">
        <v>26</v>
      </c>
      <c r="F689" s="503">
        <v>1995</v>
      </c>
      <c r="G689" s="563" t="s">
        <v>119</v>
      </c>
      <c r="H689" s="503" t="s">
        <v>122</v>
      </c>
      <c r="I689" s="695">
        <v>100</v>
      </c>
      <c r="J689" s="695">
        <v>1</v>
      </c>
      <c r="K689" s="777">
        <f t="shared" si="119"/>
        <v>5.6818181818181816E-2</v>
      </c>
      <c r="L689" s="968">
        <v>0</v>
      </c>
      <c r="M689" s="503">
        <f t="shared" si="121"/>
        <v>15</v>
      </c>
      <c r="N689" s="504">
        <v>0.66319444444444442</v>
      </c>
      <c r="O689" s="719">
        <f t="shared" si="111"/>
        <v>0.66319444444444442</v>
      </c>
      <c r="P689" s="564"/>
      <c r="Q689" s="564">
        <f t="shared" si="118"/>
        <v>-0.66319444444444442</v>
      </c>
      <c r="R689" s="965" t="s">
        <v>1520</v>
      </c>
      <c r="S689" s="487" t="s">
        <v>246</v>
      </c>
      <c r="T689" s="29"/>
      <c r="U689" s="29" t="str">
        <f t="shared" si="112"/>
        <v>ArmstrongF0</v>
      </c>
      <c r="V689" s="29" t="str">
        <f t="shared" si="113"/>
        <v>1995F0</v>
      </c>
      <c r="W689" s="80">
        <v>100</v>
      </c>
      <c r="X689" s="32">
        <v>1</v>
      </c>
      <c r="Y689" s="467">
        <v>0.05</v>
      </c>
      <c r="Z689" s="80"/>
      <c r="AA689" s="29" t="str">
        <f t="shared" si="114"/>
        <v>F0100</v>
      </c>
      <c r="AB689" s="29" t="str">
        <f t="shared" si="115"/>
        <v>F01</v>
      </c>
      <c r="AC689" s="29" t="str">
        <f t="shared" si="116"/>
        <v>F00.05</v>
      </c>
      <c r="AD689" s="29" t="str">
        <f t="shared" si="117"/>
        <v>F015</v>
      </c>
      <c r="AE689" s="443"/>
      <c r="AF689" s="443"/>
      <c r="AG689" s="443"/>
      <c r="AH689" s="443"/>
    </row>
    <row r="690" spans="1:34" ht="16.5">
      <c r="A690" s="728">
        <f t="shared" si="120"/>
        <v>683</v>
      </c>
      <c r="B690" s="563">
        <v>15</v>
      </c>
      <c r="C690" s="694">
        <v>34849</v>
      </c>
      <c r="D690" s="694" t="s">
        <v>148</v>
      </c>
      <c r="E690" s="695">
        <v>30</v>
      </c>
      <c r="F690" s="503">
        <v>1995</v>
      </c>
      <c r="G690" s="563" t="s">
        <v>100</v>
      </c>
      <c r="H690" s="503" t="s">
        <v>122</v>
      </c>
      <c r="I690" s="695">
        <v>50</v>
      </c>
      <c r="J690" s="695">
        <v>0.5</v>
      </c>
      <c r="K690" s="777">
        <f t="shared" si="119"/>
        <v>1.4204545454545454E-2</v>
      </c>
      <c r="L690" s="968">
        <v>0</v>
      </c>
      <c r="M690" s="503">
        <f t="shared" si="121"/>
        <v>18</v>
      </c>
      <c r="N690" s="504">
        <v>0.76111111111111107</v>
      </c>
      <c r="O690" s="719">
        <f t="shared" si="111"/>
        <v>0.76111111111111107</v>
      </c>
      <c r="P690" s="564"/>
      <c r="Q690" s="564">
        <f t="shared" si="118"/>
        <v>-0.76111111111111107</v>
      </c>
      <c r="R690" s="965" t="s">
        <v>1520</v>
      </c>
      <c r="S690" s="487" t="s">
        <v>216</v>
      </c>
      <c r="T690" s="29"/>
      <c r="U690" s="29" t="str">
        <f t="shared" si="112"/>
        <v>TexasF0</v>
      </c>
      <c r="V690" s="29" t="str">
        <f t="shared" si="113"/>
        <v>1995F0</v>
      </c>
      <c r="W690" s="80">
        <v>50</v>
      </c>
      <c r="X690" s="32">
        <v>0.5</v>
      </c>
      <c r="Y690" s="467">
        <v>0.01</v>
      </c>
      <c r="Z690" s="80"/>
      <c r="AA690" s="29" t="str">
        <f t="shared" si="114"/>
        <v>F050</v>
      </c>
      <c r="AB690" s="29" t="str">
        <f t="shared" si="115"/>
        <v>F00.5</v>
      </c>
      <c r="AC690" s="29" t="str">
        <f t="shared" si="116"/>
        <v>F00.01</v>
      </c>
      <c r="AD690" s="29" t="str">
        <f t="shared" si="117"/>
        <v>F018</v>
      </c>
      <c r="AE690" s="443"/>
      <c r="AF690" s="443"/>
      <c r="AG690" s="443"/>
      <c r="AH690" s="443"/>
    </row>
    <row r="691" spans="1:34" ht="16.5">
      <c r="A691" s="728">
        <f t="shared" si="120"/>
        <v>684</v>
      </c>
      <c r="B691" s="563">
        <v>16</v>
      </c>
      <c r="C691" s="694">
        <v>34849</v>
      </c>
      <c r="D691" s="694" t="s">
        <v>148</v>
      </c>
      <c r="E691" s="695">
        <v>30</v>
      </c>
      <c r="F691" s="503">
        <v>1995</v>
      </c>
      <c r="G691" s="563" t="s">
        <v>115</v>
      </c>
      <c r="H691" s="503" t="s">
        <v>122</v>
      </c>
      <c r="I691" s="695">
        <v>200</v>
      </c>
      <c r="J691" s="695">
        <v>2</v>
      </c>
      <c r="K691" s="777">
        <f t="shared" si="119"/>
        <v>0.22727272727272727</v>
      </c>
      <c r="L691" s="968">
        <v>0</v>
      </c>
      <c r="M691" s="503">
        <f t="shared" si="121"/>
        <v>19</v>
      </c>
      <c r="N691" s="504">
        <v>0.80208333333333337</v>
      </c>
      <c r="O691" s="719">
        <f t="shared" si="111"/>
        <v>0.80208333333333337</v>
      </c>
      <c r="P691" s="564"/>
      <c r="Q691" s="564">
        <f t="shared" si="118"/>
        <v>-0.80208333333333337</v>
      </c>
      <c r="R691" s="965" t="s">
        <v>1520</v>
      </c>
      <c r="S691" s="487" t="s">
        <v>311</v>
      </c>
      <c r="T691" s="29"/>
      <c r="U691" s="29" t="str">
        <f t="shared" si="112"/>
        <v>GrayF0</v>
      </c>
      <c r="V691" s="29" t="str">
        <f t="shared" si="113"/>
        <v>1995F0</v>
      </c>
      <c r="W691" s="80">
        <v>200</v>
      </c>
      <c r="X691" s="32">
        <v>2</v>
      </c>
      <c r="Y691" s="467">
        <v>0.2</v>
      </c>
      <c r="Z691" s="80"/>
      <c r="AA691" s="29" t="str">
        <f t="shared" si="114"/>
        <v>F0200</v>
      </c>
      <c r="AB691" s="29" t="str">
        <f t="shared" si="115"/>
        <v>F02</v>
      </c>
      <c r="AC691" s="29" t="str">
        <f t="shared" si="116"/>
        <v>F00.2</v>
      </c>
      <c r="AD691" s="29" t="str">
        <f t="shared" si="117"/>
        <v>F019</v>
      </c>
      <c r="AE691" s="443"/>
      <c r="AF691" s="443"/>
      <c r="AG691" s="443"/>
      <c r="AH691" s="443"/>
    </row>
    <row r="692" spans="1:34" ht="16.5">
      <c r="A692" s="728">
        <f t="shared" si="120"/>
        <v>685</v>
      </c>
      <c r="B692" s="563">
        <v>17</v>
      </c>
      <c r="C692" s="694">
        <v>34850</v>
      </c>
      <c r="D692" s="694" t="s">
        <v>148</v>
      </c>
      <c r="E692" s="695">
        <v>31</v>
      </c>
      <c r="F692" s="503">
        <v>1995</v>
      </c>
      <c r="G692" s="563" t="s">
        <v>115</v>
      </c>
      <c r="H692" s="503" t="s">
        <v>122</v>
      </c>
      <c r="I692" s="695">
        <v>25</v>
      </c>
      <c r="J692" s="695">
        <v>0.1</v>
      </c>
      <c r="K692" s="777">
        <f t="shared" si="119"/>
        <v>1.4204545454545455E-3</v>
      </c>
      <c r="L692" s="968">
        <v>0</v>
      </c>
      <c r="M692" s="503">
        <f t="shared" si="121"/>
        <v>12</v>
      </c>
      <c r="N692" s="504">
        <v>0.52083333333333337</v>
      </c>
      <c r="O692" s="719">
        <f t="shared" si="111"/>
        <v>0.52083333333333337</v>
      </c>
      <c r="P692" s="564"/>
      <c r="Q692" s="564">
        <f t="shared" si="118"/>
        <v>-0.52083333333333337</v>
      </c>
      <c r="R692" s="965" t="s">
        <v>1520</v>
      </c>
      <c r="S692" s="487" t="s">
        <v>312</v>
      </c>
      <c r="T692" s="29"/>
      <c r="U692" s="29" t="str">
        <f t="shared" si="112"/>
        <v>GrayF0</v>
      </c>
      <c r="V692" s="29" t="str">
        <f t="shared" si="113"/>
        <v>1995F0</v>
      </c>
      <c r="W692" s="80">
        <v>20</v>
      </c>
      <c r="X692" s="32">
        <v>0.1</v>
      </c>
      <c r="Y692" s="467">
        <v>1E-3</v>
      </c>
      <c r="Z692" s="80"/>
      <c r="AA692" s="29" t="str">
        <f t="shared" si="114"/>
        <v>F020</v>
      </c>
      <c r="AB692" s="29" t="str">
        <f t="shared" si="115"/>
        <v>F00.1</v>
      </c>
      <c r="AC692" s="29" t="str">
        <f t="shared" si="116"/>
        <v>F00.001</v>
      </c>
      <c r="AD692" s="29" t="str">
        <f t="shared" si="117"/>
        <v>F012</v>
      </c>
      <c r="AE692" s="443"/>
      <c r="AF692" s="443"/>
      <c r="AG692" s="443"/>
      <c r="AH692" s="443"/>
    </row>
    <row r="693" spans="1:34" ht="25.5">
      <c r="A693" s="728">
        <f t="shared" si="120"/>
        <v>686</v>
      </c>
      <c r="B693" s="563">
        <v>18</v>
      </c>
      <c r="C693" s="694">
        <v>34852</v>
      </c>
      <c r="D693" s="694" t="s">
        <v>149</v>
      </c>
      <c r="E693" s="695">
        <v>2</v>
      </c>
      <c r="F693" s="503">
        <v>1995</v>
      </c>
      <c r="G693" s="563" t="s">
        <v>107</v>
      </c>
      <c r="H693" s="503" t="s">
        <v>123</v>
      </c>
      <c r="I693" s="695">
        <v>150</v>
      </c>
      <c r="J693" s="695">
        <v>11</v>
      </c>
      <c r="K693" s="777">
        <f t="shared" si="119"/>
        <v>0.93749999999999989</v>
      </c>
      <c r="L693" s="968">
        <v>0</v>
      </c>
      <c r="M693" s="503">
        <f t="shared" si="121"/>
        <v>17</v>
      </c>
      <c r="N693" s="504">
        <v>0.72569444444444453</v>
      </c>
      <c r="O693" s="719">
        <f t="shared" si="111"/>
        <v>0.72569444444444453</v>
      </c>
      <c r="P693" s="564">
        <v>0.73263888888888884</v>
      </c>
      <c r="Q693" s="564">
        <f t="shared" si="118"/>
        <v>6.9444444444443088E-3</v>
      </c>
      <c r="R693" s="965" t="s">
        <v>1520</v>
      </c>
      <c r="S693" s="487" t="s">
        <v>719</v>
      </c>
      <c r="T693" s="29"/>
      <c r="U693" s="29" t="str">
        <f t="shared" si="112"/>
        <v>HartleyF1</v>
      </c>
      <c r="V693" s="29" t="str">
        <f t="shared" si="113"/>
        <v>1995F1</v>
      </c>
      <c r="W693" s="80">
        <v>100</v>
      </c>
      <c r="X693" s="32">
        <v>10</v>
      </c>
      <c r="Y693" s="467">
        <v>0.5</v>
      </c>
      <c r="Z693" s="80"/>
      <c r="AA693" s="29" t="str">
        <f t="shared" si="114"/>
        <v>F1100</v>
      </c>
      <c r="AB693" s="29" t="str">
        <f t="shared" si="115"/>
        <v>F110</v>
      </c>
      <c r="AC693" s="29" t="str">
        <f t="shared" si="116"/>
        <v>F10.5</v>
      </c>
      <c r="AD693" s="29" t="str">
        <f t="shared" si="117"/>
        <v>F117</v>
      </c>
      <c r="AE693" s="443"/>
      <c r="AF693" s="443"/>
      <c r="AG693" s="443"/>
      <c r="AH693" s="443"/>
    </row>
    <row r="694" spans="1:34" ht="30" customHeight="1">
      <c r="A694" s="728">
        <f t="shared" si="120"/>
        <v>687</v>
      </c>
      <c r="B694" s="563">
        <v>19</v>
      </c>
      <c r="C694" s="694">
        <v>34858</v>
      </c>
      <c r="D694" s="694" t="s">
        <v>149</v>
      </c>
      <c r="E694" s="695">
        <v>8</v>
      </c>
      <c r="F694" s="503">
        <v>1995</v>
      </c>
      <c r="G694" s="563" t="s">
        <v>115</v>
      </c>
      <c r="H694" s="503" t="s">
        <v>122</v>
      </c>
      <c r="I694" s="695">
        <v>50</v>
      </c>
      <c r="J694" s="695">
        <v>0.1</v>
      </c>
      <c r="K694" s="777">
        <f t="shared" si="119"/>
        <v>2.840909090909091E-3</v>
      </c>
      <c r="L694" s="968">
        <v>0</v>
      </c>
      <c r="M694" s="503">
        <f t="shared" si="121"/>
        <v>15</v>
      </c>
      <c r="N694" s="504">
        <v>0.64375000000000004</v>
      </c>
      <c r="O694" s="719">
        <f t="shared" si="111"/>
        <v>0.64375000000000004</v>
      </c>
      <c r="P694" s="564">
        <v>0.64652777777777781</v>
      </c>
      <c r="Q694" s="564">
        <f t="shared" si="118"/>
        <v>2.7777777777777679E-3</v>
      </c>
      <c r="R694" s="965" t="s">
        <v>1520</v>
      </c>
      <c r="S694" s="487" t="s">
        <v>91</v>
      </c>
      <c r="T694" s="29"/>
      <c r="U694" s="29" t="str">
        <f t="shared" si="112"/>
        <v>GrayF0</v>
      </c>
      <c r="V694" s="29" t="str">
        <f t="shared" si="113"/>
        <v>1995F0</v>
      </c>
      <c r="W694" s="80">
        <v>50</v>
      </c>
      <c r="X694" s="32">
        <v>0.1</v>
      </c>
      <c r="Y694" s="467">
        <v>2E-3</v>
      </c>
      <c r="Z694" s="80"/>
      <c r="AA694" s="29" t="str">
        <f t="shared" si="114"/>
        <v>F050</v>
      </c>
      <c r="AB694" s="29" t="str">
        <f t="shared" si="115"/>
        <v>F00.1</v>
      </c>
      <c r="AC694" s="29" t="str">
        <f t="shared" si="116"/>
        <v>F00.002</v>
      </c>
      <c r="AD694" s="29" t="str">
        <f t="shared" si="117"/>
        <v>F015</v>
      </c>
      <c r="AE694" s="443"/>
      <c r="AF694" s="443"/>
      <c r="AG694" s="443"/>
      <c r="AH694" s="443"/>
    </row>
    <row r="695" spans="1:34" ht="39.950000000000003" customHeight="1">
      <c r="A695" s="728">
        <f t="shared" si="120"/>
        <v>688</v>
      </c>
      <c r="B695" s="563">
        <v>20</v>
      </c>
      <c r="C695" s="694">
        <v>34858</v>
      </c>
      <c r="D695" s="694" t="s">
        <v>149</v>
      </c>
      <c r="E695" s="695">
        <v>8</v>
      </c>
      <c r="F695" s="503">
        <v>1995</v>
      </c>
      <c r="G695" s="563" t="s">
        <v>115</v>
      </c>
      <c r="H695" s="503" t="s">
        <v>126</v>
      </c>
      <c r="I695" s="695">
        <v>200</v>
      </c>
      <c r="J695" s="695">
        <v>3</v>
      </c>
      <c r="K695" s="777">
        <f t="shared" si="119"/>
        <v>0.34090909090909088</v>
      </c>
      <c r="L695" s="968">
        <v>30000000</v>
      </c>
      <c r="M695" s="503">
        <f t="shared" si="121"/>
        <v>15</v>
      </c>
      <c r="N695" s="504">
        <v>0.64652777777777781</v>
      </c>
      <c r="O695" s="719">
        <f t="shared" si="111"/>
        <v>0.64652777777777781</v>
      </c>
      <c r="P695" s="564"/>
      <c r="Q695" s="564">
        <f t="shared" si="118"/>
        <v>-0.64652777777777781</v>
      </c>
      <c r="R695" s="965" t="s">
        <v>1525</v>
      </c>
      <c r="S695" s="79" t="s">
        <v>463</v>
      </c>
      <c r="T695" s="29"/>
      <c r="U695" s="29" t="str">
        <f t="shared" si="112"/>
        <v>GrayF4</v>
      </c>
      <c r="V695" s="29" t="str">
        <f t="shared" si="113"/>
        <v>1995F4</v>
      </c>
      <c r="W695" s="80">
        <v>200</v>
      </c>
      <c r="X695" s="32">
        <v>2</v>
      </c>
      <c r="Y695" s="467">
        <v>0.2</v>
      </c>
      <c r="Z695" s="80"/>
      <c r="AA695" s="29" t="str">
        <f t="shared" si="114"/>
        <v>F4200</v>
      </c>
      <c r="AB695" s="29" t="str">
        <f t="shared" si="115"/>
        <v>F42</v>
      </c>
      <c r="AC695" s="29" t="str">
        <f t="shared" si="116"/>
        <v>F40.2</v>
      </c>
      <c r="AD695" s="29" t="str">
        <f t="shared" si="117"/>
        <v>F415</v>
      </c>
      <c r="AE695" s="443"/>
      <c r="AF695" s="443"/>
      <c r="AG695" s="443"/>
      <c r="AH695" s="443"/>
    </row>
    <row r="696" spans="1:34" ht="16.5">
      <c r="A696" s="728">
        <f t="shared" si="120"/>
        <v>689</v>
      </c>
      <c r="B696" s="563">
        <v>21</v>
      </c>
      <c r="C696" s="694">
        <v>34858</v>
      </c>
      <c r="D696" s="694" t="s">
        <v>149</v>
      </c>
      <c r="E696" s="695">
        <v>8</v>
      </c>
      <c r="F696" s="503">
        <v>1995</v>
      </c>
      <c r="G696" s="563" t="s">
        <v>115</v>
      </c>
      <c r="H696" s="503" t="s">
        <v>122</v>
      </c>
      <c r="I696" s="695">
        <v>100</v>
      </c>
      <c r="J696" s="695">
        <v>0.3</v>
      </c>
      <c r="K696" s="777">
        <f t="shared" si="119"/>
        <v>1.7045454545454544E-2</v>
      </c>
      <c r="L696" s="968">
        <v>0</v>
      </c>
      <c r="M696" s="503">
        <f t="shared" si="121"/>
        <v>15</v>
      </c>
      <c r="N696" s="504">
        <v>0.65972222222222221</v>
      </c>
      <c r="O696" s="719">
        <f t="shared" si="111"/>
        <v>0.65972222222222221</v>
      </c>
      <c r="P696" s="564"/>
      <c r="Q696" s="564">
        <f t="shared" si="118"/>
        <v>-0.65972222222222221</v>
      </c>
      <c r="R696" s="965" t="s">
        <v>1520</v>
      </c>
      <c r="S696" s="487" t="s">
        <v>92</v>
      </c>
      <c r="U696" s="29" t="str">
        <f t="shared" si="112"/>
        <v>GrayF0</v>
      </c>
      <c r="V696" s="29" t="str">
        <f t="shared" si="113"/>
        <v>1995F0</v>
      </c>
      <c r="W696" s="80">
        <v>100</v>
      </c>
      <c r="X696" s="32">
        <v>0.2</v>
      </c>
      <c r="Y696" s="467">
        <v>0.01</v>
      </c>
      <c r="Z696" s="80"/>
      <c r="AA696" s="29" t="str">
        <f t="shared" si="114"/>
        <v>F0100</v>
      </c>
      <c r="AB696" s="29" t="str">
        <f t="shared" si="115"/>
        <v>F00.2</v>
      </c>
      <c r="AC696" s="29" t="str">
        <f t="shared" si="116"/>
        <v>F00.01</v>
      </c>
      <c r="AD696" s="29" t="str">
        <f t="shared" si="117"/>
        <v>F015</v>
      </c>
      <c r="AE696" s="443"/>
      <c r="AF696" s="443"/>
      <c r="AG696" s="443"/>
      <c r="AH696" s="443"/>
    </row>
    <row r="697" spans="1:34" ht="30" customHeight="1">
      <c r="A697" s="728">
        <f t="shared" si="120"/>
        <v>690</v>
      </c>
      <c r="B697" s="563">
        <v>22</v>
      </c>
      <c r="C697" s="694">
        <v>34858</v>
      </c>
      <c r="D697" s="694" t="s">
        <v>149</v>
      </c>
      <c r="E697" s="695">
        <v>8</v>
      </c>
      <c r="F697" s="503">
        <v>1995</v>
      </c>
      <c r="G697" s="563" t="s">
        <v>115</v>
      </c>
      <c r="H697" s="503" t="s">
        <v>124</v>
      </c>
      <c r="I697" s="695">
        <v>400</v>
      </c>
      <c r="J697" s="695">
        <v>6</v>
      </c>
      <c r="K697" s="777">
        <f t="shared" si="119"/>
        <v>1.3636363636363635</v>
      </c>
      <c r="L697" s="968">
        <v>100000</v>
      </c>
      <c r="M697" s="503">
        <f t="shared" si="121"/>
        <v>15</v>
      </c>
      <c r="N697" s="504">
        <v>0.65972222222222221</v>
      </c>
      <c r="O697" s="719">
        <f t="shared" si="111"/>
        <v>0.65972222222222221</v>
      </c>
      <c r="P697" s="564">
        <v>0.66527777777777775</v>
      </c>
      <c r="Q697" s="564">
        <f t="shared" si="118"/>
        <v>5.5555555555555358E-3</v>
      </c>
      <c r="R697" s="965" t="s">
        <v>1520</v>
      </c>
      <c r="S697" s="79" t="s">
        <v>459</v>
      </c>
      <c r="U697" s="29" t="str">
        <f t="shared" si="112"/>
        <v>GrayF2</v>
      </c>
      <c r="V697" s="29" t="str">
        <f t="shared" si="113"/>
        <v>1995F2</v>
      </c>
      <c r="W697" s="80">
        <v>200</v>
      </c>
      <c r="X697" s="32">
        <v>5</v>
      </c>
      <c r="Y697" s="467">
        <v>1</v>
      </c>
      <c r="Z697" s="80"/>
      <c r="AA697" s="29" t="str">
        <f t="shared" si="114"/>
        <v>F2200</v>
      </c>
      <c r="AB697" s="29" t="str">
        <f t="shared" si="115"/>
        <v>F25</v>
      </c>
      <c r="AC697" s="29" t="str">
        <f t="shared" si="116"/>
        <v>F21</v>
      </c>
      <c r="AD697" s="29" t="str">
        <f t="shared" si="117"/>
        <v>F215</v>
      </c>
      <c r="AE697" s="443"/>
      <c r="AF697" s="443"/>
      <c r="AG697" s="443"/>
      <c r="AH697" s="443"/>
    </row>
    <row r="698" spans="1:34" ht="16.5">
      <c r="A698" s="728">
        <f t="shared" si="120"/>
        <v>691</v>
      </c>
      <c r="B698" s="563">
        <v>23</v>
      </c>
      <c r="C698" s="694">
        <v>34858</v>
      </c>
      <c r="D698" s="694" t="s">
        <v>149</v>
      </c>
      <c r="E698" s="695">
        <v>8</v>
      </c>
      <c r="F698" s="503">
        <v>1995</v>
      </c>
      <c r="G698" s="563" t="s">
        <v>110</v>
      </c>
      <c r="H698" s="503" t="s">
        <v>123</v>
      </c>
      <c r="I698" s="695">
        <v>200</v>
      </c>
      <c r="J698" s="695">
        <v>3</v>
      </c>
      <c r="K698" s="777">
        <f t="shared" si="119"/>
        <v>0.34090909090909088</v>
      </c>
      <c r="L698" s="968">
        <v>0</v>
      </c>
      <c r="M698" s="503">
        <f t="shared" si="121"/>
        <v>15</v>
      </c>
      <c r="N698" s="504">
        <v>0.66319444444444442</v>
      </c>
      <c r="O698" s="719">
        <f t="shared" si="111"/>
        <v>0.66319444444444442</v>
      </c>
      <c r="P698" s="564">
        <v>0.67708333333333337</v>
      </c>
      <c r="Q698" s="564">
        <f t="shared" si="118"/>
        <v>1.3888888888888951E-2</v>
      </c>
      <c r="R698" s="965" t="s">
        <v>1520</v>
      </c>
      <c r="S698" s="487" t="s">
        <v>402</v>
      </c>
      <c r="T698" s="29"/>
      <c r="U698" s="29" t="str">
        <f t="shared" si="112"/>
        <v>RobertsF1</v>
      </c>
      <c r="V698" s="29" t="str">
        <f t="shared" si="113"/>
        <v>1995F1</v>
      </c>
      <c r="W698" s="80">
        <v>200</v>
      </c>
      <c r="X698" s="32">
        <v>2</v>
      </c>
      <c r="Y698" s="467">
        <v>0.2</v>
      </c>
      <c r="Z698" s="80"/>
      <c r="AA698" s="29" t="str">
        <f t="shared" si="114"/>
        <v>F1200</v>
      </c>
      <c r="AB698" s="29" t="str">
        <f t="shared" si="115"/>
        <v>F12</v>
      </c>
      <c r="AC698" s="29" t="str">
        <f t="shared" si="116"/>
        <v>F10.2</v>
      </c>
      <c r="AD698" s="29" t="str">
        <f t="shared" si="117"/>
        <v>F115</v>
      </c>
      <c r="AE698" s="443"/>
      <c r="AF698" s="443"/>
      <c r="AG698" s="443"/>
      <c r="AH698" s="443"/>
    </row>
    <row r="699" spans="1:34" ht="16.5">
      <c r="A699" s="728">
        <f t="shared" si="120"/>
        <v>692</v>
      </c>
      <c r="B699" s="563">
        <v>24</v>
      </c>
      <c r="C699" s="694">
        <v>34858</v>
      </c>
      <c r="D699" s="694" t="s">
        <v>149</v>
      </c>
      <c r="E699" s="695">
        <v>8</v>
      </c>
      <c r="F699" s="503">
        <v>1995</v>
      </c>
      <c r="G699" s="563" t="s">
        <v>115</v>
      </c>
      <c r="H699" s="503" t="s">
        <v>123</v>
      </c>
      <c r="I699" s="695">
        <v>250</v>
      </c>
      <c r="J699" s="695">
        <v>2</v>
      </c>
      <c r="K699" s="777">
        <f t="shared" si="119"/>
        <v>0.28409090909090912</v>
      </c>
      <c r="L699" s="968">
        <v>0</v>
      </c>
      <c r="M699" s="503">
        <f t="shared" si="121"/>
        <v>16</v>
      </c>
      <c r="N699" s="504">
        <v>0.66666666666666663</v>
      </c>
      <c r="O699" s="719">
        <f t="shared" si="111"/>
        <v>0.66666666666666663</v>
      </c>
      <c r="P699" s="564">
        <v>0.67361111111111116</v>
      </c>
      <c r="Q699" s="564">
        <f t="shared" si="118"/>
        <v>6.9444444444445308E-3</v>
      </c>
      <c r="R699" s="965" t="s">
        <v>1520</v>
      </c>
      <c r="S699" s="494" t="s">
        <v>313</v>
      </c>
      <c r="T699" s="29"/>
      <c r="U699" s="29" t="str">
        <f t="shared" si="112"/>
        <v>GrayF1</v>
      </c>
      <c r="V699" s="29" t="str">
        <f t="shared" si="113"/>
        <v>1995F1</v>
      </c>
      <c r="W699" s="80">
        <v>200</v>
      </c>
      <c r="X699" s="32">
        <v>2</v>
      </c>
      <c r="Y699" s="467">
        <v>0.2</v>
      </c>
      <c r="Z699" s="80"/>
      <c r="AA699" s="29" t="str">
        <f t="shared" si="114"/>
        <v>F1200</v>
      </c>
      <c r="AB699" s="29" t="str">
        <f t="shared" si="115"/>
        <v>F12</v>
      </c>
      <c r="AC699" s="29" t="str">
        <f t="shared" si="116"/>
        <v>F10.2</v>
      </c>
      <c r="AD699" s="29" t="str">
        <f t="shared" si="117"/>
        <v>F116</v>
      </c>
      <c r="AE699" s="443"/>
      <c r="AF699" s="443"/>
      <c r="AG699" s="443"/>
      <c r="AH699" s="443"/>
    </row>
    <row r="700" spans="1:34" ht="16.5">
      <c r="A700" s="728">
        <f t="shared" si="120"/>
        <v>693</v>
      </c>
      <c r="B700" s="563">
        <v>25</v>
      </c>
      <c r="C700" s="694">
        <v>34858</v>
      </c>
      <c r="D700" s="694" t="s">
        <v>149</v>
      </c>
      <c r="E700" s="695">
        <v>8</v>
      </c>
      <c r="F700" s="503">
        <v>1995</v>
      </c>
      <c r="G700" s="563" t="s">
        <v>105</v>
      </c>
      <c r="H700" s="503" t="s">
        <v>122</v>
      </c>
      <c r="I700" s="695">
        <v>75</v>
      </c>
      <c r="J700" s="695">
        <v>1</v>
      </c>
      <c r="K700" s="777">
        <f t="shared" si="119"/>
        <v>4.261363636363636E-2</v>
      </c>
      <c r="L700" s="968">
        <v>0</v>
      </c>
      <c r="M700" s="503">
        <f t="shared" si="121"/>
        <v>16</v>
      </c>
      <c r="N700" s="504">
        <v>0.67708333333333337</v>
      </c>
      <c r="O700" s="719">
        <f t="shared" si="111"/>
        <v>0.67708333333333337</v>
      </c>
      <c r="P700" s="564"/>
      <c r="Q700" s="564">
        <f t="shared" si="118"/>
        <v>-0.67708333333333337</v>
      </c>
      <c r="R700" s="965" t="s">
        <v>1520</v>
      </c>
      <c r="S700" s="487" t="s">
        <v>373</v>
      </c>
      <c r="T700" s="29"/>
      <c r="U700" s="29" t="str">
        <f t="shared" si="112"/>
        <v>OchiltreeF0</v>
      </c>
      <c r="V700" s="29" t="str">
        <f t="shared" si="113"/>
        <v>1995F0</v>
      </c>
      <c r="W700" s="80">
        <v>50</v>
      </c>
      <c r="X700" s="32">
        <v>1</v>
      </c>
      <c r="Y700" s="467">
        <v>0.02</v>
      </c>
      <c r="Z700" s="80"/>
      <c r="AA700" s="29" t="str">
        <f t="shared" si="114"/>
        <v>F050</v>
      </c>
      <c r="AB700" s="29" t="str">
        <f t="shared" si="115"/>
        <v>F01</v>
      </c>
      <c r="AC700" s="29" t="str">
        <f t="shared" si="116"/>
        <v>F00.02</v>
      </c>
      <c r="AD700" s="29" t="str">
        <f t="shared" si="117"/>
        <v>F016</v>
      </c>
      <c r="AE700" s="443"/>
      <c r="AF700" s="443"/>
      <c r="AG700" s="443"/>
      <c r="AH700" s="443"/>
    </row>
    <row r="701" spans="1:34" ht="16.5">
      <c r="A701" s="728">
        <f t="shared" si="120"/>
        <v>694</v>
      </c>
      <c r="B701" s="563">
        <v>26</v>
      </c>
      <c r="C701" s="694">
        <v>34858</v>
      </c>
      <c r="D701" s="694" t="s">
        <v>149</v>
      </c>
      <c r="E701" s="695">
        <v>8</v>
      </c>
      <c r="F701" s="503">
        <v>1995</v>
      </c>
      <c r="G701" s="563" t="s">
        <v>120</v>
      </c>
      <c r="H701" s="503" t="s">
        <v>122</v>
      </c>
      <c r="I701" s="695">
        <v>100</v>
      </c>
      <c r="J701" s="695">
        <v>2</v>
      </c>
      <c r="K701" s="777">
        <f t="shared" si="119"/>
        <v>0.11363636363636363</v>
      </c>
      <c r="L701" s="968">
        <v>0</v>
      </c>
      <c r="M701" s="503">
        <f t="shared" si="121"/>
        <v>16</v>
      </c>
      <c r="N701" s="504">
        <v>0.67986111111111114</v>
      </c>
      <c r="O701" s="719">
        <f t="shared" si="111"/>
        <v>0.67986111111111114</v>
      </c>
      <c r="P701" s="564"/>
      <c r="Q701" s="564">
        <f t="shared" si="118"/>
        <v>-0.67986111111111114</v>
      </c>
      <c r="R701" s="965" t="s">
        <v>1520</v>
      </c>
      <c r="S701" s="487" t="s">
        <v>297</v>
      </c>
      <c r="T701" s="29"/>
      <c r="U701" s="29" t="str">
        <f t="shared" si="112"/>
        <v>DonleyF0</v>
      </c>
      <c r="V701" s="29" t="str">
        <f t="shared" si="113"/>
        <v>1995F0</v>
      </c>
      <c r="W701" s="80">
        <v>100</v>
      </c>
      <c r="X701" s="32">
        <v>2</v>
      </c>
      <c r="Y701" s="467">
        <v>0.1</v>
      </c>
      <c r="Z701" s="80"/>
      <c r="AA701" s="29" t="str">
        <f t="shared" si="114"/>
        <v>F0100</v>
      </c>
      <c r="AB701" s="29" t="str">
        <f t="shared" si="115"/>
        <v>F02</v>
      </c>
      <c r="AC701" s="29" t="str">
        <f t="shared" si="116"/>
        <v>F00.1</v>
      </c>
      <c r="AD701" s="29" t="str">
        <f t="shared" si="117"/>
        <v>F016</v>
      </c>
      <c r="AE701" s="443"/>
      <c r="AF701" s="443"/>
      <c r="AG701" s="443"/>
      <c r="AH701" s="443"/>
    </row>
    <row r="702" spans="1:34" ht="16.5">
      <c r="A702" s="728">
        <f t="shared" si="120"/>
        <v>695</v>
      </c>
      <c r="B702" s="563">
        <v>27</v>
      </c>
      <c r="C702" s="694">
        <v>34858</v>
      </c>
      <c r="D702" s="694" t="s">
        <v>149</v>
      </c>
      <c r="E702" s="695">
        <v>8</v>
      </c>
      <c r="F702" s="503">
        <v>1995</v>
      </c>
      <c r="G702" s="563" t="s">
        <v>110</v>
      </c>
      <c r="H702" s="503" t="s">
        <v>123</v>
      </c>
      <c r="I702" s="695">
        <v>250</v>
      </c>
      <c r="J702" s="695">
        <v>10</v>
      </c>
      <c r="K702" s="777">
        <f t="shared" si="119"/>
        <v>1.4204545454545456</v>
      </c>
      <c r="L702" s="968">
        <v>300000</v>
      </c>
      <c r="M702" s="503">
        <f t="shared" si="121"/>
        <v>16</v>
      </c>
      <c r="N702" s="504">
        <v>0.69097222222222221</v>
      </c>
      <c r="O702" s="719">
        <f t="shared" si="111"/>
        <v>0.69097222222222221</v>
      </c>
      <c r="P702" s="564">
        <v>0.70138888888888884</v>
      </c>
      <c r="Q702" s="564">
        <f t="shared" si="118"/>
        <v>1.041666666666663E-2</v>
      </c>
      <c r="R702" s="965" t="s">
        <v>1520</v>
      </c>
      <c r="S702" s="487" t="s">
        <v>403</v>
      </c>
      <c r="T702" s="29"/>
      <c r="U702" s="29" t="str">
        <f t="shared" si="112"/>
        <v>RobertsF1</v>
      </c>
      <c r="V702" s="29" t="str">
        <f t="shared" si="113"/>
        <v>1995F1</v>
      </c>
      <c r="W702" s="80">
        <v>200</v>
      </c>
      <c r="X702" s="32">
        <v>10</v>
      </c>
      <c r="Y702" s="467">
        <v>1</v>
      </c>
      <c r="Z702" s="80"/>
      <c r="AA702" s="29" t="str">
        <f t="shared" si="114"/>
        <v>F1200</v>
      </c>
      <c r="AB702" s="29" t="str">
        <f t="shared" si="115"/>
        <v>F110</v>
      </c>
      <c r="AC702" s="29" t="str">
        <f t="shared" si="116"/>
        <v>F11</v>
      </c>
      <c r="AD702" s="29" t="str">
        <f t="shared" si="117"/>
        <v>F116</v>
      </c>
      <c r="AE702" s="443"/>
      <c r="AF702" s="443"/>
      <c r="AG702" s="443"/>
      <c r="AH702" s="443"/>
    </row>
    <row r="703" spans="1:34" ht="16.5">
      <c r="A703" s="728">
        <f t="shared" si="120"/>
        <v>696</v>
      </c>
      <c r="B703" s="563">
        <v>28</v>
      </c>
      <c r="C703" s="694">
        <v>34858</v>
      </c>
      <c r="D703" s="694" t="s">
        <v>149</v>
      </c>
      <c r="E703" s="695">
        <v>8</v>
      </c>
      <c r="F703" s="503">
        <v>1995</v>
      </c>
      <c r="G703" s="707" t="s">
        <v>120</v>
      </c>
      <c r="H703" s="736" t="s">
        <v>124</v>
      </c>
      <c r="I703" s="737">
        <v>500</v>
      </c>
      <c r="J703" s="737">
        <v>10</v>
      </c>
      <c r="K703" s="777">
        <f t="shared" si="119"/>
        <v>2.8409090909090913</v>
      </c>
      <c r="L703" s="968">
        <v>0</v>
      </c>
      <c r="M703" s="736">
        <f t="shared" si="121"/>
        <v>16</v>
      </c>
      <c r="N703" s="504">
        <v>0.70486111111111116</v>
      </c>
      <c r="O703" s="738">
        <f t="shared" si="111"/>
        <v>0.70486111111111116</v>
      </c>
      <c r="P703" s="739">
        <v>0.71527777777777779</v>
      </c>
      <c r="Q703" s="564">
        <f t="shared" si="118"/>
        <v>1.041666666666663E-2</v>
      </c>
      <c r="R703" s="965" t="s">
        <v>1520</v>
      </c>
      <c r="S703" s="487" t="s">
        <v>298</v>
      </c>
      <c r="T703" s="29"/>
      <c r="U703" s="29" t="str">
        <f t="shared" si="112"/>
        <v>DonleyF2</v>
      </c>
      <c r="V703" s="29" t="str">
        <f t="shared" si="113"/>
        <v>1995F2</v>
      </c>
      <c r="W703" s="80">
        <v>500</v>
      </c>
      <c r="X703" s="32">
        <v>10</v>
      </c>
      <c r="Y703" s="467">
        <v>2</v>
      </c>
      <c r="Z703" s="80"/>
      <c r="AA703" s="29" t="str">
        <f t="shared" si="114"/>
        <v>F2500</v>
      </c>
      <c r="AB703" s="29" t="str">
        <f t="shared" si="115"/>
        <v>F210</v>
      </c>
      <c r="AC703" s="29" t="str">
        <f t="shared" si="116"/>
        <v>F22</v>
      </c>
      <c r="AD703" s="29" t="str">
        <f t="shared" si="117"/>
        <v>F216</v>
      </c>
      <c r="AE703" s="443"/>
      <c r="AF703" s="443"/>
      <c r="AG703" s="443"/>
      <c r="AH703" s="443"/>
    </row>
    <row r="704" spans="1:34" ht="16.5">
      <c r="A704" s="728">
        <f t="shared" si="120"/>
        <v>697</v>
      </c>
      <c r="B704" s="563">
        <v>29</v>
      </c>
      <c r="C704" s="694">
        <v>34858</v>
      </c>
      <c r="D704" s="694" t="s">
        <v>149</v>
      </c>
      <c r="E704" s="695">
        <v>8</v>
      </c>
      <c r="F704" s="503">
        <v>1995</v>
      </c>
      <c r="G704" s="707" t="s">
        <v>115</v>
      </c>
      <c r="H704" s="736" t="s">
        <v>124</v>
      </c>
      <c r="I704" s="737">
        <v>300</v>
      </c>
      <c r="J704" s="737">
        <v>4</v>
      </c>
      <c r="K704" s="777">
        <f t="shared" si="119"/>
        <v>0.68181818181818177</v>
      </c>
      <c r="L704" s="968">
        <v>100000</v>
      </c>
      <c r="M704" s="736">
        <f t="shared" si="121"/>
        <v>16</v>
      </c>
      <c r="N704" s="504">
        <v>0.70763888888888893</v>
      </c>
      <c r="O704" s="738">
        <f t="shared" si="111"/>
        <v>0.70763888888888893</v>
      </c>
      <c r="P704" s="739">
        <v>0.72569444444444453</v>
      </c>
      <c r="Q704" s="564">
        <f t="shared" si="118"/>
        <v>1.8055555555555602E-2</v>
      </c>
      <c r="R704" s="965" t="s">
        <v>1520</v>
      </c>
      <c r="S704" s="487" t="s">
        <v>94</v>
      </c>
      <c r="T704" s="29"/>
      <c r="U704" s="29" t="str">
        <f t="shared" si="112"/>
        <v>GrayF2</v>
      </c>
      <c r="V704" s="29" t="str">
        <f t="shared" si="113"/>
        <v>1995F2</v>
      </c>
      <c r="W704" s="80">
        <v>200</v>
      </c>
      <c r="X704" s="32">
        <v>2</v>
      </c>
      <c r="Y704" s="467">
        <v>0.5</v>
      </c>
      <c r="Z704" s="80"/>
      <c r="AA704" s="29" t="str">
        <f t="shared" si="114"/>
        <v>F2200</v>
      </c>
      <c r="AB704" s="29" t="str">
        <f t="shared" si="115"/>
        <v>F22</v>
      </c>
      <c r="AC704" s="29" t="str">
        <f t="shared" si="116"/>
        <v>F20.5</v>
      </c>
      <c r="AD704" s="29" t="str">
        <f t="shared" si="117"/>
        <v>F216</v>
      </c>
      <c r="AE704" s="443"/>
      <c r="AF704" s="443"/>
      <c r="AG704" s="443"/>
      <c r="AH704" s="443"/>
    </row>
    <row r="705" spans="1:34" ht="56.25" customHeight="1">
      <c r="A705" s="728">
        <f t="shared" si="120"/>
        <v>698</v>
      </c>
      <c r="B705" s="563">
        <v>30</v>
      </c>
      <c r="C705" s="694">
        <v>34858</v>
      </c>
      <c r="D705" s="694" t="s">
        <v>149</v>
      </c>
      <c r="E705" s="695">
        <v>8</v>
      </c>
      <c r="F705" s="503">
        <v>1995</v>
      </c>
      <c r="G705" s="707" t="s">
        <v>120</v>
      </c>
      <c r="H705" s="736" t="s">
        <v>124</v>
      </c>
      <c r="I705" s="737">
        <v>400</v>
      </c>
      <c r="J705" s="737">
        <v>4</v>
      </c>
      <c r="K705" s="777">
        <f t="shared" si="119"/>
        <v>0.90909090909090906</v>
      </c>
      <c r="L705" s="968">
        <v>0</v>
      </c>
      <c r="M705" s="736">
        <f t="shared" si="121"/>
        <v>17</v>
      </c>
      <c r="N705" s="504">
        <v>0.71527777777777779</v>
      </c>
      <c r="O705" s="738">
        <f t="shared" si="111"/>
        <v>0.71527777777777779</v>
      </c>
      <c r="P705" s="739">
        <v>0.72083333333333333</v>
      </c>
      <c r="Q705" s="564">
        <f t="shared" si="118"/>
        <v>5.5555555555555358E-3</v>
      </c>
      <c r="R705" s="965" t="s">
        <v>1520</v>
      </c>
      <c r="S705" s="79" t="s">
        <v>823</v>
      </c>
      <c r="T705" s="29"/>
      <c r="U705" s="29" t="str">
        <f t="shared" si="112"/>
        <v>DonleyF2</v>
      </c>
      <c r="V705" s="29" t="str">
        <f t="shared" si="113"/>
        <v>1995F2</v>
      </c>
      <c r="W705" s="80">
        <v>200</v>
      </c>
      <c r="X705" s="32">
        <v>2</v>
      </c>
      <c r="Y705" s="467">
        <v>0.5</v>
      </c>
      <c r="Z705" s="80"/>
      <c r="AA705" s="29" t="str">
        <f t="shared" si="114"/>
        <v>F2200</v>
      </c>
      <c r="AB705" s="29" t="str">
        <f t="shared" si="115"/>
        <v>F22</v>
      </c>
      <c r="AC705" s="29" t="str">
        <f t="shared" si="116"/>
        <v>F20.5</v>
      </c>
      <c r="AD705" s="29" t="str">
        <f t="shared" si="117"/>
        <v>F217</v>
      </c>
      <c r="AE705" s="443"/>
      <c r="AF705" s="443"/>
      <c r="AG705" s="443"/>
      <c r="AH705" s="443"/>
    </row>
    <row r="706" spans="1:34" ht="16.5">
      <c r="A706" s="728">
        <f t="shared" si="120"/>
        <v>699</v>
      </c>
      <c r="B706" s="563">
        <v>31</v>
      </c>
      <c r="C706" s="694">
        <v>34858</v>
      </c>
      <c r="D706" s="694" t="s">
        <v>149</v>
      </c>
      <c r="E706" s="695">
        <v>8</v>
      </c>
      <c r="F706" s="503">
        <v>1995</v>
      </c>
      <c r="G706" s="563" t="s">
        <v>115</v>
      </c>
      <c r="H706" s="503" t="s">
        <v>122</v>
      </c>
      <c r="I706" s="695">
        <v>100</v>
      </c>
      <c r="J706" s="695">
        <v>2</v>
      </c>
      <c r="K706" s="777">
        <f t="shared" si="119"/>
        <v>0.11363636363636363</v>
      </c>
      <c r="L706" s="968">
        <v>0</v>
      </c>
      <c r="M706" s="503">
        <f t="shared" si="121"/>
        <v>17</v>
      </c>
      <c r="N706" s="504">
        <v>0.71527777777777779</v>
      </c>
      <c r="O706" s="719">
        <f t="shared" si="111"/>
        <v>0.71527777777777779</v>
      </c>
      <c r="P706" s="564"/>
      <c r="Q706" s="564">
        <f t="shared" si="118"/>
        <v>-0.71527777777777779</v>
      </c>
      <c r="R706" s="965" t="s">
        <v>1520</v>
      </c>
      <c r="S706" s="487" t="s">
        <v>314</v>
      </c>
      <c r="T706" s="29"/>
      <c r="U706" s="29" t="str">
        <f t="shared" si="112"/>
        <v>GrayF0</v>
      </c>
      <c r="V706" s="29" t="str">
        <f t="shared" si="113"/>
        <v>1995F0</v>
      </c>
      <c r="W706" s="80">
        <v>100</v>
      </c>
      <c r="X706" s="32">
        <v>2</v>
      </c>
      <c r="Y706" s="467">
        <v>0.1</v>
      </c>
      <c r="Z706" s="80"/>
      <c r="AA706" s="29" t="str">
        <f t="shared" si="114"/>
        <v>F0100</v>
      </c>
      <c r="AB706" s="29" t="str">
        <f t="shared" si="115"/>
        <v>F02</v>
      </c>
      <c r="AC706" s="29" t="str">
        <f t="shared" si="116"/>
        <v>F00.1</v>
      </c>
      <c r="AD706" s="29" t="str">
        <f t="shared" si="117"/>
        <v>F017</v>
      </c>
      <c r="AE706" s="443"/>
      <c r="AF706" s="443"/>
      <c r="AG706" s="443"/>
      <c r="AH706" s="443"/>
    </row>
    <row r="707" spans="1:34" ht="25.5">
      <c r="A707" s="728">
        <f t="shared" si="120"/>
        <v>700</v>
      </c>
      <c r="B707" s="563">
        <v>32</v>
      </c>
      <c r="C707" s="694">
        <v>34858</v>
      </c>
      <c r="D707" s="694" t="s">
        <v>149</v>
      </c>
      <c r="E707" s="695">
        <v>8</v>
      </c>
      <c r="F707" s="503">
        <v>1995</v>
      </c>
      <c r="G707" s="563" t="s">
        <v>115</v>
      </c>
      <c r="H707" s="503" t="s">
        <v>124</v>
      </c>
      <c r="I707" s="695">
        <v>300</v>
      </c>
      <c r="J707" s="695">
        <v>5</v>
      </c>
      <c r="K707" s="777">
        <f t="shared" si="119"/>
        <v>0.85227272727272718</v>
      </c>
      <c r="L707" s="968">
        <v>0</v>
      </c>
      <c r="M707" s="503">
        <f t="shared" si="121"/>
        <v>17</v>
      </c>
      <c r="N707" s="504">
        <v>0.72083333333333333</v>
      </c>
      <c r="O707" s="719">
        <f t="shared" si="111"/>
        <v>0.72083333333333333</v>
      </c>
      <c r="P707" s="564">
        <v>0.72569444444444453</v>
      </c>
      <c r="Q707" s="564">
        <f t="shared" si="118"/>
        <v>4.8611111111112049E-3</v>
      </c>
      <c r="R707" s="965" t="s">
        <v>1520</v>
      </c>
      <c r="S707" s="487" t="s">
        <v>824</v>
      </c>
      <c r="T707" s="29"/>
      <c r="U707" s="29" t="str">
        <f t="shared" si="112"/>
        <v>GrayF2</v>
      </c>
      <c r="V707" s="29" t="str">
        <f t="shared" si="113"/>
        <v>1995F2</v>
      </c>
      <c r="W707" s="80">
        <v>200</v>
      </c>
      <c r="X707" s="32">
        <v>5</v>
      </c>
      <c r="Y707" s="467">
        <v>0.5</v>
      </c>
      <c r="Z707" s="80"/>
      <c r="AA707" s="29" t="str">
        <f t="shared" si="114"/>
        <v>F2200</v>
      </c>
      <c r="AB707" s="29" t="str">
        <f t="shared" si="115"/>
        <v>F25</v>
      </c>
      <c r="AC707" s="29" t="str">
        <f t="shared" si="116"/>
        <v>F20.5</v>
      </c>
      <c r="AD707" s="29" t="str">
        <f t="shared" si="117"/>
        <v>F217</v>
      </c>
      <c r="AE707" s="443"/>
      <c r="AF707" s="443"/>
      <c r="AG707" s="443"/>
      <c r="AH707" s="443"/>
    </row>
    <row r="708" spans="1:34" ht="16.5">
      <c r="A708" s="728">
        <f t="shared" si="120"/>
        <v>701</v>
      </c>
      <c r="B708" s="563">
        <v>33</v>
      </c>
      <c r="C708" s="694">
        <v>34858</v>
      </c>
      <c r="D708" s="694" t="s">
        <v>149</v>
      </c>
      <c r="E708" s="695">
        <v>8</v>
      </c>
      <c r="F708" s="503">
        <v>1995</v>
      </c>
      <c r="G708" s="563" t="s">
        <v>115</v>
      </c>
      <c r="H708" s="503" t="s">
        <v>122</v>
      </c>
      <c r="I708" s="695">
        <v>50</v>
      </c>
      <c r="J708" s="695">
        <v>1</v>
      </c>
      <c r="K708" s="777">
        <f t="shared" si="119"/>
        <v>2.8409090909090908E-2</v>
      </c>
      <c r="L708" s="968">
        <v>0</v>
      </c>
      <c r="M708" s="503">
        <f t="shared" si="121"/>
        <v>17</v>
      </c>
      <c r="N708" s="504">
        <v>0.72291666666666676</v>
      </c>
      <c r="O708" s="719">
        <f t="shared" si="111"/>
        <v>0.72291666666666676</v>
      </c>
      <c r="P708" s="564"/>
      <c r="Q708" s="564">
        <f t="shared" si="118"/>
        <v>-0.72291666666666676</v>
      </c>
      <c r="R708" s="965" t="s">
        <v>1520</v>
      </c>
      <c r="S708" s="487" t="s">
        <v>95</v>
      </c>
      <c r="T708" s="29"/>
      <c r="U708" s="29" t="str">
        <f t="shared" si="112"/>
        <v>GrayF0</v>
      </c>
      <c r="V708" s="29" t="str">
        <f t="shared" si="113"/>
        <v>1995F0</v>
      </c>
      <c r="W708" s="80">
        <v>50</v>
      </c>
      <c r="X708" s="32">
        <v>1</v>
      </c>
      <c r="Y708" s="467">
        <v>0.02</v>
      </c>
      <c r="Z708" s="80"/>
      <c r="AA708" s="29" t="str">
        <f t="shared" si="114"/>
        <v>F050</v>
      </c>
      <c r="AB708" s="29" t="str">
        <f t="shared" si="115"/>
        <v>F01</v>
      </c>
      <c r="AC708" s="29" t="str">
        <f t="shared" si="116"/>
        <v>F00.02</v>
      </c>
      <c r="AD708" s="29" t="str">
        <f t="shared" si="117"/>
        <v>F017</v>
      </c>
      <c r="AE708" s="443"/>
      <c r="AF708" s="443"/>
      <c r="AG708" s="443"/>
      <c r="AH708" s="443"/>
    </row>
    <row r="709" spans="1:34" ht="39.950000000000003" customHeight="1">
      <c r="A709" s="728">
        <f t="shared" si="120"/>
        <v>702</v>
      </c>
      <c r="B709" s="563">
        <v>34</v>
      </c>
      <c r="C709" s="694">
        <v>34858</v>
      </c>
      <c r="D709" s="694" t="s">
        <v>149</v>
      </c>
      <c r="E709" s="695">
        <v>8</v>
      </c>
      <c r="F709" s="503">
        <v>1995</v>
      </c>
      <c r="G709" s="563" t="s">
        <v>115</v>
      </c>
      <c r="H709" s="503" t="s">
        <v>126</v>
      </c>
      <c r="I709" s="695">
        <v>600</v>
      </c>
      <c r="J709" s="695">
        <v>5</v>
      </c>
      <c r="K709" s="777">
        <f t="shared" si="119"/>
        <v>1.7045454545454544</v>
      </c>
      <c r="L709" s="968">
        <v>200000</v>
      </c>
      <c r="M709" s="503">
        <f t="shared" si="121"/>
        <v>17</v>
      </c>
      <c r="N709" s="504">
        <v>0.73263888888888884</v>
      </c>
      <c r="O709" s="719">
        <f t="shared" si="111"/>
        <v>0.73263888888888884</v>
      </c>
      <c r="P709" s="564">
        <v>0.74652777777777779</v>
      </c>
      <c r="Q709" s="564">
        <f t="shared" si="118"/>
        <v>1.3888888888888951E-2</v>
      </c>
      <c r="R709" s="965" t="s">
        <v>1520</v>
      </c>
      <c r="S709" s="303" t="s">
        <v>720</v>
      </c>
      <c r="T709" s="29"/>
      <c r="U709" s="29" t="str">
        <f t="shared" si="112"/>
        <v>GrayF4</v>
      </c>
      <c r="V709" s="29" t="str">
        <f t="shared" si="113"/>
        <v>1995F4</v>
      </c>
      <c r="W709" s="80">
        <v>500</v>
      </c>
      <c r="X709" s="32">
        <v>5</v>
      </c>
      <c r="Y709" s="467">
        <v>1</v>
      </c>
      <c r="Z709" s="80"/>
      <c r="AA709" s="29" t="str">
        <f t="shared" si="114"/>
        <v>F4500</v>
      </c>
      <c r="AB709" s="29" t="str">
        <f t="shared" si="115"/>
        <v>F45</v>
      </c>
      <c r="AC709" s="29" t="str">
        <f t="shared" si="116"/>
        <v>F41</v>
      </c>
      <c r="AD709" s="29" t="str">
        <f t="shared" si="117"/>
        <v>F417</v>
      </c>
      <c r="AE709" s="443"/>
      <c r="AF709" s="443"/>
      <c r="AG709" s="443"/>
      <c r="AH709" s="443"/>
    </row>
    <row r="710" spans="1:34" ht="16.5">
      <c r="A710" s="728">
        <f t="shared" si="120"/>
        <v>703</v>
      </c>
      <c r="B710" s="563">
        <v>35</v>
      </c>
      <c r="C710" s="694">
        <v>34858</v>
      </c>
      <c r="D710" s="694" t="s">
        <v>149</v>
      </c>
      <c r="E710" s="695">
        <v>8</v>
      </c>
      <c r="F710" s="503">
        <v>1995</v>
      </c>
      <c r="G710" s="563" t="s">
        <v>111</v>
      </c>
      <c r="H710" s="503" t="s">
        <v>122</v>
      </c>
      <c r="I710" s="695">
        <v>150</v>
      </c>
      <c r="J710" s="695">
        <v>4</v>
      </c>
      <c r="K710" s="777">
        <f t="shared" si="119"/>
        <v>0.34090909090909088</v>
      </c>
      <c r="L710" s="968">
        <v>0</v>
      </c>
      <c r="M710" s="503">
        <f t="shared" si="121"/>
        <v>17</v>
      </c>
      <c r="N710" s="504">
        <v>0.73819444444444438</v>
      </c>
      <c r="O710" s="719">
        <f t="shared" si="111"/>
        <v>0.73819444444444438</v>
      </c>
      <c r="P710" s="564">
        <v>0.74236111111111114</v>
      </c>
      <c r="Q710" s="564">
        <f t="shared" si="118"/>
        <v>4.1666666666667629E-3</v>
      </c>
      <c r="R710" s="965" t="s">
        <v>1520</v>
      </c>
      <c r="S710" s="487" t="s">
        <v>36</v>
      </c>
      <c r="T710" s="29"/>
      <c r="U710" s="29" t="str">
        <f t="shared" si="112"/>
        <v>HemphillF0</v>
      </c>
      <c r="V710" s="29" t="str">
        <f t="shared" si="113"/>
        <v>1995F0</v>
      </c>
      <c r="W710" s="80">
        <v>100</v>
      </c>
      <c r="X710" s="32">
        <v>2</v>
      </c>
      <c r="Y710" s="467">
        <v>0.2</v>
      </c>
      <c r="Z710" s="80"/>
      <c r="AA710" s="29" t="str">
        <f t="shared" si="114"/>
        <v>F0100</v>
      </c>
      <c r="AB710" s="29" t="str">
        <f t="shared" si="115"/>
        <v>F02</v>
      </c>
      <c r="AC710" s="29" t="str">
        <f t="shared" si="116"/>
        <v>F00.2</v>
      </c>
      <c r="AD710" s="29" t="str">
        <f t="shared" si="117"/>
        <v>F017</v>
      </c>
      <c r="AE710" s="443"/>
      <c r="AF710" s="443"/>
      <c r="AG710" s="443"/>
      <c r="AH710" s="443"/>
    </row>
    <row r="711" spans="1:34" ht="16.5">
      <c r="A711" s="728">
        <f t="shared" si="120"/>
        <v>704</v>
      </c>
      <c r="B711" s="563">
        <v>36</v>
      </c>
      <c r="C711" s="694">
        <v>34858</v>
      </c>
      <c r="D711" s="694" t="s">
        <v>149</v>
      </c>
      <c r="E711" s="695">
        <v>8</v>
      </c>
      <c r="F711" s="503">
        <v>1995</v>
      </c>
      <c r="G711" s="563" t="s">
        <v>110</v>
      </c>
      <c r="H711" s="503" t="s">
        <v>122</v>
      </c>
      <c r="I711" s="695">
        <v>50</v>
      </c>
      <c r="J711" s="695">
        <v>0.5</v>
      </c>
      <c r="K711" s="777">
        <f t="shared" si="119"/>
        <v>1.4204545454545454E-2</v>
      </c>
      <c r="L711" s="968">
        <v>0</v>
      </c>
      <c r="M711" s="503">
        <f t="shared" si="121"/>
        <v>17</v>
      </c>
      <c r="N711" s="504">
        <v>0.74513888888888891</v>
      </c>
      <c r="O711" s="719">
        <f t="shared" ref="O711:O774" si="122">+N711</f>
        <v>0.74513888888888891</v>
      </c>
      <c r="P711" s="564"/>
      <c r="Q711" s="564">
        <f t="shared" si="118"/>
        <v>-0.74513888888888891</v>
      </c>
      <c r="R711" s="965" t="s">
        <v>1520</v>
      </c>
      <c r="S711" s="487" t="s">
        <v>404</v>
      </c>
      <c r="T711" s="29"/>
      <c r="U711" s="29" t="str">
        <f t="shared" ref="U711:U774" si="123">CONCATENATE(G711,H711)</f>
        <v>RobertsF0</v>
      </c>
      <c r="V711" s="29" t="str">
        <f t="shared" ref="V711:V774" si="124">CONCATENATE(F711,H711)</f>
        <v>1995F0</v>
      </c>
      <c r="W711" s="80">
        <v>50</v>
      </c>
      <c r="X711" s="32">
        <v>0.5</v>
      </c>
      <c r="Y711" s="467">
        <v>0.01</v>
      </c>
      <c r="Z711" s="80"/>
      <c r="AA711" s="29" t="str">
        <f t="shared" ref="AA711:AA774" si="125">CONCATENATE(H711,W711)</f>
        <v>F050</v>
      </c>
      <c r="AB711" s="29" t="str">
        <f t="shared" ref="AB711:AB774" si="126">CONCATENATE(H711,X711)</f>
        <v>F00.5</v>
      </c>
      <c r="AC711" s="29" t="str">
        <f t="shared" ref="AC711:AC774" si="127">CONCATENATE(H711,Y711)</f>
        <v>F00.01</v>
      </c>
      <c r="AD711" s="29" t="str">
        <f t="shared" ref="AD711:AD774" si="128">CONCATENATE(H711,M711)</f>
        <v>F017</v>
      </c>
      <c r="AE711" s="443"/>
      <c r="AF711" s="443"/>
      <c r="AG711" s="443"/>
      <c r="AH711" s="443"/>
    </row>
    <row r="712" spans="1:34" ht="25.5">
      <c r="A712" s="728">
        <f t="shared" si="120"/>
        <v>705</v>
      </c>
      <c r="B712" s="563">
        <v>37</v>
      </c>
      <c r="C712" s="694">
        <v>34858</v>
      </c>
      <c r="D712" s="694" t="s">
        <v>149</v>
      </c>
      <c r="E712" s="695">
        <v>8</v>
      </c>
      <c r="F712" s="503">
        <v>1995</v>
      </c>
      <c r="G712" s="563" t="s">
        <v>116</v>
      </c>
      <c r="H712" s="503" t="s">
        <v>126</v>
      </c>
      <c r="I712" s="695">
        <v>800</v>
      </c>
      <c r="J712" s="695">
        <v>24</v>
      </c>
      <c r="K712" s="777">
        <f t="shared" si="119"/>
        <v>10.909090909090908</v>
      </c>
      <c r="L712" s="968">
        <v>8000000</v>
      </c>
      <c r="M712" s="503">
        <f t="shared" si="121"/>
        <v>17</v>
      </c>
      <c r="N712" s="504">
        <v>0.74652777777777779</v>
      </c>
      <c r="O712" s="719">
        <f t="shared" si="122"/>
        <v>0.74652777777777779</v>
      </c>
      <c r="P712" s="564">
        <v>0.77083333333333337</v>
      </c>
      <c r="Q712" s="564">
        <f t="shared" ref="Q712:Q775" si="129">+P712-O712</f>
        <v>2.430555555555558E-2</v>
      </c>
      <c r="R712" s="965" t="s">
        <v>1520</v>
      </c>
      <c r="S712" s="487" t="s">
        <v>721</v>
      </c>
      <c r="T712" s="29"/>
      <c r="U712" s="29" t="str">
        <f t="shared" si="123"/>
        <v>WheelerF4</v>
      </c>
      <c r="V712" s="29" t="str">
        <f t="shared" si="124"/>
        <v>1995F4</v>
      </c>
      <c r="W712" s="80">
        <v>500</v>
      </c>
      <c r="X712" s="32">
        <v>20</v>
      </c>
      <c r="Y712" s="467">
        <v>10</v>
      </c>
      <c r="Z712" s="80"/>
      <c r="AA712" s="29" t="str">
        <f t="shared" si="125"/>
        <v>F4500</v>
      </c>
      <c r="AB712" s="29" t="str">
        <f t="shared" si="126"/>
        <v>F420</v>
      </c>
      <c r="AC712" s="29" t="str">
        <f t="shared" si="127"/>
        <v>F410</v>
      </c>
      <c r="AD712" s="29" t="str">
        <f t="shared" si="128"/>
        <v>F417</v>
      </c>
      <c r="AE712" s="443"/>
      <c r="AF712" s="443"/>
      <c r="AG712" s="443"/>
      <c r="AH712" s="443"/>
    </row>
    <row r="713" spans="1:34" ht="65.099999999999994" customHeight="1">
      <c r="A713" s="728">
        <f t="shared" si="120"/>
        <v>706</v>
      </c>
      <c r="B713" s="563">
        <v>38</v>
      </c>
      <c r="C713" s="694">
        <v>34858</v>
      </c>
      <c r="D713" s="694" t="s">
        <v>149</v>
      </c>
      <c r="E713" s="695">
        <v>8</v>
      </c>
      <c r="F713" s="503">
        <v>1995</v>
      </c>
      <c r="G713" s="563" t="s">
        <v>116</v>
      </c>
      <c r="H713" s="503" t="s">
        <v>126</v>
      </c>
      <c r="I713" s="695">
        <v>2200</v>
      </c>
      <c r="J713" s="695">
        <v>10</v>
      </c>
      <c r="K713" s="777">
        <f t="shared" ref="K713:K776" si="130">+(I713/1760)*J713</f>
        <v>12.5</v>
      </c>
      <c r="L713" s="968">
        <v>2000000</v>
      </c>
      <c r="M713" s="503">
        <f t="shared" si="121"/>
        <v>18</v>
      </c>
      <c r="N713" s="504">
        <v>0.78125</v>
      </c>
      <c r="O713" s="719">
        <f t="shared" si="122"/>
        <v>0.78125</v>
      </c>
      <c r="P713" s="564">
        <v>0.80208333333333337</v>
      </c>
      <c r="Q713" s="564">
        <f t="shared" si="129"/>
        <v>2.083333333333337E-2</v>
      </c>
      <c r="R713" s="965" t="s">
        <v>1520</v>
      </c>
      <c r="S713" s="487" t="s">
        <v>759</v>
      </c>
      <c r="T713" s="29"/>
      <c r="U713" s="29" t="str">
        <f t="shared" si="123"/>
        <v>WheelerF4</v>
      </c>
      <c r="V713" s="29" t="str">
        <f t="shared" si="124"/>
        <v>1995F4</v>
      </c>
      <c r="W713" s="80">
        <v>2000</v>
      </c>
      <c r="X713" s="32">
        <v>10</v>
      </c>
      <c r="Y713" s="467">
        <v>10</v>
      </c>
      <c r="Z713" s="80"/>
      <c r="AA713" s="29" t="str">
        <f t="shared" si="125"/>
        <v>F42000</v>
      </c>
      <c r="AB713" s="29" t="str">
        <f t="shared" si="126"/>
        <v>F410</v>
      </c>
      <c r="AC713" s="29" t="str">
        <f t="shared" si="127"/>
        <v>F410</v>
      </c>
      <c r="AD713" s="29" t="str">
        <f t="shared" si="128"/>
        <v>F418</v>
      </c>
      <c r="AE713" s="443"/>
      <c r="AF713" s="443"/>
      <c r="AG713" s="443"/>
      <c r="AH713" s="443"/>
    </row>
    <row r="714" spans="1:34" ht="25.5">
      <c r="A714" s="728">
        <f t="shared" ref="A714:A777" si="131">+A713+1</f>
        <v>707</v>
      </c>
      <c r="B714" s="563">
        <v>39</v>
      </c>
      <c r="C714" s="694">
        <v>34858</v>
      </c>
      <c r="D714" s="694" t="s">
        <v>149</v>
      </c>
      <c r="E714" s="695">
        <v>8</v>
      </c>
      <c r="F714" s="503">
        <v>1995</v>
      </c>
      <c r="G714" s="563" t="s">
        <v>111</v>
      </c>
      <c r="H714" s="503" t="s">
        <v>126</v>
      </c>
      <c r="I714" s="695">
        <v>1750</v>
      </c>
      <c r="J714" s="695">
        <v>5</v>
      </c>
      <c r="K714" s="777">
        <f t="shared" si="130"/>
        <v>4.9715909090909092</v>
      </c>
      <c r="L714" s="968">
        <v>0</v>
      </c>
      <c r="M714" s="503">
        <f t="shared" si="121"/>
        <v>19</v>
      </c>
      <c r="N714" s="504">
        <v>0.80208333333333337</v>
      </c>
      <c r="O714" s="719">
        <f t="shared" si="122"/>
        <v>0.80208333333333337</v>
      </c>
      <c r="P714" s="564">
        <v>0.81319444444444444</v>
      </c>
      <c r="Q714" s="564">
        <f t="shared" si="129"/>
        <v>1.1111111111111072E-2</v>
      </c>
      <c r="R714" s="965" t="s">
        <v>1520</v>
      </c>
      <c r="S714" s="487" t="s">
        <v>722</v>
      </c>
      <c r="T714" s="29"/>
      <c r="U714" s="29" t="str">
        <f t="shared" si="123"/>
        <v>HemphillF4</v>
      </c>
      <c r="V714" s="29" t="str">
        <f t="shared" si="124"/>
        <v>1995F4</v>
      </c>
      <c r="W714" s="80">
        <v>1000</v>
      </c>
      <c r="X714" s="32">
        <v>5</v>
      </c>
      <c r="Y714" s="467">
        <v>2</v>
      </c>
      <c r="Z714" s="80"/>
      <c r="AA714" s="29" t="str">
        <f t="shared" si="125"/>
        <v>F41000</v>
      </c>
      <c r="AB714" s="29" t="str">
        <f t="shared" si="126"/>
        <v>F45</v>
      </c>
      <c r="AC714" s="29" t="str">
        <f t="shared" si="127"/>
        <v>F42</v>
      </c>
      <c r="AD714" s="29" t="str">
        <f t="shared" si="128"/>
        <v>F419</v>
      </c>
      <c r="AE714" s="443"/>
      <c r="AF714" s="443"/>
      <c r="AG714" s="443"/>
      <c r="AH714" s="443"/>
    </row>
    <row r="715" spans="1:34" ht="16.5">
      <c r="A715" s="728">
        <f t="shared" si="131"/>
        <v>708</v>
      </c>
      <c r="B715" s="563">
        <v>40</v>
      </c>
      <c r="C715" s="694">
        <v>34882</v>
      </c>
      <c r="D715" s="694" t="s">
        <v>150</v>
      </c>
      <c r="E715" s="695">
        <v>2</v>
      </c>
      <c r="F715" s="503">
        <v>1995</v>
      </c>
      <c r="G715" s="563" t="s">
        <v>114</v>
      </c>
      <c r="H715" s="503" t="s">
        <v>122</v>
      </c>
      <c r="I715" s="695">
        <v>50</v>
      </c>
      <c r="J715" s="695">
        <v>0.3</v>
      </c>
      <c r="K715" s="777">
        <f t="shared" si="130"/>
        <v>8.5227272727272721E-3</v>
      </c>
      <c r="L715" s="968">
        <v>0</v>
      </c>
      <c r="M715" s="503">
        <f t="shared" si="121"/>
        <v>19</v>
      </c>
      <c r="N715" s="504">
        <v>0.8222222222222223</v>
      </c>
      <c r="O715" s="719">
        <f t="shared" si="122"/>
        <v>0.8222222222222223</v>
      </c>
      <c r="P715" s="564"/>
      <c r="Q715" s="564">
        <f t="shared" si="129"/>
        <v>-0.8222222222222223</v>
      </c>
      <c r="R715" s="965" t="s">
        <v>1520</v>
      </c>
      <c r="S715" s="487" t="s">
        <v>257</v>
      </c>
      <c r="T715" s="29"/>
      <c r="U715" s="29" t="str">
        <f t="shared" si="123"/>
        <v>CarsonF0</v>
      </c>
      <c r="V715" s="29" t="str">
        <f t="shared" si="124"/>
        <v>1995F0</v>
      </c>
      <c r="W715" s="80">
        <v>50</v>
      </c>
      <c r="X715" s="32">
        <v>0.2</v>
      </c>
      <c r="Y715" s="467">
        <v>5.0000000000000001E-3</v>
      </c>
      <c r="Z715" s="80"/>
      <c r="AA715" s="29" t="str">
        <f t="shared" si="125"/>
        <v>F050</v>
      </c>
      <c r="AB715" s="29" t="str">
        <f t="shared" si="126"/>
        <v>F00.2</v>
      </c>
      <c r="AC715" s="29" t="str">
        <f t="shared" si="127"/>
        <v>F00.005</v>
      </c>
      <c r="AD715" s="29" t="str">
        <f t="shared" si="128"/>
        <v>F019</v>
      </c>
      <c r="AE715" s="443"/>
      <c r="AF715" s="443"/>
      <c r="AG715" s="443"/>
      <c r="AH715" s="443"/>
    </row>
    <row r="716" spans="1:34" ht="30" customHeight="1">
      <c r="A716" s="728">
        <f t="shared" si="131"/>
        <v>709</v>
      </c>
      <c r="B716" s="563">
        <v>41</v>
      </c>
      <c r="C716" s="694">
        <v>34882</v>
      </c>
      <c r="D716" s="694" t="s">
        <v>150</v>
      </c>
      <c r="E716" s="695">
        <v>2</v>
      </c>
      <c r="F716" s="503">
        <v>1995</v>
      </c>
      <c r="G716" s="563" t="s">
        <v>114</v>
      </c>
      <c r="H716" s="503" t="s">
        <v>122</v>
      </c>
      <c r="I716" s="695">
        <v>75</v>
      </c>
      <c r="J716" s="695">
        <v>0.5</v>
      </c>
      <c r="K716" s="777">
        <f t="shared" si="130"/>
        <v>2.130681818181818E-2</v>
      </c>
      <c r="L716" s="968">
        <v>0</v>
      </c>
      <c r="M716" s="503">
        <f t="shared" si="121"/>
        <v>20</v>
      </c>
      <c r="N716" s="504">
        <v>0.84375</v>
      </c>
      <c r="O716" s="719">
        <f t="shared" si="122"/>
        <v>0.84375</v>
      </c>
      <c r="P716" s="564">
        <v>0.85069444444444453</v>
      </c>
      <c r="Q716" s="564">
        <f t="shared" si="129"/>
        <v>6.9444444444445308E-3</v>
      </c>
      <c r="R716" s="965" t="s">
        <v>1520</v>
      </c>
      <c r="S716" s="79" t="s">
        <v>464</v>
      </c>
      <c r="T716" s="29"/>
      <c r="U716" s="29" t="str">
        <f t="shared" si="123"/>
        <v>CarsonF0</v>
      </c>
      <c r="V716" s="29" t="str">
        <f t="shared" si="124"/>
        <v>1995F0</v>
      </c>
      <c r="W716" s="80">
        <v>50</v>
      </c>
      <c r="X716" s="32">
        <v>0.5</v>
      </c>
      <c r="Y716" s="467">
        <v>0.02</v>
      </c>
      <c r="Z716" s="80"/>
      <c r="AA716" s="29" t="str">
        <f t="shared" si="125"/>
        <v>F050</v>
      </c>
      <c r="AB716" s="29" t="str">
        <f t="shared" si="126"/>
        <v>F00.5</v>
      </c>
      <c r="AC716" s="29" t="str">
        <f t="shared" si="127"/>
        <v>F00.02</v>
      </c>
      <c r="AD716" s="29" t="str">
        <f t="shared" si="128"/>
        <v>F020</v>
      </c>
      <c r="AE716" s="443"/>
      <c r="AF716" s="443"/>
      <c r="AG716" s="443"/>
      <c r="AH716" s="443"/>
    </row>
    <row r="717" spans="1:34" ht="16.5">
      <c r="A717" s="728">
        <f t="shared" si="131"/>
        <v>710</v>
      </c>
      <c r="B717" s="563">
        <v>42</v>
      </c>
      <c r="C717" s="694">
        <v>34902</v>
      </c>
      <c r="D717" s="694" t="s">
        <v>150</v>
      </c>
      <c r="E717" s="695">
        <v>22</v>
      </c>
      <c r="F717" s="503">
        <v>1995</v>
      </c>
      <c r="G717" s="563" t="s">
        <v>111</v>
      </c>
      <c r="H717" s="503" t="s">
        <v>122</v>
      </c>
      <c r="I717" s="695">
        <v>25</v>
      </c>
      <c r="J717" s="695">
        <v>0.1</v>
      </c>
      <c r="K717" s="777">
        <f t="shared" si="130"/>
        <v>1.4204545454545455E-3</v>
      </c>
      <c r="L717" s="968">
        <v>0</v>
      </c>
      <c r="M717" s="503">
        <f t="shared" si="121"/>
        <v>19</v>
      </c>
      <c r="N717" s="504">
        <v>0.80625000000000002</v>
      </c>
      <c r="O717" s="719">
        <f t="shared" si="122"/>
        <v>0.80625000000000002</v>
      </c>
      <c r="P717" s="564"/>
      <c r="Q717" s="564">
        <f t="shared" si="129"/>
        <v>-0.80625000000000002</v>
      </c>
      <c r="R717" s="965" t="s">
        <v>1520</v>
      </c>
      <c r="S717" s="487" t="s">
        <v>344</v>
      </c>
      <c r="T717" s="29"/>
      <c r="U717" s="29" t="str">
        <f t="shared" si="123"/>
        <v>HemphillF0</v>
      </c>
      <c r="V717" s="29" t="str">
        <f t="shared" si="124"/>
        <v>1995F0</v>
      </c>
      <c r="W717" s="80">
        <v>20</v>
      </c>
      <c r="X717" s="32">
        <v>0.1</v>
      </c>
      <c r="Y717" s="467">
        <v>1E-3</v>
      </c>
      <c r="Z717" s="80"/>
      <c r="AA717" s="29" t="str">
        <f t="shared" si="125"/>
        <v>F020</v>
      </c>
      <c r="AB717" s="29" t="str">
        <f t="shared" si="126"/>
        <v>F00.1</v>
      </c>
      <c r="AC717" s="29" t="str">
        <f t="shared" si="127"/>
        <v>F00.001</v>
      </c>
      <c r="AD717" s="29" t="str">
        <f t="shared" si="128"/>
        <v>F019</v>
      </c>
      <c r="AE717" s="443"/>
      <c r="AF717" s="443"/>
      <c r="AG717" s="443"/>
      <c r="AH717" s="443"/>
    </row>
    <row r="718" spans="1:34" ht="30" customHeight="1">
      <c r="A718" s="728">
        <f t="shared" si="131"/>
        <v>711</v>
      </c>
      <c r="B718" s="563">
        <v>43</v>
      </c>
      <c r="C718" s="694">
        <v>34903</v>
      </c>
      <c r="D718" s="694" t="s">
        <v>150</v>
      </c>
      <c r="E718" s="695">
        <v>23</v>
      </c>
      <c r="F718" s="503">
        <v>1995</v>
      </c>
      <c r="G718" s="563" t="s">
        <v>119</v>
      </c>
      <c r="H718" s="503" t="s">
        <v>123</v>
      </c>
      <c r="I718" s="695">
        <v>150</v>
      </c>
      <c r="J718" s="695">
        <v>4</v>
      </c>
      <c r="K718" s="777">
        <f t="shared" si="130"/>
        <v>0.34090909090909088</v>
      </c>
      <c r="L718" s="968">
        <v>0</v>
      </c>
      <c r="M718" s="503">
        <f t="shared" si="121"/>
        <v>19</v>
      </c>
      <c r="N718" s="504">
        <v>0.79305555555555562</v>
      </c>
      <c r="O718" s="719">
        <f t="shared" si="122"/>
        <v>0.79305555555555562</v>
      </c>
      <c r="P718" s="564">
        <v>0.80347222222222225</v>
      </c>
      <c r="Q718" s="564">
        <f t="shared" si="129"/>
        <v>1.041666666666663E-2</v>
      </c>
      <c r="R718" s="965" t="s">
        <v>1520</v>
      </c>
      <c r="S718" s="79" t="s">
        <v>465</v>
      </c>
      <c r="T718" s="29"/>
      <c r="U718" s="29" t="str">
        <f t="shared" si="123"/>
        <v>ArmstrongF1</v>
      </c>
      <c r="V718" s="29" t="str">
        <f t="shared" si="124"/>
        <v>1995F1</v>
      </c>
      <c r="W718" s="80">
        <v>100</v>
      </c>
      <c r="X718" s="32">
        <v>2</v>
      </c>
      <c r="Y718" s="467">
        <v>0.2</v>
      </c>
      <c r="Z718" s="80"/>
      <c r="AA718" s="29" t="str">
        <f t="shared" si="125"/>
        <v>F1100</v>
      </c>
      <c r="AB718" s="29" t="str">
        <f t="shared" si="126"/>
        <v>F12</v>
      </c>
      <c r="AC718" s="29" t="str">
        <f t="shared" si="127"/>
        <v>F10.2</v>
      </c>
      <c r="AD718" s="29" t="str">
        <f t="shared" si="128"/>
        <v>F119</v>
      </c>
      <c r="AE718" s="443"/>
      <c r="AF718" s="443"/>
      <c r="AG718" s="443"/>
      <c r="AH718" s="443"/>
    </row>
    <row r="719" spans="1:34" ht="30" customHeight="1">
      <c r="A719" s="728">
        <f t="shared" si="131"/>
        <v>712</v>
      </c>
      <c r="B719" s="563">
        <v>44</v>
      </c>
      <c r="C719" s="694">
        <v>34903</v>
      </c>
      <c r="D719" s="694" t="s">
        <v>150</v>
      </c>
      <c r="E719" s="695">
        <v>23</v>
      </c>
      <c r="F719" s="503">
        <v>1995</v>
      </c>
      <c r="G719" s="563" t="s">
        <v>119</v>
      </c>
      <c r="H719" s="503" t="s">
        <v>122</v>
      </c>
      <c r="I719" s="695">
        <v>100</v>
      </c>
      <c r="J719" s="695">
        <v>2</v>
      </c>
      <c r="K719" s="777">
        <f t="shared" si="130"/>
        <v>0.11363636363636363</v>
      </c>
      <c r="L719" s="968">
        <v>0</v>
      </c>
      <c r="M719" s="503">
        <f t="shared" si="121"/>
        <v>19</v>
      </c>
      <c r="N719" s="504">
        <v>0.82638888888888884</v>
      </c>
      <c r="O719" s="719">
        <f t="shared" si="122"/>
        <v>0.82638888888888884</v>
      </c>
      <c r="P719" s="564">
        <v>0.83194444444444438</v>
      </c>
      <c r="Q719" s="564">
        <f t="shared" si="129"/>
        <v>5.5555555555555358E-3</v>
      </c>
      <c r="R719" s="965" t="s">
        <v>1520</v>
      </c>
      <c r="S719" s="79" t="s">
        <v>466</v>
      </c>
      <c r="T719" s="29"/>
      <c r="U719" s="29" t="str">
        <f t="shared" si="123"/>
        <v>ArmstrongF0</v>
      </c>
      <c r="V719" s="29" t="str">
        <f t="shared" si="124"/>
        <v>1995F0</v>
      </c>
      <c r="W719" s="80">
        <v>100</v>
      </c>
      <c r="X719" s="32">
        <v>2</v>
      </c>
      <c r="Y719" s="467">
        <v>0.1</v>
      </c>
      <c r="Z719" s="80"/>
      <c r="AA719" s="29" t="str">
        <f t="shared" si="125"/>
        <v>F0100</v>
      </c>
      <c r="AB719" s="29" t="str">
        <f t="shared" si="126"/>
        <v>F02</v>
      </c>
      <c r="AC719" s="29" t="str">
        <f t="shared" si="127"/>
        <v>F00.1</v>
      </c>
      <c r="AD719" s="29" t="str">
        <f t="shared" si="128"/>
        <v>F019</v>
      </c>
      <c r="AE719" s="443"/>
      <c r="AF719" s="443"/>
      <c r="AG719" s="443"/>
      <c r="AH719" s="443"/>
    </row>
    <row r="720" spans="1:34" ht="16.5">
      <c r="A720" s="728">
        <f t="shared" si="131"/>
        <v>713</v>
      </c>
      <c r="B720" s="563">
        <v>1</v>
      </c>
      <c r="C720" s="694">
        <v>35194</v>
      </c>
      <c r="D720" s="694" t="s">
        <v>148</v>
      </c>
      <c r="E720" s="695">
        <v>9</v>
      </c>
      <c r="F720" s="503">
        <v>1996</v>
      </c>
      <c r="G720" s="563" t="s">
        <v>115</v>
      </c>
      <c r="H720" s="503" t="s">
        <v>122</v>
      </c>
      <c r="I720" s="695">
        <v>25</v>
      </c>
      <c r="J720" s="695">
        <v>0.1</v>
      </c>
      <c r="K720" s="777">
        <f t="shared" si="130"/>
        <v>1.4204545454545455E-3</v>
      </c>
      <c r="L720" s="968">
        <v>0</v>
      </c>
      <c r="M720" s="503">
        <f t="shared" si="121"/>
        <v>17</v>
      </c>
      <c r="N720" s="504">
        <v>0.72222222222222221</v>
      </c>
      <c r="O720" s="719">
        <f t="shared" si="122"/>
        <v>0.72222222222222221</v>
      </c>
      <c r="P720" s="564">
        <v>0.72291666666666676</v>
      </c>
      <c r="Q720" s="564">
        <f t="shared" si="129"/>
        <v>6.94444444444553E-4</v>
      </c>
      <c r="R720" s="965" t="s">
        <v>1520</v>
      </c>
      <c r="S720" s="487" t="s">
        <v>315</v>
      </c>
      <c r="T720" s="29"/>
      <c r="U720" s="29" t="str">
        <f t="shared" si="123"/>
        <v>GrayF0</v>
      </c>
      <c r="V720" s="29" t="str">
        <f t="shared" si="124"/>
        <v>1996F0</v>
      </c>
      <c r="W720" s="80">
        <v>20</v>
      </c>
      <c r="X720" s="32">
        <v>0.1</v>
      </c>
      <c r="Y720" s="467">
        <v>1E-3</v>
      </c>
      <c r="Z720" s="80"/>
      <c r="AA720" s="29" t="str">
        <f t="shared" si="125"/>
        <v>F020</v>
      </c>
      <c r="AB720" s="29" t="str">
        <f t="shared" si="126"/>
        <v>F00.1</v>
      </c>
      <c r="AC720" s="29" t="str">
        <f t="shared" si="127"/>
        <v>F00.001</v>
      </c>
      <c r="AD720" s="29" t="str">
        <f t="shared" si="128"/>
        <v>F017</v>
      </c>
      <c r="AE720" s="443"/>
      <c r="AF720" s="443"/>
      <c r="AG720" s="443"/>
      <c r="AH720" s="443"/>
    </row>
    <row r="721" spans="1:34" ht="16.5">
      <c r="A721" s="728">
        <f t="shared" si="131"/>
        <v>714</v>
      </c>
      <c r="B721" s="563">
        <v>2</v>
      </c>
      <c r="C721" s="694">
        <v>35194</v>
      </c>
      <c r="D721" s="694" t="s">
        <v>148</v>
      </c>
      <c r="E721" s="695">
        <v>9</v>
      </c>
      <c r="F721" s="503">
        <v>1996</v>
      </c>
      <c r="G721" s="563" t="s">
        <v>116</v>
      </c>
      <c r="H721" s="503" t="s">
        <v>122</v>
      </c>
      <c r="I721" s="695">
        <v>100</v>
      </c>
      <c r="J721" s="695">
        <v>5</v>
      </c>
      <c r="K721" s="777">
        <f t="shared" si="130"/>
        <v>0.28409090909090906</v>
      </c>
      <c r="L721" s="968">
        <v>0</v>
      </c>
      <c r="M721" s="503">
        <f t="shared" si="121"/>
        <v>17</v>
      </c>
      <c r="N721" s="504">
        <v>0.74930555555555556</v>
      </c>
      <c r="O721" s="719">
        <f t="shared" si="122"/>
        <v>0.74930555555555556</v>
      </c>
      <c r="P721" s="564">
        <v>0.75694444444444453</v>
      </c>
      <c r="Q721" s="564">
        <f t="shared" si="129"/>
        <v>7.6388888888889728E-3</v>
      </c>
      <c r="R721" s="965" t="s">
        <v>1520</v>
      </c>
      <c r="S721" s="487" t="s">
        <v>419</v>
      </c>
      <c r="T721" s="29"/>
      <c r="U721" s="29" t="str">
        <f t="shared" si="123"/>
        <v>WheelerF0</v>
      </c>
      <c r="V721" s="29" t="str">
        <f t="shared" si="124"/>
        <v>1996F0</v>
      </c>
      <c r="W721" s="80">
        <v>100</v>
      </c>
      <c r="X721" s="32">
        <v>5</v>
      </c>
      <c r="Y721" s="467">
        <v>0.2</v>
      </c>
      <c r="Z721" s="80"/>
      <c r="AA721" s="29" t="str">
        <f t="shared" si="125"/>
        <v>F0100</v>
      </c>
      <c r="AB721" s="29" t="str">
        <f t="shared" si="126"/>
        <v>F05</v>
      </c>
      <c r="AC721" s="29" t="str">
        <f t="shared" si="127"/>
        <v>F00.2</v>
      </c>
      <c r="AD721" s="29" t="str">
        <f t="shared" si="128"/>
        <v>F017</v>
      </c>
      <c r="AE721" s="443"/>
      <c r="AF721" s="443"/>
      <c r="AG721" s="443"/>
      <c r="AH721" s="443"/>
    </row>
    <row r="722" spans="1:34" ht="25.5">
      <c r="A722" s="728">
        <f t="shared" si="131"/>
        <v>715</v>
      </c>
      <c r="B722" s="563">
        <v>3</v>
      </c>
      <c r="C722" s="694">
        <v>35194</v>
      </c>
      <c r="D722" s="694" t="s">
        <v>148</v>
      </c>
      <c r="E722" s="695">
        <v>9</v>
      </c>
      <c r="F722" s="503">
        <v>1996</v>
      </c>
      <c r="G722" s="563" t="s">
        <v>116</v>
      </c>
      <c r="H722" s="503" t="s">
        <v>122</v>
      </c>
      <c r="I722" s="695">
        <v>20</v>
      </c>
      <c r="J722" s="695">
        <v>0.1</v>
      </c>
      <c r="K722" s="777">
        <f t="shared" si="130"/>
        <v>1.1363636363636365E-3</v>
      </c>
      <c r="L722" s="968">
        <v>0</v>
      </c>
      <c r="M722" s="503">
        <f t="shared" si="121"/>
        <v>18</v>
      </c>
      <c r="N722" s="504">
        <v>0.76527777777777783</v>
      </c>
      <c r="O722" s="719">
        <f t="shared" si="122"/>
        <v>0.76527777777777783</v>
      </c>
      <c r="P722" s="564">
        <v>0.76527777777777783</v>
      </c>
      <c r="Q722" s="564">
        <f t="shared" si="129"/>
        <v>0</v>
      </c>
      <c r="R722" s="965" t="s">
        <v>1520</v>
      </c>
      <c r="S722" s="487" t="s">
        <v>1436</v>
      </c>
      <c r="T722" s="29"/>
      <c r="U722" s="29" t="str">
        <f t="shared" si="123"/>
        <v>WheelerF0</v>
      </c>
      <c r="V722" s="29" t="str">
        <f t="shared" si="124"/>
        <v>1996F0</v>
      </c>
      <c r="W722" s="80">
        <v>20</v>
      </c>
      <c r="X722" s="32">
        <v>0.1</v>
      </c>
      <c r="Y722" s="467">
        <v>1E-3</v>
      </c>
      <c r="Z722" s="80"/>
      <c r="AA722" s="29" t="str">
        <f t="shared" si="125"/>
        <v>F020</v>
      </c>
      <c r="AB722" s="29" t="str">
        <f t="shared" si="126"/>
        <v>F00.1</v>
      </c>
      <c r="AC722" s="29" t="str">
        <f t="shared" si="127"/>
        <v>F00.001</v>
      </c>
      <c r="AD722" s="29" t="str">
        <f t="shared" si="128"/>
        <v>F018</v>
      </c>
      <c r="AE722" s="443"/>
      <c r="AF722" s="443"/>
      <c r="AG722" s="443"/>
      <c r="AH722" s="443"/>
    </row>
    <row r="723" spans="1:34" ht="16.5">
      <c r="A723" s="728">
        <f t="shared" si="131"/>
        <v>716</v>
      </c>
      <c r="B723" s="563">
        <v>4</v>
      </c>
      <c r="C723" s="694">
        <v>35194</v>
      </c>
      <c r="D723" s="694" t="s">
        <v>148</v>
      </c>
      <c r="E723" s="695">
        <v>9</v>
      </c>
      <c r="F723" s="503">
        <v>1996</v>
      </c>
      <c r="G723" s="563" t="s">
        <v>116</v>
      </c>
      <c r="H723" s="503" t="s">
        <v>122</v>
      </c>
      <c r="I723" s="695">
        <v>75</v>
      </c>
      <c r="J723" s="695">
        <v>0.6</v>
      </c>
      <c r="K723" s="777">
        <f t="shared" si="130"/>
        <v>2.5568181818181816E-2</v>
      </c>
      <c r="L723" s="968">
        <v>0</v>
      </c>
      <c r="M723" s="503">
        <f t="shared" si="121"/>
        <v>18</v>
      </c>
      <c r="N723" s="504">
        <v>0.7715277777777777</v>
      </c>
      <c r="O723" s="719">
        <f t="shared" si="122"/>
        <v>0.7715277777777777</v>
      </c>
      <c r="P723" s="564">
        <v>0.77430555555555547</v>
      </c>
      <c r="Q723" s="564">
        <f t="shared" si="129"/>
        <v>2.7777777777777679E-3</v>
      </c>
      <c r="R723" s="965" t="s">
        <v>1520</v>
      </c>
      <c r="S723" s="487" t="s">
        <v>420</v>
      </c>
      <c r="T723" s="29"/>
      <c r="U723" s="29" t="str">
        <f t="shared" si="123"/>
        <v>WheelerF0</v>
      </c>
      <c r="V723" s="29" t="str">
        <f t="shared" si="124"/>
        <v>1996F0</v>
      </c>
      <c r="W723" s="80">
        <v>50</v>
      </c>
      <c r="X723" s="32">
        <v>0.5</v>
      </c>
      <c r="Y723" s="467">
        <v>0.02</v>
      </c>
      <c r="Z723" s="80"/>
      <c r="AA723" s="29" t="str">
        <f t="shared" si="125"/>
        <v>F050</v>
      </c>
      <c r="AB723" s="29" t="str">
        <f t="shared" si="126"/>
        <v>F00.5</v>
      </c>
      <c r="AC723" s="29" t="str">
        <f t="shared" si="127"/>
        <v>F00.02</v>
      </c>
      <c r="AD723" s="29" t="str">
        <f t="shared" si="128"/>
        <v>F018</v>
      </c>
      <c r="AE723" s="443"/>
      <c r="AF723" s="443"/>
      <c r="AG723" s="443"/>
      <c r="AH723" s="443"/>
    </row>
    <row r="724" spans="1:34" ht="16.5">
      <c r="A724" s="728">
        <f t="shared" si="131"/>
        <v>717</v>
      </c>
      <c r="B724" s="563">
        <v>5</v>
      </c>
      <c r="C724" s="694">
        <v>35209</v>
      </c>
      <c r="D724" s="694" t="s">
        <v>148</v>
      </c>
      <c r="E724" s="695">
        <v>24</v>
      </c>
      <c r="F724" s="503">
        <v>1996</v>
      </c>
      <c r="G724" s="563" t="s">
        <v>104</v>
      </c>
      <c r="H724" s="503" t="s">
        <v>122</v>
      </c>
      <c r="I724" s="695">
        <v>50</v>
      </c>
      <c r="J724" s="695">
        <v>1</v>
      </c>
      <c r="K724" s="777">
        <f t="shared" si="130"/>
        <v>2.8409090909090908E-2</v>
      </c>
      <c r="L724" s="968">
        <v>0</v>
      </c>
      <c r="M724" s="503">
        <f t="shared" si="121"/>
        <v>14</v>
      </c>
      <c r="N724" s="504">
        <v>0.61736111111111114</v>
      </c>
      <c r="O724" s="719">
        <f t="shared" si="122"/>
        <v>0.61736111111111114</v>
      </c>
      <c r="P724" s="564">
        <v>0.62083333333333335</v>
      </c>
      <c r="Q724" s="564">
        <f t="shared" si="129"/>
        <v>3.4722222222222099E-3</v>
      </c>
      <c r="R724" s="965" t="s">
        <v>1520</v>
      </c>
      <c r="S724" s="487" t="s">
        <v>326</v>
      </c>
      <c r="T724" s="29"/>
      <c r="U724" s="29" t="str">
        <f t="shared" si="123"/>
        <v>HansfordF0</v>
      </c>
      <c r="V724" s="29" t="str">
        <f t="shared" si="124"/>
        <v>1996F0</v>
      </c>
      <c r="W724" s="80">
        <v>50</v>
      </c>
      <c r="X724" s="32">
        <v>1</v>
      </c>
      <c r="Y724" s="467">
        <v>0.02</v>
      </c>
      <c r="Z724" s="80"/>
      <c r="AA724" s="29" t="str">
        <f t="shared" si="125"/>
        <v>F050</v>
      </c>
      <c r="AB724" s="29" t="str">
        <f t="shared" si="126"/>
        <v>F01</v>
      </c>
      <c r="AC724" s="29" t="str">
        <f t="shared" si="127"/>
        <v>F00.02</v>
      </c>
      <c r="AD724" s="29" t="str">
        <f t="shared" si="128"/>
        <v>F014</v>
      </c>
      <c r="AE724" s="443"/>
      <c r="AF724" s="443"/>
      <c r="AG724" s="443"/>
      <c r="AH724" s="443"/>
    </row>
    <row r="725" spans="1:34" ht="16.5">
      <c r="A725" s="728">
        <f t="shared" si="131"/>
        <v>718</v>
      </c>
      <c r="B725" s="563">
        <v>6</v>
      </c>
      <c r="C725" s="694">
        <v>35209</v>
      </c>
      <c r="D725" s="694" t="s">
        <v>148</v>
      </c>
      <c r="E725" s="695">
        <v>24</v>
      </c>
      <c r="F725" s="503">
        <v>1996</v>
      </c>
      <c r="G725" s="563" t="s">
        <v>109</v>
      </c>
      <c r="H725" s="503" t="s">
        <v>122</v>
      </c>
      <c r="I725" s="695">
        <v>30</v>
      </c>
      <c r="J725" s="695">
        <v>0.5</v>
      </c>
      <c r="K725" s="777">
        <f t="shared" si="130"/>
        <v>8.5227272727272721E-3</v>
      </c>
      <c r="L725" s="968">
        <v>0</v>
      </c>
      <c r="M725" s="503">
        <f t="shared" si="121"/>
        <v>14</v>
      </c>
      <c r="N725" s="504">
        <v>0.62222222222222223</v>
      </c>
      <c r="O725" s="719">
        <f t="shared" si="122"/>
        <v>0.62222222222222223</v>
      </c>
      <c r="P725" s="564">
        <v>0.62430555555555556</v>
      </c>
      <c r="Q725" s="564">
        <f t="shared" si="129"/>
        <v>2.0833333333333259E-3</v>
      </c>
      <c r="R725" s="965" t="s">
        <v>1520</v>
      </c>
      <c r="S725" s="487" t="s">
        <v>348</v>
      </c>
      <c r="T725" s="29"/>
      <c r="U725" s="29" t="str">
        <f t="shared" si="123"/>
        <v>HutchinsonF0</v>
      </c>
      <c r="V725" s="29" t="str">
        <f t="shared" si="124"/>
        <v>1996F0</v>
      </c>
      <c r="W725" s="80">
        <v>20</v>
      </c>
      <c r="X725" s="32">
        <v>0.5</v>
      </c>
      <c r="Y725" s="467">
        <v>5.0000000000000001E-3</v>
      </c>
      <c r="Z725" s="80"/>
      <c r="AA725" s="29" t="str">
        <f t="shared" si="125"/>
        <v>F020</v>
      </c>
      <c r="AB725" s="29" t="str">
        <f t="shared" si="126"/>
        <v>F00.5</v>
      </c>
      <c r="AC725" s="29" t="str">
        <f t="shared" si="127"/>
        <v>F00.005</v>
      </c>
      <c r="AD725" s="29" t="str">
        <f t="shared" si="128"/>
        <v>F014</v>
      </c>
      <c r="AE725" s="443"/>
      <c r="AF725" s="443"/>
      <c r="AG725" s="443"/>
      <c r="AH725" s="443"/>
    </row>
    <row r="726" spans="1:34" ht="16.5">
      <c r="A726" s="728">
        <f t="shared" si="131"/>
        <v>719</v>
      </c>
      <c r="B726" s="563">
        <v>7</v>
      </c>
      <c r="C726" s="694">
        <v>35209</v>
      </c>
      <c r="D726" s="694" t="s">
        <v>148</v>
      </c>
      <c r="E726" s="695">
        <v>24</v>
      </c>
      <c r="F726" s="503">
        <v>1996</v>
      </c>
      <c r="G726" s="563" t="s">
        <v>105</v>
      </c>
      <c r="H726" s="503" t="s">
        <v>122</v>
      </c>
      <c r="I726" s="695">
        <v>40</v>
      </c>
      <c r="J726" s="695">
        <v>0.6</v>
      </c>
      <c r="K726" s="777">
        <f t="shared" si="130"/>
        <v>1.3636363636363636E-2</v>
      </c>
      <c r="L726" s="968">
        <v>0</v>
      </c>
      <c r="M726" s="503">
        <f t="shared" si="121"/>
        <v>14</v>
      </c>
      <c r="N726" s="504">
        <v>0.62291666666666667</v>
      </c>
      <c r="O726" s="719">
        <f t="shared" si="122"/>
        <v>0.62291666666666667</v>
      </c>
      <c r="P726" s="564">
        <v>0.62569444444444444</v>
      </c>
      <c r="Q726" s="564">
        <f t="shared" si="129"/>
        <v>2.7777777777777679E-3</v>
      </c>
      <c r="R726" s="965" t="s">
        <v>1520</v>
      </c>
      <c r="S726" s="487" t="s">
        <v>374</v>
      </c>
      <c r="T726" s="29"/>
      <c r="U726" s="29" t="str">
        <f t="shared" si="123"/>
        <v>OchiltreeF0</v>
      </c>
      <c r="V726" s="29" t="str">
        <f t="shared" si="124"/>
        <v>1996F0</v>
      </c>
      <c r="W726" s="80">
        <v>20</v>
      </c>
      <c r="X726" s="32">
        <v>0.5</v>
      </c>
      <c r="Y726" s="467">
        <v>0.01</v>
      </c>
      <c r="Z726" s="80"/>
      <c r="AA726" s="29" t="str">
        <f t="shared" si="125"/>
        <v>F020</v>
      </c>
      <c r="AB726" s="29" t="str">
        <f t="shared" si="126"/>
        <v>F00.5</v>
      </c>
      <c r="AC726" s="29" t="str">
        <f t="shared" si="127"/>
        <v>F00.01</v>
      </c>
      <c r="AD726" s="29" t="str">
        <f t="shared" si="128"/>
        <v>F014</v>
      </c>
      <c r="AE726" s="443"/>
      <c r="AF726" s="443"/>
      <c r="AG726" s="443"/>
      <c r="AH726" s="443"/>
    </row>
    <row r="727" spans="1:34" ht="16.5">
      <c r="A727" s="728">
        <f t="shared" si="131"/>
        <v>720</v>
      </c>
      <c r="B727" s="563">
        <v>8</v>
      </c>
      <c r="C727" s="694">
        <v>35209</v>
      </c>
      <c r="D727" s="694" t="s">
        <v>148</v>
      </c>
      <c r="E727" s="695">
        <v>24</v>
      </c>
      <c r="F727" s="503">
        <v>1996</v>
      </c>
      <c r="G727" s="563" t="s">
        <v>104</v>
      </c>
      <c r="H727" s="503" t="s">
        <v>122</v>
      </c>
      <c r="I727" s="695">
        <v>75</v>
      </c>
      <c r="J727" s="695">
        <v>0.6</v>
      </c>
      <c r="K727" s="777">
        <f t="shared" si="130"/>
        <v>2.5568181818181816E-2</v>
      </c>
      <c r="L727" s="968">
        <v>0</v>
      </c>
      <c r="M727" s="503">
        <f t="shared" si="121"/>
        <v>15</v>
      </c>
      <c r="N727" s="504">
        <v>0.64444444444444449</v>
      </c>
      <c r="O727" s="719">
        <f t="shared" si="122"/>
        <v>0.64444444444444449</v>
      </c>
      <c r="P727" s="564">
        <v>0.64722222222222225</v>
      </c>
      <c r="Q727" s="564">
        <f t="shared" si="129"/>
        <v>2.7777777777777679E-3</v>
      </c>
      <c r="R727" s="965" t="s">
        <v>1520</v>
      </c>
      <c r="S727" s="487" t="s">
        <v>327</v>
      </c>
      <c r="T727" s="29"/>
      <c r="U727" s="29" t="str">
        <f t="shared" si="123"/>
        <v>HansfordF0</v>
      </c>
      <c r="V727" s="29" t="str">
        <f t="shared" si="124"/>
        <v>1996F0</v>
      </c>
      <c r="W727" s="80">
        <v>50</v>
      </c>
      <c r="X727" s="32">
        <v>0.5</v>
      </c>
      <c r="Y727" s="467">
        <v>0.02</v>
      </c>
      <c r="Z727" s="80"/>
      <c r="AA727" s="29" t="str">
        <f t="shared" si="125"/>
        <v>F050</v>
      </c>
      <c r="AB727" s="29" t="str">
        <f t="shared" si="126"/>
        <v>F00.5</v>
      </c>
      <c r="AC727" s="29" t="str">
        <f t="shared" si="127"/>
        <v>F00.02</v>
      </c>
      <c r="AD727" s="29" t="str">
        <f t="shared" si="128"/>
        <v>F015</v>
      </c>
      <c r="AE727" s="443"/>
      <c r="AF727" s="443"/>
      <c r="AG727" s="443"/>
      <c r="AH727" s="443"/>
    </row>
    <row r="728" spans="1:34" ht="16.5">
      <c r="A728" s="728">
        <f t="shared" si="131"/>
        <v>721</v>
      </c>
      <c r="B728" s="563">
        <v>9</v>
      </c>
      <c r="C728" s="694">
        <v>35209</v>
      </c>
      <c r="D728" s="694" t="s">
        <v>148</v>
      </c>
      <c r="E728" s="695">
        <v>24</v>
      </c>
      <c r="F728" s="503">
        <v>1996</v>
      </c>
      <c r="G728" s="563" t="s">
        <v>105</v>
      </c>
      <c r="H728" s="503" t="s">
        <v>122</v>
      </c>
      <c r="I728" s="695">
        <v>50</v>
      </c>
      <c r="J728" s="695">
        <v>0.5</v>
      </c>
      <c r="K728" s="777">
        <f t="shared" si="130"/>
        <v>1.4204545454545454E-2</v>
      </c>
      <c r="L728" s="968">
        <v>0</v>
      </c>
      <c r="M728" s="503">
        <f t="shared" si="121"/>
        <v>15</v>
      </c>
      <c r="N728" s="504">
        <v>0.65416666666666667</v>
      </c>
      <c r="O728" s="719">
        <f t="shared" si="122"/>
        <v>0.65416666666666667</v>
      </c>
      <c r="P728" s="564">
        <v>0.65694444444444444</v>
      </c>
      <c r="Q728" s="564">
        <f t="shared" si="129"/>
        <v>2.7777777777777679E-3</v>
      </c>
      <c r="R728" s="965" t="s">
        <v>1520</v>
      </c>
      <c r="S728" s="487" t="s">
        <v>375</v>
      </c>
      <c r="T728" s="29"/>
      <c r="U728" s="29" t="str">
        <f t="shared" si="123"/>
        <v>OchiltreeF0</v>
      </c>
      <c r="V728" s="29" t="str">
        <f t="shared" si="124"/>
        <v>1996F0</v>
      </c>
      <c r="W728" s="80">
        <v>50</v>
      </c>
      <c r="X728" s="32">
        <v>0.5</v>
      </c>
      <c r="Y728" s="467">
        <v>0.01</v>
      </c>
      <c r="Z728" s="80"/>
      <c r="AA728" s="29" t="str">
        <f t="shared" si="125"/>
        <v>F050</v>
      </c>
      <c r="AB728" s="29" t="str">
        <f t="shared" si="126"/>
        <v>F00.5</v>
      </c>
      <c r="AC728" s="29" t="str">
        <f t="shared" si="127"/>
        <v>F00.01</v>
      </c>
      <c r="AD728" s="29" t="str">
        <f t="shared" si="128"/>
        <v>F015</v>
      </c>
      <c r="AE728" s="443"/>
      <c r="AF728" s="443"/>
      <c r="AG728" s="443"/>
      <c r="AH728" s="443"/>
    </row>
    <row r="729" spans="1:34" ht="16.5">
      <c r="A729" s="728">
        <f t="shared" si="131"/>
        <v>722</v>
      </c>
      <c r="B729" s="563">
        <v>10</v>
      </c>
      <c r="C729" s="694">
        <v>35209</v>
      </c>
      <c r="D729" s="694" t="s">
        <v>148</v>
      </c>
      <c r="E729" s="695">
        <v>24</v>
      </c>
      <c r="F729" s="503">
        <v>1996</v>
      </c>
      <c r="G729" s="563" t="s">
        <v>114</v>
      </c>
      <c r="H729" s="503" t="s">
        <v>122</v>
      </c>
      <c r="I729" s="695">
        <v>50</v>
      </c>
      <c r="J729" s="695">
        <v>0.6</v>
      </c>
      <c r="K729" s="777">
        <f t="shared" si="130"/>
        <v>1.7045454545454544E-2</v>
      </c>
      <c r="L729" s="968">
        <v>0</v>
      </c>
      <c r="M729" s="503">
        <f t="shared" si="121"/>
        <v>16</v>
      </c>
      <c r="N729" s="504">
        <v>0.68958333333333333</v>
      </c>
      <c r="O729" s="719">
        <f t="shared" si="122"/>
        <v>0.68958333333333333</v>
      </c>
      <c r="P729" s="564">
        <v>0.69305555555555554</v>
      </c>
      <c r="Q729" s="564">
        <f t="shared" si="129"/>
        <v>3.4722222222222099E-3</v>
      </c>
      <c r="R729" s="965" t="s">
        <v>1520</v>
      </c>
      <c r="S729" s="487" t="s">
        <v>258</v>
      </c>
      <c r="T729" s="29"/>
      <c r="U729" s="29" t="str">
        <f t="shared" si="123"/>
        <v>CarsonF0</v>
      </c>
      <c r="V729" s="29" t="str">
        <f t="shared" si="124"/>
        <v>1996F0</v>
      </c>
      <c r="W729" s="80">
        <v>50</v>
      </c>
      <c r="X729" s="32">
        <v>0.5</v>
      </c>
      <c r="Y729" s="467">
        <v>0.01</v>
      </c>
      <c r="Z729" s="80"/>
      <c r="AA729" s="29" t="str">
        <f t="shared" si="125"/>
        <v>F050</v>
      </c>
      <c r="AB729" s="29" t="str">
        <f t="shared" si="126"/>
        <v>F00.5</v>
      </c>
      <c r="AC729" s="29" t="str">
        <f t="shared" si="127"/>
        <v>F00.01</v>
      </c>
      <c r="AD729" s="29" t="str">
        <f t="shared" si="128"/>
        <v>F016</v>
      </c>
      <c r="AE729" s="443"/>
      <c r="AF729" s="443"/>
      <c r="AG729" s="443"/>
      <c r="AH729" s="443"/>
    </row>
    <row r="730" spans="1:34" ht="16.5">
      <c r="A730" s="728">
        <f t="shared" si="131"/>
        <v>723</v>
      </c>
      <c r="B730" s="563">
        <v>11</v>
      </c>
      <c r="C730" s="694">
        <v>35209</v>
      </c>
      <c r="D730" s="694" t="s">
        <v>148</v>
      </c>
      <c r="E730" s="695">
        <v>24</v>
      </c>
      <c r="F730" s="503">
        <v>1996</v>
      </c>
      <c r="G730" s="563" t="s">
        <v>115</v>
      </c>
      <c r="H730" s="503" t="s">
        <v>122</v>
      </c>
      <c r="I730" s="695">
        <v>40</v>
      </c>
      <c r="J730" s="695">
        <v>0.5</v>
      </c>
      <c r="K730" s="777">
        <f t="shared" si="130"/>
        <v>1.1363636363636364E-2</v>
      </c>
      <c r="L730" s="968">
        <v>0</v>
      </c>
      <c r="M730" s="503">
        <f t="shared" si="121"/>
        <v>17</v>
      </c>
      <c r="N730" s="504">
        <v>0.74652777777777779</v>
      </c>
      <c r="O730" s="719">
        <f t="shared" si="122"/>
        <v>0.74652777777777779</v>
      </c>
      <c r="P730" s="564">
        <v>0.74861111111111101</v>
      </c>
      <c r="Q730" s="564">
        <f t="shared" si="129"/>
        <v>2.0833333333332149E-3</v>
      </c>
      <c r="R730" s="965" t="s">
        <v>1520</v>
      </c>
      <c r="S730" s="487" t="s">
        <v>316</v>
      </c>
      <c r="T730" s="29"/>
      <c r="U730" s="29" t="str">
        <f t="shared" si="123"/>
        <v>GrayF0</v>
      </c>
      <c r="V730" s="29" t="str">
        <f t="shared" si="124"/>
        <v>1996F0</v>
      </c>
      <c r="W730" s="80">
        <v>20</v>
      </c>
      <c r="X730" s="32">
        <v>0.5</v>
      </c>
      <c r="Y730" s="467">
        <v>0.01</v>
      </c>
      <c r="Z730" s="80"/>
      <c r="AA730" s="29" t="str">
        <f t="shared" si="125"/>
        <v>F020</v>
      </c>
      <c r="AB730" s="29" t="str">
        <f t="shared" si="126"/>
        <v>F00.5</v>
      </c>
      <c r="AC730" s="29" t="str">
        <f t="shared" si="127"/>
        <v>F00.01</v>
      </c>
      <c r="AD730" s="29" t="str">
        <f t="shared" si="128"/>
        <v>F017</v>
      </c>
      <c r="AE730" s="443"/>
      <c r="AF730" s="443"/>
      <c r="AG730" s="443"/>
      <c r="AH730" s="443"/>
    </row>
    <row r="731" spans="1:34" ht="16.5">
      <c r="A731" s="728">
        <f t="shared" si="131"/>
        <v>724</v>
      </c>
      <c r="B731" s="563">
        <v>12</v>
      </c>
      <c r="C731" s="694">
        <v>35209</v>
      </c>
      <c r="D731" s="694" t="s">
        <v>148</v>
      </c>
      <c r="E731" s="695">
        <v>24</v>
      </c>
      <c r="F731" s="503">
        <v>1996</v>
      </c>
      <c r="G731" s="563" t="s">
        <v>105</v>
      </c>
      <c r="H731" s="503" t="s">
        <v>122</v>
      </c>
      <c r="I731" s="695">
        <v>50</v>
      </c>
      <c r="J731" s="695">
        <v>0.5</v>
      </c>
      <c r="K731" s="777">
        <f t="shared" si="130"/>
        <v>1.4204545454545454E-2</v>
      </c>
      <c r="L731" s="968">
        <v>0</v>
      </c>
      <c r="M731" s="503">
        <f t="shared" si="121"/>
        <v>19</v>
      </c>
      <c r="N731" s="504">
        <v>0.8125</v>
      </c>
      <c r="O731" s="719">
        <f t="shared" si="122"/>
        <v>0.8125</v>
      </c>
      <c r="P731" s="564">
        <v>0.81597222222222221</v>
      </c>
      <c r="Q731" s="564">
        <f t="shared" si="129"/>
        <v>3.4722222222222099E-3</v>
      </c>
      <c r="R731" s="965" t="s">
        <v>1520</v>
      </c>
      <c r="S731" s="487" t="s">
        <v>376</v>
      </c>
      <c r="T731" s="29"/>
      <c r="U731" s="29" t="str">
        <f t="shared" si="123"/>
        <v>OchiltreeF0</v>
      </c>
      <c r="V731" s="29" t="str">
        <f t="shared" si="124"/>
        <v>1996F0</v>
      </c>
      <c r="W731" s="80">
        <v>50</v>
      </c>
      <c r="X731" s="32">
        <v>0.5</v>
      </c>
      <c r="Y731" s="467">
        <v>0.01</v>
      </c>
      <c r="Z731" s="80"/>
      <c r="AA731" s="29" t="str">
        <f t="shared" si="125"/>
        <v>F050</v>
      </c>
      <c r="AB731" s="29" t="str">
        <f t="shared" si="126"/>
        <v>F00.5</v>
      </c>
      <c r="AC731" s="29" t="str">
        <f t="shared" si="127"/>
        <v>F00.01</v>
      </c>
      <c r="AD731" s="29" t="str">
        <f t="shared" si="128"/>
        <v>F019</v>
      </c>
      <c r="AE731" s="443"/>
      <c r="AF731" s="443"/>
      <c r="AG731" s="443"/>
      <c r="AH731" s="443"/>
    </row>
    <row r="732" spans="1:34" ht="16.5">
      <c r="A732" s="728">
        <f t="shared" si="131"/>
        <v>725</v>
      </c>
      <c r="B732" s="563">
        <v>13</v>
      </c>
      <c r="C732" s="694">
        <v>35210</v>
      </c>
      <c r="D732" s="694" t="s">
        <v>148</v>
      </c>
      <c r="E732" s="695">
        <v>25</v>
      </c>
      <c r="F732" s="503">
        <v>1996</v>
      </c>
      <c r="G732" s="563" t="s">
        <v>102</v>
      </c>
      <c r="H732" s="503" t="s">
        <v>122</v>
      </c>
      <c r="I732" s="695">
        <v>100</v>
      </c>
      <c r="J732" s="695">
        <v>5</v>
      </c>
      <c r="K732" s="777">
        <f t="shared" si="130"/>
        <v>0.28409090909090906</v>
      </c>
      <c r="L732" s="968">
        <v>0</v>
      </c>
      <c r="M732" s="503">
        <f t="shared" si="121"/>
        <v>16</v>
      </c>
      <c r="N732" s="504">
        <v>0.6875</v>
      </c>
      <c r="O732" s="719">
        <f t="shared" si="122"/>
        <v>0.6875</v>
      </c>
      <c r="P732" s="564">
        <v>0.69027777777777777</v>
      </c>
      <c r="Q732" s="564">
        <f t="shared" si="129"/>
        <v>2.7777777777777679E-3</v>
      </c>
      <c r="R732" s="965" t="s">
        <v>1520</v>
      </c>
      <c r="S732" s="487" t="s">
        <v>37</v>
      </c>
      <c r="T732" s="29"/>
      <c r="U732" s="29" t="str">
        <f t="shared" si="123"/>
        <v>DallamF0</v>
      </c>
      <c r="V732" s="29" t="str">
        <f t="shared" si="124"/>
        <v>1996F0</v>
      </c>
      <c r="W732" s="80">
        <v>100</v>
      </c>
      <c r="X732" s="32">
        <v>5</v>
      </c>
      <c r="Y732" s="467">
        <v>0.2</v>
      </c>
      <c r="Z732" s="80"/>
      <c r="AA732" s="29" t="str">
        <f t="shared" si="125"/>
        <v>F0100</v>
      </c>
      <c r="AB732" s="29" t="str">
        <f t="shared" si="126"/>
        <v>F05</v>
      </c>
      <c r="AC732" s="29" t="str">
        <f t="shared" si="127"/>
        <v>F00.2</v>
      </c>
      <c r="AD732" s="29" t="str">
        <f t="shared" si="128"/>
        <v>F016</v>
      </c>
      <c r="AE732" s="443"/>
      <c r="AF732" s="443"/>
      <c r="AG732" s="443"/>
      <c r="AH732" s="443"/>
    </row>
    <row r="733" spans="1:34" ht="16.5">
      <c r="A733" s="728">
        <f t="shared" si="131"/>
        <v>726</v>
      </c>
      <c r="B733" s="563">
        <v>14</v>
      </c>
      <c r="C733" s="694">
        <v>35210</v>
      </c>
      <c r="D733" s="694" t="s">
        <v>148</v>
      </c>
      <c r="E733" s="695">
        <v>25</v>
      </c>
      <c r="F733" s="503">
        <v>1996</v>
      </c>
      <c r="G733" s="563" t="s">
        <v>117</v>
      </c>
      <c r="H733" s="503" t="s">
        <v>124</v>
      </c>
      <c r="I733" s="695">
        <v>200</v>
      </c>
      <c r="J733" s="695">
        <v>3</v>
      </c>
      <c r="K733" s="777">
        <f t="shared" si="130"/>
        <v>0.34090909090909088</v>
      </c>
      <c r="L733" s="968">
        <v>150000</v>
      </c>
      <c r="M733" s="503">
        <f t="shared" si="121"/>
        <v>16</v>
      </c>
      <c r="N733" s="504">
        <v>0.70416666666666661</v>
      </c>
      <c r="O733" s="719">
        <f t="shared" si="122"/>
        <v>0.70416666666666661</v>
      </c>
      <c r="P733" s="564">
        <v>0.71250000000000002</v>
      </c>
      <c r="Q733" s="564">
        <f t="shared" si="129"/>
        <v>8.3333333333334147E-3</v>
      </c>
      <c r="R733" s="965" t="s">
        <v>1520</v>
      </c>
      <c r="S733" s="487" t="s">
        <v>287</v>
      </c>
      <c r="T733" s="29"/>
      <c r="U733" s="29" t="str">
        <f t="shared" si="123"/>
        <v>Deaf SmithF2</v>
      </c>
      <c r="V733" s="29" t="str">
        <f t="shared" si="124"/>
        <v>1996F2</v>
      </c>
      <c r="W733" s="80">
        <v>200</v>
      </c>
      <c r="X733" s="32">
        <v>2</v>
      </c>
      <c r="Y733" s="467">
        <v>0.2</v>
      </c>
      <c r="Z733" s="80"/>
      <c r="AA733" s="29" t="str">
        <f t="shared" si="125"/>
        <v>F2200</v>
      </c>
      <c r="AB733" s="29" t="str">
        <f t="shared" si="126"/>
        <v>F22</v>
      </c>
      <c r="AC733" s="29" t="str">
        <f t="shared" si="127"/>
        <v>F20.2</v>
      </c>
      <c r="AD733" s="29" t="str">
        <f t="shared" si="128"/>
        <v>F216</v>
      </c>
      <c r="AE733" s="443"/>
      <c r="AF733" s="443"/>
      <c r="AG733" s="443"/>
      <c r="AH733" s="443"/>
    </row>
    <row r="734" spans="1:34" ht="16.5">
      <c r="A734" s="728">
        <f t="shared" si="131"/>
        <v>727</v>
      </c>
      <c r="B734" s="563">
        <v>15</v>
      </c>
      <c r="C734" s="694">
        <v>35210</v>
      </c>
      <c r="D734" s="694" t="s">
        <v>148</v>
      </c>
      <c r="E734" s="695">
        <v>25</v>
      </c>
      <c r="F734" s="503">
        <v>1996</v>
      </c>
      <c r="G734" s="563" t="s">
        <v>99</v>
      </c>
      <c r="H734" s="503" t="s">
        <v>123</v>
      </c>
      <c r="I734" s="695">
        <v>100</v>
      </c>
      <c r="J734" s="695">
        <v>1</v>
      </c>
      <c r="K734" s="777">
        <f t="shared" si="130"/>
        <v>5.6818181818181816E-2</v>
      </c>
      <c r="L734" s="968">
        <v>100000</v>
      </c>
      <c r="M734" s="503">
        <f t="shared" ref="M734:M797" si="132">HOUR(O734)</f>
        <v>17</v>
      </c>
      <c r="N734" s="504">
        <v>0.72569444444444453</v>
      </c>
      <c r="O734" s="719">
        <f t="shared" si="122"/>
        <v>0.72569444444444453</v>
      </c>
      <c r="P734" s="564">
        <v>0.72916666666666663</v>
      </c>
      <c r="Q734" s="564">
        <f t="shared" si="129"/>
        <v>3.4722222222220989E-3</v>
      </c>
      <c r="R734" s="965" t="s">
        <v>1520</v>
      </c>
      <c r="S734" s="487" t="s">
        <v>207</v>
      </c>
      <c r="T734" s="29"/>
      <c r="U734" s="29" t="str">
        <f t="shared" si="123"/>
        <v>CimarronF1</v>
      </c>
      <c r="V734" s="29" t="str">
        <f t="shared" si="124"/>
        <v>1996F1</v>
      </c>
      <c r="W734" s="80">
        <v>100</v>
      </c>
      <c r="X734" s="32">
        <v>1</v>
      </c>
      <c r="Y734" s="467">
        <v>0.05</v>
      </c>
      <c r="Z734" s="80"/>
      <c r="AA734" s="29" t="str">
        <f t="shared" si="125"/>
        <v>F1100</v>
      </c>
      <c r="AB734" s="29" t="str">
        <f t="shared" si="126"/>
        <v>F11</v>
      </c>
      <c r="AC734" s="29" t="str">
        <f t="shared" si="127"/>
        <v>F10.05</v>
      </c>
      <c r="AD734" s="29" t="str">
        <f t="shared" si="128"/>
        <v>F117</v>
      </c>
      <c r="AE734" s="443"/>
      <c r="AF734" s="443"/>
      <c r="AG734" s="443"/>
      <c r="AH734" s="443"/>
    </row>
    <row r="735" spans="1:34" ht="16.5">
      <c r="A735" s="728">
        <f t="shared" si="131"/>
        <v>728</v>
      </c>
      <c r="B735" s="563">
        <v>16</v>
      </c>
      <c r="C735" s="694">
        <v>35210</v>
      </c>
      <c r="D735" s="694" t="s">
        <v>148</v>
      </c>
      <c r="E735" s="695">
        <v>25</v>
      </c>
      <c r="F735" s="503">
        <v>1996</v>
      </c>
      <c r="G735" s="563" t="s">
        <v>102</v>
      </c>
      <c r="H735" s="503" t="s">
        <v>123</v>
      </c>
      <c r="I735" s="695">
        <v>200</v>
      </c>
      <c r="J735" s="695">
        <v>4</v>
      </c>
      <c r="K735" s="777">
        <f t="shared" si="130"/>
        <v>0.45454545454545453</v>
      </c>
      <c r="L735" s="968">
        <v>200000</v>
      </c>
      <c r="M735" s="503">
        <f t="shared" si="132"/>
        <v>17</v>
      </c>
      <c r="N735" s="504">
        <v>0.73541666666666661</v>
      </c>
      <c r="O735" s="719">
        <f t="shared" si="122"/>
        <v>0.73541666666666661</v>
      </c>
      <c r="P735" s="564">
        <v>0.74305555555555547</v>
      </c>
      <c r="Q735" s="564">
        <f t="shared" si="129"/>
        <v>7.6388888888888618E-3</v>
      </c>
      <c r="R735" s="965" t="s">
        <v>1520</v>
      </c>
      <c r="S735" s="487" t="s">
        <v>283</v>
      </c>
      <c r="T735" s="29"/>
      <c r="U735" s="29" t="str">
        <f t="shared" si="123"/>
        <v>DallamF1</v>
      </c>
      <c r="V735" s="29" t="str">
        <f t="shared" si="124"/>
        <v>1996F1</v>
      </c>
      <c r="W735" s="80">
        <v>200</v>
      </c>
      <c r="X735" s="32">
        <v>2</v>
      </c>
      <c r="Y735" s="467">
        <v>0.2</v>
      </c>
      <c r="Z735" s="80"/>
      <c r="AA735" s="29" t="str">
        <f t="shared" si="125"/>
        <v>F1200</v>
      </c>
      <c r="AB735" s="29" t="str">
        <f t="shared" si="126"/>
        <v>F12</v>
      </c>
      <c r="AC735" s="29" t="str">
        <f t="shared" si="127"/>
        <v>F10.2</v>
      </c>
      <c r="AD735" s="29" t="str">
        <f t="shared" si="128"/>
        <v>F117</v>
      </c>
      <c r="AE735" s="443"/>
      <c r="AF735" s="443"/>
      <c r="AG735" s="443"/>
      <c r="AH735" s="443"/>
    </row>
    <row r="736" spans="1:34" ht="16.5">
      <c r="A736" s="728">
        <f t="shared" si="131"/>
        <v>729</v>
      </c>
      <c r="B736" s="563">
        <v>17</v>
      </c>
      <c r="C736" s="694">
        <v>35211</v>
      </c>
      <c r="D736" s="694" t="s">
        <v>148</v>
      </c>
      <c r="E736" s="695">
        <v>26</v>
      </c>
      <c r="F736" s="503">
        <v>1996</v>
      </c>
      <c r="G736" s="563" t="s">
        <v>100</v>
      </c>
      <c r="H736" s="503" t="s">
        <v>122</v>
      </c>
      <c r="I736" s="695">
        <v>50</v>
      </c>
      <c r="J736" s="695">
        <v>0.5</v>
      </c>
      <c r="K736" s="777">
        <f t="shared" si="130"/>
        <v>1.4204545454545454E-2</v>
      </c>
      <c r="L736" s="968">
        <v>15000</v>
      </c>
      <c r="M736" s="503">
        <f t="shared" si="132"/>
        <v>13</v>
      </c>
      <c r="N736" s="504">
        <v>0.57847222222222217</v>
      </c>
      <c r="O736" s="719">
        <f t="shared" si="122"/>
        <v>0.57847222222222217</v>
      </c>
      <c r="P736" s="564">
        <v>0.58194444444444449</v>
      </c>
      <c r="Q736" s="564">
        <f t="shared" si="129"/>
        <v>3.4722222222223209E-3</v>
      </c>
      <c r="R736" s="965" t="s">
        <v>1520</v>
      </c>
      <c r="S736" s="487" t="s">
        <v>217</v>
      </c>
      <c r="T736" s="29"/>
      <c r="U736" s="29" t="str">
        <f t="shared" si="123"/>
        <v>TexasF0</v>
      </c>
      <c r="V736" s="29" t="str">
        <f t="shared" si="124"/>
        <v>1996F0</v>
      </c>
      <c r="W736" s="80">
        <v>50</v>
      </c>
      <c r="X736" s="32">
        <v>0.5</v>
      </c>
      <c r="Y736" s="467">
        <v>0.01</v>
      </c>
      <c r="Z736" s="80"/>
      <c r="AA736" s="29" t="str">
        <f t="shared" si="125"/>
        <v>F050</v>
      </c>
      <c r="AB736" s="29" t="str">
        <f t="shared" si="126"/>
        <v>F00.5</v>
      </c>
      <c r="AC736" s="29" t="str">
        <f t="shared" si="127"/>
        <v>F00.01</v>
      </c>
      <c r="AD736" s="29" t="str">
        <f t="shared" si="128"/>
        <v>F013</v>
      </c>
      <c r="AE736" s="443"/>
      <c r="AF736" s="443"/>
      <c r="AG736" s="443"/>
      <c r="AH736" s="443"/>
    </row>
    <row r="737" spans="1:34" ht="30" customHeight="1">
      <c r="A737" s="728">
        <f t="shared" si="131"/>
        <v>730</v>
      </c>
      <c r="B737" s="563">
        <v>18</v>
      </c>
      <c r="C737" s="694">
        <v>35211</v>
      </c>
      <c r="D737" s="694" t="s">
        <v>148</v>
      </c>
      <c r="E737" s="695">
        <v>26</v>
      </c>
      <c r="F737" s="503">
        <v>1996</v>
      </c>
      <c r="G737" s="563" t="s">
        <v>100</v>
      </c>
      <c r="H737" s="503" t="s">
        <v>122</v>
      </c>
      <c r="I737" s="695">
        <v>100</v>
      </c>
      <c r="J737" s="695">
        <v>1</v>
      </c>
      <c r="K737" s="777">
        <f t="shared" si="130"/>
        <v>5.6818181818181816E-2</v>
      </c>
      <c r="L737" s="968">
        <v>10000</v>
      </c>
      <c r="M737" s="503">
        <f t="shared" si="132"/>
        <v>14</v>
      </c>
      <c r="N737" s="504">
        <v>0.59444444444444444</v>
      </c>
      <c r="O737" s="719">
        <f t="shared" si="122"/>
        <v>0.59444444444444444</v>
      </c>
      <c r="P737" s="564">
        <v>0.59583333333333333</v>
      </c>
      <c r="Q737" s="564">
        <f t="shared" si="129"/>
        <v>1.388888888888884E-3</v>
      </c>
      <c r="R737" s="965" t="s">
        <v>1520</v>
      </c>
      <c r="S737" s="487" t="s">
        <v>38</v>
      </c>
      <c r="T737" s="29"/>
      <c r="U737" s="29" t="str">
        <f t="shared" si="123"/>
        <v>TexasF0</v>
      </c>
      <c r="V737" s="29" t="str">
        <f t="shared" si="124"/>
        <v>1996F0</v>
      </c>
      <c r="W737" s="80">
        <v>100</v>
      </c>
      <c r="X737" s="32">
        <v>1</v>
      </c>
      <c r="Y737" s="467">
        <v>0.05</v>
      </c>
      <c r="Z737" s="80"/>
      <c r="AA737" s="29" t="str">
        <f t="shared" si="125"/>
        <v>F0100</v>
      </c>
      <c r="AB737" s="29" t="str">
        <f t="shared" si="126"/>
        <v>F01</v>
      </c>
      <c r="AC737" s="29" t="str">
        <f t="shared" si="127"/>
        <v>F00.05</v>
      </c>
      <c r="AD737" s="29" t="str">
        <f t="shared" si="128"/>
        <v>F014</v>
      </c>
      <c r="AE737" s="443"/>
      <c r="AF737" s="443"/>
      <c r="AG737" s="443"/>
      <c r="AH737" s="443"/>
    </row>
    <row r="738" spans="1:34" ht="16.5">
      <c r="A738" s="728">
        <f t="shared" si="131"/>
        <v>731</v>
      </c>
      <c r="B738" s="563">
        <v>19</v>
      </c>
      <c r="C738" s="694">
        <v>35211</v>
      </c>
      <c r="D738" s="694" t="s">
        <v>148</v>
      </c>
      <c r="E738" s="695">
        <v>26</v>
      </c>
      <c r="F738" s="503">
        <v>1996</v>
      </c>
      <c r="G738" s="563" t="s">
        <v>100</v>
      </c>
      <c r="H738" s="503" t="s">
        <v>122</v>
      </c>
      <c r="I738" s="695">
        <v>75</v>
      </c>
      <c r="J738" s="695">
        <v>1</v>
      </c>
      <c r="K738" s="777">
        <f t="shared" si="130"/>
        <v>4.261363636363636E-2</v>
      </c>
      <c r="L738" s="968">
        <v>10000</v>
      </c>
      <c r="M738" s="503">
        <f t="shared" si="132"/>
        <v>14</v>
      </c>
      <c r="N738" s="504">
        <v>0.59444444444444444</v>
      </c>
      <c r="O738" s="719">
        <f t="shared" si="122"/>
        <v>0.59444444444444444</v>
      </c>
      <c r="P738" s="564">
        <v>0.59722222222222221</v>
      </c>
      <c r="Q738" s="564">
        <f t="shared" si="129"/>
        <v>2.7777777777777679E-3</v>
      </c>
      <c r="R738" s="965" t="s">
        <v>1520</v>
      </c>
      <c r="S738" s="487" t="s">
        <v>218</v>
      </c>
      <c r="T738" s="29"/>
      <c r="U738" s="29" t="str">
        <f t="shared" si="123"/>
        <v>TexasF0</v>
      </c>
      <c r="V738" s="29" t="str">
        <f t="shared" si="124"/>
        <v>1996F0</v>
      </c>
      <c r="W738" s="80">
        <v>50</v>
      </c>
      <c r="X738" s="32">
        <v>1</v>
      </c>
      <c r="Y738" s="467">
        <v>0.02</v>
      </c>
      <c r="Z738" s="80"/>
      <c r="AA738" s="29" t="str">
        <f t="shared" si="125"/>
        <v>F050</v>
      </c>
      <c r="AB738" s="29" t="str">
        <f t="shared" si="126"/>
        <v>F01</v>
      </c>
      <c r="AC738" s="29" t="str">
        <f t="shared" si="127"/>
        <v>F00.02</v>
      </c>
      <c r="AD738" s="29" t="str">
        <f t="shared" si="128"/>
        <v>F014</v>
      </c>
      <c r="AE738" s="443"/>
      <c r="AF738" s="443"/>
      <c r="AG738" s="443"/>
      <c r="AH738" s="443"/>
    </row>
    <row r="739" spans="1:34" ht="16.5">
      <c r="A739" s="728">
        <f t="shared" si="131"/>
        <v>732</v>
      </c>
      <c r="B739" s="563">
        <v>20</v>
      </c>
      <c r="C739" s="694">
        <v>35216</v>
      </c>
      <c r="D739" s="694" t="s">
        <v>148</v>
      </c>
      <c r="E739" s="695">
        <v>31</v>
      </c>
      <c r="F739" s="503">
        <v>1996</v>
      </c>
      <c r="G739" s="563" t="s">
        <v>119</v>
      </c>
      <c r="H739" s="503" t="s">
        <v>122</v>
      </c>
      <c r="I739" s="695">
        <v>50</v>
      </c>
      <c r="J739" s="695">
        <v>0.5</v>
      </c>
      <c r="K739" s="777">
        <f t="shared" si="130"/>
        <v>1.4204545454545454E-2</v>
      </c>
      <c r="L739" s="968">
        <v>0</v>
      </c>
      <c r="M739" s="503">
        <f t="shared" si="132"/>
        <v>18</v>
      </c>
      <c r="N739" s="504">
        <v>0.76180555555555562</v>
      </c>
      <c r="O739" s="719">
        <f t="shared" si="122"/>
        <v>0.76180555555555562</v>
      </c>
      <c r="P739" s="564">
        <v>0.76249999999999996</v>
      </c>
      <c r="Q739" s="564">
        <f t="shared" si="129"/>
        <v>6.9444444444433095E-4</v>
      </c>
      <c r="R739" s="965" t="s">
        <v>1520</v>
      </c>
      <c r="S739" s="487" t="s">
        <v>39</v>
      </c>
      <c r="T739" s="29"/>
      <c r="U739" s="29" t="str">
        <f t="shared" si="123"/>
        <v>ArmstrongF0</v>
      </c>
      <c r="V739" s="29" t="str">
        <f t="shared" si="124"/>
        <v>1996F0</v>
      </c>
      <c r="W739" s="80">
        <v>50</v>
      </c>
      <c r="X739" s="32">
        <v>0.5</v>
      </c>
      <c r="Y739" s="467">
        <v>0.01</v>
      </c>
      <c r="Z739" s="80"/>
      <c r="AA739" s="29" t="str">
        <f t="shared" si="125"/>
        <v>F050</v>
      </c>
      <c r="AB739" s="29" t="str">
        <f t="shared" si="126"/>
        <v>F00.5</v>
      </c>
      <c r="AC739" s="29" t="str">
        <f t="shared" si="127"/>
        <v>F00.01</v>
      </c>
      <c r="AD739" s="29" t="str">
        <f t="shared" si="128"/>
        <v>F018</v>
      </c>
      <c r="AE739" s="443"/>
      <c r="AF739" s="443"/>
      <c r="AG739" s="443"/>
      <c r="AH739" s="443"/>
    </row>
    <row r="740" spans="1:34" ht="16.5">
      <c r="A740" s="728">
        <f t="shared" si="131"/>
        <v>733</v>
      </c>
      <c r="B740" s="563">
        <v>21</v>
      </c>
      <c r="C740" s="694">
        <v>35216</v>
      </c>
      <c r="D740" s="694" t="s">
        <v>148</v>
      </c>
      <c r="E740" s="695">
        <v>31</v>
      </c>
      <c r="F740" s="503">
        <v>1996</v>
      </c>
      <c r="G740" s="563" t="s">
        <v>120</v>
      </c>
      <c r="H740" s="503" t="s">
        <v>122</v>
      </c>
      <c r="I740" s="695">
        <v>50</v>
      </c>
      <c r="J740" s="695">
        <v>0.5</v>
      </c>
      <c r="K740" s="777">
        <f t="shared" si="130"/>
        <v>1.4204545454545454E-2</v>
      </c>
      <c r="L740" s="968">
        <v>0</v>
      </c>
      <c r="M740" s="503">
        <f t="shared" si="132"/>
        <v>20</v>
      </c>
      <c r="N740" s="504">
        <v>0.84236111111111101</v>
      </c>
      <c r="O740" s="719">
        <f t="shared" si="122"/>
        <v>0.84236111111111101</v>
      </c>
      <c r="P740" s="564">
        <v>0.84305555555555556</v>
      </c>
      <c r="Q740" s="564">
        <f t="shared" si="129"/>
        <v>6.94444444444553E-4</v>
      </c>
      <c r="R740" s="965" t="s">
        <v>1520</v>
      </c>
      <c r="S740" s="487" t="s">
        <v>40</v>
      </c>
      <c r="T740" s="29"/>
      <c r="U740" s="29" t="str">
        <f t="shared" si="123"/>
        <v>DonleyF0</v>
      </c>
      <c r="V740" s="29" t="str">
        <f t="shared" si="124"/>
        <v>1996F0</v>
      </c>
      <c r="W740" s="80">
        <v>50</v>
      </c>
      <c r="X740" s="32">
        <v>0.5</v>
      </c>
      <c r="Y740" s="467">
        <v>0.01</v>
      </c>
      <c r="Z740" s="80"/>
      <c r="AA740" s="29" t="str">
        <f t="shared" si="125"/>
        <v>F050</v>
      </c>
      <c r="AB740" s="29" t="str">
        <f t="shared" si="126"/>
        <v>F00.5</v>
      </c>
      <c r="AC740" s="29" t="str">
        <f t="shared" si="127"/>
        <v>F00.01</v>
      </c>
      <c r="AD740" s="29" t="str">
        <f t="shared" si="128"/>
        <v>F020</v>
      </c>
      <c r="AE740" s="443"/>
      <c r="AF740" s="443"/>
      <c r="AG740" s="443"/>
      <c r="AH740" s="443"/>
    </row>
    <row r="741" spans="1:34" ht="16.5">
      <c r="A741" s="728">
        <f t="shared" si="131"/>
        <v>734</v>
      </c>
      <c r="B741" s="563">
        <v>22</v>
      </c>
      <c r="C741" s="694">
        <v>35218</v>
      </c>
      <c r="D741" s="694" t="s">
        <v>149</v>
      </c>
      <c r="E741" s="695">
        <v>2</v>
      </c>
      <c r="F741" s="503">
        <v>1996</v>
      </c>
      <c r="G741" s="563" t="s">
        <v>104</v>
      </c>
      <c r="H741" s="503" t="s">
        <v>122</v>
      </c>
      <c r="I741" s="695">
        <v>50</v>
      </c>
      <c r="J741" s="695">
        <v>3</v>
      </c>
      <c r="K741" s="777">
        <f t="shared" si="130"/>
        <v>8.5227272727272721E-2</v>
      </c>
      <c r="L741" s="968">
        <v>0</v>
      </c>
      <c r="M741" s="503">
        <f t="shared" si="132"/>
        <v>14</v>
      </c>
      <c r="N741" s="504">
        <v>0.60277777777777775</v>
      </c>
      <c r="O741" s="719">
        <f t="shared" si="122"/>
        <v>0.60277777777777775</v>
      </c>
      <c r="P741" s="564">
        <v>0.61805555555555558</v>
      </c>
      <c r="Q741" s="564">
        <f t="shared" si="129"/>
        <v>1.5277777777777835E-2</v>
      </c>
      <c r="R741" s="965" t="s">
        <v>1520</v>
      </c>
      <c r="S741" s="487" t="s">
        <v>328</v>
      </c>
      <c r="T741" s="29"/>
      <c r="U741" s="29" t="str">
        <f t="shared" si="123"/>
        <v>HansfordF0</v>
      </c>
      <c r="V741" s="29" t="str">
        <f t="shared" si="124"/>
        <v>1996F0</v>
      </c>
      <c r="W741" s="80">
        <v>50</v>
      </c>
      <c r="X741" s="32">
        <v>2</v>
      </c>
      <c r="Y741" s="467">
        <v>0.05</v>
      </c>
      <c r="Z741" s="80"/>
      <c r="AA741" s="29" t="str">
        <f t="shared" si="125"/>
        <v>F050</v>
      </c>
      <c r="AB741" s="29" t="str">
        <f t="shared" si="126"/>
        <v>F02</v>
      </c>
      <c r="AC741" s="29" t="str">
        <f t="shared" si="127"/>
        <v>F00.05</v>
      </c>
      <c r="AD741" s="29" t="str">
        <f t="shared" si="128"/>
        <v>F014</v>
      </c>
      <c r="AE741" s="443"/>
      <c r="AF741" s="443"/>
      <c r="AG741" s="443"/>
      <c r="AH741" s="443"/>
    </row>
    <row r="742" spans="1:34" ht="16.5">
      <c r="A742" s="728">
        <f t="shared" si="131"/>
        <v>735</v>
      </c>
      <c r="B742" s="563">
        <v>23</v>
      </c>
      <c r="C742" s="694">
        <v>35218</v>
      </c>
      <c r="D742" s="694" t="s">
        <v>149</v>
      </c>
      <c r="E742" s="695">
        <v>2</v>
      </c>
      <c r="F742" s="503">
        <v>1996</v>
      </c>
      <c r="G742" s="563" t="s">
        <v>114</v>
      </c>
      <c r="H742" s="503" t="s">
        <v>122</v>
      </c>
      <c r="I742" s="695">
        <v>50</v>
      </c>
      <c r="J742" s="695">
        <v>0.5</v>
      </c>
      <c r="K742" s="777">
        <f t="shared" si="130"/>
        <v>1.4204545454545454E-2</v>
      </c>
      <c r="L742" s="968">
        <v>0</v>
      </c>
      <c r="M742" s="503">
        <f t="shared" si="132"/>
        <v>16</v>
      </c>
      <c r="N742" s="504">
        <v>0.67152777777777783</v>
      </c>
      <c r="O742" s="719">
        <f t="shared" si="122"/>
        <v>0.67152777777777783</v>
      </c>
      <c r="P742" s="564">
        <v>0.6743055555555556</v>
      </c>
      <c r="Q742" s="564">
        <f t="shared" si="129"/>
        <v>2.7777777777777679E-3</v>
      </c>
      <c r="R742" s="965" t="s">
        <v>1520</v>
      </c>
      <c r="S742" s="487" t="s">
        <v>259</v>
      </c>
      <c r="T742" s="29"/>
      <c r="U742" s="29" t="str">
        <f t="shared" si="123"/>
        <v>CarsonF0</v>
      </c>
      <c r="V742" s="29" t="str">
        <f t="shared" si="124"/>
        <v>1996F0</v>
      </c>
      <c r="W742" s="80">
        <v>50</v>
      </c>
      <c r="X742" s="32">
        <v>0.5</v>
      </c>
      <c r="Y742" s="467">
        <v>0.01</v>
      </c>
      <c r="Z742" s="80"/>
      <c r="AA742" s="29" t="str">
        <f t="shared" si="125"/>
        <v>F050</v>
      </c>
      <c r="AB742" s="29" t="str">
        <f t="shared" si="126"/>
        <v>F00.5</v>
      </c>
      <c r="AC742" s="29" t="str">
        <f t="shared" si="127"/>
        <v>F00.01</v>
      </c>
      <c r="AD742" s="29" t="str">
        <f t="shared" si="128"/>
        <v>F016</v>
      </c>
      <c r="AE742" s="443"/>
      <c r="AF742" s="443"/>
      <c r="AG742" s="443"/>
      <c r="AH742" s="443"/>
    </row>
    <row r="743" spans="1:34" ht="16.5">
      <c r="A743" s="728">
        <f t="shared" si="131"/>
        <v>736</v>
      </c>
      <c r="B743" s="563">
        <v>24</v>
      </c>
      <c r="C743" s="694">
        <v>35218</v>
      </c>
      <c r="D743" s="694" t="s">
        <v>149</v>
      </c>
      <c r="E743" s="695">
        <v>2</v>
      </c>
      <c r="F743" s="503">
        <v>1996</v>
      </c>
      <c r="G743" s="563" t="s">
        <v>114</v>
      </c>
      <c r="H743" s="503" t="s">
        <v>122</v>
      </c>
      <c r="I743" s="695">
        <v>50</v>
      </c>
      <c r="J743" s="695">
        <v>0.5</v>
      </c>
      <c r="K743" s="777">
        <f t="shared" si="130"/>
        <v>1.4204545454545454E-2</v>
      </c>
      <c r="L743" s="968">
        <v>0</v>
      </c>
      <c r="M743" s="503">
        <f t="shared" si="132"/>
        <v>16</v>
      </c>
      <c r="N743" s="504">
        <v>0.68888888888888899</v>
      </c>
      <c r="O743" s="719">
        <f t="shared" si="122"/>
        <v>0.68888888888888899</v>
      </c>
      <c r="P743" s="564">
        <v>0.69097222222222221</v>
      </c>
      <c r="Q743" s="564">
        <f t="shared" si="129"/>
        <v>2.0833333333332149E-3</v>
      </c>
      <c r="R743" s="965" t="s">
        <v>1520</v>
      </c>
      <c r="S743" s="487" t="s">
        <v>432</v>
      </c>
      <c r="T743" s="29"/>
      <c r="U743" s="29" t="str">
        <f t="shared" si="123"/>
        <v>CarsonF0</v>
      </c>
      <c r="V743" s="29" t="str">
        <f t="shared" si="124"/>
        <v>1996F0</v>
      </c>
      <c r="W743" s="80">
        <v>50</v>
      </c>
      <c r="X743" s="32">
        <v>0.5</v>
      </c>
      <c r="Y743" s="467">
        <v>0.01</v>
      </c>
      <c r="Z743" s="80"/>
      <c r="AA743" s="29" t="str">
        <f t="shared" si="125"/>
        <v>F050</v>
      </c>
      <c r="AB743" s="29" t="str">
        <f t="shared" si="126"/>
        <v>F00.5</v>
      </c>
      <c r="AC743" s="29" t="str">
        <f t="shared" si="127"/>
        <v>F00.01</v>
      </c>
      <c r="AD743" s="29" t="str">
        <f t="shared" si="128"/>
        <v>F016</v>
      </c>
      <c r="AE743" s="443"/>
      <c r="AF743" s="443"/>
      <c r="AG743" s="443"/>
      <c r="AH743" s="443"/>
    </row>
    <row r="744" spans="1:34" ht="16.5">
      <c r="A744" s="728">
        <f t="shared" si="131"/>
        <v>737</v>
      </c>
      <c r="B744" s="563">
        <v>25</v>
      </c>
      <c r="C744" s="694">
        <v>35219</v>
      </c>
      <c r="D744" s="694" t="s">
        <v>149</v>
      </c>
      <c r="E744" s="695">
        <v>3</v>
      </c>
      <c r="F744" s="503">
        <v>1996</v>
      </c>
      <c r="G744" s="563" t="s">
        <v>99</v>
      </c>
      <c r="H744" s="503" t="s">
        <v>122</v>
      </c>
      <c r="I744" s="695">
        <v>50</v>
      </c>
      <c r="J744" s="695">
        <v>0.5</v>
      </c>
      <c r="K744" s="777">
        <f t="shared" si="130"/>
        <v>1.4204545454545454E-2</v>
      </c>
      <c r="L744" s="968">
        <v>0</v>
      </c>
      <c r="M744" s="503">
        <f t="shared" si="132"/>
        <v>14</v>
      </c>
      <c r="N744" s="504">
        <v>0.59722222222222221</v>
      </c>
      <c r="O744" s="719">
        <f t="shared" si="122"/>
        <v>0.59722222222222221</v>
      </c>
      <c r="P744" s="564">
        <v>0.6</v>
      </c>
      <c r="Q744" s="564">
        <f t="shared" si="129"/>
        <v>2.7777777777777679E-3</v>
      </c>
      <c r="R744" s="965" t="s">
        <v>1520</v>
      </c>
      <c r="S744" s="487" t="s">
        <v>208</v>
      </c>
      <c r="T744" s="29"/>
      <c r="U744" s="29" t="str">
        <f t="shared" si="123"/>
        <v>CimarronF0</v>
      </c>
      <c r="V744" s="29" t="str">
        <f t="shared" si="124"/>
        <v>1996F0</v>
      </c>
      <c r="W744" s="80">
        <v>50</v>
      </c>
      <c r="X744" s="32">
        <v>0.5</v>
      </c>
      <c r="Y744" s="467">
        <v>0.01</v>
      </c>
      <c r="Z744" s="80"/>
      <c r="AA744" s="29" t="str">
        <f t="shared" si="125"/>
        <v>F050</v>
      </c>
      <c r="AB744" s="29" t="str">
        <f t="shared" si="126"/>
        <v>F00.5</v>
      </c>
      <c r="AC744" s="29" t="str">
        <f t="shared" si="127"/>
        <v>F00.01</v>
      </c>
      <c r="AD744" s="29" t="str">
        <f t="shared" si="128"/>
        <v>F014</v>
      </c>
      <c r="AE744" s="443"/>
      <c r="AF744" s="443"/>
      <c r="AG744" s="443"/>
      <c r="AH744" s="443"/>
    </row>
    <row r="745" spans="1:34" ht="16.5">
      <c r="A745" s="728">
        <f t="shared" si="131"/>
        <v>738</v>
      </c>
      <c r="B745" s="563">
        <v>26</v>
      </c>
      <c r="C745" s="694">
        <v>35221</v>
      </c>
      <c r="D745" s="694" t="s">
        <v>149</v>
      </c>
      <c r="E745" s="695">
        <v>5</v>
      </c>
      <c r="F745" s="503">
        <v>1996</v>
      </c>
      <c r="G745" s="563" t="s">
        <v>100</v>
      </c>
      <c r="H745" s="503" t="s">
        <v>122</v>
      </c>
      <c r="I745" s="695">
        <v>25</v>
      </c>
      <c r="J745" s="695">
        <v>2</v>
      </c>
      <c r="K745" s="777">
        <f t="shared" si="130"/>
        <v>2.8409090909090908E-2</v>
      </c>
      <c r="L745" s="968">
        <v>0</v>
      </c>
      <c r="M745" s="503">
        <f t="shared" si="132"/>
        <v>16</v>
      </c>
      <c r="N745" s="504">
        <v>0.69930555555555562</v>
      </c>
      <c r="O745" s="719">
        <f t="shared" si="122"/>
        <v>0.69930555555555562</v>
      </c>
      <c r="P745" s="564">
        <v>0.7055555555555556</v>
      </c>
      <c r="Q745" s="564">
        <f t="shared" si="129"/>
        <v>6.2499999999999778E-3</v>
      </c>
      <c r="R745" s="965" t="s">
        <v>1520</v>
      </c>
      <c r="S745" s="487" t="s">
        <v>219</v>
      </c>
      <c r="T745" s="29"/>
      <c r="U745" s="29" t="str">
        <f t="shared" si="123"/>
        <v>TexasF0</v>
      </c>
      <c r="V745" s="29" t="str">
        <f t="shared" si="124"/>
        <v>1996F0</v>
      </c>
      <c r="W745" s="80">
        <v>20</v>
      </c>
      <c r="X745" s="32">
        <v>2</v>
      </c>
      <c r="Y745" s="467">
        <v>0.02</v>
      </c>
      <c r="Z745" s="80"/>
      <c r="AA745" s="29" t="str">
        <f t="shared" si="125"/>
        <v>F020</v>
      </c>
      <c r="AB745" s="29" t="str">
        <f t="shared" si="126"/>
        <v>F02</v>
      </c>
      <c r="AC745" s="29" t="str">
        <f t="shared" si="127"/>
        <v>F00.02</v>
      </c>
      <c r="AD745" s="29" t="str">
        <f t="shared" si="128"/>
        <v>F016</v>
      </c>
      <c r="AE745" s="443"/>
      <c r="AF745" s="443"/>
      <c r="AG745" s="443"/>
      <c r="AH745" s="443"/>
    </row>
    <row r="746" spans="1:34" ht="16.5">
      <c r="A746" s="728">
        <f t="shared" si="131"/>
        <v>739</v>
      </c>
      <c r="B746" s="563">
        <v>27</v>
      </c>
      <c r="C746" s="694">
        <v>35234</v>
      </c>
      <c r="D746" s="694" t="s">
        <v>149</v>
      </c>
      <c r="E746" s="695">
        <v>18</v>
      </c>
      <c r="F746" s="503">
        <v>1996</v>
      </c>
      <c r="G746" s="563" t="s">
        <v>119</v>
      </c>
      <c r="H746" s="503" t="s">
        <v>122</v>
      </c>
      <c r="I746" s="695">
        <v>50</v>
      </c>
      <c r="J746" s="695">
        <v>0.5</v>
      </c>
      <c r="K746" s="777">
        <f t="shared" si="130"/>
        <v>1.4204545454545454E-2</v>
      </c>
      <c r="L746" s="968">
        <v>0</v>
      </c>
      <c r="M746" s="503">
        <f t="shared" si="132"/>
        <v>16</v>
      </c>
      <c r="N746" s="504">
        <v>0.69027777777777777</v>
      </c>
      <c r="O746" s="719">
        <f t="shared" si="122"/>
        <v>0.69027777777777777</v>
      </c>
      <c r="P746" s="564">
        <v>0.69305555555555554</v>
      </c>
      <c r="Q746" s="564">
        <f t="shared" si="129"/>
        <v>2.7777777777777679E-3</v>
      </c>
      <c r="R746" s="965" t="s">
        <v>1520</v>
      </c>
      <c r="S746" s="487" t="s">
        <v>247</v>
      </c>
      <c r="T746" s="29"/>
      <c r="U746" s="29" t="str">
        <f t="shared" si="123"/>
        <v>ArmstrongF0</v>
      </c>
      <c r="V746" s="29" t="str">
        <f t="shared" si="124"/>
        <v>1996F0</v>
      </c>
      <c r="W746" s="80">
        <v>50</v>
      </c>
      <c r="X746" s="32">
        <v>0.5</v>
      </c>
      <c r="Y746" s="467">
        <v>0.01</v>
      </c>
      <c r="Z746" s="80"/>
      <c r="AA746" s="29" t="str">
        <f t="shared" si="125"/>
        <v>F050</v>
      </c>
      <c r="AB746" s="29" t="str">
        <f t="shared" si="126"/>
        <v>F00.5</v>
      </c>
      <c r="AC746" s="29" t="str">
        <f t="shared" si="127"/>
        <v>F00.01</v>
      </c>
      <c r="AD746" s="29" t="str">
        <f t="shared" si="128"/>
        <v>F016</v>
      </c>
      <c r="AE746" s="443"/>
      <c r="AF746" s="443"/>
      <c r="AG746" s="443"/>
      <c r="AH746" s="443"/>
    </row>
    <row r="747" spans="1:34" ht="16.5">
      <c r="A747" s="728">
        <f t="shared" si="131"/>
        <v>740</v>
      </c>
      <c r="B747" s="563">
        <v>28</v>
      </c>
      <c r="C747" s="694">
        <v>35287</v>
      </c>
      <c r="D747" s="694" t="s">
        <v>151</v>
      </c>
      <c r="E747" s="695">
        <v>10</v>
      </c>
      <c r="F747" s="503">
        <v>1996</v>
      </c>
      <c r="G747" s="563" t="s">
        <v>116</v>
      </c>
      <c r="H747" s="503" t="s">
        <v>122</v>
      </c>
      <c r="I747" s="695">
        <v>50</v>
      </c>
      <c r="J747" s="695">
        <v>0.5</v>
      </c>
      <c r="K747" s="777">
        <f t="shared" si="130"/>
        <v>1.4204545454545454E-2</v>
      </c>
      <c r="L747" s="968">
        <v>0</v>
      </c>
      <c r="M747" s="503">
        <f t="shared" si="132"/>
        <v>17</v>
      </c>
      <c r="N747" s="504">
        <v>0.72430555555555554</v>
      </c>
      <c r="O747" s="719">
        <f t="shared" si="122"/>
        <v>0.72430555555555554</v>
      </c>
      <c r="P747" s="564">
        <v>0.72569444444444453</v>
      </c>
      <c r="Q747" s="564">
        <f t="shared" si="129"/>
        <v>1.388888888888995E-3</v>
      </c>
      <c r="R747" s="965" t="s">
        <v>1520</v>
      </c>
      <c r="S747" s="487" t="s">
        <v>421</v>
      </c>
      <c r="T747" s="29"/>
      <c r="U747" s="29" t="str">
        <f t="shared" si="123"/>
        <v>WheelerF0</v>
      </c>
      <c r="V747" s="29" t="str">
        <f t="shared" si="124"/>
        <v>1996F0</v>
      </c>
      <c r="W747" s="80">
        <v>50</v>
      </c>
      <c r="X747" s="32">
        <v>0.5</v>
      </c>
      <c r="Y747" s="467">
        <v>0.01</v>
      </c>
      <c r="Z747" s="80"/>
      <c r="AA747" s="29" t="str">
        <f t="shared" si="125"/>
        <v>F050</v>
      </c>
      <c r="AB747" s="29" t="str">
        <f t="shared" si="126"/>
        <v>F00.5</v>
      </c>
      <c r="AC747" s="29" t="str">
        <f t="shared" si="127"/>
        <v>F00.01</v>
      </c>
      <c r="AD747" s="29" t="str">
        <f t="shared" si="128"/>
        <v>F017</v>
      </c>
      <c r="AE747" s="443"/>
      <c r="AF747" s="443"/>
      <c r="AG747" s="443"/>
      <c r="AH747" s="443"/>
    </row>
    <row r="748" spans="1:34" ht="16.5">
      <c r="A748" s="728">
        <f t="shared" si="131"/>
        <v>741</v>
      </c>
      <c r="B748" s="563">
        <v>29</v>
      </c>
      <c r="C748" s="694">
        <v>35305</v>
      </c>
      <c r="D748" s="694" t="s">
        <v>151</v>
      </c>
      <c r="E748" s="695">
        <v>28</v>
      </c>
      <c r="F748" s="503">
        <v>1996</v>
      </c>
      <c r="G748" s="563" t="s">
        <v>118</v>
      </c>
      <c r="H748" s="503" t="s">
        <v>122</v>
      </c>
      <c r="I748" s="695">
        <v>10</v>
      </c>
      <c r="J748" s="695">
        <v>0.2</v>
      </c>
      <c r="K748" s="777">
        <f t="shared" si="130"/>
        <v>1.1363636363636365E-3</v>
      </c>
      <c r="L748" s="968">
        <v>0</v>
      </c>
      <c r="M748" s="503">
        <f t="shared" si="132"/>
        <v>12</v>
      </c>
      <c r="N748" s="504">
        <v>0.50347222222222221</v>
      </c>
      <c r="O748" s="719">
        <f t="shared" si="122"/>
        <v>0.50347222222222221</v>
      </c>
      <c r="P748" s="564">
        <v>0.50486111111111109</v>
      </c>
      <c r="Q748" s="564">
        <f t="shared" si="129"/>
        <v>1.388888888888884E-3</v>
      </c>
      <c r="R748" s="965" t="s">
        <v>1520</v>
      </c>
      <c r="S748" s="487" t="s">
        <v>433</v>
      </c>
      <c r="T748" s="29"/>
      <c r="U748" s="29" t="str">
        <f t="shared" si="123"/>
        <v>RandallF0</v>
      </c>
      <c r="V748" s="29" t="str">
        <f t="shared" si="124"/>
        <v>1996F0</v>
      </c>
      <c r="W748" s="80">
        <v>10</v>
      </c>
      <c r="X748" s="32">
        <v>0.2</v>
      </c>
      <c r="Y748" s="467">
        <v>1E-3</v>
      </c>
      <c r="Z748" s="80"/>
      <c r="AA748" s="29" t="str">
        <f t="shared" si="125"/>
        <v>F010</v>
      </c>
      <c r="AB748" s="29" t="str">
        <f t="shared" si="126"/>
        <v>F00.2</v>
      </c>
      <c r="AC748" s="29" t="str">
        <f t="shared" si="127"/>
        <v>F00.001</v>
      </c>
      <c r="AD748" s="29" t="str">
        <f t="shared" si="128"/>
        <v>F012</v>
      </c>
      <c r="AE748" s="443"/>
      <c r="AF748" s="443"/>
      <c r="AG748" s="443"/>
      <c r="AH748" s="443"/>
    </row>
    <row r="749" spans="1:34" ht="16.5">
      <c r="A749" s="728">
        <f t="shared" si="131"/>
        <v>742</v>
      </c>
      <c r="B749" s="563">
        <v>30</v>
      </c>
      <c r="C749" s="694">
        <v>35305</v>
      </c>
      <c r="D749" s="694" t="s">
        <v>151</v>
      </c>
      <c r="E749" s="695">
        <v>28</v>
      </c>
      <c r="F749" s="503">
        <v>1996</v>
      </c>
      <c r="G749" s="563" t="s">
        <v>118</v>
      </c>
      <c r="H749" s="503" t="s">
        <v>122</v>
      </c>
      <c r="I749" s="695">
        <v>10</v>
      </c>
      <c r="J749" s="695">
        <v>0.2</v>
      </c>
      <c r="K749" s="777">
        <f t="shared" si="130"/>
        <v>1.1363636363636365E-3</v>
      </c>
      <c r="L749" s="968">
        <v>0</v>
      </c>
      <c r="M749" s="503">
        <f t="shared" si="132"/>
        <v>12</v>
      </c>
      <c r="N749" s="504">
        <v>0.52083333333333337</v>
      </c>
      <c r="O749" s="719">
        <f t="shared" si="122"/>
        <v>0.52083333333333337</v>
      </c>
      <c r="P749" s="564">
        <v>0.52222222222222225</v>
      </c>
      <c r="Q749" s="564">
        <f t="shared" si="129"/>
        <v>1.388888888888884E-3</v>
      </c>
      <c r="R749" s="965" t="s">
        <v>1520</v>
      </c>
      <c r="S749" s="487" t="s">
        <v>389</v>
      </c>
      <c r="T749" s="29"/>
      <c r="U749" s="29" t="str">
        <f t="shared" si="123"/>
        <v>RandallF0</v>
      </c>
      <c r="V749" s="29" t="str">
        <f t="shared" si="124"/>
        <v>1996F0</v>
      </c>
      <c r="W749" s="80">
        <v>10</v>
      </c>
      <c r="X749" s="32">
        <v>0.2</v>
      </c>
      <c r="Y749" s="467">
        <v>1E-3</v>
      </c>
      <c r="Z749" s="80"/>
      <c r="AA749" s="29" t="str">
        <f t="shared" si="125"/>
        <v>F010</v>
      </c>
      <c r="AB749" s="29" t="str">
        <f t="shared" si="126"/>
        <v>F00.2</v>
      </c>
      <c r="AC749" s="29" t="str">
        <f t="shared" si="127"/>
        <v>F00.001</v>
      </c>
      <c r="AD749" s="29" t="str">
        <f t="shared" si="128"/>
        <v>F012</v>
      </c>
      <c r="AE749" s="443"/>
      <c r="AF749" s="443"/>
      <c r="AG749" s="443"/>
      <c r="AH749" s="443"/>
    </row>
    <row r="750" spans="1:34" ht="16.5">
      <c r="A750" s="728">
        <f t="shared" si="131"/>
        <v>743</v>
      </c>
      <c r="B750" s="563">
        <v>31</v>
      </c>
      <c r="C750" s="694">
        <v>35325</v>
      </c>
      <c r="D750" s="694" t="s">
        <v>152</v>
      </c>
      <c r="E750" s="695">
        <v>17</v>
      </c>
      <c r="F750" s="503">
        <v>1996</v>
      </c>
      <c r="G750" s="563" t="s">
        <v>108</v>
      </c>
      <c r="H750" s="503" t="s">
        <v>122</v>
      </c>
      <c r="I750" s="695">
        <v>100</v>
      </c>
      <c r="J750" s="695">
        <v>0.5</v>
      </c>
      <c r="K750" s="777">
        <f t="shared" si="130"/>
        <v>2.8409090909090908E-2</v>
      </c>
      <c r="L750" s="968">
        <v>0</v>
      </c>
      <c r="M750" s="503">
        <f t="shared" si="132"/>
        <v>21</v>
      </c>
      <c r="N750" s="504">
        <v>0.88194444444444453</v>
      </c>
      <c r="O750" s="719">
        <f t="shared" si="122"/>
        <v>0.88194444444444453</v>
      </c>
      <c r="P750" s="564">
        <v>0.8833333333333333</v>
      </c>
      <c r="Q750" s="564">
        <f t="shared" si="129"/>
        <v>1.3888888888887729E-3</v>
      </c>
      <c r="R750" s="965" t="s">
        <v>1520</v>
      </c>
      <c r="S750" s="487" t="s">
        <v>364</v>
      </c>
      <c r="T750" s="29"/>
      <c r="U750" s="29" t="str">
        <f t="shared" si="123"/>
        <v>MooreF0</v>
      </c>
      <c r="V750" s="29" t="str">
        <f t="shared" si="124"/>
        <v>1996F0</v>
      </c>
      <c r="W750" s="80">
        <v>100</v>
      </c>
      <c r="X750" s="32">
        <v>0.5</v>
      </c>
      <c r="Y750" s="467">
        <v>0.02</v>
      </c>
      <c r="Z750" s="80"/>
      <c r="AA750" s="29" t="str">
        <f t="shared" si="125"/>
        <v>F0100</v>
      </c>
      <c r="AB750" s="29" t="str">
        <f t="shared" si="126"/>
        <v>F00.5</v>
      </c>
      <c r="AC750" s="29" t="str">
        <f t="shared" si="127"/>
        <v>F00.02</v>
      </c>
      <c r="AD750" s="29" t="str">
        <f t="shared" si="128"/>
        <v>F021</v>
      </c>
      <c r="AE750" s="443"/>
      <c r="AF750" s="443"/>
      <c r="AG750" s="443"/>
      <c r="AH750" s="443"/>
    </row>
    <row r="751" spans="1:34" ht="16.5">
      <c r="A751" s="728">
        <f t="shared" si="131"/>
        <v>744</v>
      </c>
      <c r="B751" s="563">
        <v>32</v>
      </c>
      <c r="C751" s="694">
        <v>35325</v>
      </c>
      <c r="D751" s="694" t="s">
        <v>152</v>
      </c>
      <c r="E751" s="695">
        <v>17</v>
      </c>
      <c r="F751" s="503">
        <v>1996</v>
      </c>
      <c r="G751" s="563" t="s">
        <v>109</v>
      </c>
      <c r="H751" s="503" t="s">
        <v>122</v>
      </c>
      <c r="I751" s="695">
        <v>50</v>
      </c>
      <c r="J751" s="695">
        <v>0.5</v>
      </c>
      <c r="K751" s="777">
        <f t="shared" si="130"/>
        <v>1.4204545454545454E-2</v>
      </c>
      <c r="L751" s="968">
        <v>0</v>
      </c>
      <c r="M751" s="503">
        <f t="shared" si="132"/>
        <v>22</v>
      </c>
      <c r="N751" s="504">
        <v>0.9458333333333333</v>
      </c>
      <c r="O751" s="719">
        <f t="shared" si="122"/>
        <v>0.9458333333333333</v>
      </c>
      <c r="P751" s="564">
        <v>0.9472222222222223</v>
      </c>
      <c r="Q751" s="564">
        <f t="shared" si="129"/>
        <v>1.388888888888995E-3</v>
      </c>
      <c r="R751" s="965" t="s">
        <v>1520</v>
      </c>
      <c r="S751" s="487" t="s">
        <v>349</v>
      </c>
      <c r="U751" s="29" t="str">
        <f t="shared" si="123"/>
        <v>HutchinsonF0</v>
      </c>
      <c r="V751" s="29" t="str">
        <f t="shared" si="124"/>
        <v>1996F0</v>
      </c>
      <c r="W751" s="80">
        <v>50</v>
      </c>
      <c r="X751" s="32">
        <v>0.5</v>
      </c>
      <c r="Y751" s="467">
        <v>0.01</v>
      </c>
      <c r="Z751" s="80"/>
      <c r="AA751" s="29" t="str">
        <f t="shared" si="125"/>
        <v>F050</v>
      </c>
      <c r="AB751" s="29" t="str">
        <f t="shared" si="126"/>
        <v>F00.5</v>
      </c>
      <c r="AC751" s="29" t="str">
        <f t="shared" si="127"/>
        <v>F00.01</v>
      </c>
      <c r="AD751" s="29" t="str">
        <f t="shared" si="128"/>
        <v>F022</v>
      </c>
      <c r="AE751" s="443"/>
      <c r="AF751" s="443"/>
      <c r="AG751" s="443"/>
      <c r="AH751" s="443"/>
    </row>
    <row r="752" spans="1:34" ht="16.5">
      <c r="A752" s="728">
        <f t="shared" si="131"/>
        <v>745</v>
      </c>
      <c r="B752" s="563">
        <v>33</v>
      </c>
      <c r="C752" s="694">
        <v>35325</v>
      </c>
      <c r="D752" s="694" t="s">
        <v>152</v>
      </c>
      <c r="E752" s="695">
        <v>17</v>
      </c>
      <c r="F752" s="503">
        <v>1996</v>
      </c>
      <c r="G752" s="563" t="s">
        <v>104</v>
      </c>
      <c r="H752" s="503" t="s">
        <v>122</v>
      </c>
      <c r="I752" s="695">
        <v>50</v>
      </c>
      <c r="J752" s="695">
        <v>0.5</v>
      </c>
      <c r="K752" s="777">
        <f t="shared" si="130"/>
        <v>1.4204545454545454E-2</v>
      </c>
      <c r="L752" s="968">
        <v>0</v>
      </c>
      <c r="M752" s="503">
        <f t="shared" si="132"/>
        <v>23</v>
      </c>
      <c r="N752" s="504">
        <v>0.99236111111111114</v>
      </c>
      <c r="O752" s="719">
        <f t="shared" si="122"/>
        <v>0.99236111111111114</v>
      </c>
      <c r="P752" s="564">
        <v>0.99375000000000002</v>
      </c>
      <c r="Q752" s="564">
        <f t="shared" si="129"/>
        <v>1.388888888888884E-3</v>
      </c>
      <c r="R752" s="965" t="s">
        <v>1520</v>
      </c>
      <c r="S752" s="487" t="s">
        <v>329</v>
      </c>
      <c r="U752" s="29" t="str">
        <f t="shared" si="123"/>
        <v>HansfordF0</v>
      </c>
      <c r="V752" s="29" t="str">
        <f t="shared" si="124"/>
        <v>1996F0</v>
      </c>
      <c r="W752" s="80">
        <v>50</v>
      </c>
      <c r="X752" s="32">
        <v>0.5</v>
      </c>
      <c r="Y752" s="467">
        <v>0.01</v>
      </c>
      <c r="Z752" s="80"/>
      <c r="AA752" s="29" t="str">
        <f t="shared" si="125"/>
        <v>F050</v>
      </c>
      <c r="AB752" s="29" t="str">
        <f t="shared" si="126"/>
        <v>F00.5</v>
      </c>
      <c r="AC752" s="29" t="str">
        <f t="shared" si="127"/>
        <v>F00.01</v>
      </c>
      <c r="AD752" s="29" t="str">
        <f t="shared" si="128"/>
        <v>F023</v>
      </c>
      <c r="AE752" s="443"/>
      <c r="AF752" s="443"/>
      <c r="AG752" s="443"/>
      <c r="AH752" s="443"/>
    </row>
    <row r="753" spans="1:34" ht="16.5">
      <c r="A753" s="728">
        <f t="shared" si="131"/>
        <v>746</v>
      </c>
      <c r="B753" s="563">
        <v>34</v>
      </c>
      <c r="C753" s="694">
        <v>35326</v>
      </c>
      <c r="D753" s="694" t="s">
        <v>152</v>
      </c>
      <c r="E753" s="695">
        <v>18</v>
      </c>
      <c r="F753" s="503">
        <v>1996</v>
      </c>
      <c r="G753" s="563" t="s">
        <v>100</v>
      </c>
      <c r="H753" s="503" t="s">
        <v>122</v>
      </c>
      <c r="I753" s="695">
        <v>50</v>
      </c>
      <c r="J753" s="695">
        <v>0.5</v>
      </c>
      <c r="K753" s="777">
        <f t="shared" si="130"/>
        <v>1.4204545454545454E-2</v>
      </c>
      <c r="L753" s="968">
        <v>0</v>
      </c>
      <c r="M753" s="503">
        <f t="shared" si="132"/>
        <v>19</v>
      </c>
      <c r="N753" s="504">
        <v>0.79236111111111107</v>
      </c>
      <c r="O753" s="719">
        <f t="shared" si="122"/>
        <v>0.79236111111111107</v>
      </c>
      <c r="P753" s="564">
        <v>0.79374999999999996</v>
      </c>
      <c r="Q753" s="564">
        <f t="shared" si="129"/>
        <v>1.388888888888884E-3</v>
      </c>
      <c r="R753" s="965" t="s">
        <v>1520</v>
      </c>
      <c r="S753" s="487" t="s">
        <v>220</v>
      </c>
      <c r="U753" s="29" t="str">
        <f t="shared" si="123"/>
        <v>TexasF0</v>
      </c>
      <c r="V753" s="29" t="str">
        <f t="shared" si="124"/>
        <v>1996F0</v>
      </c>
      <c r="W753" s="80">
        <v>50</v>
      </c>
      <c r="X753" s="32">
        <v>0.5</v>
      </c>
      <c r="Y753" s="467">
        <v>0.01</v>
      </c>
      <c r="Z753" s="80"/>
      <c r="AA753" s="29" t="str">
        <f t="shared" si="125"/>
        <v>F050</v>
      </c>
      <c r="AB753" s="29" t="str">
        <f t="shared" si="126"/>
        <v>F00.5</v>
      </c>
      <c r="AC753" s="29" t="str">
        <f t="shared" si="127"/>
        <v>F00.01</v>
      </c>
      <c r="AD753" s="29" t="str">
        <f t="shared" si="128"/>
        <v>F019</v>
      </c>
      <c r="AE753" s="443"/>
      <c r="AF753" s="443"/>
      <c r="AG753" s="443"/>
      <c r="AH753" s="443"/>
    </row>
    <row r="754" spans="1:34" ht="16.5">
      <c r="A754" s="728">
        <f t="shared" si="131"/>
        <v>747</v>
      </c>
      <c r="B754" s="563">
        <v>35</v>
      </c>
      <c r="C754" s="694">
        <v>35326</v>
      </c>
      <c r="D754" s="694" t="s">
        <v>152</v>
      </c>
      <c r="E754" s="695">
        <v>18</v>
      </c>
      <c r="F754" s="503">
        <v>1996</v>
      </c>
      <c r="G754" s="563" t="s">
        <v>100</v>
      </c>
      <c r="H754" s="503" t="s">
        <v>122</v>
      </c>
      <c r="I754" s="695">
        <v>50</v>
      </c>
      <c r="J754" s="695">
        <v>0.5</v>
      </c>
      <c r="K754" s="777">
        <f t="shared" si="130"/>
        <v>1.4204545454545454E-2</v>
      </c>
      <c r="L754" s="968">
        <v>0</v>
      </c>
      <c r="M754" s="503">
        <f t="shared" si="132"/>
        <v>19</v>
      </c>
      <c r="N754" s="504">
        <v>0.79652777777777783</v>
      </c>
      <c r="O754" s="719">
        <f t="shared" si="122"/>
        <v>0.79652777777777783</v>
      </c>
      <c r="P754" s="564">
        <v>0.79861111111111116</v>
      </c>
      <c r="Q754" s="564">
        <f t="shared" si="129"/>
        <v>2.0833333333333259E-3</v>
      </c>
      <c r="R754" s="965" t="s">
        <v>1520</v>
      </c>
      <c r="S754" s="487" t="s">
        <v>221</v>
      </c>
      <c r="U754" s="29" t="str">
        <f t="shared" si="123"/>
        <v>TexasF0</v>
      </c>
      <c r="V754" s="29" t="str">
        <f t="shared" si="124"/>
        <v>1996F0</v>
      </c>
      <c r="W754" s="80">
        <v>50</v>
      </c>
      <c r="X754" s="32">
        <v>0.5</v>
      </c>
      <c r="Y754" s="467">
        <v>0.01</v>
      </c>
      <c r="Z754" s="80"/>
      <c r="AA754" s="29" t="str">
        <f t="shared" si="125"/>
        <v>F050</v>
      </c>
      <c r="AB754" s="29" t="str">
        <f t="shared" si="126"/>
        <v>F00.5</v>
      </c>
      <c r="AC754" s="29" t="str">
        <f t="shared" si="127"/>
        <v>F00.01</v>
      </c>
      <c r="AD754" s="29" t="str">
        <f t="shared" si="128"/>
        <v>F019</v>
      </c>
      <c r="AE754" s="443"/>
      <c r="AF754" s="443"/>
      <c r="AG754" s="443"/>
      <c r="AH754" s="443"/>
    </row>
    <row r="755" spans="1:34" ht="25.5">
      <c r="A755" s="728">
        <f t="shared" si="131"/>
        <v>748</v>
      </c>
      <c r="B755" s="563">
        <v>1</v>
      </c>
      <c r="C755" s="694">
        <v>35556</v>
      </c>
      <c r="D755" s="694" t="s">
        <v>148</v>
      </c>
      <c r="E755" s="695">
        <v>6</v>
      </c>
      <c r="F755" s="503">
        <v>1997</v>
      </c>
      <c r="G755" s="563" t="s">
        <v>103</v>
      </c>
      <c r="H755" s="503" t="s">
        <v>122</v>
      </c>
      <c r="I755" s="695">
        <v>25</v>
      </c>
      <c r="J755" s="695">
        <v>0.7</v>
      </c>
      <c r="K755" s="777">
        <f t="shared" si="130"/>
        <v>9.943181818181818E-3</v>
      </c>
      <c r="L755" s="968">
        <v>0</v>
      </c>
      <c r="M755" s="503">
        <f t="shared" si="132"/>
        <v>19</v>
      </c>
      <c r="N755" s="504">
        <v>0.81597222222222221</v>
      </c>
      <c r="O755" s="719">
        <f t="shared" si="122"/>
        <v>0.81597222222222221</v>
      </c>
      <c r="P755" s="564">
        <v>0.81597222222222221</v>
      </c>
      <c r="Q755" s="564">
        <f t="shared" si="129"/>
        <v>0</v>
      </c>
      <c r="R755" s="965" t="s">
        <v>1520</v>
      </c>
      <c r="S755" s="487" t="s">
        <v>1415</v>
      </c>
      <c r="U755" s="29" t="str">
        <f t="shared" si="123"/>
        <v>ShermanF0</v>
      </c>
      <c r="V755" s="29" t="str">
        <f t="shared" si="124"/>
        <v>1997F0</v>
      </c>
      <c r="W755" s="80">
        <v>20</v>
      </c>
      <c r="X755" s="32">
        <v>0.5</v>
      </c>
      <c r="Y755" s="467">
        <v>5.0000000000000001E-3</v>
      </c>
      <c r="Z755" s="80"/>
      <c r="AA755" s="29" t="str">
        <f t="shared" si="125"/>
        <v>F020</v>
      </c>
      <c r="AB755" s="29" t="str">
        <f t="shared" si="126"/>
        <v>F00.5</v>
      </c>
      <c r="AC755" s="29" t="str">
        <f t="shared" si="127"/>
        <v>F00.005</v>
      </c>
      <c r="AD755" s="29" t="str">
        <f t="shared" si="128"/>
        <v>F019</v>
      </c>
      <c r="AE755" s="443"/>
      <c r="AF755" s="443"/>
      <c r="AG755" s="443"/>
      <c r="AH755" s="443"/>
    </row>
    <row r="756" spans="1:34" ht="16.5">
      <c r="A756" s="728">
        <f t="shared" si="131"/>
        <v>749</v>
      </c>
      <c r="B756" s="563">
        <v>2</v>
      </c>
      <c r="C756" s="694">
        <v>35557</v>
      </c>
      <c r="D756" s="694" t="s">
        <v>148</v>
      </c>
      <c r="E756" s="695">
        <v>7</v>
      </c>
      <c r="F756" s="503">
        <v>1997</v>
      </c>
      <c r="G756" s="563" t="s">
        <v>115</v>
      </c>
      <c r="H756" s="503" t="s">
        <v>122</v>
      </c>
      <c r="I756" s="695">
        <v>25</v>
      </c>
      <c r="J756" s="695">
        <v>0.2</v>
      </c>
      <c r="K756" s="777">
        <f t="shared" si="130"/>
        <v>2.840909090909091E-3</v>
      </c>
      <c r="L756" s="968">
        <v>0</v>
      </c>
      <c r="M756" s="503">
        <f t="shared" si="132"/>
        <v>18</v>
      </c>
      <c r="N756" s="504">
        <v>0.77708333333333324</v>
      </c>
      <c r="O756" s="719">
        <f t="shared" si="122"/>
        <v>0.77708333333333324</v>
      </c>
      <c r="P756" s="564">
        <v>0.77847222222222223</v>
      </c>
      <c r="Q756" s="564">
        <f t="shared" si="129"/>
        <v>1.388888888888995E-3</v>
      </c>
      <c r="R756" s="965" t="s">
        <v>1520</v>
      </c>
      <c r="S756" s="487" t="s">
        <v>317</v>
      </c>
      <c r="U756" s="29" t="str">
        <f t="shared" si="123"/>
        <v>GrayF0</v>
      </c>
      <c r="V756" s="29" t="str">
        <f t="shared" si="124"/>
        <v>1997F0</v>
      </c>
      <c r="W756" s="80">
        <v>20</v>
      </c>
      <c r="X756" s="32">
        <v>0.2</v>
      </c>
      <c r="Y756" s="467">
        <v>2E-3</v>
      </c>
      <c r="Z756" s="80"/>
      <c r="AA756" s="29" t="str">
        <f t="shared" si="125"/>
        <v>F020</v>
      </c>
      <c r="AB756" s="29" t="str">
        <f t="shared" si="126"/>
        <v>F00.2</v>
      </c>
      <c r="AC756" s="29" t="str">
        <f t="shared" si="127"/>
        <v>F00.002</v>
      </c>
      <c r="AD756" s="29" t="str">
        <f t="shared" si="128"/>
        <v>F018</v>
      </c>
      <c r="AE756" s="443"/>
      <c r="AF756" s="443"/>
      <c r="AG756" s="443"/>
      <c r="AH756" s="443"/>
    </row>
    <row r="757" spans="1:34" ht="25.5">
      <c r="A757" s="728">
        <f t="shared" si="131"/>
        <v>750</v>
      </c>
      <c r="B757" s="563">
        <v>3</v>
      </c>
      <c r="C757" s="694">
        <v>35557</v>
      </c>
      <c r="D757" s="694" t="s">
        <v>148</v>
      </c>
      <c r="E757" s="695">
        <v>7</v>
      </c>
      <c r="F757" s="503">
        <v>1997</v>
      </c>
      <c r="G757" s="563" t="s">
        <v>114</v>
      </c>
      <c r="H757" s="503" t="s">
        <v>122</v>
      </c>
      <c r="I757" s="695">
        <v>25</v>
      </c>
      <c r="J757" s="695">
        <v>0.5</v>
      </c>
      <c r="K757" s="777">
        <f t="shared" si="130"/>
        <v>7.102272727272727E-3</v>
      </c>
      <c r="L757" s="968">
        <v>0</v>
      </c>
      <c r="M757" s="503">
        <f t="shared" si="132"/>
        <v>18</v>
      </c>
      <c r="N757" s="504">
        <v>0.78611111111111109</v>
      </c>
      <c r="O757" s="719">
        <f t="shared" si="122"/>
        <v>0.78611111111111109</v>
      </c>
      <c r="P757" s="564">
        <v>0.78611111111111109</v>
      </c>
      <c r="Q757" s="564">
        <f t="shared" si="129"/>
        <v>0</v>
      </c>
      <c r="R757" s="965" t="s">
        <v>1520</v>
      </c>
      <c r="S757" s="487" t="s">
        <v>1417</v>
      </c>
      <c r="U757" s="29" t="str">
        <f t="shared" si="123"/>
        <v>CarsonF0</v>
      </c>
      <c r="V757" s="29" t="str">
        <f t="shared" si="124"/>
        <v>1997F0</v>
      </c>
      <c r="W757" s="80">
        <v>20</v>
      </c>
      <c r="X757" s="32">
        <v>0.5</v>
      </c>
      <c r="Y757" s="467">
        <v>5.0000000000000001E-3</v>
      </c>
      <c r="Z757" s="80"/>
      <c r="AA757" s="29" t="str">
        <f t="shared" si="125"/>
        <v>F020</v>
      </c>
      <c r="AB757" s="29" t="str">
        <f t="shared" si="126"/>
        <v>F00.5</v>
      </c>
      <c r="AC757" s="29" t="str">
        <f t="shared" si="127"/>
        <v>F00.005</v>
      </c>
      <c r="AD757" s="29" t="str">
        <f t="shared" si="128"/>
        <v>F018</v>
      </c>
      <c r="AE757" s="443"/>
      <c r="AF757" s="443"/>
      <c r="AG757" s="443"/>
      <c r="AH757" s="443"/>
    </row>
    <row r="758" spans="1:34" ht="25.5">
      <c r="A758" s="728">
        <f t="shared" si="131"/>
        <v>751</v>
      </c>
      <c r="B758" s="563">
        <v>4</v>
      </c>
      <c r="C758" s="694">
        <v>35557</v>
      </c>
      <c r="D758" s="694" t="s">
        <v>148</v>
      </c>
      <c r="E758" s="695">
        <v>7</v>
      </c>
      <c r="F758" s="503">
        <v>1997</v>
      </c>
      <c r="G758" s="563" t="s">
        <v>115</v>
      </c>
      <c r="H758" s="503" t="s">
        <v>122</v>
      </c>
      <c r="I758" s="695">
        <v>50</v>
      </c>
      <c r="J758" s="695">
        <v>1</v>
      </c>
      <c r="K758" s="777">
        <f t="shared" si="130"/>
        <v>2.8409090909090908E-2</v>
      </c>
      <c r="L758" s="968">
        <v>0</v>
      </c>
      <c r="M758" s="503">
        <f t="shared" si="132"/>
        <v>19</v>
      </c>
      <c r="N758" s="504">
        <v>0.79861111111111116</v>
      </c>
      <c r="O758" s="719">
        <f t="shared" si="122"/>
        <v>0.79861111111111116</v>
      </c>
      <c r="P758" s="564">
        <v>0.79861111111111116</v>
      </c>
      <c r="Q758" s="564">
        <f t="shared" si="129"/>
        <v>0</v>
      </c>
      <c r="R758" s="965" t="s">
        <v>1520</v>
      </c>
      <c r="S758" s="487" t="s">
        <v>1416</v>
      </c>
      <c r="U758" s="29" t="str">
        <f t="shared" si="123"/>
        <v>GrayF0</v>
      </c>
      <c r="V758" s="29" t="str">
        <f t="shared" si="124"/>
        <v>1997F0</v>
      </c>
      <c r="W758" s="80">
        <v>50</v>
      </c>
      <c r="X758" s="32">
        <v>1</v>
      </c>
      <c r="Y758" s="467">
        <v>0.02</v>
      </c>
      <c r="Z758" s="80"/>
      <c r="AA758" s="29" t="str">
        <f t="shared" si="125"/>
        <v>F050</v>
      </c>
      <c r="AB758" s="29" t="str">
        <f t="shared" si="126"/>
        <v>F01</v>
      </c>
      <c r="AC758" s="29" t="str">
        <f t="shared" si="127"/>
        <v>F00.02</v>
      </c>
      <c r="AD758" s="29" t="str">
        <f t="shared" si="128"/>
        <v>F019</v>
      </c>
      <c r="AE758" s="443"/>
      <c r="AF758" s="443"/>
      <c r="AG758" s="443"/>
      <c r="AH758" s="443"/>
    </row>
    <row r="759" spans="1:34" ht="16.5">
      <c r="A759" s="728">
        <f t="shared" si="131"/>
        <v>752</v>
      </c>
      <c r="B759" s="563">
        <v>5</v>
      </c>
      <c r="C759" s="694">
        <v>35557</v>
      </c>
      <c r="D759" s="694" t="s">
        <v>148</v>
      </c>
      <c r="E759" s="695">
        <v>7</v>
      </c>
      <c r="F759" s="503">
        <v>1997</v>
      </c>
      <c r="G759" s="563" t="s">
        <v>116</v>
      </c>
      <c r="H759" s="503" t="s">
        <v>122</v>
      </c>
      <c r="I759" s="695">
        <v>25</v>
      </c>
      <c r="J759" s="695">
        <v>0.1</v>
      </c>
      <c r="K759" s="777">
        <f t="shared" si="130"/>
        <v>1.4204545454545455E-3</v>
      </c>
      <c r="L759" s="968">
        <v>0</v>
      </c>
      <c r="M759" s="503">
        <f t="shared" si="132"/>
        <v>20</v>
      </c>
      <c r="N759" s="504">
        <v>0.83680555555555547</v>
      </c>
      <c r="O759" s="719">
        <f t="shared" si="122"/>
        <v>0.83680555555555547</v>
      </c>
      <c r="P759" s="564">
        <v>0.83819444444444446</v>
      </c>
      <c r="Q759" s="564">
        <f t="shared" si="129"/>
        <v>1.388888888888995E-3</v>
      </c>
      <c r="R759" s="965" t="s">
        <v>1520</v>
      </c>
      <c r="S759" s="487" t="s">
        <v>422</v>
      </c>
      <c r="U759" s="29" t="str">
        <f t="shared" si="123"/>
        <v>WheelerF0</v>
      </c>
      <c r="V759" s="29" t="str">
        <f t="shared" si="124"/>
        <v>1997F0</v>
      </c>
      <c r="W759" s="80">
        <v>20</v>
      </c>
      <c r="X759" s="32">
        <v>0.1</v>
      </c>
      <c r="Y759" s="467">
        <v>1E-3</v>
      </c>
      <c r="Z759" s="80"/>
      <c r="AA759" s="29" t="str">
        <f t="shared" si="125"/>
        <v>F020</v>
      </c>
      <c r="AB759" s="29" t="str">
        <f t="shared" si="126"/>
        <v>F00.1</v>
      </c>
      <c r="AC759" s="29" t="str">
        <f t="shared" si="127"/>
        <v>F00.001</v>
      </c>
      <c r="AD759" s="29" t="str">
        <f t="shared" si="128"/>
        <v>F020</v>
      </c>
      <c r="AE759" s="443"/>
      <c r="AF759" s="443"/>
      <c r="AG759" s="443"/>
      <c r="AH759" s="443"/>
    </row>
    <row r="760" spans="1:34" ht="16.5">
      <c r="A760" s="728">
        <f t="shared" si="131"/>
        <v>753</v>
      </c>
      <c r="B760" s="563">
        <v>6</v>
      </c>
      <c r="C760" s="694">
        <v>35578</v>
      </c>
      <c r="D760" s="694" t="s">
        <v>148</v>
      </c>
      <c r="E760" s="695">
        <v>28</v>
      </c>
      <c r="F760" s="503">
        <v>1997</v>
      </c>
      <c r="G760" s="563" t="s">
        <v>117</v>
      </c>
      <c r="H760" s="503" t="s">
        <v>122</v>
      </c>
      <c r="I760" s="695">
        <v>25</v>
      </c>
      <c r="J760" s="695">
        <v>0.1</v>
      </c>
      <c r="K760" s="777">
        <f t="shared" si="130"/>
        <v>1.4204545454545455E-3</v>
      </c>
      <c r="L760" s="968">
        <v>0</v>
      </c>
      <c r="M760" s="503">
        <f t="shared" si="132"/>
        <v>16</v>
      </c>
      <c r="N760" s="504">
        <v>0.67152777777777783</v>
      </c>
      <c r="O760" s="719">
        <f t="shared" si="122"/>
        <v>0.67152777777777783</v>
      </c>
      <c r="P760" s="564">
        <v>0.67222222222222217</v>
      </c>
      <c r="Q760" s="564">
        <f t="shared" si="129"/>
        <v>6.9444444444433095E-4</v>
      </c>
      <c r="R760" s="965" t="s">
        <v>1520</v>
      </c>
      <c r="S760" s="487" t="s">
        <v>288</v>
      </c>
      <c r="T760" s="29"/>
      <c r="U760" s="29" t="str">
        <f t="shared" si="123"/>
        <v>Deaf SmithF0</v>
      </c>
      <c r="V760" s="29" t="str">
        <f t="shared" si="124"/>
        <v>1997F0</v>
      </c>
      <c r="W760" s="80">
        <v>20</v>
      </c>
      <c r="X760" s="32">
        <v>0.1</v>
      </c>
      <c r="Y760" s="467">
        <v>1E-3</v>
      </c>
      <c r="Z760" s="80"/>
      <c r="AA760" s="29" t="str">
        <f t="shared" si="125"/>
        <v>F020</v>
      </c>
      <c r="AB760" s="29" t="str">
        <f t="shared" si="126"/>
        <v>F00.1</v>
      </c>
      <c r="AC760" s="29" t="str">
        <f t="shared" si="127"/>
        <v>F00.001</v>
      </c>
      <c r="AD760" s="29" t="str">
        <f t="shared" si="128"/>
        <v>F016</v>
      </c>
      <c r="AE760" s="443"/>
      <c r="AF760" s="443"/>
      <c r="AG760" s="443"/>
      <c r="AH760" s="443"/>
    </row>
    <row r="761" spans="1:34" ht="16.5">
      <c r="A761" s="728">
        <f t="shared" si="131"/>
        <v>754</v>
      </c>
      <c r="B761" s="563">
        <v>7</v>
      </c>
      <c r="C761" s="694">
        <v>35579</v>
      </c>
      <c r="D761" s="694" t="s">
        <v>148</v>
      </c>
      <c r="E761" s="695">
        <v>29</v>
      </c>
      <c r="F761" s="503">
        <v>1997</v>
      </c>
      <c r="G761" s="563" t="s">
        <v>118</v>
      </c>
      <c r="H761" s="503" t="s">
        <v>122</v>
      </c>
      <c r="I761" s="695">
        <v>25</v>
      </c>
      <c r="J761" s="695">
        <v>0.1</v>
      </c>
      <c r="K761" s="777">
        <f t="shared" si="130"/>
        <v>1.4204545454545455E-3</v>
      </c>
      <c r="L761" s="968">
        <v>0</v>
      </c>
      <c r="M761" s="503">
        <f t="shared" si="132"/>
        <v>20</v>
      </c>
      <c r="N761" s="504">
        <v>0.87152777777777779</v>
      </c>
      <c r="O761" s="719">
        <f t="shared" si="122"/>
        <v>0.87152777777777779</v>
      </c>
      <c r="P761" s="564">
        <v>0.87291666666666667</v>
      </c>
      <c r="Q761" s="564">
        <f t="shared" si="129"/>
        <v>1.388888888888884E-3</v>
      </c>
      <c r="R761" s="965" t="s">
        <v>1520</v>
      </c>
      <c r="S761" s="487" t="s">
        <v>390</v>
      </c>
      <c r="T761" s="29"/>
      <c r="U761" s="29" t="str">
        <f t="shared" si="123"/>
        <v>RandallF0</v>
      </c>
      <c r="V761" s="29" t="str">
        <f t="shared" si="124"/>
        <v>1997F0</v>
      </c>
      <c r="W761" s="80">
        <v>20</v>
      </c>
      <c r="X761" s="32">
        <v>0.1</v>
      </c>
      <c r="Y761" s="467">
        <v>1E-3</v>
      </c>
      <c r="Z761" s="80"/>
      <c r="AA761" s="29" t="str">
        <f t="shared" si="125"/>
        <v>F020</v>
      </c>
      <c r="AB761" s="29" t="str">
        <f t="shared" si="126"/>
        <v>F00.1</v>
      </c>
      <c r="AC761" s="29" t="str">
        <f t="shared" si="127"/>
        <v>F00.001</v>
      </c>
      <c r="AD761" s="29" t="str">
        <f t="shared" si="128"/>
        <v>F020</v>
      </c>
      <c r="AE761" s="443"/>
      <c r="AF761" s="443"/>
      <c r="AG761" s="443"/>
      <c r="AH761" s="443"/>
    </row>
    <row r="762" spans="1:34" ht="16.5">
      <c r="A762" s="728">
        <f t="shared" si="131"/>
        <v>755</v>
      </c>
      <c r="B762" s="563">
        <v>8</v>
      </c>
      <c r="C762" s="694">
        <v>35579</v>
      </c>
      <c r="D762" s="694" t="s">
        <v>148</v>
      </c>
      <c r="E762" s="695">
        <v>29</v>
      </c>
      <c r="F762" s="503">
        <v>1997</v>
      </c>
      <c r="G762" s="563" t="s">
        <v>114</v>
      </c>
      <c r="H762" s="503" t="s">
        <v>122</v>
      </c>
      <c r="I762" s="695">
        <v>50</v>
      </c>
      <c r="J762" s="695">
        <v>0.3</v>
      </c>
      <c r="K762" s="777">
        <f t="shared" si="130"/>
        <v>8.5227272727272721E-3</v>
      </c>
      <c r="L762" s="968">
        <v>0</v>
      </c>
      <c r="M762" s="503">
        <f t="shared" si="132"/>
        <v>21</v>
      </c>
      <c r="N762" s="504">
        <v>0.87777777777777777</v>
      </c>
      <c r="O762" s="719">
        <f t="shared" si="122"/>
        <v>0.87777777777777777</v>
      </c>
      <c r="P762" s="564">
        <v>0.87916666666666676</v>
      </c>
      <c r="Q762" s="564">
        <f t="shared" si="129"/>
        <v>1.388888888888995E-3</v>
      </c>
      <c r="R762" s="965" t="s">
        <v>1520</v>
      </c>
      <c r="S762" s="487" t="s">
        <v>260</v>
      </c>
      <c r="T762" s="29"/>
      <c r="U762" s="29" t="str">
        <f t="shared" si="123"/>
        <v>CarsonF0</v>
      </c>
      <c r="V762" s="29" t="str">
        <f t="shared" si="124"/>
        <v>1997F0</v>
      </c>
      <c r="W762" s="80">
        <v>50</v>
      </c>
      <c r="X762" s="32">
        <v>0.2</v>
      </c>
      <c r="Y762" s="467">
        <v>5.0000000000000001E-3</v>
      </c>
      <c r="Z762" s="80"/>
      <c r="AA762" s="29" t="str">
        <f t="shared" si="125"/>
        <v>F050</v>
      </c>
      <c r="AB762" s="29" t="str">
        <f t="shared" si="126"/>
        <v>F00.2</v>
      </c>
      <c r="AC762" s="29" t="str">
        <f t="shared" si="127"/>
        <v>F00.005</v>
      </c>
      <c r="AD762" s="29" t="str">
        <f t="shared" si="128"/>
        <v>F021</v>
      </c>
      <c r="AE762" s="443"/>
      <c r="AF762" s="443"/>
      <c r="AG762" s="443"/>
      <c r="AH762" s="443"/>
    </row>
    <row r="763" spans="1:34" ht="16.5">
      <c r="A763" s="728">
        <f t="shared" si="131"/>
        <v>756</v>
      </c>
      <c r="B763" s="563">
        <v>9</v>
      </c>
      <c r="C763" s="694">
        <v>35579</v>
      </c>
      <c r="D763" s="694" t="s">
        <v>148</v>
      </c>
      <c r="E763" s="695">
        <v>29</v>
      </c>
      <c r="F763" s="503">
        <v>1997</v>
      </c>
      <c r="G763" s="563" t="s">
        <v>118</v>
      </c>
      <c r="H763" s="503" t="s">
        <v>122</v>
      </c>
      <c r="I763" s="695">
        <v>25</v>
      </c>
      <c r="J763" s="695">
        <v>0.1</v>
      </c>
      <c r="K763" s="777">
        <f t="shared" si="130"/>
        <v>1.4204545454545455E-3</v>
      </c>
      <c r="L763" s="968">
        <v>0</v>
      </c>
      <c r="M763" s="503">
        <f t="shared" si="132"/>
        <v>21</v>
      </c>
      <c r="N763" s="504">
        <v>0.8833333333333333</v>
      </c>
      <c r="O763" s="719">
        <f t="shared" si="122"/>
        <v>0.8833333333333333</v>
      </c>
      <c r="P763" s="564">
        <v>0.8847222222222223</v>
      </c>
      <c r="Q763" s="564">
        <f t="shared" si="129"/>
        <v>1.388888888888995E-3</v>
      </c>
      <c r="R763" s="965" t="s">
        <v>1520</v>
      </c>
      <c r="S763" s="487" t="s">
        <v>391</v>
      </c>
      <c r="T763" s="29"/>
      <c r="U763" s="29" t="str">
        <f t="shared" si="123"/>
        <v>RandallF0</v>
      </c>
      <c r="V763" s="29" t="str">
        <f t="shared" si="124"/>
        <v>1997F0</v>
      </c>
      <c r="W763" s="80">
        <v>20</v>
      </c>
      <c r="X763" s="32">
        <v>0.1</v>
      </c>
      <c r="Y763" s="467">
        <v>1E-3</v>
      </c>
      <c r="Z763" s="80"/>
      <c r="AA763" s="29" t="str">
        <f t="shared" si="125"/>
        <v>F020</v>
      </c>
      <c r="AB763" s="29" t="str">
        <f t="shared" si="126"/>
        <v>F00.1</v>
      </c>
      <c r="AC763" s="29" t="str">
        <f t="shared" si="127"/>
        <v>F00.001</v>
      </c>
      <c r="AD763" s="29" t="str">
        <f t="shared" si="128"/>
        <v>F021</v>
      </c>
      <c r="AE763" s="443"/>
      <c r="AF763" s="443"/>
      <c r="AG763" s="443"/>
      <c r="AH763" s="443"/>
    </row>
    <row r="764" spans="1:34" ht="16.5">
      <c r="A764" s="728">
        <f t="shared" si="131"/>
        <v>757</v>
      </c>
      <c r="B764" s="563">
        <v>10</v>
      </c>
      <c r="C764" s="694">
        <v>35590</v>
      </c>
      <c r="D764" s="694" t="s">
        <v>149</v>
      </c>
      <c r="E764" s="695">
        <v>9</v>
      </c>
      <c r="F764" s="503">
        <v>1997</v>
      </c>
      <c r="G764" s="563" t="s">
        <v>114</v>
      </c>
      <c r="H764" s="503" t="s">
        <v>122</v>
      </c>
      <c r="I764" s="695">
        <v>25</v>
      </c>
      <c r="J764" s="695">
        <v>0.1</v>
      </c>
      <c r="K764" s="777">
        <f t="shared" si="130"/>
        <v>1.4204545454545455E-3</v>
      </c>
      <c r="L764" s="968">
        <v>0</v>
      </c>
      <c r="M764" s="503">
        <f t="shared" si="132"/>
        <v>14</v>
      </c>
      <c r="N764" s="504">
        <v>0.60069444444444442</v>
      </c>
      <c r="O764" s="719">
        <f t="shared" si="122"/>
        <v>0.60069444444444442</v>
      </c>
      <c r="P764" s="564">
        <v>0.6020833333333333</v>
      </c>
      <c r="Q764" s="564">
        <f t="shared" si="129"/>
        <v>1.388888888888884E-3</v>
      </c>
      <c r="R764" s="965" t="s">
        <v>1520</v>
      </c>
      <c r="S764" s="487" t="s">
        <v>261</v>
      </c>
      <c r="T764" s="29"/>
      <c r="U764" s="29" t="str">
        <f t="shared" si="123"/>
        <v>CarsonF0</v>
      </c>
      <c r="V764" s="29" t="str">
        <f t="shared" si="124"/>
        <v>1997F0</v>
      </c>
      <c r="W764" s="80">
        <v>20</v>
      </c>
      <c r="X764" s="32">
        <v>0.1</v>
      </c>
      <c r="Y764" s="467">
        <v>1E-3</v>
      </c>
      <c r="Z764" s="80"/>
      <c r="AA764" s="29" t="str">
        <f t="shared" si="125"/>
        <v>F020</v>
      </c>
      <c r="AB764" s="29" t="str">
        <f t="shared" si="126"/>
        <v>F00.1</v>
      </c>
      <c r="AC764" s="29" t="str">
        <f t="shared" si="127"/>
        <v>F00.001</v>
      </c>
      <c r="AD764" s="29" t="str">
        <f t="shared" si="128"/>
        <v>F014</v>
      </c>
      <c r="AE764" s="443"/>
      <c r="AF764" s="443"/>
      <c r="AG764" s="443"/>
      <c r="AH764" s="443"/>
    </row>
    <row r="765" spans="1:34" ht="16.5">
      <c r="A765" s="728">
        <f t="shared" si="131"/>
        <v>758</v>
      </c>
      <c r="B765" s="563">
        <v>11</v>
      </c>
      <c r="C765" s="694">
        <v>35592</v>
      </c>
      <c r="D765" s="694" t="s">
        <v>149</v>
      </c>
      <c r="E765" s="695">
        <v>11</v>
      </c>
      <c r="F765" s="503">
        <v>1997</v>
      </c>
      <c r="G765" s="563" t="s">
        <v>116</v>
      </c>
      <c r="H765" s="503" t="s">
        <v>123</v>
      </c>
      <c r="I765" s="695">
        <v>100</v>
      </c>
      <c r="J765" s="695">
        <v>2</v>
      </c>
      <c r="K765" s="777">
        <f t="shared" si="130"/>
        <v>0.11363636363636363</v>
      </c>
      <c r="L765" s="968">
        <v>0</v>
      </c>
      <c r="M765" s="503">
        <f t="shared" si="132"/>
        <v>17</v>
      </c>
      <c r="N765" s="504">
        <v>0.72222222222222221</v>
      </c>
      <c r="O765" s="719">
        <f t="shared" si="122"/>
        <v>0.72222222222222221</v>
      </c>
      <c r="P765" s="564">
        <v>0.72569444444444453</v>
      </c>
      <c r="Q765" s="564">
        <f t="shared" si="129"/>
        <v>3.4722222222223209E-3</v>
      </c>
      <c r="R765" s="965" t="s">
        <v>1520</v>
      </c>
      <c r="S765" s="487" t="s">
        <v>423</v>
      </c>
      <c r="T765" s="29"/>
      <c r="U765" s="29" t="str">
        <f t="shared" si="123"/>
        <v>WheelerF1</v>
      </c>
      <c r="V765" s="29" t="str">
        <f t="shared" si="124"/>
        <v>1997F1</v>
      </c>
      <c r="W765" s="80">
        <v>100</v>
      </c>
      <c r="X765" s="32">
        <v>2</v>
      </c>
      <c r="Y765" s="467">
        <v>0.1</v>
      </c>
      <c r="Z765" s="80"/>
      <c r="AA765" s="29" t="str">
        <f t="shared" si="125"/>
        <v>F1100</v>
      </c>
      <c r="AB765" s="29" t="str">
        <f t="shared" si="126"/>
        <v>F12</v>
      </c>
      <c r="AC765" s="29" t="str">
        <f t="shared" si="127"/>
        <v>F10.1</v>
      </c>
      <c r="AD765" s="29" t="str">
        <f t="shared" si="128"/>
        <v>F117</v>
      </c>
      <c r="AE765" s="443"/>
      <c r="AF765" s="443"/>
      <c r="AG765" s="443"/>
      <c r="AH765" s="443"/>
    </row>
    <row r="766" spans="1:34" ht="16.5">
      <c r="A766" s="728">
        <f t="shared" si="131"/>
        <v>759</v>
      </c>
      <c r="B766" s="563">
        <v>12</v>
      </c>
      <c r="C766" s="694">
        <v>35592</v>
      </c>
      <c r="D766" s="694" t="s">
        <v>149</v>
      </c>
      <c r="E766" s="695">
        <v>11</v>
      </c>
      <c r="F766" s="503">
        <v>1997</v>
      </c>
      <c r="G766" s="563" t="s">
        <v>116</v>
      </c>
      <c r="H766" s="503" t="s">
        <v>122</v>
      </c>
      <c r="I766" s="695">
        <v>25</v>
      </c>
      <c r="J766" s="695">
        <v>0.1</v>
      </c>
      <c r="K766" s="777">
        <f t="shared" si="130"/>
        <v>1.4204545454545455E-3</v>
      </c>
      <c r="L766" s="968">
        <v>0</v>
      </c>
      <c r="M766" s="503">
        <f t="shared" si="132"/>
        <v>17</v>
      </c>
      <c r="N766" s="504">
        <v>0.73541666666666661</v>
      </c>
      <c r="O766" s="719">
        <f t="shared" si="122"/>
        <v>0.73541666666666661</v>
      </c>
      <c r="P766" s="564">
        <v>0.73611111111111116</v>
      </c>
      <c r="Q766" s="564">
        <f t="shared" si="129"/>
        <v>6.94444444444553E-4</v>
      </c>
      <c r="R766" s="965" t="s">
        <v>1520</v>
      </c>
      <c r="S766" s="487" t="s">
        <v>424</v>
      </c>
      <c r="T766" s="29"/>
      <c r="U766" s="29" t="str">
        <f t="shared" si="123"/>
        <v>WheelerF0</v>
      </c>
      <c r="V766" s="29" t="str">
        <f t="shared" si="124"/>
        <v>1997F0</v>
      </c>
      <c r="W766" s="80">
        <v>20</v>
      </c>
      <c r="X766" s="32">
        <v>0.1</v>
      </c>
      <c r="Y766" s="467">
        <v>1E-3</v>
      </c>
      <c r="Z766" s="80"/>
      <c r="AA766" s="29" t="str">
        <f t="shared" si="125"/>
        <v>F020</v>
      </c>
      <c r="AB766" s="29" t="str">
        <f t="shared" si="126"/>
        <v>F00.1</v>
      </c>
      <c r="AC766" s="29" t="str">
        <f t="shared" si="127"/>
        <v>F00.001</v>
      </c>
      <c r="AD766" s="29" t="str">
        <f t="shared" si="128"/>
        <v>F017</v>
      </c>
      <c r="AE766" s="443"/>
      <c r="AF766" s="443"/>
      <c r="AG766" s="443"/>
      <c r="AH766" s="443"/>
    </row>
    <row r="767" spans="1:34" ht="16.5">
      <c r="A767" s="728">
        <f t="shared" si="131"/>
        <v>760</v>
      </c>
      <c r="B767" s="563">
        <v>13</v>
      </c>
      <c r="C767" s="694">
        <v>35592</v>
      </c>
      <c r="D767" s="694" t="s">
        <v>149</v>
      </c>
      <c r="E767" s="695">
        <v>11</v>
      </c>
      <c r="F767" s="503">
        <v>1997</v>
      </c>
      <c r="G767" s="563" t="s">
        <v>116</v>
      </c>
      <c r="H767" s="503" t="s">
        <v>125</v>
      </c>
      <c r="I767" s="695">
        <v>600</v>
      </c>
      <c r="J767" s="695">
        <v>9</v>
      </c>
      <c r="K767" s="777">
        <f t="shared" si="130"/>
        <v>3.0681818181818179</v>
      </c>
      <c r="L767" s="968">
        <v>1700000</v>
      </c>
      <c r="M767" s="503">
        <f t="shared" si="132"/>
        <v>17</v>
      </c>
      <c r="N767" s="504">
        <v>0.7402777777777777</v>
      </c>
      <c r="O767" s="719">
        <f t="shared" si="122"/>
        <v>0.7402777777777777</v>
      </c>
      <c r="P767" s="564">
        <v>0.77222222222222225</v>
      </c>
      <c r="Q767" s="564">
        <f t="shared" si="129"/>
        <v>3.1944444444444553E-2</v>
      </c>
      <c r="R767" s="965" t="s">
        <v>1533</v>
      </c>
      <c r="S767" s="487" t="s">
        <v>425</v>
      </c>
      <c r="T767" s="29"/>
      <c r="U767" s="29" t="str">
        <f t="shared" si="123"/>
        <v>WheelerF3</v>
      </c>
      <c r="V767" s="29" t="str">
        <f t="shared" si="124"/>
        <v>1997F3</v>
      </c>
      <c r="W767" s="80">
        <v>500</v>
      </c>
      <c r="X767" s="32">
        <v>5</v>
      </c>
      <c r="Y767" s="467">
        <v>2</v>
      </c>
      <c r="Z767" s="80"/>
      <c r="AA767" s="29" t="str">
        <f t="shared" si="125"/>
        <v>F3500</v>
      </c>
      <c r="AB767" s="29" t="str">
        <f t="shared" si="126"/>
        <v>F35</v>
      </c>
      <c r="AC767" s="29" t="str">
        <f t="shared" si="127"/>
        <v>F32</v>
      </c>
      <c r="AD767" s="29" t="str">
        <f t="shared" si="128"/>
        <v>F317</v>
      </c>
      <c r="AE767" s="443"/>
      <c r="AF767" s="443"/>
      <c r="AG767" s="443"/>
      <c r="AH767" s="443"/>
    </row>
    <row r="768" spans="1:34" ht="16.5">
      <c r="A768" s="728">
        <f t="shared" si="131"/>
        <v>761</v>
      </c>
      <c r="B768" s="563">
        <v>14</v>
      </c>
      <c r="C768" s="694">
        <v>35592</v>
      </c>
      <c r="D768" s="694" t="s">
        <v>149</v>
      </c>
      <c r="E768" s="695">
        <v>11</v>
      </c>
      <c r="F768" s="503">
        <v>1997</v>
      </c>
      <c r="G768" s="563" t="s">
        <v>121</v>
      </c>
      <c r="H768" s="503" t="s">
        <v>123</v>
      </c>
      <c r="I768" s="695">
        <v>200</v>
      </c>
      <c r="J768" s="695">
        <v>0.5</v>
      </c>
      <c r="K768" s="777">
        <f t="shared" si="130"/>
        <v>5.6818181818181816E-2</v>
      </c>
      <c r="L768" s="968">
        <v>0</v>
      </c>
      <c r="M768" s="503">
        <f t="shared" si="132"/>
        <v>18</v>
      </c>
      <c r="N768" s="504">
        <v>0.78402777777777777</v>
      </c>
      <c r="O768" s="719">
        <f t="shared" si="122"/>
        <v>0.78402777777777777</v>
      </c>
      <c r="P768" s="564">
        <v>0.78819444444444453</v>
      </c>
      <c r="Q768" s="564">
        <f t="shared" si="129"/>
        <v>4.1666666666667629E-3</v>
      </c>
      <c r="R768" s="965" t="s">
        <v>1520</v>
      </c>
      <c r="S768" s="487" t="s">
        <v>277</v>
      </c>
      <c r="T768" s="29"/>
      <c r="U768" s="29" t="str">
        <f t="shared" si="123"/>
        <v>CollingsworthF1</v>
      </c>
      <c r="V768" s="29" t="str">
        <f t="shared" si="124"/>
        <v>1997F1</v>
      </c>
      <c r="W768" s="80">
        <v>200</v>
      </c>
      <c r="X768" s="32">
        <v>0.5</v>
      </c>
      <c r="Y768" s="467">
        <v>0.05</v>
      </c>
      <c r="Z768" s="80"/>
      <c r="AA768" s="29" t="str">
        <f t="shared" si="125"/>
        <v>F1200</v>
      </c>
      <c r="AB768" s="29" t="str">
        <f t="shared" si="126"/>
        <v>F10.5</v>
      </c>
      <c r="AC768" s="29" t="str">
        <f t="shared" si="127"/>
        <v>F10.05</v>
      </c>
      <c r="AD768" s="29" t="str">
        <f t="shared" si="128"/>
        <v>F118</v>
      </c>
      <c r="AE768" s="443"/>
      <c r="AF768" s="443"/>
      <c r="AG768" s="443"/>
      <c r="AH768" s="443"/>
    </row>
    <row r="769" spans="1:34" ht="16.5">
      <c r="A769" s="728">
        <f t="shared" si="131"/>
        <v>762</v>
      </c>
      <c r="B769" s="563">
        <v>15</v>
      </c>
      <c r="C769" s="694">
        <v>35592</v>
      </c>
      <c r="D769" s="694" t="s">
        <v>149</v>
      </c>
      <c r="E769" s="695">
        <v>11</v>
      </c>
      <c r="F769" s="503">
        <v>1997</v>
      </c>
      <c r="G769" s="563" t="s">
        <v>121</v>
      </c>
      <c r="H769" s="503" t="s">
        <v>122</v>
      </c>
      <c r="I769" s="695">
        <v>50</v>
      </c>
      <c r="J769" s="695">
        <v>0.5</v>
      </c>
      <c r="K769" s="777">
        <f t="shared" si="130"/>
        <v>1.4204545454545454E-2</v>
      </c>
      <c r="L769" s="968">
        <v>0</v>
      </c>
      <c r="M769" s="503">
        <f t="shared" si="132"/>
        <v>19</v>
      </c>
      <c r="N769" s="504">
        <v>0.79791666666666661</v>
      </c>
      <c r="O769" s="719">
        <f t="shared" si="122"/>
        <v>0.79791666666666661</v>
      </c>
      <c r="P769" s="564">
        <v>0.7993055555555556</v>
      </c>
      <c r="Q769" s="564">
        <f t="shared" si="129"/>
        <v>1.388888888888995E-3</v>
      </c>
      <c r="R769" s="965" t="s">
        <v>1520</v>
      </c>
      <c r="S769" s="487" t="s">
        <v>278</v>
      </c>
      <c r="T769" s="29"/>
      <c r="U769" s="29" t="str">
        <f t="shared" si="123"/>
        <v>CollingsworthF0</v>
      </c>
      <c r="V769" s="29" t="str">
        <f t="shared" si="124"/>
        <v>1997F0</v>
      </c>
      <c r="W769" s="80">
        <v>50</v>
      </c>
      <c r="X769" s="32">
        <v>0.5</v>
      </c>
      <c r="Y769" s="467">
        <v>0.01</v>
      </c>
      <c r="Z769" s="80"/>
      <c r="AA769" s="29" t="str">
        <f t="shared" si="125"/>
        <v>F050</v>
      </c>
      <c r="AB769" s="29" t="str">
        <f t="shared" si="126"/>
        <v>F00.5</v>
      </c>
      <c r="AC769" s="29" t="str">
        <f t="shared" si="127"/>
        <v>F00.01</v>
      </c>
      <c r="AD769" s="29" t="str">
        <f t="shared" si="128"/>
        <v>F019</v>
      </c>
      <c r="AE769" s="443"/>
      <c r="AF769" s="443"/>
      <c r="AG769" s="443"/>
      <c r="AH769" s="443"/>
    </row>
    <row r="770" spans="1:34" ht="16.5">
      <c r="A770" s="728">
        <f t="shared" si="131"/>
        <v>763</v>
      </c>
      <c r="B770" s="563">
        <v>16</v>
      </c>
      <c r="C770" s="694">
        <v>35592</v>
      </c>
      <c r="D770" s="694" t="s">
        <v>149</v>
      </c>
      <c r="E770" s="695">
        <v>11</v>
      </c>
      <c r="F770" s="503">
        <v>1997</v>
      </c>
      <c r="G770" s="563" t="s">
        <v>121</v>
      </c>
      <c r="H770" s="503" t="s">
        <v>122</v>
      </c>
      <c r="I770" s="695">
        <v>25</v>
      </c>
      <c r="J770" s="695">
        <v>0.1</v>
      </c>
      <c r="K770" s="777">
        <f t="shared" si="130"/>
        <v>1.4204545454545455E-3</v>
      </c>
      <c r="L770" s="968">
        <v>0</v>
      </c>
      <c r="M770" s="503">
        <f t="shared" si="132"/>
        <v>19</v>
      </c>
      <c r="N770" s="504">
        <v>0.80694444444444446</v>
      </c>
      <c r="O770" s="719">
        <f t="shared" si="122"/>
        <v>0.80694444444444446</v>
      </c>
      <c r="P770" s="564">
        <v>0.80763888888888891</v>
      </c>
      <c r="Q770" s="564">
        <f t="shared" si="129"/>
        <v>6.9444444444444198E-4</v>
      </c>
      <c r="R770" s="965" t="s">
        <v>1520</v>
      </c>
      <c r="S770" s="487" t="s">
        <v>279</v>
      </c>
      <c r="T770" s="29"/>
      <c r="U770" s="29" t="str">
        <f t="shared" si="123"/>
        <v>CollingsworthF0</v>
      </c>
      <c r="V770" s="29" t="str">
        <f t="shared" si="124"/>
        <v>1997F0</v>
      </c>
      <c r="W770" s="80">
        <v>20</v>
      </c>
      <c r="X770" s="32">
        <v>0.1</v>
      </c>
      <c r="Y770" s="467">
        <v>1E-3</v>
      </c>
      <c r="Z770" s="80"/>
      <c r="AA770" s="29" t="str">
        <f t="shared" si="125"/>
        <v>F020</v>
      </c>
      <c r="AB770" s="29" t="str">
        <f t="shared" si="126"/>
        <v>F00.1</v>
      </c>
      <c r="AC770" s="29" t="str">
        <f t="shared" si="127"/>
        <v>F00.001</v>
      </c>
      <c r="AD770" s="29" t="str">
        <f t="shared" si="128"/>
        <v>F019</v>
      </c>
      <c r="AE770" s="443"/>
      <c r="AF770" s="443"/>
      <c r="AG770" s="443"/>
      <c r="AH770" s="443"/>
    </row>
    <row r="771" spans="1:34" ht="25.5">
      <c r="A771" s="728">
        <f t="shared" si="131"/>
        <v>764</v>
      </c>
      <c r="B771" s="563">
        <v>17</v>
      </c>
      <c r="C771" s="694">
        <v>35592</v>
      </c>
      <c r="D771" s="694" t="s">
        <v>149</v>
      </c>
      <c r="E771" s="695">
        <v>11</v>
      </c>
      <c r="F771" s="503">
        <v>1997</v>
      </c>
      <c r="G771" s="563" t="s">
        <v>115</v>
      </c>
      <c r="H771" s="503" t="s">
        <v>123</v>
      </c>
      <c r="I771" s="695">
        <v>200</v>
      </c>
      <c r="J771" s="695">
        <v>4</v>
      </c>
      <c r="K771" s="777">
        <f t="shared" si="130"/>
        <v>0.45454545454545453</v>
      </c>
      <c r="L771" s="968">
        <v>0</v>
      </c>
      <c r="M771" s="503">
        <f t="shared" si="132"/>
        <v>19</v>
      </c>
      <c r="N771" s="504">
        <v>0.82430555555555562</v>
      </c>
      <c r="O771" s="719">
        <f t="shared" si="122"/>
        <v>0.82430555555555562</v>
      </c>
      <c r="P771" s="564">
        <v>0.83194444444444438</v>
      </c>
      <c r="Q771" s="564">
        <f t="shared" si="129"/>
        <v>7.6388888888887507E-3</v>
      </c>
      <c r="R771" s="965" t="s">
        <v>1520</v>
      </c>
      <c r="S771" s="487" t="s">
        <v>723</v>
      </c>
      <c r="T771" s="29"/>
      <c r="U771" s="29" t="str">
        <f t="shared" si="123"/>
        <v>GrayF1</v>
      </c>
      <c r="V771" s="29" t="str">
        <f t="shared" si="124"/>
        <v>1997F1</v>
      </c>
      <c r="W771" s="80">
        <v>200</v>
      </c>
      <c r="X771" s="32">
        <v>2</v>
      </c>
      <c r="Y771" s="467">
        <v>0.2</v>
      </c>
      <c r="Z771" s="80"/>
      <c r="AA771" s="29" t="str">
        <f t="shared" si="125"/>
        <v>F1200</v>
      </c>
      <c r="AB771" s="29" t="str">
        <f t="shared" si="126"/>
        <v>F12</v>
      </c>
      <c r="AC771" s="29" t="str">
        <f t="shared" si="127"/>
        <v>F10.2</v>
      </c>
      <c r="AD771" s="29" t="str">
        <f t="shared" si="128"/>
        <v>F119</v>
      </c>
      <c r="AE771" s="443"/>
      <c r="AF771" s="443"/>
      <c r="AG771" s="443"/>
      <c r="AH771" s="443"/>
    </row>
    <row r="772" spans="1:34" ht="25.5">
      <c r="A772" s="728">
        <f t="shared" si="131"/>
        <v>765</v>
      </c>
      <c r="B772" s="563">
        <v>18</v>
      </c>
      <c r="C772" s="694">
        <v>35592</v>
      </c>
      <c r="D772" s="694" t="s">
        <v>149</v>
      </c>
      <c r="E772" s="695">
        <v>11</v>
      </c>
      <c r="F772" s="503">
        <v>1997</v>
      </c>
      <c r="G772" s="563" t="s">
        <v>120</v>
      </c>
      <c r="H772" s="503" t="s">
        <v>123</v>
      </c>
      <c r="I772" s="695">
        <v>200</v>
      </c>
      <c r="J772" s="695">
        <v>1</v>
      </c>
      <c r="K772" s="777">
        <f t="shared" si="130"/>
        <v>0.11363636363636363</v>
      </c>
      <c r="L772" s="968">
        <v>0</v>
      </c>
      <c r="M772" s="503">
        <f t="shared" si="132"/>
        <v>19</v>
      </c>
      <c r="N772" s="504">
        <v>0.83194444444444438</v>
      </c>
      <c r="O772" s="719">
        <f t="shared" si="122"/>
        <v>0.83194444444444438</v>
      </c>
      <c r="P772" s="564">
        <v>0.83472222222222225</v>
      </c>
      <c r="Q772" s="564">
        <f t="shared" si="129"/>
        <v>2.7777777777778789E-3</v>
      </c>
      <c r="R772" s="965" t="s">
        <v>1520</v>
      </c>
      <c r="S772" s="487" t="s">
        <v>724</v>
      </c>
      <c r="T772" s="29"/>
      <c r="U772" s="29" t="str">
        <f t="shared" si="123"/>
        <v>DonleyF1</v>
      </c>
      <c r="V772" s="29" t="str">
        <f t="shared" si="124"/>
        <v>1997F1</v>
      </c>
      <c r="W772" s="80">
        <v>200</v>
      </c>
      <c r="X772" s="32">
        <v>1</v>
      </c>
      <c r="Y772" s="467">
        <v>0.1</v>
      </c>
      <c r="Z772" s="80"/>
      <c r="AA772" s="29" t="str">
        <f t="shared" si="125"/>
        <v>F1200</v>
      </c>
      <c r="AB772" s="29" t="str">
        <f t="shared" si="126"/>
        <v>F11</v>
      </c>
      <c r="AC772" s="29" t="str">
        <f t="shared" si="127"/>
        <v>F10.1</v>
      </c>
      <c r="AD772" s="29" t="str">
        <f t="shared" si="128"/>
        <v>F119</v>
      </c>
      <c r="AE772" s="443"/>
      <c r="AF772" s="443"/>
      <c r="AG772" s="443"/>
      <c r="AH772" s="443"/>
    </row>
    <row r="773" spans="1:34" ht="16.5">
      <c r="A773" s="728">
        <f t="shared" si="131"/>
        <v>766</v>
      </c>
      <c r="B773" s="563">
        <v>19</v>
      </c>
      <c r="C773" s="694">
        <v>35592</v>
      </c>
      <c r="D773" s="694" t="s">
        <v>149</v>
      </c>
      <c r="E773" s="695">
        <v>11</v>
      </c>
      <c r="F773" s="503">
        <v>1997</v>
      </c>
      <c r="G773" s="563" t="s">
        <v>121</v>
      </c>
      <c r="H773" s="503" t="s">
        <v>123</v>
      </c>
      <c r="I773" s="695">
        <v>100</v>
      </c>
      <c r="J773" s="695">
        <v>9</v>
      </c>
      <c r="K773" s="777">
        <f t="shared" si="130"/>
        <v>0.51136363636363635</v>
      </c>
      <c r="L773" s="968">
        <v>0</v>
      </c>
      <c r="M773" s="503">
        <f t="shared" si="132"/>
        <v>21</v>
      </c>
      <c r="N773" s="504">
        <v>0.88194444444444453</v>
      </c>
      <c r="O773" s="719">
        <f t="shared" si="122"/>
        <v>0.88194444444444453</v>
      </c>
      <c r="P773" s="564">
        <v>0.89583333333333337</v>
      </c>
      <c r="Q773" s="564">
        <f t="shared" si="129"/>
        <v>1.388888888888884E-2</v>
      </c>
      <c r="R773" s="965" t="s">
        <v>1520</v>
      </c>
      <c r="S773" s="487" t="s">
        <v>280</v>
      </c>
      <c r="T773" s="29"/>
      <c r="U773" s="29" t="str">
        <f t="shared" si="123"/>
        <v>CollingsworthF1</v>
      </c>
      <c r="V773" s="29" t="str">
        <f t="shared" si="124"/>
        <v>1997F1</v>
      </c>
      <c r="W773" s="80">
        <v>100</v>
      </c>
      <c r="X773" s="32">
        <v>5</v>
      </c>
      <c r="Y773" s="467">
        <v>0.5</v>
      </c>
      <c r="Z773" s="80"/>
      <c r="AA773" s="29" t="str">
        <f t="shared" si="125"/>
        <v>F1100</v>
      </c>
      <c r="AB773" s="29" t="str">
        <f t="shared" si="126"/>
        <v>F15</v>
      </c>
      <c r="AC773" s="29" t="str">
        <f t="shared" si="127"/>
        <v>F10.5</v>
      </c>
      <c r="AD773" s="29" t="str">
        <f t="shared" si="128"/>
        <v>F121</v>
      </c>
      <c r="AE773" s="443"/>
      <c r="AF773" s="443"/>
      <c r="AG773" s="443"/>
      <c r="AH773" s="443"/>
    </row>
    <row r="774" spans="1:34" ht="16.5">
      <c r="A774" s="728">
        <f t="shared" si="131"/>
        <v>767</v>
      </c>
      <c r="B774" s="563">
        <v>20</v>
      </c>
      <c r="C774" s="694">
        <v>35593</v>
      </c>
      <c r="D774" s="694" t="s">
        <v>149</v>
      </c>
      <c r="E774" s="695">
        <v>12</v>
      </c>
      <c r="F774" s="503">
        <v>1997</v>
      </c>
      <c r="G774" s="563" t="s">
        <v>116</v>
      </c>
      <c r="H774" s="503" t="s">
        <v>122</v>
      </c>
      <c r="I774" s="695">
        <v>25</v>
      </c>
      <c r="J774" s="695">
        <v>0.1</v>
      </c>
      <c r="K774" s="777">
        <f t="shared" si="130"/>
        <v>1.4204545454545455E-3</v>
      </c>
      <c r="L774" s="968">
        <v>0</v>
      </c>
      <c r="M774" s="503">
        <f t="shared" si="132"/>
        <v>19</v>
      </c>
      <c r="N774" s="504">
        <v>0.80069444444444438</v>
      </c>
      <c r="O774" s="719">
        <f t="shared" si="122"/>
        <v>0.80069444444444438</v>
      </c>
      <c r="P774" s="564">
        <v>0.80208333333333337</v>
      </c>
      <c r="Q774" s="564">
        <f t="shared" si="129"/>
        <v>1.388888888888995E-3</v>
      </c>
      <c r="R774" s="965" t="s">
        <v>1520</v>
      </c>
      <c r="S774" s="487" t="s">
        <v>426</v>
      </c>
      <c r="T774" s="29"/>
      <c r="U774" s="29" t="str">
        <f t="shared" si="123"/>
        <v>WheelerF0</v>
      </c>
      <c r="V774" s="29" t="str">
        <f t="shared" si="124"/>
        <v>1997F0</v>
      </c>
      <c r="W774" s="80">
        <v>20</v>
      </c>
      <c r="X774" s="32">
        <v>0.1</v>
      </c>
      <c r="Y774" s="467">
        <v>1E-3</v>
      </c>
      <c r="Z774" s="80"/>
      <c r="AA774" s="29" t="str">
        <f t="shared" si="125"/>
        <v>F020</v>
      </c>
      <c r="AB774" s="29" t="str">
        <f t="shared" si="126"/>
        <v>F00.1</v>
      </c>
      <c r="AC774" s="29" t="str">
        <f t="shared" si="127"/>
        <v>F00.001</v>
      </c>
      <c r="AD774" s="29" t="str">
        <f t="shared" si="128"/>
        <v>F019</v>
      </c>
      <c r="AE774" s="443"/>
      <c r="AF774" s="443"/>
      <c r="AG774" s="443"/>
      <c r="AH774" s="443"/>
    </row>
    <row r="775" spans="1:34" ht="16.5">
      <c r="A775" s="728">
        <f t="shared" si="131"/>
        <v>768</v>
      </c>
      <c r="B775" s="563">
        <v>21</v>
      </c>
      <c r="C775" s="694">
        <v>35593</v>
      </c>
      <c r="D775" s="694" t="s">
        <v>149</v>
      </c>
      <c r="E775" s="695">
        <v>12</v>
      </c>
      <c r="F775" s="503">
        <v>1997</v>
      </c>
      <c r="G775" s="563" t="s">
        <v>110</v>
      </c>
      <c r="H775" s="503" t="s">
        <v>122</v>
      </c>
      <c r="I775" s="695">
        <v>25</v>
      </c>
      <c r="J775" s="695">
        <v>0.1</v>
      </c>
      <c r="K775" s="777">
        <f t="shared" si="130"/>
        <v>1.4204545454545455E-3</v>
      </c>
      <c r="L775" s="968">
        <v>0</v>
      </c>
      <c r="M775" s="503">
        <f t="shared" si="132"/>
        <v>20</v>
      </c>
      <c r="N775" s="504">
        <v>0.84027777777777779</v>
      </c>
      <c r="O775" s="719">
        <f t="shared" ref="O775:O838" si="133">+N775</f>
        <v>0.84027777777777779</v>
      </c>
      <c r="P775" s="564">
        <v>0.84166666666666667</v>
      </c>
      <c r="Q775" s="564">
        <f t="shared" si="129"/>
        <v>1.388888888888884E-3</v>
      </c>
      <c r="R775" s="965" t="s">
        <v>1520</v>
      </c>
      <c r="S775" s="487" t="s">
        <v>405</v>
      </c>
      <c r="T775" s="29"/>
      <c r="U775" s="29" t="str">
        <f t="shared" ref="U775:U838" si="134">CONCATENATE(G775,H775)</f>
        <v>RobertsF0</v>
      </c>
      <c r="V775" s="29" t="str">
        <f t="shared" ref="V775:V838" si="135">CONCATENATE(F775,H775)</f>
        <v>1997F0</v>
      </c>
      <c r="W775" s="80">
        <v>20</v>
      </c>
      <c r="X775" s="32">
        <v>0.1</v>
      </c>
      <c r="Y775" s="467">
        <v>1E-3</v>
      </c>
      <c r="Z775" s="80"/>
      <c r="AA775" s="29" t="str">
        <f t="shared" ref="AA775:AA838" si="136">CONCATENATE(H775,W775)</f>
        <v>F020</v>
      </c>
      <c r="AB775" s="29" t="str">
        <f t="shared" ref="AB775:AB838" si="137">CONCATENATE(H775,X775)</f>
        <v>F00.1</v>
      </c>
      <c r="AC775" s="29" t="str">
        <f t="shared" ref="AC775:AC838" si="138">CONCATENATE(H775,Y775)</f>
        <v>F00.001</v>
      </c>
      <c r="AD775" s="29" t="str">
        <f t="shared" ref="AD775:AD838" si="139">CONCATENATE(H775,M775)</f>
        <v>F020</v>
      </c>
      <c r="AE775" s="443"/>
      <c r="AF775" s="443"/>
      <c r="AG775" s="443"/>
      <c r="AH775" s="443"/>
    </row>
    <row r="776" spans="1:34" ht="16.5">
      <c r="A776" s="728">
        <f t="shared" si="131"/>
        <v>769</v>
      </c>
      <c r="B776" s="563">
        <v>22</v>
      </c>
      <c r="C776" s="694">
        <v>35595</v>
      </c>
      <c r="D776" s="694" t="s">
        <v>149</v>
      </c>
      <c r="E776" s="695">
        <v>14</v>
      </c>
      <c r="F776" s="503">
        <v>1997</v>
      </c>
      <c r="G776" s="563" t="s">
        <v>108</v>
      </c>
      <c r="H776" s="503" t="s">
        <v>122</v>
      </c>
      <c r="I776" s="695">
        <v>50</v>
      </c>
      <c r="J776" s="695">
        <v>0.2</v>
      </c>
      <c r="K776" s="777">
        <f t="shared" si="130"/>
        <v>5.681818181818182E-3</v>
      </c>
      <c r="L776" s="968">
        <v>0</v>
      </c>
      <c r="M776" s="503">
        <f t="shared" si="132"/>
        <v>14</v>
      </c>
      <c r="N776" s="504">
        <v>0.62430555555555556</v>
      </c>
      <c r="O776" s="719">
        <f t="shared" si="133"/>
        <v>0.62430555555555556</v>
      </c>
      <c r="P776" s="564">
        <v>0.62569444444444444</v>
      </c>
      <c r="Q776" s="564">
        <f t="shared" ref="Q776:Q839" si="140">+P776-O776</f>
        <v>1.388888888888884E-3</v>
      </c>
      <c r="R776" s="965" t="s">
        <v>1520</v>
      </c>
      <c r="S776" s="487" t="s">
        <v>365</v>
      </c>
      <c r="T776" s="29"/>
      <c r="U776" s="29" t="str">
        <f t="shared" si="134"/>
        <v>MooreF0</v>
      </c>
      <c r="V776" s="29" t="str">
        <f t="shared" si="135"/>
        <v>1997F0</v>
      </c>
      <c r="W776" s="80">
        <v>50</v>
      </c>
      <c r="X776" s="32">
        <v>0.2</v>
      </c>
      <c r="Y776" s="467">
        <v>5.0000000000000001E-3</v>
      </c>
      <c r="Z776" s="80"/>
      <c r="AA776" s="29" t="str">
        <f t="shared" si="136"/>
        <v>F050</v>
      </c>
      <c r="AB776" s="29" t="str">
        <f t="shared" si="137"/>
        <v>F00.2</v>
      </c>
      <c r="AC776" s="29" t="str">
        <f t="shared" si="138"/>
        <v>F00.005</v>
      </c>
      <c r="AD776" s="29" t="str">
        <f t="shared" si="139"/>
        <v>F014</v>
      </c>
      <c r="AE776" s="443"/>
      <c r="AF776" s="443"/>
      <c r="AG776" s="443"/>
      <c r="AH776" s="443"/>
    </row>
    <row r="777" spans="1:34" ht="16.5">
      <c r="A777" s="728">
        <f t="shared" si="131"/>
        <v>770</v>
      </c>
      <c r="B777" s="563">
        <v>23</v>
      </c>
      <c r="C777" s="694">
        <v>35595</v>
      </c>
      <c r="D777" s="694" t="s">
        <v>149</v>
      </c>
      <c r="E777" s="695">
        <v>14</v>
      </c>
      <c r="F777" s="503">
        <v>1997</v>
      </c>
      <c r="G777" s="563" t="s">
        <v>108</v>
      </c>
      <c r="H777" s="503" t="s">
        <v>122</v>
      </c>
      <c r="I777" s="695">
        <v>25</v>
      </c>
      <c r="J777" s="695">
        <v>0.1</v>
      </c>
      <c r="K777" s="777">
        <f t="shared" ref="K777:K840" si="141">+(I777/1760)*J777</f>
        <v>1.4204545454545455E-3</v>
      </c>
      <c r="L777" s="968">
        <v>0</v>
      </c>
      <c r="M777" s="503">
        <f t="shared" si="132"/>
        <v>15</v>
      </c>
      <c r="N777" s="504">
        <v>0.64097222222222217</v>
      </c>
      <c r="O777" s="719">
        <f t="shared" si="133"/>
        <v>0.64097222222222217</v>
      </c>
      <c r="P777" s="564">
        <v>0.64236111111111105</v>
      </c>
      <c r="Q777" s="564">
        <f t="shared" si="140"/>
        <v>1.388888888888884E-3</v>
      </c>
      <c r="R777" s="965" t="s">
        <v>1520</v>
      </c>
      <c r="S777" s="487" t="s">
        <v>366</v>
      </c>
      <c r="T777" s="29"/>
      <c r="U777" s="29" t="str">
        <f t="shared" si="134"/>
        <v>MooreF0</v>
      </c>
      <c r="V777" s="29" t="str">
        <f t="shared" si="135"/>
        <v>1997F0</v>
      </c>
      <c r="W777" s="80">
        <v>20</v>
      </c>
      <c r="X777" s="32">
        <v>0.1</v>
      </c>
      <c r="Y777" s="467">
        <v>1E-3</v>
      </c>
      <c r="Z777" s="80"/>
      <c r="AA777" s="29" t="str">
        <f t="shared" si="136"/>
        <v>F020</v>
      </c>
      <c r="AB777" s="29" t="str">
        <f t="shared" si="137"/>
        <v>F00.1</v>
      </c>
      <c r="AC777" s="29" t="str">
        <f t="shared" si="138"/>
        <v>F00.001</v>
      </c>
      <c r="AD777" s="29" t="str">
        <f t="shared" si="139"/>
        <v>F015</v>
      </c>
      <c r="AE777" s="443"/>
      <c r="AF777" s="443"/>
      <c r="AG777" s="443"/>
      <c r="AH777" s="443"/>
    </row>
    <row r="778" spans="1:34" ht="16.5">
      <c r="A778" s="728">
        <f t="shared" ref="A778:A841" si="142">+A777+1</f>
        <v>771</v>
      </c>
      <c r="B778" s="563">
        <v>24</v>
      </c>
      <c r="C778" s="694">
        <v>35595</v>
      </c>
      <c r="D778" s="694" t="s">
        <v>149</v>
      </c>
      <c r="E778" s="695">
        <v>14</v>
      </c>
      <c r="F778" s="503">
        <v>1997</v>
      </c>
      <c r="G778" s="563" t="s">
        <v>118</v>
      </c>
      <c r="H778" s="503" t="s">
        <v>122</v>
      </c>
      <c r="I778" s="695">
        <v>25</v>
      </c>
      <c r="J778" s="695">
        <v>0.1</v>
      </c>
      <c r="K778" s="777">
        <f t="shared" si="141"/>
        <v>1.4204545454545455E-3</v>
      </c>
      <c r="L778" s="968">
        <v>0</v>
      </c>
      <c r="M778" s="503">
        <f t="shared" si="132"/>
        <v>16</v>
      </c>
      <c r="N778" s="504">
        <v>0.68402777777777779</v>
      </c>
      <c r="O778" s="719">
        <f t="shared" si="133"/>
        <v>0.68402777777777779</v>
      </c>
      <c r="P778" s="564">
        <v>0.68541666666666667</v>
      </c>
      <c r="Q778" s="564">
        <f t="shared" si="140"/>
        <v>1.388888888888884E-3</v>
      </c>
      <c r="R778" s="965" t="s">
        <v>1520</v>
      </c>
      <c r="S778" s="487" t="s">
        <v>392</v>
      </c>
      <c r="T778" s="29"/>
      <c r="U778" s="29" t="str">
        <f t="shared" si="134"/>
        <v>RandallF0</v>
      </c>
      <c r="V778" s="29" t="str">
        <f t="shared" si="135"/>
        <v>1997F0</v>
      </c>
      <c r="W778" s="80">
        <v>20</v>
      </c>
      <c r="X778" s="32">
        <v>0.1</v>
      </c>
      <c r="Y778" s="467">
        <v>1E-3</v>
      </c>
      <c r="Z778" s="80"/>
      <c r="AA778" s="29" t="str">
        <f t="shared" si="136"/>
        <v>F020</v>
      </c>
      <c r="AB778" s="29" t="str">
        <f t="shared" si="137"/>
        <v>F00.1</v>
      </c>
      <c r="AC778" s="29" t="str">
        <f t="shared" si="138"/>
        <v>F00.001</v>
      </c>
      <c r="AD778" s="29" t="str">
        <f t="shared" si="139"/>
        <v>F016</v>
      </c>
      <c r="AE778" s="443"/>
      <c r="AF778" s="443"/>
      <c r="AG778" s="443"/>
      <c r="AH778" s="443"/>
    </row>
    <row r="779" spans="1:34" ht="16.5">
      <c r="A779" s="728">
        <f t="shared" si="142"/>
        <v>772</v>
      </c>
      <c r="B779" s="563">
        <v>25</v>
      </c>
      <c r="C779" s="694">
        <v>35595</v>
      </c>
      <c r="D779" s="694" t="s">
        <v>149</v>
      </c>
      <c r="E779" s="695">
        <v>14</v>
      </c>
      <c r="F779" s="503">
        <v>1997</v>
      </c>
      <c r="G779" s="563" t="s">
        <v>109</v>
      </c>
      <c r="H779" s="503" t="s">
        <v>122</v>
      </c>
      <c r="I779" s="695">
        <v>50</v>
      </c>
      <c r="J779" s="695">
        <v>0.2</v>
      </c>
      <c r="K779" s="777">
        <f t="shared" si="141"/>
        <v>5.681818181818182E-3</v>
      </c>
      <c r="L779" s="968">
        <v>0</v>
      </c>
      <c r="M779" s="503">
        <f t="shared" si="132"/>
        <v>17</v>
      </c>
      <c r="N779" s="504">
        <v>0.7416666666666667</v>
      </c>
      <c r="O779" s="719">
        <f t="shared" si="133"/>
        <v>0.7416666666666667</v>
      </c>
      <c r="P779" s="564">
        <v>0.74375000000000002</v>
      </c>
      <c r="Q779" s="564">
        <f t="shared" si="140"/>
        <v>2.0833333333333259E-3</v>
      </c>
      <c r="R779" s="965" t="s">
        <v>1520</v>
      </c>
      <c r="S779" s="487" t="s">
        <v>350</v>
      </c>
      <c r="T779" s="29"/>
      <c r="U779" s="29" t="str">
        <f t="shared" si="134"/>
        <v>HutchinsonF0</v>
      </c>
      <c r="V779" s="29" t="str">
        <f t="shared" si="135"/>
        <v>1997F0</v>
      </c>
      <c r="W779" s="80">
        <v>50</v>
      </c>
      <c r="X779" s="32">
        <v>0.2</v>
      </c>
      <c r="Y779" s="467">
        <v>5.0000000000000001E-3</v>
      </c>
      <c r="Z779" s="80"/>
      <c r="AA779" s="29" t="str">
        <f t="shared" si="136"/>
        <v>F050</v>
      </c>
      <c r="AB779" s="29" t="str">
        <f t="shared" si="137"/>
        <v>F00.2</v>
      </c>
      <c r="AC779" s="29" t="str">
        <f t="shared" si="138"/>
        <v>F00.005</v>
      </c>
      <c r="AD779" s="29" t="str">
        <f t="shared" si="139"/>
        <v>F017</v>
      </c>
      <c r="AE779" s="443"/>
      <c r="AF779" s="443"/>
      <c r="AG779" s="443"/>
      <c r="AH779" s="443"/>
    </row>
    <row r="780" spans="1:34" ht="16.5">
      <c r="A780" s="728">
        <f t="shared" si="142"/>
        <v>773</v>
      </c>
      <c r="B780" s="563">
        <v>26</v>
      </c>
      <c r="C780" s="694">
        <v>35595</v>
      </c>
      <c r="D780" s="694" t="s">
        <v>149</v>
      </c>
      <c r="E780" s="695">
        <v>14</v>
      </c>
      <c r="F780" s="503">
        <v>1997</v>
      </c>
      <c r="G780" s="563" t="s">
        <v>114</v>
      </c>
      <c r="H780" s="503" t="s">
        <v>122</v>
      </c>
      <c r="I780" s="695">
        <v>50</v>
      </c>
      <c r="J780" s="695">
        <v>0.1</v>
      </c>
      <c r="K780" s="777">
        <f t="shared" si="141"/>
        <v>2.840909090909091E-3</v>
      </c>
      <c r="L780" s="968">
        <v>0</v>
      </c>
      <c r="M780" s="503">
        <f t="shared" si="132"/>
        <v>18</v>
      </c>
      <c r="N780" s="504">
        <v>0.75694444444444453</v>
      </c>
      <c r="O780" s="719">
        <f t="shared" si="133"/>
        <v>0.75694444444444453</v>
      </c>
      <c r="P780" s="564">
        <v>0.75902777777777775</v>
      </c>
      <c r="Q780" s="564">
        <f t="shared" si="140"/>
        <v>2.0833333333332149E-3</v>
      </c>
      <c r="R780" s="965" t="s">
        <v>1520</v>
      </c>
      <c r="S780" s="487" t="s">
        <v>258</v>
      </c>
      <c r="T780" s="29"/>
      <c r="U780" s="29" t="str">
        <f t="shared" si="134"/>
        <v>CarsonF0</v>
      </c>
      <c r="V780" s="29" t="str">
        <f t="shared" si="135"/>
        <v>1997F0</v>
      </c>
      <c r="W780" s="80">
        <v>50</v>
      </c>
      <c r="X780" s="32">
        <v>0.1</v>
      </c>
      <c r="Y780" s="467">
        <v>2E-3</v>
      </c>
      <c r="Z780" s="80"/>
      <c r="AA780" s="29" t="str">
        <f t="shared" si="136"/>
        <v>F050</v>
      </c>
      <c r="AB780" s="29" t="str">
        <f t="shared" si="137"/>
        <v>F00.1</v>
      </c>
      <c r="AC780" s="29" t="str">
        <f t="shared" si="138"/>
        <v>F00.002</v>
      </c>
      <c r="AD780" s="29" t="str">
        <f t="shared" si="139"/>
        <v>F018</v>
      </c>
      <c r="AE780" s="443"/>
      <c r="AF780" s="443"/>
      <c r="AG780" s="443"/>
      <c r="AH780" s="443"/>
    </row>
    <row r="781" spans="1:34" ht="16.5">
      <c r="A781" s="728">
        <f t="shared" si="142"/>
        <v>774</v>
      </c>
      <c r="B781" s="563">
        <v>27</v>
      </c>
      <c r="C781" s="694">
        <v>35596</v>
      </c>
      <c r="D781" s="694" t="s">
        <v>149</v>
      </c>
      <c r="E781" s="695">
        <v>15</v>
      </c>
      <c r="F781" s="503">
        <v>1997</v>
      </c>
      <c r="G781" s="563" t="s">
        <v>101</v>
      </c>
      <c r="H781" s="503" t="s">
        <v>123</v>
      </c>
      <c r="I781" s="695">
        <v>100</v>
      </c>
      <c r="J781" s="695">
        <v>0.5</v>
      </c>
      <c r="K781" s="777">
        <f t="shared" si="141"/>
        <v>2.8409090909090908E-2</v>
      </c>
      <c r="L781" s="968">
        <v>150000</v>
      </c>
      <c r="M781" s="503">
        <f t="shared" si="132"/>
        <v>18</v>
      </c>
      <c r="N781" s="504">
        <v>0.75694444444444453</v>
      </c>
      <c r="O781" s="719">
        <f t="shared" si="133"/>
        <v>0.75694444444444453</v>
      </c>
      <c r="P781" s="564">
        <v>0.7597222222222223</v>
      </c>
      <c r="Q781" s="564">
        <f t="shared" si="140"/>
        <v>2.7777777777777679E-3</v>
      </c>
      <c r="R781" s="965" t="s">
        <v>1523</v>
      </c>
      <c r="S781" s="487" t="s">
        <v>238</v>
      </c>
      <c r="T781" s="29"/>
      <c r="U781" s="29" t="str">
        <f t="shared" si="134"/>
        <v>BeaverF1</v>
      </c>
      <c r="V781" s="29" t="str">
        <f t="shared" si="135"/>
        <v>1997F1</v>
      </c>
      <c r="W781" s="80">
        <v>100</v>
      </c>
      <c r="X781" s="32">
        <v>0.5</v>
      </c>
      <c r="Y781" s="467">
        <v>0.02</v>
      </c>
      <c r="Z781" s="80"/>
      <c r="AA781" s="29" t="str">
        <f t="shared" si="136"/>
        <v>F1100</v>
      </c>
      <c r="AB781" s="29" t="str">
        <f t="shared" si="137"/>
        <v>F10.5</v>
      </c>
      <c r="AC781" s="29" t="str">
        <f t="shared" si="138"/>
        <v>F10.02</v>
      </c>
      <c r="AD781" s="29" t="str">
        <f t="shared" si="139"/>
        <v>F118</v>
      </c>
      <c r="AE781" s="443"/>
      <c r="AF781" s="443"/>
      <c r="AG781" s="443"/>
      <c r="AH781" s="443"/>
    </row>
    <row r="782" spans="1:34" ht="16.5">
      <c r="A782" s="728">
        <f t="shared" si="142"/>
        <v>775</v>
      </c>
      <c r="B782" s="563">
        <v>28</v>
      </c>
      <c r="C782" s="694">
        <v>35597</v>
      </c>
      <c r="D782" s="694" t="s">
        <v>149</v>
      </c>
      <c r="E782" s="695">
        <v>16</v>
      </c>
      <c r="F782" s="503">
        <v>1997</v>
      </c>
      <c r="G782" s="563" t="s">
        <v>102</v>
      </c>
      <c r="H782" s="503" t="s">
        <v>122</v>
      </c>
      <c r="I782" s="695">
        <v>25</v>
      </c>
      <c r="J782" s="695">
        <v>0.2</v>
      </c>
      <c r="K782" s="777">
        <f t="shared" si="141"/>
        <v>2.840909090909091E-3</v>
      </c>
      <c r="L782" s="968">
        <v>0</v>
      </c>
      <c r="M782" s="503">
        <f t="shared" si="132"/>
        <v>12</v>
      </c>
      <c r="N782" s="504">
        <v>0.51388888888888895</v>
      </c>
      <c r="O782" s="719">
        <f t="shared" si="133"/>
        <v>0.51388888888888895</v>
      </c>
      <c r="P782" s="564">
        <v>0.51527777777777783</v>
      </c>
      <c r="Q782" s="564">
        <f t="shared" si="140"/>
        <v>1.388888888888884E-3</v>
      </c>
      <c r="R782" s="965" t="s">
        <v>1520</v>
      </c>
      <c r="S782" s="487" t="s">
        <v>284</v>
      </c>
      <c r="T782" s="29"/>
      <c r="U782" s="29" t="str">
        <f t="shared" si="134"/>
        <v>DallamF0</v>
      </c>
      <c r="V782" s="29" t="str">
        <f t="shared" si="135"/>
        <v>1997F0</v>
      </c>
      <c r="W782" s="80">
        <v>20</v>
      </c>
      <c r="X782" s="32">
        <v>0.2</v>
      </c>
      <c r="Y782" s="467">
        <v>2E-3</v>
      </c>
      <c r="Z782" s="80"/>
      <c r="AA782" s="29" t="str">
        <f t="shared" si="136"/>
        <v>F020</v>
      </c>
      <c r="AB782" s="29" t="str">
        <f t="shared" si="137"/>
        <v>F00.2</v>
      </c>
      <c r="AC782" s="29" t="str">
        <f t="shared" si="138"/>
        <v>F00.002</v>
      </c>
      <c r="AD782" s="29" t="str">
        <f t="shared" si="139"/>
        <v>F012</v>
      </c>
      <c r="AE782" s="443"/>
      <c r="AF782" s="443"/>
      <c r="AG782" s="443"/>
      <c r="AH782" s="443"/>
    </row>
    <row r="783" spans="1:34" ht="16.5">
      <c r="A783" s="728">
        <f t="shared" si="142"/>
        <v>776</v>
      </c>
      <c r="B783" s="563">
        <v>29</v>
      </c>
      <c r="C783" s="694">
        <v>35597</v>
      </c>
      <c r="D783" s="694" t="s">
        <v>149</v>
      </c>
      <c r="E783" s="695">
        <v>16</v>
      </c>
      <c r="F783" s="503">
        <v>1997</v>
      </c>
      <c r="G783" s="563" t="s">
        <v>107</v>
      </c>
      <c r="H783" s="503" t="s">
        <v>122</v>
      </c>
      <c r="I783" s="695">
        <v>50</v>
      </c>
      <c r="J783" s="695">
        <v>0.1</v>
      </c>
      <c r="K783" s="777">
        <f t="shared" si="141"/>
        <v>2.840909090909091E-3</v>
      </c>
      <c r="L783" s="968">
        <v>0</v>
      </c>
      <c r="M783" s="503">
        <f t="shared" si="132"/>
        <v>12</v>
      </c>
      <c r="N783" s="504">
        <v>0.52083333333333337</v>
      </c>
      <c r="O783" s="719">
        <f t="shared" si="133"/>
        <v>0.52083333333333337</v>
      </c>
      <c r="P783" s="564">
        <v>0.5229166666666667</v>
      </c>
      <c r="Q783" s="564">
        <f t="shared" si="140"/>
        <v>2.0833333333333259E-3</v>
      </c>
      <c r="R783" s="965" t="s">
        <v>1520</v>
      </c>
      <c r="S783" s="487" t="s">
        <v>339</v>
      </c>
      <c r="T783" s="29"/>
      <c r="U783" s="29" t="str">
        <f t="shared" si="134"/>
        <v>HartleyF0</v>
      </c>
      <c r="V783" s="29" t="str">
        <f t="shared" si="135"/>
        <v>1997F0</v>
      </c>
      <c r="W783" s="80">
        <v>50</v>
      </c>
      <c r="X783" s="32">
        <v>0.1</v>
      </c>
      <c r="Y783" s="467">
        <v>2E-3</v>
      </c>
      <c r="Z783" s="80"/>
      <c r="AA783" s="29" t="str">
        <f t="shared" si="136"/>
        <v>F050</v>
      </c>
      <c r="AB783" s="29" t="str">
        <f t="shared" si="137"/>
        <v>F00.1</v>
      </c>
      <c r="AC783" s="29" t="str">
        <f t="shared" si="138"/>
        <v>F00.002</v>
      </c>
      <c r="AD783" s="29" t="str">
        <f t="shared" si="139"/>
        <v>F012</v>
      </c>
      <c r="AE783" s="443"/>
      <c r="AF783" s="443"/>
      <c r="AG783" s="443"/>
      <c r="AH783" s="443"/>
    </row>
    <row r="784" spans="1:34" ht="16.5">
      <c r="A784" s="728">
        <f t="shared" si="142"/>
        <v>777</v>
      </c>
      <c r="B784" s="563">
        <v>1</v>
      </c>
      <c r="C784" s="694">
        <v>36014</v>
      </c>
      <c r="D784" s="694" t="s">
        <v>151</v>
      </c>
      <c r="E784" s="695">
        <v>7</v>
      </c>
      <c r="F784" s="503">
        <v>1998</v>
      </c>
      <c r="G784" s="563" t="s">
        <v>118</v>
      </c>
      <c r="H784" s="503" t="s">
        <v>122</v>
      </c>
      <c r="I784" s="695">
        <v>25</v>
      </c>
      <c r="J784" s="695">
        <v>0.5</v>
      </c>
      <c r="K784" s="777">
        <f t="shared" si="141"/>
        <v>7.102272727272727E-3</v>
      </c>
      <c r="L784" s="968">
        <v>0</v>
      </c>
      <c r="M784" s="503">
        <f t="shared" si="132"/>
        <v>16</v>
      </c>
      <c r="N784" s="504">
        <v>0.67361111111111116</v>
      </c>
      <c r="O784" s="719">
        <f t="shared" si="133"/>
        <v>0.67361111111111116</v>
      </c>
      <c r="P784" s="564">
        <v>0.67708333333333337</v>
      </c>
      <c r="Q784" s="564">
        <f t="shared" si="140"/>
        <v>3.4722222222222099E-3</v>
      </c>
      <c r="R784" s="965" t="s">
        <v>1520</v>
      </c>
      <c r="S784" s="487" t="s">
        <v>393</v>
      </c>
      <c r="T784" s="29"/>
      <c r="U784" s="29" t="str">
        <f t="shared" si="134"/>
        <v>RandallF0</v>
      </c>
      <c r="V784" s="29" t="str">
        <f t="shared" si="135"/>
        <v>1998F0</v>
      </c>
      <c r="W784" s="80">
        <v>20</v>
      </c>
      <c r="X784" s="32">
        <v>0.5</v>
      </c>
      <c r="Y784" s="467">
        <v>5.0000000000000001E-3</v>
      </c>
      <c r="Z784" s="80"/>
      <c r="AA784" s="29" t="str">
        <f t="shared" si="136"/>
        <v>F020</v>
      </c>
      <c r="AB784" s="29" t="str">
        <f t="shared" si="137"/>
        <v>F00.5</v>
      </c>
      <c r="AC784" s="29" t="str">
        <f t="shared" si="138"/>
        <v>F00.005</v>
      </c>
      <c r="AD784" s="29" t="str">
        <f t="shared" si="139"/>
        <v>F016</v>
      </c>
      <c r="AE784" s="443"/>
      <c r="AF784" s="443"/>
      <c r="AG784" s="443"/>
      <c r="AH784" s="443"/>
    </row>
    <row r="785" spans="1:34" ht="16.5">
      <c r="A785" s="728">
        <f t="shared" si="142"/>
        <v>778</v>
      </c>
      <c r="B785" s="563">
        <v>2</v>
      </c>
      <c r="C785" s="694">
        <v>36095</v>
      </c>
      <c r="D785" s="694" t="s">
        <v>153</v>
      </c>
      <c r="E785" s="695">
        <v>27</v>
      </c>
      <c r="F785" s="503">
        <v>1998</v>
      </c>
      <c r="G785" s="563" t="s">
        <v>118</v>
      </c>
      <c r="H785" s="503" t="s">
        <v>123</v>
      </c>
      <c r="I785" s="695">
        <v>300</v>
      </c>
      <c r="J785" s="695">
        <v>1</v>
      </c>
      <c r="K785" s="777">
        <f t="shared" si="141"/>
        <v>0.17045454545454544</v>
      </c>
      <c r="L785" s="968">
        <v>75000</v>
      </c>
      <c r="M785" s="503">
        <f t="shared" si="132"/>
        <v>19</v>
      </c>
      <c r="N785" s="504">
        <v>0.80208333333333337</v>
      </c>
      <c r="O785" s="719">
        <f t="shared" si="133"/>
        <v>0.80208333333333337</v>
      </c>
      <c r="P785" s="564">
        <v>0.8041666666666667</v>
      </c>
      <c r="Q785" s="564">
        <f t="shared" si="140"/>
        <v>2.0833333333333259E-3</v>
      </c>
      <c r="R785" s="965" t="s">
        <v>1520</v>
      </c>
      <c r="S785" s="487" t="s">
        <v>394</v>
      </c>
      <c r="T785" s="29"/>
      <c r="U785" s="29" t="str">
        <f t="shared" si="134"/>
        <v>RandallF1</v>
      </c>
      <c r="V785" s="29" t="str">
        <f t="shared" si="135"/>
        <v>1998F1</v>
      </c>
      <c r="W785" s="80">
        <v>200</v>
      </c>
      <c r="X785" s="32">
        <v>1</v>
      </c>
      <c r="Y785" s="467">
        <v>0.1</v>
      </c>
      <c r="Z785" s="80"/>
      <c r="AA785" s="29" t="str">
        <f t="shared" si="136"/>
        <v>F1200</v>
      </c>
      <c r="AB785" s="29" t="str">
        <f t="shared" si="137"/>
        <v>F11</v>
      </c>
      <c r="AC785" s="29" t="str">
        <f t="shared" si="138"/>
        <v>F10.1</v>
      </c>
      <c r="AD785" s="29" t="str">
        <f t="shared" si="139"/>
        <v>F119</v>
      </c>
      <c r="AE785" s="443"/>
      <c r="AF785" s="443"/>
      <c r="AG785" s="443"/>
      <c r="AH785" s="443"/>
    </row>
    <row r="786" spans="1:34" ht="39.950000000000003" customHeight="1">
      <c r="A786" s="728">
        <f t="shared" si="142"/>
        <v>779</v>
      </c>
      <c r="B786" s="563">
        <v>1</v>
      </c>
      <c r="C786" s="694">
        <v>36281</v>
      </c>
      <c r="D786" s="694" t="s">
        <v>148</v>
      </c>
      <c r="E786" s="695">
        <v>1</v>
      </c>
      <c r="F786" s="503">
        <v>1999</v>
      </c>
      <c r="G786" s="563" t="s">
        <v>107</v>
      </c>
      <c r="H786" s="503" t="s">
        <v>122</v>
      </c>
      <c r="I786" s="695">
        <v>50</v>
      </c>
      <c r="J786" s="695">
        <v>0.1</v>
      </c>
      <c r="K786" s="777">
        <f t="shared" si="141"/>
        <v>2.840909090909091E-3</v>
      </c>
      <c r="L786" s="968">
        <v>0</v>
      </c>
      <c r="M786" s="503">
        <f t="shared" si="132"/>
        <v>19</v>
      </c>
      <c r="N786" s="504">
        <v>0.79652777777777783</v>
      </c>
      <c r="O786" s="719">
        <f t="shared" si="133"/>
        <v>0.79652777777777783</v>
      </c>
      <c r="P786" s="564">
        <v>0.79652777777777783</v>
      </c>
      <c r="Q786" s="564">
        <f t="shared" si="140"/>
        <v>0</v>
      </c>
      <c r="R786" s="965" t="s">
        <v>1520</v>
      </c>
      <c r="S786" s="487" t="s">
        <v>1418</v>
      </c>
      <c r="T786" s="29"/>
      <c r="U786" s="29" t="str">
        <f t="shared" si="134"/>
        <v>HartleyF0</v>
      </c>
      <c r="V786" s="29" t="str">
        <f t="shared" si="135"/>
        <v>1999F0</v>
      </c>
      <c r="W786" s="80">
        <v>50</v>
      </c>
      <c r="X786" s="32">
        <v>0.1</v>
      </c>
      <c r="Y786" s="468">
        <v>2E-3</v>
      </c>
      <c r="Z786" s="80"/>
      <c r="AA786" s="29" t="str">
        <f t="shared" si="136"/>
        <v>F050</v>
      </c>
      <c r="AB786" s="29" t="str">
        <f t="shared" si="137"/>
        <v>F00.1</v>
      </c>
      <c r="AC786" s="29" t="str">
        <f t="shared" si="138"/>
        <v>F00.002</v>
      </c>
      <c r="AD786" s="29" t="str">
        <f t="shared" si="139"/>
        <v>F019</v>
      </c>
      <c r="AE786" s="443"/>
      <c r="AF786" s="443"/>
      <c r="AG786" s="443"/>
      <c r="AH786" s="443"/>
    </row>
    <row r="787" spans="1:34" ht="16.5">
      <c r="A787" s="728">
        <f t="shared" si="142"/>
        <v>780</v>
      </c>
      <c r="B787" s="563">
        <v>2</v>
      </c>
      <c r="C787" s="694">
        <v>36300</v>
      </c>
      <c r="D787" s="694" t="s">
        <v>148</v>
      </c>
      <c r="E787" s="695">
        <v>20</v>
      </c>
      <c r="F787" s="503">
        <v>1999</v>
      </c>
      <c r="G787" s="563" t="s">
        <v>115</v>
      </c>
      <c r="H787" s="503" t="s">
        <v>122</v>
      </c>
      <c r="I787" s="695">
        <v>25</v>
      </c>
      <c r="J787" s="695">
        <v>0.1</v>
      </c>
      <c r="K787" s="777">
        <f t="shared" si="141"/>
        <v>1.4204545454545455E-3</v>
      </c>
      <c r="L787" s="968">
        <v>0</v>
      </c>
      <c r="M787" s="503">
        <f t="shared" si="132"/>
        <v>17</v>
      </c>
      <c r="N787" s="504">
        <v>0.71111111111111114</v>
      </c>
      <c r="O787" s="719">
        <f t="shared" si="133"/>
        <v>0.71111111111111114</v>
      </c>
      <c r="P787" s="564">
        <v>0.71250000000000002</v>
      </c>
      <c r="Q787" s="564">
        <f t="shared" si="140"/>
        <v>1.388888888888884E-3</v>
      </c>
      <c r="R787" s="965" t="s">
        <v>1520</v>
      </c>
      <c r="S787" s="487" t="s">
        <v>318</v>
      </c>
      <c r="T787" s="29"/>
      <c r="U787" s="29" t="str">
        <f t="shared" si="134"/>
        <v>GrayF0</v>
      </c>
      <c r="V787" s="29" t="str">
        <f t="shared" si="135"/>
        <v>1999F0</v>
      </c>
      <c r="W787" s="80">
        <v>20</v>
      </c>
      <c r="X787" s="32">
        <v>0.1</v>
      </c>
      <c r="Y787" s="467">
        <v>2</v>
      </c>
      <c r="Z787" s="80"/>
      <c r="AA787" s="29" t="str">
        <f t="shared" si="136"/>
        <v>F020</v>
      </c>
      <c r="AB787" s="29" t="str">
        <f t="shared" si="137"/>
        <v>F00.1</v>
      </c>
      <c r="AC787" s="29" t="str">
        <f t="shared" si="138"/>
        <v>F02</v>
      </c>
      <c r="AD787" s="29" t="str">
        <f t="shared" si="139"/>
        <v>F017</v>
      </c>
      <c r="AE787" s="443"/>
      <c r="AF787" s="443"/>
      <c r="AG787" s="443"/>
      <c r="AH787" s="443"/>
    </row>
    <row r="788" spans="1:34" ht="16.5">
      <c r="A788" s="728">
        <f t="shared" si="142"/>
        <v>781</v>
      </c>
      <c r="B788" s="563">
        <v>3</v>
      </c>
      <c r="C788" s="694">
        <v>36300</v>
      </c>
      <c r="D788" s="694" t="s">
        <v>148</v>
      </c>
      <c r="E788" s="695">
        <v>20</v>
      </c>
      <c r="F788" s="503">
        <v>1999</v>
      </c>
      <c r="G788" s="563" t="s">
        <v>115</v>
      </c>
      <c r="H788" s="503" t="s">
        <v>122</v>
      </c>
      <c r="I788" s="695">
        <v>25</v>
      </c>
      <c r="J788" s="695">
        <v>0.1</v>
      </c>
      <c r="K788" s="777">
        <f t="shared" si="141"/>
        <v>1.4204545454545455E-3</v>
      </c>
      <c r="L788" s="968">
        <v>0</v>
      </c>
      <c r="M788" s="503">
        <f t="shared" si="132"/>
        <v>17</v>
      </c>
      <c r="N788" s="504">
        <v>0.72152777777777777</v>
      </c>
      <c r="O788" s="719">
        <f t="shared" si="133"/>
        <v>0.72152777777777777</v>
      </c>
      <c r="P788" s="564">
        <v>0.72222222222222221</v>
      </c>
      <c r="Q788" s="564">
        <f t="shared" si="140"/>
        <v>6.9444444444444198E-4</v>
      </c>
      <c r="R788" s="965" t="s">
        <v>1520</v>
      </c>
      <c r="S788" s="487" t="s">
        <v>319</v>
      </c>
      <c r="T788" s="29"/>
      <c r="U788" s="29" t="str">
        <f t="shared" si="134"/>
        <v>GrayF0</v>
      </c>
      <c r="V788" s="29" t="str">
        <f t="shared" si="135"/>
        <v>1999F0</v>
      </c>
      <c r="W788" s="80">
        <v>20</v>
      </c>
      <c r="X788" s="32">
        <v>0.1</v>
      </c>
      <c r="Y788" s="467">
        <v>1E-3</v>
      </c>
      <c r="Z788" s="80"/>
      <c r="AA788" s="29" t="str">
        <f t="shared" si="136"/>
        <v>F020</v>
      </c>
      <c r="AB788" s="29" t="str">
        <f t="shared" si="137"/>
        <v>F00.1</v>
      </c>
      <c r="AC788" s="29" t="str">
        <f t="shared" si="138"/>
        <v>F00.001</v>
      </c>
      <c r="AD788" s="29" t="str">
        <f t="shared" si="139"/>
        <v>F017</v>
      </c>
      <c r="AE788" s="443"/>
      <c r="AF788" s="443"/>
      <c r="AG788" s="443"/>
      <c r="AH788" s="443"/>
    </row>
    <row r="789" spans="1:34" ht="16.5">
      <c r="A789" s="728">
        <f t="shared" si="142"/>
        <v>782</v>
      </c>
      <c r="B789" s="563">
        <v>4</v>
      </c>
      <c r="C789" s="694">
        <v>36300</v>
      </c>
      <c r="D789" s="694" t="s">
        <v>148</v>
      </c>
      <c r="E789" s="695">
        <v>20</v>
      </c>
      <c r="F789" s="503">
        <v>1999</v>
      </c>
      <c r="G789" s="563" t="s">
        <v>120</v>
      </c>
      <c r="H789" s="503" t="s">
        <v>122</v>
      </c>
      <c r="I789" s="695">
        <v>50</v>
      </c>
      <c r="J789" s="695">
        <v>0.5</v>
      </c>
      <c r="K789" s="777">
        <f t="shared" si="141"/>
        <v>1.4204545454545454E-2</v>
      </c>
      <c r="L789" s="968">
        <v>0</v>
      </c>
      <c r="M789" s="503">
        <f t="shared" si="132"/>
        <v>17</v>
      </c>
      <c r="N789" s="504">
        <v>0.73888888888888893</v>
      </c>
      <c r="O789" s="719">
        <f t="shared" si="133"/>
        <v>0.73888888888888893</v>
      </c>
      <c r="P789" s="564">
        <v>0.7416666666666667</v>
      </c>
      <c r="Q789" s="564">
        <f t="shared" si="140"/>
        <v>2.7777777777777679E-3</v>
      </c>
      <c r="R789" s="965" t="s">
        <v>1520</v>
      </c>
      <c r="S789" s="487" t="s">
        <v>299</v>
      </c>
      <c r="U789" s="29" t="str">
        <f t="shared" si="134"/>
        <v>DonleyF0</v>
      </c>
      <c r="V789" s="29" t="str">
        <f t="shared" si="135"/>
        <v>1999F0</v>
      </c>
      <c r="W789" s="80">
        <v>50</v>
      </c>
      <c r="X789" s="32">
        <v>0.5</v>
      </c>
      <c r="Y789" s="467">
        <v>0.01</v>
      </c>
      <c r="Z789" s="80"/>
      <c r="AA789" s="29" t="str">
        <f t="shared" si="136"/>
        <v>F050</v>
      </c>
      <c r="AB789" s="29" t="str">
        <f t="shared" si="137"/>
        <v>F00.5</v>
      </c>
      <c r="AC789" s="29" t="str">
        <f t="shared" si="138"/>
        <v>F00.01</v>
      </c>
      <c r="AD789" s="29" t="str">
        <f t="shared" si="139"/>
        <v>F017</v>
      </c>
      <c r="AE789" s="443"/>
      <c r="AF789" s="443"/>
      <c r="AG789" s="443"/>
      <c r="AH789" s="443"/>
    </row>
    <row r="790" spans="1:34" ht="16.5">
      <c r="A790" s="728">
        <f t="shared" si="142"/>
        <v>783</v>
      </c>
      <c r="B790" s="563">
        <v>5</v>
      </c>
      <c r="C790" s="694">
        <v>36300</v>
      </c>
      <c r="D790" s="694" t="s">
        <v>148</v>
      </c>
      <c r="E790" s="695">
        <v>20</v>
      </c>
      <c r="F790" s="503">
        <v>1999</v>
      </c>
      <c r="G790" s="563" t="s">
        <v>120</v>
      </c>
      <c r="H790" s="503" t="s">
        <v>122</v>
      </c>
      <c r="I790" s="695">
        <v>25</v>
      </c>
      <c r="J790" s="695">
        <v>0.1</v>
      </c>
      <c r="K790" s="777">
        <f t="shared" si="141"/>
        <v>1.4204545454545455E-3</v>
      </c>
      <c r="L790" s="968">
        <v>0</v>
      </c>
      <c r="M790" s="503">
        <f t="shared" si="132"/>
        <v>19</v>
      </c>
      <c r="N790" s="504">
        <v>0.79305555555555562</v>
      </c>
      <c r="O790" s="719">
        <f t="shared" si="133"/>
        <v>0.79305555555555562</v>
      </c>
      <c r="P790" s="564">
        <v>0.79374999999999996</v>
      </c>
      <c r="Q790" s="564">
        <f t="shared" si="140"/>
        <v>6.9444444444433095E-4</v>
      </c>
      <c r="R790" s="965" t="s">
        <v>1520</v>
      </c>
      <c r="S790" s="487" t="s">
        <v>300</v>
      </c>
      <c r="U790" s="29" t="str">
        <f t="shared" si="134"/>
        <v>DonleyF0</v>
      </c>
      <c r="V790" s="29" t="str">
        <f t="shared" si="135"/>
        <v>1999F0</v>
      </c>
      <c r="W790" s="80">
        <v>20</v>
      </c>
      <c r="X790" s="32">
        <v>0.1</v>
      </c>
      <c r="Y790" s="467">
        <v>1E-3</v>
      </c>
      <c r="Z790" s="80"/>
      <c r="AA790" s="29" t="str">
        <f t="shared" si="136"/>
        <v>F020</v>
      </c>
      <c r="AB790" s="29" t="str">
        <f t="shared" si="137"/>
        <v>F00.1</v>
      </c>
      <c r="AC790" s="29" t="str">
        <f t="shared" si="138"/>
        <v>F00.001</v>
      </c>
      <c r="AD790" s="29" t="str">
        <f t="shared" si="139"/>
        <v>F019</v>
      </c>
      <c r="AE790" s="443"/>
      <c r="AF790" s="443"/>
      <c r="AG790" s="443"/>
      <c r="AH790" s="443"/>
    </row>
    <row r="791" spans="1:34" ht="54.95" customHeight="1">
      <c r="A791" s="728">
        <f t="shared" si="142"/>
        <v>784</v>
      </c>
      <c r="B791" s="563">
        <v>6</v>
      </c>
      <c r="C791" s="694">
        <v>36305</v>
      </c>
      <c r="D791" s="694" t="s">
        <v>148</v>
      </c>
      <c r="E791" s="695">
        <v>25</v>
      </c>
      <c r="F791" s="503">
        <v>1999</v>
      </c>
      <c r="G791" s="563" t="s">
        <v>118</v>
      </c>
      <c r="H791" s="503" t="s">
        <v>122</v>
      </c>
      <c r="I791" s="695">
        <v>25</v>
      </c>
      <c r="J791" s="695">
        <v>0.3</v>
      </c>
      <c r="K791" s="777">
        <f t="shared" si="141"/>
        <v>4.261363636363636E-3</v>
      </c>
      <c r="L791" s="968">
        <v>0</v>
      </c>
      <c r="M791" s="503">
        <f t="shared" si="132"/>
        <v>16</v>
      </c>
      <c r="N791" s="504">
        <v>0.70694444444444438</v>
      </c>
      <c r="O791" s="719">
        <f t="shared" si="133"/>
        <v>0.70694444444444438</v>
      </c>
      <c r="P791" s="564">
        <v>0.70694444444444438</v>
      </c>
      <c r="Q791" s="564">
        <f t="shared" si="140"/>
        <v>0</v>
      </c>
      <c r="R791" s="965" t="s">
        <v>1520</v>
      </c>
      <c r="S791" s="487" t="s">
        <v>1419</v>
      </c>
      <c r="U791" s="29" t="str">
        <f t="shared" si="134"/>
        <v>RandallF0</v>
      </c>
      <c r="V791" s="29" t="str">
        <f t="shared" si="135"/>
        <v>1999F0</v>
      </c>
      <c r="W791" s="80">
        <v>20</v>
      </c>
      <c r="X791" s="32">
        <v>0.2</v>
      </c>
      <c r="Y791" s="467">
        <v>2E-3</v>
      </c>
      <c r="Z791" s="80"/>
      <c r="AA791" s="29" t="str">
        <f t="shared" si="136"/>
        <v>F020</v>
      </c>
      <c r="AB791" s="29" t="str">
        <f t="shared" si="137"/>
        <v>F00.2</v>
      </c>
      <c r="AC791" s="29" t="str">
        <f t="shared" si="138"/>
        <v>F00.002</v>
      </c>
      <c r="AD791" s="29" t="str">
        <f t="shared" si="139"/>
        <v>F016</v>
      </c>
      <c r="AE791" s="443"/>
      <c r="AF791" s="443"/>
      <c r="AG791" s="443"/>
      <c r="AH791" s="443"/>
    </row>
    <row r="792" spans="1:34" ht="16.5">
      <c r="A792" s="728">
        <f t="shared" si="142"/>
        <v>785</v>
      </c>
      <c r="B792" s="563">
        <v>7</v>
      </c>
      <c r="C792" s="694">
        <v>36305</v>
      </c>
      <c r="D792" s="694" t="s">
        <v>148</v>
      </c>
      <c r="E792" s="695">
        <v>25</v>
      </c>
      <c r="F792" s="503">
        <v>1999</v>
      </c>
      <c r="G792" s="563" t="s">
        <v>118</v>
      </c>
      <c r="H792" s="503" t="s">
        <v>122</v>
      </c>
      <c r="I792" s="695">
        <v>25</v>
      </c>
      <c r="J792" s="695">
        <v>1</v>
      </c>
      <c r="K792" s="777">
        <f t="shared" si="141"/>
        <v>1.4204545454545454E-2</v>
      </c>
      <c r="L792" s="968">
        <v>10000</v>
      </c>
      <c r="M792" s="503">
        <f t="shared" si="132"/>
        <v>17</v>
      </c>
      <c r="N792" s="504">
        <v>0.71180555555555547</v>
      </c>
      <c r="O792" s="719">
        <f t="shared" si="133"/>
        <v>0.71180555555555547</v>
      </c>
      <c r="P792" s="564">
        <v>0.71388888888888891</v>
      </c>
      <c r="Q792" s="564">
        <f t="shared" si="140"/>
        <v>2.083333333333437E-3</v>
      </c>
      <c r="R792" s="965" t="s">
        <v>1520</v>
      </c>
      <c r="S792" s="487" t="s">
        <v>41</v>
      </c>
      <c r="U792" s="29" t="str">
        <f t="shared" si="134"/>
        <v>RandallF0</v>
      </c>
      <c r="V792" s="29" t="str">
        <f t="shared" si="135"/>
        <v>1999F0</v>
      </c>
      <c r="W792" s="80">
        <v>20</v>
      </c>
      <c r="X792" s="32">
        <v>1</v>
      </c>
      <c r="Y792" s="467">
        <v>0.01</v>
      </c>
      <c r="Z792" s="80"/>
      <c r="AA792" s="29" t="str">
        <f t="shared" si="136"/>
        <v>F020</v>
      </c>
      <c r="AB792" s="29" t="str">
        <f t="shared" si="137"/>
        <v>F01</v>
      </c>
      <c r="AC792" s="29" t="str">
        <f t="shared" si="138"/>
        <v>F00.01</v>
      </c>
      <c r="AD792" s="29" t="str">
        <f t="shared" si="139"/>
        <v>F017</v>
      </c>
      <c r="AE792" s="443"/>
      <c r="AF792" s="443"/>
      <c r="AG792" s="443"/>
      <c r="AH792" s="443"/>
    </row>
    <row r="793" spans="1:34" ht="16.5">
      <c r="A793" s="728">
        <f t="shared" si="142"/>
        <v>786</v>
      </c>
      <c r="B793" s="563">
        <v>8</v>
      </c>
      <c r="C793" s="694">
        <v>36305</v>
      </c>
      <c r="D793" s="694" t="s">
        <v>148</v>
      </c>
      <c r="E793" s="695">
        <v>25</v>
      </c>
      <c r="F793" s="503">
        <v>1999</v>
      </c>
      <c r="G793" s="563" t="s">
        <v>118</v>
      </c>
      <c r="H793" s="503" t="s">
        <v>122</v>
      </c>
      <c r="I793" s="695">
        <v>25</v>
      </c>
      <c r="J793" s="695">
        <v>0.1</v>
      </c>
      <c r="K793" s="777">
        <f t="shared" si="141"/>
        <v>1.4204545454545455E-3</v>
      </c>
      <c r="L793" s="968">
        <v>40000</v>
      </c>
      <c r="M793" s="503">
        <f t="shared" si="132"/>
        <v>19</v>
      </c>
      <c r="N793" s="504">
        <v>0.82986111111111116</v>
      </c>
      <c r="O793" s="719">
        <f t="shared" si="133"/>
        <v>0.82986111111111116</v>
      </c>
      <c r="P793" s="564">
        <v>0.83125000000000004</v>
      </c>
      <c r="Q793" s="564">
        <f t="shared" si="140"/>
        <v>1.388888888888884E-3</v>
      </c>
      <c r="R793" s="965" t="s">
        <v>1520</v>
      </c>
      <c r="S793" s="487" t="s">
        <v>395</v>
      </c>
      <c r="U793" s="29" t="str">
        <f t="shared" si="134"/>
        <v>RandallF0</v>
      </c>
      <c r="V793" s="29" t="str">
        <f t="shared" si="135"/>
        <v>1999F0</v>
      </c>
      <c r="W793" s="80">
        <v>20</v>
      </c>
      <c r="X793" s="32">
        <v>0.1</v>
      </c>
      <c r="Y793" s="467">
        <v>1E-3</v>
      </c>
      <c r="Z793" s="80"/>
      <c r="AA793" s="29" t="str">
        <f t="shared" si="136"/>
        <v>F020</v>
      </c>
      <c r="AB793" s="29" t="str">
        <f t="shared" si="137"/>
        <v>F00.1</v>
      </c>
      <c r="AC793" s="29" t="str">
        <f t="shared" si="138"/>
        <v>F00.001</v>
      </c>
      <c r="AD793" s="29" t="str">
        <f t="shared" si="139"/>
        <v>F019</v>
      </c>
      <c r="AE793" s="443"/>
      <c r="AF793" s="443"/>
      <c r="AG793" s="443"/>
      <c r="AH793" s="443"/>
    </row>
    <row r="794" spans="1:34" ht="54.95" customHeight="1">
      <c r="A794" s="728">
        <f t="shared" si="142"/>
        <v>787</v>
      </c>
      <c r="B794" s="563">
        <v>9</v>
      </c>
      <c r="C794" s="694">
        <v>36313</v>
      </c>
      <c r="D794" s="694" t="s">
        <v>149</v>
      </c>
      <c r="E794" s="695">
        <v>2</v>
      </c>
      <c r="F794" s="503">
        <v>1999</v>
      </c>
      <c r="G794" s="563" t="s">
        <v>110</v>
      </c>
      <c r="H794" s="503" t="s">
        <v>122</v>
      </c>
      <c r="I794" s="695">
        <v>25</v>
      </c>
      <c r="J794" s="695">
        <v>0.1</v>
      </c>
      <c r="K794" s="777">
        <f t="shared" si="141"/>
        <v>1.4204545454545455E-3</v>
      </c>
      <c r="L794" s="968">
        <v>0</v>
      </c>
      <c r="M794" s="503">
        <f t="shared" si="132"/>
        <v>19</v>
      </c>
      <c r="N794" s="504">
        <v>0.81111111111111101</v>
      </c>
      <c r="O794" s="719">
        <f t="shared" si="133"/>
        <v>0.81111111111111101</v>
      </c>
      <c r="P794" s="564">
        <v>0.81111111111111101</v>
      </c>
      <c r="Q794" s="564">
        <f t="shared" si="140"/>
        <v>0</v>
      </c>
      <c r="R794" s="965" t="s">
        <v>1520</v>
      </c>
      <c r="S794" s="487" t="s">
        <v>1420</v>
      </c>
      <c r="T794" s="29"/>
      <c r="U794" s="29" t="str">
        <f t="shared" si="134"/>
        <v>RobertsF0</v>
      </c>
      <c r="V794" s="29" t="str">
        <f t="shared" si="135"/>
        <v>1999F0</v>
      </c>
      <c r="W794" s="80">
        <v>20</v>
      </c>
      <c r="X794" s="32">
        <v>0.1</v>
      </c>
      <c r="Y794" s="467">
        <v>1E-3</v>
      </c>
      <c r="Z794" s="80"/>
      <c r="AA794" s="29" t="str">
        <f t="shared" si="136"/>
        <v>F020</v>
      </c>
      <c r="AB794" s="29" t="str">
        <f t="shared" si="137"/>
        <v>F00.1</v>
      </c>
      <c r="AC794" s="29" t="str">
        <f t="shared" si="138"/>
        <v>F00.001</v>
      </c>
      <c r="AD794" s="29" t="str">
        <f t="shared" si="139"/>
        <v>F019</v>
      </c>
      <c r="AE794" s="443"/>
      <c r="AF794" s="443"/>
      <c r="AG794" s="443"/>
      <c r="AH794" s="443"/>
    </row>
    <row r="795" spans="1:34" ht="16.5">
      <c r="A795" s="728">
        <f t="shared" si="142"/>
        <v>788</v>
      </c>
      <c r="B795" s="563">
        <v>10</v>
      </c>
      <c r="C795" s="694">
        <v>36315</v>
      </c>
      <c r="D795" s="694" t="s">
        <v>149</v>
      </c>
      <c r="E795" s="695">
        <v>4</v>
      </c>
      <c r="F795" s="503">
        <v>1999</v>
      </c>
      <c r="G795" s="563" t="s">
        <v>100</v>
      </c>
      <c r="H795" s="503" t="s">
        <v>122</v>
      </c>
      <c r="I795" s="695">
        <v>15</v>
      </c>
      <c r="J795" s="695">
        <v>0.1</v>
      </c>
      <c r="K795" s="777">
        <f t="shared" si="141"/>
        <v>8.5227272727272723E-4</v>
      </c>
      <c r="L795" s="968">
        <v>0</v>
      </c>
      <c r="M795" s="503">
        <f t="shared" si="132"/>
        <v>20</v>
      </c>
      <c r="N795" s="504">
        <v>0.85902777777777783</v>
      </c>
      <c r="O795" s="719">
        <f t="shared" si="133"/>
        <v>0.85902777777777783</v>
      </c>
      <c r="P795" s="564">
        <v>0.86041666666666661</v>
      </c>
      <c r="Q795" s="564">
        <f t="shared" si="140"/>
        <v>1.3888888888887729E-3</v>
      </c>
      <c r="R795" s="965" t="s">
        <v>1520</v>
      </c>
      <c r="S795" s="487" t="s">
        <v>222</v>
      </c>
      <c r="T795" s="29"/>
      <c r="U795" s="29" t="str">
        <f t="shared" si="134"/>
        <v>TexasF0</v>
      </c>
      <c r="V795" s="29" t="str">
        <f t="shared" si="135"/>
        <v>1999F0</v>
      </c>
      <c r="W795" s="80">
        <v>10</v>
      </c>
      <c r="X795" s="32">
        <v>0.1</v>
      </c>
      <c r="Y795" s="467">
        <v>5.0000000000000001E-4</v>
      </c>
      <c r="Z795" s="80"/>
      <c r="AA795" s="29" t="str">
        <f t="shared" si="136"/>
        <v>F010</v>
      </c>
      <c r="AB795" s="29" t="str">
        <f t="shared" si="137"/>
        <v>F00.1</v>
      </c>
      <c r="AC795" s="29" t="str">
        <f t="shared" si="138"/>
        <v>F00.0005</v>
      </c>
      <c r="AD795" s="29" t="str">
        <f t="shared" si="139"/>
        <v>F020</v>
      </c>
      <c r="AE795" s="443"/>
      <c r="AF795" s="443"/>
      <c r="AG795" s="443"/>
      <c r="AH795" s="443"/>
    </row>
    <row r="796" spans="1:34" ht="16.5">
      <c r="A796" s="728">
        <f t="shared" si="142"/>
        <v>789</v>
      </c>
      <c r="B796" s="563">
        <v>11</v>
      </c>
      <c r="C796" s="694">
        <v>36335</v>
      </c>
      <c r="D796" s="694" t="s">
        <v>149</v>
      </c>
      <c r="E796" s="695">
        <v>24</v>
      </c>
      <c r="F796" s="503">
        <v>1999</v>
      </c>
      <c r="G796" s="563" t="s">
        <v>109</v>
      </c>
      <c r="H796" s="503" t="s">
        <v>122</v>
      </c>
      <c r="I796" s="695">
        <v>25</v>
      </c>
      <c r="J796" s="695">
        <v>0.1</v>
      </c>
      <c r="K796" s="777">
        <f t="shared" si="141"/>
        <v>1.4204545454545455E-3</v>
      </c>
      <c r="L796" s="968">
        <v>0</v>
      </c>
      <c r="M796" s="503">
        <f t="shared" si="132"/>
        <v>15</v>
      </c>
      <c r="N796" s="504">
        <v>0.66388888888888886</v>
      </c>
      <c r="O796" s="719">
        <f t="shared" si="133"/>
        <v>0.66388888888888886</v>
      </c>
      <c r="P796" s="564">
        <v>0.6645833333333333</v>
      </c>
      <c r="Q796" s="564">
        <f t="shared" si="140"/>
        <v>6.9444444444444198E-4</v>
      </c>
      <c r="R796" s="965" t="s">
        <v>1520</v>
      </c>
      <c r="S796" s="487" t="s">
        <v>351</v>
      </c>
      <c r="T796" s="29"/>
      <c r="U796" s="29" t="str">
        <f t="shared" si="134"/>
        <v>HutchinsonF0</v>
      </c>
      <c r="V796" s="29" t="str">
        <f t="shared" si="135"/>
        <v>1999F0</v>
      </c>
      <c r="W796" s="80">
        <v>20</v>
      </c>
      <c r="X796" s="32">
        <v>0.1</v>
      </c>
      <c r="Y796" s="467">
        <v>1E-3</v>
      </c>
      <c r="Z796" s="80"/>
      <c r="AA796" s="29" t="str">
        <f t="shared" si="136"/>
        <v>F020</v>
      </c>
      <c r="AB796" s="29" t="str">
        <f t="shared" si="137"/>
        <v>F00.1</v>
      </c>
      <c r="AC796" s="29" t="str">
        <f t="shared" si="138"/>
        <v>F00.001</v>
      </c>
      <c r="AD796" s="29" t="str">
        <f t="shared" si="139"/>
        <v>F015</v>
      </c>
      <c r="AE796" s="443"/>
      <c r="AF796" s="443"/>
      <c r="AG796" s="443"/>
      <c r="AH796" s="443"/>
    </row>
    <row r="797" spans="1:34" ht="16.5">
      <c r="A797" s="728">
        <f t="shared" si="142"/>
        <v>790</v>
      </c>
      <c r="B797" s="563">
        <v>12</v>
      </c>
      <c r="C797" s="694">
        <v>36335</v>
      </c>
      <c r="D797" s="694" t="s">
        <v>149</v>
      </c>
      <c r="E797" s="695">
        <v>24</v>
      </c>
      <c r="F797" s="503">
        <v>1999</v>
      </c>
      <c r="G797" s="563" t="s">
        <v>113</v>
      </c>
      <c r="H797" s="503" t="s">
        <v>122</v>
      </c>
      <c r="I797" s="695">
        <v>50</v>
      </c>
      <c r="J797" s="695">
        <v>0.2</v>
      </c>
      <c r="K797" s="777">
        <f t="shared" si="141"/>
        <v>5.681818181818182E-3</v>
      </c>
      <c r="L797" s="968">
        <v>0</v>
      </c>
      <c r="M797" s="503">
        <f t="shared" si="132"/>
        <v>18</v>
      </c>
      <c r="N797" s="504">
        <v>0.75</v>
      </c>
      <c r="O797" s="719">
        <f t="shared" si="133"/>
        <v>0.75</v>
      </c>
      <c r="P797" s="564">
        <v>0.75694444444444453</v>
      </c>
      <c r="Q797" s="564">
        <f t="shared" si="140"/>
        <v>6.9444444444445308E-3</v>
      </c>
      <c r="R797" s="965" t="s">
        <v>1520</v>
      </c>
      <c r="S797" s="487" t="s">
        <v>387</v>
      </c>
      <c r="T797" s="29"/>
      <c r="U797" s="29" t="str">
        <f t="shared" si="134"/>
        <v>PotterF0</v>
      </c>
      <c r="V797" s="29" t="str">
        <f t="shared" si="135"/>
        <v>1999F0</v>
      </c>
      <c r="W797" s="80">
        <v>50</v>
      </c>
      <c r="X797" s="32">
        <v>0.2</v>
      </c>
      <c r="Y797" s="467">
        <v>5.0000000000000001E-3</v>
      </c>
      <c r="Z797" s="80"/>
      <c r="AA797" s="29" t="str">
        <f t="shared" si="136"/>
        <v>F050</v>
      </c>
      <c r="AB797" s="29" t="str">
        <f t="shared" si="137"/>
        <v>F00.2</v>
      </c>
      <c r="AC797" s="29" t="str">
        <f t="shared" si="138"/>
        <v>F00.005</v>
      </c>
      <c r="AD797" s="29" t="str">
        <f t="shared" si="139"/>
        <v>F018</v>
      </c>
      <c r="AE797" s="443"/>
      <c r="AF797" s="443"/>
      <c r="AG797" s="443"/>
      <c r="AH797" s="443"/>
    </row>
    <row r="798" spans="1:34" ht="16.5">
      <c r="A798" s="728">
        <f t="shared" si="142"/>
        <v>791</v>
      </c>
      <c r="B798" s="563">
        <v>13</v>
      </c>
      <c r="C798" s="694">
        <v>36340</v>
      </c>
      <c r="D798" s="694" t="s">
        <v>149</v>
      </c>
      <c r="E798" s="695">
        <v>29</v>
      </c>
      <c r="F798" s="503">
        <v>1999</v>
      </c>
      <c r="G798" s="563" t="s">
        <v>100</v>
      </c>
      <c r="H798" s="503" t="s">
        <v>122</v>
      </c>
      <c r="I798" s="695">
        <v>25</v>
      </c>
      <c r="J798" s="695">
        <v>0.1</v>
      </c>
      <c r="K798" s="777">
        <f t="shared" si="141"/>
        <v>1.4204545454545455E-3</v>
      </c>
      <c r="L798" s="968">
        <v>0</v>
      </c>
      <c r="M798" s="503">
        <f t="shared" ref="M798:M861" si="143">HOUR(O798)</f>
        <v>15</v>
      </c>
      <c r="N798" s="504">
        <v>0.65555555555555556</v>
      </c>
      <c r="O798" s="719">
        <f t="shared" si="133"/>
        <v>0.65555555555555556</v>
      </c>
      <c r="P798" s="564">
        <v>0.65625</v>
      </c>
      <c r="Q798" s="564">
        <f t="shared" si="140"/>
        <v>6.9444444444444198E-4</v>
      </c>
      <c r="R798" s="965" t="s">
        <v>1520</v>
      </c>
      <c r="S798" s="487" t="s">
        <v>223</v>
      </c>
      <c r="T798" s="29"/>
      <c r="U798" s="29" t="str">
        <f t="shared" si="134"/>
        <v>TexasF0</v>
      </c>
      <c r="V798" s="29" t="str">
        <f t="shared" si="135"/>
        <v>1999F0</v>
      </c>
      <c r="W798" s="80">
        <v>20</v>
      </c>
      <c r="X798" s="32">
        <v>0.1</v>
      </c>
      <c r="Y798" s="467">
        <v>1E-3</v>
      </c>
      <c r="Z798" s="80"/>
      <c r="AA798" s="29" t="str">
        <f t="shared" si="136"/>
        <v>F020</v>
      </c>
      <c r="AB798" s="29" t="str">
        <f t="shared" si="137"/>
        <v>F00.1</v>
      </c>
      <c r="AC798" s="29" t="str">
        <f t="shared" si="138"/>
        <v>F00.001</v>
      </c>
      <c r="AD798" s="29" t="str">
        <f t="shared" si="139"/>
        <v>F015</v>
      </c>
      <c r="AE798" s="443"/>
      <c r="AF798" s="443"/>
      <c r="AG798" s="443"/>
      <c r="AH798" s="443"/>
    </row>
    <row r="799" spans="1:34" ht="16.5">
      <c r="A799" s="728">
        <f t="shared" si="142"/>
        <v>792</v>
      </c>
      <c r="B799" s="563">
        <v>14</v>
      </c>
      <c r="C799" s="694">
        <v>36340</v>
      </c>
      <c r="D799" s="694" t="s">
        <v>149</v>
      </c>
      <c r="E799" s="695">
        <v>29</v>
      </c>
      <c r="F799" s="503">
        <v>1999</v>
      </c>
      <c r="G799" s="563" t="s">
        <v>100</v>
      </c>
      <c r="H799" s="503" t="s">
        <v>122</v>
      </c>
      <c r="I799" s="695">
        <v>25</v>
      </c>
      <c r="J799" s="695">
        <v>0.1</v>
      </c>
      <c r="K799" s="777">
        <f t="shared" si="141"/>
        <v>1.4204545454545455E-3</v>
      </c>
      <c r="L799" s="968">
        <v>0</v>
      </c>
      <c r="M799" s="503">
        <f t="shared" si="143"/>
        <v>16</v>
      </c>
      <c r="N799" s="504">
        <v>0.69097222222222221</v>
      </c>
      <c r="O799" s="719">
        <f t="shared" si="133"/>
        <v>0.69097222222222221</v>
      </c>
      <c r="P799" s="564">
        <v>0.69166666666666676</v>
      </c>
      <c r="Q799" s="564">
        <f t="shared" si="140"/>
        <v>6.94444444444553E-4</v>
      </c>
      <c r="R799" s="965" t="s">
        <v>1520</v>
      </c>
      <c r="S799" s="487" t="s">
        <v>224</v>
      </c>
      <c r="T799" s="29"/>
      <c r="U799" s="29" t="str">
        <f t="shared" si="134"/>
        <v>TexasF0</v>
      </c>
      <c r="V799" s="29" t="str">
        <f t="shared" si="135"/>
        <v>1999F0</v>
      </c>
      <c r="W799" s="80">
        <v>20</v>
      </c>
      <c r="X799" s="32">
        <v>0.1</v>
      </c>
      <c r="Y799" s="467">
        <v>1E-3</v>
      </c>
      <c r="Z799" s="80"/>
      <c r="AA799" s="29" t="str">
        <f t="shared" si="136"/>
        <v>F020</v>
      </c>
      <c r="AB799" s="29" t="str">
        <f t="shared" si="137"/>
        <v>F00.1</v>
      </c>
      <c r="AC799" s="29" t="str">
        <f t="shared" si="138"/>
        <v>F00.001</v>
      </c>
      <c r="AD799" s="29" t="str">
        <f t="shared" si="139"/>
        <v>F016</v>
      </c>
      <c r="AE799" s="443"/>
      <c r="AF799" s="443"/>
      <c r="AG799" s="443"/>
      <c r="AH799" s="443"/>
    </row>
    <row r="800" spans="1:34" ht="54.95" customHeight="1">
      <c r="A800" s="728">
        <f t="shared" si="142"/>
        <v>793</v>
      </c>
      <c r="B800" s="563">
        <v>15</v>
      </c>
      <c r="C800" s="694">
        <v>36340</v>
      </c>
      <c r="D800" s="694" t="s">
        <v>149</v>
      </c>
      <c r="E800" s="695">
        <v>29</v>
      </c>
      <c r="F800" s="503">
        <v>1999</v>
      </c>
      <c r="G800" s="563" t="s">
        <v>104</v>
      </c>
      <c r="H800" s="503" t="s">
        <v>122</v>
      </c>
      <c r="I800" s="695">
        <v>25</v>
      </c>
      <c r="J800" s="695">
        <v>0.1</v>
      </c>
      <c r="K800" s="777">
        <f t="shared" si="141"/>
        <v>1.4204545454545455E-3</v>
      </c>
      <c r="L800" s="968">
        <v>0</v>
      </c>
      <c r="M800" s="503">
        <f t="shared" si="143"/>
        <v>18</v>
      </c>
      <c r="N800" s="504">
        <v>0.75347222222222221</v>
      </c>
      <c r="O800" s="719">
        <f t="shared" si="133"/>
        <v>0.75347222222222221</v>
      </c>
      <c r="P800" s="564">
        <v>0.75416666666666676</v>
      </c>
      <c r="Q800" s="564">
        <f t="shared" si="140"/>
        <v>6.94444444444553E-4</v>
      </c>
      <c r="R800" s="965" t="s">
        <v>1520</v>
      </c>
      <c r="S800" s="487" t="s">
        <v>441</v>
      </c>
      <c r="T800" s="29"/>
      <c r="U800" s="29" t="str">
        <f t="shared" si="134"/>
        <v>HansfordF0</v>
      </c>
      <c r="V800" s="29" t="str">
        <f t="shared" si="135"/>
        <v>1999F0</v>
      </c>
      <c r="W800" s="80">
        <v>20</v>
      </c>
      <c r="X800" s="32">
        <v>0.1</v>
      </c>
      <c r="Y800" s="467">
        <v>1E-3</v>
      </c>
      <c r="Z800" s="80"/>
      <c r="AA800" s="29" t="str">
        <f t="shared" si="136"/>
        <v>F020</v>
      </c>
      <c r="AB800" s="29" t="str">
        <f t="shared" si="137"/>
        <v>F00.1</v>
      </c>
      <c r="AC800" s="29" t="str">
        <f t="shared" si="138"/>
        <v>F00.001</v>
      </c>
      <c r="AD800" s="29" t="str">
        <f t="shared" si="139"/>
        <v>F018</v>
      </c>
      <c r="AE800" s="443"/>
      <c r="AF800" s="443"/>
      <c r="AG800" s="443"/>
      <c r="AH800" s="443"/>
    </row>
    <row r="801" spans="1:34" ht="16.5">
      <c r="A801" s="728">
        <f t="shared" si="142"/>
        <v>794</v>
      </c>
      <c r="B801" s="563">
        <v>16</v>
      </c>
      <c r="C801" s="694">
        <v>36340</v>
      </c>
      <c r="D801" s="694" t="s">
        <v>149</v>
      </c>
      <c r="E801" s="695">
        <v>29</v>
      </c>
      <c r="F801" s="503">
        <v>1999</v>
      </c>
      <c r="G801" s="563" t="s">
        <v>104</v>
      </c>
      <c r="H801" s="503" t="s">
        <v>122</v>
      </c>
      <c r="I801" s="695">
        <v>50</v>
      </c>
      <c r="J801" s="695">
        <v>1</v>
      </c>
      <c r="K801" s="777">
        <f t="shared" si="141"/>
        <v>2.8409090909090908E-2</v>
      </c>
      <c r="L801" s="968">
        <v>0</v>
      </c>
      <c r="M801" s="503">
        <f t="shared" si="143"/>
        <v>18</v>
      </c>
      <c r="N801" s="504">
        <v>0.7583333333333333</v>
      </c>
      <c r="O801" s="719">
        <f t="shared" si="133"/>
        <v>0.7583333333333333</v>
      </c>
      <c r="P801" s="564">
        <v>0.76388888888888884</v>
      </c>
      <c r="Q801" s="564">
        <f t="shared" si="140"/>
        <v>5.5555555555555358E-3</v>
      </c>
      <c r="R801" s="965" t="s">
        <v>1520</v>
      </c>
      <c r="S801" s="487" t="s">
        <v>330</v>
      </c>
      <c r="T801" s="29"/>
      <c r="U801" s="29" t="str">
        <f t="shared" si="134"/>
        <v>HansfordF0</v>
      </c>
      <c r="V801" s="29" t="str">
        <f t="shared" si="135"/>
        <v>1999F0</v>
      </c>
      <c r="W801" s="80">
        <v>50</v>
      </c>
      <c r="X801" s="32">
        <v>1</v>
      </c>
      <c r="Y801" s="467">
        <v>0.02</v>
      </c>
      <c r="Z801" s="80"/>
      <c r="AA801" s="29" t="str">
        <f t="shared" si="136"/>
        <v>F050</v>
      </c>
      <c r="AB801" s="29" t="str">
        <f t="shared" si="137"/>
        <v>F01</v>
      </c>
      <c r="AC801" s="29" t="str">
        <f t="shared" si="138"/>
        <v>F00.02</v>
      </c>
      <c r="AD801" s="29" t="str">
        <f t="shared" si="139"/>
        <v>F018</v>
      </c>
      <c r="AE801" s="443"/>
      <c r="AF801" s="443"/>
      <c r="AG801" s="443"/>
      <c r="AH801" s="443"/>
    </row>
    <row r="802" spans="1:34" ht="16.5">
      <c r="A802" s="728">
        <f t="shared" si="142"/>
        <v>795</v>
      </c>
      <c r="B802" s="563">
        <v>17</v>
      </c>
      <c r="C802" s="694">
        <v>36340</v>
      </c>
      <c r="D802" s="694" t="s">
        <v>149</v>
      </c>
      <c r="E802" s="695">
        <v>29</v>
      </c>
      <c r="F802" s="503">
        <v>1999</v>
      </c>
      <c r="G802" s="563" t="s">
        <v>104</v>
      </c>
      <c r="H802" s="503" t="s">
        <v>122</v>
      </c>
      <c r="I802" s="695">
        <v>25</v>
      </c>
      <c r="J802" s="695">
        <v>0.1</v>
      </c>
      <c r="K802" s="777">
        <f t="shared" si="141"/>
        <v>1.4204545454545455E-3</v>
      </c>
      <c r="L802" s="968">
        <v>0</v>
      </c>
      <c r="M802" s="503">
        <f t="shared" si="143"/>
        <v>18</v>
      </c>
      <c r="N802" s="504">
        <v>0.76458333333333339</v>
      </c>
      <c r="O802" s="719">
        <f t="shared" si="133"/>
        <v>0.76458333333333339</v>
      </c>
      <c r="P802" s="564">
        <v>0.76527777777777783</v>
      </c>
      <c r="Q802" s="564">
        <f t="shared" si="140"/>
        <v>6.9444444444444198E-4</v>
      </c>
      <c r="R802" s="965" t="s">
        <v>1520</v>
      </c>
      <c r="S802" s="487" t="s">
        <v>331</v>
      </c>
      <c r="T802" s="29"/>
      <c r="U802" s="29" t="str">
        <f t="shared" si="134"/>
        <v>HansfordF0</v>
      </c>
      <c r="V802" s="29" t="str">
        <f t="shared" si="135"/>
        <v>1999F0</v>
      </c>
      <c r="W802" s="80">
        <v>20</v>
      </c>
      <c r="X802" s="32">
        <v>0.1</v>
      </c>
      <c r="Y802" s="467">
        <v>1E-3</v>
      </c>
      <c r="Z802" s="80"/>
      <c r="AA802" s="29" t="str">
        <f t="shared" si="136"/>
        <v>F020</v>
      </c>
      <c r="AB802" s="29" t="str">
        <f t="shared" si="137"/>
        <v>F00.1</v>
      </c>
      <c r="AC802" s="29" t="str">
        <f t="shared" si="138"/>
        <v>F00.001</v>
      </c>
      <c r="AD802" s="29" t="str">
        <f t="shared" si="139"/>
        <v>F018</v>
      </c>
      <c r="AE802" s="443"/>
      <c r="AF802" s="443"/>
      <c r="AG802" s="443"/>
      <c r="AH802" s="443"/>
    </row>
    <row r="803" spans="1:34" ht="16.5">
      <c r="A803" s="728">
        <f t="shared" si="142"/>
        <v>796</v>
      </c>
      <c r="B803" s="563">
        <v>18</v>
      </c>
      <c r="C803" s="694">
        <v>36340</v>
      </c>
      <c r="D803" s="694" t="s">
        <v>149</v>
      </c>
      <c r="E803" s="695">
        <v>29</v>
      </c>
      <c r="F803" s="503">
        <v>1999</v>
      </c>
      <c r="G803" s="563" t="s">
        <v>104</v>
      </c>
      <c r="H803" s="503" t="s">
        <v>122</v>
      </c>
      <c r="I803" s="695">
        <v>25</v>
      </c>
      <c r="J803" s="695">
        <v>0.1</v>
      </c>
      <c r="K803" s="777">
        <f t="shared" si="141"/>
        <v>1.4204545454545455E-3</v>
      </c>
      <c r="L803" s="968">
        <v>0</v>
      </c>
      <c r="M803" s="503">
        <f t="shared" si="143"/>
        <v>18</v>
      </c>
      <c r="N803" s="504">
        <v>0.77708333333333324</v>
      </c>
      <c r="O803" s="719">
        <f t="shared" si="133"/>
        <v>0.77708333333333324</v>
      </c>
      <c r="P803" s="564">
        <v>0.77847222222222223</v>
      </c>
      <c r="Q803" s="564">
        <f t="shared" si="140"/>
        <v>1.388888888888995E-3</v>
      </c>
      <c r="R803" s="965" t="s">
        <v>1520</v>
      </c>
      <c r="S803" s="487" t="s">
        <v>332</v>
      </c>
      <c r="T803" s="29"/>
      <c r="U803" s="29" t="str">
        <f t="shared" si="134"/>
        <v>HansfordF0</v>
      </c>
      <c r="V803" s="29" t="str">
        <f t="shared" si="135"/>
        <v>1999F0</v>
      </c>
      <c r="W803" s="80">
        <v>20</v>
      </c>
      <c r="X803" s="32">
        <v>0.1</v>
      </c>
      <c r="Y803" s="467">
        <v>1E-3</v>
      </c>
      <c r="Z803" s="80"/>
      <c r="AA803" s="29" t="str">
        <f t="shared" si="136"/>
        <v>F020</v>
      </c>
      <c r="AB803" s="29" t="str">
        <f t="shared" si="137"/>
        <v>F00.1</v>
      </c>
      <c r="AC803" s="29" t="str">
        <f t="shared" si="138"/>
        <v>F00.001</v>
      </c>
      <c r="AD803" s="29" t="str">
        <f t="shared" si="139"/>
        <v>F018</v>
      </c>
      <c r="AE803" s="443"/>
      <c r="AF803" s="443"/>
      <c r="AG803" s="443"/>
      <c r="AH803" s="443"/>
    </row>
    <row r="804" spans="1:34" ht="16.5">
      <c r="A804" s="728">
        <f t="shared" si="142"/>
        <v>797</v>
      </c>
      <c r="B804" s="563">
        <v>19</v>
      </c>
      <c r="C804" s="694">
        <v>36340</v>
      </c>
      <c r="D804" s="694" t="s">
        <v>149</v>
      </c>
      <c r="E804" s="695">
        <v>29</v>
      </c>
      <c r="F804" s="503">
        <v>1999</v>
      </c>
      <c r="G804" s="563" t="s">
        <v>114</v>
      </c>
      <c r="H804" s="503" t="s">
        <v>122</v>
      </c>
      <c r="I804" s="695">
        <v>25</v>
      </c>
      <c r="J804" s="695">
        <v>0.1</v>
      </c>
      <c r="K804" s="777">
        <f t="shared" si="141"/>
        <v>1.4204545454545455E-3</v>
      </c>
      <c r="L804" s="968">
        <v>0</v>
      </c>
      <c r="M804" s="503">
        <f t="shared" si="143"/>
        <v>18</v>
      </c>
      <c r="N804" s="504">
        <v>0.77916666666666667</v>
      </c>
      <c r="O804" s="719">
        <f t="shared" si="133"/>
        <v>0.77916666666666667</v>
      </c>
      <c r="P804" s="564">
        <v>0.78125</v>
      </c>
      <c r="Q804" s="564">
        <f t="shared" si="140"/>
        <v>2.0833333333333259E-3</v>
      </c>
      <c r="R804" s="965" t="s">
        <v>1520</v>
      </c>
      <c r="S804" s="487" t="s">
        <v>262</v>
      </c>
      <c r="T804" s="29"/>
      <c r="U804" s="29" t="str">
        <f t="shared" si="134"/>
        <v>CarsonF0</v>
      </c>
      <c r="V804" s="29" t="str">
        <f t="shared" si="135"/>
        <v>1999F0</v>
      </c>
      <c r="W804" s="80">
        <v>20</v>
      </c>
      <c r="X804" s="32">
        <v>0.1</v>
      </c>
      <c r="Y804" s="467">
        <v>1E-3</v>
      </c>
      <c r="Z804" s="80"/>
      <c r="AA804" s="29" t="str">
        <f t="shared" si="136"/>
        <v>F020</v>
      </c>
      <c r="AB804" s="29" t="str">
        <f t="shared" si="137"/>
        <v>F00.1</v>
      </c>
      <c r="AC804" s="29" t="str">
        <f t="shared" si="138"/>
        <v>F00.001</v>
      </c>
      <c r="AD804" s="29" t="str">
        <f t="shared" si="139"/>
        <v>F018</v>
      </c>
      <c r="AE804" s="443"/>
      <c r="AF804" s="443"/>
      <c r="AG804" s="443"/>
      <c r="AH804" s="443"/>
    </row>
    <row r="805" spans="1:34" ht="16.5">
      <c r="A805" s="728">
        <f t="shared" si="142"/>
        <v>798</v>
      </c>
      <c r="B805" s="563">
        <v>20</v>
      </c>
      <c r="C805" s="694">
        <v>36340</v>
      </c>
      <c r="D805" s="694" t="s">
        <v>149</v>
      </c>
      <c r="E805" s="695">
        <v>29</v>
      </c>
      <c r="F805" s="503">
        <v>1999</v>
      </c>
      <c r="G805" s="563" t="s">
        <v>104</v>
      </c>
      <c r="H805" s="503" t="s">
        <v>122</v>
      </c>
      <c r="I805" s="695">
        <v>25</v>
      </c>
      <c r="J805" s="695">
        <v>0.1</v>
      </c>
      <c r="K805" s="777">
        <f t="shared" si="141"/>
        <v>1.4204545454545455E-3</v>
      </c>
      <c r="L805" s="968">
        <v>10000</v>
      </c>
      <c r="M805" s="503">
        <f t="shared" si="143"/>
        <v>18</v>
      </c>
      <c r="N805" s="504">
        <v>0.78472222222222221</v>
      </c>
      <c r="O805" s="719">
        <f t="shared" si="133"/>
        <v>0.78472222222222221</v>
      </c>
      <c r="P805" s="564">
        <v>0.78611111111111109</v>
      </c>
      <c r="Q805" s="564">
        <f t="shared" si="140"/>
        <v>1.388888888888884E-3</v>
      </c>
      <c r="R805" s="965" t="s">
        <v>1520</v>
      </c>
      <c r="S805" s="487" t="s">
        <v>333</v>
      </c>
      <c r="T805" s="29"/>
      <c r="U805" s="29" t="str">
        <f t="shared" si="134"/>
        <v>HansfordF0</v>
      </c>
      <c r="V805" s="29" t="str">
        <f t="shared" si="135"/>
        <v>1999F0</v>
      </c>
      <c r="W805" s="80">
        <v>20</v>
      </c>
      <c r="X805" s="32">
        <v>0.1</v>
      </c>
      <c r="Y805" s="467">
        <v>1E-3</v>
      </c>
      <c r="Z805" s="80"/>
      <c r="AA805" s="29" t="str">
        <f t="shared" si="136"/>
        <v>F020</v>
      </c>
      <c r="AB805" s="29" t="str">
        <f t="shared" si="137"/>
        <v>F00.1</v>
      </c>
      <c r="AC805" s="29" t="str">
        <f t="shared" si="138"/>
        <v>F00.001</v>
      </c>
      <c r="AD805" s="29" t="str">
        <f t="shared" si="139"/>
        <v>F018</v>
      </c>
      <c r="AE805" s="443"/>
      <c r="AF805" s="443"/>
      <c r="AG805" s="443"/>
      <c r="AH805" s="443"/>
    </row>
    <row r="806" spans="1:34" ht="16.5">
      <c r="A806" s="728">
        <f t="shared" si="142"/>
        <v>799</v>
      </c>
      <c r="B806" s="563">
        <v>21</v>
      </c>
      <c r="C806" s="694">
        <v>36340</v>
      </c>
      <c r="D806" s="694" t="s">
        <v>149</v>
      </c>
      <c r="E806" s="695">
        <v>29</v>
      </c>
      <c r="F806" s="503">
        <v>1999</v>
      </c>
      <c r="G806" s="563" t="s">
        <v>104</v>
      </c>
      <c r="H806" s="503" t="s">
        <v>122</v>
      </c>
      <c r="I806" s="695">
        <v>25</v>
      </c>
      <c r="J806" s="695">
        <v>0.1</v>
      </c>
      <c r="K806" s="777">
        <f t="shared" si="141"/>
        <v>1.4204545454545455E-3</v>
      </c>
      <c r="L806" s="968">
        <v>0</v>
      </c>
      <c r="M806" s="503">
        <f t="shared" si="143"/>
        <v>18</v>
      </c>
      <c r="N806" s="504">
        <v>0.78888888888888886</v>
      </c>
      <c r="O806" s="719">
        <f t="shared" si="133"/>
        <v>0.78888888888888886</v>
      </c>
      <c r="P806" s="564">
        <v>0.7909722222222223</v>
      </c>
      <c r="Q806" s="564">
        <f t="shared" si="140"/>
        <v>2.083333333333437E-3</v>
      </c>
      <c r="R806" s="965" t="s">
        <v>1520</v>
      </c>
      <c r="S806" s="487" t="s">
        <v>334</v>
      </c>
      <c r="T806" s="29"/>
      <c r="U806" s="29" t="str">
        <f t="shared" si="134"/>
        <v>HansfordF0</v>
      </c>
      <c r="V806" s="29" t="str">
        <f t="shared" si="135"/>
        <v>1999F0</v>
      </c>
      <c r="W806" s="80">
        <v>20</v>
      </c>
      <c r="X806" s="32">
        <v>0.1</v>
      </c>
      <c r="Y806" s="467">
        <v>1E-3</v>
      </c>
      <c r="Z806" s="80"/>
      <c r="AA806" s="29" t="str">
        <f t="shared" si="136"/>
        <v>F020</v>
      </c>
      <c r="AB806" s="29" t="str">
        <f t="shared" si="137"/>
        <v>F00.1</v>
      </c>
      <c r="AC806" s="29" t="str">
        <f t="shared" si="138"/>
        <v>F00.001</v>
      </c>
      <c r="AD806" s="29" t="str">
        <f t="shared" si="139"/>
        <v>F018</v>
      </c>
      <c r="AE806" s="443"/>
      <c r="AF806" s="443"/>
      <c r="AG806" s="443"/>
      <c r="AH806" s="443"/>
    </row>
    <row r="807" spans="1:34" ht="16.5">
      <c r="A807" s="728">
        <f t="shared" si="142"/>
        <v>800</v>
      </c>
      <c r="B807" s="563">
        <v>22</v>
      </c>
      <c r="C807" s="694">
        <v>36340</v>
      </c>
      <c r="D807" s="694" t="s">
        <v>149</v>
      </c>
      <c r="E807" s="695">
        <v>29</v>
      </c>
      <c r="F807" s="503">
        <v>1999</v>
      </c>
      <c r="G807" s="563" t="s">
        <v>114</v>
      </c>
      <c r="H807" s="503" t="s">
        <v>122</v>
      </c>
      <c r="I807" s="695">
        <v>50</v>
      </c>
      <c r="J807" s="695">
        <v>0.8</v>
      </c>
      <c r="K807" s="777">
        <f t="shared" si="141"/>
        <v>2.2727272727272728E-2</v>
      </c>
      <c r="L807" s="968">
        <v>0</v>
      </c>
      <c r="M807" s="503">
        <f t="shared" si="143"/>
        <v>18</v>
      </c>
      <c r="N807" s="504">
        <v>0.79027777777777775</v>
      </c>
      <c r="O807" s="719">
        <f t="shared" si="133"/>
        <v>0.79027777777777775</v>
      </c>
      <c r="P807" s="564">
        <v>0.79374999999999996</v>
      </c>
      <c r="Q807" s="564">
        <f t="shared" si="140"/>
        <v>3.4722222222222099E-3</v>
      </c>
      <c r="R807" s="965" t="s">
        <v>1520</v>
      </c>
      <c r="S807" s="487" t="s">
        <v>263</v>
      </c>
      <c r="T807" s="29"/>
      <c r="U807" s="29" t="str">
        <f t="shared" si="134"/>
        <v>CarsonF0</v>
      </c>
      <c r="V807" s="29" t="str">
        <f t="shared" si="135"/>
        <v>1999F0</v>
      </c>
      <c r="W807" s="80">
        <v>50</v>
      </c>
      <c r="X807" s="32">
        <v>0.5</v>
      </c>
      <c r="Y807" s="467">
        <v>0.02</v>
      </c>
      <c r="Z807" s="80"/>
      <c r="AA807" s="29" t="str">
        <f t="shared" si="136"/>
        <v>F050</v>
      </c>
      <c r="AB807" s="29" t="str">
        <f t="shared" si="137"/>
        <v>F00.5</v>
      </c>
      <c r="AC807" s="29" t="str">
        <f t="shared" si="138"/>
        <v>F00.02</v>
      </c>
      <c r="AD807" s="29" t="str">
        <f t="shared" si="139"/>
        <v>F018</v>
      </c>
      <c r="AE807" s="443"/>
      <c r="AF807" s="443"/>
      <c r="AG807" s="443"/>
      <c r="AH807" s="443"/>
    </row>
    <row r="808" spans="1:34" ht="16.5">
      <c r="A808" s="728">
        <f t="shared" si="142"/>
        <v>801</v>
      </c>
      <c r="B808" s="563">
        <v>23</v>
      </c>
      <c r="C808" s="694">
        <v>36340</v>
      </c>
      <c r="D808" s="694" t="s">
        <v>149</v>
      </c>
      <c r="E808" s="695">
        <v>29</v>
      </c>
      <c r="F808" s="503">
        <v>1999</v>
      </c>
      <c r="G808" s="563" t="s">
        <v>114</v>
      </c>
      <c r="H808" s="503" t="s">
        <v>122</v>
      </c>
      <c r="I808" s="695">
        <v>25</v>
      </c>
      <c r="J808" s="695">
        <v>0.3</v>
      </c>
      <c r="K808" s="777">
        <f t="shared" si="141"/>
        <v>4.261363636363636E-3</v>
      </c>
      <c r="L808" s="968">
        <v>0</v>
      </c>
      <c r="M808" s="503">
        <f t="shared" si="143"/>
        <v>19</v>
      </c>
      <c r="N808" s="504">
        <v>0.80069444444444438</v>
      </c>
      <c r="O808" s="719">
        <f t="shared" si="133"/>
        <v>0.80069444444444438</v>
      </c>
      <c r="P808" s="564">
        <v>0.80486111111111114</v>
      </c>
      <c r="Q808" s="564">
        <f t="shared" si="140"/>
        <v>4.1666666666667629E-3</v>
      </c>
      <c r="R808" s="965" t="s">
        <v>1520</v>
      </c>
      <c r="S808" s="487" t="s">
        <v>264</v>
      </c>
      <c r="T808" s="29"/>
      <c r="U808" s="29" t="str">
        <f t="shared" si="134"/>
        <v>CarsonF0</v>
      </c>
      <c r="V808" s="29" t="str">
        <f t="shared" si="135"/>
        <v>1999F0</v>
      </c>
      <c r="W808" s="80">
        <v>20</v>
      </c>
      <c r="X808" s="32">
        <v>0.2</v>
      </c>
      <c r="Y808" s="467">
        <v>2E-3</v>
      </c>
      <c r="Z808" s="80"/>
      <c r="AA808" s="29" t="str">
        <f t="shared" si="136"/>
        <v>F020</v>
      </c>
      <c r="AB808" s="29" t="str">
        <f t="shared" si="137"/>
        <v>F00.2</v>
      </c>
      <c r="AC808" s="29" t="str">
        <f t="shared" si="138"/>
        <v>F00.002</v>
      </c>
      <c r="AD808" s="29" t="str">
        <f t="shared" si="139"/>
        <v>F019</v>
      </c>
      <c r="AE808" s="443"/>
      <c r="AF808" s="443"/>
      <c r="AG808" s="443"/>
      <c r="AH808" s="443"/>
    </row>
    <row r="809" spans="1:34" ht="16.5">
      <c r="A809" s="728">
        <f t="shared" si="142"/>
        <v>802</v>
      </c>
      <c r="B809" s="563">
        <v>24</v>
      </c>
      <c r="C809" s="694">
        <v>36340</v>
      </c>
      <c r="D809" s="694" t="s">
        <v>149</v>
      </c>
      <c r="E809" s="695">
        <v>29</v>
      </c>
      <c r="F809" s="503">
        <v>1999</v>
      </c>
      <c r="G809" s="563" t="s">
        <v>114</v>
      </c>
      <c r="H809" s="503" t="s">
        <v>122</v>
      </c>
      <c r="I809" s="695">
        <v>25</v>
      </c>
      <c r="J809" s="695">
        <v>0.1</v>
      </c>
      <c r="K809" s="777">
        <f t="shared" si="141"/>
        <v>1.4204545454545455E-3</v>
      </c>
      <c r="L809" s="968">
        <v>0</v>
      </c>
      <c r="M809" s="503">
        <f t="shared" si="143"/>
        <v>19</v>
      </c>
      <c r="N809" s="504">
        <v>0.80208333333333337</v>
      </c>
      <c r="O809" s="719">
        <f t="shared" si="133"/>
        <v>0.80208333333333337</v>
      </c>
      <c r="P809" s="564">
        <v>0.80347222222222225</v>
      </c>
      <c r="Q809" s="564">
        <f t="shared" si="140"/>
        <v>1.388888888888884E-3</v>
      </c>
      <c r="R809" s="965" t="s">
        <v>1520</v>
      </c>
      <c r="S809" s="487" t="s">
        <v>265</v>
      </c>
      <c r="T809" s="29"/>
      <c r="U809" s="29" t="str">
        <f t="shared" si="134"/>
        <v>CarsonF0</v>
      </c>
      <c r="V809" s="29" t="str">
        <f t="shared" si="135"/>
        <v>1999F0</v>
      </c>
      <c r="W809" s="80">
        <v>20</v>
      </c>
      <c r="X809" s="32">
        <v>0.1</v>
      </c>
      <c r="Y809" s="467">
        <v>1E-3</v>
      </c>
      <c r="Z809" s="80"/>
      <c r="AA809" s="29" t="str">
        <f t="shared" si="136"/>
        <v>F020</v>
      </c>
      <c r="AB809" s="29" t="str">
        <f t="shared" si="137"/>
        <v>F00.1</v>
      </c>
      <c r="AC809" s="29" t="str">
        <f t="shared" si="138"/>
        <v>F00.001</v>
      </c>
      <c r="AD809" s="29" t="str">
        <f t="shared" si="139"/>
        <v>F019</v>
      </c>
      <c r="AE809" s="443"/>
      <c r="AF809" s="443"/>
      <c r="AG809" s="443"/>
      <c r="AH809" s="443"/>
    </row>
    <row r="810" spans="1:34" ht="16.5">
      <c r="A810" s="728">
        <f t="shared" si="142"/>
        <v>803</v>
      </c>
      <c r="B810" s="563">
        <v>25</v>
      </c>
      <c r="C810" s="694">
        <v>36340</v>
      </c>
      <c r="D810" s="694" t="s">
        <v>149</v>
      </c>
      <c r="E810" s="695">
        <v>29</v>
      </c>
      <c r="F810" s="503">
        <v>1999</v>
      </c>
      <c r="G810" s="563" t="s">
        <v>104</v>
      </c>
      <c r="H810" s="503" t="s">
        <v>122</v>
      </c>
      <c r="I810" s="695">
        <v>25</v>
      </c>
      <c r="J810" s="695">
        <v>0.2</v>
      </c>
      <c r="K810" s="777">
        <f t="shared" si="141"/>
        <v>2.840909090909091E-3</v>
      </c>
      <c r="L810" s="968">
        <v>25000</v>
      </c>
      <c r="M810" s="503">
        <f t="shared" si="143"/>
        <v>23</v>
      </c>
      <c r="N810" s="504">
        <v>0.99305555555555547</v>
      </c>
      <c r="O810" s="719">
        <f t="shared" si="133"/>
        <v>0.99305555555555547</v>
      </c>
      <c r="P810" s="564">
        <v>0.99513888888888891</v>
      </c>
      <c r="Q810" s="564">
        <f t="shared" si="140"/>
        <v>2.083333333333437E-3</v>
      </c>
      <c r="R810" s="965" t="s">
        <v>1520</v>
      </c>
      <c r="S810" s="487" t="s">
        <v>335</v>
      </c>
      <c r="T810" s="29"/>
      <c r="U810" s="29" t="str">
        <f t="shared" si="134"/>
        <v>HansfordF0</v>
      </c>
      <c r="V810" s="29" t="str">
        <f t="shared" si="135"/>
        <v>1999F0</v>
      </c>
      <c r="W810" s="80">
        <v>20</v>
      </c>
      <c r="X810" s="32">
        <v>0.2</v>
      </c>
      <c r="Y810" s="467">
        <v>2E-3</v>
      </c>
      <c r="Z810" s="80"/>
      <c r="AA810" s="29" t="str">
        <f t="shared" si="136"/>
        <v>F020</v>
      </c>
      <c r="AB810" s="29" t="str">
        <f t="shared" si="137"/>
        <v>F00.2</v>
      </c>
      <c r="AC810" s="29" t="str">
        <f t="shared" si="138"/>
        <v>F00.002</v>
      </c>
      <c r="AD810" s="29" t="str">
        <f t="shared" si="139"/>
        <v>F023</v>
      </c>
      <c r="AE810" s="443"/>
      <c r="AF810" s="443"/>
      <c r="AG810" s="443"/>
      <c r="AH810" s="443"/>
    </row>
    <row r="811" spans="1:34" ht="16.5">
      <c r="A811" s="728">
        <f t="shared" si="142"/>
        <v>804</v>
      </c>
      <c r="B811" s="563">
        <v>1</v>
      </c>
      <c r="C811" s="740">
        <v>36580</v>
      </c>
      <c r="D811" s="735" t="s">
        <v>145</v>
      </c>
      <c r="E811" s="695">
        <v>24</v>
      </c>
      <c r="F811" s="503">
        <v>2000</v>
      </c>
      <c r="G811" s="563" t="s">
        <v>110</v>
      </c>
      <c r="H811" s="503" t="s">
        <v>122</v>
      </c>
      <c r="I811" s="695">
        <v>25</v>
      </c>
      <c r="J811" s="695">
        <v>2</v>
      </c>
      <c r="K811" s="777">
        <f t="shared" si="141"/>
        <v>2.8409090909090908E-2</v>
      </c>
      <c r="L811" s="968">
        <v>0</v>
      </c>
      <c r="M811" s="503">
        <f t="shared" si="143"/>
        <v>18</v>
      </c>
      <c r="N811" s="504">
        <v>0.77916666666666667</v>
      </c>
      <c r="O811" s="719">
        <f t="shared" si="133"/>
        <v>0.77916666666666667</v>
      </c>
      <c r="P811" s="564">
        <v>0.78333333333333333</v>
      </c>
      <c r="Q811" s="564">
        <f t="shared" si="140"/>
        <v>4.1666666666666519E-3</v>
      </c>
      <c r="R811" s="965" t="s">
        <v>1520</v>
      </c>
      <c r="S811" s="487" t="s">
        <v>405</v>
      </c>
      <c r="T811" s="29"/>
      <c r="U811" s="29" t="str">
        <f t="shared" si="134"/>
        <v>RobertsF0</v>
      </c>
      <c r="V811" s="29" t="str">
        <f t="shared" si="135"/>
        <v>2000F0</v>
      </c>
      <c r="W811" s="80">
        <v>20</v>
      </c>
      <c r="X811" s="32">
        <v>2</v>
      </c>
      <c r="Y811" s="467">
        <v>0.02</v>
      </c>
      <c r="Z811" s="80"/>
      <c r="AA811" s="29" t="str">
        <f t="shared" si="136"/>
        <v>F020</v>
      </c>
      <c r="AB811" s="29" t="str">
        <f t="shared" si="137"/>
        <v>F02</v>
      </c>
      <c r="AC811" s="29" t="str">
        <f t="shared" si="138"/>
        <v>F00.02</v>
      </c>
      <c r="AD811" s="29" t="str">
        <f t="shared" si="139"/>
        <v>F018</v>
      </c>
      <c r="AE811" s="443"/>
      <c r="AF811" s="443"/>
      <c r="AG811" s="443"/>
      <c r="AH811" s="443"/>
    </row>
    <row r="812" spans="1:34" ht="55.5" customHeight="1">
      <c r="A812" s="728">
        <f t="shared" si="142"/>
        <v>805</v>
      </c>
      <c r="B812" s="563">
        <v>2</v>
      </c>
      <c r="C812" s="740">
        <v>36580</v>
      </c>
      <c r="D812" s="735" t="s">
        <v>145</v>
      </c>
      <c r="E812" s="695">
        <v>24</v>
      </c>
      <c r="F812" s="503">
        <v>2000</v>
      </c>
      <c r="G812" s="563" t="s">
        <v>106</v>
      </c>
      <c r="H812" s="503" t="s">
        <v>123</v>
      </c>
      <c r="I812" s="695">
        <v>150</v>
      </c>
      <c r="J812" s="695">
        <v>14</v>
      </c>
      <c r="K812" s="777">
        <f t="shared" si="141"/>
        <v>1.1931818181818181</v>
      </c>
      <c r="L812" s="968">
        <v>500000</v>
      </c>
      <c r="M812" s="503">
        <f t="shared" si="143"/>
        <v>20</v>
      </c>
      <c r="N812" s="504">
        <v>0.84236111111111101</v>
      </c>
      <c r="O812" s="719">
        <f t="shared" si="133"/>
        <v>0.84236111111111101</v>
      </c>
      <c r="P812" s="564">
        <v>0.8534722222222223</v>
      </c>
      <c r="Q812" s="564">
        <f t="shared" si="140"/>
        <v>1.1111111111111294E-2</v>
      </c>
      <c r="R812" s="965" t="s">
        <v>1520</v>
      </c>
      <c r="S812" s="79" t="s">
        <v>725</v>
      </c>
      <c r="T812" s="29"/>
      <c r="U812" s="29" t="str">
        <f t="shared" si="134"/>
        <v>LipscombF1</v>
      </c>
      <c r="V812" s="29" t="str">
        <f t="shared" si="135"/>
        <v>2000F1</v>
      </c>
      <c r="W812" s="80">
        <v>100</v>
      </c>
      <c r="X812" s="32">
        <v>10</v>
      </c>
      <c r="Y812" s="467">
        <v>1</v>
      </c>
      <c r="Z812" s="80"/>
      <c r="AA812" s="29" t="str">
        <f t="shared" si="136"/>
        <v>F1100</v>
      </c>
      <c r="AB812" s="29" t="str">
        <f t="shared" si="137"/>
        <v>F110</v>
      </c>
      <c r="AC812" s="29" t="str">
        <f t="shared" si="138"/>
        <v>F11</v>
      </c>
      <c r="AD812" s="29" t="str">
        <f t="shared" si="139"/>
        <v>F120</v>
      </c>
      <c r="AE812" s="443"/>
      <c r="AF812" s="443"/>
      <c r="AG812" s="443"/>
      <c r="AH812" s="443"/>
    </row>
    <row r="813" spans="1:34" ht="16.5">
      <c r="A813" s="728">
        <f t="shared" si="142"/>
        <v>806</v>
      </c>
      <c r="B813" s="563">
        <v>3</v>
      </c>
      <c r="C813" s="740">
        <v>36671</v>
      </c>
      <c r="D813" s="694" t="s">
        <v>148</v>
      </c>
      <c r="E813" s="695">
        <v>25</v>
      </c>
      <c r="F813" s="503">
        <v>2000</v>
      </c>
      <c r="G813" s="563" t="s">
        <v>117</v>
      </c>
      <c r="H813" s="503" t="s">
        <v>122</v>
      </c>
      <c r="I813" s="695">
        <v>25</v>
      </c>
      <c r="J813" s="695">
        <v>0.5</v>
      </c>
      <c r="K813" s="777">
        <f t="shared" si="141"/>
        <v>7.102272727272727E-3</v>
      </c>
      <c r="L813" s="968">
        <v>0</v>
      </c>
      <c r="M813" s="503">
        <f t="shared" si="143"/>
        <v>19</v>
      </c>
      <c r="N813" s="504">
        <v>0.82708333333333339</v>
      </c>
      <c r="O813" s="719">
        <f t="shared" si="133"/>
        <v>0.82708333333333339</v>
      </c>
      <c r="P813" s="564">
        <v>0.82916666666666661</v>
      </c>
      <c r="Q813" s="564">
        <f t="shared" si="140"/>
        <v>2.0833333333332149E-3</v>
      </c>
      <c r="R813" s="965" t="s">
        <v>1520</v>
      </c>
      <c r="S813" s="487" t="s">
        <v>289</v>
      </c>
      <c r="T813" s="29"/>
      <c r="U813" s="29" t="str">
        <f t="shared" si="134"/>
        <v>Deaf SmithF0</v>
      </c>
      <c r="V813" s="29" t="str">
        <f t="shared" si="135"/>
        <v>2000F0</v>
      </c>
      <c r="W813" s="80">
        <v>20</v>
      </c>
      <c r="X813" s="32">
        <v>0.5</v>
      </c>
      <c r="Y813" s="467">
        <v>5.0000000000000001E-3</v>
      </c>
      <c r="Z813" s="80"/>
      <c r="AA813" s="29" t="str">
        <f t="shared" si="136"/>
        <v>F020</v>
      </c>
      <c r="AB813" s="29" t="str">
        <f t="shared" si="137"/>
        <v>F00.5</v>
      </c>
      <c r="AC813" s="29" t="str">
        <f t="shared" si="138"/>
        <v>F00.005</v>
      </c>
      <c r="AD813" s="29" t="str">
        <f t="shared" si="139"/>
        <v>F019</v>
      </c>
      <c r="AE813" s="443"/>
      <c r="AF813" s="443"/>
      <c r="AG813" s="443"/>
      <c r="AH813" s="443"/>
    </row>
    <row r="814" spans="1:34" ht="16.5">
      <c r="A814" s="728">
        <f t="shared" si="142"/>
        <v>807</v>
      </c>
      <c r="B814" s="563">
        <v>4</v>
      </c>
      <c r="C814" s="740">
        <v>36690</v>
      </c>
      <c r="D814" s="694" t="s">
        <v>149</v>
      </c>
      <c r="E814" s="695">
        <v>13</v>
      </c>
      <c r="F814" s="503">
        <v>2000</v>
      </c>
      <c r="G814" s="563" t="s">
        <v>105</v>
      </c>
      <c r="H814" s="503" t="s">
        <v>122</v>
      </c>
      <c r="I814" s="695">
        <v>25</v>
      </c>
      <c r="J814" s="695">
        <v>0.1</v>
      </c>
      <c r="K814" s="777">
        <f t="shared" si="141"/>
        <v>1.4204545454545455E-3</v>
      </c>
      <c r="L814" s="968">
        <v>0</v>
      </c>
      <c r="M814" s="503">
        <f t="shared" si="143"/>
        <v>15</v>
      </c>
      <c r="N814" s="504">
        <v>0.66249999999999998</v>
      </c>
      <c r="O814" s="719">
        <f t="shared" si="133"/>
        <v>0.66249999999999998</v>
      </c>
      <c r="P814" s="564">
        <v>0.67013888888888884</v>
      </c>
      <c r="Q814" s="564">
        <f t="shared" si="140"/>
        <v>7.6388888888888618E-3</v>
      </c>
      <c r="R814" s="965" t="s">
        <v>1520</v>
      </c>
      <c r="S814" s="487" t="s">
        <v>377</v>
      </c>
      <c r="T814" s="29"/>
      <c r="U814" s="29" t="str">
        <f t="shared" si="134"/>
        <v>OchiltreeF0</v>
      </c>
      <c r="V814" s="29" t="str">
        <f t="shared" si="135"/>
        <v>2000F0</v>
      </c>
      <c r="W814" s="80">
        <v>20</v>
      </c>
      <c r="X814" s="32">
        <v>0.1</v>
      </c>
      <c r="Y814" s="467">
        <v>1E-3</v>
      </c>
      <c r="Z814" s="80"/>
      <c r="AA814" s="29" t="str">
        <f t="shared" si="136"/>
        <v>F020</v>
      </c>
      <c r="AB814" s="29" t="str">
        <f t="shared" si="137"/>
        <v>F00.1</v>
      </c>
      <c r="AC814" s="29" t="str">
        <f t="shared" si="138"/>
        <v>F00.001</v>
      </c>
      <c r="AD814" s="29" t="str">
        <f t="shared" si="139"/>
        <v>F015</v>
      </c>
      <c r="AE814" s="443"/>
      <c r="AF814" s="443"/>
      <c r="AG814" s="443"/>
      <c r="AH814" s="443"/>
    </row>
    <row r="815" spans="1:34" ht="16.5">
      <c r="A815" s="728">
        <f t="shared" si="142"/>
        <v>808</v>
      </c>
      <c r="B815" s="563">
        <v>5</v>
      </c>
      <c r="C815" s="740">
        <v>36690</v>
      </c>
      <c r="D815" s="694" t="s">
        <v>149</v>
      </c>
      <c r="E815" s="695">
        <v>13</v>
      </c>
      <c r="F815" s="503">
        <v>2000</v>
      </c>
      <c r="G815" s="563" t="s">
        <v>111</v>
      </c>
      <c r="H815" s="503" t="s">
        <v>122</v>
      </c>
      <c r="I815" s="695">
        <v>25</v>
      </c>
      <c r="J815" s="695">
        <v>0.1</v>
      </c>
      <c r="K815" s="777">
        <f t="shared" si="141"/>
        <v>1.4204545454545455E-3</v>
      </c>
      <c r="L815" s="968">
        <v>0</v>
      </c>
      <c r="M815" s="503">
        <f t="shared" si="143"/>
        <v>19</v>
      </c>
      <c r="N815" s="504">
        <v>0.82361111111111107</v>
      </c>
      <c r="O815" s="719">
        <f t="shared" si="133"/>
        <v>0.82361111111111107</v>
      </c>
      <c r="P815" s="564">
        <v>0.82499999999999996</v>
      </c>
      <c r="Q815" s="564">
        <f t="shared" si="140"/>
        <v>1.388888888888884E-3</v>
      </c>
      <c r="R815" s="965" t="s">
        <v>1520</v>
      </c>
      <c r="S815" s="487" t="s">
        <v>345</v>
      </c>
      <c r="T815" s="29"/>
      <c r="U815" s="29" t="str">
        <f t="shared" si="134"/>
        <v>HemphillF0</v>
      </c>
      <c r="V815" s="29" t="str">
        <f t="shared" si="135"/>
        <v>2000F0</v>
      </c>
      <c r="W815" s="80">
        <v>20</v>
      </c>
      <c r="X815" s="32">
        <v>0.1</v>
      </c>
      <c r="Y815" s="467">
        <v>1E-3</v>
      </c>
      <c r="Z815" s="80"/>
      <c r="AA815" s="29" t="str">
        <f t="shared" si="136"/>
        <v>F020</v>
      </c>
      <c r="AB815" s="29" t="str">
        <f t="shared" si="137"/>
        <v>F00.1</v>
      </c>
      <c r="AC815" s="29" t="str">
        <f t="shared" si="138"/>
        <v>F00.001</v>
      </c>
      <c r="AD815" s="29" t="str">
        <f t="shared" si="139"/>
        <v>F019</v>
      </c>
      <c r="AE815" s="443"/>
      <c r="AF815" s="443"/>
      <c r="AG815" s="443"/>
      <c r="AH815" s="443"/>
    </row>
    <row r="816" spans="1:34" ht="16.5">
      <c r="A816" s="728">
        <f t="shared" si="142"/>
        <v>809</v>
      </c>
      <c r="B816" s="563">
        <v>6</v>
      </c>
      <c r="C816" s="740">
        <v>36702</v>
      </c>
      <c r="D816" s="694" t="s">
        <v>149</v>
      </c>
      <c r="E816" s="695">
        <v>25</v>
      </c>
      <c r="F816" s="503">
        <v>2000</v>
      </c>
      <c r="G816" s="563" t="s">
        <v>114</v>
      </c>
      <c r="H816" s="503" t="s">
        <v>122</v>
      </c>
      <c r="I816" s="695">
        <v>25</v>
      </c>
      <c r="J816" s="695">
        <v>1.5</v>
      </c>
      <c r="K816" s="777">
        <f t="shared" si="141"/>
        <v>2.130681818181818E-2</v>
      </c>
      <c r="L816" s="968">
        <v>0</v>
      </c>
      <c r="M816" s="503">
        <f t="shared" si="143"/>
        <v>15</v>
      </c>
      <c r="N816" s="504">
        <v>0.66180555555555554</v>
      </c>
      <c r="O816" s="719">
        <f t="shared" si="133"/>
        <v>0.66180555555555554</v>
      </c>
      <c r="P816" s="564">
        <v>0.66736111111111107</v>
      </c>
      <c r="Q816" s="564">
        <f t="shared" si="140"/>
        <v>5.5555555555555358E-3</v>
      </c>
      <c r="R816" s="965" t="s">
        <v>1520</v>
      </c>
      <c r="S816" s="487" t="s">
        <v>266</v>
      </c>
      <c r="T816" s="29"/>
      <c r="U816" s="29" t="str">
        <f t="shared" si="134"/>
        <v>CarsonF0</v>
      </c>
      <c r="V816" s="29" t="str">
        <f t="shared" si="135"/>
        <v>2000F0</v>
      </c>
      <c r="W816" s="80">
        <v>20</v>
      </c>
      <c r="X816" s="32">
        <v>1</v>
      </c>
      <c r="Y816" s="467">
        <v>0.02</v>
      </c>
      <c r="Z816" s="80"/>
      <c r="AA816" s="29" t="str">
        <f t="shared" si="136"/>
        <v>F020</v>
      </c>
      <c r="AB816" s="29" t="str">
        <f t="shared" si="137"/>
        <v>F01</v>
      </c>
      <c r="AC816" s="29" t="str">
        <f t="shared" si="138"/>
        <v>F00.02</v>
      </c>
      <c r="AD816" s="29" t="str">
        <f t="shared" si="139"/>
        <v>F015</v>
      </c>
      <c r="AE816" s="443"/>
      <c r="AF816" s="443"/>
      <c r="AG816" s="443"/>
      <c r="AH816" s="443"/>
    </row>
    <row r="817" spans="1:34" ht="30" customHeight="1">
      <c r="A817" s="728">
        <f t="shared" si="142"/>
        <v>810</v>
      </c>
      <c r="B817" s="563">
        <v>7</v>
      </c>
      <c r="C817" s="740">
        <v>36702</v>
      </c>
      <c r="D817" s="694" t="s">
        <v>149</v>
      </c>
      <c r="E817" s="695">
        <v>25</v>
      </c>
      <c r="F817" s="503">
        <v>2000</v>
      </c>
      <c r="G817" s="563" t="s">
        <v>114</v>
      </c>
      <c r="H817" s="503" t="s">
        <v>122</v>
      </c>
      <c r="I817" s="695">
        <v>25</v>
      </c>
      <c r="J817" s="695">
        <v>0.1</v>
      </c>
      <c r="K817" s="777">
        <f t="shared" si="141"/>
        <v>1.4204545454545455E-3</v>
      </c>
      <c r="L817" s="968">
        <v>0</v>
      </c>
      <c r="M817" s="503">
        <f t="shared" si="143"/>
        <v>16</v>
      </c>
      <c r="N817" s="504">
        <v>0.68263888888888891</v>
      </c>
      <c r="O817" s="719">
        <f t="shared" si="133"/>
        <v>0.68263888888888891</v>
      </c>
      <c r="P817" s="564">
        <v>0.68402777777777779</v>
      </c>
      <c r="Q817" s="564">
        <f t="shared" si="140"/>
        <v>1.388888888888884E-3</v>
      </c>
      <c r="R817" s="965" t="s">
        <v>1520</v>
      </c>
      <c r="S817" s="79" t="s">
        <v>458</v>
      </c>
      <c r="T817" s="29"/>
      <c r="U817" s="29" t="str">
        <f t="shared" si="134"/>
        <v>CarsonF0</v>
      </c>
      <c r="V817" s="29" t="str">
        <f t="shared" si="135"/>
        <v>2000F0</v>
      </c>
      <c r="W817" s="80">
        <v>20</v>
      </c>
      <c r="X817" s="32">
        <v>0.1</v>
      </c>
      <c r="Y817" s="467">
        <v>1E-3</v>
      </c>
      <c r="Z817" s="80"/>
      <c r="AA817" s="29" t="str">
        <f t="shared" si="136"/>
        <v>F020</v>
      </c>
      <c r="AB817" s="29" t="str">
        <f t="shared" si="137"/>
        <v>F00.1</v>
      </c>
      <c r="AC817" s="29" t="str">
        <f t="shared" si="138"/>
        <v>F00.001</v>
      </c>
      <c r="AD817" s="29" t="str">
        <f t="shared" si="139"/>
        <v>F016</v>
      </c>
      <c r="AE817" s="443"/>
      <c r="AF817" s="443"/>
      <c r="AG817" s="443"/>
      <c r="AH817" s="443"/>
    </row>
    <row r="818" spans="1:34" ht="15" customHeight="1">
      <c r="A818" s="728">
        <f t="shared" si="142"/>
        <v>811</v>
      </c>
      <c r="B818" s="563">
        <v>8</v>
      </c>
      <c r="C818" s="740">
        <v>36822</v>
      </c>
      <c r="D818" s="694" t="s">
        <v>153</v>
      </c>
      <c r="E818" s="695">
        <v>23</v>
      </c>
      <c r="F818" s="503">
        <v>2000</v>
      </c>
      <c r="G818" s="563" t="s">
        <v>118</v>
      </c>
      <c r="H818" s="503" t="s">
        <v>122</v>
      </c>
      <c r="I818" s="695">
        <v>50</v>
      </c>
      <c r="J818" s="695">
        <v>0.4</v>
      </c>
      <c r="K818" s="777">
        <f t="shared" si="141"/>
        <v>1.1363636363636364E-2</v>
      </c>
      <c r="L818" s="968">
        <v>3000</v>
      </c>
      <c r="M818" s="503">
        <f t="shared" si="143"/>
        <v>13</v>
      </c>
      <c r="N818" s="504">
        <v>0.54861111111111105</v>
      </c>
      <c r="O818" s="719">
        <f t="shared" si="133"/>
        <v>0.54861111111111105</v>
      </c>
      <c r="P818" s="564">
        <v>0.55208333333333337</v>
      </c>
      <c r="Q818" s="564">
        <f t="shared" si="140"/>
        <v>3.4722222222223209E-3</v>
      </c>
      <c r="R818" s="965" t="s">
        <v>1520</v>
      </c>
      <c r="S818" s="487" t="s">
        <v>435</v>
      </c>
      <c r="T818" s="29"/>
      <c r="U818" s="29" t="str">
        <f t="shared" si="134"/>
        <v>RandallF0</v>
      </c>
      <c r="V818" s="29" t="str">
        <f t="shared" si="135"/>
        <v>2000F0</v>
      </c>
      <c r="W818" s="80">
        <v>50</v>
      </c>
      <c r="X818" s="32">
        <v>0.2</v>
      </c>
      <c r="Y818" s="467">
        <v>0.01</v>
      </c>
      <c r="Z818" s="80"/>
      <c r="AA818" s="29" t="str">
        <f t="shared" si="136"/>
        <v>F050</v>
      </c>
      <c r="AB818" s="29" t="str">
        <f t="shared" si="137"/>
        <v>F00.2</v>
      </c>
      <c r="AC818" s="29" t="str">
        <f t="shared" si="138"/>
        <v>F00.01</v>
      </c>
      <c r="AD818" s="29" t="str">
        <f t="shared" si="139"/>
        <v>F013</v>
      </c>
      <c r="AE818" s="443"/>
      <c r="AF818" s="443"/>
      <c r="AG818" s="443"/>
      <c r="AH818" s="443"/>
    </row>
    <row r="819" spans="1:34" ht="39.950000000000003" customHeight="1">
      <c r="A819" s="728">
        <f t="shared" si="142"/>
        <v>812</v>
      </c>
      <c r="B819" s="563">
        <v>9</v>
      </c>
      <c r="C819" s="740">
        <v>36822</v>
      </c>
      <c r="D819" s="694" t="s">
        <v>153</v>
      </c>
      <c r="E819" s="695">
        <v>23</v>
      </c>
      <c r="F819" s="503">
        <v>2000</v>
      </c>
      <c r="G819" s="563" t="s">
        <v>113</v>
      </c>
      <c r="H819" s="503" t="s">
        <v>122</v>
      </c>
      <c r="I819" s="695">
        <v>50</v>
      </c>
      <c r="J819" s="695">
        <v>0.1</v>
      </c>
      <c r="K819" s="777">
        <f t="shared" si="141"/>
        <v>2.840909090909091E-3</v>
      </c>
      <c r="L819" s="968">
        <v>12000</v>
      </c>
      <c r="M819" s="503">
        <f t="shared" si="143"/>
        <v>13</v>
      </c>
      <c r="N819" s="504">
        <v>0.55208333333333337</v>
      </c>
      <c r="O819" s="719">
        <f t="shared" si="133"/>
        <v>0.55208333333333337</v>
      </c>
      <c r="P819" s="564">
        <v>0.56944444444444442</v>
      </c>
      <c r="Q819" s="564">
        <f t="shared" si="140"/>
        <v>1.7361111111111049E-2</v>
      </c>
      <c r="R819" s="965" t="s">
        <v>1520</v>
      </c>
      <c r="S819" s="487" t="s">
        <v>442</v>
      </c>
      <c r="T819" s="29"/>
      <c r="U819" s="29" t="str">
        <f t="shared" si="134"/>
        <v>PotterF0</v>
      </c>
      <c r="V819" s="29" t="str">
        <f t="shared" si="135"/>
        <v>2000F0</v>
      </c>
      <c r="W819" s="80">
        <v>50</v>
      </c>
      <c r="X819" s="32">
        <v>0.1</v>
      </c>
      <c r="Y819" s="467">
        <v>2E-3</v>
      </c>
      <c r="Z819" s="80"/>
      <c r="AA819" s="29" t="str">
        <f t="shared" si="136"/>
        <v>F050</v>
      </c>
      <c r="AB819" s="29" t="str">
        <f t="shared" si="137"/>
        <v>F00.1</v>
      </c>
      <c r="AC819" s="29" t="str">
        <f t="shared" si="138"/>
        <v>F00.002</v>
      </c>
      <c r="AD819" s="29" t="str">
        <f t="shared" si="139"/>
        <v>F013</v>
      </c>
      <c r="AE819" s="443"/>
      <c r="AF819" s="443"/>
      <c r="AG819" s="443"/>
      <c r="AH819" s="443"/>
    </row>
    <row r="820" spans="1:34" ht="16.5">
      <c r="A820" s="728">
        <f t="shared" si="142"/>
        <v>813</v>
      </c>
      <c r="B820" s="563">
        <v>1</v>
      </c>
      <c r="C820" s="740">
        <v>36973</v>
      </c>
      <c r="D820" s="735" t="s">
        <v>146</v>
      </c>
      <c r="E820" s="695">
        <v>23</v>
      </c>
      <c r="F820" s="503">
        <v>2001</v>
      </c>
      <c r="G820" s="563" t="s">
        <v>102</v>
      </c>
      <c r="H820" s="503" t="s">
        <v>122</v>
      </c>
      <c r="I820" s="695">
        <v>25</v>
      </c>
      <c r="J820" s="695">
        <v>0.1</v>
      </c>
      <c r="K820" s="777">
        <f t="shared" si="141"/>
        <v>1.4204545454545455E-3</v>
      </c>
      <c r="L820" s="968">
        <v>0</v>
      </c>
      <c r="M820" s="503">
        <f t="shared" si="143"/>
        <v>15</v>
      </c>
      <c r="N820" s="504">
        <v>0.625</v>
      </c>
      <c r="O820" s="719">
        <f t="shared" si="133"/>
        <v>0.625</v>
      </c>
      <c r="P820" s="564">
        <v>0.63194444444444442</v>
      </c>
      <c r="Q820" s="564">
        <f t="shared" si="140"/>
        <v>6.9444444444444198E-3</v>
      </c>
      <c r="R820" s="965" t="s">
        <v>1520</v>
      </c>
      <c r="S820" s="487" t="s">
        <v>285</v>
      </c>
      <c r="U820" s="29" t="str">
        <f t="shared" si="134"/>
        <v>DallamF0</v>
      </c>
      <c r="V820" s="29" t="str">
        <f t="shared" si="135"/>
        <v>2001F0</v>
      </c>
      <c r="W820" s="80">
        <v>20</v>
      </c>
      <c r="X820" s="32">
        <v>0.1</v>
      </c>
      <c r="Y820" s="467">
        <v>1E-3</v>
      </c>
      <c r="Z820" s="80"/>
      <c r="AA820" s="29" t="str">
        <f t="shared" si="136"/>
        <v>F020</v>
      </c>
      <c r="AB820" s="29" t="str">
        <f t="shared" si="137"/>
        <v>F00.1</v>
      </c>
      <c r="AC820" s="29" t="str">
        <f t="shared" si="138"/>
        <v>F00.001</v>
      </c>
      <c r="AD820" s="29" t="str">
        <f t="shared" si="139"/>
        <v>F015</v>
      </c>
      <c r="AE820" s="443"/>
      <c r="AF820" s="443"/>
      <c r="AG820" s="443"/>
      <c r="AH820" s="443"/>
    </row>
    <row r="821" spans="1:34" ht="16.5">
      <c r="A821" s="728">
        <f t="shared" si="142"/>
        <v>814</v>
      </c>
      <c r="B821" s="563">
        <v>2</v>
      </c>
      <c r="C821" s="694">
        <v>36987</v>
      </c>
      <c r="D821" s="694" t="s">
        <v>147</v>
      </c>
      <c r="E821" s="695">
        <v>6</v>
      </c>
      <c r="F821" s="503">
        <v>2001</v>
      </c>
      <c r="G821" s="563" t="s">
        <v>105</v>
      </c>
      <c r="H821" s="503" t="s">
        <v>123</v>
      </c>
      <c r="I821" s="695">
        <v>100</v>
      </c>
      <c r="J821" s="695">
        <v>10</v>
      </c>
      <c r="K821" s="777">
        <f t="shared" si="141"/>
        <v>0.56818181818181812</v>
      </c>
      <c r="L821" s="968">
        <v>500000</v>
      </c>
      <c r="M821" s="503">
        <f t="shared" si="143"/>
        <v>17</v>
      </c>
      <c r="N821" s="504">
        <v>0.70833333333333337</v>
      </c>
      <c r="O821" s="719">
        <f t="shared" si="133"/>
        <v>0.70833333333333337</v>
      </c>
      <c r="P821" s="564">
        <v>0.71180555555555547</v>
      </c>
      <c r="Q821" s="564">
        <f t="shared" si="140"/>
        <v>3.4722222222220989E-3</v>
      </c>
      <c r="R821" s="965" t="s">
        <v>1520</v>
      </c>
      <c r="S821" s="487" t="s">
        <v>42</v>
      </c>
      <c r="U821" s="29" t="str">
        <f t="shared" si="134"/>
        <v>OchiltreeF1</v>
      </c>
      <c r="V821" s="29" t="str">
        <f t="shared" si="135"/>
        <v>2001F1</v>
      </c>
      <c r="W821" s="80">
        <v>100</v>
      </c>
      <c r="X821" s="32">
        <v>10</v>
      </c>
      <c r="Y821" s="467">
        <v>0.5</v>
      </c>
      <c r="Z821" s="80"/>
      <c r="AA821" s="29" t="str">
        <f t="shared" si="136"/>
        <v>F1100</v>
      </c>
      <c r="AB821" s="29" t="str">
        <f t="shared" si="137"/>
        <v>F110</v>
      </c>
      <c r="AC821" s="29" t="str">
        <f t="shared" si="138"/>
        <v>F10.5</v>
      </c>
      <c r="AD821" s="29" t="str">
        <f t="shared" si="139"/>
        <v>F117</v>
      </c>
      <c r="AE821" s="443"/>
      <c r="AF821" s="443"/>
      <c r="AG821" s="443"/>
      <c r="AH821" s="443"/>
    </row>
    <row r="822" spans="1:34" ht="25.5">
      <c r="A822" s="728">
        <f t="shared" si="142"/>
        <v>815</v>
      </c>
      <c r="B822" s="563">
        <v>3</v>
      </c>
      <c r="C822" s="694">
        <v>36991</v>
      </c>
      <c r="D822" s="694" t="s">
        <v>147</v>
      </c>
      <c r="E822" s="695">
        <v>10</v>
      </c>
      <c r="F822" s="503">
        <v>2001</v>
      </c>
      <c r="G822" s="563" t="s">
        <v>114</v>
      </c>
      <c r="H822" s="503" t="s">
        <v>123</v>
      </c>
      <c r="I822" s="695">
        <v>100</v>
      </c>
      <c r="J822" s="695">
        <v>1.5</v>
      </c>
      <c r="K822" s="777">
        <f t="shared" si="141"/>
        <v>8.5227272727272721E-2</v>
      </c>
      <c r="L822" s="968">
        <v>30000</v>
      </c>
      <c r="M822" s="503">
        <f t="shared" si="143"/>
        <v>21</v>
      </c>
      <c r="N822" s="504">
        <v>0.89027777777777783</v>
      </c>
      <c r="O822" s="719">
        <f t="shared" si="133"/>
        <v>0.89027777777777783</v>
      </c>
      <c r="P822" s="564">
        <v>0.89236111111111116</v>
      </c>
      <c r="Q822" s="564">
        <f t="shared" si="140"/>
        <v>2.0833333333333259E-3</v>
      </c>
      <c r="R822" s="965" t="s">
        <v>1520</v>
      </c>
      <c r="S822" s="487" t="s">
        <v>726</v>
      </c>
      <c r="U822" s="29" t="str">
        <f t="shared" si="134"/>
        <v>CarsonF1</v>
      </c>
      <c r="V822" s="29" t="str">
        <f t="shared" si="135"/>
        <v>2001F1</v>
      </c>
      <c r="W822" s="80">
        <v>100</v>
      </c>
      <c r="X822" s="32">
        <v>1</v>
      </c>
      <c r="Y822" s="467">
        <v>0.05</v>
      </c>
      <c r="Z822" s="80"/>
      <c r="AA822" s="29" t="str">
        <f t="shared" si="136"/>
        <v>F1100</v>
      </c>
      <c r="AB822" s="29" t="str">
        <f t="shared" si="137"/>
        <v>F11</v>
      </c>
      <c r="AC822" s="29" t="str">
        <f t="shared" si="138"/>
        <v>F10.05</v>
      </c>
      <c r="AD822" s="29" t="str">
        <f t="shared" si="139"/>
        <v>F121</v>
      </c>
      <c r="AE822" s="443"/>
      <c r="AF822" s="443"/>
      <c r="AG822" s="443"/>
      <c r="AH822" s="443"/>
    </row>
    <row r="823" spans="1:34" ht="25.5">
      <c r="A823" s="728">
        <f t="shared" si="142"/>
        <v>816</v>
      </c>
      <c r="B823" s="563">
        <v>4</v>
      </c>
      <c r="C823" s="694">
        <v>36991</v>
      </c>
      <c r="D823" s="694" t="s">
        <v>147</v>
      </c>
      <c r="E823" s="695">
        <v>10</v>
      </c>
      <c r="F823" s="503">
        <v>2001</v>
      </c>
      <c r="G823" s="563" t="s">
        <v>109</v>
      </c>
      <c r="H823" s="503" t="s">
        <v>123</v>
      </c>
      <c r="I823" s="695">
        <v>100</v>
      </c>
      <c r="J823" s="695">
        <v>0.5</v>
      </c>
      <c r="K823" s="777">
        <f t="shared" si="141"/>
        <v>2.8409090909090908E-2</v>
      </c>
      <c r="L823" s="968">
        <v>40000</v>
      </c>
      <c r="M823" s="503">
        <f t="shared" si="143"/>
        <v>21</v>
      </c>
      <c r="N823" s="504">
        <v>0.89236111111111116</v>
      </c>
      <c r="O823" s="719">
        <f t="shared" si="133"/>
        <v>0.89236111111111116</v>
      </c>
      <c r="P823" s="564">
        <v>0.89375000000000004</v>
      </c>
      <c r="Q823" s="564">
        <f t="shared" si="140"/>
        <v>1.388888888888884E-3</v>
      </c>
      <c r="R823" s="965" t="s">
        <v>1520</v>
      </c>
      <c r="S823" s="487" t="s">
        <v>443</v>
      </c>
      <c r="U823" s="29" t="str">
        <f t="shared" si="134"/>
        <v>HutchinsonF1</v>
      </c>
      <c r="V823" s="29" t="str">
        <f t="shared" si="135"/>
        <v>2001F1</v>
      </c>
      <c r="W823" s="80">
        <v>100</v>
      </c>
      <c r="X823" s="32">
        <v>0.5</v>
      </c>
      <c r="Y823" s="467">
        <v>0.02</v>
      </c>
      <c r="Z823" s="80"/>
      <c r="AA823" s="29" t="str">
        <f t="shared" si="136"/>
        <v>F1100</v>
      </c>
      <c r="AB823" s="29" t="str">
        <f t="shared" si="137"/>
        <v>F10.5</v>
      </c>
      <c r="AC823" s="29" t="str">
        <f t="shared" si="138"/>
        <v>F10.02</v>
      </c>
      <c r="AD823" s="29" t="str">
        <f t="shared" si="139"/>
        <v>F121</v>
      </c>
      <c r="AE823" s="443"/>
      <c r="AF823" s="443"/>
      <c r="AG823" s="443"/>
      <c r="AH823" s="443"/>
    </row>
    <row r="824" spans="1:34" ht="16.5">
      <c r="A824" s="728">
        <f t="shared" si="142"/>
        <v>817</v>
      </c>
      <c r="B824" s="563">
        <v>5</v>
      </c>
      <c r="C824" s="694">
        <v>36991</v>
      </c>
      <c r="D824" s="694" t="s">
        <v>147</v>
      </c>
      <c r="E824" s="695">
        <v>10</v>
      </c>
      <c r="F824" s="503">
        <v>2001</v>
      </c>
      <c r="G824" s="563" t="s">
        <v>104</v>
      </c>
      <c r="H824" s="503" t="s">
        <v>124</v>
      </c>
      <c r="I824" s="695">
        <v>200</v>
      </c>
      <c r="J824" s="695">
        <v>4</v>
      </c>
      <c r="K824" s="777">
        <f t="shared" si="141"/>
        <v>0.45454545454545453</v>
      </c>
      <c r="L824" s="968">
        <v>750000</v>
      </c>
      <c r="M824" s="503">
        <f t="shared" si="143"/>
        <v>22</v>
      </c>
      <c r="N824" s="504">
        <v>0.92083333333333339</v>
      </c>
      <c r="O824" s="719">
        <f t="shared" si="133"/>
        <v>0.92083333333333339</v>
      </c>
      <c r="P824" s="564">
        <v>0.9243055555555556</v>
      </c>
      <c r="Q824" s="564">
        <f t="shared" si="140"/>
        <v>3.4722222222222099E-3</v>
      </c>
      <c r="R824" s="965" t="s">
        <v>1520</v>
      </c>
      <c r="S824" s="487" t="s">
        <v>336</v>
      </c>
      <c r="T824" s="29"/>
      <c r="U824" s="29" t="str">
        <f t="shared" si="134"/>
        <v>HansfordF2</v>
      </c>
      <c r="V824" s="29" t="str">
        <f t="shared" si="135"/>
        <v>2001F2</v>
      </c>
      <c r="W824" s="80">
        <v>200</v>
      </c>
      <c r="X824" s="32">
        <v>2</v>
      </c>
      <c r="Y824" s="467">
        <v>0.2</v>
      </c>
      <c r="Z824" s="80"/>
      <c r="AA824" s="29" t="str">
        <f t="shared" si="136"/>
        <v>F2200</v>
      </c>
      <c r="AB824" s="29" t="str">
        <f t="shared" si="137"/>
        <v>F22</v>
      </c>
      <c r="AC824" s="29" t="str">
        <f t="shared" si="138"/>
        <v>F20.2</v>
      </c>
      <c r="AD824" s="29" t="str">
        <f t="shared" si="139"/>
        <v>F222</v>
      </c>
      <c r="AE824" s="443"/>
      <c r="AF824" s="443"/>
      <c r="AG824" s="443"/>
      <c r="AH824" s="443"/>
    </row>
    <row r="825" spans="1:34" ht="16.5">
      <c r="A825" s="728">
        <f t="shared" si="142"/>
        <v>818</v>
      </c>
      <c r="B825" s="563">
        <v>6</v>
      </c>
      <c r="C825" s="694">
        <v>36991</v>
      </c>
      <c r="D825" s="694" t="s">
        <v>147</v>
      </c>
      <c r="E825" s="695">
        <v>10</v>
      </c>
      <c r="F825" s="503">
        <v>2001</v>
      </c>
      <c r="G825" s="563" t="s">
        <v>101</v>
      </c>
      <c r="H825" s="503" t="s">
        <v>124</v>
      </c>
      <c r="I825" s="695">
        <v>200</v>
      </c>
      <c r="J825" s="695">
        <v>12</v>
      </c>
      <c r="K825" s="777">
        <f t="shared" si="141"/>
        <v>1.3636363636363635</v>
      </c>
      <c r="L825" s="968">
        <v>450000</v>
      </c>
      <c r="M825" s="503">
        <f t="shared" si="143"/>
        <v>22</v>
      </c>
      <c r="N825" s="504">
        <v>0.94444444444444453</v>
      </c>
      <c r="O825" s="719">
        <f t="shared" si="133"/>
        <v>0.94444444444444453</v>
      </c>
      <c r="P825" s="564">
        <v>0.96527777777777779</v>
      </c>
      <c r="Q825" s="564">
        <f t="shared" si="140"/>
        <v>2.0833333333333259E-2</v>
      </c>
      <c r="R825" s="965" t="s">
        <v>1520</v>
      </c>
      <c r="S825" s="487" t="s">
        <v>239</v>
      </c>
      <c r="T825" s="29"/>
      <c r="U825" s="29" t="str">
        <f t="shared" si="134"/>
        <v>BeaverF2</v>
      </c>
      <c r="V825" s="29" t="str">
        <f t="shared" si="135"/>
        <v>2001F2</v>
      </c>
      <c r="W825" s="80">
        <v>200</v>
      </c>
      <c r="X825" s="32">
        <v>10</v>
      </c>
      <c r="Y825" s="467">
        <v>1</v>
      </c>
      <c r="Z825" s="80"/>
      <c r="AA825" s="29" t="str">
        <f t="shared" si="136"/>
        <v>F2200</v>
      </c>
      <c r="AB825" s="29" t="str">
        <f t="shared" si="137"/>
        <v>F210</v>
      </c>
      <c r="AC825" s="29" t="str">
        <f t="shared" si="138"/>
        <v>F21</v>
      </c>
      <c r="AD825" s="29" t="str">
        <f t="shared" si="139"/>
        <v>F222</v>
      </c>
      <c r="AE825" s="443"/>
      <c r="AF825" s="443"/>
      <c r="AG825" s="443"/>
      <c r="AH825" s="443"/>
    </row>
    <row r="826" spans="1:34" ht="16.5">
      <c r="A826" s="728">
        <f t="shared" si="142"/>
        <v>819</v>
      </c>
      <c r="B826" s="563">
        <v>7</v>
      </c>
      <c r="C826" s="694">
        <v>36991</v>
      </c>
      <c r="D826" s="694" t="s">
        <v>147</v>
      </c>
      <c r="E826" s="695">
        <v>10</v>
      </c>
      <c r="F826" s="503">
        <v>2001</v>
      </c>
      <c r="G826" s="563" t="s">
        <v>101</v>
      </c>
      <c r="H826" s="503" t="s">
        <v>123</v>
      </c>
      <c r="I826" s="695">
        <v>100</v>
      </c>
      <c r="J826" s="695">
        <v>6</v>
      </c>
      <c r="K826" s="777">
        <f t="shared" si="141"/>
        <v>0.34090909090909088</v>
      </c>
      <c r="L826" s="968">
        <v>250000</v>
      </c>
      <c r="M826" s="503">
        <f t="shared" si="143"/>
        <v>23</v>
      </c>
      <c r="N826" s="504">
        <v>0.95833333333333337</v>
      </c>
      <c r="O826" s="719">
        <f t="shared" si="133"/>
        <v>0.95833333333333337</v>
      </c>
      <c r="P826" s="564">
        <v>0.96875</v>
      </c>
      <c r="Q826" s="564">
        <f t="shared" si="140"/>
        <v>1.041666666666663E-2</v>
      </c>
      <c r="R826" s="965" t="s">
        <v>1520</v>
      </c>
      <c r="S826" s="487" t="s">
        <v>240</v>
      </c>
      <c r="T826" s="29"/>
      <c r="U826" s="29" t="str">
        <f t="shared" si="134"/>
        <v>BeaverF1</v>
      </c>
      <c r="V826" s="29" t="str">
        <f t="shared" si="135"/>
        <v>2001F1</v>
      </c>
      <c r="W826" s="80">
        <v>100</v>
      </c>
      <c r="X826" s="32">
        <v>5</v>
      </c>
      <c r="Y826" s="467">
        <v>0.2</v>
      </c>
      <c r="Z826" s="80"/>
      <c r="AA826" s="29" t="str">
        <f t="shared" si="136"/>
        <v>F1100</v>
      </c>
      <c r="AB826" s="29" t="str">
        <f t="shared" si="137"/>
        <v>F15</v>
      </c>
      <c r="AC826" s="29" t="str">
        <f t="shared" si="138"/>
        <v>F10.2</v>
      </c>
      <c r="AD826" s="29" t="str">
        <f t="shared" si="139"/>
        <v>F123</v>
      </c>
      <c r="AE826" s="443"/>
      <c r="AF826" s="443"/>
      <c r="AG826" s="443"/>
      <c r="AH826" s="443"/>
    </row>
    <row r="827" spans="1:34" ht="16.5">
      <c r="A827" s="728">
        <f t="shared" si="142"/>
        <v>820</v>
      </c>
      <c r="B827" s="563">
        <v>8</v>
      </c>
      <c r="C827" s="694">
        <v>36991</v>
      </c>
      <c r="D827" s="694" t="s">
        <v>147</v>
      </c>
      <c r="E827" s="695">
        <v>10</v>
      </c>
      <c r="F827" s="503">
        <v>2001</v>
      </c>
      <c r="G827" s="563" t="s">
        <v>101</v>
      </c>
      <c r="H827" s="503" t="s">
        <v>122</v>
      </c>
      <c r="I827" s="695">
        <v>50</v>
      </c>
      <c r="J827" s="695">
        <v>2</v>
      </c>
      <c r="K827" s="777">
        <f t="shared" si="141"/>
        <v>5.6818181818181816E-2</v>
      </c>
      <c r="L827" s="968">
        <v>100000</v>
      </c>
      <c r="M827" s="503">
        <f t="shared" si="143"/>
        <v>23</v>
      </c>
      <c r="N827" s="504">
        <v>0.96527777777777779</v>
      </c>
      <c r="O827" s="719">
        <f t="shared" si="133"/>
        <v>0.96527777777777779</v>
      </c>
      <c r="P827" s="564">
        <v>0.97222222222222221</v>
      </c>
      <c r="Q827" s="564">
        <f t="shared" si="140"/>
        <v>6.9444444444444198E-3</v>
      </c>
      <c r="R827" s="965" t="s">
        <v>1520</v>
      </c>
      <c r="S827" s="487" t="s">
        <v>241</v>
      </c>
      <c r="T827" s="29"/>
      <c r="U827" s="29" t="str">
        <f t="shared" si="134"/>
        <v>BeaverF0</v>
      </c>
      <c r="V827" s="29" t="str">
        <f t="shared" si="135"/>
        <v>2001F0</v>
      </c>
      <c r="W827" s="80">
        <v>50</v>
      </c>
      <c r="X827" s="32">
        <v>2</v>
      </c>
      <c r="Y827" s="467">
        <v>0.05</v>
      </c>
      <c r="Z827" s="80"/>
      <c r="AA827" s="29" t="str">
        <f t="shared" si="136"/>
        <v>F050</v>
      </c>
      <c r="AB827" s="29" t="str">
        <f t="shared" si="137"/>
        <v>F02</v>
      </c>
      <c r="AC827" s="29" t="str">
        <f t="shared" si="138"/>
        <v>F00.05</v>
      </c>
      <c r="AD827" s="29" t="str">
        <f t="shared" si="139"/>
        <v>F023</v>
      </c>
      <c r="AE827" s="443"/>
      <c r="AF827" s="443"/>
      <c r="AG827" s="443"/>
      <c r="AH827" s="443"/>
    </row>
    <row r="828" spans="1:34" ht="16.5">
      <c r="A828" s="728">
        <f t="shared" si="142"/>
        <v>821</v>
      </c>
      <c r="B828" s="563">
        <v>9</v>
      </c>
      <c r="C828" s="694">
        <v>36991</v>
      </c>
      <c r="D828" s="694" t="s">
        <v>147</v>
      </c>
      <c r="E828" s="695">
        <v>10</v>
      </c>
      <c r="F828" s="503">
        <v>2001</v>
      </c>
      <c r="G828" s="563" t="s">
        <v>116</v>
      </c>
      <c r="H828" s="503" t="s">
        <v>124</v>
      </c>
      <c r="I828" s="695">
        <v>200</v>
      </c>
      <c r="J828" s="695">
        <v>6</v>
      </c>
      <c r="K828" s="777">
        <f t="shared" si="141"/>
        <v>0.68181818181818177</v>
      </c>
      <c r="L828" s="968">
        <v>150000</v>
      </c>
      <c r="M828" s="503">
        <f t="shared" si="143"/>
        <v>23</v>
      </c>
      <c r="N828" s="504">
        <v>0.97013888888888899</v>
      </c>
      <c r="O828" s="719">
        <f t="shared" si="133"/>
        <v>0.97013888888888899</v>
      </c>
      <c r="P828" s="564">
        <v>0.98055555555555562</v>
      </c>
      <c r="Q828" s="564">
        <f t="shared" si="140"/>
        <v>1.041666666666663E-2</v>
      </c>
      <c r="R828" s="965" t="s">
        <v>1520</v>
      </c>
      <c r="S828" s="487" t="s">
        <v>427</v>
      </c>
      <c r="T828" s="29"/>
      <c r="U828" s="29" t="str">
        <f t="shared" si="134"/>
        <v>WheelerF2</v>
      </c>
      <c r="V828" s="29" t="str">
        <f t="shared" si="135"/>
        <v>2001F2</v>
      </c>
      <c r="W828" s="80">
        <v>200</v>
      </c>
      <c r="X828" s="32">
        <v>5</v>
      </c>
      <c r="Y828" s="467">
        <v>0.5</v>
      </c>
      <c r="Z828" s="80"/>
      <c r="AA828" s="29" t="str">
        <f t="shared" si="136"/>
        <v>F2200</v>
      </c>
      <c r="AB828" s="29" t="str">
        <f t="shared" si="137"/>
        <v>F25</v>
      </c>
      <c r="AC828" s="29" t="str">
        <f t="shared" si="138"/>
        <v>F20.5</v>
      </c>
      <c r="AD828" s="29" t="str">
        <f t="shared" si="139"/>
        <v>F223</v>
      </c>
      <c r="AE828" s="443"/>
      <c r="AF828" s="443"/>
      <c r="AG828" s="443"/>
      <c r="AH828" s="443"/>
    </row>
    <row r="829" spans="1:34" ht="16.5">
      <c r="A829" s="728">
        <f t="shared" si="142"/>
        <v>822</v>
      </c>
      <c r="B829" s="563">
        <v>10</v>
      </c>
      <c r="C829" s="694">
        <v>37011</v>
      </c>
      <c r="D829" s="694" t="s">
        <v>147</v>
      </c>
      <c r="E829" s="695">
        <v>30</v>
      </c>
      <c r="F829" s="503">
        <v>2001</v>
      </c>
      <c r="G829" s="563" t="s">
        <v>114</v>
      </c>
      <c r="H829" s="503" t="s">
        <v>122</v>
      </c>
      <c r="I829" s="695">
        <v>10</v>
      </c>
      <c r="J829" s="695">
        <v>0.1</v>
      </c>
      <c r="K829" s="777">
        <f t="shared" si="141"/>
        <v>5.6818181818181826E-4</v>
      </c>
      <c r="L829" s="968">
        <v>0</v>
      </c>
      <c r="M829" s="503">
        <f t="shared" si="143"/>
        <v>19</v>
      </c>
      <c r="N829" s="504">
        <v>0.8208333333333333</v>
      </c>
      <c r="O829" s="719">
        <f t="shared" si="133"/>
        <v>0.8208333333333333</v>
      </c>
      <c r="P829" s="564">
        <v>0.82152777777777775</v>
      </c>
      <c r="Q829" s="564">
        <f t="shared" si="140"/>
        <v>6.9444444444444198E-4</v>
      </c>
      <c r="R829" s="965" t="s">
        <v>1520</v>
      </c>
      <c r="S829" s="487" t="s">
        <v>267</v>
      </c>
      <c r="T829" s="29"/>
      <c r="U829" s="29" t="str">
        <f t="shared" si="134"/>
        <v>CarsonF0</v>
      </c>
      <c r="V829" s="29" t="str">
        <f t="shared" si="135"/>
        <v>2001F0</v>
      </c>
      <c r="W829" s="80">
        <v>10</v>
      </c>
      <c r="X829" s="32">
        <v>0.1</v>
      </c>
      <c r="Y829" s="467">
        <v>5.0000000000000001E-4</v>
      </c>
      <c r="Z829" s="80"/>
      <c r="AA829" s="29" t="str">
        <f t="shared" si="136"/>
        <v>F010</v>
      </c>
      <c r="AB829" s="29" t="str">
        <f t="shared" si="137"/>
        <v>F00.1</v>
      </c>
      <c r="AC829" s="29" t="str">
        <f t="shared" si="138"/>
        <v>F00.0005</v>
      </c>
      <c r="AD829" s="29" t="str">
        <f t="shared" si="139"/>
        <v>F019</v>
      </c>
      <c r="AE829" s="443"/>
      <c r="AF829" s="443"/>
      <c r="AG829" s="443"/>
      <c r="AH829" s="443"/>
    </row>
    <row r="830" spans="1:34" ht="16.5">
      <c r="A830" s="728">
        <f t="shared" si="142"/>
        <v>823</v>
      </c>
      <c r="B830" s="563">
        <v>11</v>
      </c>
      <c r="C830" s="694">
        <v>37030</v>
      </c>
      <c r="D830" s="694" t="s">
        <v>148</v>
      </c>
      <c r="E830" s="695">
        <v>19</v>
      </c>
      <c r="F830" s="503">
        <v>2001</v>
      </c>
      <c r="G830" s="563" t="s">
        <v>110</v>
      </c>
      <c r="H830" s="503" t="s">
        <v>122</v>
      </c>
      <c r="I830" s="695">
        <v>25</v>
      </c>
      <c r="J830" s="695">
        <v>0.2</v>
      </c>
      <c r="K830" s="777">
        <f t="shared" si="141"/>
        <v>2.840909090909091E-3</v>
      </c>
      <c r="L830" s="968">
        <v>0</v>
      </c>
      <c r="M830" s="503">
        <f t="shared" si="143"/>
        <v>9</v>
      </c>
      <c r="N830" s="504">
        <v>0.40625</v>
      </c>
      <c r="O830" s="719">
        <f t="shared" si="133"/>
        <v>0.40625</v>
      </c>
      <c r="P830" s="564">
        <v>0.40763888888888888</v>
      </c>
      <c r="Q830" s="564">
        <f t="shared" si="140"/>
        <v>1.388888888888884E-3</v>
      </c>
      <c r="R830" s="965" t="s">
        <v>1520</v>
      </c>
      <c r="S830" s="487" t="s">
        <v>406</v>
      </c>
      <c r="T830" s="29"/>
      <c r="U830" s="29" t="str">
        <f t="shared" si="134"/>
        <v>RobertsF0</v>
      </c>
      <c r="V830" s="29" t="str">
        <f t="shared" si="135"/>
        <v>2001F0</v>
      </c>
      <c r="W830" s="80">
        <v>20</v>
      </c>
      <c r="X830" s="32">
        <v>0.2</v>
      </c>
      <c r="Y830" s="467">
        <v>2E-3</v>
      </c>
      <c r="Z830" s="80"/>
      <c r="AA830" s="29" t="str">
        <f t="shared" si="136"/>
        <v>F020</v>
      </c>
      <c r="AB830" s="29" t="str">
        <f t="shared" si="137"/>
        <v>F00.2</v>
      </c>
      <c r="AC830" s="29" t="str">
        <f t="shared" si="138"/>
        <v>F00.002</v>
      </c>
      <c r="AD830" s="29" t="str">
        <f t="shared" si="139"/>
        <v>F09</v>
      </c>
      <c r="AE830" s="443"/>
      <c r="AF830" s="443"/>
      <c r="AG830" s="443"/>
      <c r="AH830" s="443"/>
    </row>
    <row r="831" spans="1:34" ht="16.5">
      <c r="A831" s="728">
        <f t="shared" si="142"/>
        <v>824</v>
      </c>
      <c r="B831" s="563">
        <v>12</v>
      </c>
      <c r="C831" s="694">
        <v>37040</v>
      </c>
      <c r="D831" s="694" t="s">
        <v>148</v>
      </c>
      <c r="E831" s="695">
        <v>29</v>
      </c>
      <c r="F831" s="503">
        <v>2001</v>
      </c>
      <c r="G831" s="563" t="s">
        <v>118</v>
      </c>
      <c r="H831" s="503" t="s">
        <v>122</v>
      </c>
      <c r="I831" s="695">
        <v>25</v>
      </c>
      <c r="J831" s="695">
        <v>0.1</v>
      </c>
      <c r="K831" s="777">
        <f t="shared" si="141"/>
        <v>1.4204545454545455E-3</v>
      </c>
      <c r="L831" s="968">
        <v>0</v>
      </c>
      <c r="M831" s="503">
        <f t="shared" si="143"/>
        <v>16</v>
      </c>
      <c r="N831" s="504">
        <v>0.69791666666666663</v>
      </c>
      <c r="O831" s="719">
        <f t="shared" si="133"/>
        <v>0.69791666666666663</v>
      </c>
      <c r="P831" s="564">
        <v>0.69861111111111107</v>
      </c>
      <c r="Q831" s="564">
        <f t="shared" si="140"/>
        <v>6.9444444444444198E-4</v>
      </c>
      <c r="R831" s="965" t="s">
        <v>1520</v>
      </c>
      <c r="S831" s="487" t="s">
        <v>389</v>
      </c>
      <c r="T831" s="29"/>
      <c r="U831" s="29" t="str">
        <f t="shared" si="134"/>
        <v>RandallF0</v>
      </c>
      <c r="V831" s="29" t="str">
        <f t="shared" si="135"/>
        <v>2001F0</v>
      </c>
      <c r="W831" s="80">
        <v>20</v>
      </c>
      <c r="X831" s="32">
        <v>0.1</v>
      </c>
      <c r="Y831" s="467">
        <v>1E-3</v>
      </c>
      <c r="Z831" s="80"/>
      <c r="AA831" s="29" t="str">
        <f t="shared" si="136"/>
        <v>F020</v>
      </c>
      <c r="AB831" s="29" t="str">
        <f t="shared" si="137"/>
        <v>F00.1</v>
      </c>
      <c r="AC831" s="29" t="str">
        <f t="shared" si="138"/>
        <v>F00.001</v>
      </c>
      <c r="AD831" s="29" t="str">
        <f t="shared" si="139"/>
        <v>F016</v>
      </c>
      <c r="AE831" s="443"/>
      <c r="AF831" s="443"/>
      <c r="AG831" s="443"/>
      <c r="AH831" s="443"/>
    </row>
    <row r="832" spans="1:34" ht="16.5">
      <c r="A832" s="728">
        <f t="shared" si="142"/>
        <v>825</v>
      </c>
      <c r="B832" s="563">
        <v>13</v>
      </c>
      <c r="C832" s="694">
        <v>37040</v>
      </c>
      <c r="D832" s="694" t="s">
        <v>148</v>
      </c>
      <c r="E832" s="695">
        <v>29</v>
      </c>
      <c r="F832" s="503">
        <v>2001</v>
      </c>
      <c r="G832" s="563" t="s">
        <v>114</v>
      </c>
      <c r="H832" s="503" t="s">
        <v>122</v>
      </c>
      <c r="I832" s="695">
        <v>25</v>
      </c>
      <c r="J832" s="695">
        <v>0.2</v>
      </c>
      <c r="K832" s="777">
        <f t="shared" si="141"/>
        <v>2.840909090909091E-3</v>
      </c>
      <c r="L832" s="968">
        <v>0</v>
      </c>
      <c r="M832" s="503">
        <f t="shared" si="143"/>
        <v>17</v>
      </c>
      <c r="N832" s="504">
        <v>0.74652777777777779</v>
      </c>
      <c r="O832" s="719">
        <f t="shared" si="133"/>
        <v>0.74652777777777779</v>
      </c>
      <c r="P832" s="564">
        <v>0.74791666666666667</v>
      </c>
      <c r="Q832" s="564">
        <f t="shared" si="140"/>
        <v>1.388888888888884E-3</v>
      </c>
      <c r="R832" s="965" t="s">
        <v>1520</v>
      </c>
      <c r="S832" s="487" t="s">
        <v>268</v>
      </c>
      <c r="T832" s="29"/>
      <c r="U832" s="29" t="str">
        <f t="shared" si="134"/>
        <v>CarsonF0</v>
      </c>
      <c r="V832" s="29" t="str">
        <f t="shared" si="135"/>
        <v>2001F0</v>
      </c>
      <c r="W832" s="80">
        <v>20</v>
      </c>
      <c r="X832" s="32">
        <v>0.2</v>
      </c>
      <c r="Y832" s="467">
        <v>2E-3</v>
      </c>
      <c r="Z832" s="80"/>
      <c r="AA832" s="29" t="str">
        <f t="shared" si="136"/>
        <v>F020</v>
      </c>
      <c r="AB832" s="29" t="str">
        <f t="shared" si="137"/>
        <v>F00.2</v>
      </c>
      <c r="AC832" s="29" t="str">
        <f t="shared" si="138"/>
        <v>F00.002</v>
      </c>
      <c r="AD832" s="29" t="str">
        <f t="shared" si="139"/>
        <v>F017</v>
      </c>
      <c r="AE832" s="443"/>
      <c r="AF832" s="443"/>
      <c r="AG832" s="443"/>
      <c r="AH832" s="443"/>
    </row>
    <row r="833" spans="1:34" ht="16.5">
      <c r="A833" s="728">
        <f t="shared" si="142"/>
        <v>826</v>
      </c>
      <c r="B833" s="563">
        <v>14</v>
      </c>
      <c r="C833" s="694">
        <v>37040</v>
      </c>
      <c r="D833" s="694" t="s">
        <v>148</v>
      </c>
      <c r="E833" s="695">
        <v>29</v>
      </c>
      <c r="F833" s="503">
        <v>2001</v>
      </c>
      <c r="G833" s="563" t="s">
        <v>114</v>
      </c>
      <c r="H833" s="503" t="s">
        <v>122</v>
      </c>
      <c r="I833" s="695">
        <v>25</v>
      </c>
      <c r="J833" s="695">
        <v>0.1</v>
      </c>
      <c r="K833" s="777">
        <f t="shared" si="141"/>
        <v>1.4204545454545455E-3</v>
      </c>
      <c r="L833" s="968">
        <v>0</v>
      </c>
      <c r="M833" s="503">
        <f t="shared" si="143"/>
        <v>18</v>
      </c>
      <c r="N833" s="504">
        <v>0.75138888888888899</v>
      </c>
      <c r="O833" s="719">
        <f t="shared" si="133"/>
        <v>0.75138888888888899</v>
      </c>
      <c r="P833" s="564">
        <v>0.75208333333333333</v>
      </c>
      <c r="Q833" s="564">
        <f t="shared" si="140"/>
        <v>6.9444444444433095E-4</v>
      </c>
      <c r="R833" s="965" t="s">
        <v>1520</v>
      </c>
      <c r="S833" s="487" t="s">
        <v>269</v>
      </c>
      <c r="T833" s="29"/>
      <c r="U833" s="29" t="str">
        <f t="shared" si="134"/>
        <v>CarsonF0</v>
      </c>
      <c r="V833" s="29" t="str">
        <f t="shared" si="135"/>
        <v>2001F0</v>
      </c>
      <c r="W833" s="80">
        <v>20</v>
      </c>
      <c r="X833" s="32">
        <v>0.1</v>
      </c>
      <c r="Y833" s="467">
        <v>1E-3</v>
      </c>
      <c r="Z833" s="80"/>
      <c r="AA833" s="29" t="str">
        <f t="shared" si="136"/>
        <v>F020</v>
      </c>
      <c r="AB833" s="29" t="str">
        <f t="shared" si="137"/>
        <v>F00.1</v>
      </c>
      <c r="AC833" s="29" t="str">
        <f t="shared" si="138"/>
        <v>F00.001</v>
      </c>
      <c r="AD833" s="29" t="str">
        <f t="shared" si="139"/>
        <v>F018</v>
      </c>
      <c r="AE833" s="443"/>
      <c r="AF833" s="443"/>
      <c r="AG833" s="443"/>
      <c r="AH833" s="443"/>
    </row>
    <row r="834" spans="1:34" ht="16.5">
      <c r="A834" s="728">
        <f t="shared" si="142"/>
        <v>827</v>
      </c>
      <c r="B834" s="563">
        <v>15</v>
      </c>
      <c r="C834" s="694">
        <v>37040</v>
      </c>
      <c r="D834" s="694" t="s">
        <v>148</v>
      </c>
      <c r="E834" s="695">
        <v>29</v>
      </c>
      <c r="F834" s="503">
        <v>2001</v>
      </c>
      <c r="G834" s="563" t="s">
        <v>114</v>
      </c>
      <c r="H834" s="503" t="s">
        <v>122</v>
      </c>
      <c r="I834" s="695">
        <v>25</v>
      </c>
      <c r="J834" s="695">
        <v>0.1</v>
      </c>
      <c r="K834" s="777">
        <f t="shared" si="141"/>
        <v>1.4204545454545455E-3</v>
      </c>
      <c r="L834" s="968">
        <v>0</v>
      </c>
      <c r="M834" s="503">
        <f t="shared" si="143"/>
        <v>18</v>
      </c>
      <c r="N834" s="504">
        <v>0.75347222222222221</v>
      </c>
      <c r="O834" s="719">
        <f t="shared" si="133"/>
        <v>0.75347222222222221</v>
      </c>
      <c r="P834" s="564">
        <v>0.75486111111111109</v>
      </c>
      <c r="Q834" s="564">
        <f t="shared" si="140"/>
        <v>1.388888888888884E-3</v>
      </c>
      <c r="R834" s="965" t="s">
        <v>1520</v>
      </c>
      <c r="S834" s="487" t="s">
        <v>270</v>
      </c>
      <c r="T834" s="29"/>
      <c r="U834" s="29" t="str">
        <f t="shared" si="134"/>
        <v>CarsonF0</v>
      </c>
      <c r="V834" s="29" t="str">
        <f t="shared" si="135"/>
        <v>2001F0</v>
      </c>
      <c r="W834" s="80">
        <v>20</v>
      </c>
      <c r="X834" s="32">
        <v>0.1</v>
      </c>
      <c r="Y834" s="467">
        <v>1E-3</v>
      </c>
      <c r="Z834" s="80"/>
      <c r="AA834" s="29" t="str">
        <f t="shared" si="136"/>
        <v>F020</v>
      </c>
      <c r="AB834" s="29" t="str">
        <f t="shared" si="137"/>
        <v>F00.1</v>
      </c>
      <c r="AC834" s="29" t="str">
        <f t="shared" si="138"/>
        <v>F00.001</v>
      </c>
      <c r="AD834" s="29" t="str">
        <f t="shared" si="139"/>
        <v>F018</v>
      </c>
      <c r="AE834" s="443"/>
      <c r="AF834" s="443"/>
      <c r="AG834" s="443"/>
      <c r="AH834" s="443"/>
    </row>
    <row r="835" spans="1:34" ht="16.5">
      <c r="A835" s="728">
        <f t="shared" si="142"/>
        <v>828</v>
      </c>
      <c r="B835" s="563">
        <v>16</v>
      </c>
      <c r="C835" s="694">
        <v>37040</v>
      </c>
      <c r="D835" s="694" t="s">
        <v>148</v>
      </c>
      <c r="E835" s="695">
        <v>29</v>
      </c>
      <c r="F835" s="503">
        <v>2001</v>
      </c>
      <c r="G835" s="563" t="s">
        <v>114</v>
      </c>
      <c r="H835" s="503" t="s">
        <v>122</v>
      </c>
      <c r="I835" s="695">
        <v>20</v>
      </c>
      <c r="J835" s="695">
        <v>0.1</v>
      </c>
      <c r="K835" s="777">
        <f t="shared" si="141"/>
        <v>1.1363636363636365E-3</v>
      </c>
      <c r="L835" s="968">
        <v>0</v>
      </c>
      <c r="M835" s="503">
        <f t="shared" si="143"/>
        <v>18</v>
      </c>
      <c r="N835" s="504">
        <v>0.75486111111111109</v>
      </c>
      <c r="O835" s="719">
        <f t="shared" si="133"/>
        <v>0.75486111111111109</v>
      </c>
      <c r="P835" s="564">
        <v>0.75555555555555554</v>
      </c>
      <c r="Q835" s="564">
        <f t="shared" si="140"/>
        <v>6.9444444444444198E-4</v>
      </c>
      <c r="R835" s="965" t="s">
        <v>1520</v>
      </c>
      <c r="S835" s="487" t="s">
        <v>271</v>
      </c>
      <c r="T835" s="29"/>
      <c r="U835" s="29" t="str">
        <f t="shared" si="134"/>
        <v>CarsonF0</v>
      </c>
      <c r="V835" s="29" t="str">
        <f t="shared" si="135"/>
        <v>2001F0</v>
      </c>
      <c r="W835" s="80">
        <v>20</v>
      </c>
      <c r="X835" s="32">
        <v>0.1</v>
      </c>
      <c r="Y835" s="467">
        <v>1E-3</v>
      </c>
      <c r="Z835" s="80"/>
      <c r="AA835" s="29" t="str">
        <f t="shared" si="136"/>
        <v>F020</v>
      </c>
      <c r="AB835" s="29" t="str">
        <f t="shared" si="137"/>
        <v>F00.1</v>
      </c>
      <c r="AC835" s="29" t="str">
        <f t="shared" si="138"/>
        <v>F00.001</v>
      </c>
      <c r="AD835" s="29" t="str">
        <f t="shared" si="139"/>
        <v>F018</v>
      </c>
      <c r="AE835" s="443"/>
      <c r="AF835" s="443"/>
      <c r="AG835" s="443"/>
      <c r="AH835" s="443"/>
    </row>
    <row r="836" spans="1:34" ht="25.5">
      <c r="A836" s="728">
        <f t="shared" si="142"/>
        <v>829</v>
      </c>
      <c r="B836" s="563">
        <v>17</v>
      </c>
      <c r="C836" s="694">
        <v>37040</v>
      </c>
      <c r="D836" s="694" t="s">
        <v>148</v>
      </c>
      <c r="E836" s="695">
        <v>29</v>
      </c>
      <c r="F836" s="503">
        <v>2001</v>
      </c>
      <c r="G836" s="563" t="s">
        <v>114</v>
      </c>
      <c r="H836" s="503" t="s">
        <v>125</v>
      </c>
      <c r="I836" s="695">
        <v>440</v>
      </c>
      <c r="J836" s="695">
        <v>10</v>
      </c>
      <c r="K836" s="777">
        <f t="shared" si="141"/>
        <v>2.5</v>
      </c>
      <c r="L836" s="968">
        <v>250000</v>
      </c>
      <c r="M836" s="503">
        <f t="shared" si="143"/>
        <v>18</v>
      </c>
      <c r="N836" s="504">
        <v>0.76041666666666663</v>
      </c>
      <c r="O836" s="719">
        <f t="shared" si="133"/>
        <v>0.76041666666666663</v>
      </c>
      <c r="P836" s="564">
        <v>0.78125</v>
      </c>
      <c r="Q836" s="564">
        <f t="shared" si="140"/>
        <v>2.083333333333337E-2</v>
      </c>
      <c r="R836" s="965" t="s">
        <v>1520</v>
      </c>
      <c r="S836" s="487" t="s">
        <v>76</v>
      </c>
      <c r="T836" s="29"/>
      <c r="U836" s="29" t="str">
        <f t="shared" si="134"/>
        <v>CarsonF3</v>
      </c>
      <c r="V836" s="29" t="str">
        <f t="shared" si="135"/>
        <v>2001F3</v>
      </c>
      <c r="W836" s="80">
        <v>200</v>
      </c>
      <c r="X836" s="32">
        <v>10</v>
      </c>
      <c r="Y836" s="467">
        <v>2</v>
      </c>
      <c r="Z836" s="80"/>
      <c r="AA836" s="29" t="str">
        <f t="shared" si="136"/>
        <v>F3200</v>
      </c>
      <c r="AB836" s="29" t="str">
        <f t="shared" si="137"/>
        <v>F310</v>
      </c>
      <c r="AC836" s="29" t="str">
        <f t="shared" si="138"/>
        <v>F32</v>
      </c>
      <c r="AD836" s="29" t="str">
        <f t="shared" si="139"/>
        <v>F318</v>
      </c>
      <c r="AE836" s="443"/>
      <c r="AF836" s="443"/>
      <c r="AG836" s="443"/>
      <c r="AH836" s="443"/>
    </row>
    <row r="837" spans="1:34" ht="16.5">
      <c r="A837" s="728">
        <f t="shared" si="142"/>
        <v>830</v>
      </c>
      <c r="B837" s="563">
        <v>18</v>
      </c>
      <c r="C837" s="694">
        <v>37040</v>
      </c>
      <c r="D837" s="694" t="s">
        <v>148</v>
      </c>
      <c r="E837" s="695">
        <v>29</v>
      </c>
      <c r="F837" s="503">
        <v>2001</v>
      </c>
      <c r="G837" s="563" t="s">
        <v>114</v>
      </c>
      <c r="H837" s="503" t="s">
        <v>122</v>
      </c>
      <c r="I837" s="695">
        <v>20</v>
      </c>
      <c r="J837" s="695">
        <v>0.1</v>
      </c>
      <c r="K837" s="777">
        <f t="shared" si="141"/>
        <v>1.1363636363636365E-3</v>
      </c>
      <c r="L837" s="968">
        <v>0</v>
      </c>
      <c r="M837" s="503">
        <f t="shared" si="143"/>
        <v>18</v>
      </c>
      <c r="N837" s="504">
        <v>0.76666666666666661</v>
      </c>
      <c r="O837" s="719">
        <f t="shared" si="133"/>
        <v>0.76666666666666661</v>
      </c>
      <c r="P837" s="564">
        <v>0.7680555555555556</v>
      </c>
      <c r="Q837" s="564">
        <f t="shared" si="140"/>
        <v>1.388888888888995E-3</v>
      </c>
      <c r="R837" s="965" t="s">
        <v>1520</v>
      </c>
      <c r="S837" s="487" t="s">
        <v>272</v>
      </c>
      <c r="T837" s="29"/>
      <c r="U837" s="29" t="str">
        <f t="shared" si="134"/>
        <v>CarsonF0</v>
      </c>
      <c r="V837" s="29" t="str">
        <f t="shared" si="135"/>
        <v>2001F0</v>
      </c>
      <c r="W837" s="80">
        <v>20</v>
      </c>
      <c r="X837" s="32">
        <v>0.1</v>
      </c>
      <c r="Y837" s="467">
        <v>1E-3</v>
      </c>
      <c r="Z837" s="80"/>
      <c r="AA837" s="29" t="str">
        <f t="shared" si="136"/>
        <v>F020</v>
      </c>
      <c r="AB837" s="29" t="str">
        <f t="shared" si="137"/>
        <v>F00.1</v>
      </c>
      <c r="AC837" s="29" t="str">
        <f t="shared" si="138"/>
        <v>F00.001</v>
      </c>
      <c r="AD837" s="29" t="str">
        <f t="shared" si="139"/>
        <v>F018</v>
      </c>
      <c r="AE837" s="443"/>
      <c r="AF837" s="443"/>
      <c r="AG837" s="443"/>
      <c r="AH837" s="443"/>
    </row>
    <row r="838" spans="1:34" ht="16.5">
      <c r="A838" s="728">
        <f t="shared" si="142"/>
        <v>831</v>
      </c>
      <c r="B838" s="563">
        <v>19</v>
      </c>
      <c r="C838" s="694">
        <v>37151</v>
      </c>
      <c r="D838" s="694" t="s">
        <v>152</v>
      </c>
      <c r="E838" s="695">
        <v>17</v>
      </c>
      <c r="F838" s="503">
        <v>2001</v>
      </c>
      <c r="G838" s="563" t="s">
        <v>99</v>
      </c>
      <c r="H838" s="503" t="s">
        <v>122</v>
      </c>
      <c r="I838" s="695">
        <v>25</v>
      </c>
      <c r="J838" s="695">
        <v>0.1</v>
      </c>
      <c r="K838" s="777">
        <f t="shared" si="141"/>
        <v>1.4204545454545455E-3</v>
      </c>
      <c r="L838" s="968">
        <v>0</v>
      </c>
      <c r="M838" s="503">
        <f t="shared" si="143"/>
        <v>15</v>
      </c>
      <c r="N838" s="504">
        <v>0.66180555555555554</v>
      </c>
      <c r="O838" s="719">
        <f t="shared" si="133"/>
        <v>0.66180555555555554</v>
      </c>
      <c r="P838" s="564">
        <v>0.66249999999999998</v>
      </c>
      <c r="Q838" s="564">
        <f t="shared" si="140"/>
        <v>6.9444444444444198E-4</v>
      </c>
      <c r="R838" s="965" t="s">
        <v>1520</v>
      </c>
      <c r="S838" s="487" t="s">
        <v>209</v>
      </c>
      <c r="T838" s="29"/>
      <c r="U838" s="29" t="str">
        <f t="shared" si="134"/>
        <v>CimarronF0</v>
      </c>
      <c r="V838" s="29" t="str">
        <f t="shared" si="135"/>
        <v>2001F0</v>
      </c>
      <c r="W838" s="80">
        <v>20</v>
      </c>
      <c r="X838" s="32">
        <v>0.1</v>
      </c>
      <c r="Y838" s="467">
        <v>1E-3</v>
      </c>
      <c r="Z838" s="80"/>
      <c r="AA838" s="29" t="str">
        <f t="shared" si="136"/>
        <v>F020</v>
      </c>
      <c r="AB838" s="29" t="str">
        <f t="shared" si="137"/>
        <v>F00.1</v>
      </c>
      <c r="AC838" s="29" t="str">
        <f t="shared" si="138"/>
        <v>F00.001</v>
      </c>
      <c r="AD838" s="29" t="str">
        <f t="shared" si="139"/>
        <v>F015</v>
      </c>
      <c r="AE838" s="443"/>
      <c r="AF838" s="443"/>
      <c r="AG838" s="443"/>
      <c r="AH838" s="443"/>
    </row>
    <row r="839" spans="1:34" ht="25.5">
      <c r="A839" s="728">
        <f t="shared" si="142"/>
        <v>832</v>
      </c>
      <c r="B839" s="563">
        <v>20</v>
      </c>
      <c r="C839" s="694">
        <v>37153</v>
      </c>
      <c r="D839" s="694" t="s">
        <v>152</v>
      </c>
      <c r="E839" s="695">
        <v>19</v>
      </c>
      <c r="F839" s="503">
        <v>2001</v>
      </c>
      <c r="G839" s="563" t="s">
        <v>113</v>
      </c>
      <c r="H839" s="503" t="s">
        <v>122</v>
      </c>
      <c r="I839" s="695">
        <v>25</v>
      </c>
      <c r="J839" s="695">
        <v>0.1</v>
      </c>
      <c r="K839" s="777">
        <f t="shared" si="141"/>
        <v>1.4204545454545455E-3</v>
      </c>
      <c r="L839" s="968">
        <v>0</v>
      </c>
      <c r="M839" s="503">
        <f t="shared" si="143"/>
        <v>17</v>
      </c>
      <c r="N839" s="504">
        <v>0.74652777777777779</v>
      </c>
      <c r="O839" s="719">
        <f t="shared" ref="O839:O902" si="144">+N839</f>
        <v>0.74652777777777779</v>
      </c>
      <c r="P839" s="564">
        <v>0.74722222222222223</v>
      </c>
      <c r="Q839" s="564">
        <f t="shared" si="140"/>
        <v>6.9444444444444198E-4</v>
      </c>
      <c r="R839" s="965" t="s">
        <v>1520</v>
      </c>
      <c r="S839" s="487" t="s">
        <v>727</v>
      </c>
      <c r="T839" s="29"/>
      <c r="U839" s="29" t="str">
        <f t="shared" ref="U839:U902" si="145">CONCATENATE(G839,H839)</f>
        <v>PotterF0</v>
      </c>
      <c r="V839" s="29" t="str">
        <f t="shared" ref="V839:V902" si="146">CONCATENATE(F839,H839)</f>
        <v>2001F0</v>
      </c>
      <c r="W839" s="80">
        <v>20</v>
      </c>
      <c r="X839" s="32">
        <v>0.1</v>
      </c>
      <c r="Y839" s="467">
        <v>1E-3</v>
      </c>
      <c r="Z839" s="80"/>
      <c r="AA839" s="29" t="str">
        <f t="shared" ref="AA839:AA902" si="147">CONCATENATE(H839,W839)</f>
        <v>F020</v>
      </c>
      <c r="AB839" s="29" t="str">
        <f t="shared" ref="AB839:AB902" si="148">CONCATENATE(H839,X839)</f>
        <v>F00.1</v>
      </c>
      <c r="AC839" s="29" t="str">
        <f t="shared" ref="AC839:AC902" si="149">CONCATENATE(H839,Y839)</f>
        <v>F00.001</v>
      </c>
      <c r="AD839" s="29" t="str">
        <f t="shared" ref="AD839:AD902" si="150">CONCATENATE(H839,M839)</f>
        <v>F017</v>
      </c>
      <c r="AE839" s="443"/>
      <c r="AF839" s="443"/>
      <c r="AG839" s="443"/>
      <c r="AH839" s="443"/>
    </row>
    <row r="840" spans="1:34" ht="25.5">
      <c r="A840" s="728">
        <f t="shared" si="142"/>
        <v>833</v>
      </c>
      <c r="B840" s="563">
        <v>21</v>
      </c>
      <c r="C840" s="694">
        <v>37153</v>
      </c>
      <c r="D840" s="694" t="s">
        <v>152</v>
      </c>
      <c r="E840" s="695">
        <v>19</v>
      </c>
      <c r="F840" s="503">
        <v>2001</v>
      </c>
      <c r="G840" s="563" t="s">
        <v>114</v>
      </c>
      <c r="H840" s="503" t="s">
        <v>122</v>
      </c>
      <c r="I840" s="695">
        <v>25</v>
      </c>
      <c r="J840" s="695">
        <v>0.1</v>
      </c>
      <c r="K840" s="777">
        <f t="shared" si="141"/>
        <v>1.4204545454545455E-3</v>
      </c>
      <c r="L840" s="968">
        <v>0</v>
      </c>
      <c r="M840" s="503">
        <f t="shared" si="143"/>
        <v>17</v>
      </c>
      <c r="N840" s="504">
        <v>0.74722222222222223</v>
      </c>
      <c r="O840" s="719">
        <f t="shared" si="144"/>
        <v>0.74722222222222223</v>
      </c>
      <c r="P840" s="564">
        <v>0.74791666666666667</v>
      </c>
      <c r="Q840" s="564">
        <f t="shared" ref="Q840:Q903" si="151">+P840-O840</f>
        <v>6.9444444444444198E-4</v>
      </c>
      <c r="R840" s="965" t="s">
        <v>1520</v>
      </c>
      <c r="S840" s="487" t="s">
        <v>728</v>
      </c>
      <c r="T840" s="29"/>
      <c r="U840" s="29" t="str">
        <f t="shared" si="145"/>
        <v>CarsonF0</v>
      </c>
      <c r="V840" s="29" t="str">
        <f t="shared" si="146"/>
        <v>2001F0</v>
      </c>
      <c r="W840" s="80">
        <v>20</v>
      </c>
      <c r="X840" s="32">
        <v>0.1</v>
      </c>
      <c r="Y840" s="467">
        <v>1E-3</v>
      </c>
      <c r="Z840" s="80"/>
      <c r="AA840" s="29" t="str">
        <f t="shared" si="147"/>
        <v>F020</v>
      </c>
      <c r="AB840" s="29" t="str">
        <f t="shared" si="148"/>
        <v>F00.1</v>
      </c>
      <c r="AC840" s="29" t="str">
        <f t="shared" si="149"/>
        <v>F00.001</v>
      </c>
      <c r="AD840" s="29" t="str">
        <f t="shared" si="150"/>
        <v>F017</v>
      </c>
      <c r="AE840" s="443"/>
      <c r="AF840" s="443"/>
      <c r="AG840" s="443"/>
      <c r="AH840" s="443"/>
    </row>
    <row r="841" spans="1:34" ht="16.5">
      <c r="A841" s="728">
        <f t="shared" si="142"/>
        <v>834</v>
      </c>
      <c r="B841" s="563">
        <v>22</v>
      </c>
      <c r="C841" s="694">
        <v>37153</v>
      </c>
      <c r="D841" s="694" t="s">
        <v>152</v>
      </c>
      <c r="E841" s="695">
        <v>19</v>
      </c>
      <c r="F841" s="503">
        <v>2001</v>
      </c>
      <c r="G841" s="563" t="s">
        <v>101</v>
      </c>
      <c r="H841" s="503" t="s">
        <v>122</v>
      </c>
      <c r="I841" s="695">
        <v>25</v>
      </c>
      <c r="J841" s="695">
        <v>0.1</v>
      </c>
      <c r="K841" s="777">
        <f t="shared" ref="K841:K904" si="152">+(I841/1760)*J841</f>
        <v>1.4204545454545455E-3</v>
      </c>
      <c r="L841" s="968">
        <v>0</v>
      </c>
      <c r="M841" s="503">
        <f t="shared" si="143"/>
        <v>18</v>
      </c>
      <c r="N841" s="504">
        <v>0.77083333333333337</v>
      </c>
      <c r="O841" s="719">
        <f t="shared" si="144"/>
        <v>0.77083333333333337</v>
      </c>
      <c r="P841" s="564">
        <v>0.77222222222222225</v>
      </c>
      <c r="Q841" s="564">
        <f t="shared" si="151"/>
        <v>1.388888888888884E-3</v>
      </c>
      <c r="R841" s="965" t="s">
        <v>1520</v>
      </c>
      <c r="S841" s="487" t="s">
        <v>242</v>
      </c>
      <c r="T841" s="29"/>
      <c r="U841" s="29" t="str">
        <f t="shared" si="145"/>
        <v>BeaverF0</v>
      </c>
      <c r="V841" s="29" t="str">
        <f t="shared" si="146"/>
        <v>2001F0</v>
      </c>
      <c r="W841" s="80">
        <v>20</v>
      </c>
      <c r="X841" s="32">
        <v>0.1</v>
      </c>
      <c r="Y841" s="467">
        <v>1E-3</v>
      </c>
      <c r="Z841" s="80"/>
      <c r="AA841" s="29" t="str">
        <f t="shared" si="147"/>
        <v>F020</v>
      </c>
      <c r="AB841" s="29" t="str">
        <f t="shared" si="148"/>
        <v>F00.1</v>
      </c>
      <c r="AC841" s="29" t="str">
        <f t="shared" si="149"/>
        <v>F00.001</v>
      </c>
      <c r="AD841" s="29" t="str">
        <f t="shared" si="150"/>
        <v>F018</v>
      </c>
      <c r="AE841" s="443"/>
      <c r="AF841" s="443"/>
      <c r="AG841" s="443"/>
      <c r="AH841" s="443"/>
    </row>
    <row r="842" spans="1:34" ht="16.5">
      <c r="A842" s="728">
        <f t="shared" ref="A842:A905" si="153">+A841+1</f>
        <v>835</v>
      </c>
      <c r="B842" s="563">
        <v>1</v>
      </c>
      <c r="C842" s="694">
        <v>37381</v>
      </c>
      <c r="D842" s="694" t="s">
        <v>148</v>
      </c>
      <c r="E842" s="695">
        <v>5</v>
      </c>
      <c r="F842" s="503">
        <v>2002</v>
      </c>
      <c r="G842" s="563" t="s">
        <v>117</v>
      </c>
      <c r="H842" s="503" t="s">
        <v>122</v>
      </c>
      <c r="I842" s="695">
        <v>25</v>
      </c>
      <c r="J842" s="695">
        <v>0.1</v>
      </c>
      <c r="K842" s="777">
        <f t="shared" si="152"/>
        <v>1.4204545454545455E-3</v>
      </c>
      <c r="L842" s="968">
        <v>0</v>
      </c>
      <c r="M842" s="503">
        <f t="shared" si="143"/>
        <v>16</v>
      </c>
      <c r="N842" s="504">
        <v>0.68194444444444446</v>
      </c>
      <c r="O842" s="719">
        <f t="shared" si="144"/>
        <v>0.68194444444444446</v>
      </c>
      <c r="P842" s="564">
        <v>0.68402777777777779</v>
      </c>
      <c r="Q842" s="564">
        <f t="shared" si="151"/>
        <v>2.0833333333333259E-3</v>
      </c>
      <c r="R842" s="965" t="s">
        <v>1520</v>
      </c>
      <c r="S842" s="487" t="s">
        <v>290</v>
      </c>
      <c r="T842" s="29"/>
      <c r="U842" s="29" t="str">
        <f t="shared" si="145"/>
        <v>Deaf SmithF0</v>
      </c>
      <c r="V842" s="29" t="str">
        <f t="shared" si="146"/>
        <v>2002F0</v>
      </c>
      <c r="W842" s="80">
        <v>20</v>
      </c>
      <c r="X842" s="32">
        <v>0.1</v>
      </c>
      <c r="Y842" s="467">
        <v>1E-3</v>
      </c>
      <c r="Z842" s="80"/>
      <c r="AA842" s="29" t="str">
        <f t="shared" si="147"/>
        <v>F020</v>
      </c>
      <c r="AB842" s="29" t="str">
        <f t="shared" si="148"/>
        <v>F00.1</v>
      </c>
      <c r="AC842" s="29" t="str">
        <f t="shared" si="149"/>
        <v>F00.001</v>
      </c>
      <c r="AD842" s="29" t="str">
        <f t="shared" si="150"/>
        <v>F016</v>
      </c>
      <c r="AE842" s="443"/>
      <c r="AF842" s="443"/>
      <c r="AG842" s="443"/>
      <c r="AH842" s="443"/>
    </row>
    <row r="843" spans="1:34" ht="16.5">
      <c r="A843" s="728">
        <f t="shared" si="153"/>
        <v>836</v>
      </c>
      <c r="B843" s="563">
        <v>2</v>
      </c>
      <c r="C843" s="694">
        <v>37381</v>
      </c>
      <c r="D843" s="694" t="s">
        <v>148</v>
      </c>
      <c r="E843" s="695">
        <v>5</v>
      </c>
      <c r="F843" s="503">
        <v>2002</v>
      </c>
      <c r="G843" s="563" t="s">
        <v>117</v>
      </c>
      <c r="H843" s="503" t="s">
        <v>122</v>
      </c>
      <c r="I843" s="695">
        <v>50</v>
      </c>
      <c r="J843" s="695">
        <v>0.5</v>
      </c>
      <c r="K843" s="777">
        <f t="shared" si="152"/>
        <v>1.4204545454545454E-2</v>
      </c>
      <c r="L843" s="968">
        <v>0</v>
      </c>
      <c r="M843" s="503">
        <f t="shared" si="143"/>
        <v>16</v>
      </c>
      <c r="N843" s="504">
        <v>0.68819444444444444</v>
      </c>
      <c r="O843" s="719">
        <f t="shared" si="144"/>
        <v>0.68819444444444444</v>
      </c>
      <c r="P843" s="564">
        <v>0.69166666666666676</v>
      </c>
      <c r="Q843" s="564">
        <f t="shared" si="151"/>
        <v>3.4722222222223209E-3</v>
      </c>
      <c r="R843" s="965" t="s">
        <v>1520</v>
      </c>
      <c r="S843" s="487" t="s">
        <v>291</v>
      </c>
      <c r="T843" s="29"/>
      <c r="U843" s="29" t="str">
        <f t="shared" si="145"/>
        <v>Deaf SmithF0</v>
      </c>
      <c r="V843" s="29" t="str">
        <f t="shared" si="146"/>
        <v>2002F0</v>
      </c>
      <c r="W843" s="80">
        <v>50</v>
      </c>
      <c r="X843" s="32">
        <v>0.5</v>
      </c>
      <c r="Y843" s="467">
        <v>0.01</v>
      </c>
      <c r="Z843" s="80"/>
      <c r="AA843" s="29" t="str">
        <f t="shared" si="147"/>
        <v>F050</v>
      </c>
      <c r="AB843" s="29" t="str">
        <f t="shared" si="148"/>
        <v>F00.5</v>
      </c>
      <c r="AC843" s="29" t="str">
        <f t="shared" si="149"/>
        <v>F00.01</v>
      </c>
      <c r="AD843" s="29" t="str">
        <f t="shared" si="150"/>
        <v>F016</v>
      </c>
      <c r="AE843" s="443"/>
      <c r="AF843" s="443"/>
      <c r="AG843" s="443"/>
      <c r="AH843" s="443"/>
    </row>
    <row r="844" spans="1:34" ht="16.5">
      <c r="A844" s="728">
        <f t="shared" si="153"/>
        <v>837</v>
      </c>
      <c r="B844" s="563">
        <v>3</v>
      </c>
      <c r="C844" s="694">
        <v>37381</v>
      </c>
      <c r="D844" s="694" t="s">
        <v>148</v>
      </c>
      <c r="E844" s="695">
        <v>5</v>
      </c>
      <c r="F844" s="503">
        <v>2002</v>
      </c>
      <c r="G844" s="563" t="s">
        <v>109</v>
      </c>
      <c r="H844" s="503" t="s">
        <v>122</v>
      </c>
      <c r="I844" s="695">
        <v>25</v>
      </c>
      <c r="J844" s="695">
        <v>0.1</v>
      </c>
      <c r="K844" s="777">
        <f t="shared" si="152"/>
        <v>1.4204545454545455E-3</v>
      </c>
      <c r="L844" s="968">
        <v>0</v>
      </c>
      <c r="M844" s="503">
        <f t="shared" si="143"/>
        <v>16</v>
      </c>
      <c r="N844" s="504">
        <v>0.69097222222222221</v>
      </c>
      <c r="O844" s="719">
        <f t="shared" si="144"/>
        <v>0.69097222222222221</v>
      </c>
      <c r="P844" s="564">
        <v>0.69305555555555554</v>
      </c>
      <c r="Q844" s="564">
        <f t="shared" si="151"/>
        <v>2.0833333333333259E-3</v>
      </c>
      <c r="R844" s="965" t="s">
        <v>1520</v>
      </c>
      <c r="S844" s="487" t="s">
        <v>352</v>
      </c>
      <c r="T844" s="29"/>
      <c r="U844" s="29" t="str">
        <f t="shared" si="145"/>
        <v>HutchinsonF0</v>
      </c>
      <c r="V844" s="29" t="str">
        <f t="shared" si="146"/>
        <v>2002F0</v>
      </c>
      <c r="W844" s="80">
        <v>20</v>
      </c>
      <c r="X844" s="32">
        <v>0.1</v>
      </c>
      <c r="Y844" s="467">
        <v>1E-3</v>
      </c>
      <c r="Z844" s="80"/>
      <c r="AA844" s="29" t="str">
        <f t="shared" si="147"/>
        <v>F020</v>
      </c>
      <c r="AB844" s="29" t="str">
        <f t="shared" si="148"/>
        <v>F00.1</v>
      </c>
      <c r="AC844" s="29" t="str">
        <f t="shared" si="149"/>
        <v>F00.001</v>
      </c>
      <c r="AD844" s="29" t="str">
        <f t="shared" si="150"/>
        <v>F016</v>
      </c>
      <c r="AE844" s="443"/>
      <c r="AF844" s="443"/>
      <c r="AG844" s="443"/>
      <c r="AH844" s="443"/>
    </row>
    <row r="845" spans="1:34" ht="30.75" customHeight="1">
      <c r="A845" s="728">
        <f t="shared" si="153"/>
        <v>838</v>
      </c>
      <c r="B845" s="563">
        <v>4</v>
      </c>
      <c r="C845" s="694">
        <v>37381</v>
      </c>
      <c r="D845" s="694" t="s">
        <v>148</v>
      </c>
      <c r="E845" s="695">
        <v>5</v>
      </c>
      <c r="F845" s="503">
        <v>2002</v>
      </c>
      <c r="G845" s="563" t="s">
        <v>118</v>
      </c>
      <c r="H845" s="503" t="s">
        <v>124</v>
      </c>
      <c r="I845" s="695">
        <v>150</v>
      </c>
      <c r="J845" s="695">
        <v>2</v>
      </c>
      <c r="K845" s="777">
        <f t="shared" si="152"/>
        <v>0.17045454545454544</v>
      </c>
      <c r="L845" s="968">
        <v>40000</v>
      </c>
      <c r="M845" s="503">
        <f t="shared" si="143"/>
        <v>17</v>
      </c>
      <c r="N845" s="504">
        <v>0.74652777777777779</v>
      </c>
      <c r="O845" s="719">
        <f t="shared" si="144"/>
        <v>0.74652777777777779</v>
      </c>
      <c r="P845" s="564">
        <v>0.75138888888888899</v>
      </c>
      <c r="Q845" s="564">
        <f t="shared" si="151"/>
        <v>4.8611111111112049E-3</v>
      </c>
      <c r="R845" s="965" t="s">
        <v>1520</v>
      </c>
      <c r="S845" s="487" t="s">
        <v>67</v>
      </c>
      <c r="T845" s="29"/>
      <c r="U845" s="29" t="str">
        <f t="shared" si="145"/>
        <v>RandallF2</v>
      </c>
      <c r="V845" s="29" t="str">
        <f t="shared" si="146"/>
        <v>2002F2</v>
      </c>
      <c r="W845" s="80">
        <v>100</v>
      </c>
      <c r="X845" s="32">
        <v>2</v>
      </c>
      <c r="Y845" s="467">
        <v>0.1</v>
      </c>
      <c r="Z845" s="80"/>
      <c r="AA845" s="29" t="str">
        <f t="shared" si="147"/>
        <v>F2100</v>
      </c>
      <c r="AB845" s="29" t="str">
        <f t="shared" si="148"/>
        <v>F22</v>
      </c>
      <c r="AC845" s="29" t="str">
        <f t="shared" si="149"/>
        <v>F20.1</v>
      </c>
      <c r="AD845" s="29" t="str">
        <f t="shared" si="150"/>
        <v>F217</v>
      </c>
      <c r="AE845" s="443"/>
      <c r="AF845" s="443"/>
      <c r="AG845" s="443"/>
      <c r="AH845" s="443"/>
    </row>
    <row r="846" spans="1:34" ht="25.5">
      <c r="A846" s="728">
        <f t="shared" si="153"/>
        <v>839</v>
      </c>
      <c r="B846" s="563">
        <v>5</v>
      </c>
      <c r="C846" s="694">
        <v>37381</v>
      </c>
      <c r="D846" s="694" t="s">
        <v>148</v>
      </c>
      <c r="E846" s="695">
        <v>5</v>
      </c>
      <c r="F846" s="503">
        <v>2002</v>
      </c>
      <c r="G846" s="563" t="s">
        <v>118</v>
      </c>
      <c r="H846" s="503" t="s">
        <v>122</v>
      </c>
      <c r="I846" s="695">
        <v>25</v>
      </c>
      <c r="J846" s="695">
        <v>0.1</v>
      </c>
      <c r="K846" s="777">
        <f t="shared" si="152"/>
        <v>1.4204545454545455E-3</v>
      </c>
      <c r="L846" s="968">
        <v>0</v>
      </c>
      <c r="M846" s="503">
        <f t="shared" si="143"/>
        <v>17</v>
      </c>
      <c r="N846" s="504">
        <v>0.74791666666666667</v>
      </c>
      <c r="O846" s="719">
        <f t="shared" si="144"/>
        <v>0.74791666666666667</v>
      </c>
      <c r="P846" s="564">
        <v>0.74930555555555556</v>
      </c>
      <c r="Q846" s="564">
        <f t="shared" si="151"/>
        <v>1.388888888888884E-3</v>
      </c>
      <c r="R846" s="965" t="s">
        <v>1520</v>
      </c>
      <c r="S846" s="487" t="s">
        <v>444</v>
      </c>
      <c r="T846" s="29"/>
      <c r="U846" s="29" t="str">
        <f t="shared" si="145"/>
        <v>RandallF0</v>
      </c>
      <c r="V846" s="29" t="str">
        <f t="shared" si="146"/>
        <v>2002F0</v>
      </c>
      <c r="W846" s="80">
        <v>20</v>
      </c>
      <c r="X846" s="32">
        <v>0.1</v>
      </c>
      <c r="Y846" s="467">
        <v>1E-3</v>
      </c>
      <c r="Z846" s="80"/>
      <c r="AA846" s="29" t="str">
        <f t="shared" si="147"/>
        <v>F020</v>
      </c>
      <c r="AB846" s="29" t="str">
        <f t="shared" si="148"/>
        <v>F00.1</v>
      </c>
      <c r="AC846" s="29" t="str">
        <f t="shared" si="149"/>
        <v>F00.001</v>
      </c>
      <c r="AD846" s="29" t="str">
        <f t="shared" si="150"/>
        <v>F017</v>
      </c>
      <c r="AE846" s="443"/>
      <c r="AF846" s="443"/>
      <c r="AG846" s="443"/>
      <c r="AH846" s="443"/>
    </row>
    <row r="847" spans="1:34" ht="16.5">
      <c r="A847" s="728">
        <f t="shared" si="153"/>
        <v>840</v>
      </c>
      <c r="B847" s="563">
        <v>6</v>
      </c>
      <c r="C847" s="694">
        <v>37381</v>
      </c>
      <c r="D847" s="694" t="s">
        <v>148</v>
      </c>
      <c r="E847" s="695">
        <v>5</v>
      </c>
      <c r="F847" s="503">
        <v>2002</v>
      </c>
      <c r="G847" s="563" t="s">
        <v>119</v>
      </c>
      <c r="H847" s="503" t="s">
        <v>122</v>
      </c>
      <c r="I847" s="695">
        <v>50</v>
      </c>
      <c r="J847" s="695">
        <v>0.4</v>
      </c>
      <c r="K847" s="777">
        <f t="shared" si="152"/>
        <v>1.1363636363636364E-2</v>
      </c>
      <c r="L847" s="968">
        <v>0</v>
      </c>
      <c r="M847" s="503">
        <f t="shared" si="143"/>
        <v>18</v>
      </c>
      <c r="N847" s="504">
        <v>0.75763888888888886</v>
      </c>
      <c r="O847" s="719">
        <f t="shared" si="144"/>
        <v>0.75763888888888886</v>
      </c>
      <c r="P847" s="564">
        <v>0.76041666666666663</v>
      </c>
      <c r="Q847" s="564">
        <f t="shared" si="151"/>
        <v>2.7777777777777679E-3</v>
      </c>
      <c r="R847" s="965" t="s">
        <v>1520</v>
      </c>
      <c r="S847" s="487" t="s">
        <v>248</v>
      </c>
      <c r="T847" s="29"/>
      <c r="U847" s="29" t="str">
        <f t="shared" si="145"/>
        <v>ArmstrongF0</v>
      </c>
      <c r="V847" s="29" t="str">
        <f t="shared" si="146"/>
        <v>2002F0</v>
      </c>
      <c r="W847" s="80">
        <v>50</v>
      </c>
      <c r="X847" s="32">
        <v>0.2</v>
      </c>
      <c r="Y847" s="467">
        <v>0.01</v>
      </c>
      <c r="Z847" s="80"/>
      <c r="AA847" s="29" t="str">
        <f t="shared" si="147"/>
        <v>F050</v>
      </c>
      <c r="AB847" s="29" t="str">
        <f t="shared" si="148"/>
        <v>F00.2</v>
      </c>
      <c r="AC847" s="29" t="str">
        <f t="shared" si="149"/>
        <v>F00.01</v>
      </c>
      <c r="AD847" s="29" t="str">
        <f t="shared" si="150"/>
        <v>F018</v>
      </c>
      <c r="AE847" s="443"/>
      <c r="AF847" s="443"/>
      <c r="AG847" s="443"/>
      <c r="AH847" s="443"/>
    </row>
    <row r="848" spans="1:34" ht="16.5">
      <c r="A848" s="728">
        <f t="shared" si="153"/>
        <v>841</v>
      </c>
      <c r="B848" s="563">
        <v>7</v>
      </c>
      <c r="C848" s="694">
        <v>37381</v>
      </c>
      <c r="D848" s="694" t="s">
        <v>148</v>
      </c>
      <c r="E848" s="695">
        <v>5</v>
      </c>
      <c r="F848" s="503">
        <v>2002</v>
      </c>
      <c r="G848" s="563" t="s">
        <v>119</v>
      </c>
      <c r="H848" s="503" t="s">
        <v>122</v>
      </c>
      <c r="I848" s="695">
        <v>25</v>
      </c>
      <c r="J848" s="695">
        <v>0.3</v>
      </c>
      <c r="K848" s="777">
        <f t="shared" si="152"/>
        <v>4.261363636363636E-3</v>
      </c>
      <c r="L848" s="968">
        <v>0</v>
      </c>
      <c r="M848" s="503">
        <f t="shared" si="143"/>
        <v>18</v>
      </c>
      <c r="N848" s="504">
        <v>0.77083333333333337</v>
      </c>
      <c r="O848" s="719">
        <f t="shared" si="144"/>
        <v>0.77083333333333337</v>
      </c>
      <c r="P848" s="564">
        <v>0.7729166666666667</v>
      </c>
      <c r="Q848" s="564">
        <f t="shared" si="151"/>
        <v>2.0833333333333259E-3</v>
      </c>
      <c r="R848" s="965" t="s">
        <v>1520</v>
      </c>
      <c r="S848" s="487" t="s">
        <v>249</v>
      </c>
      <c r="T848" s="29"/>
      <c r="U848" s="29" t="str">
        <f t="shared" si="145"/>
        <v>ArmstrongF0</v>
      </c>
      <c r="V848" s="29" t="str">
        <f t="shared" si="146"/>
        <v>2002F0</v>
      </c>
      <c r="W848" s="80">
        <v>20</v>
      </c>
      <c r="X848" s="32">
        <v>0.2</v>
      </c>
      <c r="Y848" s="467">
        <v>2E-3</v>
      </c>
      <c r="Z848" s="80"/>
      <c r="AA848" s="29" t="str">
        <f t="shared" si="147"/>
        <v>F020</v>
      </c>
      <c r="AB848" s="29" t="str">
        <f t="shared" si="148"/>
        <v>F00.2</v>
      </c>
      <c r="AC848" s="29" t="str">
        <f t="shared" si="149"/>
        <v>F00.002</v>
      </c>
      <c r="AD848" s="29" t="str">
        <f t="shared" si="150"/>
        <v>F018</v>
      </c>
      <c r="AE848" s="443"/>
      <c r="AF848" s="443"/>
      <c r="AG848" s="443"/>
      <c r="AH848" s="443"/>
    </row>
    <row r="849" spans="1:34" ht="25.5">
      <c r="A849" s="728">
        <f t="shared" si="153"/>
        <v>842</v>
      </c>
      <c r="B849" s="563">
        <v>8</v>
      </c>
      <c r="C849" s="694">
        <v>37381</v>
      </c>
      <c r="D849" s="694" t="s">
        <v>148</v>
      </c>
      <c r="E849" s="695">
        <v>5</v>
      </c>
      <c r="F849" s="503">
        <v>2002</v>
      </c>
      <c r="G849" s="563" t="s">
        <v>119</v>
      </c>
      <c r="H849" s="503" t="s">
        <v>122</v>
      </c>
      <c r="I849" s="695">
        <v>25</v>
      </c>
      <c r="J849" s="695">
        <v>0.1</v>
      </c>
      <c r="K849" s="777">
        <f t="shared" si="152"/>
        <v>1.4204545454545455E-3</v>
      </c>
      <c r="L849" s="968">
        <v>0</v>
      </c>
      <c r="M849" s="503">
        <f t="shared" si="143"/>
        <v>18</v>
      </c>
      <c r="N849" s="504">
        <v>0.77430555555555547</v>
      </c>
      <c r="O849" s="719">
        <f t="shared" si="144"/>
        <v>0.77430555555555547</v>
      </c>
      <c r="P849" s="564">
        <v>0.77430555555555547</v>
      </c>
      <c r="Q849" s="564">
        <f t="shared" si="151"/>
        <v>0</v>
      </c>
      <c r="R849" s="965" t="s">
        <v>1520</v>
      </c>
      <c r="S849" s="487" t="s">
        <v>1421</v>
      </c>
      <c r="T849" s="29"/>
      <c r="U849" s="29" t="str">
        <f t="shared" si="145"/>
        <v>ArmstrongF0</v>
      </c>
      <c r="V849" s="29" t="str">
        <f t="shared" si="146"/>
        <v>2002F0</v>
      </c>
      <c r="W849" s="80">
        <v>20</v>
      </c>
      <c r="X849" s="32">
        <v>0.1</v>
      </c>
      <c r="Y849" s="467">
        <v>1E-3</v>
      </c>
      <c r="Z849" s="80"/>
      <c r="AA849" s="29" t="str">
        <f t="shared" si="147"/>
        <v>F020</v>
      </c>
      <c r="AB849" s="29" t="str">
        <f t="shared" si="148"/>
        <v>F00.1</v>
      </c>
      <c r="AC849" s="29" t="str">
        <f t="shared" si="149"/>
        <v>F00.001</v>
      </c>
      <c r="AD849" s="29" t="str">
        <f t="shared" si="150"/>
        <v>F018</v>
      </c>
      <c r="AE849" s="443"/>
      <c r="AF849" s="443"/>
      <c r="AG849" s="443"/>
      <c r="AH849" s="443"/>
    </row>
    <row r="850" spans="1:34" ht="16.5">
      <c r="A850" s="728">
        <f t="shared" si="153"/>
        <v>843</v>
      </c>
      <c r="B850" s="563">
        <v>9</v>
      </c>
      <c r="C850" s="694">
        <v>37381</v>
      </c>
      <c r="D850" s="694" t="s">
        <v>148</v>
      </c>
      <c r="E850" s="695">
        <v>5</v>
      </c>
      <c r="F850" s="503">
        <v>2002</v>
      </c>
      <c r="G850" s="563" t="s">
        <v>111</v>
      </c>
      <c r="H850" s="503" t="s">
        <v>122</v>
      </c>
      <c r="I850" s="695">
        <v>25</v>
      </c>
      <c r="J850" s="695">
        <v>2.5</v>
      </c>
      <c r="K850" s="777">
        <f t="shared" si="152"/>
        <v>3.5511363636363633E-2</v>
      </c>
      <c r="L850" s="968">
        <v>0</v>
      </c>
      <c r="M850" s="503">
        <f t="shared" si="143"/>
        <v>18</v>
      </c>
      <c r="N850" s="504">
        <v>0.78749999999999998</v>
      </c>
      <c r="O850" s="719">
        <f t="shared" si="144"/>
        <v>0.78749999999999998</v>
      </c>
      <c r="P850" s="564">
        <v>0.79027777777777775</v>
      </c>
      <c r="Q850" s="564">
        <f t="shared" si="151"/>
        <v>2.7777777777777679E-3</v>
      </c>
      <c r="R850" s="965" t="s">
        <v>1520</v>
      </c>
      <c r="S850" s="487" t="s">
        <v>43</v>
      </c>
      <c r="T850" s="29"/>
      <c r="U850" s="29" t="str">
        <f t="shared" si="145"/>
        <v>HemphillF0</v>
      </c>
      <c r="V850" s="29" t="str">
        <f t="shared" si="146"/>
        <v>2002F0</v>
      </c>
      <c r="W850" s="80">
        <v>20</v>
      </c>
      <c r="X850" s="32">
        <v>2</v>
      </c>
      <c r="Y850" s="467">
        <v>0.02</v>
      </c>
      <c r="Z850" s="80"/>
      <c r="AA850" s="29" t="str">
        <f t="shared" si="147"/>
        <v>F020</v>
      </c>
      <c r="AB850" s="29" t="str">
        <f t="shared" si="148"/>
        <v>F02</v>
      </c>
      <c r="AC850" s="29" t="str">
        <f t="shared" si="149"/>
        <v>F00.02</v>
      </c>
      <c r="AD850" s="29" t="str">
        <f t="shared" si="150"/>
        <v>F018</v>
      </c>
      <c r="AE850" s="443"/>
      <c r="AF850" s="443"/>
      <c r="AG850" s="443"/>
      <c r="AH850" s="443"/>
    </row>
    <row r="851" spans="1:34" ht="38.25">
      <c r="A851" s="728">
        <f t="shared" si="153"/>
        <v>844</v>
      </c>
      <c r="B851" s="563">
        <v>10</v>
      </c>
      <c r="C851" s="694">
        <v>37381</v>
      </c>
      <c r="D851" s="694" t="s">
        <v>148</v>
      </c>
      <c r="E851" s="695">
        <v>5</v>
      </c>
      <c r="F851" s="503">
        <v>2002</v>
      </c>
      <c r="G851" s="563" t="s">
        <v>111</v>
      </c>
      <c r="H851" s="503" t="s">
        <v>122</v>
      </c>
      <c r="I851" s="695">
        <v>25</v>
      </c>
      <c r="J851" s="695">
        <v>0.5</v>
      </c>
      <c r="K851" s="777">
        <f t="shared" si="152"/>
        <v>7.102272727272727E-3</v>
      </c>
      <c r="L851" s="968">
        <v>0</v>
      </c>
      <c r="M851" s="503">
        <f t="shared" si="143"/>
        <v>18</v>
      </c>
      <c r="N851" s="504">
        <v>0.79027777777777775</v>
      </c>
      <c r="O851" s="719">
        <f t="shared" si="144"/>
        <v>0.79027777777777775</v>
      </c>
      <c r="P851" s="564">
        <v>0.79027777777777775</v>
      </c>
      <c r="Q851" s="564">
        <f t="shared" si="151"/>
        <v>0</v>
      </c>
      <c r="R851" s="965" t="s">
        <v>1520</v>
      </c>
      <c r="S851" s="487" t="s">
        <v>1422</v>
      </c>
      <c r="T851" s="29"/>
      <c r="U851" s="29" t="str">
        <f t="shared" si="145"/>
        <v>HemphillF0</v>
      </c>
      <c r="V851" s="29" t="str">
        <f t="shared" si="146"/>
        <v>2002F0</v>
      </c>
      <c r="W851" s="80">
        <v>20</v>
      </c>
      <c r="X851" s="32">
        <v>0.5</v>
      </c>
      <c r="Y851" s="467">
        <v>5.0000000000000001E-3</v>
      </c>
      <c r="Z851" s="80"/>
      <c r="AA851" s="29" t="str">
        <f t="shared" si="147"/>
        <v>F020</v>
      </c>
      <c r="AB851" s="29" t="str">
        <f t="shared" si="148"/>
        <v>F00.5</v>
      </c>
      <c r="AC851" s="29" t="str">
        <f t="shared" si="149"/>
        <v>F00.005</v>
      </c>
      <c r="AD851" s="29" t="str">
        <f t="shared" si="150"/>
        <v>F018</v>
      </c>
      <c r="AE851" s="443"/>
      <c r="AF851" s="443"/>
      <c r="AG851" s="443"/>
      <c r="AH851" s="443"/>
    </row>
    <row r="852" spans="1:34" ht="16.5">
      <c r="A852" s="728">
        <f t="shared" si="153"/>
        <v>845</v>
      </c>
      <c r="B852" s="563">
        <v>11</v>
      </c>
      <c r="C852" s="694">
        <v>37381</v>
      </c>
      <c r="D852" s="694" t="s">
        <v>148</v>
      </c>
      <c r="E852" s="695">
        <v>5</v>
      </c>
      <c r="F852" s="503">
        <v>2002</v>
      </c>
      <c r="G852" s="563" t="s">
        <v>119</v>
      </c>
      <c r="H852" s="503" t="s">
        <v>122</v>
      </c>
      <c r="I852" s="695">
        <v>25</v>
      </c>
      <c r="J852" s="695">
        <v>0.2</v>
      </c>
      <c r="K852" s="777">
        <f t="shared" si="152"/>
        <v>2.840909090909091E-3</v>
      </c>
      <c r="L852" s="968">
        <v>0</v>
      </c>
      <c r="M852" s="503">
        <f t="shared" si="143"/>
        <v>19</v>
      </c>
      <c r="N852" s="504">
        <v>0.79861111111111116</v>
      </c>
      <c r="O852" s="719">
        <f t="shared" si="144"/>
        <v>0.79861111111111116</v>
      </c>
      <c r="P852" s="564">
        <v>0.80069444444444438</v>
      </c>
      <c r="Q852" s="564">
        <f t="shared" si="151"/>
        <v>2.0833333333332149E-3</v>
      </c>
      <c r="R852" s="965" t="s">
        <v>1520</v>
      </c>
      <c r="S852" s="487" t="s">
        <v>250</v>
      </c>
      <c r="T852" s="29"/>
      <c r="U852" s="29" t="str">
        <f t="shared" si="145"/>
        <v>ArmstrongF0</v>
      </c>
      <c r="V852" s="29" t="str">
        <f t="shared" si="146"/>
        <v>2002F0</v>
      </c>
      <c r="W852" s="80">
        <v>20</v>
      </c>
      <c r="X852" s="32">
        <v>0.2</v>
      </c>
      <c r="Y852" s="467">
        <v>2E-3</v>
      </c>
      <c r="Z852" s="80"/>
      <c r="AA852" s="29" t="str">
        <f t="shared" si="147"/>
        <v>F020</v>
      </c>
      <c r="AB852" s="29" t="str">
        <f t="shared" si="148"/>
        <v>F00.2</v>
      </c>
      <c r="AC852" s="29" t="str">
        <f t="shared" si="149"/>
        <v>F00.002</v>
      </c>
      <c r="AD852" s="29" t="str">
        <f t="shared" si="150"/>
        <v>F019</v>
      </c>
      <c r="AE852" s="443"/>
      <c r="AF852" s="443"/>
      <c r="AG852" s="443"/>
      <c r="AH852" s="443"/>
    </row>
    <row r="853" spans="1:34" ht="25.5">
      <c r="A853" s="728">
        <f t="shared" si="153"/>
        <v>846</v>
      </c>
      <c r="B853" s="563">
        <v>12</v>
      </c>
      <c r="C853" s="694">
        <v>37381</v>
      </c>
      <c r="D853" s="694" t="s">
        <v>148</v>
      </c>
      <c r="E853" s="695">
        <v>5</v>
      </c>
      <c r="F853" s="503">
        <v>2002</v>
      </c>
      <c r="G853" s="563" t="s">
        <v>121</v>
      </c>
      <c r="H853" s="503" t="s">
        <v>122</v>
      </c>
      <c r="I853" s="695">
        <v>25</v>
      </c>
      <c r="J853" s="695">
        <v>0.1</v>
      </c>
      <c r="K853" s="777">
        <f t="shared" si="152"/>
        <v>1.4204545454545455E-3</v>
      </c>
      <c r="L853" s="968">
        <v>0</v>
      </c>
      <c r="M853" s="503">
        <f t="shared" si="143"/>
        <v>20</v>
      </c>
      <c r="N853" s="504">
        <v>0.84375</v>
      </c>
      <c r="O853" s="719">
        <f t="shared" si="144"/>
        <v>0.84375</v>
      </c>
      <c r="P853" s="564">
        <v>0.84583333333333333</v>
      </c>
      <c r="Q853" s="564">
        <f t="shared" si="151"/>
        <v>2.0833333333333259E-3</v>
      </c>
      <c r="R853" s="965" t="s">
        <v>1520</v>
      </c>
      <c r="S853" s="487" t="s">
        <v>729</v>
      </c>
      <c r="T853" s="29"/>
      <c r="U853" s="29" t="str">
        <f t="shared" si="145"/>
        <v>CollingsworthF0</v>
      </c>
      <c r="V853" s="29" t="str">
        <f t="shared" si="146"/>
        <v>2002F0</v>
      </c>
      <c r="W853" s="80">
        <v>20</v>
      </c>
      <c r="X853" s="32">
        <v>0.1</v>
      </c>
      <c r="Y853" s="467">
        <v>1E-3</v>
      </c>
      <c r="Z853" s="80"/>
      <c r="AA853" s="29" t="str">
        <f t="shared" si="147"/>
        <v>F020</v>
      </c>
      <c r="AB853" s="29" t="str">
        <f t="shared" si="148"/>
        <v>F00.1</v>
      </c>
      <c r="AC853" s="29" t="str">
        <f t="shared" si="149"/>
        <v>F00.001</v>
      </c>
      <c r="AD853" s="29" t="str">
        <f t="shared" si="150"/>
        <v>F020</v>
      </c>
      <c r="AE853" s="443"/>
      <c r="AF853" s="443"/>
      <c r="AG853" s="443"/>
      <c r="AH853" s="443"/>
    </row>
    <row r="854" spans="1:34" ht="38.25">
      <c r="A854" s="728">
        <f t="shared" si="153"/>
        <v>847</v>
      </c>
      <c r="B854" s="563">
        <v>13</v>
      </c>
      <c r="C854" s="694">
        <v>37381</v>
      </c>
      <c r="D854" s="694" t="s">
        <v>148</v>
      </c>
      <c r="E854" s="695">
        <v>5</v>
      </c>
      <c r="F854" s="503">
        <v>2002</v>
      </c>
      <c r="G854" s="563" t="s">
        <v>120</v>
      </c>
      <c r="H854" s="503" t="s">
        <v>122</v>
      </c>
      <c r="I854" s="695">
        <v>25</v>
      </c>
      <c r="J854" s="695">
        <v>0.1</v>
      </c>
      <c r="K854" s="777">
        <f t="shared" si="152"/>
        <v>1.4204545454545455E-3</v>
      </c>
      <c r="L854" s="968">
        <v>0</v>
      </c>
      <c r="M854" s="503">
        <f t="shared" si="143"/>
        <v>20</v>
      </c>
      <c r="N854" s="504">
        <v>0.84375</v>
      </c>
      <c r="O854" s="719">
        <f t="shared" si="144"/>
        <v>0.84375</v>
      </c>
      <c r="P854" s="564">
        <v>0.84375</v>
      </c>
      <c r="Q854" s="564">
        <f t="shared" si="151"/>
        <v>0</v>
      </c>
      <c r="R854" s="965" t="s">
        <v>1520</v>
      </c>
      <c r="S854" s="487" t="s">
        <v>1423</v>
      </c>
      <c r="T854" s="29"/>
      <c r="U854" s="29" t="str">
        <f t="shared" si="145"/>
        <v>DonleyF0</v>
      </c>
      <c r="V854" s="29" t="str">
        <f t="shared" si="146"/>
        <v>2002F0</v>
      </c>
      <c r="W854" s="80">
        <v>20</v>
      </c>
      <c r="X854" s="32">
        <v>0.1</v>
      </c>
      <c r="Y854" s="467">
        <v>1E-3</v>
      </c>
      <c r="Z854" s="80"/>
      <c r="AA854" s="29" t="str">
        <f t="shared" si="147"/>
        <v>F020</v>
      </c>
      <c r="AB854" s="29" t="str">
        <f t="shared" si="148"/>
        <v>F00.1</v>
      </c>
      <c r="AC854" s="29" t="str">
        <f t="shared" si="149"/>
        <v>F00.001</v>
      </c>
      <c r="AD854" s="29" t="str">
        <f t="shared" si="150"/>
        <v>F020</v>
      </c>
      <c r="AE854" s="443"/>
      <c r="AF854" s="443"/>
      <c r="AG854" s="443"/>
      <c r="AH854" s="443"/>
    </row>
    <row r="855" spans="1:34" ht="16.5">
      <c r="A855" s="728">
        <f t="shared" si="153"/>
        <v>848</v>
      </c>
      <c r="B855" s="563">
        <v>14</v>
      </c>
      <c r="C855" s="694">
        <v>37387</v>
      </c>
      <c r="D855" s="694" t="s">
        <v>148</v>
      </c>
      <c r="E855" s="695">
        <v>11</v>
      </c>
      <c r="F855" s="503">
        <v>2002</v>
      </c>
      <c r="G855" s="563" t="s">
        <v>108</v>
      </c>
      <c r="H855" s="503" t="s">
        <v>122</v>
      </c>
      <c r="I855" s="695">
        <v>25</v>
      </c>
      <c r="J855" s="695">
        <v>0.1</v>
      </c>
      <c r="K855" s="777">
        <f t="shared" si="152"/>
        <v>1.4204545454545455E-3</v>
      </c>
      <c r="L855" s="968">
        <v>0</v>
      </c>
      <c r="M855" s="503">
        <f t="shared" si="143"/>
        <v>0</v>
      </c>
      <c r="N855" s="504">
        <v>3.5416666666666666E-2</v>
      </c>
      <c r="O855" s="719">
        <f t="shared" si="144"/>
        <v>3.5416666666666666E-2</v>
      </c>
      <c r="P855" s="564">
        <v>3.6805555555555557E-2</v>
      </c>
      <c r="Q855" s="564">
        <f t="shared" si="151"/>
        <v>1.3888888888888909E-3</v>
      </c>
      <c r="R855" s="965" t="s">
        <v>1520</v>
      </c>
      <c r="S855" s="487" t="s">
        <v>367</v>
      </c>
      <c r="T855" s="29"/>
      <c r="U855" s="29" t="str">
        <f t="shared" si="145"/>
        <v>MooreF0</v>
      </c>
      <c r="V855" s="29" t="str">
        <f t="shared" si="146"/>
        <v>2002F0</v>
      </c>
      <c r="W855" s="80">
        <v>20</v>
      </c>
      <c r="X855" s="32">
        <v>0.1</v>
      </c>
      <c r="Y855" s="467">
        <v>1E-3</v>
      </c>
      <c r="Z855" s="80"/>
      <c r="AA855" s="29" t="str">
        <f t="shared" si="147"/>
        <v>F020</v>
      </c>
      <c r="AB855" s="29" t="str">
        <f t="shared" si="148"/>
        <v>F00.1</v>
      </c>
      <c r="AC855" s="29" t="str">
        <f t="shared" si="149"/>
        <v>F00.001</v>
      </c>
      <c r="AD855" s="29" t="str">
        <f t="shared" si="150"/>
        <v>F00</v>
      </c>
      <c r="AE855" s="443"/>
      <c r="AF855" s="443"/>
      <c r="AG855" s="443"/>
      <c r="AH855" s="443"/>
    </row>
    <row r="856" spans="1:34" ht="16.5">
      <c r="A856" s="728">
        <f t="shared" si="153"/>
        <v>849</v>
      </c>
      <c r="B856" s="563">
        <v>15</v>
      </c>
      <c r="C856" s="694">
        <v>37392</v>
      </c>
      <c r="D856" s="694" t="s">
        <v>148</v>
      </c>
      <c r="E856" s="695">
        <v>16</v>
      </c>
      <c r="F856" s="503">
        <v>2002</v>
      </c>
      <c r="G856" s="563" t="s">
        <v>100</v>
      </c>
      <c r="H856" s="503" t="s">
        <v>122</v>
      </c>
      <c r="I856" s="695">
        <v>25</v>
      </c>
      <c r="J856" s="695">
        <v>0.1</v>
      </c>
      <c r="K856" s="777">
        <f t="shared" si="152"/>
        <v>1.4204545454545455E-3</v>
      </c>
      <c r="L856" s="968">
        <v>0</v>
      </c>
      <c r="M856" s="503">
        <f t="shared" si="143"/>
        <v>18</v>
      </c>
      <c r="N856" s="504">
        <v>0.75</v>
      </c>
      <c r="O856" s="719">
        <f t="shared" si="144"/>
        <v>0.75</v>
      </c>
      <c r="P856" s="564">
        <v>0.75138888888888899</v>
      </c>
      <c r="Q856" s="564">
        <f t="shared" si="151"/>
        <v>1.388888888888995E-3</v>
      </c>
      <c r="R856" s="965" t="s">
        <v>1520</v>
      </c>
      <c r="S856" s="487" t="s">
        <v>225</v>
      </c>
      <c r="T856" s="29"/>
      <c r="U856" s="29" t="str">
        <f t="shared" si="145"/>
        <v>TexasF0</v>
      </c>
      <c r="V856" s="29" t="str">
        <f t="shared" si="146"/>
        <v>2002F0</v>
      </c>
      <c r="W856" s="80">
        <v>20</v>
      </c>
      <c r="X856" s="32">
        <v>0.1</v>
      </c>
      <c r="Y856" s="467">
        <v>1E-3</v>
      </c>
      <c r="Z856" s="80"/>
      <c r="AA856" s="29" t="str">
        <f t="shared" si="147"/>
        <v>F020</v>
      </c>
      <c r="AB856" s="29" t="str">
        <f t="shared" si="148"/>
        <v>F00.1</v>
      </c>
      <c r="AC856" s="29" t="str">
        <f t="shared" si="149"/>
        <v>F00.001</v>
      </c>
      <c r="AD856" s="29" t="str">
        <f t="shared" si="150"/>
        <v>F018</v>
      </c>
      <c r="AE856" s="443"/>
      <c r="AF856" s="443"/>
      <c r="AG856" s="443"/>
      <c r="AH856" s="443"/>
    </row>
    <row r="857" spans="1:34" ht="16.5">
      <c r="A857" s="728">
        <f t="shared" si="153"/>
        <v>850</v>
      </c>
      <c r="B857" s="563">
        <v>16</v>
      </c>
      <c r="C857" s="694">
        <v>37392</v>
      </c>
      <c r="D857" s="694" t="s">
        <v>148</v>
      </c>
      <c r="E857" s="695">
        <v>16</v>
      </c>
      <c r="F857" s="503">
        <v>2002</v>
      </c>
      <c r="G857" s="563" t="s">
        <v>100</v>
      </c>
      <c r="H857" s="503" t="s">
        <v>122</v>
      </c>
      <c r="I857" s="695">
        <v>25</v>
      </c>
      <c r="J857" s="695">
        <v>0.1</v>
      </c>
      <c r="K857" s="777">
        <f t="shared" si="152"/>
        <v>1.4204545454545455E-3</v>
      </c>
      <c r="L857" s="968">
        <v>0</v>
      </c>
      <c r="M857" s="503">
        <f t="shared" si="143"/>
        <v>18</v>
      </c>
      <c r="N857" s="504">
        <v>0.77777777777777779</v>
      </c>
      <c r="O857" s="719">
        <f t="shared" si="144"/>
        <v>0.77777777777777779</v>
      </c>
      <c r="P857" s="564">
        <v>0.77986111111111101</v>
      </c>
      <c r="Q857" s="564">
        <f t="shared" si="151"/>
        <v>2.0833333333332149E-3</v>
      </c>
      <c r="R857" s="965" t="s">
        <v>1520</v>
      </c>
      <c r="S857" s="487" t="s">
        <v>226</v>
      </c>
      <c r="T857" s="29"/>
      <c r="U857" s="29" t="str">
        <f t="shared" si="145"/>
        <v>TexasF0</v>
      </c>
      <c r="V857" s="29" t="str">
        <f t="shared" si="146"/>
        <v>2002F0</v>
      </c>
      <c r="W857" s="80">
        <v>20</v>
      </c>
      <c r="X857" s="32">
        <v>0.1</v>
      </c>
      <c r="Y857" s="467">
        <v>1E-3</v>
      </c>
      <c r="Z857" s="80"/>
      <c r="AA857" s="29" t="str">
        <f t="shared" si="147"/>
        <v>F020</v>
      </c>
      <c r="AB857" s="29" t="str">
        <f t="shared" si="148"/>
        <v>F00.1</v>
      </c>
      <c r="AC857" s="29" t="str">
        <f t="shared" si="149"/>
        <v>F00.001</v>
      </c>
      <c r="AD857" s="29" t="str">
        <f t="shared" si="150"/>
        <v>F018</v>
      </c>
      <c r="AE857" s="443"/>
      <c r="AF857" s="443"/>
      <c r="AG857" s="443"/>
      <c r="AH857" s="443"/>
    </row>
    <row r="858" spans="1:34" ht="16.5">
      <c r="A858" s="728">
        <f t="shared" si="153"/>
        <v>851</v>
      </c>
      <c r="B858" s="563">
        <v>17</v>
      </c>
      <c r="C858" s="694">
        <v>37392</v>
      </c>
      <c r="D858" s="694" t="s">
        <v>148</v>
      </c>
      <c r="E858" s="695">
        <v>16</v>
      </c>
      <c r="F858" s="503">
        <v>2002</v>
      </c>
      <c r="G858" s="563" t="s">
        <v>109</v>
      </c>
      <c r="H858" s="503" t="s">
        <v>123</v>
      </c>
      <c r="I858" s="695">
        <v>100</v>
      </c>
      <c r="J858" s="695">
        <v>0.1</v>
      </c>
      <c r="K858" s="777">
        <f t="shared" si="152"/>
        <v>5.681818181818182E-3</v>
      </c>
      <c r="L858" s="968">
        <v>35000</v>
      </c>
      <c r="M858" s="503">
        <f t="shared" si="143"/>
        <v>19</v>
      </c>
      <c r="N858" s="504">
        <v>0.82638888888888884</v>
      </c>
      <c r="O858" s="719">
        <f t="shared" si="144"/>
        <v>0.82638888888888884</v>
      </c>
      <c r="P858" s="564">
        <v>0.82986111111111116</v>
      </c>
      <c r="Q858" s="564">
        <f t="shared" si="151"/>
        <v>3.4722222222223209E-3</v>
      </c>
      <c r="R858" s="965" t="s">
        <v>1520</v>
      </c>
      <c r="S858" s="487" t="s">
        <v>353</v>
      </c>
      <c r="T858" s="29"/>
      <c r="U858" s="29" t="str">
        <f t="shared" si="145"/>
        <v>HutchinsonF1</v>
      </c>
      <c r="V858" s="29" t="str">
        <f t="shared" si="146"/>
        <v>2002F1</v>
      </c>
      <c r="W858" s="80">
        <v>100</v>
      </c>
      <c r="X858" s="32">
        <v>0.1</v>
      </c>
      <c r="Y858" s="467">
        <v>5.0000000000000001E-3</v>
      </c>
      <c r="Z858" s="80"/>
      <c r="AA858" s="29" t="str">
        <f t="shared" si="147"/>
        <v>F1100</v>
      </c>
      <c r="AB858" s="29" t="str">
        <f t="shared" si="148"/>
        <v>F10.1</v>
      </c>
      <c r="AC858" s="29" t="str">
        <f t="shared" si="149"/>
        <v>F10.005</v>
      </c>
      <c r="AD858" s="29" t="str">
        <f t="shared" si="150"/>
        <v>F119</v>
      </c>
      <c r="AE858" s="443"/>
      <c r="AF858" s="443"/>
      <c r="AG858" s="443"/>
      <c r="AH858" s="443"/>
    </row>
    <row r="859" spans="1:34" ht="16.5">
      <c r="A859" s="728">
        <f t="shared" si="153"/>
        <v>852</v>
      </c>
      <c r="B859" s="563">
        <v>18</v>
      </c>
      <c r="C859" s="694">
        <v>37399</v>
      </c>
      <c r="D859" s="694" t="s">
        <v>148</v>
      </c>
      <c r="E859" s="695">
        <v>23</v>
      </c>
      <c r="F859" s="503">
        <v>2002</v>
      </c>
      <c r="G859" s="563" t="s">
        <v>106</v>
      </c>
      <c r="H859" s="503" t="s">
        <v>122</v>
      </c>
      <c r="I859" s="695">
        <v>25</v>
      </c>
      <c r="J859" s="695">
        <v>0.1</v>
      </c>
      <c r="K859" s="777">
        <f t="shared" si="152"/>
        <v>1.4204545454545455E-3</v>
      </c>
      <c r="L859" s="968">
        <v>0</v>
      </c>
      <c r="M859" s="503">
        <f t="shared" si="143"/>
        <v>17</v>
      </c>
      <c r="N859" s="504">
        <v>0.72916666666666663</v>
      </c>
      <c r="O859" s="719">
        <f t="shared" si="144"/>
        <v>0.72916666666666663</v>
      </c>
      <c r="P859" s="564">
        <v>0.73055555555555562</v>
      </c>
      <c r="Q859" s="564">
        <f t="shared" si="151"/>
        <v>1.388888888888995E-3</v>
      </c>
      <c r="R859" s="965" t="s">
        <v>1520</v>
      </c>
      <c r="S859" s="487" t="s">
        <v>358</v>
      </c>
      <c r="T859" s="29"/>
      <c r="U859" s="29" t="str">
        <f t="shared" si="145"/>
        <v>LipscombF0</v>
      </c>
      <c r="V859" s="29" t="str">
        <f t="shared" si="146"/>
        <v>2002F0</v>
      </c>
      <c r="W859" s="80">
        <v>20</v>
      </c>
      <c r="X859" s="32">
        <v>0.1</v>
      </c>
      <c r="Y859" s="467">
        <v>1E-3</v>
      </c>
      <c r="Z859" s="80"/>
      <c r="AA859" s="29" t="str">
        <f t="shared" si="147"/>
        <v>F020</v>
      </c>
      <c r="AB859" s="29" t="str">
        <f t="shared" si="148"/>
        <v>F00.1</v>
      </c>
      <c r="AC859" s="29" t="str">
        <f t="shared" si="149"/>
        <v>F00.001</v>
      </c>
      <c r="AD859" s="29" t="str">
        <f t="shared" si="150"/>
        <v>F017</v>
      </c>
      <c r="AE859" s="443"/>
      <c r="AF859" s="443"/>
      <c r="AG859" s="443"/>
      <c r="AH859" s="443"/>
    </row>
    <row r="860" spans="1:34" ht="16.5">
      <c r="A860" s="728">
        <f t="shared" si="153"/>
        <v>853</v>
      </c>
      <c r="B860" s="563">
        <v>19</v>
      </c>
      <c r="C860" s="694">
        <v>37399</v>
      </c>
      <c r="D860" s="694" t="s">
        <v>148</v>
      </c>
      <c r="E860" s="695">
        <v>23</v>
      </c>
      <c r="F860" s="503">
        <v>2002</v>
      </c>
      <c r="G860" s="563" t="s">
        <v>109</v>
      </c>
      <c r="H860" s="503" t="s">
        <v>122</v>
      </c>
      <c r="I860" s="695">
        <v>25</v>
      </c>
      <c r="J860" s="695">
        <v>0.1</v>
      </c>
      <c r="K860" s="777">
        <f t="shared" si="152"/>
        <v>1.4204545454545455E-3</v>
      </c>
      <c r="L860" s="968">
        <v>0</v>
      </c>
      <c r="M860" s="503">
        <f t="shared" si="143"/>
        <v>19</v>
      </c>
      <c r="N860" s="504">
        <v>0.82152777777777775</v>
      </c>
      <c r="O860" s="719">
        <f t="shared" si="144"/>
        <v>0.82152777777777775</v>
      </c>
      <c r="P860" s="564">
        <v>0.82291666666666663</v>
      </c>
      <c r="Q860" s="564">
        <f t="shared" si="151"/>
        <v>1.388888888888884E-3</v>
      </c>
      <c r="R860" s="965" t="s">
        <v>1520</v>
      </c>
      <c r="S860" s="487" t="s">
        <v>354</v>
      </c>
      <c r="T860" s="29"/>
      <c r="U860" s="29" t="str">
        <f t="shared" si="145"/>
        <v>HutchinsonF0</v>
      </c>
      <c r="V860" s="29" t="str">
        <f t="shared" si="146"/>
        <v>2002F0</v>
      </c>
      <c r="W860" s="80">
        <v>20</v>
      </c>
      <c r="X860" s="32">
        <v>0.1</v>
      </c>
      <c r="Y860" s="467">
        <v>1E-3</v>
      </c>
      <c r="Z860" s="80"/>
      <c r="AA860" s="29" t="str">
        <f t="shared" si="147"/>
        <v>F020</v>
      </c>
      <c r="AB860" s="29" t="str">
        <f t="shared" si="148"/>
        <v>F00.1</v>
      </c>
      <c r="AC860" s="29" t="str">
        <f t="shared" si="149"/>
        <v>F00.001</v>
      </c>
      <c r="AD860" s="29" t="str">
        <f t="shared" si="150"/>
        <v>F019</v>
      </c>
      <c r="AE860" s="443"/>
      <c r="AF860" s="443"/>
      <c r="AG860" s="443"/>
      <c r="AH860" s="443"/>
    </row>
    <row r="861" spans="1:34" ht="16.5">
      <c r="A861" s="728">
        <f t="shared" si="153"/>
        <v>854</v>
      </c>
      <c r="B861" s="563">
        <v>20</v>
      </c>
      <c r="C861" s="694">
        <v>37399</v>
      </c>
      <c r="D861" s="694" t="s">
        <v>148</v>
      </c>
      <c r="E861" s="695">
        <v>23</v>
      </c>
      <c r="F861" s="503">
        <v>2002</v>
      </c>
      <c r="G861" s="563" t="s">
        <v>109</v>
      </c>
      <c r="H861" s="503" t="s">
        <v>122</v>
      </c>
      <c r="I861" s="695">
        <v>25</v>
      </c>
      <c r="J861" s="695">
        <v>0.1</v>
      </c>
      <c r="K861" s="777">
        <f t="shared" si="152"/>
        <v>1.4204545454545455E-3</v>
      </c>
      <c r="L861" s="968">
        <v>0</v>
      </c>
      <c r="M861" s="503">
        <f t="shared" si="143"/>
        <v>20</v>
      </c>
      <c r="N861" s="504">
        <v>0.83680555555555547</v>
      </c>
      <c r="O861" s="719">
        <f t="shared" si="144"/>
        <v>0.83680555555555547</v>
      </c>
      <c r="P861" s="564">
        <v>0.83819444444444446</v>
      </c>
      <c r="Q861" s="564">
        <f t="shared" si="151"/>
        <v>1.388888888888995E-3</v>
      </c>
      <c r="R861" s="965" t="s">
        <v>1520</v>
      </c>
      <c r="S861" s="487" t="s">
        <v>354</v>
      </c>
      <c r="T861" s="29"/>
      <c r="U861" s="29" t="str">
        <f t="shared" si="145"/>
        <v>HutchinsonF0</v>
      </c>
      <c r="V861" s="29" t="str">
        <f t="shared" si="146"/>
        <v>2002F0</v>
      </c>
      <c r="W861" s="80">
        <v>20</v>
      </c>
      <c r="X861" s="32">
        <v>0.1</v>
      </c>
      <c r="Y861" s="467">
        <v>1E-3</v>
      </c>
      <c r="Z861" s="80"/>
      <c r="AA861" s="29" t="str">
        <f t="shared" si="147"/>
        <v>F020</v>
      </c>
      <c r="AB861" s="29" t="str">
        <f t="shared" si="148"/>
        <v>F00.1</v>
      </c>
      <c r="AC861" s="29" t="str">
        <f t="shared" si="149"/>
        <v>F00.001</v>
      </c>
      <c r="AD861" s="29" t="str">
        <f t="shared" si="150"/>
        <v>F020</v>
      </c>
      <c r="AE861" s="443"/>
      <c r="AF861" s="443"/>
      <c r="AG861" s="443"/>
      <c r="AH861" s="443"/>
    </row>
    <row r="862" spans="1:34" ht="16.5">
      <c r="A862" s="728">
        <f t="shared" si="153"/>
        <v>855</v>
      </c>
      <c r="B862" s="563">
        <v>21</v>
      </c>
      <c r="C862" s="694">
        <v>37399</v>
      </c>
      <c r="D862" s="694" t="s">
        <v>148</v>
      </c>
      <c r="E862" s="695">
        <v>23</v>
      </c>
      <c r="F862" s="503">
        <v>2002</v>
      </c>
      <c r="G862" s="563" t="s">
        <v>110</v>
      </c>
      <c r="H862" s="503" t="s">
        <v>123</v>
      </c>
      <c r="I862" s="695">
        <v>100</v>
      </c>
      <c r="J862" s="695">
        <v>6</v>
      </c>
      <c r="K862" s="777">
        <f t="shared" si="152"/>
        <v>0.34090909090909088</v>
      </c>
      <c r="L862" s="968">
        <v>65000</v>
      </c>
      <c r="M862" s="503">
        <f t="shared" ref="M862:M925" si="154">HOUR(O862)</f>
        <v>22</v>
      </c>
      <c r="N862" s="504">
        <v>0.93402777777777779</v>
      </c>
      <c r="O862" s="719">
        <f t="shared" si="144"/>
        <v>0.93402777777777779</v>
      </c>
      <c r="P862" s="564">
        <v>0.94097222222222221</v>
      </c>
      <c r="Q862" s="564">
        <f t="shared" si="151"/>
        <v>6.9444444444444198E-3</v>
      </c>
      <c r="R862" s="965" t="s">
        <v>1520</v>
      </c>
      <c r="S862" s="487" t="s">
        <v>407</v>
      </c>
      <c r="T862" s="29"/>
      <c r="U862" s="29" t="str">
        <f t="shared" si="145"/>
        <v>RobertsF1</v>
      </c>
      <c r="V862" s="29" t="str">
        <f t="shared" si="146"/>
        <v>2002F1</v>
      </c>
      <c r="W862" s="80">
        <v>100</v>
      </c>
      <c r="X862" s="32">
        <v>5</v>
      </c>
      <c r="Y862" s="467">
        <v>0.2</v>
      </c>
      <c r="Z862" s="80"/>
      <c r="AA862" s="29" t="str">
        <f t="shared" si="147"/>
        <v>F1100</v>
      </c>
      <c r="AB862" s="29" t="str">
        <f t="shared" si="148"/>
        <v>F15</v>
      </c>
      <c r="AC862" s="29" t="str">
        <f t="shared" si="149"/>
        <v>F10.2</v>
      </c>
      <c r="AD862" s="29" t="str">
        <f t="shared" si="150"/>
        <v>F122</v>
      </c>
      <c r="AE862" s="443"/>
      <c r="AF862" s="443"/>
      <c r="AG862" s="443"/>
      <c r="AH862" s="443"/>
    </row>
    <row r="863" spans="1:34" ht="16.5">
      <c r="A863" s="728">
        <f t="shared" si="153"/>
        <v>856</v>
      </c>
      <c r="B863" s="563">
        <v>22</v>
      </c>
      <c r="C863" s="694">
        <v>37422</v>
      </c>
      <c r="D863" s="694" t="s">
        <v>149</v>
      </c>
      <c r="E863" s="695">
        <v>15</v>
      </c>
      <c r="F863" s="503">
        <v>2002</v>
      </c>
      <c r="G863" s="563" t="s">
        <v>101</v>
      </c>
      <c r="H863" s="503" t="s">
        <v>122</v>
      </c>
      <c r="I863" s="695">
        <v>25</v>
      </c>
      <c r="J863" s="695">
        <v>0.2</v>
      </c>
      <c r="K863" s="777">
        <f t="shared" si="152"/>
        <v>2.840909090909091E-3</v>
      </c>
      <c r="L863" s="968">
        <v>0</v>
      </c>
      <c r="M863" s="503">
        <f t="shared" si="154"/>
        <v>17</v>
      </c>
      <c r="N863" s="504">
        <v>0.7104166666666667</v>
      </c>
      <c r="O863" s="719">
        <f t="shared" si="144"/>
        <v>0.7104166666666667</v>
      </c>
      <c r="P863" s="564">
        <v>0.71458333333333324</v>
      </c>
      <c r="Q863" s="564">
        <f t="shared" si="151"/>
        <v>4.1666666666665408E-3</v>
      </c>
      <c r="R863" s="965" t="s">
        <v>1520</v>
      </c>
      <c r="S863" s="487" t="s">
        <v>243</v>
      </c>
      <c r="T863" s="29"/>
      <c r="U863" s="29" t="str">
        <f t="shared" si="145"/>
        <v>BeaverF0</v>
      </c>
      <c r="V863" s="29" t="str">
        <f t="shared" si="146"/>
        <v>2002F0</v>
      </c>
      <c r="W863" s="80">
        <v>20</v>
      </c>
      <c r="X863" s="32">
        <v>0.2</v>
      </c>
      <c r="Y863" s="467">
        <v>2E-3</v>
      </c>
      <c r="Z863" s="80"/>
      <c r="AA863" s="29" t="str">
        <f t="shared" si="147"/>
        <v>F020</v>
      </c>
      <c r="AB863" s="29" t="str">
        <f t="shared" si="148"/>
        <v>F00.2</v>
      </c>
      <c r="AC863" s="29" t="str">
        <f t="shared" si="149"/>
        <v>F00.002</v>
      </c>
      <c r="AD863" s="29" t="str">
        <f t="shared" si="150"/>
        <v>F017</v>
      </c>
      <c r="AE863" s="443"/>
      <c r="AF863" s="443"/>
      <c r="AG863" s="443"/>
      <c r="AH863" s="443"/>
    </row>
    <row r="864" spans="1:34" ht="16.5">
      <c r="A864" s="728">
        <f t="shared" si="153"/>
        <v>857</v>
      </c>
      <c r="B864" s="563">
        <v>23</v>
      </c>
      <c r="C864" s="694">
        <v>37498</v>
      </c>
      <c r="D864" s="694" t="s">
        <v>151</v>
      </c>
      <c r="E864" s="695">
        <v>30</v>
      </c>
      <c r="F864" s="503">
        <v>2002</v>
      </c>
      <c r="G864" s="563" t="s">
        <v>117</v>
      </c>
      <c r="H864" s="503" t="s">
        <v>122</v>
      </c>
      <c r="I864" s="695">
        <v>25</v>
      </c>
      <c r="J864" s="695">
        <v>0.5</v>
      </c>
      <c r="K864" s="777">
        <f t="shared" si="152"/>
        <v>7.102272727272727E-3</v>
      </c>
      <c r="L864" s="968">
        <v>0</v>
      </c>
      <c r="M864" s="503">
        <f t="shared" si="154"/>
        <v>18</v>
      </c>
      <c r="N864" s="504">
        <v>0.75486111111111109</v>
      </c>
      <c r="O864" s="719">
        <f t="shared" si="144"/>
        <v>0.75486111111111109</v>
      </c>
      <c r="P864" s="564">
        <v>0.75763888888888886</v>
      </c>
      <c r="Q864" s="564">
        <f t="shared" si="151"/>
        <v>2.7777777777777679E-3</v>
      </c>
      <c r="R864" s="965" t="s">
        <v>1520</v>
      </c>
      <c r="S864" s="487" t="s">
        <v>288</v>
      </c>
      <c r="T864" s="29"/>
      <c r="U864" s="29" t="str">
        <f t="shared" si="145"/>
        <v>Deaf SmithF0</v>
      </c>
      <c r="V864" s="29" t="str">
        <f t="shared" si="146"/>
        <v>2002F0</v>
      </c>
      <c r="W864" s="80">
        <v>20</v>
      </c>
      <c r="X864" s="32">
        <v>0.5</v>
      </c>
      <c r="Y864" s="467">
        <v>5.0000000000000001E-3</v>
      </c>
      <c r="Z864" s="80"/>
      <c r="AA864" s="29" t="str">
        <f t="shared" si="147"/>
        <v>F020</v>
      </c>
      <c r="AB864" s="29" t="str">
        <f t="shared" si="148"/>
        <v>F00.5</v>
      </c>
      <c r="AC864" s="29" t="str">
        <f t="shared" si="149"/>
        <v>F00.005</v>
      </c>
      <c r="AD864" s="29" t="str">
        <f t="shared" si="150"/>
        <v>F018</v>
      </c>
      <c r="AE864" s="443"/>
      <c r="AF864" s="443"/>
      <c r="AG864" s="443"/>
      <c r="AH864" s="443"/>
    </row>
    <row r="865" spans="1:34" ht="16.5">
      <c r="A865" s="728">
        <f t="shared" si="153"/>
        <v>858</v>
      </c>
      <c r="B865" s="563">
        <v>1</v>
      </c>
      <c r="C865" s="694">
        <v>37726</v>
      </c>
      <c r="D865" s="694" t="s">
        <v>147</v>
      </c>
      <c r="E865" s="695">
        <v>15</v>
      </c>
      <c r="F865" s="503">
        <v>2003</v>
      </c>
      <c r="G865" s="563" t="s">
        <v>116</v>
      </c>
      <c r="H865" s="503" t="s">
        <v>122</v>
      </c>
      <c r="I865" s="695">
        <v>200</v>
      </c>
      <c r="J865" s="695">
        <v>5</v>
      </c>
      <c r="K865" s="777">
        <f t="shared" si="152"/>
        <v>0.56818181818181812</v>
      </c>
      <c r="L865" s="968">
        <v>0</v>
      </c>
      <c r="M865" s="503">
        <f t="shared" si="154"/>
        <v>16</v>
      </c>
      <c r="N865" s="504">
        <v>0.67013888888888884</v>
      </c>
      <c r="O865" s="719">
        <f t="shared" si="144"/>
        <v>0.67013888888888884</v>
      </c>
      <c r="P865" s="564">
        <v>0.67708333333333337</v>
      </c>
      <c r="Q865" s="564">
        <f t="shared" si="151"/>
        <v>6.9444444444445308E-3</v>
      </c>
      <c r="R865" s="965" t="s">
        <v>1520</v>
      </c>
      <c r="S865" s="487" t="s">
        <v>44</v>
      </c>
      <c r="T865" s="29"/>
      <c r="U865" s="29" t="str">
        <f t="shared" si="145"/>
        <v>WheelerF0</v>
      </c>
      <c r="V865" s="29" t="str">
        <f t="shared" si="146"/>
        <v>2003F0</v>
      </c>
      <c r="W865" s="80">
        <v>200</v>
      </c>
      <c r="X865" s="32">
        <v>5</v>
      </c>
      <c r="Y865" s="467">
        <v>0.5</v>
      </c>
      <c r="Z865" s="80"/>
      <c r="AA865" s="29" t="str">
        <f t="shared" si="147"/>
        <v>F0200</v>
      </c>
      <c r="AB865" s="29" t="str">
        <f t="shared" si="148"/>
        <v>F05</v>
      </c>
      <c r="AC865" s="29" t="str">
        <f t="shared" si="149"/>
        <v>F00.5</v>
      </c>
      <c r="AD865" s="29" t="str">
        <f t="shared" si="150"/>
        <v>F016</v>
      </c>
      <c r="AE865" s="443"/>
      <c r="AF865" s="443"/>
      <c r="AG865" s="443"/>
      <c r="AH865" s="443"/>
    </row>
    <row r="866" spans="1:34" ht="16.5">
      <c r="A866" s="728">
        <f t="shared" si="153"/>
        <v>859</v>
      </c>
      <c r="B866" s="563">
        <v>2</v>
      </c>
      <c r="C866" s="694">
        <v>37734</v>
      </c>
      <c r="D866" s="694" t="s">
        <v>147</v>
      </c>
      <c r="E866" s="695">
        <v>23</v>
      </c>
      <c r="F866" s="503">
        <v>2003</v>
      </c>
      <c r="G866" s="563" t="s">
        <v>120</v>
      </c>
      <c r="H866" s="503" t="s">
        <v>123</v>
      </c>
      <c r="I866" s="695">
        <v>25</v>
      </c>
      <c r="J866" s="695">
        <v>0.1</v>
      </c>
      <c r="K866" s="777">
        <f t="shared" si="152"/>
        <v>1.4204545454545455E-3</v>
      </c>
      <c r="L866" s="968">
        <v>75000</v>
      </c>
      <c r="M866" s="503">
        <f t="shared" si="154"/>
        <v>11</v>
      </c>
      <c r="N866" s="504">
        <v>0.4694444444444445</v>
      </c>
      <c r="O866" s="719">
        <f t="shared" si="144"/>
        <v>0.4694444444444445</v>
      </c>
      <c r="P866" s="564">
        <v>0.47083333333333338</v>
      </c>
      <c r="Q866" s="564">
        <f t="shared" si="151"/>
        <v>1.388888888888884E-3</v>
      </c>
      <c r="R866" s="965" t="s">
        <v>1520</v>
      </c>
      <c r="S866" s="487" t="s">
        <v>303</v>
      </c>
      <c r="T866" s="29"/>
      <c r="U866" s="29" t="str">
        <f t="shared" si="145"/>
        <v>DonleyF1</v>
      </c>
      <c r="V866" s="29" t="str">
        <f t="shared" si="146"/>
        <v>2003F1</v>
      </c>
      <c r="W866" s="80">
        <v>20</v>
      </c>
      <c r="X866" s="32">
        <v>0.1</v>
      </c>
      <c r="Y866" s="467">
        <v>1E-3</v>
      </c>
      <c r="Z866" s="80"/>
      <c r="AA866" s="29" t="str">
        <f t="shared" si="147"/>
        <v>F120</v>
      </c>
      <c r="AB866" s="29" t="str">
        <f t="shared" si="148"/>
        <v>F10.1</v>
      </c>
      <c r="AC866" s="29" t="str">
        <f t="shared" si="149"/>
        <v>F10.001</v>
      </c>
      <c r="AD866" s="29" t="str">
        <f t="shared" si="150"/>
        <v>F111</v>
      </c>
      <c r="AE866" s="443"/>
      <c r="AF866" s="443"/>
      <c r="AG866" s="443"/>
      <c r="AH866" s="443"/>
    </row>
    <row r="867" spans="1:34" ht="54.95" customHeight="1">
      <c r="A867" s="728">
        <f t="shared" si="153"/>
        <v>860</v>
      </c>
      <c r="B867" s="563">
        <v>3</v>
      </c>
      <c r="C867" s="694">
        <v>37756</v>
      </c>
      <c r="D867" s="694" t="s">
        <v>148</v>
      </c>
      <c r="E867" s="695">
        <v>15</v>
      </c>
      <c r="F867" s="503">
        <v>2003</v>
      </c>
      <c r="G867" s="563" t="s">
        <v>99</v>
      </c>
      <c r="H867" s="503" t="s">
        <v>122</v>
      </c>
      <c r="I867" s="695">
        <v>100</v>
      </c>
      <c r="J867" s="695">
        <v>0.1</v>
      </c>
      <c r="K867" s="777">
        <f t="shared" si="152"/>
        <v>5.681818181818182E-3</v>
      </c>
      <c r="L867" s="968">
        <v>0</v>
      </c>
      <c r="M867" s="503">
        <f t="shared" si="154"/>
        <v>15</v>
      </c>
      <c r="N867" s="504">
        <v>0.6333333333333333</v>
      </c>
      <c r="O867" s="719">
        <f t="shared" si="144"/>
        <v>0.6333333333333333</v>
      </c>
      <c r="P867" s="564">
        <v>0.63402777777777775</v>
      </c>
      <c r="Q867" s="564">
        <f t="shared" si="151"/>
        <v>6.9444444444444198E-4</v>
      </c>
      <c r="R867" s="965" t="s">
        <v>1520</v>
      </c>
      <c r="S867" s="487" t="s">
        <v>445</v>
      </c>
      <c r="T867" s="29"/>
      <c r="U867" s="29" t="str">
        <f t="shared" si="145"/>
        <v>CimarronF0</v>
      </c>
      <c r="V867" s="29" t="str">
        <f t="shared" si="146"/>
        <v>2003F0</v>
      </c>
      <c r="W867" s="80">
        <v>100</v>
      </c>
      <c r="X867" s="32">
        <v>0.1</v>
      </c>
      <c r="Y867" s="467">
        <v>5.0000000000000001E-3</v>
      </c>
      <c r="Z867" s="80"/>
      <c r="AA867" s="29" t="str">
        <f t="shared" si="147"/>
        <v>F0100</v>
      </c>
      <c r="AB867" s="29" t="str">
        <f t="shared" si="148"/>
        <v>F00.1</v>
      </c>
      <c r="AC867" s="29" t="str">
        <f t="shared" si="149"/>
        <v>F00.005</v>
      </c>
      <c r="AD867" s="29" t="str">
        <f t="shared" si="150"/>
        <v>F015</v>
      </c>
      <c r="AE867" s="443"/>
      <c r="AF867" s="443"/>
      <c r="AG867" s="443"/>
      <c r="AH867" s="443"/>
    </row>
    <row r="868" spans="1:34" ht="16.5">
      <c r="A868" s="728">
        <f t="shared" si="153"/>
        <v>861</v>
      </c>
      <c r="B868" s="563">
        <v>4</v>
      </c>
      <c r="C868" s="694">
        <v>37756</v>
      </c>
      <c r="D868" s="694" t="s">
        <v>148</v>
      </c>
      <c r="E868" s="695">
        <v>15</v>
      </c>
      <c r="F868" s="503">
        <v>2003</v>
      </c>
      <c r="G868" s="563" t="s">
        <v>99</v>
      </c>
      <c r="H868" s="503" t="s">
        <v>123</v>
      </c>
      <c r="I868" s="695">
        <v>200</v>
      </c>
      <c r="J868" s="695">
        <v>5</v>
      </c>
      <c r="K868" s="777">
        <f t="shared" si="152"/>
        <v>0.56818181818181812</v>
      </c>
      <c r="L868" s="968">
        <v>45000</v>
      </c>
      <c r="M868" s="503">
        <f t="shared" si="154"/>
        <v>15</v>
      </c>
      <c r="N868" s="504">
        <v>0.64236111111111105</v>
      </c>
      <c r="O868" s="719">
        <f t="shared" si="144"/>
        <v>0.64236111111111105</v>
      </c>
      <c r="P868" s="564">
        <v>0.64930555555555558</v>
      </c>
      <c r="Q868" s="564">
        <f t="shared" si="151"/>
        <v>6.9444444444445308E-3</v>
      </c>
      <c r="R868" s="965" t="s">
        <v>1520</v>
      </c>
      <c r="S868" s="487" t="s">
        <v>210</v>
      </c>
      <c r="T868" s="29"/>
      <c r="U868" s="29" t="str">
        <f t="shared" si="145"/>
        <v>CimarronF1</v>
      </c>
      <c r="V868" s="29" t="str">
        <f t="shared" si="146"/>
        <v>2003F1</v>
      </c>
      <c r="W868" s="80">
        <v>200</v>
      </c>
      <c r="X868" s="32">
        <v>5</v>
      </c>
      <c r="Y868" s="467">
        <v>0.5</v>
      </c>
      <c r="Z868" s="80"/>
      <c r="AA868" s="29" t="str">
        <f t="shared" si="147"/>
        <v>F1200</v>
      </c>
      <c r="AB868" s="29" t="str">
        <f t="shared" si="148"/>
        <v>F15</v>
      </c>
      <c r="AC868" s="29" t="str">
        <f t="shared" si="149"/>
        <v>F10.5</v>
      </c>
      <c r="AD868" s="29" t="str">
        <f t="shared" si="150"/>
        <v>F115</v>
      </c>
      <c r="AE868" s="443"/>
      <c r="AF868" s="443"/>
      <c r="AG868" s="443"/>
      <c r="AH868" s="443"/>
    </row>
    <row r="869" spans="1:34" ht="16.5">
      <c r="A869" s="728">
        <f t="shared" si="153"/>
        <v>862</v>
      </c>
      <c r="B869" s="563">
        <v>5</v>
      </c>
      <c r="C869" s="694">
        <v>37756</v>
      </c>
      <c r="D869" s="694" t="s">
        <v>148</v>
      </c>
      <c r="E869" s="695">
        <v>15</v>
      </c>
      <c r="F869" s="503">
        <v>2003</v>
      </c>
      <c r="G869" s="563" t="s">
        <v>99</v>
      </c>
      <c r="H869" s="503" t="s">
        <v>122</v>
      </c>
      <c r="I869" s="695">
        <v>50</v>
      </c>
      <c r="J869" s="695">
        <v>0.1</v>
      </c>
      <c r="K869" s="777">
        <f t="shared" si="152"/>
        <v>2.840909090909091E-3</v>
      </c>
      <c r="L869" s="968">
        <v>0</v>
      </c>
      <c r="M869" s="503">
        <f t="shared" si="154"/>
        <v>15</v>
      </c>
      <c r="N869" s="504">
        <v>0.65625</v>
      </c>
      <c r="O869" s="719">
        <f t="shared" si="144"/>
        <v>0.65625</v>
      </c>
      <c r="P869" s="564">
        <v>0.65694444444444444</v>
      </c>
      <c r="Q869" s="564">
        <f t="shared" si="151"/>
        <v>6.9444444444444198E-4</v>
      </c>
      <c r="R869" s="965" t="s">
        <v>1520</v>
      </c>
      <c r="S869" s="487" t="s">
        <v>205</v>
      </c>
      <c r="U869" s="29" t="str">
        <f t="shared" si="145"/>
        <v>CimarronF0</v>
      </c>
      <c r="V869" s="29" t="str">
        <f t="shared" si="146"/>
        <v>2003F0</v>
      </c>
      <c r="W869" s="80">
        <v>50</v>
      </c>
      <c r="X869" s="32">
        <v>0.1</v>
      </c>
      <c r="Y869" s="467">
        <v>2E-3</v>
      </c>
      <c r="Z869" s="80"/>
      <c r="AA869" s="29" t="str">
        <f t="shared" si="147"/>
        <v>F050</v>
      </c>
      <c r="AB869" s="29" t="str">
        <f t="shared" si="148"/>
        <v>F00.1</v>
      </c>
      <c r="AC869" s="29" t="str">
        <f t="shared" si="149"/>
        <v>F00.002</v>
      </c>
      <c r="AD869" s="29" t="str">
        <f t="shared" si="150"/>
        <v>F015</v>
      </c>
      <c r="AE869" s="443"/>
      <c r="AF869" s="443"/>
      <c r="AG869" s="443"/>
      <c r="AH869" s="443"/>
    </row>
    <row r="870" spans="1:34" ht="16.5">
      <c r="A870" s="728">
        <f t="shared" si="153"/>
        <v>863</v>
      </c>
      <c r="B870" s="563">
        <v>6</v>
      </c>
      <c r="C870" s="694">
        <v>37756</v>
      </c>
      <c r="D870" s="694" t="s">
        <v>148</v>
      </c>
      <c r="E870" s="695">
        <v>15</v>
      </c>
      <c r="F870" s="503">
        <v>2003</v>
      </c>
      <c r="G870" s="563" t="s">
        <v>102</v>
      </c>
      <c r="H870" s="503" t="s">
        <v>123</v>
      </c>
      <c r="I870" s="695">
        <v>1320</v>
      </c>
      <c r="J870" s="695">
        <v>10</v>
      </c>
      <c r="K870" s="777">
        <f t="shared" si="152"/>
        <v>7.5</v>
      </c>
      <c r="L870" s="968">
        <v>25000</v>
      </c>
      <c r="M870" s="503">
        <f t="shared" si="154"/>
        <v>16</v>
      </c>
      <c r="N870" s="504">
        <v>0.69166666666666676</v>
      </c>
      <c r="O870" s="719">
        <f t="shared" si="144"/>
        <v>0.69166666666666676</v>
      </c>
      <c r="P870" s="564">
        <v>0.7055555555555556</v>
      </c>
      <c r="Q870" s="564">
        <f t="shared" si="151"/>
        <v>1.388888888888884E-2</v>
      </c>
      <c r="R870" s="965" t="s">
        <v>1520</v>
      </c>
      <c r="S870" s="487" t="s">
        <v>286</v>
      </c>
      <c r="U870" s="29" t="str">
        <f t="shared" si="145"/>
        <v>DallamF1</v>
      </c>
      <c r="V870" s="29" t="str">
        <f t="shared" si="146"/>
        <v>2003F1</v>
      </c>
      <c r="W870" s="80">
        <v>1000</v>
      </c>
      <c r="X870" s="32">
        <v>10</v>
      </c>
      <c r="Y870" s="467">
        <v>5</v>
      </c>
      <c r="Z870" s="80"/>
      <c r="AA870" s="29" t="str">
        <f t="shared" si="147"/>
        <v>F11000</v>
      </c>
      <c r="AB870" s="29" t="str">
        <f t="shared" si="148"/>
        <v>F110</v>
      </c>
      <c r="AC870" s="29" t="str">
        <f t="shared" si="149"/>
        <v>F15</v>
      </c>
      <c r="AD870" s="29" t="str">
        <f t="shared" si="150"/>
        <v>F116</v>
      </c>
      <c r="AE870" s="443"/>
      <c r="AF870" s="443"/>
      <c r="AG870" s="443"/>
      <c r="AH870" s="443"/>
    </row>
    <row r="871" spans="1:34" ht="16.5">
      <c r="A871" s="728">
        <f t="shared" si="153"/>
        <v>864</v>
      </c>
      <c r="B871" s="563">
        <v>7</v>
      </c>
      <c r="C871" s="694">
        <v>37756</v>
      </c>
      <c r="D871" s="694" t="s">
        <v>148</v>
      </c>
      <c r="E871" s="695">
        <v>15</v>
      </c>
      <c r="F871" s="503">
        <v>2003</v>
      </c>
      <c r="G871" s="563" t="s">
        <v>102</v>
      </c>
      <c r="H871" s="503" t="s">
        <v>122</v>
      </c>
      <c r="I871" s="695">
        <v>500</v>
      </c>
      <c r="J871" s="695">
        <v>1</v>
      </c>
      <c r="K871" s="777">
        <f t="shared" si="152"/>
        <v>0.28409090909090912</v>
      </c>
      <c r="L871" s="968">
        <v>15000</v>
      </c>
      <c r="M871" s="503">
        <f t="shared" si="154"/>
        <v>16</v>
      </c>
      <c r="N871" s="504">
        <v>0.69513888888888886</v>
      </c>
      <c r="O871" s="719">
        <f t="shared" si="144"/>
        <v>0.69513888888888886</v>
      </c>
      <c r="P871" s="564">
        <v>0.69791666666666663</v>
      </c>
      <c r="Q871" s="564">
        <f t="shared" si="151"/>
        <v>2.7777777777777679E-3</v>
      </c>
      <c r="R871" s="965" t="s">
        <v>1520</v>
      </c>
      <c r="S871" s="487" t="s">
        <v>286</v>
      </c>
      <c r="U871" s="29" t="str">
        <f t="shared" si="145"/>
        <v>DallamF0</v>
      </c>
      <c r="V871" s="29" t="str">
        <f t="shared" si="146"/>
        <v>2003F0</v>
      </c>
      <c r="W871" s="80">
        <v>500</v>
      </c>
      <c r="X871" s="32">
        <v>1</v>
      </c>
      <c r="Y871" s="467">
        <v>0.2</v>
      </c>
      <c r="Z871" s="80"/>
      <c r="AA871" s="29" t="str">
        <f t="shared" si="147"/>
        <v>F0500</v>
      </c>
      <c r="AB871" s="29" t="str">
        <f t="shared" si="148"/>
        <v>F01</v>
      </c>
      <c r="AC871" s="29" t="str">
        <f t="shared" si="149"/>
        <v>F00.2</v>
      </c>
      <c r="AD871" s="29" t="str">
        <f t="shared" si="150"/>
        <v>F016</v>
      </c>
      <c r="AE871" s="443"/>
      <c r="AF871" s="443"/>
      <c r="AG871" s="443"/>
      <c r="AH871" s="443"/>
    </row>
    <row r="872" spans="1:34" ht="16.5">
      <c r="A872" s="728">
        <f t="shared" si="153"/>
        <v>865</v>
      </c>
      <c r="B872" s="563">
        <v>8</v>
      </c>
      <c r="C872" s="694">
        <v>37756</v>
      </c>
      <c r="D872" s="694" t="s">
        <v>148</v>
      </c>
      <c r="E872" s="695">
        <v>15</v>
      </c>
      <c r="F872" s="503">
        <v>2003</v>
      </c>
      <c r="G872" s="563" t="s">
        <v>100</v>
      </c>
      <c r="H872" s="503" t="s">
        <v>122</v>
      </c>
      <c r="I872" s="695">
        <v>50</v>
      </c>
      <c r="J872" s="695">
        <v>0.1</v>
      </c>
      <c r="K872" s="777">
        <f t="shared" si="152"/>
        <v>2.840909090909091E-3</v>
      </c>
      <c r="L872" s="968">
        <v>0</v>
      </c>
      <c r="M872" s="503">
        <f t="shared" si="154"/>
        <v>17</v>
      </c>
      <c r="N872" s="504">
        <v>0.7402777777777777</v>
      </c>
      <c r="O872" s="719">
        <f t="shared" si="144"/>
        <v>0.7402777777777777</v>
      </c>
      <c r="P872" s="564">
        <v>0.74097222222222225</v>
      </c>
      <c r="Q872" s="564">
        <f t="shared" si="151"/>
        <v>6.94444444444553E-4</v>
      </c>
      <c r="R872" s="965" t="s">
        <v>1520</v>
      </c>
      <c r="S872" s="487" t="s">
        <v>227</v>
      </c>
      <c r="U872" s="29" t="str">
        <f t="shared" si="145"/>
        <v>TexasF0</v>
      </c>
      <c r="V872" s="29" t="str">
        <f t="shared" si="146"/>
        <v>2003F0</v>
      </c>
      <c r="W872" s="80">
        <v>50</v>
      </c>
      <c r="X872" s="32">
        <v>0.1</v>
      </c>
      <c r="Y872" s="467">
        <v>2E-3</v>
      </c>
      <c r="Z872" s="80"/>
      <c r="AA872" s="29" t="str">
        <f t="shared" si="147"/>
        <v>F050</v>
      </c>
      <c r="AB872" s="29" t="str">
        <f t="shared" si="148"/>
        <v>F00.1</v>
      </c>
      <c r="AC872" s="29" t="str">
        <f t="shared" si="149"/>
        <v>F00.002</v>
      </c>
      <c r="AD872" s="29" t="str">
        <f t="shared" si="150"/>
        <v>F017</v>
      </c>
      <c r="AE872" s="443"/>
      <c r="AF872" s="443"/>
      <c r="AG872" s="443"/>
      <c r="AH872" s="443"/>
    </row>
    <row r="873" spans="1:34" ht="16.5">
      <c r="A873" s="728">
        <f t="shared" si="153"/>
        <v>866</v>
      </c>
      <c r="B873" s="563">
        <v>9</v>
      </c>
      <c r="C873" s="694">
        <v>37756</v>
      </c>
      <c r="D873" s="694" t="s">
        <v>148</v>
      </c>
      <c r="E873" s="695">
        <v>15</v>
      </c>
      <c r="F873" s="503">
        <v>2003</v>
      </c>
      <c r="G873" s="563" t="s">
        <v>100</v>
      </c>
      <c r="H873" s="503" t="s">
        <v>122</v>
      </c>
      <c r="I873" s="695">
        <v>30</v>
      </c>
      <c r="J873" s="695">
        <v>0.5</v>
      </c>
      <c r="K873" s="777">
        <f t="shared" si="152"/>
        <v>8.5227272727272721E-3</v>
      </c>
      <c r="L873" s="968">
        <v>0</v>
      </c>
      <c r="M873" s="503">
        <f t="shared" si="154"/>
        <v>18</v>
      </c>
      <c r="N873" s="504">
        <v>0.76388888888888884</v>
      </c>
      <c r="O873" s="719">
        <f t="shared" si="144"/>
        <v>0.76388888888888884</v>
      </c>
      <c r="P873" s="564">
        <v>0.76527777777777783</v>
      </c>
      <c r="Q873" s="564">
        <f t="shared" si="151"/>
        <v>1.388888888888995E-3</v>
      </c>
      <c r="R873" s="965" t="s">
        <v>1520</v>
      </c>
      <c r="S873" s="487" t="s">
        <v>219</v>
      </c>
      <c r="U873" s="29" t="str">
        <f t="shared" si="145"/>
        <v>TexasF0</v>
      </c>
      <c r="V873" s="29" t="str">
        <f t="shared" si="146"/>
        <v>2003F0</v>
      </c>
      <c r="W873" s="80">
        <v>20</v>
      </c>
      <c r="X873" s="32">
        <v>0.5</v>
      </c>
      <c r="Y873" s="467">
        <v>5.0000000000000001E-3</v>
      </c>
      <c r="Z873" s="80"/>
      <c r="AA873" s="29" t="str">
        <f t="shared" si="147"/>
        <v>F020</v>
      </c>
      <c r="AB873" s="29" t="str">
        <f t="shared" si="148"/>
        <v>F00.5</v>
      </c>
      <c r="AC873" s="29" t="str">
        <f t="shared" si="149"/>
        <v>F00.005</v>
      </c>
      <c r="AD873" s="29" t="str">
        <f t="shared" si="150"/>
        <v>F018</v>
      </c>
      <c r="AE873" s="443"/>
      <c r="AF873" s="443"/>
      <c r="AG873" s="443"/>
      <c r="AH873" s="443"/>
    </row>
    <row r="874" spans="1:34" ht="25.5">
      <c r="A874" s="728">
        <f t="shared" si="153"/>
        <v>867</v>
      </c>
      <c r="B874" s="563">
        <v>10</v>
      </c>
      <c r="C874" s="694">
        <v>37756</v>
      </c>
      <c r="D874" s="694" t="s">
        <v>148</v>
      </c>
      <c r="E874" s="695">
        <v>15</v>
      </c>
      <c r="F874" s="503">
        <v>2003</v>
      </c>
      <c r="G874" s="563" t="s">
        <v>100</v>
      </c>
      <c r="H874" s="503" t="s">
        <v>122</v>
      </c>
      <c r="I874" s="695">
        <v>20</v>
      </c>
      <c r="J874" s="695">
        <v>0.5</v>
      </c>
      <c r="K874" s="777">
        <f t="shared" si="152"/>
        <v>5.681818181818182E-3</v>
      </c>
      <c r="L874" s="968">
        <v>15000</v>
      </c>
      <c r="M874" s="503">
        <f t="shared" si="154"/>
        <v>18</v>
      </c>
      <c r="N874" s="504">
        <v>0.77430555555555547</v>
      </c>
      <c r="O874" s="719">
        <f t="shared" si="144"/>
        <v>0.77430555555555547</v>
      </c>
      <c r="P874" s="564">
        <v>0.77500000000000002</v>
      </c>
      <c r="Q874" s="564">
        <f t="shared" si="151"/>
        <v>6.94444444444553E-4</v>
      </c>
      <c r="R874" s="965" t="s">
        <v>1520</v>
      </c>
      <c r="S874" s="487" t="s">
        <v>45</v>
      </c>
      <c r="U874" s="29" t="str">
        <f t="shared" si="145"/>
        <v>TexasF0</v>
      </c>
      <c r="V874" s="29" t="str">
        <f t="shared" si="146"/>
        <v>2003F0</v>
      </c>
      <c r="W874" s="80">
        <v>20</v>
      </c>
      <c r="X874" s="32">
        <v>0.5</v>
      </c>
      <c r="Y874" s="467">
        <v>5.0000000000000001E-3</v>
      </c>
      <c r="Z874" s="80"/>
      <c r="AA874" s="29" t="str">
        <f t="shared" si="147"/>
        <v>F020</v>
      </c>
      <c r="AB874" s="29" t="str">
        <f t="shared" si="148"/>
        <v>F00.5</v>
      </c>
      <c r="AC874" s="29" t="str">
        <f t="shared" si="149"/>
        <v>F00.005</v>
      </c>
      <c r="AD874" s="29" t="str">
        <f t="shared" si="150"/>
        <v>F018</v>
      </c>
      <c r="AE874" s="443"/>
      <c r="AF874" s="443"/>
      <c r="AG874" s="443"/>
      <c r="AH874" s="443"/>
    </row>
    <row r="875" spans="1:34" ht="16.5">
      <c r="A875" s="728">
        <f t="shared" si="153"/>
        <v>868</v>
      </c>
      <c r="B875" s="563">
        <v>11</v>
      </c>
      <c r="C875" s="694">
        <v>37756</v>
      </c>
      <c r="D875" s="694" t="s">
        <v>148</v>
      </c>
      <c r="E875" s="695">
        <v>15</v>
      </c>
      <c r="F875" s="503">
        <v>2003</v>
      </c>
      <c r="G875" s="563" t="s">
        <v>103</v>
      </c>
      <c r="H875" s="503" t="s">
        <v>122</v>
      </c>
      <c r="I875" s="695">
        <v>50</v>
      </c>
      <c r="J875" s="695">
        <v>1</v>
      </c>
      <c r="K875" s="777">
        <f t="shared" si="152"/>
        <v>2.8409090909090908E-2</v>
      </c>
      <c r="L875" s="968">
        <v>0</v>
      </c>
      <c r="M875" s="503">
        <f t="shared" si="154"/>
        <v>18</v>
      </c>
      <c r="N875" s="504">
        <v>0.77638888888888891</v>
      </c>
      <c r="O875" s="719">
        <f t="shared" si="144"/>
        <v>0.77638888888888891</v>
      </c>
      <c r="P875" s="564">
        <v>0.77777777777777779</v>
      </c>
      <c r="Q875" s="564">
        <f t="shared" si="151"/>
        <v>1.388888888888884E-3</v>
      </c>
      <c r="R875" s="965" t="s">
        <v>1520</v>
      </c>
      <c r="S875" s="487" t="s">
        <v>46</v>
      </c>
      <c r="U875" s="29" t="str">
        <f t="shared" si="145"/>
        <v>ShermanF0</v>
      </c>
      <c r="V875" s="29" t="str">
        <f t="shared" si="146"/>
        <v>2003F0</v>
      </c>
      <c r="W875" s="80">
        <v>50</v>
      </c>
      <c r="X875" s="32">
        <v>1</v>
      </c>
      <c r="Y875" s="467">
        <v>0.02</v>
      </c>
      <c r="Z875" s="80"/>
      <c r="AA875" s="29" t="str">
        <f t="shared" si="147"/>
        <v>F050</v>
      </c>
      <c r="AB875" s="29" t="str">
        <f t="shared" si="148"/>
        <v>F01</v>
      </c>
      <c r="AC875" s="29" t="str">
        <f t="shared" si="149"/>
        <v>F00.02</v>
      </c>
      <c r="AD875" s="29" t="str">
        <f t="shared" si="150"/>
        <v>F018</v>
      </c>
      <c r="AE875" s="443"/>
      <c r="AF875" s="443"/>
      <c r="AG875" s="443"/>
      <c r="AH875" s="443"/>
    </row>
    <row r="876" spans="1:34" ht="25.5">
      <c r="A876" s="728">
        <f t="shared" si="153"/>
        <v>869</v>
      </c>
      <c r="B876" s="563">
        <v>12</v>
      </c>
      <c r="C876" s="694">
        <v>37756</v>
      </c>
      <c r="D876" s="694" t="s">
        <v>148</v>
      </c>
      <c r="E876" s="695">
        <v>15</v>
      </c>
      <c r="F876" s="503">
        <v>2003</v>
      </c>
      <c r="G876" s="563" t="s">
        <v>100</v>
      </c>
      <c r="H876" s="503" t="s">
        <v>122</v>
      </c>
      <c r="I876" s="695">
        <v>100</v>
      </c>
      <c r="J876" s="695">
        <v>0.3</v>
      </c>
      <c r="K876" s="777">
        <f t="shared" si="152"/>
        <v>1.7045454545454544E-2</v>
      </c>
      <c r="L876" s="968">
        <v>20000</v>
      </c>
      <c r="M876" s="503">
        <f t="shared" si="154"/>
        <v>18</v>
      </c>
      <c r="N876" s="504">
        <v>0.78125</v>
      </c>
      <c r="O876" s="719">
        <f t="shared" si="144"/>
        <v>0.78125</v>
      </c>
      <c r="P876" s="564">
        <v>0.78194444444444444</v>
      </c>
      <c r="Q876" s="564">
        <f t="shared" si="151"/>
        <v>6.9444444444444198E-4</v>
      </c>
      <c r="R876" s="965" t="s">
        <v>1520</v>
      </c>
      <c r="S876" s="487" t="s">
        <v>47</v>
      </c>
      <c r="U876" s="29" t="str">
        <f t="shared" si="145"/>
        <v>TexasF0</v>
      </c>
      <c r="V876" s="29" t="str">
        <f t="shared" si="146"/>
        <v>2003F0</v>
      </c>
      <c r="W876" s="80">
        <v>100</v>
      </c>
      <c r="X876" s="32">
        <v>0.2</v>
      </c>
      <c r="Y876" s="467">
        <v>0.01</v>
      </c>
      <c r="Z876" s="80"/>
      <c r="AA876" s="29" t="str">
        <f t="shared" si="147"/>
        <v>F0100</v>
      </c>
      <c r="AB876" s="29" t="str">
        <f t="shared" si="148"/>
        <v>F00.2</v>
      </c>
      <c r="AC876" s="29" t="str">
        <f t="shared" si="149"/>
        <v>F00.01</v>
      </c>
      <c r="AD876" s="29" t="str">
        <f t="shared" si="150"/>
        <v>F018</v>
      </c>
      <c r="AE876" s="443"/>
      <c r="AF876" s="443"/>
      <c r="AG876" s="443"/>
      <c r="AH876" s="443"/>
    </row>
    <row r="877" spans="1:34" ht="16.5">
      <c r="A877" s="728">
        <f t="shared" si="153"/>
        <v>870</v>
      </c>
      <c r="B877" s="563">
        <v>13</v>
      </c>
      <c r="C877" s="694">
        <v>37756</v>
      </c>
      <c r="D877" s="694" t="s">
        <v>148</v>
      </c>
      <c r="E877" s="695">
        <v>15</v>
      </c>
      <c r="F877" s="503">
        <v>2003</v>
      </c>
      <c r="G877" s="563" t="s">
        <v>108</v>
      </c>
      <c r="H877" s="503" t="s">
        <v>122</v>
      </c>
      <c r="I877" s="695">
        <v>200</v>
      </c>
      <c r="J877" s="695">
        <v>6</v>
      </c>
      <c r="K877" s="777">
        <f t="shared" si="152"/>
        <v>0.68181818181818177</v>
      </c>
      <c r="L877" s="968">
        <v>0</v>
      </c>
      <c r="M877" s="503">
        <f t="shared" si="154"/>
        <v>18</v>
      </c>
      <c r="N877" s="504">
        <v>0.79027777777777775</v>
      </c>
      <c r="O877" s="719">
        <f t="shared" si="144"/>
        <v>0.79027777777777775</v>
      </c>
      <c r="P877" s="564">
        <v>0.79583333333333339</v>
      </c>
      <c r="Q877" s="564">
        <f t="shared" si="151"/>
        <v>5.5555555555556468E-3</v>
      </c>
      <c r="R877" s="965" t="s">
        <v>1520</v>
      </c>
      <c r="S877" s="487" t="s">
        <v>48</v>
      </c>
      <c r="U877" s="29" t="str">
        <f t="shared" si="145"/>
        <v>MooreF0</v>
      </c>
      <c r="V877" s="29" t="str">
        <f t="shared" si="146"/>
        <v>2003F0</v>
      </c>
      <c r="W877" s="80">
        <v>200</v>
      </c>
      <c r="X877" s="32">
        <v>5</v>
      </c>
      <c r="Y877" s="467">
        <v>0.5</v>
      </c>
      <c r="Z877" s="80"/>
      <c r="AA877" s="29" t="str">
        <f t="shared" si="147"/>
        <v>F0200</v>
      </c>
      <c r="AB877" s="29" t="str">
        <f t="shared" si="148"/>
        <v>F05</v>
      </c>
      <c r="AC877" s="29" t="str">
        <f t="shared" si="149"/>
        <v>F00.5</v>
      </c>
      <c r="AD877" s="29" t="str">
        <f t="shared" si="150"/>
        <v>F018</v>
      </c>
      <c r="AE877" s="443"/>
      <c r="AF877" s="443"/>
      <c r="AG877" s="443"/>
      <c r="AH877" s="443"/>
    </row>
    <row r="878" spans="1:34" ht="16.5">
      <c r="A878" s="728">
        <f t="shared" si="153"/>
        <v>871</v>
      </c>
      <c r="B878" s="563">
        <v>14</v>
      </c>
      <c r="C878" s="694">
        <v>37756</v>
      </c>
      <c r="D878" s="694" t="s">
        <v>148</v>
      </c>
      <c r="E878" s="695">
        <v>15</v>
      </c>
      <c r="F878" s="503">
        <v>2003</v>
      </c>
      <c r="G878" s="563" t="s">
        <v>103</v>
      </c>
      <c r="H878" s="503" t="s">
        <v>122</v>
      </c>
      <c r="I878" s="695">
        <v>20</v>
      </c>
      <c r="J878" s="695">
        <v>0.1</v>
      </c>
      <c r="K878" s="777">
        <f t="shared" si="152"/>
        <v>1.1363636363636365E-3</v>
      </c>
      <c r="L878" s="968">
        <v>0</v>
      </c>
      <c r="M878" s="503">
        <f t="shared" si="154"/>
        <v>19</v>
      </c>
      <c r="N878" s="504">
        <v>0.80208333333333337</v>
      </c>
      <c r="O878" s="719">
        <f t="shared" si="144"/>
        <v>0.80208333333333337</v>
      </c>
      <c r="P878" s="564">
        <v>0.80347222222222225</v>
      </c>
      <c r="Q878" s="564">
        <f t="shared" si="151"/>
        <v>1.388888888888884E-3</v>
      </c>
      <c r="R878" s="965" t="s">
        <v>1520</v>
      </c>
      <c r="S878" s="487" t="s">
        <v>410</v>
      </c>
      <c r="U878" s="29" t="str">
        <f t="shared" si="145"/>
        <v>ShermanF0</v>
      </c>
      <c r="V878" s="29" t="str">
        <f t="shared" si="146"/>
        <v>2003F0</v>
      </c>
      <c r="W878" s="80">
        <v>20</v>
      </c>
      <c r="X878" s="32">
        <v>0.1</v>
      </c>
      <c r="Y878" s="467">
        <v>1E-3</v>
      </c>
      <c r="Z878" s="80"/>
      <c r="AA878" s="29" t="str">
        <f t="shared" si="147"/>
        <v>F020</v>
      </c>
      <c r="AB878" s="29" t="str">
        <f t="shared" si="148"/>
        <v>F00.1</v>
      </c>
      <c r="AC878" s="29" t="str">
        <f t="shared" si="149"/>
        <v>F00.001</v>
      </c>
      <c r="AD878" s="29" t="str">
        <f t="shared" si="150"/>
        <v>F019</v>
      </c>
      <c r="AE878" s="443"/>
      <c r="AF878" s="443"/>
      <c r="AG878" s="443"/>
      <c r="AH878" s="443"/>
    </row>
    <row r="879" spans="1:34" ht="16.5">
      <c r="A879" s="728">
        <f t="shared" si="153"/>
        <v>872</v>
      </c>
      <c r="B879" s="563">
        <v>15</v>
      </c>
      <c r="C879" s="694">
        <v>37756</v>
      </c>
      <c r="D879" s="694" t="s">
        <v>148</v>
      </c>
      <c r="E879" s="695">
        <v>15</v>
      </c>
      <c r="F879" s="503">
        <v>2003</v>
      </c>
      <c r="G879" s="563" t="s">
        <v>103</v>
      </c>
      <c r="H879" s="503" t="s">
        <v>122</v>
      </c>
      <c r="I879" s="695">
        <v>50</v>
      </c>
      <c r="J879" s="695">
        <v>0.1</v>
      </c>
      <c r="K879" s="777">
        <f t="shared" si="152"/>
        <v>2.840909090909091E-3</v>
      </c>
      <c r="L879" s="968">
        <v>0</v>
      </c>
      <c r="M879" s="503">
        <f t="shared" si="154"/>
        <v>19</v>
      </c>
      <c r="N879" s="504">
        <v>0.80208333333333337</v>
      </c>
      <c r="O879" s="719">
        <f t="shared" si="144"/>
        <v>0.80208333333333337</v>
      </c>
      <c r="P879" s="564">
        <v>0.8027777777777777</v>
      </c>
      <c r="Q879" s="564">
        <f t="shared" si="151"/>
        <v>6.9444444444433095E-4</v>
      </c>
      <c r="R879" s="965" t="s">
        <v>1520</v>
      </c>
      <c r="S879" s="487" t="s">
        <v>411</v>
      </c>
      <c r="U879" s="29" t="str">
        <f t="shared" si="145"/>
        <v>ShermanF0</v>
      </c>
      <c r="V879" s="29" t="str">
        <f t="shared" si="146"/>
        <v>2003F0</v>
      </c>
      <c r="W879" s="80">
        <v>50</v>
      </c>
      <c r="X879" s="32">
        <v>0.1</v>
      </c>
      <c r="Y879" s="467">
        <v>2E-3</v>
      </c>
      <c r="Z879" s="80"/>
      <c r="AA879" s="29" t="str">
        <f t="shared" si="147"/>
        <v>F050</v>
      </c>
      <c r="AB879" s="29" t="str">
        <f t="shared" si="148"/>
        <v>F00.1</v>
      </c>
      <c r="AC879" s="29" t="str">
        <f t="shared" si="149"/>
        <v>F00.002</v>
      </c>
      <c r="AD879" s="29" t="str">
        <f t="shared" si="150"/>
        <v>F019</v>
      </c>
      <c r="AE879" s="443"/>
      <c r="AF879" s="443"/>
      <c r="AG879" s="443"/>
      <c r="AH879" s="443"/>
    </row>
    <row r="880" spans="1:34" ht="16.5">
      <c r="A880" s="728">
        <f t="shared" si="153"/>
        <v>873</v>
      </c>
      <c r="B880" s="563">
        <v>16</v>
      </c>
      <c r="C880" s="694">
        <v>37756</v>
      </c>
      <c r="D880" s="694" t="s">
        <v>148</v>
      </c>
      <c r="E880" s="695">
        <v>15</v>
      </c>
      <c r="F880" s="503">
        <v>2003</v>
      </c>
      <c r="G880" s="563" t="s">
        <v>115</v>
      </c>
      <c r="H880" s="503" t="s">
        <v>122</v>
      </c>
      <c r="I880" s="695">
        <v>40</v>
      </c>
      <c r="J880" s="695">
        <v>0.1</v>
      </c>
      <c r="K880" s="777">
        <f t="shared" si="152"/>
        <v>2.2727272727272731E-3</v>
      </c>
      <c r="L880" s="968">
        <v>0</v>
      </c>
      <c r="M880" s="503">
        <f t="shared" si="154"/>
        <v>19</v>
      </c>
      <c r="N880" s="504">
        <v>0.8125</v>
      </c>
      <c r="O880" s="719">
        <f t="shared" si="144"/>
        <v>0.8125</v>
      </c>
      <c r="P880" s="564">
        <v>0.81388888888888899</v>
      </c>
      <c r="Q880" s="564">
        <f t="shared" si="151"/>
        <v>1.388888888888995E-3</v>
      </c>
      <c r="R880" s="965" t="s">
        <v>1520</v>
      </c>
      <c r="S880" s="487" t="s">
        <v>455</v>
      </c>
      <c r="T880" s="29"/>
      <c r="U880" s="29" t="str">
        <f t="shared" si="145"/>
        <v>GrayF0</v>
      </c>
      <c r="V880" s="29" t="str">
        <f t="shared" si="146"/>
        <v>2003F0</v>
      </c>
      <c r="W880" s="80">
        <v>20</v>
      </c>
      <c r="X880" s="32">
        <v>0.1</v>
      </c>
      <c r="Y880" s="467">
        <v>2E-3</v>
      </c>
      <c r="Z880" s="80"/>
      <c r="AA880" s="29" t="str">
        <f t="shared" si="147"/>
        <v>F020</v>
      </c>
      <c r="AB880" s="29" t="str">
        <f t="shared" si="148"/>
        <v>F00.1</v>
      </c>
      <c r="AC880" s="29" t="str">
        <f t="shared" si="149"/>
        <v>F00.002</v>
      </c>
      <c r="AD880" s="29" t="str">
        <f t="shared" si="150"/>
        <v>F019</v>
      </c>
      <c r="AE880" s="443"/>
      <c r="AF880" s="443"/>
      <c r="AG880" s="443"/>
      <c r="AH880" s="443"/>
    </row>
    <row r="881" spans="1:34" ht="16.5">
      <c r="A881" s="728">
        <f t="shared" si="153"/>
        <v>874</v>
      </c>
      <c r="B881" s="563">
        <v>17</v>
      </c>
      <c r="C881" s="694">
        <v>37756</v>
      </c>
      <c r="D881" s="694" t="s">
        <v>148</v>
      </c>
      <c r="E881" s="695">
        <v>15</v>
      </c>
      <c r="F881" s="503">
        <v>2003</v>
      </c>
      <c r="G881" s="563" t="s">
        <v>103</v>
      </c>
      <c r="H881" s="503" t="s">
        <v>122</v>
      </c>
      <c r="I881" s="695">
        <v>50</v>
      </c>
      <c r="J881" s="695">
        <v>0.3</v>
      </c>
      <c r="K881" s="777">
        <f t="shared" si="152"/>
        <v>8.5227272727272721E-3</v>
      </c>
      <c r="L881" s="968">
        <v>0</v>
      </c>
      <c r="M881" s="503">
        <f t="shared" si="154"/>
        <v>19</v>
      </c>
      <c r="N881" s="504">
        <v>0.81319444444444444</v>
      </c>
      <c r="O881" s="719">
        <f t="shared" si="144"/>
        <v>0.81319444444444444</v>
      </c>
      <c r="P881" s="564">
        <v>0.81597222222222221</v>
      </c>
      <c r="Q881" s="564">
        <f t="shared" si="151"/>
        <v>2.7777777777777679E-3</v>
      </c>
      <c r="R881" s="965" t="s">
        <v>1520</v>
      </c>
      <c r="S881" s="487" t="s">
        <v>412</v>
      </c>
      <c r="T881" s="29"/>
      <c r="U881" s="29" t="str">
        <f t="shared" si="145"/>
        <v>ShermanF0</v>
      </c>
      <c r="V881" s="29" t="str">
        <f t="shared" si="146"/>
        <v>2003F0</v>
      </c>
      <c r="W881" s="80">
        <v>50</v>
      </c>
      <c r="X881" s="32">
        <v>0.2</v>
      </c>
      <c r="Y881" s="467">
        <v>5.0000000000000001E-3</v>
      </c>
      <c r="Z881" s="80"/>
      <c r="AA881" s="29" t="str">
        <f t="shared" si="147"/>
        <v>F050</v>
      </c>
      <c r="AB881" s="29" t="str">
        <f t="shared" si="148"/>
        <v>F00.2</v>
      </c>
      <c r="AC881" s="29" t="str">
        <f t="shared" si="149"/>
        <v>F00.005</v>
      </c>
      <c r="AD881" s="29" t="str">
        <f t="shared" si="150"/>
        <v>F019</v>
      </c>
      <c r="AE881" s="443"/>
      <c r="AF881" s="443"/>
      <c r="AG881" s="443"/>
      <c r="AH881" s="443"/>
    </row>
    <row r="882" spans="1:34" ht="16.5">
      <c r="A882" s="728">
        <f t="shared" si="153"/>
        <v>875</v>
      </c>
      <c r="B882" s="563">
        <v>18</v>
      </c>
      <c r="C882" s="694">
        <v>37756</v>
      </c>
      <c r="D882" s="694" t="s">
        <v>148</v>
      </c>
      <c r="E882" s="695">
        <v>15</v>
      </c>
      <c r="F882" s="503">
        <v>2003</v>
      </c>
      <c r="G882" s="563" t="s">
        <v>100</v>
      </c>
      <c r="H882" s="503" t="s">
        <v>123</v>
      </c>
      <c r="I882" s="695">
        <v>30</v>
      </c>
      <c r="J882" s="695">
        <v>2</v>
      </c>
      <c r="K882" s="777">
        <f t="shared" si="152"/>
        <v>3.4090909090909088E-2</v>
      </c>
      <c r="L882" s="968">
        <v>30000</v>
      </c>
      <c r="M882" s="503">
        <f t="shared" si="154"/>
        <v>19</v>
      </c>
      <c r="N882" s="504">
        <v>0.81458333333333333</v>
      </c>
      <c r="O882" s="719">
        <f t="shared" si="144"/>
        <v>0.81458333333333333</v>
      </c>
      <c r="P882" s="564">
        <v>0.81666666666666676</v>
      </c>
      <c r="Q882" s="564">
        <f t="shared" si="151"/>
        <v>2.083333333333437E-3</v>
      </c>
      <c r="R882" s="965" t="s">
        <v>1520</v>
      </c>
      <c r="S882" s="487" t="s">
        <v>228</v>
      </c>
      <c r="T882" s="29"/>
      <c r="U882" s="29" t="str">
        <f t="shared" si="145"/>
        <v>TexasF1</v>
      </c>
      <c r="V882" s="29" t="str">
        <f t="shared" si="146"/>
        <v>2003F1</v>
      </c>
      <c r="W882" s="80">
        <v>20</v>
      </c>
      <c r="X882" s="32">
        <v>2</v>
      </c>
      <c r="Y882" s="467">
        <v>0.02</v>
      </c>
      <c r="Z882" s="80"/>
      <c r="AA882" s="29" t="str">
        <f t="shared" si="147"/>
        <v>F120</v>
      </c>
      <c r="AB882" s="29" t="str">
        <f t="shared" si="148"/>
        <v>F12</v>
      </c>
      <c r="AC882" s="29" t="str">
        <f t="shared" si="149"/>
        <v>F10.02</v>
      </c>
      <c r="AD882" s="29" t="str">
        <f t="shared" si="150"/>
        <v>F119</v>
      </c>
      <c r="AE882" s="443"/>
      <c r="AF882" s="443"/>
      <c r="AG882" s="443"/>
      <c r="AH882" s="443"/>
    </row>
    <row r="883" spans="1:34" ht="16.5">
      <c r="A883" s="728">
        <f t="shared" si="153"/>
        <v>876</v>
      </c>
      <c r="B883" s="563">
        <v>19</v>
      </c>
      <c r="C883" s="694">
        <v>37756</v>
      </c>
      <c r="D883" s="694" t="s">
        <v>148</v>
      </c>
      <c r="E883" s="695">
        <v>15</v>
      </c>
      <c r="F883" s="503">
        <v>2003</v>
      </c>
      <c r="G883" s="563" t="s">
        <v>120</v>
      </c>
      <c r="H883" s="503" t="s">
        <v>122</v>
      </c>
      <c r="I883" s="695">
        <v>50</v>
      </c>
      <c r="J883" s="695">
        <v>0.5</v>
      </c>
      <c r="K883" s="777">
        <f t="shared" si="152"/>
        <v>1.4204545454545454E-2</v>
      </c>
      <c r="L883" s="968">
        <v>0</v>
      </c>
      <c r="M883" s="503">
        <f t="shared" si="154"/>
        <v>19</v>
      </c>
      <c r="N883" s="504">
        <v>0.81736111111111109</v>
      </c>
      <c r="O883" s="719">
        <f t="shared" si="144"/>
        <v>0.81736111111111109</v>
      </c>
      <c r="P883" s="564">
        <v>0.82013888888888886</v>
      </c>
      <c r="Q883" s="564">
        <f t="shared" si="151"/>
        <v>2.7777777777777679E-3</v>
      </c>
      <c r="R883" s="965" t="s">
        <v>1520</v>
      </c>
      <c r="S883" s="487" t="s">
        <v>301</v>
      </c>
      <c r="T883" s="29"/>
      <c r="U883" s="29" t="str">
        <f t="shared" si="145"/>
        <v>DonleyF0</v>
      </c>
      <c r="V883" s="29" t="str">
        <f t="shared" si="146"/>
        <v>2003F0</v>
      </c>
      <c r="W883" s="80">
        <v>50</v>
      </c>
      <c r="X883" s="32">
        <v>0.5</v>
      </c>
      <c r="Y883" s="467">
        <v>0.01</v>
      </c>
      <c r="Z883" s="80"/>
      <c r="AA883" s="29" t="str">
        <f t="shared" si="147"/>
        <v>F050</v>
      </c>
      <c r="AB883" s="29" t="str">
        <f t="shared" si="148"/>
        <v>F00.5</v>
      </c>
      <c r="AC883" s="29" t="str">
        <f t="shared" si="149"/>
        <v>F00.01</v>
      </c>
      <c r="AD883" s="29" t="str">
        <f t="shared" si="150"/>
        <v>F019</v>
      </c>
      <c r="AE883" s="443"/>
      <c r="AF883" s="443"/>
      <c r="AG883" s="443"/>
      <c r="AH883" s="443"/>
    </row>
    <row r="884" spans="1:34" ht="16.5">
      <c r="A884" s="728">
        <f t="shared" si="153"/>
        <v>877</v>
      </c>
      <c r="B884" s="563">
        <v>20</v>
      </c>
      <c r="C884" s="694">
        <v>37756</v>
      </c>
      <c r="D884" s="694" t="s">
        <v>148</v>
      </c>
      <c r="E884" s="695">
        <v>15</v>
      </c>
      <c r="F884" s="503">
        <v>2003</v>
      </c>
      <c r="G884" s="563" t="s">
        <v>100</v>
      </c>
      <c r="H884" s="503" t="s">
        <v>122</v>
      </c>
      <c r="I884" s="695">
        <v>40</v>
      </c>
      <c r="J884" s="695">
        <v>1</v>
      </c>
      <c r="K884" s="777">
        <f t="shared" si="152"/>
        <v>2.2727272727272728E-2</v>
      </c>
      <c r="L884" s="968">
        <v>0</v>
      </c>
      <c r="M884" s="503">
        <f t="shared" si="154"/>
        <v>19</v>
      </c>
      <c r="N884" s="504">
        <v>0.82291666666666663</v>
      </c>
      <c r="O884" s="719">
        <f t="shared" si="144"/>
        <v>0.82291666666666663</v>
      </c>
      <c r="P884" s="564">
        <v>0.82430555555555562</v>
      </c>
      <c r="Q884" s="564">
        <f t="shared" si="151"/>
        <v>1.388888888888995E-3</v>
      </c>
      <c r="R884" s="965" t="s">
        <v>1520</v>
      </c>
      <c r="S884" s="487" t="s">
        <v>49</v>
      </c>
      <c r="T884" s="29"/>
      <c r="U884" s="29" t="str">
        <f t="shared" si="145"/>
        <v>TexasF0</v>
      </c>
      <c r="V884" s="29" t="str">
        <f t="shared" si="146"/>
        <v>2003F0</v>
      </c>
      <c r="W884" s="80">
        <v>20</v>
      </c>
      <c r="X884" s="32">
        <v>1</v>
      </c>
      <c r="Y884" s="467">
        <v>0.02</v>
      </c>
      <c r="Z884" s="80"/>
      <c r="AA884" s="29" t="str">
        <f t="shared" si="147"/>
        <v>F020</v>
      </c>
      <c r="AB884" s="29" t="str">
        <f t="shared" si="148"/>
        <v>F01</v>
      </c>
      <c r="AC884" s="29" t="str">
        <f t="shared" si="149"/>
        <v>F00.02</v>
      </c>
      <c r="AD884" s="29" t="str">
        <f t="shared" si="150"/>
        <v>F019</v>
      </c>
      <c r="AE884" s="443"/>
      <c r="AF884" s="443"/>
      <c r="AG884" s="443"/>
      <c r="AH884" s="443"/>
    </row>
    <row r="885" spans="1:34" ht="16.5">
      <c r="A885" s="728">
        <f t="shared" si="153"/>
        <v>878</v>
      </c>
      <c r="B885" s="563">
        <v>21</v>
      </c>
      <c r="C885" s="694">
        <v>37756</v>
      </c>
      <c r="D885" s="694" t="s">
        <v>148</v>
      </c>
      <c r="E885" s="695">
        <v>15</v>
      </c>
      <c r="F885" s="503">
        <v>2003</v>
      </c>
      <c r="G885" s="563" t="s">
        <v>120</v>
      </c>
      <c r="H885" s="503" t="s">
        <v>122</v>
      </c>
      <c r="I885" s="695">
        <v>20</v>
      </c>
      <c r="J885" s="695">
        <v>0.1</v>
      </c>
      <c r="K885" s="777">
        <f t="shared" si="152"/>
        <v>1.1363636363636365E-3</v>
      </c>
      <c r="L885" s="968">
        <v>0</v>
      </c>
      <c r="M885" s="503">
        <f t="shared" si="154"/>
        <v>19</v>
      </c>
      <c r="N885" s="504">
        <v>0.83263888888888893</v>
      </c>
      <c r="O885" s="719">
        <f t="shared" si="144"/>
        <v>0.83263888888888893</v>
      </c>
      <c r="P885" s="564">
        <v>0.8340277777777777</v>
      </c>
      <c r="Q885" s="564">
        <f t="shared" si="151"/>
        <v>1.3888888888887729E-3</v>
      </c>
      <c r="R885" s="965" t="s">
        <v>1520</v>
      </c>
      <c r="S885" s="487" t="s">
        <v>302</v>
      </c>
      <c r="T885" s="29"/>
      <c r="U885" s="29" t="str">
        <f t="shared" si="145"/>
        <v>DonleyF0</v>
      </c>
      <c r="V885" s="29" t="str">
        <f t="shared" si="146"/>
        <v>2003F0</v>
      </c>
      <c r="W885" s="80">
        <v>20</v>
      </c>
      <c r="X885" s="32">
        <v>0.1</v>
      </c>
      <c r="Y885" s="467">
        <v>1E-3</v>
      </c>
      <c r="Z885" s="80"/>
      <c r="AA885" s="29" t="str">
        <f t="shared" si="147"/>
        <v>F020</v>
      </c>
      <c r="AB885" s="29" t="str">
        <f t="shared" si="148"/>
        <v>F00.1</v>
      </c>
      <c r="AC885" s="29" t="str">
        <f t="shared" si="149"/>
        <v>F00.001</v>
      </c>
      <c r="AD885" s="29" t="str">
        <f t="shared" si="150"/>
        <v>F019</v>
      </c>
      <c r="AE885" s="443"/>
      <c r="AF885" s="443"/>
      <c r="AG885" s="443"/>
      <c r="AH885" s="443"/>
    </row>
    <row r="886" spans="1:34" ht="16.5">
      <c r="A886" s="728">
        <f t="shared" si="153"/>
        <v>879</v>
      </c>
      <c r="B886" s="563">
        <v>22</v>
      </c>
      <c r="C886" s="694">
        <v>37756</v>
      </c>
      <c r="D886" s="694" t="s">
        <v>148</v>
      </c>
      <c r="E886" s="695">
        <v>15</v>
      </c>
      <c r="F886" s="503">
        <v>2003</v>
      </c>
      <c r="G886" s="563" t="s">
        <v>101</v>
      </c>
      <c r="H886" s="503" t="s">
        <v>122</v>
      </c>
      <c r="I886" s="695">
        <v>20</v>
      </c>
      <c r="J886" s="695">
        <v>0.8</v>
      </c>
      <c r="K886" s="777">
        <f t="shared" si="152"/>
        <v>9.0909090909090922E-3</v>
      </c>
      <c r="L886" s="968">
        <v>0</v>
      </c>
      <c r="M886" s="503">
        <f t="shared" si="154"/>
        <v>20</v>
      </c>
      <c r="N886" s="504">
        <v>0.83333333333333337</v>
      </c>
      <c r="O886" s="719">
        <f t="shared" si="144"/>
        <v>0.83333333333333337</v>
      </c>
      <c r="P886" s="564">
        <v>0.83472222222222225</v>
      </c>
      <c r="Q886" s="564">
        <f t="shared" si="151"/>
        <v>1.388888888888884E-3</v>
      </c>
      <c r="R886" s="965" t="s">
        <v>1520</v>
      </c>
      <c r="S886" s="487" t="s">
        <v>50</v>
      </c>
      <c r="T886" s="29"/>
      <c r="U886" s="29" t="str">
        <f t="shared" si="145"/>
        <v>BeaverF0</v>
      </c>
      <c r="V886" s="29" t="str">
        <f t="shared" si="146"/>
        <v>2003F0</v>
      </c>
      <c r="W886" s="80">
        <v>20</v>
      </c>
      <c r="X886" s="32">
        <v>0.5</v>
      </c>
      <c r="Y886" s="467">
        <v>5.0000000000000001E-3</v>
      </c>
      <c r="Z886" s="80"/>
      <c r="AA886" s="29" t="str">
        <f t="shared" si="147"/>
        <v>F020</v>
      </c>
      <c r="AB886" s="29" t="str">
        <f t="shared" si="148"/>
        <v>F00.5</v>
      </c>
      <c r="AC886" s="29" t="str">
        <f t="shared" si="149"/>
        <v>F00.005</v>
      </c>
      <c r="AD886" s="29" t="str">
        <f t="shared" si="150"/>
        <v>F020</v>
      </c>
      <c r="AE886" s="443"/>
      <c r="AF886" s="443"/>
      <c r="AG886" s="443"/>
      <c r="AH886" s="443"/>
    </row>
    <row r="887" spans="1:34" ht="16.5">
      <c r="A887" s="728">
        <f t="shared" si="153"/>
        <v>880</v>
      </c>
      <c r="B887" s="563">
        <v>23</v>
      </c>
      <c r="C887" s="694">
        <v>37756</v>
      </c>
      <c r="D887" s="694" t="s">
        <v>148</v>
      </c>
      <c r="E887" s="695">
        <v>15</v>
      </c>
      <c r="F887" s="503">
        <v>2003</v>
      </c>
      <c r="G887" s="563" t="s">
        <v>109</v>
      </c>
      <c r="H887" s="503" t="s">
        <v>122</v>
      </c>
      <c r="I887" s="695">
        <v>30</v>
      </c>
      <c r="J887" s="695">
        <v>2</v>
      </c>
      <c r="K887" s="777">
        <f t="shared" si="152"/>
        <v>3.4090909090909088E-2</v>
      </c>
      <c r="L887" s="968">
        <v>0</v>
      </c>
      <c r="M887" s="503">
        <f t="shared" si="154"/>
        <v>20</v>
      </c>
      <c r="N887" s="504">
        <v>0.84930555555555554</v>
      </c>
      <c r="O887" s="719">
        <f t="shared" si="144"/>
        <v>0.84930555555555554</v>
      </c>
      <c r="P887" s="564">
        <v>0.85277777777777775</v>
      </c>
      <c r="Q887" s="564">
        <f t="shared" si="151"/>
        <v>3.4722222222222099E-3</v>
      </c>
      <c r="R887" s="965" t="s">
        <v>1520</v>
      </c>
      <c r="S887" s="487" t="s">
        <v>51</v>
      </c>
      <c r="T887" s="29"/>
      <c r="U887" s="29" t="str">
        <f t="shared" si="145"/>
        <v>HutchinsonF0</v>
      </c>
      <c r="V887" s="29" t="str">
        <f t="shared" si="146"/>
        <v>2003F0</v>
      </c>
      <c r="W887" s="80">
        <v>20</v>
      </c>
      <c r="X887" s="32">
        <v>2</v>
      </c>
      <c r="Y887" s="467">
        <v>0.02</v>
      </c>
      <c r="Z887" s="80"/>
      <c r="AA887" s="29" t="str">
        <f t="shared" si="147"/>
        <v>F020</v>
      </c>
      <c r="AB887" s="29" t="str">
        <f t="shared" si="148"/>
        <v>F02</v>
      </c>
      <c r="AC887" s="29" t="str">
        <f t="shared" si="149"/>
        <v>F00.02</v>
      </c>
      <c r="AD887" s="29" t="str">
        <f t="shared" si="150"/>
        <v>F020</v>
      </c>
      <c r="AE887" s="443"/>
      <c r="AF887" s="443"/>
      <c r="AG887" s="443"/>
      <c r="AH887" s="443"/>
    </row>
    <row r="888" spans="1:34" ht="16.5">
      <c r="A888" s="728">
        <f t="shared" si="153"/>
        <v>881</v>
      </c>
      <c r="B888" s="563">
        <v>24</v>
      </c>
      <c r="C888" s="694">
        <v>37756</v>
      </c>
      <c r="D888" s="694" t="s">
        <v>148</v>
      </c>
      <c r="E888" s="695">
        <v>15</v>
      </c>
      <c r="F888" s="503">
        <v>2003</v>
      </c>
      <c r="G888" s="563" t="s">
        <v>114</v>
      </c>
      <c r="H888" s="503" t="s">
        <v>122</v>
      </c>
      <c r="I888" s="695">
        <v>20</v>
      </c>
      <c r="J888" s="695">
        <v>0.1</v>
      </c>
      <c r="K888" s="777">
        <f t="shared" si="152"/>
        <v>1.1363636363636365E-3</v>
      </c>
      <c r="L888" s="968">
        <v>0</v>
      </c>
      <c r="M888" s="503">
        <f t="shared" si="154"/>
        <v>20</v>
      </c>
      <c r="N888" s="504">
        <v>0.86388888888888893</v>
      </c>
      <c r="O888" s="719">
        <f t="shared" si="144"/>
        <v>0.86388888888888893</v>
      </c>
      <c r="P888" s="564">
        <v>0.86458333333333337</v>
      </c>
      <c r="Q888" s="564">
        <f t="shared" si="151"/>
        <v>6.9444444444444198E-4</v>
      </c>
      <c r="R888" s="965" t="s">
        <v>1520</v>
      </c>
      <c r="S888" s="487" t="s">
        <v>273</v>
      </c>
      <c r="T888" s="29"/>
      <c r="U888" s="29" t="str">
        <f t="shared" si="145"/>
        <v>CarsonF0</v>
      </c>
      <c r="V888" s="29" t="str">
        <f t="shared" si="146"/>
        <v>2003F0</v>
      </c>
      <c r="W888" s="80">
        <v>20</v>
      </c>
      <c r="X888" s="32">
        <v>0.1</v>
      </c>
      <c r="Y888" s="467">
        <v>1E-3</v>
      </c>
      <c r="Z888" s="80"/>
      <c r="AA888" s="29" t="str">
        <f t="shared" si="147"/>
        <v>F020</v>
      </c>
      <c r="AB888" s="29" t="str">
        <f t="shared" si="148"/>
        <v>F00.1</v>
      </c>
      <c r="AC888" s="29" t="str">
        <f t="shared" si="149"/>
        <v>F00.001</v>
      </c>
      <c r="AD888" s="29" t="str">
        <f t="shared" si="150"/>
        <v>F020</v>
      </c>
      <c r="AE888" s="443"/>
      <c r="AF888" s="443"/>
      <c r="AG888" s="443"/>
      <c r="AH888" s="443"/>
    </row>
    <row r="889" spans="1:34" ht="16.5">
      <c r="A889" s="728">
        <f t="shared" si="153"/>
        <v>882</v>
      </c>
      <c r="B889" s="563">
        <v>25</v>
      </c>
      <c r="C889" s="694">
        <v>37756</v>
      </c>
      <c r="D889" s="694" t="s">
        <v>148</v>
      </c>
      <c r="E889" s="695">
        <v>15</v>
      </c>
      <c r="F889" s="503">
        <v>2003</v>
      </c>
      <c r="G889" s="563" t="s">
        <v>116</v>
      </c>
      <c r="H889" s="503" t="s">
        <v>123</v>
      </c>
      <c r="I889" s="695">
        <v>100</v>
      </c>
      <c r="J889" s="695">
        <v>18</v>
      </c>
      <c r="K889" s="777">
        <f t="shared" si="152"/>
        <v>1.0227272727272727</v>
      </c>
      <c r="L889" s="968">
        <v>150000</v>
      </c>
      <c r="M889" s="503">
        <f t="shared" si="154"/>
        <v>20</v>
      </c>
      <c r="N889" s="504">
        <v>0.86319444444444438</v>
      </c>
      <c r="O889" s="719">
        <f t="shared" si="144"/>
        <v>0.86319444444444438</v>
      </c>
      <c r="P889" s="564">
        <v>0.88888888888888884</v>
      </c>
      <c r="Q889" s="564">
        <f t="shared" si="151"/>
        <v>2.5694444444444464E-2</v>
      </c>
      <c r="R889" s="965" t="s">
        <v>1520</v>
      </c>
      <c r="S889" s="487" t="s">
        <v>74</v>
      </c>
      <c r="T889" s="29"/>
      <c r="U889" s="29" t="str">
        <f t="shared" si="145"/>
        <v>WheelerF1</v>
      </c>
      <c r="V889" s="29" t="str">
        <f t="shared" si="146"/>
        <v>2003F1</v>
      </c>
      <c r="W889" s="80">
        <v>100</v>
      </c>
      <c r="X889" s="32">
        <v>10</v>
      </c>
      <c r="Y889" s="467">
        <v>0.5</v>
      </c>
      <c r="Z889" s="80"/>
      <c r="AA889" s="29" t="str">
        <f t="shared" si="147"/>
        <v>F1100</v>
      </c>
      <c r="AB889" s="29" t="str">
        <f t="shared" si="148"/>
        <v>F110</v>
      </c>
      <c r="AC889" s="29" t="str">
        <f t="shared" si="149"/>
        <v>F10.5</v>
      </c>
      <c r="AD889" s="29" t="str">
        <f t="shared" si="150"/>
        <v>F120</v>
      </c>
      <c r="AE889" s="443"/>
      <c r="AF889" s="443"/>
      <c r="AG889" s="443"/>
      <c r="AH889" s="443"/>
    </row>
    <row r="890" spans="1:34" ht="16.5">
      <c r="A890" s="728">
        <f t="shared" si="153"/>
        <v>883</v>
      </c>
      <c r="B890" s="563">
        <v>26</v>
      </c>
      <c r="C890" s="694">
        <v>37756</v>
      </c>
      <c r="D890" s="694" t="s">
        <v>148</v>
      </c>
      <c r="E890" s="695">
        <v>15</v>
      </c>
      <c r="F890" s="503">
        <v>2003</v>
      </c>
      <c r="G890" s="563" t="s">
        <v>116</v>
      </c>
      <c r="H890" s="503" t="s">
        <v>122</v>
      </c>
      <c r="I890" s="695">
        <v>50</v>
      </c>
      <c r="J890" s="695">
        <v>0.5</v>
      </c>
      <c r="K890" s="777">
        <f t="shared" si="152"/>
        <v>1.4204545454545454E-2</v>
      </c>
      <c r="L890" s="968">
        <v>0</v>
      </c>
      <c r="M890" s="503">
        <f t="shared" si="154"/>
        <v>21</v>
      </c>
      <c r="N890" s="504">
        <v>0.89583333333333337</v>
      </c>
      <c r="O890" s="719">
        <f t="shared" si="144"/>
        <v>0.89583333333333337</v>
      </c>
      <c r="P890" s="564">
        <v>0.8979166666666667</v>
      </c>
      <c r="Q890" s="564">
        <f t="shared" si="151"/>
        <v>2.0833333333333259E-3</v>
      </c>
      <c r="R890" s="965" t="s">
        <v>1520</v>
      </c>
      <c r="S890" s="487" t="s">
        <v>428</v>
      </c>
      <c r="T890" s="29"/>
      <c r="U890" s="29" t="str">
        <f t="shared" si="145"/>
        <v>WheelerF0</v>
      </c>
      <c r="V890" s="29" t="str">
        <f t="shared" si="146"/>
        <v>2003F0</v>
      </c>
      <c r="W890" s="80">
        <v>50</v>
      </c>
      <c r="X890" s="32">
        <v>0.5</v>
      </c>
      <c r="Y890" s="467">
        <v>0.01</v>
      </c>
      <c r="Z890" s="80"/>
      <c r="AA890" s="29" t="str">
        <f t="shared" si="147"/>
        <v>F050</v>
      </c>
      <c r="AB890" s="29" t="str">
        <f t="shared" si="148"/>
        <v>F00.5</v>
      </c>
      <c r="AC890" s="29" t="str">
        <f t="shared" si="149"/>
        <v>F00.01</v>
      </c>
      <c r="AD890" s="29" t="str">
        <f t="shared" si="150"/>
        <v>F021</v>
      </c>
      <c r="AE890" s="443"/>
      <c r="AF890" s="443"/>
      <c r="AG890" s="443"/>
      <c r="AH890" s="443"/>
    </row>
    <row r="891" spans="1:34" ht="16.5">
      <c r="A891" s="728">
        <f t="shared" si="153"/>
        <v>884</v>
      </c>
      <c r="B891" s="563">
        <v>27</v>
      </c>
      <c r="C891" s="694">
        <v>37756</v>
      </c>
      <c r="D891" s="694" t="s">
        <v>148</v>
      </c>
      <c r="E891" s="695">
        <v>15</v>
      </c>
      <c r="F891" s="503">
        <v>2003</v>
      </c>
      <c r="G891" s="563" t="s">
        <v>116</v>
      </c>
      <c r="H891" s="503" t="s">
        <v>124</v>
      </c>
      <c r="I891" s="695">
        <v>1760</v>
      </c>
      <c r="J891" s="695">
        <v>10</v>
      </c>
      <c r="K891" s="777">
        <f t="shared" si="152"/>
        <v>10</v>
      </c>
      <c r="L891" s="968">
        <v>200000</v>
      </c>
      <c r="M891" s="503">
        <f t="shared" si="154"/>
        <v>21</v>
      </c>
      <c r="N891" s="504">
        <v>0.91180555555555554</v>
      </c>
      <c r="O891" s="719">
        <f t="shared" si="144"/>
        <v>0.91180555555555554</v>
      </c>
      <c r="P891" s="564">
        <v>0.91874999999999996</v>
      </c>
      <c r="Q891" s="564">
        <f t="shared" si="151"/>
        <v>6.9444444444444198E-3</v>
      </c>
      <c r="R891" s="965" t="s">
        <v>1520</v>
      </c>
      <c r="S891" s="487" t="s">
        <v>75</v>
      </c>
      <c r="T891" s="29"/>
      <c r="U891" s="29" t="str">
        <f t="shared" si="145"/>
        <v>WheelerF2</v>
      </c>
      <c r="V891" s="29" t="str">
        <f t="shared" si="146"/>
        <v>2003F2</v>
      </c>
      <c r="W891" s="80">
        <v>1000</v>
      </c>
      <c r="X891" s="32">
        <v>5</v>
      </c>
      <c r="Y891" s="467">
        <v>5</v>
      </c>
      <c r="Z891" s="80"/>
      <c r="AA891" s="29" t="str">
        <f t="shared" si="147"/>
        <v>F21000</v>
      </c>
      <c r="AB891" s="29" t="str">
        <f t="shared" si="148"/>
        <v>F25</v>
      </c>
      <c r="AC891" s="29" t="str">
        <f t="shared" si="149"/>
        <v>F25</v>
      </c>
      <c r="AD891" s="29" t="str">
        <f t="shared" si="150"/>
        <v>F221</v>
      </c>
      <c r="AE891" s="443"/>
      <c r="AF891" s="443"/>
      <c r="AG891" s="443"/>
      <c r="AH891" s="443"/>
    </row>
    <row r="892" spans="1:34" ht="16.5">
      <c r="A892" s="728">
        <f t="shared" si="153"/>
        <v>885</v>
      </c>
      <c r="B892" s="563">
        <v>28</v>
      </c>
      <c r="C892" s="694">
        <v>37756</v>
      </c>
      <c r="D892" s="694" t="s">
        <v>148</v>
      </c>
      <c r="E892" s="695">
        <v>15</v>
      </c>
      <c r="F892" s="503">
        <v>2003</v>
      </c>
      <c r="G892" s="563" t="s">
        <v>116</v>
      </c>
      <c r="H892" s="503" t="s">
        <v>122</v>
      </c>
      <c r="I892" s="695">
        <v>50</v>
      </c>
      <c r="J892" s="695">
        <v>0.1</v>
      </c>
      <c r="K892" s="777">
        <f t="shared" si="152"/>
        <v>2.840909090909091E-3</v>
      </c>
      <c r="L892" s="968">
        <v>0</v>
      </c>
      <c r="M892" s="503">
        <f t="shared" si="154"/>
        <v>22</v>
      </c>
      <c r="N892" s="504">
        <v>0.93125000000000002</v>
      </c>
      <c r="O892" s="719">
        <f t="shared" si="144"/>
        <v>0.93125000000000002</v>
      </c>
      <c r="P892" s="564">
        <v>0.93263888888888891</v>
      </c>
      <c r="Q892" s="564">
        <f t="shared" si="151"/>
        <v>1.388888888888884E-3</v>
      </c>
      <c r="R892" s="965" t="s">
        <v>1520</v>
      </c>
      <c r="S892" s="487" t="s">
        <v>429</v>
      </c>
      <c r="T892" s="29"/>
      <c r="U892" s="29" t="str">
        <f t="shared" si="145"/>
        <v>WheelerF0</v>
      </c>
      <c r="V892" s="29" t="str">
        <f t="shared" si="146"/>
        <v>2003F0</v>
      </c>
      <c r="W892" s="80">
        <v>50</v>
      </c>
      <c r="X892" s="32">
        <v>0.1</v>
      </c>
      <c r="Y892" s="467">
        <v>2E-3</v>
      </c>
      <c r="Z892" s="80"/>
      <c r="AA892" s="29" t="str">
        <f t="shared" si="147"/>
        <v>F050</v>
      </c>
      <c r="AB892" s="29" t="str">
        <f t="shared" si="148"/>
        <v>F00.1</v>
      </c>
      <c r="AC892" s="29" t="str">
        <f t="shared" si="149"/>
        <v>F00.002</v>
      </c>
      <c r="AD892" s="29" t="str">
        <f t="shared" si="150"/>
        <v>F022</v>
      </c>
      <c r="AE892" s="443"/>
      <c r="AF892" s="443"/>
      <c r="AG892" s="443"/>
      <c r="AH892" s="443"/>
    </row>
    <row r="893" spans="1:34" ht="16.5">
      <c r="A893" s="728">
        <f t="shared" si="153"/>
        <v>886</v>
      </c>
      <c r="B893" s="563">
        <v>29</v>
      </c>
      <c r="C893" s="694">
        <v>37765</v>
      </c>
      <c r="D893" s="694" t="s">
        <v>148</v>
      </c>
      <c r="E893" s="695">
        <v>24</v>
      </c>
      <c r="F893" s="503">
        <v>2003</v>
      </c>
      <c r="G893" s="563" t="s">
        <v>110</v>
      </c>
      <c r="H893" s="503" t="s">
        <v>122</v>
      </c>
      <c r="I893" s="695">
        <v>25</v>
      </c>
      <c r="J893" s="695">
        <v>0.2</v>
      </c>
      <c r="K893" s="777">
        <f t="shared" si="152"/>
        <v>2.840909090909091E-3</v>
      </c>
      <c r="L893" s="968">
        <v>0</v>
      </c>
      <c r="M893" s="503">
        <f t="shared" si="154"/>
        <v>17</v>
      </c>
      <c r="N893" s="504">
        <v>0.74236111111111114</v>
      </c>
      <c r="O893" s="719">
        <f t="shared" si="144"/>
        <v>0.74236111111111114</v>
      </c>
      <c r="P893" s="564">
        <v>0.74305555555555547</v>
      </c>
      <c r="Q893" s="564">
        <f t="shared" si="151"/>
        <v>6.9444444444433095E-4</v>
      </c>
      <c r="R893" s="965" t="s">
        <v>1520</v>
      </c>
      <c r="S893" s="487" t="s">
        <v>408</v>
      </c>
      <c r="T893" s="29"/>
      <c r="U893" s="29" t="str">
        <f t="shared" si="145"/>
        <v>RobertsF0</v>
      </c>
      <c r="V893" s="29" t="str">
        <f t="shared" si="146"/>
        <v>2003F0</v>
      </c>
      <c r="W893" s="80">
        <v>20</v>
      </c>
      <c r="X893" s="32">
        <v>0.2</v>
      </c>
      <c r="Y893" s="467">
        <v>2E-3</v>
      </c>
      <c r="Z893" s="80"/>
      <c r="AA893" s="29" t="str">
        <f t="shared" si="147"/>
        <v>F020</v>
      </c>
      <c r="AB893" s="29" t="str">
        <f t="shared" si="148"/>
        <v>F00.2</v>
      </c>
      <c r="AC893" s="29" t="str">
        <f t="shared" si="149"/>
        <v>F00.002</v>
      </c>
      <c r="AD893" s="29" t="str">
        <f t="shared" si="150"/>
        <v>F017</v>
      </c>
      <c r="AE893" s="443"/>
      <c r="AF893" s="443"/>
      <c r="AG893" s="443"/>
      <c r="AH893" s="443"/>
    </row>
    <row r="894" spans="1:34" ht="16.5">
      <c r="A894" s="728">
        <f t="shared" si="153"/>
        <v>887</v>
      </c>
      <c r="B894" s="563">
        <v>30</v>
      </c>
      <c r="C894" s="694">
        <v>37765</v>
      </c>
      <c r="D894" s="694" t="s">
        <v>148</v>
      </c>
      <c r="E894" s="695">
        <v>24</v>
      </c>
      <c r="F894" s="503">
        <v>2003</v>
      </c>
      <c r="G894" s="563" t="s">
        <v>115</v>
      </c>
      <c r="H894" s="503" t="s">
        <v>122</v>
      </c>
      <c r="I894" s="695">
        <v>50</v>
      </c>
      <c r="J894" s="695">
        <v>0.2</v>
      </c>
      <c r="K894" s="777">
        <f t="shared" si="152"/>
        <v>5.681818181818182E-3</v>
      </c>
      <c r="L894" s="968">
        <v>0</v>
      </c>
      <c r="M894" s="503">
        <f t="shared" si="154"/>
        <v>18</v>
      </c>
      <c r="N894" s="504">
        <v>0.76249999999999996</v>
      </c>
      <c r="O894" s="719">
        <f t="shared" si="144"/>
        <v>0.76249999999999996</v>
      </c>
      <c r="P894" s="564">
        <v>0.76388888888888884</v>
      </c>
      <c r="Q894" s="564">
        <f t="shared" si="151"/>
        <v>1.388888888888884E-3</v>
      </c>
      <c r="R894" s="965" t="s">
        <v>1520</v>
      </c>
      <c r="S894" s="487" t="s">
        <v>320</v>
      </c>
      <c r="T894" s="29"/>
      <c r="U894" s="29" t="str">
        <f t="shared" si="145"/>
        <v>GrayF0</v>
      </c>
      <c r="V894" s="29" t="str">
        <f t="shared" si="146"/>
        <v>2003F0</v>
      </c>
      <c r="W894" s="80">
        <v>50</v>
      </c>
      <c r="X894" s="32">
        <v>0.2</v>
      </c>
      <c r="Y894" s="467">
        <v>5.0000000000000001E-3</v>
      </c>
      <c r="Z894" s="80"/>
      <c r="AA894" s="29" t="str">
        <f t="shared" si="147"/>
        <v>F050</v>
      </c>
      <c r="AB894" s="29" t="str">
        <f t="shared" si="148"/>
        <v>F00.2</v>
      </c>
      <c r="AC894" s="29" t="str">
        <f t="shared" si="149"/>
        <v>F00.005</v>
      </c>
      <c r="AD894" s="29" t="str">
        <f t="shared" si="150"/>
        <v>F018</v>
      </c>
      <c r="AE894" s="443"/>
      <c r="AF894" s="443"/>
      <c r="AG894" s="443"/>
      <c r="AH894" s="443"/>
    </row>
    <row r="895" spans="1:34" ht="16.5">
      <c r="A895" s="728">
        <f t="shared" si="153"/>
        <v>888</v>
      </c>
      <c r="B895" s="563">
        <v>31</v>
      </c>
      <c r="C895" s="694">
        <v>37775</v>
      </c>
      <c r="D895" s="694" t="s">
        <v>149</v>
      </c>
      <c r="E895" s="695">
        <v>3</v>
      </c>
      <c r="F895" s="503">
        <v>2003</v>
      </c>
      <c r="G895" s="563" t="s">
        <v>117</v>
      </c>
      <c r="H895" s="503" t="s">
        <v>122</v>
      </c>
      <c r="I895" s="695">
        <v>50</v>
      </c>
      <c r="J895" s="695">
        <v>0.2</v>
      </c>
      <c r="K895" s="777">
        <f t="shared" si="152"/>
        <v>5.681818181818182E-3</v>
      </c>
      <c r="L895" s="968">
        <v>0</v>
      </c>
      <c r="M895" s="503">
        <f t="shared" si="154"/>
        <v>18</v>
      </c>
      <c r="N895" s="504">
        <v>0.77569444444444446</v>
      </c>
      <c r="O895" s="719">
        <f t="shared" si="144"/>
        <v>0.77569444444444446</v>
      </c>
      <c r="P895" s="564">
        <v>0.78333333333333333</v>
      </c>
      <c r="Q895" s="564">
        <f t="shared" si="151"/>
        <v>7.6388888888888618E-3</v>
      </c>
      <c r="R895" s="965" t="s">
        <v>1520</v>
      </c>
      <c r="S895" s="487" t="s">
        <v>292</v>
      </c>
      <c r="T895" s="29"/>
      <c r="U895" s="29" t="str">
        <f t="shared" si="145"/>
        <v>Deaf SmithF0</v>
      </c>
      <c r="V895" s="29" t="str">
        <f t="shared" si="146"/>
        <v>2003F0</v>
      </c>
      <c r="W895" s="80">
        <v>50</v>
      </c>
      <c r="X895" s="32">
        <v>0.2</v>
      </c>
      <c r="Y895" s="467">
        <v>5.0000000000000001E-3</v>
      </c>
      <c r="Z895" s="80"/>
      <c r="AA895" s="29" t="str">
        <f t="shared" si="147"/>
        <v>F050</v>
      </c>
      <c r="AB895" s="29" t="str">
        <f t="shared" si="148"/>
        <v>F00.2</v>
      </c>
      <c r="AC895" s="29" t="str">
        <f t="shared" si="149"/>
        <v>F00.005</v>
      </c>
      <c r="AD895" s="29" t="str">
        <f t="shared" si="150"/>
        <v>F018</v>
      </c>
      <c r="AE895" s="443"/>
      <c r="AF895" s="443"/>
      <c r="AG895" s="443"/>
      <c r="AH895" s="443"/>
    </row>
    <row r="896" spans="1:34" ht="16.5">
      <c r="A896" s="728">
        <f t="shared" si="153"/>
        <v>889</v>
      </c>
      <c r="B896" s="563">
        <v>32</v>
      </c>
      <c r="C896" s="694">
        <v>37775</v>
      </c>
      <c r="D896" s="694" t="s">
        <v>149</v>
      </c>
      <c r="E896" s="695">
        <v>3</v>
      </c>
      <c r="F896" s="503">
        <v>2003</v>
      </c>
      <c r="G896" s="563" t="s">
        <v>117</v>
      </c>
      <c r="H896" s="503" t="s">
        <v>122</v>
      </c>
      <c r="I896" s="695">
        <v>25</v>
      </c>
      <c r="J896" s="695">
        <v>0.1</v>
      </c>
      <c r="K896" s="777">
        <f t="shared" si="152"/>
        <v>1.4204545454545455E-3</v>
      </c>
      <c r="L896" s="968">
        <v>0</v>
      </c>
      <c r="M896" s="503">
        <f t="shared" si="154"/>
        <v>19</v>
      </c>
      <c r="N896" s="504">
        <v>0.79722222222222217</v>
      </c>
      <c r="O896" s="719">
        <f t="shared" si="144"/>
        <v>0.79722222222222217</v>
      </c>
      <c r="P896" s="564">
        <v>0.7993055555555556</v>
      </c>
      <c r="Q896" s="564">
        <f t="shared" si="151"/>
        <v>2.083333333333437E-3</v>
      </c>
      <c r="R896" s="965" t="s">
        <v>1520</v>
      </c>
      <c r="S896" s="487" t="s">
        <v>293</v>
      </c>
      <c r="T896" s="29"/>
      <c r="U896" s="29" t="str">
        <f t="shared" si="145"/>
        <v>Deaf SmithF0</v>
      </c>
      <c r="V896" s="29" t="str">
        <f t="shared" si="146"/>
        <v>2003F0</v>
      </c>
      <c r="W896" s="80">
        <v>20</v>
      </c>
      <c r="X896" s="32">
        <v>0.1</v>
      </c>
      <c r="Y896" s="467">
        <v>1E-3</v>
      </c>
      <c r="Z896" s="80"/>
      <c r="AA896" s="29" t="str">
        <f t="shared" si="147"/>
        <v>F020</v>
      </c>
      <c r="AB896" s="29" t="str">
        <f t="shared" si="148"/>
        <v>F00.1</v>
      </c>
      <c r="AC896" s="29" t="str">
        <f t="shared" si="149"/>
        <v>F00.001</v>
      </c>
      <c r="AD896" s="29" t="str">
        <f t="shared" si="150"/>
        <v>F019</v>
      </c>
      <c r="AE896" s="443"/>
      <c r="AF896" s="443"/>
      <c r="AG896" s="443"/>
      <c r="AH896" s="443"/>
    </row>
    <row r="897" spans="1:34" ht="16.5">
      <c r="A897" s="728">
        <f t="shared" si="153"/>
        <v>890</v>
      </c>
      <c r="B897" s="563">
        <v>33</v>
      </c>
      <c r="C897" s="694">
        <v>37777</v>
      </c>
      <c r="D897" s="694" t="s">
        <v>149</v>
      </c>
      <c r="E897" s="695">
        <v>5</v>
      </c>
      <c r="F897" s="503">
        <v>2003</v>
      </c>
      <c r="G897" s="563" t="s">
        <v>104</v>
      </c>
      <c r="H897" s="503" t="s">
        <v>122</v>
      </c>
      <c r="I897" s="695">
        <v>440</v>
      </c>
      <c r="J897" s="695">
        <v>4</v>
      </c>
      <c r="K897" s="777">
        <f t="shared" si="152"/>
        <v>1</v>
      </c>
      <c r="L897" s="968">
        <v>600000</v>
      </c>
      <c r="M897" s="503">
        <f t="shared" si="154"/>
        <v>16</v>
      </c>
      <c r="N897" s="504">
        <v>0.6875</v>
      </c>
      <c r="O897" s="719">
        <f t="shared" si="144"/>
        <v>0.6875</v>
      </c>
      <c r="P897" s="564">
        <v>0.69097222222222221</v>
      </c>
      <c r="Q897" s="564">
        <f t="shared" si="151"/>
        <v>3.4722222222222099E-3</v>
      </c>
      <c r="R897" s="965" t="s">
        <v>1520</v>
      </c>
      <c r="S897" s="487" t="s">
        <v>329</v>
      </c>
      <c r="T897" s="29"/>
      <c r="U897" s="29" t="str">
        <f t="shared" si="145"/>
        <v>HansfordF0</v>
      </c>
      <c r="V897" s="29" t="str">
        <f t="shared" si="146"/>
        <v>2003F0</v>
      </c>
      <c r="W897" s="80">
        <v>200</v>
      </c>
      <c r="X897" s="32">
        <v>2</v>
      </c>
      <c r="Y897" s="467">
        <v>1</v>
      </c>
      <c r="Z897" s="80"/>
      <c r="AA897" s="29" t="str">
        <f t="shared" si="147"/>
        <v>F0200</v>
      </c>
      <c r="AB897" s="29" t="str">
        <f t="shared" si="148"/>
        <v>F02</v>
      </c>
      <c r="AC897" s="29" t="str">
        <f t="shared" si="149"/>
        <v>F01</v>
      </c>
      <c r="AD897" s="29" t="str">
        <f t="shared" si="150"/>
        <v>F016</v>
      </c>
      <c r="AE897" s="443"/>
      <c r="AF897" s="443"/>
      <c r="AG897" s="443"/>
      <c r="AH897" s="443"/>
    </row>
    <row r="898" spans="1:34" ht="16.5">
      <c r="A898" s="728">
        <f t="shared" si="153"/>
        <v>891</v>
      </c>
      <c r="B898" s="563">
        <v>1</v>
      </c>
      <c r="C898" s="694">
        <v>38096</v>
      </c>
      <c r="D898" s="694" t="s">
        <v>147</v>
      </c>
      <c r="E898" s="695">
        <v>19</v>
      </c>
      <c r="F898" s="503">
        <v>2004</v>
      </c>
      <c r="G898" s="563" t="s">
        <v>105</v>
      </c>
      <c r="H898" s="503" t="s">
        <v>122</v>
      </c>
      <c r="I898" s="695">
        <v>440</v>
      </c>
      <c r="J898" s="695">
        <v>1</v>
      </c>
      <c r="K898" s="777">
        <f t="shared" si="152"/>
        <v>0.25</v>
      </c>
      <c r="L898" s="968">
        <v>0</v>
      </c>
      <c r="M898" s="503">
        <f t="shared" si="154"/>
        <v>19</v>
      </c>
      <c r="N898" s="504">
        <v>0.80694444444444446</v>
      </c>
      <c r="O898" s="719">
        <f t="shared" si="144"/>
        <v>0.80694444444444446</v>
      </c>
      <c r="P898" s="564">
        <v>0.81388888888888899</v>
      </c>
      <c r="Q898" s="564">
        <f t="shared" si="151"/>
        <v>6.9444444444445308E-3</v>
      </c>
      <c r="R898" s="965" t="s">
        <v>1520</v>
      </c>
      <c r="S898" s="487" t="s">
        <v>375</v>
      </c>
      <c r="T898" s="29"/>
      <c r="U898" s="29" t="str">
        <f t="shared" si="145"/>
        <v>OchiltreeF0</v>
      </c>
      <c r="V898" s="29" t="str">
        <f t="shared" si="146"/>
        <v>2004F0</v>
      </c>
      <c r="W898" s="80">
        <v>200</v>
      </c>
      <c r="X898" s="32">
        <v>1</v>
      </c>
      <c r="Y898" s="467">
        <v>0.2</v>
      </c>
      <c r="Z898" s="80"/>
      <c r="AA898" s="29" t="str">
        <f t="shared" si="147"/>
        <v>F0200</v>
      </c>
      <c r="AB898" s="29" t="str">
        <f t="shared" si="148"/>
        <v>F01</v>
      </c>
      <c r="AC898" s="29" t="str">
        <f t="shared" si="149"/>
        <v>F00.2</v>
      </c>
      <c r="AD898" s="29" t="str">
        <f t="shared" si="150"/>
        <v>F019</v>
      </c>
      <c r="AE898" s="443"/>
      <c r="AF898" s="443"/>
      <c r="AG898" s="443"/>
      <c r="AH898" s="443"/>
    </row>
    <row r="899" spans="1:34" ht="16.5">
      <c r="A899" s="728">
        <f t="shared" si="153"/>
        <v>892</v>
      </c>
      <c r="B899" s="563">
        <v>2</v>
      </c>
      <c r="C899" s="694">
        <v>38118</v>
      </c>
      <c r="D899" s="694" t="s">
        <v>148</v>
      </c>
      <c r="E899" s="695">
        <v>11</v>
      </c>
      <c r="F899" s="503">
        <v>2004</v>
      </c>
      <c r="G899" s="563" t="s">
        <v>107</v>
      </c>
      <c r="H899" s="503" t="s">
        <v>122</v>
      </c>
      <c r="I899" s="695">
        <v>25</v>
      </c>
      <c r="J899" s="695">
        <v>1</v>
      </c>
      <c r="K899" s="777">
        <f t="shared" si="152"/>
        <v>1.4204545454545454E-2</v>
      </c>
      <c r="L899" s="968">
        <v>2000</v>
      </c>
      <c r="M899" s="503">
        <f t="shared" si="154"/>
        <v>16</v>
      </c>
      <c r="N899" s="504">
        <v>0.68819444444444444</v>
      </c>
      <c r="O899" s="719">
        <f t="shared" si="144"/>
        <v>0.68819444444444444</v>
      </c>
      <c r="P899" s="564">
        <v>0.69374999999999998</v>
      </c>
      <c r="Q899" s="564">
        <f t="shared" si="151"/>
        <v>5.5555555555555358E-3</v>
      </c>
      <c r="R899" s="965" t="s">
        <v>1520</v>
      </c>
      <c r="S899" s="487" t="s">
        <v>340</v>
      </c>
      <c r="T899" s="29"/>
      <c r="U899" s="29" t="str">
        <f t="shared" si="145"/>
        <v>HartleyF0</v>
      </c>
      <c r="V899" s="29" t="str">
        <f t="shared" si="146"/>
        <v>2004F0</v>
      </c>
      <c r="W899" s="80">
        <v>20</v>
      </c>
      <c r="X899" s="32">
        <v>1</v>
      </c>
      <c r="Y899" s="467">
        <v>0.01</v>
      </c>
      <c r="Z899" s="80"/>
      <c r="AA899" s="29" t="str">
        <f t="shared" si="147"/>
        <v>F020</v>
      </c>
      <c r="AB899" s="29" t="str">
        <f t="shared" si="148"/>
        <v>F01</v>
      </c>
      <c r="AC899" s="29" t="str">
        <f t="shared" si="149"/>
        <v>F00.01</v>
      </c>
      <c r="AD899" s="29" t="str">
        <f t="shared" si="150"/>
        <v>F016</v>
      </c>
      <c r="AE899" s="443"/>
      <c r="AF899" s="443"/>
      <c r="AG899" s="443"/>
      <c r="AH899" s="443"/>
    </row>
    <row r="900" spans="1:34" ht="16.5">
      <c r="A900" s="728">
        <f t="shared" si="153"/>
        <v>893</v>
      </c>
      <c r="B900" s="563">
        <v>3</v>
      </c>
      <c r="C900" s="694">
        <v>38118</v>
      </c>
      <c r="D900" s="694" t="s">
        <v>148</v>
      </c>
      <c r="E900" s="695">
        <v>11</v>
      </c>
      <c r="F900" s="503">
        <v>2004</v>
      </c>
      <c r="G900" s="563" t="s">
        <v>107</v>
      </c>
      <c r="H900" s="503" t="s">
        <v>122</v>
      </c>
      <c r="I900" s="695">
        <v>25</v>
      </c>
      <c r="J900" s="695">
        <v>0.1</v>
      </c>
      <c r="K900" s="777">
        <f t="shared" si="152"/>
        <v>1.4204545454545455E-3</v>
      </c>
      <c r="L900" s="968">
        <v>0</v>
      </c>
      <c r="M900" s="503">
        <f t="shared" si="154"/>
        <v>17</v>
      </c>
      <c r="N900" s="504">
        <v>0.72152777777777777</v>
      </c>
      <c r="O900" s="719">
        <f t="shared" si="144"/>
        <v>0.72152777777777777</v>
      </c>
      <c r="P900" s="564">
        <v>0.72291666666666676</v>
      </c>
      <c r="Q900" s="564">
        <f t="shared" si="151"/>
        <v>1.388888888888995E-3</v>
      </c>
      <c r="R900" s="965" t="s">
        <v>1520</v>
      </c>
      <c r="S900" s="487" t="s">
        <v>341</v>
      </c>
      <c r="T900" s="29"/>
      <c r="U900" s="29" t="str">
        <f t="shared" si="145"/>
        <v>HartleyF0</v>
      </c>
      <c r="V900" s="29" t="str">
        <f t="shared" si="146"/>
        <v>2004F0</v>
      </c>
      <c r="W900" s="80">
        <v>20</v>
      </c>
      <c r="X900" s="32">
        <v>0.1</v>
      </c>
      <c r="Y900" s="467">
        <v>1E-3</v>
      </c>
      <c r="Z900" s="80"/>
      <c r="AA900" s="29" t="str">
        <f t="shared" si="147"/>
        <v>F020</v>
      </c>
      <c r="AB900" s="29" t="str">
        <f t="shared" si="148"/>
        <v>F00.1</v>
      </c>
      <c r="AC900" s="29" t="str">
        <f t="shared" si="149"/>
        <v>F00.001</v>
      </c>
      <c r="AD900" s="29" t="str">
        <f t="shared" si="150"/>
        <v>F017</v>
      </c>
      <c r="AE900" s="443"/>
      <c r="AF900" s="443"/>
      <c r="AG900" s="443"/>
      <c r="AH900" s="443"/>
    </row>
    <row r="901" spans="1:34" ht="16.5">
      <c r="A901" s="728">
        <f t="shared" si="153"/>
        <v>894</v>
      </c>
      <c r="B901" s="563">
        <v>4</v>
      </c>
      <c r="C901" s="694">
        <v>38153</v>
      </c>
      <c r="D901" s="694" t="s">
        <v>149</v>
      </c>
      <c r="E901" s="695">
        <v>15</v>
      </c>
      <c r="F901" s="503">
        <v>2004</v>
      </c>
      <c r="G901" s="563" t="s">
        <v>99</v>
      </c>
      <c r="H901" s="503" t="s">
        <v>122</v>
      </c>
      <c r="I901" s="695">
        <v>50</v>
      </c>
      <c r="J901" s="695">
        <v>0.3</v>
      </c>
      <c r="K901" s="777">
        <f t="shared" si="152"/>
        <v>8.5227272727272721E-3</v>
      </c>
      <c r="L901" s="968">
        <v>0</v>
      </c>
      <c r="M901" s="503">
        <f t="shared" si="154"/>
        <v>17</v>
      </c>
      <c r="N901" s="504">
        <v>0.72013888888888899</v>
      </c>
      <c r="O901" s="719">
        <f t="shared" si="144"/>
        <v>0.72013888888888899</v>
      </c>
      <c r="P901" s="564">
        <v>0.72638888888888886</v>
      </c>
      <c r="Q901" s="564">
        <f t="shared" si="151"/>
        <v>6.2499999999998668E-3</v>
      </c>
      <c r="R901" s="965" t="s">
        <v>1520</v>
      </c>
      <c r="S901" s="487" t="s">
        <v>211</v>
      </c>
      <c r="T901" s="29"/>
      <c r="U901" s="29" t="str">
        <f t="shared" si="145"/>
        <v>CimarronF0</v>
      </c>
      <c r="V901" s="29" t="str">
        <f t="shared" si="146"/>
        <v>2004F0</v>
      </c>
      <c r="W901" s="80">
        <v>50</v>
      </c>
      <c r="X901" s="32">
        <v>0.2</v>
      </c>
      <c r="Y901" s="467">
        <v>5.0000000000000001E-3</v>
      </c>
      <c r="Z901" s="80"/>
      <c r="AA901" s="29" t="str">
        <f t="shared" si="147"/>
        <v>F050</v>
      </c>
      <c r="AB901" s="29" t="str">
        <f t="shared" si="148"/>
        <v>F00.2</v>
      </c>
      <c r="AC901" s="29" t="str">
        <f t="shared" si="149"/>
        <v>F00.005</v>
      </c>
      <c r="AD901" s="29" t="str">
        <f t="shared" si="150"/>
        <v>F017</v>
      </c>
      <c r="AE901" s="443"/>
      <c r="AF901" s="443"/>
      <c r="AG901" s="443"/>
      <c r="AH901" s="443"/>
    </row>
    <row r="902" spans="1:34" ht="16.5">
      <c r="A902" s="728">
        <f t="shared" si="153"/>
        <v>895</v>
      </c>
      <c r="B902" s="563">
        <v>5</v>
      </c>
      <c r="C902" s="694">
        <v>38155</v>
      </c>
      <c r="D902" s="694" t="s">
        <v>149</v>
      </c>
      <c r="E902" s="695">
        <v>17</v>
      </c>
      <c r="F902" s="503">
        <v>2004</v>
      </c>
      <c r="G902" s="563" t="s">
        <v>109</v>
      </c>
      <c r="H902" s="503" t="s">
        <v>122</v>
      </c>
      <c r="I902" s="695">
        <v>25</v>
      </c>
      <c r="J902" s="695">
        <v>0.1</v>
      </c>
      <c r="K902" s="777">
        <f t="shared" si="152"/>
        <v>1.4204545454545455E-3</v>
      </c>
      <c r="L902" s="968">
        <v>0</v>
      </c>
      <c r="M902" s="503">
        <f t="shared" si="154"/>
        <v>16</v>
      </c>
      <c r="N902" s="504">
        <v>0.70625000000000004</v>
      </c>
      <c r="O902" s="719">
        <f t="shared" si="144"/>
        <v>0.70625000000000004</v>
      </c>
      <c r="P902" s="564">
        <v>0.70833333333333337</v>
      </c>
      <c r="Q902" s="564">
        <f t="shared" si="151"/>
        <v>2.0833333333333259E-3</v>
      </c>
      <c r="R902" s="965" t="s">
        <v>1520</v>
      </c>
      <c r="S902" s="487" t="s">
        <v>355</v>
      </c>
      <c r="T902" s="29"/>
      <c r="U902" s="29" t="str">
        <f t="shared" si="145"/>
        <v>HutchinsonF0</v>
      </c>
      <c r="V902" s="29" t="str">
        <f t="shared" si="146"/>
        <v>2004F0</v>
      </c>
      <c r="W902" s="80">
        <v>20</v>
      </c>
      <c r="X902" s="32">
        <v>0.1</v>
      </c>
      <c r="Y902" s="467">
        <v>1E-3</v>
      </c>
      <c r="Z902" s="80"/>
      <c r="AA902" s="29" t="str">
        <f t="shared" si="147"/>
        <v>F020</v>
      </c>
      <c r="AB902" s="29" t="str">
        <f t="shared" si="148"/>
        <v>F00.1</v>
      </c>
      <c r="AC902" s="29" t="str">
        <f t="shared" si="149"/>
        <v>F00.001</v>
      </c>
      <c r="AD902" s="29" t="str">
        <f t="shared" si="150"/>
        <v>F016</v>
      </c>
      <c r="AE902" s="443"/>
      <c r="AF902" s="443"/>
      <c r="AG902" s="443"/>
      <c r="AH902" s="443"/>
    </row>
    <row r="903" spans="1:34" ht="16.5">
      <c r="A903" s="728">
        <f t="shared" si="153"/>
        <v>896</v>
      </c>
      <c r="B903" s="563">
        <v>6</v>
      </c>
      <c r="C903" s="694">
        <v>38155</v>
      </c>
      <c r="D903" s="694" t="s">
        <v>149</v>
      </c>
      <c r="E903" s="695">
        <v>17</v>
      </c>
      <c r="F903" s="503">
        <v>2004</v>
      </c>
      <c r="G903" s="563" t="s">
        <v>109</v>
      </c>
      <c r="H903" s="503" t="s">
        <v>122</v>
      </c>
      <c r="I903" s="695">
        <v>25</v>
      </c>
      <c r="J903" s="695">
        <v>0.1</v>
      </c>
      <c r="K903" s="777">
        <f t="shared" si="152"/>
        <v>1.4204545454545455E-3</v>
      </c>
      <c r="L903" s="968">
        <v>0</v>
      </c>
      <c r="M903" s="503">
        <f t="shared" si="154"/>
        <v>17</v>
      </c>
      <c r="N903" s="504">
        <v>0.73958333333333337</v>
      </c>
      <c r="O903" s="719">
        <f t="shared" ref="O903:O966" si="155">+N903</f>
        <v>0.73958333333333337</v>
      </c>
      <c r="P903" s="564">
        <v>0.74236111111111114</v>
      </c>
      <c r="Q903" s="564">
        <f t="shared" si="151"/>
        <v>2.7777777777777679E-3</v>
      </c>
      <c r="R903" s="965" t="s">
        <v>1520</v>
      </c>
      <c r="S903" s="487" t="s">
        <v>356</v>
      </c>
      <c r="T903" s="29"/>
      <c r="U903" s="29" t="str">
        <f t="shared" ref="U903:U966" si="156">CONCATENATE(G903,H903)</f>
        <v>HutchinsonF0</v>
      </c>
      <c r="V903" s="29" t="str">
        <f t="shared" ref="V903:V966" si="157">CONCATENATE(F903,H903)</f>
        <v>2004F0</v>
      </c>
      <c r="W903" s="80">
        <v>20</v>
      </c>
      <c r="X903" s="32">
        <v>0.1</v>
      </c>
      <c r="Y903" s="467">
        <v>1E-3</v>
      </c>
      <c r="Z903" s="80"/>
      <c r="AA903" s="29" t="str">
        <f t="shared" ref="AA903:AA966" si="158">CONCATENATE(H903,W903)</f>
        <v>F020</v>
      </c>
      <c r="AB903" s="29" t="str">
        <f t="shared" ref="AB903:AB966" si="159">CONCATENATE(H903,X903)</f>
        <v>F00.1</v>
      </c>
      <c r="AC903" s="29" t="str">
        <f t="shared" ref="AC903:AC966" si="160">CONCATENATE(H903,Y903)</f>
        <v>F00.001</v>
      </c>
      <c r="AD903" s="29" t="str">
        <f t="shared" ref="AD903:AD966" si="161">CONCATENATE(H903,M903)</f>
        <v>F017</v>
      </c>
      <c r="AE903" s="443"/>
      <c r="AF903" s="443"/>
      <c r="AG903" s="443"/>
      <c r="AH903" s="443"/>
    </row>
    <row r="904" spans="1:34" ht="69.95" customHeight="1">
      <c r="A904" s="728">
        <f t="shared" si="153"/>
        <v>897</v>
      </c>
      <c r="B904" s="563">
        <v>7</v>
      </c>
      <c r="C904" s="694">
        <v>38159</v>
      </c>
      <c r="D904" s="694" t="s">
        <v>149</v>
      </c>
      <c r="E904" s="695">
        <v>21</v>
      </c>
      <c r="F904" s="503">
        <v>2004</v>
      </c>
      <c r="G904" s="563" t="s">
        <v>113</v>
      </c>
      <c r="H904" s="503" t="s">
        <v>122</v>
      </c>
      <c r="I904" s="695">
        <v>25</v>
      </c>
      <c r="J904" s="695">
        <v>0.1</v>
      </c>
      <c r="K904" s="777">
        <f t="shared" si="152"/>
        <v>1.4204545454545455E-3</v>
      </c>
      <c r="L904" s="968">
        <v>0</v>
      </c>
      <c r="M904" s="503">
        <f t="shared" si="154"/>
        <v>18</v>
      </c>
      <c r="N904" s="504">
        <v>0.75763888888888886</v>
      </c>
      <c r="O904" s="719">
        <f t="shared" si="155"/>
        <v>0.75763888888888886</v>
      </c>
      <c r="P904" s="564">
        <v>0.7583333333333333</v>
      </c>
      <c r="Q904" s="564">
        <f t="shared" ref="Q904:Q967" si="162">+P904-O904</f>
        <v>6.9444444444444198E-4</v>
      </c>
      <c r="R904" s="965" t="s">
        <v>1520</v>
      </c>
      <c r="S904" s="487" t="s">
        <v>467</v>
      </c>
      <c r="T904" s="29"/>
      <c r="U904" s="29" t="str">
        <f t="shared" si="156"/>
        <v>PotterF0</v>
      </c>
      <c r="V904" s="29" t="str">
        <f t="shared" si="157"/>
        <v>2004F0</v>
      </c>
      <c r="W904" s="80">
        <v>20</v>
      </c>
      <c r="X904" s="32">
        <v>0.1</v>
      </c>
      <c r="Y904" s="467">
        <v>1E-3</v>
      </c>
      <c r="Z904" s="80"/>
      <c r="AA904" s="29" t="str">
        <f t="shared" si="158"/>
        <v>F020</v>
      </c>
      <c r="AB904" s="29" t="str">
        <f t="shared" si="159"/>
        <v>F00.1</v>
      </c>
      <c r="AC904" s="29" t="str">
        <f t="shared" si="160"/>
        <v>F00.001</v>
      </c>
      <c r="AD904" s="29" t="str">
        <f t="shared" si="161"/>
        <v>F018</v>
      </c>
      <c r="AE904" s="443"/>
      <c r="AF904" s="443"/>
      <c r="AG904" s="443"/>
      <c r="AH904" s="443"/>
    </row>
    <row r="905" spans="1:34" ht="16.5">
      <c r="A905" s="728">
        <f t="shared" si="153"/>
        <v>898</v>
      </c>
      <c r="B905" s="563">
        <v>8</v>
      </c>
      <c r="C905" s="694">
        <v>38159</v>
      </c>
      <c r="D905" s="694" t="s">
        <v>149</v>
      </c>
      <c r="E905" s="695">
        <v>21</v>
      </c>
      <c r="F905" s="503">
        <v>2004</v>
      </c>
      <c r="G905" s="563" t="s">
        <v>113</v>
      </c>
      <c r="H905" s="503" t="s">
        <v>122</v>
      </c>
      <c r="I905" s="695">
        <v>25</v>
      </c>
      <c r="J905" s="695">
        <v>0.1</v>
      </c>
      <c r="K905" s="777">
        <f t="shared" ref="K905:K968" si="163">+(I905/1760)*J905</f>
        <v>1.4204545454545455E-3</v>
      </c>
      <c r="L905" s="968">
        <v>0</v>
      </c>
      <c r="M905" s="503">
        <f t="shared" si="154"/>
        <v>18</v>
      </c>
      <c r="N905" s="504">
        <v>0.76111111111111107</v>
      </c>
      <c r="O905" s="719">
        <f t="shared" si="155"/>
        <v>0.76111111111111107</v>
      </c>
      <c r="P905" s="564">
        <v>0.76249999999999996</v>
      </c>
      <c r="Q905" s="564">
        <f t="shared" si="162"/>
        <v>1.388888888888884E-3</v>
      </c>
      <c r="R905" s="965" t="s">
        <v>1520</v>
      </c>
      <c r="S905" s="487" t="s">
        <v>388</v>
      </c>
      <c r="T905" s="29"/>
      <c r="U905" s="29" t="str">
        <f t="shared" si="156"/>
        <v>PotterF0</v>
      </c>
      <c r="V905" s="29" t="str">
        <f t="shared" si="157"/>
        <v>2004F0</v>
      </c>
      <c r="W905" s="80">
        <v>20</v>
      </c>
      <c r="X905" s="32">
        <v>0.1</v>
      </c>
      <c r="Y905" s="467">
        <v>1E-3</v>
      </c>
      <c r="Z905" s="80"/>
      <c r="AA905" s="29" t="str">
        <f t="shared" si="158"/>
        <v>F020</v>
      </c>
      <c r="AB905" s="29" t="str">
        <f t="shared" si="159"/>
        <v>F00.1</v>
      </c>
      <c r="AC905" s="29" t="str">
        <f t="shared" si="160"/>
        <v>F00.001</v>
      </c>
      <c r="AD905" s="29" t="str">
        <f t="shared" si="161"/>
        <v>F018</v>
      </c>
      <c r="AE905" s="443"/>
      <c r="AF905" s="443"/>
      <c r="AG905" s="443"/>
      <c r="AH905" s="443"/>
    </row>
    <row r="906" spans="1:34" ht="16.5">
      <c r="A906" s="728">
        <f t="shared" ref="A906:A969" si="164">+A905+1</f>
        <v>899</v>
      </c>
      <c r="B906" s="563">
        <v>9</v>
      </c>
      <c r="C906" s="694">
        <v>38159</v>
      </c>
      <c r="D906" s="694" t="s">
        <v>149</v>
      </c>
      <c r="E906" s="695">
        <v>21</v>
      </c>
      <c r="F906" s="503">
        <v>2004</v>
      </c>
      <c r="G906" s="563" t="s">
        <v>118</v>
      </c>
      <c r="H906" s="503" t="s">
        <v>122</v>
      </c>
      <c r="I906" s="695">
        <v>25</v>
      </c>
      <c r="J906" s="695">
        <v>0.1</v>
      </c>
      <c r="K906" s="777">
        <f t="shared" si="163"/>
        <v>1.4204545454545455E-3</v>
      </c>
      <c r="L906" s="968">
        <v>0</v>
      </c>
      <c r="M906" s="503">
        <f t="shared" si="154"/>
        <v>18</v>
      </c>
      <c r="N906" s="504">
        <v>0.77361111111111114</v>
      </c>
      <c r="O906" s="719">
        <f t="shared" si="155"/>
        <v>0.77361111111111114</v>
      </c>
      <c r="P906" s="564">
        <v>0.77569444444444446</v>
      </c>
      <c r="Q906" s="564">
        <f t="shared" si="162"/>
        <v>2.0833333333333259E-3</v>
      </c>
      <c r="R906" s="965" t="s">
        <v>1520</v>
      </c>
      <c r="S906" s="487" t="s">
        <v>396</v>
      </c>
      <c r="T906" s="29"/>
      <c r="U906" s="29" t="str">
        <f t="shared" si="156"/>
        <v>RandallF0</v>
      </c>
      <c r="V906" s="29" t="str">
        <f t="shared" si="157"/>
        <v>2004F0</v>
      </c>
      <c r="W906" s="80">
        <v>20</v>
      </c>
      <c r="X906" s="32">
        <v>0.1</v>
      </c>
      <c r="Y906" s="467">
        <v>1E-3</v>
      </c>
      <c r="Z906" s="80"/>
      <c r="AA906" s="29" t="str">
        <f t="shared" si="158"/>
        <v>F020</v>
      </c>
      <c r="AB906" s="29" t="str">
        <f t="shared" si="159"/>
        <v>F00.1</v>
      </c>
      <c r="AC906" s="29" t="str">
        <f t="shared" si="160"/>
        <v>F00.001</v>
      </c>
      <c r="AD906" s="29" t="str">
        <f t="shared" si="161"/>
        <v>F018</v>
      </c>
      <c r="AE906" s="443"/>
      <c r="AF906" s="443"/>
      <c r="AG906" s="443"/>
      <c r="AH906" s="443"/>
    </row>
    <row r="907" spans="1:34" ht="25.5">
      <c r="A907" s="728">
        <f t="shared" si="164"/>
        <v>900</v>
      </c>
      <c r="B907" s="563">
        <v>10</v>
      </c>
      <c r="C907" s="694">
        <v>38159</v>
      </c>
      <c r="D907" s="694" t="s">
        <v>149</v>
      </c>
      <c r="E907" s="695">
        <v>21</v>
      </c>
      <c r="F907" s="503">
        <v>2004</v>
      </c>
      <c r="G907" s="563" t="s">
        <v>118</v>
      </c>
      <c r="H907" s="503" t="s">
        <v>122</v>
      </c>
      <c r="I907" s="695">
        <v>25</v>
      </c>
      <c r="J907" s="695">
        <v>0.1</v>
      </c>
      <c r="K907" s="777">
        <f t="shared" si="163"/>
        <v>1.4204545454545455E-3</v>
      </c>
      <c r="L907" s="968">
        <v>0</v>
      </c>
      <c r="M907" s="503">
        <f t="shared" si="154"/>
        <v>18</v>
      </c>
      <c r="N907" s="504">
        <v>0.78333333333333333</v>
      </c>
      <c r="O907" s="719">
        <f t="shared" si="155"/>
        <v>0.78333333333333333</v>
      </c>
      <c r="P907" s="564">
        <v>0.78333333333333333</v>
      </c>
      <c r="Q907" s="564">
        <f t="shared" si="162"/>
        <v>0</v>
      </c>
      <c r="R907" s="965" t="s">
        <v>1520</v>
      </c>
      <c r="S907" s="487" t="s">
        <v>1424</v>
      </c>
      <c r="T907" s="29"/>
      <c r="U907" s="29" t="str">
        <f t="shared" si="156"/>
        <v>RandallF0</v>
      </c>
      <c r="V907" s="29" t="str">
        <f t="shared" si="157"/>
        <v>2004F0</v>
      </c>
      <c r="W907" s="80">
        <v>20</v>
      </c>
      <c r="X907" s="32">
        <v>0.1</v>
      </c>
      <c r="Y907" s="467">
        <v>1E-3</v>
      </c>
      <c r="Z907" s="80"/>
      <c r="AA907" s="29" t="str">
        <f t="shared" si="158"/>
        <v>F020</v>
      </c>
      <c r="AB907" s="29" t="str">
        <f t="shared" si="159"/>
        <v>F00.1</v>
      </c>
      <c r="AC907" s="29" t="str">
        <f t="shared" si="160"/>
        <v>F00.001</v>
      </c>
      <c r="AD907" s="29" t="str">
        <f t="shared" si="161"/>
        <v>F018</v>
      </c>
      <c r="AE907" s="443"/>
      <c r="AF907" s="443"/>
      <c r="AG907" s="443"/>
      <c r="AH907" s="443"/>
    </row>
    <row r="908" spans="1:34" ht="16.5">
      <c r="A908" s="728">
        <f t="shared" si="164"/>
        <v>901</v>
      </c>
      <c r="B908" s="563">
        <v>11</v>
      </c>
      <c r="C908" s="694">
        <v>38159</v>
      </c>
      <c r="D908" s="694" t="s">
        <v>149</v>
      </c>
      <c r="E908" s="695">
        <v>21</v>
      </c>
      <c r="F908" s="503">
        <v>2004</v>
      </c>
      <c r="G908" s="563" t="s">
        <v>118</v>
      </c>
      <c r="H908" s="503" t="s">
        <v>122</v>
      </c>
      <c r="I908" s="695">
        <v>25</v>
      </c>
      <c r="J908" s="695">
        <v>0.1</v>
      </c>
      <c r="K908" s="777">
        <f t="shared" si="163"/>
        <v>1.4204545454545455E-3</v>
      </c>
      <c r="L908" s="968">
        <v>0</v>
      </c>
      <c r="M908" s="503">
        <f t="shared" si="154"/>
        <v>18</v>
      </c>
      <c r="N908" s="504">
        <v>0.78541666666666676</v>
      </c>
      <c r="O908" s="719">
        <f t="shared" si="155"/>
        <v>0.78541666666666676</v>
      </c>
      <c r="P908" s="564">
        <v>0.78611111111111109</v>
      </c>
      <c r="Q908" s="564">
        <f t="shared" si="162"/>
        <v>6.9444444444433095E-4</v>
      </c>
      <c r="R908" s="965" t="s">
        <v>1520</v>
      </c>
      <c r="S908" s="487" t="s">
        <v>397</v>
      </c>
      <c r="T908" s="29"/>
      <c r="U908" s="29" t="str">
        <f t="shared" si="156"/>
        <v>RandallF0</v>
      </c>
      <c r="V908" s="29" t="str">
        <f t="shared" si="157"/>
        <v>2004F0</v>
      </c>
      <c r="W908" s="80">
        <v>20</v>
      </c>
      <c r="X908" s="32">
        <v>0.1</v>
      </c>
      <c r="Y908" s="467">
        <v>1E-3</v>
      </c>
      <c r="Z908" s="80"/>
      <c r="AA908" s="29" t="str">
        <f t="shared" si="158"/>
        <v>F020</v>
      </c>
      <c r="AB908" s="29" t="str">
        <f t="shared" si="159"/>
        <v>F00.1</v>
      </c>
      <c r="AC908" s="29" t="str">
        <f t="shared" si="160"/>
        <v>F00.001</v>
      </c>
      <c r="AD908" s="29" t="str">
        <f t="shared" si="161"/>
        <v>F018</v>
      </c>
      <c r="AE908" s="443"/>
      <c r="AF908" s="443"/>
      <c r="AG908" s="443"/>
      <c r="AH908" s="443"/>
    </row>
    <row r="909" spans="1:34" ht="16.5">
      <c r="A909" s="728">
        <f t="shared" si="164"/>
        <v>902</v>
      </c>
      <c r="B909" s="563">
        <v>12</v>
      </c>
      <c r="C909" s="694">
        <v>38159</v>
      </c>
      <c r="D909" s="694" t="s">
        <v>149</v>
      </c>
      <c r="E909" s="695">
        <v>21</v>
      </c>
      <c r="F909" s="503">
        <v>2004</v>
      </c>
      <c r="G909" s="563" t="s">
        <v>118</v>
      </c>
      <c r="H909" s="503" t="s">
        <v>122</v>
      </c>
      <c r="I909" s="695">
        <v>25</v>
      </c>
      <c r="J909" s="695">
        <v>0.1</v>
      </c>
      <c r="K909" s="777">
        <f t="shared" si="163"/>
        <v>1.4204545454545455E-3</v>
      </c>
      <c r="L909" s="968">
        <v>0</v>
      </c>
      <c r="M909" s="503">
        <f t="shared" si="154"/>
        <v>19</v>
      </c>
      <c r="N909" s="504">
        <v>0.79374999999999996</v>
      </c>
      <c r="O909" s="719">
        <f t="shared" si="155"/>
        <v>0.79374999999999996</v>
      </c>
      <c r="P909" s="564">
        <v>0.79513888888888884</v>
      </c>
      <c r="Q909" s="564">
        <f t="shared" si="162"/>
        <v>1.388888888888884E-3</v>
      </c>
      <c r="R909" s="965" t="s">
        <v>1520</v>
      </c>
      <c r="S909" s="487" t="s">
        <v>398</v>
      </c>
      <c r="T909" s="29"/>
      <c r="U909" s="29" t="str">
        <f t="shared" si="156"/>
        <v>RandallF0</v>
      </c>
      <c r="V909" s="29" t="str">
        <f t="shared" si="157"/>
        <v>2004F0</v>
      </c>
      <c r="W909" s="80">
        <v>20</v>
      </c>
      <c r="X909" s="32">
        <v>0.1</v>
      </c>
      <c r="Y909" s="467">
        <v>1E-3</v>
      </c>
      <c r="Z909" s="80"/>
      <c r="AA909" s="29" t="str">
        <f t="shared" si="158"/>
        <v>F020</v>
      </c>
      <c r="AB909" s="29" t="str">
        <f t="shared" si="159"/>
        <v>F00.1</v>
      </c>
      <c r="AC909" s="29" t="str">
        <f t="shared" si="160"/>
        <v>F00.001</v>
      </c>
      <c r="AD909" s="29" t="str">
        <f t="shared" si="161"/>
        <v>F019</v>
      </c>
      <c r="AE909" s="443"/>
      <c r="AF909" s="443"/>
      <c r="AG909" s="443"/>
      <c r="AH909" s="443"/>
    </row>
    <row r="910" spans="1:34" ht="16.5">
      <c r="A910" s="728">
        <f t="shared" si="164"/>
        <v>903</v>
      </c>
      <c r="B910" s="563">
        <v>13</v>
      </c>
      <c r="C910" s="694">
        <v>38159</v>
      </c>
      <c r="D910" s="694" t="s">
        <v>149</v>
      </c>
      <c r="E910" s="695">
        <v>21</v>
      </c>
      <c r="F910" s="503">
        <v>2004</v>
      </c>
      <c r="G910" s="563" t="s">
        <v>118</v>
      </c>
      <c r="H910" s="503" t="s">
        <v>122</v>
      </c>
      <c r="I910" s="695">
        <v>25</v>
      </c>
      <c r="J910" s="695">
        <v>0.1</v>
      </c>
      <c r="K910" s="777">
        <f t="shared" si="163"/>
        <v>1.4204545454545455E-3</v>
      </c>
      <c r="L910" s="968">
        <v>0</v>
      </c>
      <c r="M910" s="503">
        <f t="shared" si="154"/>
        <v>19</v>
      </c>
      <c r="N910" s="504">
        <v>0.80347222222222225</v>
      </c>
      <c r="O910" s="719">
        <f t="shared" si="155"/>
        <v>0.80347222222222225</v>
      </c>
      <c r="P910" s="564">
        <v>0.8041666666666667</v>
      </c>
      <c r="Q910" s="564">
        <f t="shared" si="162"/>
        <v>6.9444444444444198E-4</v>
      </c>
      <c r="R910" s="965" t="s">
        <v>1520</v>
      </c>
      <c r="S910" s="487" t="s">
        <v>399</v>
      </c>
      <c r="T910" s="29"/>
      <c r="U910" s="29" t="str">
        <f t="shared" si="156"/>
        <v>RandallF0</v>
      </c>
      <c r="V910" s="29" t="str">
        <f t="shared" si="157"/>
        <v>2004F0</v>
      </c>
      <c r="W910" s="80">
        <v>20</v>
      </c>
      <c r="X910" s="32">
        <v>0.1</v>
      </c>
      <c r="Y910" s="467">
        <v>1E-3</v>
      </c>
      <c r="Z910" s="80"/>
      <c r="AA910" s="29" t="str">
        <f t="shared" si="158"/>
        <v>F020</v>
      </c>
      <c r="AB910" s="29" t="str">
        <f t="shared" si="159"/>
        <v>F00.1</v>
      </c>
      <c r="AC910" s="29" t="str">
        <f t="shared" si="160"/>
        <v>F00.001</v>
      </c>
      <c r="AD910" s="29" t="str">
        <f t="shared" si="161"/>
        <v>F019</v>
      </c>
      <c r="AE910" s="443"/>
      <c r="AF910" s="443"/>
      <c r="AG910" s="443"/>
      <c r="AH910" s="443"/>
    </row>
    <row r="911" spans="1:34" ht="16.5">
      <c r="A911" s="728">
        <f t="shared" si="164"/>
        <v>904</v>
      </c>
      <c r="B911" s="563">
        <v>14</v>
      </c>
      <c r="C911" s="694">
        <v>38159</v>
      </c>
      <c r="D911" s="694" t="s">
        <v>149</v>
      </c>
      <c r="E911" s="695">
        <v>21</v>
      </c>
      <c r="F911" s="503">
        <v>2004</v>
      </c>
      <c r="G911" s="563" t="s">
        <v>118</v>
      </c>
      <c r="H911" s="503" t="s">
        <v>123</v>
      </c>
      <c r="I911" s="695">
        <v>50</v>
      </c>
      <c r="J911" s="695">
        <v>0.4</v>
      </c>
      <c r="K911" s="777">
        <f t="shared" si="163"/>
        <v>1.1363636363636364E-2</v>
      </c>
      <c r="L911" s="968">
        <v>225000</v>
      </c>
      <c r="M911" s="503">
        <f t="shared" si="154"/>
        <v>19</v>
      </c>
      <c r="N911" s="504">
        <v>0.80347222222222225</v>
      </c>
      <c r="O911" s="719">
        <f t="shared" si="155"/>
        <v>0.80347222222222225</v>
      </c>
      <c r="P911" s="564">
        <v>0.80486111111111114</v>
      </c>
      <c r="Q911" s="564">
        <f t="shared" si="162"/>
        <v>1.388888888888884E-3</v>
      </c>
      <c r="R911" s="965" t="s">
        <v>1520</v>
      </c>
      <c r="S911" s="487" t="s">
        <v>400</v>
      </c>
      <c r="T911" s="29"/>
      <c r="U911" s="29" t="str">
        <f t="shared" si="156"/>
        <v>RandallF1</v>
      </c>
      <c r="V911" s="29" t="str">
        <f t="shared" si="157"/>
        <v>2004F1</v>
      </c>
      <c r="W911" s="80">
        <v>50</v>
      </c>
      <c r="X911" s="32">
        <v>0.2</v>
      </c>
      <c r="Y911" s="467">
        <v>0.01</v>
      </c>
      <c r="Z911" s="80"/>
      <c r="AA911" s="29" t="str">
        <f t="shared" si="158"/>
        <v>F150</v>
      </c>
      <c r="AB911" s="29" t="str">
        <f t="shared" si="159"/>
        <v>F10.2</v>
      </c>
      <c r="AC911" s="29" t="str">
        <f t="shared" si="160"/>
        <v>F10.01</v>
      </c>
      <c r="AD911" s="29" t="str">
        <f t="shared" si="161"/>
        <v>F119</v>
      </c>
      <c r="AE911" s="443"/>
      <c r="AF911" s="443"/>
      <c r="AG911" s="443"/>
      <c r="AH911" s="443"/>
    </row>
    <row r="912" spans="1:34" ht="25.5">
      <c r="A912" s="728">
        <f t="shared" si="164"/>
        <v>905</v>
      </c>
      <c r="B912" s="563">
        <v>1</v>
      </c>
      <c r="C912" s="694">
        <v>38460</v>
      </c>
      <c r="D912" s="694" t="s">
        <v>147</v>
      </c>
      <c r="E912" s="695">
        <v>18</v>
      </c>
      <c r="F912" s="503">
        <v>2005</v>
      </c>
      <c r="G912" s="563" t="s">
        <v>120</v>
      </c>
      <c r="H912" s="503" t="s">
        <v>122</v>
      </c>
      <c r="I912" s="695">
        <v>25</v>
      </c>
      <c r="J912" s="695">
        <v>0.1</v>
      </c>
      <c r="K912" s="777">
        <f t="shared" si="163"/>
        <v>1.4204545454545455E-3</v>
      </c>
      <c r="L912" s="968">
        <v>0</v>
      </c>
      <c r="M912" s="503">
        <f t="shared" si="154"/>
        <v>18</v>
      </c>
      <c r="N912" s="504">
        <v>0.76736111111111116</v>
      </c>
      <c r="O912" s="719">
        <f t="shared" si="155"/>
        <v>0.76736111111111116</v>
      </c>
      <c r="P912" s="564">
        <v>0.76736111111111116</v>
      </c>
      <c r="Q912" s="564">
        <f t="shared" si="162"/>
        <v>0</v>
      </c>
      <c r="R912" s="965" t="s">
        <v>1520</v>
      </c>
      <c r="S912" s="487" t="s">
        <v>1425</v>
      </c>
      <c r="T912" s="29"/>
      <c r="U912" s="29" t="str">
        <f t="shared" si="156"/>
        <v>DonleyF0</v>
      </c>
      <c r="V912" s="29" t="str">
        <f t="shared" si="157"/>
        <v>2005F0</v>
      </c>
      <c r="W912" s="80">
        <v>20</v>
      </c>
      <c r="X912" s="32">
        <v>0.1</v>
      </c>
      <c r="Y912" s="467">
        <v>1E-3</v>
      </c>
      <c r="Z912" s="80"/>
      <c r="AA912" s="29" t="str">
        <f t="shared" si="158"/>
        <v>F020</v>
      </c>
      <c r="AB912" s="29" t="str">
        <f t="shared" si="159"/>
        <v>F00.1</v>
      </c>
      <c r="AC912" s="29" t="str">
        <f t="shared" si="160"/>
        <v>F00.001</v>
      </c>
      <c r="AD912" s="29" t="str">
        <f t="shared" si="161"/>
        <v>F018</v>
      </c>
      <c r="AE912" s="443"/>
      <c r="AF912" s="443"/>
      <c r="AG912" s="443"/>
      <c r="AH912" s="443"/>
    </row>
    <row r="913" spans="1:34" ht="25.5">
      <c r="A913" s="728">
        <f t="shared" si="164"/>
        <v>906</v>
      </c>
      <c r="B913" s="563">
        <v>2</v>
      </c>
      <c r="C913" s="694">
        <v>38484</v>
      </c>
      <c r="D913" s="694" t="s">
        <v>148</v>
      </c>
      <c r="E913" s="695">
        <v>12</v>
      </c>
      <c r="F913" s="503">
        <v>2005</v>
      </c>
      <c r="G913" s="563" t="s">
        <v>118</v>
      </c>
      <c r="H913" s="503" t="s">
        <v>122</v>
      </c>
      <c r="I913" s="695">
        <v>25</v>
      </c>
      <c r="J913" s="695">
        <v>0.1</v>
      </c>
      <c r="K913" s="777">
        <f t="shared" si="163"/>
        <v>1.4204545454545455E-3</v>
      </c>
      <c r="L913" s="968">
        <v>0</v>
      </c>
      <c r="M913" s="503">
        <f t="shared" si="154"/>
        <v>17</v>
      </c>
      <c r="N913" s="504">
        <v>0.72777777777777775</v>
      </c>
      <c r="O913" s="719">
        <f t="shared" si="155"/>
        <v>0.72777777777777775</v>
      </c>
      <c r="P913" s="564">
        <v>0.72777777777777775</v>
      </c>
      <c r="Q913" s="564">
        <f t="shared" si="162"/>
        <v>0</v>
      </c>
      <c r="R913" s="965" t="s">
        <v>1520</v>
      </c>
      <c r="S913" s="487" t="s">
        <v>1426</v>
      </c>
      <c r="T913" s="29"/>
      <c r="U913" s="29" t="str">
        <f t="shared" si="156"/>
        <v>RandallF0</v>
      </c>
      <c r="V913" s="29" t="str">
        <f t="shared" si="157"/>
        <v>2005F0</v>
      </c>
      <c r="W913" s="80">
        <v>20</v>
      </c>
      <c r="X913" s="32">
        <v>0.1</v>
      </c>
      <c r="Y913" s="467">
        <v>1E-3</v>
      </c>
      <c r="Z913" s="80"/>
      <c r="AA913" s="29" t="str">
        <f t="shared" si="158"/>
        <v>F020</v>
      </c>
      <c r="AB913" s="29" t="str">
        <f t="shared" si="159"/>
        <v>F00.1</v>
      </c>
      <c r="AC913" s="29" t="str">
        <f t="shared" si="160"/>
        <v>F00.001</v>
      </c>
      <c r="AD913" s="29" t="str">
        <f t="shared" si="161"/>
        <v>F017</v>
      </c>
      <c r="AE913" s="443"/>
      <c r="AF913" s="443"/>
      <c r="AG913" s="443"/>
      <c r="AH913" s="443"/>
    </row>
    <row r="914" spans="1:34" ht="25.5">
      <c r="A914" s="728">
        <f t="shared" si="164"/>
        <v>907</v>
      </c>
      <c r="B914" s="563">
        <v>3</v>
      </c>
      <c r="C914" s="694">
        <v>38485</v>
      </c>
      <c r="D914" s="694" t="s">
        <v>148</v>
      </c>
      <c r="E914" s="695">
        <v>13</v>
      </c>
      <c r="F914" s="503">
        <v>2005</v>
      </c>
      <c r="G914" s="563" t="s">
        <v>111</v>
      </c>
      <c r="H914" s="503" t="s">
        <v>122</v>
      </c>
      <c r="I914" s="695">
        <v>25</v>
      </c>
      <c r="J914" s="695">
        <v>0.3</v>
      </c>
      <c r="K914" s="777">
        <f t="shared" si="163"/>
        <v>4.261363636363636E-3</v>
      </c>
      <c r="L914" s="968">
        <v>0</v>
      </c>
      <c r="M914" s="503">
        <f t="shared" si="154"/>
        <v>18</v>
      </c>
      <c r="N914" s="504">
        <v>0.78819444444444453</v>
      </c>
      <c r="O914" s="719">
        <f t="shared" si="155"/>
        <v>0.78819444444444453</v>
      </c>
      <c r="P914" s="564">
        <v>0.78819444444444453</v>
      </c>
      <c r="Q914" s="564">
        <f t="shared" si="162"/>
        <v>0</v>
      </c>
      <c r="R914" s="965" t="s">
        <v>1520</v>
      </c>
      <c r="S914" s="487" t="s">
        <v>1427</v>
      </c>
      <c r="T914" s="29"/>
      <c r="U914" s="29" t="str">
        <f t="shared" si="156"/>
        <v>HemphillF0</v>
      </c>
      <c r="V914" s="29" t="str">
        <f t="shared" si="157"/>
        <v>2005F0</v>
      </c>
      <c r="W914" s="80">
        <v>20</v>
      </c>
      <c r="X914" s="32">
        <v>0.2</v>
      </c>
      <c r="Y914" s="467">
        <v>2E-3</v>
      </c>
      <c r="Z914" s="80"/>
      <c r="AA914" s="29" t="str">
        <f t="shared" si="158"/>
        <v>F020</v>
      </c>
      <c r="AB914" s="29" t="str">
        <f t="shared" si="159"/>
        <v>F00.2</v>
      </c>
      <c r="AC914" s="29" t="str">
        <f t="shared" si="160"/>
        <v>F00.002</v>
      </c>
      <c r="AD914" s="29" t="str">
        <f t="shared" si="161"/>
        <v>F018</v>
      </c>
      <c r="AE914" s="443"/>
      <c r="AF914" s="443"/>
      <c r="AG914" s="443"/>
      <c r="AH914" s="443"/>
    </row>
    <row r="915" spans="1:34" ht="16.5">
      <c r="A915" s="728">
        <f t="shared" si="164"/>
        <v>908</v>
      </c>
      <c r="B915" s="563">
        <v>4</v>
      </c>
      <c r="C915" s="694">
        <v>38503</v>
      </c>
      <c r="D915" s="694" t="s">
        <v>148</v>
      </c>
      <c r="E915" s="695">
        <v>31</v>
      </c>
      <c r="F915" s="503">
        <v>2005</v>
      </c>
      <c r="G915" s="563" t="s">
        <v>118</v>
      </c>
      <c r="H915" s="503" t="s">
        <v>122</v>
      </c>
      <c r="I915" s="695">
        <v>25</v>
      </c>
      <c r="J915" s="695">
        <v>0.1</v>
      </c>
      <c r="K915" s="777">
        <f t="shared" si="163"/>
        <v>1.4204545454545455E-3</v>
      </c>
      <c r="L915" s="968">
        <v>0</v>
      </c>
      <c r="M915" s="503">
        <f t="shared" si="154"/>
        <v>14</v>
      </c>
      <c r="N915" s="504">
        <v>0.58680555555555558</v>
      </c>
      <c r="O915" s="719">
        <f t="shared" si="155"/>
        <v>0.58680555555555558</v>
      </c>
      <c r="P915" s="564">
        <v>0.59027777777777779</v>
      </c>
      <c r="Q915" s="564">
        <f t="shared" si="162"/>
        <v>3.4722222222222099E-3</v>
      </c>
      <c r="R915" s="965" t="s">
        <v>1520</v>
      </c>
      <c r="S915" s="487" t="s">
        <v>451</v>
      </c>
      <c r="T915" s="29"/>
      <c r="U915" s="29" t="str">
        <f t="shared" si="156"/>
        <v>RandallF0</v>
      </c>
      <c r="V915" s="29" t="str">
        <f t="shared" si="157"/>
        <v>2005F0</v>
      </c>
      <c r="W915" s="80">
        <v>20</v>
      </c>
      <c r="X915" s="32">
        <v>0.1</v>
      </c>
      <c r="Y915" s="467">
        <v>1E-3</v>
      </c>
      <c r="Z915" s="80"/>
      <c r="AA915" s="29" t="str">
        <f t="shared" si="158"/>
        <v>F020</v>
      </c>
      <c r="AB915" s="29" t="str">
        <f t="shared" si="159"/>
        <v>F00.1</v>
      </c>
      <c r="AC915" s="29" t="str">
        <f t="shared" si="160"/>
        <v>F00.001</v>
      </c>
      <c r="AD915" s="29" t="str">
        <f t="shared" si="161"/>
        <v>F014</v>
      </c>
      <c r="AE915" s="443"/>
      <c r="AF915" s="443"/>
      <c r="AG915" s="443"/>
      <c r="AH915" s="443"/>
    </row>
    <row r="916" spans="1:34" ht="16.5">
      <c r="A916" s="728">
        <f t="shared" si="164"/>
        <v>909</v>
      </c>
      <c r="B916" s="563">
        <v>5</v>
      </c>
      <c r="C916" s="694">
        <v>38512</v>
      </c>
      <c r="D916" s="694" t="s">
        <v>149</v>
      </c>
      <c r="E916" s="695">
        <v>9</v>
      </c>
      <c r="F916" s="503">
        <v>2005</v>
      </c>
      <c r="G916" s="563" t="s">
        <v>114</v>
      </c>
      <c r="H916" s="503" t="s">
        <v>122</v>
      </c>
      <c r="I916" s="695">
        <v>25</v>
      </c>
      <c r="J916" s="695">
        <v>0.1</v>
      </c>
      <c r="K916" s="777">
        <f t="shared" si="163"/>
        <v>1.4204545454545455E-3</v>
      </c>
      <c r="L916" s="968">
        <v>0</v>
      </c>
      <c r="M916" s="503">
        <f t="shared" si="154"/>
        <v>18</v>
      </c>
      <c r="N916" s="504">
        <v>0.75138888888888899</v>
      </c>
      <c r="O916" s="719">
        <f t="shared" si="155"/>
        <v>0.75138888888888899</v>
      </c>
      <c r="P916" s="564">
        <v>0.75347222222222221</v>
      </c>
      <c r="Q916" s="564">
        <f t="shared" si="162"/>
        <v>2.0833333333332149E-3</v>
      </c>
      <c r="R916" s="965" t="s">
        <v>1520</v>
      </c>
      <c r="S916" s="487" t="s">
        <v>274</v>
      </c>
      <c r="T916" s="29"/>
      <c r="U916" s="29" t="str">
        <f t="shared" si="156"/>
        <v>CarsonF0</v>
      </c>
      <c r="V916" s="29" t="str">
        <f t="shared" si="157"/>
        <v>2005F0</v>
      </c>
      <c r="W916" s="80">
        <v>20</v>
      </c>
      <c r="X916" s="32">
        <v>0.1</v>
      </c>
      <c r="Y916" s="467">
        <v>1E-3</v>
      </c>
      <c r="Z916" s="80"/>
      <c r="AA916" s="29" t="str">
        <f t="shared" si="158"/>
        <v>F020</v>
      </c>
      <c r="AB916" s="29" t="str">
        <f t="shared" si="159"/>
        <v>F00.1</v>
      </c>
      <c r="AC916" s="29" t="str">
        <f t="shared" si="160"/>
        <v>F00.001</v>
      </c>
      <c r="AD916" s="29" t="str">
        <f t="shared" si="161"/>
        <v>F018</v>
      </c>
      <c r="AE916" s="443"/>
      <c r="AF916" s="443"/>
      <c r="AG916" s="443"/>
      <c r="AH916" s="443"/>
    </row>
    <row r="917" spans="1:34" ht="16.5">
      <c r="A917" s="728">
        <f t="shared" si="164"/>
        <v>910</v>
      </c>
      <c r="B917" s="563">
        <v>6</v>
      </c>
      <c r="C917" s="694">
        <v>38512</v>
      </c>
      <c r="D917" s="694" t="s">
        <v>149</v>
      </c>
      <c r="E917" s="695">
        <v>9</v>
      </c>
      <c r="F917" s="503">
        <v>2005</v>
      </c>
      <c r="G917" s="563" t="s">
        <v>101</v>
      </c>
      <c r="H917" s="503" t="s">
        <v>122</v>
      </c>
      <c r="I917" s="695">
        <v>25</v>
      </c>
      <c r="J917" s="695">
        <v>0.1</v>
      </c>
      <c r="K917" s="777">
        <f t="shared" si="163"/>
        <v>1.4204545454545455E-3</v>
      </c>
      <c r="L917" s="968">
        <v>0</v>
      </c>
      <c r="M917" s="503">
        <f t="shared" si="154"/>
        <v>19</v>
      </c>
      <c r="N917" s="504">
        <v>0.79583333333333339</v>
      </c>
      <c r="O917" s="719">
        <f t="shared" si="155"/>
        <v>0.79583333333333339</v>
      </c>
      <c r="P917" s="564">
        <v>0.79722222222222217</v>
      </c>
      <c r="Q917" s="564">
        <f t="shared" si="162"/>
        <v>1.3888888888887729E-3</v>
      </c>
      <c r="R917" s="965" t="s">
        <v>1520</v>
      </c>
      <c r="S917" s="487" t="s">
        <v>244</v>
      </c>
      <c r="T917" s="29"/>
      <c r="U917" s="29" t="str">
        <f t="shared" si="156"/>
        <v>BeaverF0</v>
      </c>
      <c r="V917" s="29" t="str">
        <f t="shared" si="157"/>
        <v>2005F0</v>
      </c>
      <c r="W917" s="80">
        <v>20</v>
      </c>
      <c r="X917" s="32">
        <v>0.1</v>
      </c>
      <c r="Y917" s="467">
        <v>1E-3</v>
      </c>
      <c r="Z917" s="80"/>
      <c r="AA917" s="29" t="str">
        <f t="shared" si="158"/>
        <v>F020</v>
      </c>
      <c r="AB917" s="29" t="str">
        <f t="shared" si="159"/>
        <v>F00.1</v>
      </c>
      <c r="AC917" s="29" t="str">
        <f t="shared" si="160"/>
        <v>F00.001</v>
      </c>
      <c r="AD917" s="29" t="str">
        <f t="shared" si="161"/>
        <v>F019</v>
      </c>
      <c r="AE917" s="443"/>
      <c r="AF917" s="443"/>
      <c r="AG917" s="443"/>
      <c r="AH917" s="443"/>
    </row>
    <row r="918" spans="1:34" ht="16.5">
      <c r="A918" s="728">
        <f t="shared" si="164"/>
        <v>911</v>
      </c>
      <c r="B918" s="563">
        <v>7</v>
      </c>
      <c r="C918" s="694">
        <v>38512</v>
      </c>
      <c r="D918" s="694" t="s">
        <v>149</v>
      </c>
      <c r="E918" s="695">
        <v>9</v>
      </c>
      <c r="F918" s="503">
        <v>2005</v>
      </c>
      <c r="G918" s="563" t="s">
        <v>120</v>
      </c>
      <c r="H918" s="503" t="s">
        <v>122</v>
      </c>
      <c r="I918" s="695">
        <v>30</v>
      </c>
      <c r="J918" s="695">
        <v>0.2</v>
      </c>
      <c r="K918" s="777">
        <f t="shared" si="163"/>
        <v>3.4090909090909089E-3</v>
      </c>
      <c r="L918" s="968">
        <v>6000</v>
      </c>
      <c r="M918" s="503">
        <f t="shared" si="154"/>
        <v>19</v>
      </c>
      <c r="N918" s="504">
        <v>0.8125</v>
      </c>
      <c r="O918" s="719">
        <f t="shared" si="155"/>
        <v>0.8125</v>
      </c>
      <c r="P918" s="564">
        <v>0.81527777777777777</v>
      </c>
      <c r="Q918" s="564">
        <f t="shared" si="162"/>
        <v>2.7777777777777679E-3</v>
      </c>
      <c r="R918" s="965" t="s">
        <v>1520</v>
      </c>
      <c r="S918" s="487" t="s">
        <v>304</v>
      </c>
      <c r="T918" s="29"/>
      <c r="U918" s="29" t="str">
        <f t="shared" si="156"/>
        <v>DonleyF0</v>
      </c>
      <c r="V918" s="29" t="str">
        <f t="shared" si="157"/>
        <v>2005F0</v>
      </c>
      <c r="W918" s="80">
        <v>20</v>
      </c>
      <c r="X918" s="32">
        <v>0.2</v>
      </c>
      <c r="Y918" s="467">
        <v>2E-3</v>
      </c>
      <c r="Z918" s="80"/>
      <c r="AA918" s="29" t="str">
        <f t="shared" si="158"/>
        <v>F020</v>
      </c>
      <c r="AB918" s="29" t="str">
        <f t="shared" si="159"/>
        <v>F00.2</v>
      </c>
      <c r="AC918" s="29" t="str">
        <f t="shared" si="160"/>
        <v>F00.002</v>
      </c>
      <c r="AD918" s="29" t="str">
        <f t="shared" si="161"/>
        <v>F019</v>
      </c>
      <c r="AE918" s="443"/>
      <c r="AF918" s="443"/>
      <c r="AG918" s="443"/>
      <c r="AH918" s="443"/>
    </row>
    <row r="919" spans="1:34" ht="16.5">
      <c r="A919" s="728">
        <f t="shared" si="164"/>
        <v>912</v>
      </c>
      <c r="B919" s="563">
        <v>8</v>
      </c>
      <c r="C919" s="694">
        <v>38512</v>
      </c>
      <c r="D919" s="694" t="s">
        <v>149</v>
      </c>
      <c r="E919" s="695">
        <v>9</v>
      </c>
      <c r="F919" s="503">
        <v>2005</v>
      </c>
      <c r="G919" s="563" t="s">
        <v>120</v>
      </c>
      <c r="H919" s="503" t="s">
        <v>122</v>
      </c>
      <c r="I919" s="695">
        <v>25</v>
      </c>
      <c r="J919" s="695">
        <v>0.1</v>
      </c>
      <c r="K919" s="777">
        <f t="shared" si="163"/>
        <v>1.4204545454545455E-3</v>
      </c>
      <c r="L919" s="968">
        <v>0</v>
      </c>
      <c r="M919" s="503">
        <f t="shared" si="154"/>
        <v>19</v>
      </c>
      <c r="N919" s="504">
        <v>0.82430555555555562</v>
      </c>
      <c r="O919" s="719">
        <f t="shared" si="155"/>
        <v>0.82430555555555562</v>
      </c>
      <c r="P919" s="564">
        <v>0.82638888888888884</v>
      </c>
      <c r="Q919" s="564">
        <f t="shared" si="162"/>
        <v>2.0833333333332149E-3</v>
      </c>
      <c r="R919" s="965" t="s">
        <v>1520</v>
      </c>
      <c r="S919" s="487" t="s">
        <v>305</v>
      </c>
      <c r="T919" s="29"/>
      <c r="U919" s="29" t="str">
        <f t="shared" si="156"/>
        <v>DonleyF0</v>
      </c>
      <c r="V919" s="29" t="str">
        <f t="shared" si="157"/>
        <v>2005F0</v>
      </c>
      <c r="W919" s="80">
        <v>20</v>
      </c>
      <c r="X919" s="32">
        <v>0.1</v>
      </c>
      <c r="Y919" s="467">
        <v>1E-3</v>
      </c>
      <c r="Z919" s="80"/>
      <c r="AA919" s="29" t="str">
        <f t="shared" si="158"/>
        <v>F020</v>
      </c>
      <c r="AB919" s="29" t="str">
        <f t="shared" si="159"/>
        <v>F00.1</v>
      </c>
      <c r="AC919" s="29" t="str">
        <f t="shared" si="160"/>
        <v>F00.001</v>
      </c>
      <c r="AD919" s="29" t="str">
        <f t="shared" si="161"/>
        <v>F019</v>
      </c>
      <c r="AE919" s="443"/>
      <c r="AF919" s="443"/>
      <c r="AG919" s="443"/>
      <c r="AH919" s="443"/>
    </row>
    <row r="920" spans="1:34" ht="16.5">
      <c r="A920" s="728">
        <f t="shared" si="164"/>
        <v>913</v>
      </c>
      <c r="B920" s="563">
        <v>9</v>
      </c>
      <c r="C920" s="694">
        <v>38514</v>
      </c>
      <c r="D920" s="694" t="s">
        <v>149</v>
      </c>
      <c r="E920" s="695">
        <v>11</v>
      </c>
      <c r="F920" s="503">
        <v>2005</v>
      </c>
      <c r="G920" s="563" t="s">
        <v>117</v>
      </c>
      <c r="H920" s="503" t="s">
        <v>122</v>
      </c>
      <c r="I920" s="695">
        <v>50</v>
      </c>
      <c r="J920" s="695">
        <v>0.5</v>
      </c>
      <c r="K920" s="777">
        <f t="shared" si="163"/>
        <v>1.4204545454545454E-2</v>
      </c>
      <c r="L920" s="968">
        <v>35000</v>
      </c>
      <c r="M920" s="503">
        <f t="shared" si="154"/>
        <v>17</v>
      </c>
      <c r="N920" s="504">
        <v>0.73611111111111116</v>
      </c>
      <c r="O920" s="719">
        <f t="shared" si="155"/>
        <v>0.73611111111111116</v>
      </c>
      <c r="P920" s="564">
        <v>0.74305555555555547</v>
      </c>
      <c r="Q920" s="564">
        <f t="shared" si="162"/>
        <v>6.9444444444443088E-3</v>
      </c>
      <c r="R920" s="965" t="s">
        <v>1520</v>
      </c>
      <c r="S920" s="487" t="s">
        <v>294</v>
      </c>
      <c r="U920" s="29" t="str">
        <f t="shared" si="156"/>
        <v>Deaf SmithF0</v>
      </c>
      <c r="V920" s="29" t="str">
        <f t="shared" si="157"/>
        <v>2005F0</v>
      </c>
      <c r="W920" s="80">
        <v>50</v>
      </c>
      <c r="X920" s="32">
        <v>0.5</v>
      </c>
      <c r="Y920" s="467">
        <v>0.01</v>
      </c>
      <c r="Z920" s="80"/>
      <c r="AA920" s="29" t="str">
        <f t="shared" si="158"/>
        <v>F050</v>
      </c>
      <c r="AB920" s="29" t="str">
        <f t="shared" si="159"/>
        <v>F00.5</v>
      </c>
      <c r="AC920" s="29" t="str">
        <f t="shared" si="160"/>
        <v>F00.01</v>
      </c>
      <c r="AD920" s="29" t="str">
        <f t="shared" si="161"/>
        <v>F017</v>
      </c>
      <c r="AE920" s="443"/>
      <c r="AF920" s="443"/>
      <c r="AG920" s="443"/>
      <c r="AH920" s="443"/>
    </row>
    <row r="921" spans="1:34" ht="16.5">
      <c r="A921" s="728">
        <f t="shared" si="164"/>
        <v>914</v>
      </c>
      <c r="B921" s="563">
        <v>10</v>
      </c>
      <c r="C921" s="694">
        <v>38514</v>
      </c>
      <c r="D921" s="694" t="s">
        <v>149</v>
      </c>
      <c r="E921" s="695">
        <v>11</v>
      </c>
      <c r="F921" s="503">
        <v>2005</v>
      </c>
      <c r="G921" s="563" t="s">
        <v>117</v>
      </c>
      <c r="H921" s="503" t="s">
        <v>122</v>
      </c>
      <c r="I921" s="695">
        <v>25</v>
      </c>
      <c r="J921" s="695">
        <v>0.1</v>
      </c>
      <c r="K921" s="777">
        <f t="shared" si="163"/>
        <v>1.4204545454545455E-3</v>
      </c>
      <c r="L921" s="968">
        <v>0</v>
      </c>
      <c r="M921" s="503">
        <f t="shared" si="154"/>
        <v>18</v>
      </c>
      <c r="N921" s="504">
        <v>0.76944444444444438</v>
      </c>
      <c r="O921" s="719">
        <f t="shared" si="155"/>
        <v>0.76944444444444438</v>
      </c>
      <c r="P921" s="564">
        <v>0.77013888888888893</v>
      </c>
      <c r="Q921" s="564">
        <f t="shared" si="162"/>
        <v>6.94444444444553E-4</v>
      </c>
      <c r="R921" s="965" t="s">
        <v>1520</v>
      </c>
      <c r="S921" s="487" t="s">
        <v>295</v>
      </c>
      <c r="U921" s="29" t="str">
        <f t="shared" si="156"/>
        <v>Deaf SmithF0</v>
      </c>
      <c r="V921" s="29" t="str">
        <f t="shared" si="157"/>
        <v>2005F0</v>
      </c>
      <c r="W921" s="80">
        <v>20</v>
      </c>
      <c r="X921" s="32">
        <v>0.1</v>
      </c>
      <c r="Y921" s="467">
        <v>1E-3</v>
      </c>
      <c r="Z921" s="80"/>
      <c r="AA921" s="29" t="str">
        <f t="shared" si="158"/>
        <v>F020</v>
      </c>
      <c r="AB921" s="29" t="str">
        <f t="shared" si="159"/>
        <v>F00.1</v>
      </c>
      <c r="AC921" s="29" t="str">
        <f t="shared" si="160"/>
        <v>F00.001</v>
      </c>
      <c r="AD921" s="29" t="str">
        <f t="shared" si="161"/>
        <v>F018</v>
      </c>
      <c r="AE921" s="443"/>
      <c r="AF921" s="443"/>
      <c r="AG921" s="443"/>
      <c r="AH921" s="443"/>
    </row>
    <row r="922" spans="1:34" ht="16.5">
      <c r="A922" s="728">
        <f t="shared" si="164"/>
        <v>915</v>
      </c>
      <c r="B922" s="563">
        <v>11</v>
      </c>
      <c r="C922" s="694">
        <v>38514</v>
      </c>
      <c r="D922" s="694" t="s">
        <v>149</v>
      </c>
      <c r="E922" s="695">
        <v>11</v>
      </c>
      <c r="F922" s="503">
        <v>2005</v>
      </c>
      <c r="G922" s="563" t="s">
        <v>119</v>
      </c>
      <c r="H922" s="503" t="s">
        <v>122</v>
      </c>
      <c r="I922" s="695">
        <v>25</v>
      </c>
      <c r="J922" s="695">
        <v>0.2</v>
      </c>
      <c r="K922" s="777">
        <f t="shared" si="163"/>
        <v>2.840909090909091E-3</v>
      </c>
      <c r="L922" s="968">
        <v>0</v>
      </c>
      <c r="M922" s="503">
        <f t="shared" si="154"/>
        <v>18</v>
      </c>
      <c r="N922" s="504">
        <v>0.77083333333333337</v>
      </c>
      <c r="O922" s="719">
        <f t="shared" si="155"/>
        <v>0.77083333333333337</v>
      </c>
      <c r="P922" s="564">
        <v>0.77430555555555547</v>
      </c>
      <c r="Q922" s="564">
        <f t="shared" si="162"/>
        <v>3.4722222222220989E-3</v>
      </c>
      <c r="R922" s="965" t="s">
        <v>1520</v>
      </c>
      <c r="S922" s="487" t="s">
        <v>251</v>
      </c>
      <c r="U922" s="29" t="str">
        <f t="shared" si="156"/>
        <v>ArmstrongF0</v>
      </c>
      <c r="V922" s="29" t="str">
        <f t="shared" si="157"/>
        <v>2005F0</v>
      </c>
      <c r="W922" s="80">
        <v>20</v>
      </c>
      <c r="X922" s="32">
        <v>0.2</v>
      </c>
      <c r="Y922" s="467">
        <v>2E-3</v>
      </c>
      <c r="Z922" s="80"/>
      <c r="AA922" s="29" t="str">
        <f t="shared" si="158"/>
        <v>F020</v>
      </c>
      <c r="AB922" s="29" t="str">
        <f t="shared" si="159"/>
        <v>F00.2</v>
      </c>
      <c r="AC922" s="29" t="str">
        <f t="shared" si="160"/>
        <v>F00.002</v>
      </c>
      <c r="AD922" s="29" t="str">
        <f t="shared" si="161"/>
        <v>F018</v>
      </c>
      <c r="AE922" s="443"/>
      <c r="AF922" s="443"/>
      <c r="AG922" s="443"/>
      <c r="AH922" s="443"/>
    </row>
    <row r="923" spans="1:34" ht="25.5">
      <c r="A923" s="728">
        <f t="shared" si="164"/>
        <v>916</v>
      </c>
      <c r="B923" s="563">
        <v>12</v>
      </c>
      <c r="C923" s="694">
        <v>38514</v>
      </c>
      <c r="D923" s="694" t="s">
        <v>149</v>
      </c>
      <c r="E923" s="695">
        <v>11</v>
      </c>
      <c r="F923" s="503">
        <v>2005</v>
      </c>
      <c r="G923" s="563" t="s">
        <v>119</v>
      </c>
      <c r="H923" s="503" t="s">
        <v>122</v>
      </c>
      <c r="I923" s="695">
        <v>25</v>
      </c>
      <c r="J923" s="695">
        <v>0.1</v>
      </c>
      <c r="K923" s="777">
        <f t="shared" si="163"/>
        <v>1.4204545454545455E-3</v>
      </c>
      <c r="L923" s="968">
        <v>0</v>
      </c>
      <c r="M923" s="503">
        <f t="shared" si="154"/>
        <v>18</v>
      </c>
      <c r="N923" s="504">
        <v>0.77500000000000002</v>
      </c>
      <c r="O923" s="719">
        <f t="shared" si="155"/>
        <v>0.77500000000000002</v>
      </c>
      <c r="P923" s="564">
        <v>0.77638888888888891</v>
      </c>
      <c r="Q923" s="564">
        <f t="shared" si="162"/>
        <v>1.388888888888884E-3</v>
      </c>
      <c r="R923" s="965" t="s">
        <v>1520</v>
      </c>
      <c r="S923" s="487" t="s">
        <v>446</v>
      </c>
      <c r="U923" s="29" t="str">
        <f t="shared" si="156"/>
        <v>ArmstrongF0</v>
      </c>
      <c r="V923" s="29" t="str">
        <f t="shared" si="157"/>
        <v>2005F0</v>
      </c>
      <c r="W923" s="80">
        <v>20</v>
      </c>
      <c r="X923" s="32">
        <v>0.1</v>
      </c>
      <c r="Y923" s="467">
        <v>1E-3</v>
      </c>
      <c r="Z923" s="80"/>
      <c r="AA923" s="29" t="str">
        <f t="shared" si="158"/>
        <v>F020</v>
      </c>
      <c r="AB923" s="29" t="str">
        <f t="shared" si="159"/>
        <v>F00.1</v>
      </c>
      <c r="AC923" s="29" t="str">
        <f t="shared" si="160"/>
        <v>F00.001</v>
      </c>
      <c r="AD923" s="29" t="str">
        <f t="shared" si="161"/>
        <v>F018</v>
      </c>
      <c r="AE923" s="443"/>
      <c r="AF923" s="443"/>
      <c r="AG923" s="443"/>
      <c r="AH923" s="443"/>
    </row>
    <row r="924" spans="1:34" ht="16.5">
      <c r="A924" s="728">
        <f t="shared" si="164"/>
        <v>917</v>
      </c>
      <c r="B924" s="563">
        <v>13</v>
      </c>
      <c r="C924" s="694">
        <v>38514</v>
      </c>
      <c r="D924" s="694" t="s">
        <v>149</v>
      </c>
      <c r="E924" s="695">
        <v>11</v>
      </c>
      <c r="F924" s="503">
        <v>2005</v>
      </c>
      <c r="G924" s="563" t="s">
        <v>119</v>
      </c>
      <c r="H924" s="503" t="s">
        <v>122</v>
      </c>
      <c r="I924" s="695">
        <v>25</v>
      </c>
      <c r="J924" s="695">
        <v>0.1</v>
      </c>
      <c r="K924" s="777">
        <f t="shared" si="163"/>
        <v>1.4204545454545455E-3</v>
      </c>
      <c r="L924" s="968">
        <v>0</v>
      </c>
      <c r="M924" s="503">
        <f t="shared" si="154"/>
        <v>18</v>
      </c>
      <c r="N924" s="504">
        <v>0.7895833333333333</v>
      </c>
      <c r="O924" s="719">
        <f t="shared" si="155"/>
        <v>0.7895833333333333</v>
      </c>
      <c r="P924" s="564">
        <v>0.79166666666666663</v>
      </c>
      <c r="Q924" s="564">
        <f t="shared" si="162"/>
        <v>2.0833333333333259E-3</v>
      </c>
      <c r="R924" s="965" t="s">
        <v>1520</v>
      </c>
      <c r="S924" s="487" t="s">
        <v>252</v>
      </c>
      <c r="U924" s="29" t="str">
        <f t="shared" si="156"/>
        <v>ArmstrongF0</v>
      </c>
      <c r="V924" s="29" t="str">
        <f t="shared" si="157"/>
        <v>2005F0</v>
      </c>
      <c r="W924" s="80">
        <v>20</v>
      </c>
      <c r="X924" s="32">
        <v>0.1</v>
      </c>
      <c r="Y924" s="467">
        <v>1E-3</v>
      </c>
      <c r="Z924" s="80"/>
      <c r="AA924" s="29" t="str">
        <f t="shared" si="158"/>
        <v>F020</v>
      </c>
      <c r="AB924" s="29" t="str">
        <f t="shared" si="159"/>
        <v>F00.1</v>
      </c>
      <c r="AC924" s="29" t="str">
        <f t="shared" si="160"/>
        <v>F00.001</v>
      </c>
      <c r="AD924" s="29" t="str">
        <f t="shared" si="161"/>
        <v>F018</v>
      </c>
      <c r="AE924" s="443"/>
      <c r="AF924" s="443"/>
      <c r="AG924" s="443"/>
      <c r="AH924" s="443"/>
    </row>
    <row r="925" spans="1:34" ht="16.5">
      <c r="A925" s="728">
        <f t="shared" si="164"/>
        <v>918</v>
      </c>
      <c r="B925" s="563">
        <v>14</v>
      </c>
      <c r="C925" s="694">
        <v>38514</v>
      </c>
      <c r="D925" s="694" t="s">
        <v>149</v>
      </c>
      <c r="E925" s="695">
        <v>11</v>
      </c>
      <c r="F925" s="503">
        <v>2005</v>
      </c>
      <c r="G925" s="563" t="s">
        <v>119</v>
      </c>
      <c r="H925" s="503" t="s">
        <v>122</v>
      </c>
      <c r="I925" s="695">
        <v>25</v>
      </c>
      <c r="J925" s="695">
        <v>0.2</v>
      </c>
      <c r="K925" s="777">
        <f t="shared" si="163"/>
        <v>2.840909090909091E-3</v>
      </c>
      <c r="L925" s="968">
        <v>0</v>
      </c>
      <c r="M925" s="503">
        <f t="shared" si="154"/>
        <v>19</v>
      </c>
      <c r="N925" s="504">
        <v>0.79305555555555562</v>
      </c>
      <c r="O925" s="719">
        <f t="shared" si="155"/>
        <v>0.79305555555555562</v>
      </c>
      <c r="P925" s="564">
        <v>0.7944444444444444</v>
      </c>
      <c r="Q925" s="564">
        <f t="shared" si="162"/>
        <v>1.3888888888887729E-3</v>
      </c>
      <c r="R925" s="965" t="s">
        <v>1520</v>
      </c>
      <c r="S925" s="487" t="s">
        <v>253</v>
      </c>
      <c r="U925" s="29" t="str">
        <f t="shared" si="156"/>
        <v>ArmstrongF0</v>
      </c>
      <c r="V925" s="29" t="str">
        <f t="shared" si="157"/>
        <v>2005F0</v>
      </c>
      <c r="W925" s="80">
        <v>20</v>
      </c>
      <c r="X925" s="32">
        <v>0.2</v>
      </c>
      <c r="Y925" s="467">
        <v>2E-3</v>
      </c>
      <c r="Z925" s="80"/>
      <c r="AA925" s="29" t="str">
        <f t="shared" si="158"/>
        <v>F020</v>
      </c>
      <c r="AB925" s="29" t="str">
        <f t="shared" si="159"/>
        <v>F00.2</v>
      </c>
      <c r="AC925" s="29" t="str">
        <f t="shared" si="160"/>
        <v>F00.002</v>
      </c>
      <c r="AD925" s="29" t="str">
        <f t="shared" si="161"/>
        <v>F019</v>
      </c>
      <c r="AE925" s="443"/>
      <c r="AF925" s="443"/>
      <c r="AG925" s="443"/>
      <c r="AH925" s="443"/>
    </row>
    <row r="926" spans="1:34" ht="16.5">
      <c r="A926" s="728">
        <f t="shared" si="164"/>
        <v>919</v>
      </c>
      <c r="B926" s="563">
        <v>15</v>
      </c>
      <c r="C926" s="694">
        <v>38539</v>
      </c>
      <c r="D926" s="694" t="s">
        <v>150</v>
      </c>
      <c r="E926" s="695">
        <v>6</v>
      </c>
      <c r="F926" s="503">
        <v>2005</v>
      </c>
      <c r="G926" s="563" t="s">
        <v>107</v>
      </c>
      <c r="H926" s="503" t="s">
        <v>122</v>
      </c>
      <c r="I926" s="695">
        <v>25</v>
      </c>
      <c r="J926" s="695">
        <v>0.1</v>
      </c>
      <c r="K926" s="777">
        <f t="shared" si="163"/>
        <v>1.4204545454545455E-3</v>
      </c>
      <c r="L926" s="968">
        <v>0</v>
      </c>
      <c r="M926" s="503">
        <f t="shared" ref="M926:M989" si="165">HOUR(O926)</f>
        <v>19</v>
      </c>
      <c r="N926" s="504">
        <v>0.82777777777777783</v>
      </c>
      <c r="O926" s="719">
        <f t="shared" si="155"/>
        <v>0.82777777777777783</v>
      </c>
      <c r="P926" s="564">
        <v>0.82847222222222217</v>
      </c>
      <c r="Q926" s="564">
        <f t="shared" si="162"/>
        <v>6.9444444444433095E-4</v>
      </c>
      <c r="R926" s="965" t="s">
        <v>1520</v>
      </c>
      <c r="S926" s="487" t="s">
        <v>342</v>
      </c>
      <c r="U926" s="29" t="str">
        <f t="shared" si="156"/>
        <v>HartleyF0</v>
      </c>
      <c r="V926" s="29" t="str">
        <f t="shared" si="157"/>
        <v>2005F0</v>
      </c>
      <c r="W926" s="80">
        <v>20</v>
      </c>
      <c r="X926" s="32">
        <v>0.1</v>
      </c>
      <c r="Y926" s="467">
        <v>1E-3</v>
      </c>
      <c r="Z926" s="80"/>
      <c r="AA926" s="29" t="str">
        <f t="shared" si="158"/>
        <v>F020</v>
      </c>
      <c r="AB926" s="29" t="str">
        <f t="shared" si="159"/>
        <v>F00.1</v>
      </c>
      <c r="AC926" s="29" t="str">
        <f t="shared" si="160"/>
        <v>F00.001</v>
      </c>
      <c r="AD926" s="29" t="str">
        <f t="shared" si="161"/>
        <v>F019</v>
      </c>
      <c r="AE926" s="443"/>
      <c r="AF926" s="443"/>
      <c r="AG926" s="443"/>
      <c r="AH926" s="443"/>
    </row>
    <row r="927" spans="1:34" ht="16.5">
      <c r="A927" s="728">
        <f t="shared" si="164"/>
        <v>920</v>
      </c>
      <c r="B927" s="563">
        <v>1</v>
      </c>
      <c r="C927" s="694">
        <v>38886</v>
      </c>
      <c r="D927" s="694" t="s">
        <v>149</v>
      </c>
      <c r="E927" s="695">
        <v>18</v>
      </c>
      <c r="F927" s="503">
        <v>2006</v>
      </c>
      <c r="G927" s="563" t="s">
        <v>101</v>
      </c>
      <c r="H927" s="503" t="s">
        <v>122</v>
      </c>
      <c r="I927" s="695">
        <v>100</v>
      </c>
      <c r="J927" s="695">
        <v>1</v>
      </c>
      <c r="K927" s="777">
        <f t="shared" si="163"/>
        <v>5.6818181818181816E-2</v>
      </c>
      <c r="L927" s="968">
        <v>8000</v>
      </c>
      <c r="M927" s="503">
        <f t="shared" si="165"/>
        <v>19</v>
      </c>
      <c r="N927" s="504">
        <v>0.8125</v>
      </c>
      <c r="O927" s="719">
        <f t="shared" si="155"/>
        <v>0.8125</v>
      </c>
      <c r="P927" s="564">
        <v>0.81388888888888899</v>
      </c>
      <c r="Q927" s="564">
        <f t="shared" si="162"/>
        <v>1.388888888888995E-3</v>
      </c>
      <c r="R927" s="965" t="s">
        <v>1520</v>
      </c>
      <c r="S927" s="487" t="s">
        <v>52</v>
      </c>
      <c r="U927" s="29" t="str">
        <f t="shared" si="156"/>
        <v>BeaverF0</v>
      </c>
      <c r="V927" s="29" t="str">
        <f t="shared" si="157"/>
        <v>2006F0</v>
      </c>
      <c r="W927" s="80">
        <v>100</v>
      </c>
      <c r="X927" s="32">
        <v>1</v>
      </c>
      <c r="Y927" s="467">
        <v>0.05</v>
      </c>
      <c r="Z927" s="80"/>
      <c r="AA927" s="29" t="str">
        <f t="shared" si="158"/>
        <v>F0100</v>
      </c>
      <c r="AB927" s="29" t="str">
        <f t="shared" si="159"/>
        <v>F01</v>
      </c>
      <c r="AC927" s="29" t="str">
        <f t="shared" si="160"/>
        <v>F00.05</v>
      </c>
      <c r="AD927" s="29" t="str">
        <f t="shared" si="161"/>
        <v>F019</v>
      </c>
      <c r="AE927" s="443"/>
      <c r="AF927" s="443"/>
      <c r="AG927" s="443"/>
      <c r="AH927" s="443"/>
    </row>
    <row r="928" spans="1:34" ht="16.5">
      <c r="A928" s="728">
        <f t="shared" si="164"/>
        <v>921</v>
      </c>
      <c r="B928" s="563">
        <v>2</v>
      </c>
      <c r="C928" s="694">
        <v>38889</v>
      </c>
      <c r="D928" s="694" t="s">
        <v>149</v>
      </c>
      <c r="E928" s="695">
        <v>21</v>
      </c>
      <c r="F928" s="503">
        <v>2006</v>
      </c>
      <c r="G928" s="563" t="s">
        <v>117</v>
      </c>
      <c r="H928" s="503" t="s">
        <v>122</v>
      </c>
      <c r="I928" s="695">
        <v>25</v>
      </c>
      <c r="J928" s="695">
        <v>0.1</v>
      </c>
      <c r="K928" s="777">
        <f t="shared" si="163"/>
        <v>1.4204545454545455E-3</v>
      </c>
      <c r="L928" s="968">
        <v>0</v>
      </c>
      <c r="M928" s="503">
        <f t="shared" si="165"/>
        <v>14</v>
      </c>
      <c r="N928" s="504">
        <v>0.61458333333333337</v>
      </c>
      <c r="O928" s="719">
        <f t="shared" si="155"/>
        <v>0.61458333333333337</v>
      </c>
      <c r="P928" s="564">
        <v>0.61805555555555558</v>
      </c>
      <c r="Q928" s="564">
        <f t="shared" si="162"/>
        <v>3.4722222222222099E-3</v>
      </c>
      <c r="R928" s="965" t="s">
        <v>1520</v>
      </c>
      <c r="S928" s="487" t="s">
        <v>296</v>
      </c>
      <c r="U928" s="29" t="str">
        <f t="shared" si="156"/>
        <v>Deaf SmithF0</v>
      </c>
      <c r="V928" s="29" t="str">
        <f t="shared" si="157"/>
        <v>2006F0</v>
      </c>
      <c r="W928" s="80">
        <v>20</v>
      </c>
      <c r="X928" s="32">
        <v>0.1</v>
      </c>
      <c r="Y928" s="467">
        <v>1E-3</v>
      </c>
      <c r="Z928" s="80"/>
      <c r="AA928" s="29" t="str">
        <f t="shared" si="158"/>
        <v>F020</v>
      </c>
      <c r="AB928" s="29" t="str">
        <f t="shared" si="159"/>
        <v>F00.1</v>
      </c>
      <c r="AC928" s="29" t="str">
        <f t="shared" si="160"/>
        <v>F00.001</v>
      </c>
      <c r="AD928" s="29" t="str">
        <f t="shared" si="161"/>
        <v>F014</v>
      </c>
      <c r="AE928" s="443"/>
      <c r="AF928" s="443"/>
      <c r="AG928" s="443"/>
      <c r="AH928" s="443"/>
    </row>
    <row r="929" spans="1:34" ht="30" customHeight="1">
      <c r="A929" s="728">
        <f t="shared" si="164"/>
        <v>922</v>
      </c>
      <c r="B929" s="563">
        <v>3</v>
      </c>
      <c r="C929" s="694">
        <v>38889</v>
      </c>
      <c r="D929" s="694" t="s">
        <v>149</v>
      </c>
      <c r="E929" s="695">
        <v>21</v>
      </c>
      <c r="F929" s="503">
        <v>2006</v>
      </c>
      <c r="G929" s="563" t="s">
        <v>104</v>
      </c>
      <c r="H929" s="503" t="s">
        <v>122</v>
      </c>
      <c r="I929" s="695">
        <v>50</v>
      </c>
      <c r="J929" s="695">
        <v>0.2</v>
      </c>
      <c r="K929" s="777">
        <f t="shared" si="163"/>
        <v>5.681818181818182E-3</v>
      </c>
      <c r="L929" s="968">
        <v>0</v>
      </c>
      <c r="M929" s="503">
        <f t="shared" si="165"/>
        <v>16</v>
      </c>
      <c r="N929" s="504">
        <v>0.6875</v>
      </c>
      <c r="O929" s="719">
        <f t="shared" si="155"/>
        <v>0.6875</v>
      </c>
      <c r="P929" s="564">
        <v>0.69097222222222221</v>
      </c>
      <c r="Q929" s="564">
        <f t="shared" si="162"/>
        <v>3.4722222222222099E-3</v>
      </c>
      <c r="R929" s="965" t="s">
        <v>1520</v>
      </c>
      <c r="S929" s="487" t="s">
        <v>447</v>
      </c>
      <c r="U929" s="29" t="str">
        <f t="shared" si="156"/>
        <v>HansfordF0</v>
      </c>
      <c r="V929" s="29" t="str">
        <f t="shared" si="157"/>
        <v>2006F0</v>
      </c>
      <c r="W929" s="80">
        <v>50</v>
      </c>
      <c r="X929" s="32">
        <v>0.2</v>
      </c>
      <c r="Y929" s="467">
        <v>5.0000000000000001E-3</v>
      </c>
      <c r="Z929" s="80"/>
      <c r="AA929" s="29" t="str">
        <f t="shared" si="158"/>
        <v>F050</v>
      </c>
      <c r="AB929" s="29" t="str">
        <f t="shared" si="159"/>
        <v>F00.2</v>
      </c>
      <c r="AC929" s="29" t="str">
        <f t="shared" si="160"/>
        <v>F00.005</v>
      </c>
      <c r="AD929" s="29" t="str">
        <f t="shared" si="161"/>
        <v>F016</v>
      </c>
      <c r="AE929" s="443"/>
      <c r="AF929" s="443"/>
      <c r="AG929" s="443"/>
      <c r="AH929" s="443"/>
    </row>
    <row r="930" spans="1:34" ht="16.5">
      <c r="A930" s="728">
        <f t="shared" si="164"/>
        <v>923</v>
      </c>
      <c r="B930" s="563">
        <v>4</v>
      </c>
      <c r="C930" s="694">
        <v>38889</v>
      </c>
      <c r="D930" s="694" t="s">
        <v>149</v>
      </c>
      <c r="E930" s="695">
        <v>21</v>
      </c>
      <c r="F930" s="503">
        <v>2006</v>
      </c>
      <c r="G930" s="563" t="s">
        <v>104</v>
      </c>
      <c r="H930" s="503" t="s">
        <v>122</v>
      </c>
      <c r="I930" s="695">
        <v>50</v>
      </c>
      <c r="J930" s="695">
        <v>0.2</v>
      </c>
      <c r="K930" s="777">
        <f t="shared" si="163"/>
        <v>5.681818181818182E-3</v>
      </c>
      <c r="L930" s="968">
        <v>0</v>
      </c>
      <c r="M930" s="503">
        <f t="shared" si="165"/>
        <v>16</v>
      </c>
      <c r="N930" s="504">
        <v>0.69305555555555554</v>
      </c>
      <c r="O930" s="719">
        <f t="shared" si="155"/>
        <v>0.69305555555555554</v>
      </c>
      <c r="P930" s="564">
        <v>0.69791666666666663</v>
      </c>
      <c r="Q930" s="564">
        <f t="shared" si="162"/>
        <v>4.8611111111110938E-3</v>
      </c>
      <c r="R930" s="965" t="s">
        <v>1520</v>
      </c>
      <c r="S930" s="487" t="s">
        <v>337</v>
      </c>
      <c r="U930" s="29" t="str">
        <f t="shared" si="156"/>
        <v>HansfordF0</v>
      </c>
      <c r="V930" s="29" t="str">
        <f t="shared" si="157"/>
        <v>2006F0</v>
      </c>
      <c r="W930" s="80">
        <v>50</v>
      </c>
      <c r="X930" s="32">
        <v>0.2</v>
      </c>
      <c r="Y930" s="467">
        <v>5.0000000000000001E-3</v>
      </c>
      <c r="Z930" s="80"/>
      <c r="AA930" s="29" t="str">
        <f t="shared" si="158"/>
        <v>F050</v>
      </c>
      <c r="AB930" s="29" t="str">
        <f t="shared" si="159"/>
        <v>F00.2</v>
      </c>
      <c r="AC930" s="29" t="str">
        <f t="shared" si="160"/>
        <v>F00.005</v>
      </c>
      <c r="AD930" s="29" t="str">
        <f t="shared" si="161"/>
        <v>F016</v>
      </c>
      <c r="AE930" s="443"/>
      <c r="AF930" s="443"/>
      <c r="AG930" s="443"/>
      <c r="AH930" s="443"/>
    </row>
    <row r="931" spans="1:34" ht="16.5">
      <c r="A931" s="728">
        <f t="shared" si="164"/>
        <v>924</v>
      </c>
      <c r="B931" s="563">
        <v>5</v>
      </c>
      <c r="C931" s="694">
        <v>38889</v>
      </c>
      <c r="D931" s="694" t="s">
        <v>149</v>
      </c>
      <c r="E931" s="695">
        <v>21</v>
      </c>
      <c r="F931" s="503">
        <v>2006</v>
      </c>
      <c r="G931" s="563" t="s">
        <v>100</v>
      </c>
      <c r="H931" s="503" t="s">
        <v>122</v>
      </c>
      <c r="I931" s="695">
        <v>50</v>
      </c>
      <c r="J931" s="695">
        <v>0.2</v>
      </c>
      <c r="K931" s="777">
        <f t="shared" si="163"/>
        <v>5.681818181818182E-3</v>
      </c>
      <c r="L931" s="968">
        <v>0</v>
      </c>
      <c r="M931" s="503">
        <f t="shared" si="165"/>
        <v>17</v>
      </c>
      <c r="N931" s="504">
        <v>0.72499999999999998</v>
      </c>
      <c r="O931" s="719">
        <f t="shared" si="155"/>
        <v>0.72499999999999998</v>
      </c>
      <c r="P931" s="564">
        <v>0.72986111111111107</v>
      </c>
      <c r="Q931" s="564">
        <f t="shared" si="162"/>
        <v>4.8611111111110938E-3</v>
      </c>
      <c r="R931" s="965" t="s">
        <v>1520</v>
      </c>
      <c r="S931" s="487" t="s">
        <v>229</v>
      </c>
      <c r="U931" s="29" t="str">
        <f t="shared" si="156"/>
        <v>TexasF0</v>
      </c>
      <c r="V931" s="29" t="str">
        <f t="shared" si="157"/>
        <v>2006F0</v>
      </c>
      <c r="W931" s="80">
        <v>50</v>
      </c>
      <c r="X931" s="32">
        <v>0.2</v>
      </c>
      <c r="Y931" s="467">
        <v>5.0000000000000001E-3</v>
      </c>
      <c r="Z931" s="80"/>
      <c r="AA931" s="29" t="str">
        <f t="shared" si="158"/>
        <v>F050</v>
      </c>
      <c r="AB931" s="29" t="str">
        <f t="shared" si="159"/>
        <v>F00.2</v>
      </c>
      <c r="AC931" s="29" t="str">
        <f t="shared" si="160"/>
        <v>F00.005</v>
      </c>
      <c r="AD931" s="29" t="str">
        <f t="shared" si="161"/>
        <v>F017</v>
      </c>
      <c r="AE931" s="443"/>
      <c r="AF931" s="443"/>
      <c r="AG931" s="443"/>
      <c r="AH931" s="443"/>
    </row>
    <row r="932" spans="1:34" ht="25.5">
      <c r="A932" s="728">
        <f t="shared" si="164"/>
        <v>925</v>
      </c>
      <c r="B932" s="563">
        <v>6</v>
      </c>
      <c r="C932" s="694">
        <v>38889</v>
      </c>
      <c r="D932" s="694" t="s">
        <v>149</v>
      </c>
      <c r="E932" s="695">
        <v>21</v>
      </c>
      <c r="F932" s="503">
        <v>2006</v>
      </c>
      <c r="G932" s="563" t="s">
        <v>101</v>
      </c>
      <c r="H932" s="503" t="s">
        <v>122</v>
      </c>
      <c r="I932" s="695">
        <v>50</v>
      </c>
      <c r="J932" s="695">
        <v>0.1</v>
      </c>
      <c r="K932" s="777">
        <f t="shared" si="163"/>
        <v>2.840909090909091E-3</v>
      </c>
      <c r="L932" s="968">
        <v>0</v>
      </c>
      <c r="M932" s="503">
        <f t="shared" si="165"/>
        <v>17</v>
      </c>
      <c r="N932" s="504">
        <v>0.7270833333333333</v>
      </c>
      <c r="O932" s="719">
        <f t="shared" si="155"/>
        <v>0.7270833333333333</v>
      </c>
      <c r="P932" s="564">
        <v>0.73263888888888884</v>
      </c>
      <c r="Q932" s="564">
        <f t="shared" si="162"/>
        <v>5.5555555555555358E-3</v>
      </c>
      <c r="R932" s="965" t="s">
        <v>1520</v>
      </c>
      <c r="S932" s="487" t="s">
        <v>452</v>
      </c>
      <c r="U932" s="29" t="str">
        <f t="shared" si="156"/>
        <v>BeaverF0</v>
      </c>
      <c r="V932" s="29" t="str">
        <f t="shared" si="157"/>
        <v>2006F0</v>
      </c>
      <c r="W932" s="80">
        <v>50</v>
      </c>
      <c r="X932" s="32">
        <v>0.1</v>
      </c>
      <c r="Y932" s="467">
        <v>2E-3</v>
      </c>
      <c r="Z932" s="80"/>
      <c r="AA932" s="29" t="str">
        <f t="shared" si="158"/>
        <v>F050</v>
      </c>
      <c r="AB932" s="29" t="str">
        <f t="shared" si="159"/>
        <v>F00.1</v>
      </c>
      <c r="AC932" s="29" t="str">
        <f t="shared" si="160"/>
        <v>F00.002</v>
      </c>
      <c r="AD932" s="29" t="str">
        <f t="shared" si="161"/>
        <v>F017</v>
      </c>
      <c r="AE932" s="443"/>
      <c r="AF932" s="443"/>
      <c r="AG932" s="443"/>
      <c r="AH932" s="443"/>
    </row>
    <row r="933" spans="1:34" ht="25.5">
      <c r="A933" s="728">
        <f t="shared" si="164"/>
        <v>926</v>
      </c>
      <c r="B933" s="563">
        <v>7</v>
      </c>
      <c r="C933" s="694">
        <v>38889</v>
      </c>
      <c r="D933" s="694" t="s">
        <v>149</v>
      </c>
      <c r="E933" s="695">
        <v>21</v>
      </c>
      <c r="F933" s="503">
        <v>2006</v>
      </c>
      <c r="G933" s="563" t="s">
        <v>101</v>
      </c>
      <c r="H933" s="503" t="s">
        <v>122</v>
      </c>
      <c r="I933" s="695">
        <v>50</v>
      </c>
      <c r="J933" s="695">
        <v>0.1</v>
      </c>
      <c r="K933" s="777">
        <f t="shared" si="163"/>
        <v>2.840909090909091E-3</v>
      </c>
      <c r="L933" s="968">
        <v>0</v>
      </c>
      <c r="M933" s="503">
        <f t="shared" si="165"/>
        <v>17</v>
      </c>
      <c r="N933" s="504">
        <v>0.7270833333333333</v>
      </c>
      <c r="O933" s="719">
        <f t="shared" si="155"/>
        <v>0.7270833333333333</v>
      </c>
      <c r="P933" s="564">
        <v>0.73263888888888884</v>
      </c>
      <c r="Q933" s="564">
        <f t="shared" si="162"/>
        <v>5.5555555555555358E-3</v>
      </c>
      <c r="R933" s="965" t="s">
        <v>1520</v>
      </c>
      <c r="S933" s="487" t="s">
        <v>452</v>
      </c>
      <c r="U933" s="29" t="str">
        <f t="shared" si="156"/>
        <v>BeaverF0</v>
      </c>
      <c r="V933" s="29" t="str">
        <f t="shared" si="157"/>
        <v>2006F0</v>
      </c>
      <c r="W933" s="80">
        <v>50</v>
      </c>
      <c r="X933" s="32">
        <v>0.1</v>
      </c>
      <c r="Y933" s="467">
        <v>2E-3</v>
      </c>
      <c r="Z933" s="80"/>
      <c r="AA933" s="29" t="str">
        <f t="shared" si="158"/>
        <v>F050</v>
      </c>
      <c r="AB933" s="29" t="str">
        <f t="shared" si="159"/>
        <v>F00.1</v>
      </c>
      <c r="AC933" s="29" t="str">
        <f t="shared" si="160"/>
        <v>F00.002</v>
      </c>
      <c r="AD933" s="29" t="str">
        <f t="shared" si="161"/>
        <v>F017</v>
      </c>
      <c r="AE933" s="443"/>
      <c r="AF933" s="443"/>
      <c r="AG933" s="443"/>
      <c r="AH933" s="443"/>
    </row>
    <row r="934" spans="1:34" ht="16.5">
      <c r="A934" s="728">
        <f t="shared" si="164"/>
        <v>927</v>
      </c>
      <c r="B934" s="563">
        <v>8</v>
      </c>
      <c r="C934" s="694">
        <v>38889</v>
      </c>
      <c r="D934" s="694" t="s">
        <v>149</v>
      </c>
      <c r="E934" s="695">
        <v>21</v>
      </c>
      <c r="F934" s="503">
        <v>2006</v>
      </c>
      <c r="G934" s="563" t="s">
        <v>100</v>
      </c>
      <c r="H934" s="503" t="s">
        <v>123</v>
      </c>
      <c r="I934" s="695">
        <v>300</v>
      </c>
      <c r="J934" s="695">
        <v>2</v>
      </c>
      <c r="K934" s="777">
        <f t="shared" si="163"/>
        <v>0.34090909090909088</v>
      </c>
      <c r="L934" s="968">
        <v>700000</v>
      </c>
      <c r="M934" s="503">
        <f t="shared" si="165"/>
        <v>17</v>
      </c>
      <c r="N934" s="504">
        <v>0.7402777777777777</v>
      </c>
      <c r="O934" s="719">
        <f t="shared" si="155"/>
        <v>0.7402777777777777</v>
      </c>
      <c r="P934" s="564">
        <v>0.74722222222222223</v>
      </c>
      <c r="Q934" s="564">
        <f t="shared" si="162"/>
        <v>6.9444444444445308E-3</v>
      </c>
      <c r="R934" s="965" t="s">
        <v>1520</v>
      </c>
      <c r="S934" s="487" t="s">
        <v>230</v>
      </c>
      <c r="U934" s="29" t="str">
        <f t="shared" si="156"/>
        <v>TexasF1</v>
      </c>
      <c r="V934" s="29" t="str">
        <f t="shared" si="157"/>
        <v>2006F1</v>
      </c>
      <c r="W934" s="80">
        <v>200</v>
      </c>
      <c r="X934" s="32">
        <v>2</v>
      </c>
      <c r="Y934" s="467">
        <v>0.2</v>
      </c>
      <c r="Z934" s="80"/>
      <c r="AA934" s="29" t="str">
        <f t="shared" si="158"/>
        <v>F1200</v>
      </c>
      <c r="AB934" s="29" t="str">
        <f t="shared" si="159"/>
        <v>F12</v>
      </c>
      <c r="AC934" s="29" t="str">
        <f t="shared" si="160"/>
        <v>F10.2</v>
      </c>
      <c r="AD934" s="29" t="str">
        <f t="shared" si="161"/>
        <v>F117</v>
      </c>
      <c r="AE934" s="443"/>
      <c r="AF934" s="443"/>
      <c r="AG934" s="443"/>
      <c r="AH934" s="443"/>
    </row>
    <row r="935" spans="1:34" ht="16.5">
      <c r="A935" s="728">
        <f t="shared" si="164"/>
        <v>928</v>
      </c>
      <c r="B935" s="563">
        <v>9</v>
      </c>
      <c r="C935" s="694">
        <v>38889</v>
      </c>
      <c r="D935" s="694" t="s">
        <v>149</v>
      </c>
      <c r="E935" s="695">
        <v>21</v>
      </c>
      <c r="F935" s="503">
        <v>2006</v>
      </c>
      <c r="G935" s="563" t="s">
        <v>103</v>
      </c>
      <c r="H935" s="503" t="s">
        <v>122</v>
      </c>
      <c r="I935" s="695">
        <v>25</v>
      </c>
      <c r="J935" s="695">
        <v>0.1</v>
      </c>
      <c r="K935" s="777">
        <f t="shared" si="163"/>
        <v>1.4204545454545455E-3</v>
      </c>
      <c r="L935" s="968">
        <v>0</v>
      </c>
      <c r="M935" s="503">
        <f t="shared" si="165"/>
        <v>18</v>
      </c>
      <c r="N935" s="504">
        <v>0.75555555555555554</v>
      </c>
      <c r="O935" s="719">
        <f t="shared" si="155"/>
        <v>0.75555555555555554</v>
      </c>
      <c r="P935" s="564">
        <v>0.75694444444444453</v>
      </c>
      <c r="Q935" s="564">
        <f t="shared" si="162"/>
        <v>1.388888888888995E-3</v>
      </c>
      <c r="R935" s="965" t="s">
        <v>1520</v>
      </c>
      <c r="S935" s="487" t="s">
        <v>413</v>
      </c>
      <c r="U935" s="29" t="str">
        <f t="shared" si="156"/>
        <v>ShermanF0</v>
      </c>
      <c r="V935" s="29" t="str">
        <f t="shared" si="157"/>
        <v>2006F0</v>
      </c>
      <c r="W935" s="80">
        <v>20</v>
      </c>
      <c r="X935" s="32">
        <v>0.1</v>
      </c>
      <c r="Y935" s="467">
        <v>1E-3</v>
      </c>
      <c r="Z935" s="80"/>
      <c r="AA935" s="29" t="str">
        <f t="shared" si="158"/>
        <v>F020</v>
      </c>
      <c r="AB935" s="29" t="str">
        <f t="shared" si="159"/>
        <v>F00.1</v>
      </c>
      <c r="AC935" s="29" t="str">
        <f t="shared" si="160"/>
        <v>F00.001</v>
      </c>
      <c r="AD935" s="29" t="str">
        <f t="shared" si="161"/>
        <v>F018</v>
      </c>
      <c r="AE935" s="443"/>
      <c r="AF935" s="443"/>
      <c r="AG935" s="443"/>
      <c r="AH935" s="443"/>
    </row>
    <row r="936" spans="1:34" ht="16.5">
      <c r="A936" s="728">
        <f t="shared" si="164"/>
        <v>929</v>
      </c>
      <c r="B936" s="563">
        <v>10</v>
      </c>
      <c r="C936" s="694">
        <v>38889</v>
      </c>
      <c r="D936" s="694" t="s">
        <v>149</v>
      </c>
      <c r="E936" s="695">
        <v>21</v>
      </c>
      <c r="F936" s="503">
        <v>2006</v>
      </c>
      <c r="G936" s="563" t="s">
        <v>104</v>
      </c>
      <c r="H936" s="503" t="s">
        <v>122</v>
      </c>
      <c r="I936" s="695">
        <v>50</v>
      </c>
      <c r="J936" s="695">
        <v>0.2</v>
      </c>
      <c r="K936" s="777">
        <f t="shared" si="163"/>
        <v>5.681818181818182E-3</v>
      </c>
      <c r="L936" s="968">
        <v>0</v>
      </c>
      <c r="M936" s="503">
        <f t="shared" si="165"/>
        <v>18</v>
      </c>
      <c r="N936" s="504">
        <v>0.75694444444444453</v>
      </c>
      <c r="O936" s="719">
        <f t="shared" si="155"/>
        <v>0.75694444444444453</v>
      </c>
      <c r="P936" s="564">
        <v>0.76388888888888884</v>
      </c>
      <c r="Q936" s="564">
        <f t="shared" si="162"/>
        <v>6.9444444444443088E-3</v>
      </c>
      <c r="R936" s="965" t="s">
        <v>1520</v>
      </c>
      <c r="S936" s="487" t="s">
        <v>338</v>
      </c>
      <c r="U936" s="29" t="str">
        <f t="shared" si="156"/>
        <v>HansfordF0</v>
      </c>
      <c r="V936" s="29" t="str">
        <f t="shared" si="157"/>
        <v>2006F0</v>
      </c>
      <c r="W936" s="80">
        <v>50</v>
      </c>
      <c r="X936" s="32">
        <v>0.2</v>
      </c>
      <c r="Y936" s="467">
        <v>5.0000000000000001E-3</v>
      </c>
      <c r="Z936" s="80"/>
      <c r="AA936" s="29" t="str">
        <f t="shared" si="158"/>
        <v>F050</v>
      </c>
      <c r="AB936" s="29" t="str">
        <f t="shared" si="159"/>
        <v>F00.2</v>
      </c>
      <c r="AC936" s="29" t="str">
        <f t="shared" si="160"/>
        <v>F00.005</v>
      </c>
      <c r="AD936" s="29" t="str">
        <f t="shared" si="161"/>
        <v>F018</v>
      </c>
      <c r="AE936" s="443"/>
      <c r="AF936" s="443"/>
      <c r="AG936" s="443"/>
      <c r="AH936" s="443"/>
    </row>
    <row r="937" spans="1:34" ht="25.5">
      <c r="A937" s="728">
        <f t="shared" si="164"/>
        <v>930</v>
      </c>
      <c r="B937" s="563">
        <v>11</v>
      </c>
      <c r="C937" s="694">
        <v>38893</v>
      </c>
      <c r="D937" s="694" t="s">
        <v>149</v>
      </c>
      <c r="E937" s="695">
        <v>25</v>
      </c>
      <c r="F937" s="503">
        <v>2006</v>
      </c>
      <c r="G937" s="563" t="s">
        <v>102</v>
      </c>
      <c r="H937" s="503" t="s">
        <v>122</v>
      </c>
      <c r="I937" s="695">
        <v>25</v>
      </c>
      <c r="J937" s="695">
        <v>0.1</v>
      </c>
      <c r="K937" s="777">
        <f t="shared" si="163"/>
        <v>1.4204545454545455E-3</v>
      </c>
      <c r="L937" s="968">
        <v>0</v>
      </c>
      <c r="M937" s="503">
        <f t="shared" si="165"/>
        <v>16</v>
      </c>
      <c r="N937" s="504">
        <v>0.7</v>
      </c>
      <c r="O937" s="719">
        <f t="shared" si="155"/>
        <v>0.7</v>
      </c>
      <c r="P937" s="564">
        <v>0.7</v>
      </c>
      <c r="Q937" s="564">
        <f t="shared" si="162"/>
        <v>0</v>
      </c>
      <c r="R937" s="965" t="s">
        <v>1520</v>
      </c>
      <c r="S937" s="487" t="s">
        <v>1428</v>
      </c>
      <c r="U937" s="29" t="str">
        <f t="shared" si="156"/>
        <v>DallamF0</v>
      </c>
      <c r="V937" s="29" t="str">
        <f t="shared" si="157"/>
        <v>2006F0</v>
      </c>
      <c r="W937" s="80">
        <v>20</v>
      </c>
      <c r="X937" s="32">
        <v>0.1</v>
      </c>
      <c r="Y937" s="467">
        <v>1E-3</v>
      </c>
      <c r="Z937" s="80"/>
      <c r="AA937" s="29" t="str">
        <f t="shared" si="158"/>
        <v>F020</v>
      </c>
      <c r="AB937" s="29" t="str">
        <f t="shared" si="159"/>
        <v>F00.1</v>
      </c>
      <c r="AC937" s="29" t="str">
        <f t="shared" si="160"/>
        <v>F00.001</v>
      </c>
      <c r="AD937" s="29" t="str">
        <f t="shared" si="161"/>
        <v>F016</v>
      </c>
      <c r="AE937" s="443"/>
      <c r="AF937" s="443"/>
      <c r="AG937" s="443"/>
      <c r="AH937" s="443"/>
    </row>
    <row r="938" spans="1:34" ht="16.5">
      <c r="A938" s="728">
        <f t="shared" si="164"/>
        <v>931</v>
      </c>
      <c r="B938" s="563">
        <v>12</v>
      </c>
      <c r="C938" s="694">
        <v>38926</v>
      </c>
      <c r="D938" s="694" t="s">
        <v>150</v>
      </c>
      <c r="E938" s="695">
        <v>28</v>
      </c>
      <c r="F938" s="503">
        <v>2006</v>
      </c>
      <c r="G938" s="563" t="s">
        <v>117</v>
      </c>
      <c r="H938" s="503" t="s">
        <v>122</v>
      </c>
      <c r="I938" s="695">
        <v>25</v>
      </c>
      <c r="J938" s="695">
        <v>3</v>
      </c>
      <c r="K938" s="777">
        <f t="shared" si="163"/>
        <v>4.261363636363636E-2</v>
      </c>
      <c r="L938" s="968">
        <v>0</v>
      </c>
      <c r="M938" s="503">
        <f t="shared" si="165"/>
        <v>18</v>
      </c>
      <c r="N938" s="504">
        <v>0.77569444444444446</v>
      </c>
      <c r="O938" s="719">
        <f t="shared" si="155"/>
        <v>0.77569444444444446</v>
      </c>
      <c r="P938" s="564">
        <v>0.77777777777777779</v>
      </c>
      <c r="Q938" s="564">
        <f t="shared" si="162"/>
        <v>2.0833333333333259E-3</v>
      </c>
      <c r="R938" s="965" t="s">
        <v>1520</v>
      </c>
      <c r="S938" s="487" t="s">
        <v>53</v>
      </c>
      <c r="U938" s="29" t="str">
        <f t="shared" si="156"/>
        <v>Deaf SmithF0</v>
      </c>
      <c r="V938" s="29" t="str">
        <f t="shared" si="157"/>
        <v>2006F0</v>
      </c>
      <c r="W938" s="80">
        <v>20</v>
      </c>
      <c r="X938" s="32">
        <v>2</v>
      </c>
      <c r="Y938" s="467">
        <v>0.02</v>
      </c>
      <c r="Z938" s="80"/>
      <c r="AA938" s="29" t="str">
        <f t="shared" si="158"/>
        <v>F020</v>
      </c>
      <c r="AB938" s="29" t="str">
        <f t="shared" si="159"/>
        <v>F02</v>
      </c>
      <c r="AC938" s="29" t="str">
        <f t="shared" si="160"/>
        <v>F00.02</v>
      </c>
      <c r="AD938" s="29" t="str">
        <f t="shared" si="161"/>
        <v>F018</v>
      </c>
      <c r="AE938" s="443"/>
      <c r="AF938" s="443"/>
      <c r="AG938" s="443"/>
      <c r="AH938" s="443"/>
    </row>
    <row r="939" spans="1:34" ht="42.75" customHeight="1">
      <c r="A939" s="728">
        <f t="shared" si="164"/>
        <v>932</v>
      </c>
      <c r="B939" s="563">
        <v>13</v>
      </c>
      <c r="C939" s="694">
        <v>38956</v>
      </c>
      <c r="D939" s="694" t="s">
        <v>151</v>
      </c>
      <c r="E939" s="695">
        <v>27</v>
      </c>
      <c r="F939" s="503">
        <v>2006</v>
      </c>
      <c r="G939" s="563" t="s">
        <v>109</v>
      </c>
      <c r="H939" s="503" t="s">
        <v>122</v>
      </c>
      <c r="I939" s="695">
        <v>25</v>
      </c>
      <c r="J939" s="695">
        <v>1.5</v>
      </c>
      <c r="K939" s="777">
        <f t="shared" si="163"/>
        <v>2.130681818181818E-2</v>
      </c>
      <c r="L939" s="968">
        <v>0</v>
      </c>
      <c r="M939" s="503">
        <f t="shared" si="165"/>
        <v>19</v>
      </c>
      <c r="N939" s="504">
        <v>0.8208333333333333</v>
      </c>
      <c r="O939" s="719">
        <f t="shared" si="155"/>
        <v>0.8208333333333333</v>
      </c>
      <c r="P939" s="564">
        <v>0.82361111111111107</v>
      </c>
      <c r="Q939" s="564">
        <f t="shared" si="162"/>
        <v>2.7777777777777679E-3</v>
      </c>
      <c r="R939" s="965" t="s">
        <v>1520</v>
      </c>
      <c r="S939" s="487" t="s">
        <v>730</v>
      </c>
      <c r="U939" s="29" t="str">
        <f t="shared" si="156"/>
        <v>HutchinsonF0</v>
      </c>
      <c r="V939" s="29" t="str">
        <f t="shared" si="157"/>
        <v>2006F0</v>
      </c>
      <c r="W939" s="80">
        <v>20</v>
      </c>
      <c r="X939" s="32">
        <v>1</v>
      </c>
      <c r="Y939" s="467">
        <v>0.02</v>
      </c>
      <c r="Z939" s="80"/>
      <c r="AA939" s="29" t="str">
        <f t="shared" si="158"/>
        <v>F020</v>
      </c>
      <c r="AB939" s="29" t="str">
        <f t="shared" si="159"/>
        <v>F01</v>
      </c>
      <c r="AC939" s="29" t="str">
        <f t="shared" si="160"/>
        <v>F00.02</v>
      </c>
      <c r="AD939" s="29" t="str">
        <f t="shared" si="161"/>
        <v>F019</v>
      </c>
      <c r="AE939" s="443"/>
      <c r="AF939" s="443"/>
      <c r="AG939" s="443"/>
      <c r="AH939" s="443"/>
    </row>
    <row r="940" spans="1:34" ht="39.950000000000003" customHeight="1">
      <c r="A940" s="728">
        <f t="shared" si="164"/>
        <v>933</v>
      </c>
      <c r="B940" s="563">
        <v>1</v>
      </c>
      <c r="C940" s="694">
        <v>39136</v>
      </c>
      <c r="D940" s="694" t="s">
        <v>145</v>
      </c>
      <c r="E940" s="695">
        <v>23</v>
      </c>
      <c r="F940" s="503">
        <v>2007</v>
      </c>
      <c r="G940" s="563" t="s">
        <v>115</v>
      </c>
      <c r="H940" s="503" t="s">
        <v>161</v>
      </c>
      <c r="I940" s="695">
        <v>25</v>
      </c>
      <c r="J940" s="695">
        <v>0.1</v>
      </c>
      <c r="K940" s="777">
        <f t="shared" si="163"/>
        <v>1.4204545454545455E-3</v>
      </c>
      <c r="L940" s="968">
        <v>0</v>
      </c>
      <c r="M940" s="503">
        <f t="shared" si="165"/>
        <v>18</v>
      </c>
      <c r="N940" s="504">
        <v>0.75694444444444453</v>
      </c>
      <c r="O940" s="719">
        <f t="shared" si="155"/>
        <v>0.75694444444444453</v>
      </c>
      <c r="P940" s="564">
        <v>0.75763888888888886</v>
      </c>
      <c r="Q940" s="564">
        <f t="shared" si="162"/>
        <v>6.9444444444433095E-4</v>
      </c>
      <c r="R940" s="965" t="s">
        <v>1520</v>
      </c>
      <c r="S940" s="487" t="s">
        <v>73</v>
      </c>
      <c r="U940" s="29" t="str">
        <f t="shared" si="156"/>
        <v>GrayEF0</v>
      </c>
      <c r="V940" s="29" t="str">
        <f t="shared" si="157"/>
        <v>2007EF0</v>
      </c>
      <c r="W940" s="80">
        <v>20</v>
      </c>
      <c r="X940" s="32">
        <v>0.1</v>
      </c>
      <c r="Y940" s="467">
        <v>1E-3</v>
      </c>
      <c r="Z940" s="80"/>
      <c r="AA940" s="29" t="str">
        <f t="shared" si="158"/>
        <v>EF020</v>
      </c>
      <c r="AB940" s="29" t="str">
        <f t="shared" si="159"/>
        <v>EF00.1</v>
      </c>
      <c r="AC940" s="29" t="str">
        <f t="shared" si="160"/>
        <v>EF00.001</v>
      </c>
      <c r="AD940" s="29" t="str">
        <f t="shared" si="161"/>
        <v>EF018</v>
      </c>
      <c r="AE940" s="443"/>
      <c r="AF940" s="443"/>
      <c r="AG940" s="443"/>
      <c r="AH940" s="443"/>
    </row>
    <row r="941" spans="1:34" ht="16.5">
      <c r="A941" s="728">
        <f t="shared" si="164"/>
        <v>934</v>
      </c>
      <c r="B941" s="563">
        <v>2</v>
      </c>
      <c r="C941" s="694">
        <v>39164</v>
      </c>
      <c r="D941" s="694" t="s">
        <v>146</v>
      </c>
      <c r="E941" s="695">
        <v>23</v>
      </c>
      <c r="F941" s="503">
        <v>2007</v>
      </c>
      <c r="G941" s="563" t="s">
        <v>100</v>
      </c>
      <c r="H941" s="503" t="s">
        <v>161</v>
      </c>
      <c r="I941" s="695">
        <v>440</v>
      </c>
      <c r="J941" s="695">
        <v>1.38</v>
      </c>
      <c r="K941" s="777">
        <f t="shared" si="163"/>
        <v>0.34499999999999997</v>
      </c>
      <c r="L941" s="968">
        <v>0</v>
      </c>
      <c r="M941" s="503">
        <f t="shared" si="165"/>
        <v>16</v>
      </c>
      <c r="N941" s="504">
        <v>0.6743055555555556</v>
      </c>
      <c r="O941" s="719">
        <f t="shared" si="155"/>
        <v>0.6743055555555556</v>
      </c>
      <c r="P941" s="564">
        <v>0.67638888888888893</v>
      </c>
      <c r="Q941" s="564">
        <f t="shared" si="162"/>
        <v>2.0833333333333259E-3</v>
      </c>
      <c r="R941" s="965" t="s">
        <v>1520</v>
      </c>
      <c r="S941" s="487" t="s">
        <v>231</v>
      </c>
      <c r="U941" s="29" t="str">
        <f t="shared" si="156"/>
        <v>TexasEF0</v>
      </c>
      <c r="V941" s="29" t="str">
        <f t="shared" si="157"/>
        <v>2007EF0</v>
      </c>
      <c r="W941" s="80">
        <v>200</v>
      </c>
      <c r="X941" s="32">
        <v>1</v>
      </c>
      <c r="Y941" s="467">
        <v>0.2</v>
      </c>
      <c r="Z941" s="80"/>
      <c r="AA941" s="29" t="str">
        <f t="shared" si="158"/>
        <v>EF0200</v>
      </c>
      <c r="AB941" s="29" t="str">
        <f t="shared" si="159"/>
        <v>EF01</v>
      </c>
      <c r="AC941" s="29" t="str">
        <f t="shared" si="160"/>
        <v>EF00.2</v>
      </c>
      <c r="AD941" s="29" t="str">
        <f t="shared" si="161"/>
        <v>EF016</v>
      </c>
      <c r="AE941" s="443"/>
      <c r="AF941" s="443"/>
      <c r="AG941" s="443"/>
      <c r="AH941" s="443"/>
    </row>
    <row r="942" spans="1:34" ht="16.5">
      <c r="A942" s="728">
        <f t="shared" si="164"/>
        <v>935</v>
      </c>
      <c r="B942" s="563">
        <v>3</v>
      </c>
      <c r="C942" s="694">
        <v>39165</v>
      </c>
      <c r="D942" s="694" t="s">
        <v>146</v>
      </c>
      <c r="E942" s="695">
        <v>24</v>
      </c>
      <c r="F942" s="503">
        <v>2007</v>
      </c>
      <c r="G942" s="563" t="s">
        <v>115</v>
      </c>
      <c r="H942" s="503" t="s">
        <v>162</v>
      </c>
      <c r="I942" s="695">
        <v>50</v>
      </c>
      <c r="J942" s="695">
        <v>2</v>
      </c>
      <c r="K942" s="777">
        <f t="shared" si="163"/>
        <v>5.6818181818181816E-2</v>
      </c>
      <c r="L942" s="968">
        <v>38000</v>
      </c>
      <c r="M942" s="503">
        <f t="shared" si="165"/>
        <v>2</v>
      </c>
      <c r="N942" s="504">
        <v>0.12430555555555556</v>
      </c>
      <c r="O942" s="719">
        <f t="shared" si="155"/>
        <v>0.12430555555555556</v>
      </c>
      <c r="P942" s="564">
        <v>0.12638888888888888</v>
      </c>
      <c r="Q942" s="564">
        <f t="shared" si="162"/>
        <v>2.0833333333333259E-3</v>
      </c>
      <c r="R942" s="965" t="s">
        <v>1520</v>
      </c>
      <c r="S942" s="487" t="s">
        <v>453</v>
      </c>
      <c r="U942" s="29" t="str">
        <f t="shared" si="156"/>
        <v>GrayEF1</v>
      </c>
      <c r="V942" s="29" t="str">
        <f t="shared" si="157"/>
        <v>2007EF1</v>
      </c>
      <c r="W942" s="80">
        <v>50</v>
      </c>
      <c r="X942" s="32">
        <v>2</v>
      </c>
      <c r="Y942" s="467">
        <v>0.05</v>
      </c>
      <c r="Z942" s="80"/>
      <c r="AA942" s="29" t="str">
        <f t="shared" si="158"/>
        <v>EF150</v>
      </c>
      <c r="AB942" s="29" t="str">
        <f t="shared" si="159"/>
        <v>EF12</v>
      </c>
      <c r="AC942" s="29" t="str">
        <f t="shared" si="160"/>
        <v>EF10.05</v>
      </c>
      <c r="AD942" s="29" t="str">
        <f t="shared" si="161"/>
        <v>EF12</v>
      </c>
      <c r="AE942" s="443"/>
      <c r="AF942" s="443"/>
      <c r="AG942" s="443"/>
      <c r="AH942" s="443"/>
    </row>
    <row r="943" spans="1:34" ht="106.5" customHeight="1">
      <c r="A943" s="728">
        <f t="shared" si="164"/>
        <v>936</v>
      </c>
      <c r="B943" s="563">
        <v>4</v>
      </c>
      <c r="C943" s="694">
        <v>39169</v>
      </c>
      <c r="D943" s="694" t="s">
        <v>146</v>
      </c>
      <c r="E943" s="695">
        <v>28</v>
      </c>
      <c r="F943" s="503">
        <v>2007</v>
      </c>
      <c r="G943" s="563" t="s">
        <v>120</v>
      </c>
      <c r="H943" s="503" t="s">
        <v>161</v>
      </c>
      <c r="I943" s="695">
        <v>100</v>
      </c>
      <c r="J943" s="695">
        <v>1</v>
      </c>
      <c r="K943" s="777">
        <f t="shared" si="163"/>
        <v>5.6818181818181816E-2</v>
      </c>
      <c r="L943" s="968">
        <v>0</v>
      </c>
      <c r="M943" s="503">
        <f t="shared" si="165"/>
        <v>17</v>
      </c>
      <c r="N943" s="504">
        <v>0.73611111111111116</v>
      </c>
      <c r="O943" s="719">
        <f t="shared" si="155"/>
        <v>0.73611111111111116</v>
      </c>
      <c r="P943" s="564">
        <v>0.74305555555555547</v>
      </c>
      <c r="Q943" s="564">
        <f t="shared" si="162"/>
        <v>6.9444444444443088E-3</v>
      </c>
      <c r="R943" s="965" t="s">
        <v>1520</v>
      </c>
      <c r="S943" s="493" t="s">
        <v>457</v>
      </c>
      <c r="U943" s="29" t="str">
        <f t="shared" si="156"/>
        <v>DonleyEF0</v>
      </c>
      <c r="V943" s="29" t="str">
        <f t="shared" si="157"/>
        <v>2007EF0</v>
      </c>
      <c r="W943" s="80">
        <v>100</v>
      </c>
      <c r="X943" s="32">
        <v>1</v>
      </c>
      <c r="Y943" s="467">
        <v>0.05</v>
      </c>
      <c r="Z943" s="80"/>
      <c r="AA943" s="29" t="str">
        <f t="shared" si="158"/>
        <v>EF0100</v>
      </c>
      <c r="AB943" s="29" t="str">
        <f t="shared" si="159"/>
        <v>EF01</v>
      </c>
      <c r="AC943" s="29" t="str">
        <f t="shared" si="160"/>
        <v>EF00.05</v>
      </c>
      <c r="AD943" s="29" t="str">
        <f t="shared" si="161"/>
        <v>EF017</v>
      </c>
      <c r="AE943" s="443"/>
      <c r="AF943" s="443"/>
      <c r="AG943" s="443"/>
      <c r="AH943" s="443"/>
    </row>
    <row r="944" spans="1:34" ht="16.5">
      <c r="A944" s="728">
        <f t="shared" si="164"/>
        <v>937</v>
      </c>
      <c r="B944" s="563">
        <v>5</v>
      </c>
      <c r="C944" s="694">
        <v>39169</v>
      </c>
      <c r="D944" s="694" t="s">
        <v>146</v>
      </c>
      <c r="E944" s="695">
        <v>28</v>
      </c>
      <c r="F944" s="503">
        <v>2007</v>
      </c>
      <c r="G944" s="563" t="s">
        <v>120</v>
      </c>
      <c r="H944" s="503" t="s">
        <v>162</v>
      </c>
      <c r="I944" s="695">
        <v>150</v>
      </c>
      <c r="J944" s="695">
        <v>7.27</v>
      </c>
      <c r="K944" s="777">
        <f t="shared" si="163"/>
        <v>0.61960227272727264</v>
      </c>
      <c r="L944" s="968">
        <v>5000</v>
      </c>
      <c r="M944" s="503">
        <f t="shared" si="165"/>
        <v>17</v>
      </c>
      <c r="N944" s="504">
        <v>0.74652777777777779</v>
      </c>
      <c r="O944" s="719">
        <f t="shared" si="155"/>
        <v>0.74652777777777779</v>
      </c>
      <c r="P944" s="564">
        <v>0.75763888888888886</v>
      </c>
      <c r="Q944" s="564">
        <f t="shared" si="162"/>
        <v>1.1111111111111072E-2</v>
      </c>
      <c r="R944" s="965" t="s">
        <v>1520</v>
      </c>
      <c r="S944" s="493" t="s">
        <v>297</v>
      </c>
      <c r="U944" s="29" t="str">
        <f t="shared" si="156"/>
        <v>DonleyEF1</v>
      </c>
      <c r="V944" s="29" t="str">
        <f t="shared" si="157"/>
        <v>2007EF1</v>
      </c>
      <c r="W944" s="80">
        <v>100</v>
      </c>
      <c r="X944" s="32">
        <v>5</v>
      </c>
      <c r="Y944" s="467">
        <v>0.5</v>
      </c>
      <c r="Z944" s="80"/>
      <c r="AA944" s="29" t="str">
        <f t="shared" si="158"/>
        <v>EF1100</v>
      </c>
      <c r="AB944" s="29" t="str">
        <f t="shared" si="159"/>
        <v>EF15</v>
      </c>
      <c r="AC944" s="29" t="str">
        <f t="shared" si="160"/>
        <v>EF10.5</v>
      </c>
      <c r="AD944" s="29" t="str">
        <f t="shared" si="161"/>
        <v>EF117</v>
      </c>
      <c r="AE944" s="443"/>
      <c r="AF944" s="443"/>
      <c r="AG944" s="443"/>
      <c r="AH944" s="443"/>
    </row>
    <row r="945" spans="1:34" ht="25.5">
      <c r="A945" s="728">
        <f t="shared" si="164"/>
        <v>938</v>
      </c>
      <c r="B945" s="563">
        <v>6</v>
      </c>
      <c r="C945" s="694">
        <v>39169</v>
      </c>
      <c r="D945" s="694" t="s">
        <v>146</v>
      </c>
      <c r="E945" s="695">
        <v>28</v>
      </c>
      <c r="F945" s="503">
        <v>2007</v>
      </c>
      <c r="G945" s="563" t="s">
        <v>120</v>
      </c>
      <c r="H945" s="503" t="s">
        <v>161</v>
      </c>
      <c r="I945" s="695">
        <v>200</v>
      </c>
      <c r="J945" s="695">
        <v>1</v>
      </c>
      <c r="K945" s="777">
        <f t="shared" si="163"/>
        <v>0.11363636363636363</v>
      </c>
      <c r="L945" s="968">
        <v>0</v>
      </c>
      <c r="M945" s="503">
        <f t="shared" si="165"/>
        <v>18</v>
      </c>
      <c r="N945" s="504">
        <v>0.75347222222222221</v>
      </c>
      <c r="O945" s="719">
        <f t="shared" si="155"/>
        <v>0.75347222222222221</v>
      </c>
      <c r="P945" s="564">
        <v>0.75624999999999998</v>
      </c>
      <c r="Q945" s="564">
        <f t="shared" si="162"/>
        <v>2.7777777777777679E-3</v>
      </c>
      <c r="R945" s="965" t="s">
        <v>1520</v>
      </c>
      <c r="S945" s="493" t="s">
        <v>1043</v>
      </c>
      <c r="U945" s="29" t="str">
        <f t="shared" si="156"/>
        <v>DonleyEF0</v>
      </c>
      <c r="V945" s="29" t="str">
        <f t="shared" si="157"/>
        <v>2007EF0</v>
      </c>
      <c r="W945" s="80">
        <v>200</v>
      </c>
      <c r="X945" s="32">
        <v>1</v>
      </c>
      <c r="Y945" s="467">
        <v>0.1</v>
      </c>
      <c r="Z945" s="80"/>
      <c r="AA945" s="29" t="str">
        <f t="shared" si="158"/>
        <v>EF0200</v>
      </c>
      <c r="AB945" s="29" t="str">
        <f t="shared" si="159"/>
        <v>EF01</v>
      </c>
      <c r="AC945" s="29" t="str">
        <f t="shared" si="160"/>
        <v>EF00.1</v>
      </c>
      <c r="AD945" s="29" t="str">
        <f t="shared" si="161"/>
        <v>EF018</v>
      </c>
      <c r="AE945" s="443"/>
      <c r="AF945" s="443"/>
      <c r="AG945" s="443"/>
      <c r="AH945" s="443"/>
    </row>
    <row r="946" spans="1:34" ht="25.5">
      <c r="A946" s="728">
        <f t="shared" si="164"/>
        <v>939</v>
      </c>
      <c r="B946" s="563">
        <v>7</v>
      </c>
      <c r="C946" s="694">
        <v>39169</v>
      </c>
      <c r="D946" s="694" t="s">
        <v>146</v>
      </c>
      <c r="E946" s="695">
        <v>28</v>
      </c>
      <c r="F946" s="503">
        <v>2007</v>
      </c>
      <c r="G946" s="563" t="s">
        <v>106</v>
      </c>
      <c r="H946" s="503" t="s">
        <v>160</v>
      </c>
      <c r="I946" s="695">
        <v>150</v>
      </c>
      <c r="J946" s="695">
        <v>6</v>
      </c>
      <c r="K946" s="777">
        <f t="shared" si="163"/>
        <v>0.51136363636363635</v>
      </c>
      <c r="L946" s="968">
        <v>0</v>
      </c>
      <c r="M946" s="503">
        <f t="shared" si="165"/>
        <v>18</v>
      </c>
      <c r="N946" s="504">
        <v>0.76111111111111107</v>
      </c>
      <c r="O946" s="719">
        <f t="shared" si="155"/>
        <v>0.76111111111111107</v>
      </c>
      <c r="P946" s="564">
        <v>0.76944444444444438</v>
      </c>
      <c r="Q946" s="564">
        <f t="shared" si="162"/>
        <v>8.3333333333333037E-3</v>
      </c>
      <c r="R946" s="965" t="s">
        <v>1520</v>
      </c>
      <c r="S946" s="493" t="s">
        <v>448</v>
      </c>
      <c r="U946" s="29" t="str">
        <f t="shared" si="156"/>
        <v>LipscombEF2</v>
      </c>
      <c r="V946" s="29" t="str">
        <f t="shared" si="157"/>
        <v>2007EF2</v>
      </c>
      <c r="W946" s="80">
        <v>100</v>
      </c>
      <c r="X946" s="32">
        <v>5</v>
      </c>
      <c r="Y946" s="467">
        <v>0.5</v>
      </c>
      <c r="Z946" s="80"/>
      <c r="AA946" s="29" t="str">
        <f t="shared" si="158"/>
        <v>EF2100</v>
      </c>
      <c r="AB946" s="29" t="str">
        <f t="shared" si="159"/>
        <v>EF25</v>
      </c>
      <c r="AC946" s="29" t="str">
        <f t="shared" si="160"/>
        <v>EF20.5</v>
      </c>
      <c r="AD946" s="29" t="str">
        <f t="shared" si="161"/>
        <v>EF218</v>
      </c>
      <c r="AE946" s="443"/>
      <c r="AF946" s="443"/>
      <c r="AG946" s="443"/>
      <c r="AH946" s="443"/>
    </row>
    <row r="947" spans="1:34" ht="25.5">
      <c r="A947" s="728">
        <f t="shared" si="164"/>
        <v>940</v>
      </c>
      <c r="B947" s="563">
        <v>8</v>
      </c>
      <c r="C947" s="694">
        <v>39169</v>
      </c>
      <c r="D947" s="694" t="s">
        <v>146</v>
      </c>
      <c r="E947" s="695">
        <v>28</v>
      </c>
      <c r="F947" s="503">
        <v>2007</v>
      </c>
      <c r="G947" s="563" t="s">
        <v>101</v>
      </c>
      <c r="H947" s="503" t="s">
        <v>160</v>
      </c>
      <c r="I947" s="695">
        <v>150</v>
      </c>
      <c r="J947" s="695">
        <v>16</v>
      </c>
      <c r="K947" s="777">
        <f t="shared" si="163"/>
        <v>1.3636363636363635</v>
      </c>
      <c r="L947" s="968">
        <v>100000</v>
      </c>
      <c r="M947" s="503">
        <f t="shared" si="165"/>
        <v>18</v>
      </c>
      <c r="N947" s="504">
        <v>0.76944444444444438</v>
      </c>
      <c r="O947" s="719">
        <f t="shared" si="155"/>
        <v>0.76944444444444438</v>
      </c>
      <c r="P947" s="564">
        <v>0.78749999999999998</v>
      </c>
      <c r="Q947" s="564">
        <f t="shared" si="162"/>
        <v>1.8055555555555602E-2</v>
      </c>
      <c r="R947" s="965" t="s">
        <v>1520</v>
      </c>
      <c r="S947" s="493" t="s">
        <v>825</v>
      </c>
      <c r="U947" s="29" t="str">
        <f t="shared" si="156"/>
        <v>BeaverEF2</v>
      </c>
      <c r="V947" s="29" t="str">
        <f t="shared" si="157"/>
        <v>2007EF2</v>
      </c>
      <c r="W947" s="80">
        <v>100</v>
      </c>
      <c r="X947" s="32">
        <v>10</v>
      </c>
      <c r="Y947" s="467">
        <v>1</v>
      </c>
      <c r="Z947" s="80"/>
      <c r="AA947" s="29" t="str">
        <f t="shared" si="158"/>
        <v>EF2100</v>
      </c>
      <c r="AB947" s="29" t="str">
        <f t="shared" si="159"/>
        <v>EF210</v>
      </c>
      <c r="AC947" s="29" t="str">
        <f t="shared" si="160"/>
        <v>EF21</v>
      </c>
      <c r="AD947" s="29" t="str">
        <f t="shared" si="161"/>
        <v>EF218</v>
      </c>
      <c r="AE947" s="443"/>
      <c r="AF947" s="443"/>
      <c r="AG947" s="443"/>
      <c r="AH947" s="443"/>
    </row>
    <row r="948" spans="1:34" ht="30" customHeight="1">
      <c r="A948" s="728">
        <f t="shared" si="164"/>
        <v>941</v>
      </c>
      <c r="B948" s="563">
        <v>9</v>
      </c>
      <c r="C948" s="694">
        <v>39169</v>
      </c>
      <c r="D948" s="694" t="s">
        <v>146</v>
      </c>
      <c r="E948" s="695">
        <v>28</v>
      </c>
      <c r="F948" s="503">
        <v>2007</v>
      </c>
      <c r="G948" s="563" t="s">
        <v>120</v>
      </c>
      <c r="H948" s="503" t="s">
        <v>163</v>
      </c>
      <c r="I948" s="695">
        <v>600</v>
      </c>
      <c r="J948" s="695">
        <v>3.35</v>
      </c>
      <c r="K948" s="777">
        <f t="shared" si="163"/>
        <v>1.1420454545454546</v>
      </c>
      <c r="L948" s="968">
        <v>180000</v>
      </c>
      <c r="M948" s="503">
        <f t="shared" si="165"/>
        <v>18</v>
      </c>
      <c r="N948" s="504">
        <v>0.77708333333333324</v>
      </c>
      <c r="O948" s="719">
        <f t="shared" si="155"/>
        <v>0.77708333333333324</v>
      </c>
      <c r="P948" s="564">
        <v>0.78333333333333333</v>
      </c>
      <c r="Q948" s="564">
        <f t="shared" si="162"/>
        <v>6.2500000000000888E-3</v>
      </c>
      <c r="R948" s="965" t="s">
        <v>1520</v>
      </c>
      <c r="S948" s="493" t="s">
        <v>731</v>
      </c>
      <c r="U948" s="29" t="str">
        <f t="shared" si="156"/>
        <v>DonleyEF3</v>
      </c>
      <c r="V948" s="29" t="str">
        <f t="shared" si="157"/>
        <v>2007EF3</v>
      </c>
      <c r="W948" s="80">
        <v>500</v>
      </c>
      <c r="X948" s="32">
        <v>2</v>
      </c>
      <c r="Y948" s="467">
        <v>1</v>
      </c>
      <c r="Z948" s="80"/>
      <c r="AA948" s="29" t="str">
        <f t="shared" si="158"/>
        <v>EF3500</v>
      </c>
      <c r="AB948" s="29" t="str">
        <f t="shared" si="159"/>
        <v>EF32</v>
      </c>
      <c r="AC948" s="29" t="str">
        <f t="shared" si="160"/>
        <v>EF31</v>
      </c>
      <c r="AD948" s="29" t="str">
        <f t="shared" si="161"/>
        <v>EF318</v>
      </c>
      <c r="AE948" s="443"/>
      <c r="AF948" s="443"/>
      <c r="AG948" s="443"/>
      <c r="AH948" s="443"/>
    </row>
    <row r="949" spans="1:34" ht="16.5">
      <c r="A949" s="728">
        <f t="shared" si="164"/>
        <v>942</v>
      </c>
      <c r="B949" s="563">
        <v>10</v>
      </c>
      <c r="C949" s="694">
        <v>39169</v>
      </c>
      <c r="D949" s="694" t="s">
        <v>146</v>
      </c>
      <c r="E949" s="695">
        <v>28</v>
      </c>
      <c r="F949" s="503">
        <v>2007</v>
      </c>
      <c r="G949" s="563" t="s">
        <v>120</v>
      </c>
      <c r="H949" s="503" t="s">
        <v>160</v>
      </c>
      <c r="I949" s="695">
        <v>528</v>
      </c>
      <c r="J949" s="695">
        <v>4.1500000000000004</v>
      </c>
      <c r="K949" s="777">
        <f t="shared" si="163"/>
        <v>1.2450000000000001</v>
      </c>
      <c r="L949" s="968">
        <v>63000</v>
      </c>
      <c r="M949" s="503">
        <f t="shared" si="165"/>
        <v>18</v>
      </c>
      <c r="N949" s="504">
        <v>0.78194444444444444</v>
      </c>
      <c r="O949" s="719">
        <f t="shared" si="155"/>
        <v>0.78194444444444444</v>
      </c>
      <c r="P949" s="564">
        <v>0.78819444444444453</v>
      </c>
      <c r="Q949" s="564">
        <f t="shared" si="162"/>
        <v>6.2500000000000888E-3</v>
      </c>
      <c r="R949" s="965" t="s">
        <v>1520</v>
      </c>
      <c r="S949" s="493" t="s">
        <v>306</v>
      </c>
      <c r="U949" s="29" t="str">
        <f t="shared" si="156"/>
        <v>DonleyEF2</v>
      </c>
      <c r="V949" s="29" t="str">
        <f t="shared" si="157"/>
        <v>2007EF2</v>
      </c>
      <c r="W949" s="80">
        <v>500</v>
      </c>
      <c r="X949" s="32">
        <v>2</v>
      </c>
      <c r="Y949" s="467">
        <v>1</v>
      </c>
      <c r="Z949" s="80"/>
      <c r="AA949" s="29" t="str">
        <f t="shared" si="158"/>
        <v>EF2500</v>
      </c>
      <c r="AB949" s="29" t="str">
        <f t="shared" si="159"/>
        <v>EF22</v>
      </c>
      <c r="AC949" s="29" t="str">
        <f t="shared" si="160"/>
        <v>EF21</v>
      </c>
      <c r="AD949" s="29" t="str">
        <f t="shared" si="161"/>
        <v>EF218</v>
      </c>
      <c r="AE949" s="443"/>
      <c r="AF949" s="443"/>
      <c r="AG949" s="443"/>
      <c r="AH949" s="443"/>
    </row>
    <row r="950" spans="1:34" ht="25.5">
      <c r="A950" s="728">
        <f t="shared" si="164"/>
        <v>943</v>
      </c>
      <c r="B950" s="563">
        <v>11</v>
      </c>
      <c r="C950" s="694">
        <v>39169</v>
      </c>
      <c r="D950" s="694" t="s">
        <v>146</v>
      </c>
      <c r="E950" s="695">
        <v>28</v>
      </c>
      <c r="F950" s="503">
        <v>2007</v>
      </c>
      <c r="G950" s="563" t="s">
        <v>115</v>
      </c>
      <c r="H950" s="503" t="s">
        <v>163</v>
      </c>
      <c r="I950" s="695">
        <v>600</v>
      </c>
      <c r="J950" s="695">
        <v>3</v>
      </c>
      <c r="K950" s="777">
        <f t="shared" si="163"/>
        <v>1.0227272727272727</v>
      </c>
      <c r="L950" s="968">
        <v>100000</v>
      </c>
      <c r="M950" s="503">
        <f t="shared" si="165"/>
        <v>18</v>
      </c>
      <c r="N950" s="504">
        <v>0.78333333333333333</v>
      </c>
      <c r="O950" s="719">
        <f t="shared" si="155"/>
        <v>0.78333333333333333</v>
      </c>
      <c r="P950" s="564">
        <v>0.78749999999999998</v>
      </c>
      <c r="Q950" s="564">
        <f t="shared" si="162"/>
        <v>4.1666666666666519E-3</v>
      </c>
      <c r="R950" s="965" t="s">
        <v>1520</v>
      </c>
      <c r="S950" s="493" t="s">
        <v>449</v>
      </c>
      <c r="U950" s="29" t="str">
        <f t="shared" si="156"/>
        <v>GrayEF3</v>
      </c>
      <c r="V950" s="29" t="str">
        <f t="shared" si="157"/>
        <v>2007EF3</v>
      </c>
      <c r="W950" s="80">
        <v>500</v>
      </c>
      <c r="X950" s="32">
        <v>2</v>
      </c>
      <c r="Y950" s="467">
        <v>1</v>
      </c>
      <c r="Z950" s="80"/>
      <c r="AA950" s="29" t="str">
        <f t="shared" si="158"/>
        <v>EF3500</v>
      </c>
      <c r="AB950" s="29" t="str">
        <f t="shared" si="159"/>
        <v>EF32</v>
      </c>
      <c r="AC950" s="29" t="str">
        <f t="shared" si="160"/>
        <v>EF31</v>
      </c>
      <c r="AD950" s="29" t="str">
        <f t="shared" si="161"/>
        <v>EF318</v>
      </c>
      <c r="AE950" s="443"/>
      <c r="AF950" s="443"/>
      <c r="AG950" s="443"/>
      <c r="AH950" s="443"/>
    </row>
    <row r="951" spans="1:34" ht="16.5">
      <c r="A951" s="728">
        <f t="shared" si="164"/>
        <v>944</v>
      </c>
      <c r="B951" s="563">
        <v>12</v>
      </c>
      <c r="C951" s="694">
        <v>39169</v>
      </c>
      <c r="D951" s="694" t="s">
        <v>146</v>
      </c>
      <c r="E951" s="695">
        <v>28</v>
      </c>
      <c r="F951" s="503">
        <v>2007</v>
      </c>
      <c r="G951" s="563" t="s">
        <v>120</v>
      </c>
      <c r="H951" s="503" t="s">
        <v>161</v>
      </c>
      <c r="I951" s="695">
        <v>50</v>
      </c>
      <c r="J951" s="695">
        <v>0.25</v>
      </c>
      <c r="K951" s="777">
        <f t="shared" si="163"/>
        <v>7.102272727272727E-3</v>
      </c>
      <c r="L951" s="968">
        <v>0</v>
      </c>
      <c r="M951" s="503">
        <f t="shared" si="165"/>
        <v>19</v>
      </c>
      <c r="N951" s="504">
        <v>0.79305555555555562</v>
      </c>
      <c r="O951" s="719">
        <f t="shared" si="155"/>
        <v>0.79305555555555562</v>
      </c>
      <c r="P951" s="564">
        <v>0.7944444444444444</v>
      </c>
      <c r="Q951" s="564">
        <f t="shared" si="162"/>
        <v>1.3888888888887729E-3</v>
      </c>
      <c r="R951" s="965" t="s">
        <v>1520</v>
      </c>
      <c r="S951" s="493" t="s">
        <v>307</v>
      </c>
      <c r="U951" s="29" t="str">
        <f t="shared" si="156"/>
        <v>DonleyEF0</v>
      </c>
      <c r="V951" s="29" t="str">
        <f t="shared" si="157"/>
        <v>2007EF0</v>
      </c>
      <c r="W951" s="80">
        <v>50</v>
      </c>
      <c r="X951" s="32">
        <v>0.2</v>
      </c>
      <c r="Y951" s="467">
        <v>5.0000000000000001E-3</v>
      </c>
      <c r="Z951" s="80"/>
      <c r="AA951" s="29" t="str">
        <f t="shared" si="158"/>
        <v>EF050</v>
      </c>
      <c r="AB951" s="29" t="str">
        <f t="shared" si="159"/>
        <v>EF00.2</v>
      </c>
      <c r="AC951" s="29" t="str">
        <f t="shared" si="160"/>
        <v>EF00.005</v>
      </c>
      <c r="AD951" s="29" t="str">
        <f t="shared" si="161"/>
        <v>EF019</v>
      </c>
      <c r="AE951" s="443"/>
      <c r="AF951" s="443"/>
      <c r="AG951" s="443"/>
      <c r="AH951" s="443"/>
    </row>
    <row r="952" spans="1:34" ht="16.5">
      <c r="A952" s="728">
        <f t="shared" si="164"/>
        <v>945</v>
      </c>
      <c r="B952" s="563">
        <v>13</v>
      </c>
      <c r="C952" s="694">
        <v>39169</v>
      </c>
      <c r="D952" s="694" t="s">
        <v>146</v>
      </c>
      <c r="E952" s="695">
        <v>28</v>
      </c>
      <c r="F952" s="503">
        <v>2007</v>
      </c>
      <c r="G952" s="563" t="s">
        <v>101</v>
      </c>
      <c r="H952" s="503" t="s">
        <v>160</v>
      </c>
      <c r="I952" s="695">
        <v>100</v>
      </c>
      <c r="J952" s="695">
        <v>6</v>
      </c>
      <c r="K952" s="777">
        <f t="shared" si="163"/>
        <v>0.34090909090909088</v>
      </c>
      <c r="L952" s="968">
        <v>58000</v>
      </c>
      <c r="M952" s="503">
        <f t="shared" si="165"/>
        <v>19</v>
      </c>
      <c r="N952" s="504">
        <v>0.7944444444444444</v>
      </c>
      <c r="O952" s="719">
        <f t="shared" si="155"/>
        <v>0.7944444444444444</v>
      </c>
      <c r="P952" s="564">
        <v>0.80625000000000002</v>
      </c>
      <c r="Q952" s="564">
        <f t="shared" si="162"/>
        <v>1.1805555555555625E-2</v>
      </c>
      <c r="R952" s="965" t="s">
        <v>1520</v>
      </c>
      <c r="S952" s="500" t="s">
        <v>245</v>
      </c>
      <c r="U952" s="29" t="str">
        <f t="shared" si="156"/>
        <v>BeaverEF2</v>
      </c>
      <c r="V952" s="29" t="str">
        <f t="shared" si="157"/>
        <v>2007EF2</v>
      </c>
      <c r="W952" s="80">
        <v>100</v>
      </c>
      <c r="X952" s="32">
        <v>5</v>
      </c>
      <c r="Y952" s="467">
        <v>0.2</v>
      </c>
      <c r="Z952" s="80"/>
      <c r="AA952" s="29" t="str">
        <f t="shared" si="158"/>
        <v>EF2100</v>
      </c>
      <c r="AB952" s="29" t="str">
        <f t="shared" si="159"/>
        <v>EF25</v>
      </c>
      <c r="AC952" s="29" t="str">
        <f t="shared" si="160"/>
        <v>EF20.2</v>
      </c>
      <c r="AD952" s="29" t="str">
        <f t="shared" si="161"/>
        <v>EF219</v>
      </c>
      <c r="AE952" s="443"/>
      <c r="AF952" s="443"/>
      <c r="AG952" s="443"/>
      <c r="AH952" s="443"/>
    </row>
    <row r="953" spans="1:34" ht="16.5">
      <c r="A953" s="728">
        <f t="shared" si="164"/>
        <v>946</v>
      </c>
      <c r="B953" s="563">
        <v>14</v>
      </c>
      <c r="C953" s="694">
        <v>39169</v>
      </c>
      <c r="D953" s="694" t="s">
        <v>146</v>
      </c>
      <c r="E953" s="695">
        <v>28</v>
      </c>
      <c r="F953" s="503">
        <v>2007</v>
      </c>
      <c r="G953" s="563" t="s">
        <v>120</v>
      </c>
      <c r="H953" s="503" t="s">
        <v>160</v>
      </c>
      <c r="I953" s="695">
        <v>200</v>
      </c>
      <c r="J953" s="695">
        <v>4.53</v>
      </c>
      <c r="K953" s="777">
        <f t="shared" si="163"/>
        <v>0.51477272727272727</v>
      </c>
      <c r="L953" s="968">
        <v>170000</v>
      </c>
      <c r="M953" s="503">
        <f t="shared" si="165"/>
        <v>19</v>
      </c>
      <c r="N953" s="504">
        <v>0.80069444444444438</v>
      </c>
      <c r="O953" s="719">
        <f t="shared" si="155"/>
        <v>0.80069444444444438</v>
      </c>
      <c r="P953" s="564">
        <v>0.80833333333333324</v>
      </c>
      <c r="Q953" s="564">
        <f t="shared" si="162"/>
        <v>7.6388888888888618E-3</v>
      </c>
      <c r="R953" s="965" t="s">
        <v>1520</v>
      </c>
      <c r="S953" s="493" t="s">
        <v>308</v>
      </c>
      <c r="U953" s="29" t="str">
        <f t="shared" si="156"/>
        <v>DonleyEF2</v>
      </c>
      <c r="V953" s="29" t="str">
        <f t="shared" si="157"/>
        <v>2007EF2</v>
      </c>
      <c r="W953" s="80">
        <v>200</v>
      </c>
      <c r="X953" s="32">
        <v>2</v>
      </c>
      <c r="Y953" s="467">
        <v>0.5</v>
      </c>
      <c r="Z953" s="80"/>
      <c r="AA953" s="29" t="str">
        <f t="shared" si="158"/>
        <v>EF2200</v>
      </c>
      <c r="AB953" s="29" t="str">
        <f t="shared" si="159"/>
        <v>EF22</v>
      </c>
      <c r="AC953" s="29" t="str">
        <f t="shared" si="160"/>
        <v>EF20.5</v>
      </c>
      <c r="AD953" s="29" t="str">
        <f t="shared" si="161"/>
        <v>EF219</v>
      </c>
      <c r="AE953" s="443"/>
      <c r="AF953" s="443"/>
      <c r="AG953" s="443"/>
      <c r="AH953" s="443"/>
    </row>
    <row r="954" spans="1:34" ht="16.5">
      <c r="A954" s="728">
        <f t="shared" si="164"/>
        <v>947</v>
      </c>
      <c r="B954" s="563">
        <v>15</v>
      </c>
      <c r="C954" s="694">
        <v>39169</v>
      </c>
      <c r="D954" s="694" t="s">
        <v>146</v>
      </c>
      <c r="E954" s="695">
        <v>28</v>
      </c>
      <c r="F954" s="503">
        <v>2007</v>
      </c>
      <c r="G954" s="563" t="s">
        <v>120</v>
      </c>
      <c r="H954" s="503" t="s">
        <v>161</v>
      </c>
      <c r="I954" s="695">
        <v>50</v>
      </c>
      <c r="J954" s="695">
        <v>1</v>
      </c>
      <c r="K954" s="777">
        <f t="shared" si="163"/>
        <v>2.8409090909090908E-2</v>
      </c>
      <c r="L954" s="968">
        <v>0</v>
      </c>
      <c r="M954" s="503">
        <f t="shared" si="165"/>
        <v>19</v>
      </c>
      <c r="N954" s="504">
        <v>0.80208333333333337</v>
      </c>
      <c r="O954" s="719">
        <f t="shared" si="155"/>
        <v>0.80208333333333337</v>
      </c>
      <c r="P954" s="564">
        <v>0.8041666666666667</v>
      </c>
      <c r="Q954" s="564">
        <f t="shared" si="162"/>
        <v>2.0833333333333259E-3</v>
      </c>
      <c r="R954" s="965" t="s">
        <v>1520</v>
      </c>
      <c r="S954" s="493" t="s">
        <v>309</v>
      </c>
      <c r="U954" s="29" t="str">
        <f t="shared" si="156"/>
        <v>DonleyEF0</v>
      </c>
      <c r="V954" s="29" t="str">
        <f t="shared" si="157"/>
        <v>2007EF0</v>
      </c>
      <c r="W954" s="80">
        <v>50</v>
      </c>
      <c r="X954" s="32">
        <v>1</v>
      </c>
      <c r="Y954" s="467">
        <v>0.02</v>
      </c>
      <c r="Z954" s="80"/>
      <c r="AA954" s="29" t="str">
        <f t="shared" si="158"/>
        <v>EF050</v>
      </c>
      <c r="AB954" s="29" t="str">
        <f t="shared" si="159"/>
        <v>EF01</v>
      </c>
      <c r="AC954" s="29" t="str">
        <f t="shared" si="160"/>
        <v>EF00.02</v>
      </c>
      <c r="AD954" s="29" t="str">
        <f t="shared" si="161"/>
        <v>EF019</v>
      </c>
      <c r="AE954" s="443"/>
      <c r="AF954" s="443"/>
      <c r="AG954" s="443"/>
      <c r="AH954" s="443"/>
    </row>
    <row r="955" spans="1:34" ht="16.5">
      <c r="A955" s="728">
        <f t="shared" si="164"/>
        <v>948</v>
      </c>
      <c r="B955" s="563">
        <v>16</v>
      </c>
      <c r="C955" s="694">
        <v>39169</v>
      </c>
      <c r="D955" s="694" t="s">
        <v>146</v>
      </c>
      <c r="E955" s="695">
        <v>28</v>
      </c>
      <c r="F955" s="503">
        <v>2007</v>
      </c>
      <c r="G955" s="563" t="s">
        <v>115</v>
      </c>
      <c r="H955" s="503" t="s">
        <v>160</v>
      </c>
      <c r="I955" s="695">
        <v>200</v>
      </c>
      <c r="J955" s="695">
        <v>3.61</v>
      </c>
      <c r="K955" s="777">
        <f t="shared" si="163"/>
        <v>0.41022727272727272</v>
      </c>
      <c r="L955" s="968">
        <v>74000</v>
      </c>
      <c r="M955" s="503">
        <f t="shared" si="165"/>
        <v>19</v>
      </c>
      <c r="N955" s="504">
        <v>0.80763888888888891</v>
      </c>
      <c r="O955" s="719">
        <f t="shared" si="155"/>
        <v>0.80763888888888891</v>
      </c>
      <c r="P955" s="564">
        <v>0.81805555555555554</v>
      </c>
      <c r="Q955" s="564">
        <f t="shared" si="162"/>
        <v>1.041666666666663E-2</v>
      </c>
      <c r="R955" s="965" t="s">
        <v>1520</v>
      </c>
      <c r="S955" s="493" t="s">
        <v>454</v>
      </c>
      <c r="U955" s="29" t="str">
        <f t="shared" si="156"/>
        <v>GrayEF2</v>
      </c>
      <c r="V955" s="29" t="str">
        <f t="shared" si="157"/>
        <v>2007EF2</v>
      </c>
      <c r="W955" s="80">
        <v>200</v>
      </c>
      <c r="X955" s="32">
        <v>2</v>
      </c>
      <c r="Y955" s="467">
        <v>0.2</v>
      </c>
      <c r="Z955" s="80"/>
      <c r="AA955" s="29" t="str">
        <f t="shared" si="158"/>
        <v>EF2200</v>
      </c>
      <c r="AB955" s="29" t="str">
        <f t="shared" si="159"/>
        <v>EF22</v>
      </c>
      <c r="AC955" s="29" t="str">
        <f t="shared" si="160"/>
        <v>EF20.2</v>
      </c>
      <c r="AD955" s="29" t="str">
        <f t="shared" si="161"/>
        <v>EF219</v>
      </c>
      <c r="AE955" s="443"/>
      <c r="AF955" s="443"/>
      <c r="AG955" s="443"/>
      <c r="AH955" s="443"/>
    </row>
    <row r="956" spans="1:34" ht="25.5">
      <c r="A956" s="728">
        <f t="shared" si="164"/>
        <v>949</v>
      </c>
      <c r="B956" s="563">
        <v>17</v>
      </c>
      <c r="C956" s="694">
        <v>39169</v>
      </c>
      <c r="D956" s="694" t="s">
        <v>146</v>
      </c>
      <c r="E956" s="695">
        <v>28</v>
      </c>
      <c r="F956" s="503">
        <v>2007</v>
      </c>
      <c r="G956" s="563" t="s">
        <v>115</v>
      </c>
      <c r="H956" s="503" t="s">
        <v>161</v>
      </c>
      <c r="I956" s="695">
        <v>50</v>
      </c>
      <c r="J956" s="695">
        <v>0.25</v>
      </c>
      <c r="K956" s="777">
        <f t="shared" si="163"/>
        <v>7.102272727272727E-3</v>
      </c>
      <c r="L956" s="968">
        <v>3000</v>
      </c>
      <c r="M956" s="503">
        <f t="shared" si="165"/>
        <v>19</v>
      </c>
      <c r="N956" s="504">
        <v>0.8125</v>
      </c>
      <c r="O956" s="719">
        <f t="shared" si="155"/>
        <v>0.8125</v>
      </c>
      <c r="P956" s="564">
        <v>0.8125</v>
      </c>
      <c r="Q956" s="564">
        <f t="shared" si="162"/>
        <v>0</v>
      </c>
      <c r="R956" s="965" t="s">
        <v>1520</v>
      </c>
      <c r="S956" s="493" t="s">
        <v>1429</v>
      </c>
      <c r="U956" s="29" t="str">
        <f t="shared" si="156"/>
        <v>GrayEF0</v>
      </c>
      <c r="V956" s="29" t="str">
        <f t="shared" si="157"/>
        <v>2007EF0</v>
      </c>
      <c r="W956" s="80">
        <v>50</v>
      </c>
      <c r="X956" s="32">
        <v>0.2</v>
      </c>
      <c r="Y956" s="467">
        <v>5.0000000000000001E-3</v>
      </c>
      <c r="Z956" s="80"/>
      <c r="AA956" s="29" t="str">
        <f t="shared" si="158"/>
        <v>EF050</v>
      </c>
      <c r="AB956" s="29" t="str">
        <f t="shared" si="159"/>
        <v>EF00.2</v>
      </c>
      <c r="AC956" s="29" t="str">
        <f t="shared" si="160"/>
        <v>EF00.005</v>
      </c>
      <c r="AD956" s="29" t="str">
        <f t="shared" si="161"/>
        <v>EF019</v>
      </c>
      <c r="AE956" s="443"/>
      <c r="AF956" s="443"/>
      <c r="AG956" s="443"/>
      <c r="AH956" s="443"/>
    </row>
    <row r="957" spans="1:34" ht="16.5">
      <c r="A957" s="728">
        <f t="shared" si="164"/>
        <v>950</v>
      </c>
      <c r="B957" s="563">
        <v>18</v>
      </c>
      <c r="C957" s="694">
        <v>39169</v>
      </c>
      <c r="D957" s="694" t="s">
        <v>146</v>
      </c>
      <c r="E957" s="695">
        <v>28</v>
      </c>
      <c r="F957" s="503">
        <v>2007</v>
      </c>
      <c r="G957" s="563" t="s">
        <v>115</v>
      </c>
      <c r="H957" s="503" t="s">
        <v>162</v>
      </c>
      <c r="I957" s="695">
        <v>50</v>
      </c>
      <c r="J957" s="695">
        <v>0.25</v>
      </c>
      <c r="K957" s="777">
        <f t="shared" si="163"/>
        <v>7.102272727272727E-3</v>
      </c>
      <c r="L957" s="968">
        <v>39000</v>
      </c>
      <c r="M957" s="503">
        <f t="shared" si="165"/>
        <v>19</v>
      </c>
      <c r="N957" s="504">
        <v>0.81666666666666676</v>
      </c>
      <c r="O957" s="719">
        <f t="shared" si="155"/>
        <v>0.81666666666666676</v>
      </c>
      <c r="P957" s="564">
        <v>0.81736111111111109</v>
      </c>
      <c r="Q957" s="564">
        <f t="shared" si="162"/>
        <v>6.9444444444433095E-4</v>
      </c>
      <c r="R957" s="965" t="s">
        <v>1520</v>
      </c>
      <c r="S957" s="500" t="s">
        <v>321</v>
      </c>
      <c r="U957" s="29" t="str">
        <f t="shared" si="156"/>
        <v>GrayEF1</v>
      </c>
      <c r="V957" s="29" t="str">
        <f t="shared" si="157"/>
        <v>2007EF1</v>
      </c>
      <c r="W957" s="80">
        <v>50</v>
      </c>
      <c r="X957" s="32">
        <v>0.2</v>
      </c>
      <c r="Y957" s="467">
        <v>5.0000000000000001E-3</v>
      </c>
      <c r="Z957" s="80"/>
      <c r="AA957" s="29" t="str">
        <f t="shared" si="158"/>
        <v>EF150</v>
      </c>
      <c r="AB957" s="29" t="str">
        <f t="shared" si="159"/>
        <v>EF10.2</v>
      </c>
      <c r="AC957" s="29" t="str">
        <f t="shared" si="160"/>
        <v>EF10.005</v>
      </c>
      <c r="AD957" s="29" t="str">
        <f t="shared" si="161"/>
        <v>EF119</v>
      </c>
      <c r="AE957" s="443"/>
      <c r="AF957" s="443"/>
      <c r="AG957" s="443"/>
      <c r="AH957" s="443"/>
    </row>
    <row r="958" spans="1:34" ht="16.5">
      <c r="A958" s="728">
        <f t="shared" si="164"/>
        <v>951</v>
      </c>
      <c r="B958" s="563">
        <v>19</v>
      </c>
      <c r="C958" s="694">
        <v>39169</v>
      </c>
      <c r="D958" s="694" t="s">
        <v>146</v>
      </c>
      <c r="E958" s="695">
        <v>28</v>
      </c>
      <c r="F958" s="503">
        <v>2007</v>
      </c>
      <c r="G958" s="563" t="s">
        <v>115</v>
      </c>
      <c r="H958" s="503" t="s">
        <v>163</v>
      </c>
      <c r="I958" s="695">
        <v>1760</v>
      </c>
      <c r="J958" s="695">
        <v>7.99</v>
      </c>
      <c r="K958" s="777">
        <f t="shared" si="163"/>
        <v>7.99</v>
      </c>
      <c r="L958" s="968">
        <v>27000</v>
      </c>
      <c r="M958" s="503">
        <f t="shared" si="165"/>
        <v>19</v>
      </c>
      <c r="N958" s="504">
        <v>0.82291666666666663</v>
      </c>
      <c r="O958" s="719">
        <f t="shared" si="155"/>
        <v>0.82291666666666663</v>
      </c>
      <c r="P958" s="564">
        <v>0.83333333333333337</v>
      </c>
      <c r="Q958" s="564">
        <f t="shared" si="162"/>
        <v>1.0416666666666741E-2</v>
      </c>
      <c r="R958" s="965" t="s">
        <v>1520</v>
      </c>
      <c r="S958" s="500" t="s">
        <v>456</v>
      </c>
      <c r="U958" s="29" t="str">
        <f t="shared" si="156"/>
        <v>GrayEF3</v>
      </c>
      <c r="V958" s="29" t="str">
        <f t="shared" si="157"/>
        <v>2007EF3</v>
      </c>
      <c r="W958" s="80">
        <v>1000</v>
      </c>
      <c r="X958" s="32">
        <v>5</v>
      </c>
      <c r="Y958" s="467">
        <v>5</v>
      </c>
      <c r="Z958" s="80"/>
      <c r="AA958" s="29" t="str">
        <f t="shared" si="158"/>
        <v>EF31000</v>
      </c>
      <c r="AB958" s="29" t="str">
        <f t="shared" si="159"/>
        <v>EF35</v>
      </c>
      <c r="AC958" s="29" t="str">
        <f t="shared" si="160"/>
        <v>EF35</v>
      </c>
      <c r="AD958" s="29" t="str">
        <f t="shared" si="161"/>
        <v>EF319</v>
      </c>
      <c r="AE958" s="443"/>
      <c r="AF958" s="443"/>
      <c r="AG958" s="443"/>
      <c r="AH958" s="443"/>
    </row>
    <row r="959" spans="1:34" ht="16.5">
      <c r="A959" s="728">
        <f t="shared" si="164"/>
        <v>952</v>
      </c>
      <c r="B959" s="563">
        <v>20</v>
      </c>
      <c r="C959" s="694">
        <v>39169</v>
      </c>
      <c r="D959" s="694" t="s">
        <v>146</v>
      </c>
      <c r="E959" s="695">
        <v>28</v>
      </c>
      <c r="F959" s="503">
        <v>2007</v>
      </c>
      <c r="G959" s="563" t="s">
        <v>111</v>
      </c>
      <c r="H959" s="503" t="s">
        <v>163</v>
      </c>
      <c r="I959" s="695">
        <v>1408</v>
      </c>
      <c r="J959" s="695">
        <v>7.77</v>
      </c>
      <c r="K959" s="777">
        <f t="shared" si="163"/>
        <v>6.2160000000000002</v>
      </c>
      <c r="L959" s="968">
        <v>3000000</v>
      </c>
      <c r="M959" s="503">
        <f t="shared" si="165"/>
        <v>20</v>
      </c>
      <c r="N959" s="504">
        <v>0.85416666666666663</v>
      </c>
      <c r="O959" s="719">
        <f t="shared" si="155"/>
        <v>0.85416666666666663</v>
      </c>
      <c r="P959" s="564">
        <v>0.87152777777777779</v>
      </c>
      <c r="Q959" s="564">
        <f t="shared" si="162"/>
        <v>1.736111111111116E-2</v>
      </c>
      <c r="R959" s="965" t="s">
        <v>1520</v>
      </c>
      <c r="S959" s="500" t="s">
        <v>346</v>
      </c>
      <c r="U959" s="29" t="str">
        <f t="shared" si="156"/>
        <v>HemphillEF3</v>
      </c>
      <c r="V959" s="29" t="str">
        <f t="shared" si="157"/>
        <v>2007EF3</v>
      </c>
      <c r="W959" s="80">
        <v>1000</v>
      </c>
      <c r="X959" s="32">
        <v>5</v>
      </c>
      <c r="Y959" s="467">
        <v>5</v>
      </c>
      <c r="Z959" s="80"/>
      <c r="AA959" s="29" t="str">
        <f t="shared" si="158"/>
        <v>EF31000</v>
      </c>
      <c r="AB959" s="29" t="str">
        <f t="shared" si="159"/>
        <v>EF35</v>
      </c>
      <c r="AC959" s="29" t="str">
        <f t="shared" si="160"/>
        <v>EF35</v>
      </c>
      <c r="AD959" s="29" t="str">
        <f t="shared" si="161"/>
        <v>EF320</v>
      </c>
      <c r="AE959" s="443"/>
      <c r="AF959" s="443"/>
      <c r="AG959" s="443"/>
      <c r="AH959" s="443"/>
    </row>
    <row r="960" spans="1:34" ht="69.95" customHeight="1">
      <c r="A960" s="728">
        <f t="shared" si="164"/>
        <v>953</v>
      </c>
      <c r="B960" s="563">
        <v>21</v>
      </c>
      <c r="C960" s="694">
        <v>39193</v>
      </c>
      <c r="D960" s="694" t="s">
        <v>147</v>
      </c>
      <c r="E960" s="695">
        <v>21</v>
      </c>
      <c r="F960" s="503">
        <v>2007</v>
      </c>
      <c r="G960" s="563" t="s">
        <v>112</v>
      </c>
      <c r="H960" s="503" t="s">
        <v>162</v>
      </c>
      <c r="I960" s="695">
        <v>880</v>
      </c>
      <c r="J960" s="695">
        <v>3.57</v>
      </c>
      <c r="K960" s="777">
        <f t="shared" si="163"/>
        <v>1.7849999999999999</v>
      </c>
      <c r="L960" s="968">
        <v>0</v>
      </c>
      <c r="M960" s="503">
        <f t="shared" si="165"/>
        <v>17</v>
      </c>
      <c r="N960" s="504">
        <v>0.74375000000000002</v>
      </c>
      <c r="O960" s="719">
        <f t="shared" si="155"/>
        <v>0.74375000000000002</v>
      </c>
      <c r="P960" s="564">
        <v>0.74930555555555556</v>
      </c>
      <c r="Q960" s="564">
        <f t="shared" si="162"/>
        <v>5.5555555555555358E-3</v>
      </c>
      <c r="R960" s="965" t="s">
        <v>1520</v>
      </c>
      <c r="S960" s="487" t="s">
        <v>732</v>
      </c>
      <c r="U960" s="29" t="str">
        <f t="shared" si="156"/>
        <v>OldhamEF1</v>
      </c>
      <c r="V960" s="29" t="str">
        <f t="shared" si="157"/>
        <v>2007EF1</v>
      </c>
      <c r="W960" s="80">
        <v>500</v>
      </c>
      <c r="X960" s="32">
        <v>2</v>
      </c>
      <c r="Y960" s="467">
        <v>1</v>
      </c>
      <c r="Z960" s="80"/>
      <c r="AA960" s="29" t="str">
        <f t="shared" si="158"/>
        <v>EF1500</v>
      </c>
      <c r="AB960" s="29" t="str">
        <f t="shared" si="159"/>
        <v>EF12</v>
      </c>
      <c r="AC960" s="29" t="str">
        <f t="shared" si="160"/>
        <v>EF11</v>
      </c>
      <c r="AD960" s="29" t="str">
        <f t="shared" si="161"/>
        <v>EF117</v>
      </c>
      <c r="AE960" s="443"/>
      <c r="AF960" s="443"/>
      <c r="AG960" s="443"/>
      <c r="AH960" s="443"/>
    </row>
    <row r="961" spans="1:34" ht="25.5">
      <c r="A961" s="728">
        <f t="shared" si="164"/>
        <v>954</v>
      </c>
      <c r="B961" s="563">
        <v>22</v>
      </c>
      <c r="C961" s="694">
        <v>39193</v>
      </c>
      <c r="D961" s="694" t="s">
        <v>147</v>
      </c>
      <c r="E961" s="695">
        <v>21</v>
      </c>
      <c r="F961" s="503">
        <v>2007</v>
      </c>
      <c r="G961" s="563" t="s">
        <v>107</v>
      </c>
      <c r="H961" s="503" t="s">
        <v>162</v>
      </c>
      <c r="I961" s="695">
        <v>880</v>
      </c>
      <c r="J961" s="695">
        <v>13.56</v>
      </c>
      <c r="K961" s="777">
        <f t="shared" si="163"/>
        <v>6.78</v>
      </c>
      <c r="L961" s="968">
        <v>12000</v>
      </c>
      <c r="M961" s="503">
        <f t="shared" si="165"/>
        <v>17</v>
      </c>
      <c r="N961" s="504">
        <v>0.74930555555555556</v>
      </c>
      <c r="O961" s="719">
        <f t="shared" si="155"/>
        <v>0.74930555555555556</v>
      </c>
      <c r="P961" s="564">
        <v>0.76875000000000004</v>
      </c>
      <c r="Q961" s="564">
        <f t="shared" si="162"/>
        <v>1.9444444444444486E-2</v>
      </c>
      <c r="R961" s="965" t="s">
        <v>1520</v>
      </c>
      <c r="S961" s="487" t="s">
        <v>733</v>
      </c>
      <c r="U961" s="29" t="str">
        <f t="shared" si="156"/>
        <v>HartleyEF1</v>
      </c>
      <c r="V961" s="29" t="str">
        <f t="shared" si="157"/>
        <v>2007EF1</v>
      </c>
      <c r="W961" s="80">
        <v>500</v>
      </c>
      <c r="X961" s="32">
        <v>10</v>
      </c>
      <c r="Y961" s="467">
        <v>5</v>
      </c>
      <c r="Z961" s="80"/>
      <c r="AA961" s="29" t="str">
        <f t="shared" si="158"/>
        <v>EF1500</v>
      </c>
      <c r="AB961" s="29" t="str">
        <f t="shared" si="159"/>
        <v>EF110</v>
      </c>
      <c r="AC961" s="29" t="str">
        <f t="shared" si="160"/>
        <v>EF15</v>
      </c>
      <c r="AD961" s="29" t="str">
        <f t="shared" si="161"/>
        <v>EF117</v>
      </c>
      <c r="AE961" s="443"/>
      <c r="AF961" s="443"/>
      <c r="AG961" s="443"/>
      <c r="AH961" s="443"/>
    </row>
    <row r="962" spans="1:34" ht="25.5">
      <c r="A962" s="728">
        <f t="shared" si="164"/>
        <v>955</v>
      </c>
      <c r="B962" s="563">
        <v>23</v>
      </c>
      <c r="C962" s="694">
        <v>39193</v>
      </c>
      <c r="D962" s="694" t="s">
        <v>147</v>
      </c>
      <c r="E962" s="695">
        <v>21</v>
      </c>
      <c r="F962" s="503">
        <v>2007</v>
      </c>
      <c r="G962" s="563" t="s">
        <v>108</v>
      </c>
      <c r="H962" s="503" t="s">
        <v>160</v>
      </c>
      <c r="I962" s="695">
        <v>1320</v>
      </c>
      <c r="J962" s="695">
        <v>19.670000000000002</v>
      </c>
      <c r="K962" s="777">
        <f t="shared" si="163"/>
        <v>14.752500000000001</v>
      </c>
      <c r="L962" s="968">
        <v>1300000</v>
      </c>
      <c r="M962" s="503">
        <f t="shared" si="165"/>
        <v>18</v>
      </c>
      <c r="N962" s="504">
        <v>0.76111111111111107</v>
      </c>
      <c r="O962" s="719">
        <f t="shared" si="155"/>
        <v>0.76111111111111107</v>
      </c>
      <c r="P962" s="564">
        <v>0.77777777777777779</v>
      </c>
      <c r="Q962" s="564">
        <f t="shared" si="162"/>
        <v>1.6666666666666718E-2</v>
      </c>
      <c r="R962" s="965" t="s">
        <v>1520</v>
      </c>
      <c r="S962" s="487" t="s">
        <v>734</v>
      </c>
      <c r="U962" s="29" t="str">
        <f t="shared" si="156"/>
        <v>MooreEF2</v>
      </c>
      <c r="V962" s="29" t="str">
        <f t="shared" si="157"/>
        <v>2007EF2</v>
      </c>
      <c r="W962" s="80">
        <v>1000</v>
      </c>
      <c r="X962" s="32">
        <v>10</v>
      </c>
      <c r="Y962" s="467">
        <v>10</v>
      </c>
      <c r="Z962" s="80"/>
      <c r="AA962" s="29" t="str">
        <f t="shared" si="158"/>
        <v>EF21000</v>
      </c>
      <c r="AB962" s="29" t="str">
        <f t="shared" si="159"/>
        <v>EF210</v>
      </c>
      <c r="AC962" s="29" t="str">
        <f t="shared" si="160"/>
        <v>EF210</v>
      </c>
      <c r="AD962" s="29" t="str">
        <f t="shared" si="161"/>
        <v>EF218</v>
      </c>
      <c r="AE962" s="443"/>
      <c r="AF962" s="443"/>
      <c r="AG962" s="443"/>
      <c r="AH962" s="443"/>
    </row>
    <row r="963" spans="1:34" ht="25.5">
      <c r="A963" s="728">
        <f t="shared" si="164"/>
        <v>956</v>
      </c>
      <c r="B963" s="563">
        <v>24</v>
      </c>
      <c r="C963" s="694">
        <v>39193</v>
      </c>
      <c r="D963" s="694" t="s">
        <v>147</v>
      </c>
      <c r="E963" s="695">
        <v>21</v>
      </c>
      <c r="F963" s="503">
        <v>2007</v>
      </c>
      <c r="G963" s="563" t="s">
        <v>103</v>
      </c>
      <c r="H963" s="503" t="s">
        <v>160</v>
      </c>
      <c r="I963" s="695">
        <v>1320</v>
      </c>
      <c r="J963" s="695">
        <v>7.05</v>
      </c>
      <c r="K963" s="777">
        <f t="shared" si="163"/>
        <v>5.2874999999999996</v>
      </c>
      <c r="L963" s="968">
        <v>0</v>
      </c>
      <c r="M963" s="503">
        <f t="shared" si="165"/>
        <v>18</v>
      </c>
      <c r="N963" s="504">
        <v>0.77777777777777779</v>
      </c>
      <c r="O963" s="719">
        <f t="shared" si="155"/>
        <v>0.77777777777777779</v>
      </c>
      <c r="P963" s="564">
        <v>0.78611111111111109</v>
      </c>
      <c r="Q963" s="564">
        <f t="shared" si="162"/>
        <v>8.3333333333333037E-3</v>
      </c>
      <c r="R963" s="965" t="s">
        <v>1520</v>
      </c>
      <c r="S963" s="487" t="s">
        <v>735</v>
      </c>
      <c r="U963" s="29" t="str">
        <f t="shared" si="156"/>
        <v>ShermanEF2</v>
      </c>
      <c r="V963" s="29" t="str">
        <f t="shared" si="157"/>
        <v>2007EF2</v>
      </c>
      <c r="W963" s="80">
        <v>1000</v>
      </c>
      <c r="X963" s="32">
        <v>5</v>
      </c>
      <c r="Y963" s="467">
        <v>5</v>
      </c>
      <c r="Z963" s="80"/>
      <c r="AA963" s="29" t="str">
        <f t="shared" si="158"/>
        <v>EF21000</v>
      </c>
      <c r="AB963" s="29" t="str">
        <f t="shared" si="159"/>
        <v>EF25</v>
      </c>
      <c r="AC963" s="29" t="str">
        <f t="shared" si="160"/>
        <v>EF25</v>
      </c>
      <c r="AD963" s="29" t="str">
        <f t="shared" si="161"/>
        <v>EF218</v>
      </c>
      <c r="AE963" s="443"/>
      <c r="AF963" s="443"/>
      <c r="AG963" s="443"/>
      <c r="AH963" s="443"/>
    </row>
    <row r="964" spans="1:34" ht="16.5">
      <c r="A964" s="728">
        <f t="shared" si="164"/>
        <v>957</v>
      </c>
      <c r="B964" s="563">
        <v>25</v>
      </c>
      <c r="C964" s="694">
        <v>39193</v>
      </c>
      <c r="D964" s="694" t="s">
        <v>147</v>
      </c>
      <c r="E964" s="695">
        <v>21</v>
      </c>
      <c r="F964" s="503">
        <v>2007</v>
      </c>
      <c r="G964" s="563" t="s">
        <v>108</v>
      </c>
      <c r="H964" s="503" t="s">
        <v>160</v>
      </c>
      <c r="I964" s="695">
        <v>704</v>
      </c>
      <c r="J964" s="695">
        <v>11.93</v>
      </c>
      <c r="K964" s="777">
        <f t="shared" si="163"/>
        <v>4.7720000000000002</v>
      </c>
      <c r="L964" s="968">
        <v>8000</v>
      </c>
      <c r="M964" s="503">
        <f t="shared" si="165"/>
        <v>18</v>
      </c>
      <c r="N964" s="504">
        <v>0.78472222222222221</v>
      </c>
      <c r="O964" s="719">
        <f t="shared" si="155"/>
        <v>0.78472222222222221</v>
      </c>
      <c r="P964" s="564">
        <v>0.80208333333333337</v>
      </c>
      <c r="Q964" s="564">
        <f t="shared" si="162"/>
        <v>1.736111111111116E-2</v>
      </c>
      <c r="R964" s="965" t="s">
        <v>1520</v>
      </c>
      <c r="S964" s="487" t="s">
        <v>368</v>
      </c>
      <c r="U964" s="29" t="str">
        <f t="shared" si="156"/>
        <v>MooreEF2</v>
      </c>
      <c r="V964" s="29" t="str">
        <f t="shared" si="157"/>
        <v>2007EF2</v>
      </c>
      <c r="W964" s="80">
        <v>500</v>
      </c>
      <c r="X964" s="32">
        <v>10</v>
      </c>
      <c r="Y964" s="467">
        <v>2</v>
      </c>
      <c r="Z964" s="80"/>
      <c r="AA964" s="29" t="str">
        <f t="shared" si="158"/>
        <v>EF2500</v>
      </c>
      <c r="AB964" s="29" t="str">
        <f t="shared" si="159"/>
        <v>EF210</v>
      </c>
      <c r="AC964" s="29" t="str">
        <f t="shared" si="160"/>
        <v>EF22</v>
      </c>
      <c r="AD964" s="29" t="str">
        <f t="shared" si="161"/>
        <v>EF218</v>
      </c>
      <c r="AE964" s="443"/>
      <c r="AF964" s="443"/>
      <c r="AG964" s="443"/>
      <c r="AH964" s="443"/>
    </row>
    <row r="965" spans="1:34" ht="16.5">
      <c r="A965" s="728">
        <f t="shared" si="164"/>
        <v>958</v>
      </c>
      <c r="B965" s="563">
        <v>26</v>
      </c>
      <c r="C965" s="694">
        <v>39193</v>
      </c>
      <c r="D965" s="694" t="s">
        <v>147</v>
      </c>
      <c r="E965" s="695">
        <v>21</v>
      </c>
      <c r="F965" s="503">
        <v>2007</v>
      </c>
      <c r="G965" s="563" t="s">
        <v>108</v>
      </c>
      <c r="H965" s="503" t="s">
        <v>161</v>
      </c>
      <c r="I965" s="695">
        <v>50</v>
      </c>
      <c r="J965" s="695">
        <v>1</v>
      </c>
      <c r="K965" s="777">
        <f t="shared" si="163"/>
        <v>2.8409090909090908E-2</v>
      </c>
      <c r="L965" s="968">
        <v>0</v>
      </c>
      <c r="M965" s="503">
        <f t="shared" si="165"/>
        <v>19</v>
      </c>
      <c r="N965" s="504">
        <v>0.79583333333333339</v>
      </c>
      <c r="O965" s="719">
        <f t="shared" si="155"/>
        <v>0.79583333333333339</v>
      </c>
      <c r="P965" s="564">
        <v>0.79722222222222217</v>
      </c>
      <c r="Q965" s="564">
        <f t="shared" si="162"/>
        <v>1.3888888888887729E-3</v>
      </c>
      <c r="R965" s="965" t="s">
        <v>1520</v>
      </c>
      <c r="S965" s="487" t="s">
        <v>369</v>
      </c>
      <c r="U965" s="29" t="str">
        <f t="shared" si="156"/>
        <v>MooreEF0</v>
      </c>
      <c r="V965" s="29" t="str">
        <f t="shared" si="157"/>
        <v>2007EF0</v>
      </c>
      <c r="W965" s="80">
        <v>50</v>
      </c>
      <c r="X965" s="32">
        <v>1</v>
      </c>
      <c r="Y965" s="467">
        <v>0.02</v>
      </c>
      <c r="Z965" s="80"/>
      <c r="AA965" s="29" t="str">
        <f t="shared" si="158"/>
        <v>EF050</v>
      </c>
      <c r="AB965" s="29" t="str">
        <f t="shared" si="159"/>
        <v>EF01</v>
      </c>
      <c r="AC965" s="29" t="str">
        <f t="shared" si="160"/>
        <v>EF00.02</v>
      </c>
      <c r="AD965" s="29" t="str">
        <f t="shared" si="161"/>
        <v>EF019</v>
      </c>
      <c r="AE965" s="443"/>
      <c r="AF965" s="443"/>
      <c r="AG965" s="443"/>
      <c r="AH965" s="443"/>
    </row>
    <row r="966" spans="1:34" ht="16.5">
      <c r="A966" s="728">
        <f t="shared" si="164"/>
        <v>959</v>
      </c>
      <c r="B966" s="563">
        <v>27</v>
      </c>
      <c r="C966" s="694">
        <v>39193</v>
      </c>
      <c r="D966" s="694" t="s">
        <v>147</v>
      </c>
      <c r="E966" s="695">
        <v>21</v>
      </c>
      <c r="F966" s="503">
        <v>2007</v>
      </c>
      <c r="G966" s="563" t="s">
        <v>108</v>
      </c>
      <c r="H966" s="503" t="s">
        <v>161</v>
      </c>
      <c r="I966" s="695">
        <v>100</v>
      </c>
      <c r="J966" s="695">
        <v>1.53</v>
      </c>
      <c r="K966" s="777">
        <f t="shared" si="163"/>
        <v>8.693181818181818E-2</v>
      </c>
      <c r="L966" s="968">
        <v>0</v>
      </c>
      <c r="M966" s="503">
        <f t="shared" si="165"/>
        <v>19</v>
      </c>
      <c r="N966" s="504">
        <v>0.80486111111111114</v>
      </c>
      <c r="O966" s="719">
        <f t="shared" si="155"/>
        <v>0.80486111111111114</v>
      </c>
      <c r="P966" s="564">
        <v>0.80763888888888891</v>
      </c>
      <c r="Q966" s="564">
        <f t="shared" si="162"/>
        <v>2.7777777777777679E-3</v>
      </c>
      <c r="R966" s="965" t="s">
        <v>1520</v>
      </c>
      <c r="S966" s="487" t="s">
        <v>370</v>
      </c>
      <c r="U966" s="29" t="str">
        <f t="shared" si="156"/>
        <v>MooreEF0</v>
      </c>
      <c r="V966" s="29" t="str">
        <f t="shared" si="157"/>
        <v>2007EF0</v>
      </c>
      <c r="W966" s="80">
        <v>100</v>
      </c>
      <c r="X966" s="32">
        <v>1</v>
      </c>
      <c r="Y966" s="467">
        <v>0.05</v>
      </c>
      <c r="Z966" s="80"/>
      <c r="AA966" s="29" t="str">
        <f t="shared" si="158"/>
        <v>EF0100</v>
      </c>
      <c r="AB966" s="29" t="str">
        <f t="shared" si="159"/>
        <v>EF01</v>
      </c>
      <c r="AC966" s="29" t="str">
        <f t="shared" si="160"/>
        <v>EF00.05</v>
      </c>
      <c r="AD966" s="29" t="str">
        <f t="shared" si="161"/>
        <v>EF019</v>
      </c>
      <c r="AE966" s="443"/>
      <c r="AF966" s="443"/>
      <c r="AG966" s="443"/>
      <c r="AH966" s="443"/>
    </row>
    <row r="967" spans="1:34" ht="25.5">
      <c r="A967" s="728">
        <f t="shared" si="164"/>
        <v>960</v>
      </c>
      <c r="B967" s="563">
        <v>28</v>
      </c>
      <c r="C967" s="694">
        <v>39193</v>
      </c>
      <c r="D967" s="694" t="s">
        <v>147</v>
      </c>
      <c r="E967" s="695">
        <v>21</v>
      </c>
      <c r="F967" s="503">
        <v>2007</v>
      </c>
      <c r="G967" s="563" t="s">
        <v>108</v>
      </c>
      <c r="H967" s="503" t="s">
        <v>162</v>
      </c>
      <c r="I967" s="695">
        <v>1320</v>
      </c>
      <c r="J967" s="695">
        <v>2.0099999999999998</v>
      </c>
      <c r="K967" s="777">
        <f t="shared" si="163"/>
        <v>1.5074999999999998</v>
      </c>
      <c r="L967" s="968">
        <v>18000</v>
      </c>
      <c r="M967" s="503">
        <f t="shared" si="165"/>
        <v>19</v>
      </c>
      <c r="N967" s="504">
        <v>0.81666666666666676</v>
      </c>
      <c r="O967" s="719">
        <f t="shared" ref="O967:O1036" si="166">+N967</f>
        <v>0.81666666666666676</v>
      </c>
      <c r="P967" s="564">
        <v>0.81874999999999998</v>
      </c>
      <c r="Q967" s="564">
        <f t="shared" si="162"/>
        <v>2.0833333333332149E-3</v>
      </c>
      <c r="R967" s="965" t="s">
        <v>1520</v>
      </c>
      <c r="S967" s="487" t="s">
        <v>736</v>
      </c>
      <c r="U967" s="29" t="str">
        <f t="shared" ref="U967:U1030" si="167">CONCATENATE(G967,H967)</f>
        <v>MooreEF1</v>
      </c>
      <c r="V967" s="29" t="str">
        <f t="shared" ref="V967:V1030" si="168">CONCATENATE(F967,H967)</f>
        <v>2007EF1</v>
      </c>
      <c r="W967" s="80">
        <v>1000</v>
      </c>
      <c r="X967" s="32">
        <v>2</v>
      </c>
      <c r="Y967" s="467">
        <v>1</v>
      </c>
      <c r="Z967" s="80"/>
      <c r="AA967" s="29" t="str">
        <f t="shared" ref="AA967:AA1035" si="169">CONCATENATE(H967,W967)</f>
        <v>EF11000</v>
      </c>
      <c r="AB967" s="29" t="str">
        <f t="shared" ref="AB967:AB1035" si="170">CONCATENATE(H967,X967)</f>
        <v>EF12</v>
      </c>
      <c r="AC967" s="29" t="str">
        <f t="shared" ref="AC967:AC1035" si="171">CONCATENATE(H967,Y967)</f>
        <v>EF11</v>
      </c>
      <c r="AD967" s="29" t="str">
        <f t="shared" ref="AD967:AD1035" si="172">CONCATENATE(H967,M967)</f>
        <v>EF119</v>
      </c>
      <c r="AE967" s="443"/>
      <c r="AF967" s="443"/>
      <c r="AG967" s="443"/>
      <c r="AH967" s="443"/>
    </row>
    <row r="968" spans="1:34" ht="25.5">
      <c r="A968" s="728">
        <f t="shared" si="164"/>
        <v>961</v>
      </c>
      <c r="B968" s="563">
        <v>29</v>
      </c>
      <c r="C968" s="694">
        <v>39193</v>
      </c>
      <c r="D968" s="694" t="s">
        <v>147</v>
      </c>
      <c r="E968" s="695">
        <v>21</v>
      </c>
      <c r="F968" s="503">
        <v>2007</v>
      </c>
      <c r="G968" s="563" t="s">
        <v>103</v>
      </c>
      <c r="H968" s="503" t="s">
        <v>162</v>
      </c>
      <c r="I968" s="695">
        <v>1320</v>
      </c>
      <c r="J968" s="695">
        <v>7.3</v>
      </c>
      <c r="K968" s="777">
        <f t="shared" si="163"/>
        <v>5.4749999999999996</v>
      </c>
      <c r="L968" s="968">
        <v>0</v>
      </c>
      <c r="M968" s="503">
        <f t="shared" si="165"/>
        <v>19</v>
      </c>
      <c r="N968" s="504">
        <v>0.81874999999999998</v>
      </c>
      <c r="O968" s="719">
        <f t="shared" si="166"/>
        <v>0.81874999999999998</v>
      </c>
      <c r="P968" s="564">
        <v>0.82638888888888884</v>
      </c>
      <c r="Q968" s="564">
        <f t="shared" ref="Q968:Q1031" si="173">+P968-O968</f>
        <v>7.6388888888888618E-3</v>
      </c>
      <c r="R968" s="965" t="s">
        <v>1520</v>
      </c>
      <c r="S968" s="487" t="s">
        <v>737</v>
      </c>
      <c r="U968" s="29" t="str">
        <f t="shared" si="167"/>
        <v>ShermanEF1</v>
      </c>
      <c r="V968" s="29" t="str">
        <f t="shared" si="168"/>
        <v>2007EF1</v>
      </c>
      <c r="W968" s="80">
        <v>1000</v>
      </c>
      <c r="X968" s="32">
        <v>5</v>
      </c>
      <c r="Y968" s="467">
        <v>5</v>
      </c>
      <c r="Z968" s="80"/>
      <c r="AA968" s="29" t="str">
        <f t="shared" si="169"/>
        <v>EF11000</v>
      </c>
      <c r="AB968" s="29" t="str">
        <f t="shared" si="170"/>
        <v>EF15</v>
      </c>
      <c r="AC968" s="29" t="str">
        <f t="shared" si="171"/>
        <v>EF15</v>
      </c>
      <c r="AD968" s="29" t="str">
        <f t="shared" si="172"/>
        <v>EF119</v>
      </c>
      <c r="AE968" s="443"/>
      <c r="AF968" s="443"/>
      <c r="AG968" s="443"/>
      <c r="AH968" s="443"/>
    </row>
    <row r="969" spans="1:34" ht="16.5">
      <c r="A969" s="728">
        <f t="shared" si="164"/>
        <v>962</v>
      </c>
      <c r="B969" s="563">
        <v>30</v>
      </c>
      <c r="C969" s="694">
        <v>39193</v>
      </c>
      <c r="D969" s="694" t="s">
        <v>147</v>
      </c>
      <c r="E969" s="695">
        <v>21</v>
      </c>
      <c r="F969" s="503">
        <v>2007</v>
      </c>
      <c r="G969" s="563" t="s">
        <v>119</v>
      </c>
      <c r="H969" s="503" t="s">
        <v>162</v>
      </c>
      <c r="I969" s="695">
        <v>440</v>
      </c>
      <c r="J969" s="695">
        <v>3.33</v>
      </c>
      <c r="K969" s="777">
        <f t="shared" ref="K969:K1032" si="174">+(I969/1760)*J969</f>
        <v>0.83250000000000002</v>
      </c>
      <c r="L969" s="968">
        <v>4000</v>
      </c>
      <c r="M969" s="503">
        <f t="shared" si="165"/>
        <v>19</v>
      </c>
      <c r="N969" s="504">
        <v>0.82291666666666663</v>
      </c>
      <c r="O969" s="719">
        <f t="shared" si="166"/>
        <v>0.82291666666666663</v>
      </c>
      <c r="P969" s="564">
        <v>0.82986111111111116</v>
      </c>
      <c r="Q969" s="564">
        <f t="shared" si="173"/>
        <v>6.9444444444445308E-3</v>
      </c>
      <c r="R969" s="965" t="s">
        <v>1520</v>
      </c>
      <c r="S969" s="487" t="s">
        <v>254</v>
      </c>
      <c r="U969" s="29" t="str">
        <f t="shared" si="167"/>
        <v>ArmstrongEF1</v>
      </c>
      <c r="V969" s="29" t="str">
        <f t="shared" si="168"/>
        <v>2007EF1</v>
      </c>
      <c r="W969" s="80">
        <v>200</v>
      </c>
      <c r="X969" s="32">
        <v>2</v>
      </c>
      <c r="Y969" s="467">
        <v>0.5</v>
      </c>
      <c r="Z969" s="80"/>
      <c r="AA969" s="29" t="str">
        <f t="shared" si="169"/>
        <v>EF1200</v>
      </c>
      <c r="AB969" s="29" t="str">
        <f t="shared" si="170"/>
        <v>EF12</v>
      </c>
      <c r="AC969" s="29" t="str">
        <f t="shared" si="171"/>
        <v>EF10.5</v>
      </c>
      <c r="AD969" s="29" t="str">
        <f t="shared" si="172"/>
        <v>EF119</v>
      </c>
      <c r="AE969" s="443"/>
      <c r="AF969" s="443"/>
      <c r="AG969" s="443"/>
      <c r="AH969" s="443"/>
    </row>
    <row r="970" spans="1:34" ht="16.5">
      <c r="A970" s="728">
        <f t="shared" ref="A970:A1033" si="175">+A969+1</f>
        <v>963</v>
      </c>
      <c r="B970" s="563">
        <v>31</v>
      </c>
      <c r="C970" s="694">
        <v>39193</v>
      </c>
      <c r="D970" s="694" t="s">
        <v>147</v>
      </c>
      <c r="E970" s="695">
        <v>21</v>
      </c>
      <c r="F970" s="503">
        <v>2007</v>
      </c>
      <c r="G970" s="563" t="s">
        <v>108</v>
      </c>
      <c r="H970" s="503" t="s">
        <v>162</v>
      </c>
      <c r="I970" s="695">
        <v>440</v>
      </c>
      <c r="J970" s="695">
        <v>12.23</v>
      </c>
      <c r="K970" s="777">
        <f t="shared" si="174"/>
        <v>3.0575000000000001</v>
      </c>
      <c r="L970" s="968">
        <v>6000</v>
      </c>
      <c r="M970" s="503">
        <f t="shared" si="165"/>
        <v>19</v>
      </c>
      <c r="N970" s="504">
        <v>0.82291666666666663</v>
      </c>
      <c r="O970" s="719">
        <f t="shared" si="166"/>
        <v>0.82291666666666663</v>
      </c>
      <c r="P970" s="564">
        <v>0.83333333333333337</v>
      </c>
      <c r="Q970" s="564">
        <f t="shared" si="173"/>
        <v>1.0416666666666741E-2</v>
      </c>
      <c r="R970" s="965" t="s">
        <v>1520</v>
      </c>
      <c r="S970" s="487" t="s">
        <v>371</v>
      </c>
      <c r="U970" s="29" t="str">
        <f t="shared" si="167"/>
        <v>MooreEF1</v>
      </c>
      <c r="V970" s="29" t="str">
        <f t="shared" si="168"/>
        <v>2007EF1</v>
      </c>
      <c r="W970" s="80">
        <v>200</v>
      </c>
      <c r="X970" s="32">
        <v>10</v>
      </c>
      <c r="Y970" s="467">
        <v>2</v>
      </c>
      <c r="Z970" s="80"/>
      <c r="AA970" s="29" t="str">
        <f t="shared" si="169"/>
        <v>EF1200</v>
      </c>
      <c r="AB970" s="29" t="str">
        <f t="shared" si="170"/>
        <v>EF110</v>
      </c>
      <c r="AC970" s="29" t="str">
        <f t="shared" si="171"/>
        <v>EF12</v>
      </c>
      <c r="AD970" s="29" t="str">
        <f t="shared" si="172"/>
        <v>EF119</v>
      </c>
      <c r="AE970" s="443"/>
      <c r="AF970" s="443"/>
      <c r="AG970" s="443"/>
      <c r="AH970" s="443"/>
    </row>
    <row r="971" spans="1:34" ht="16.5">
      <c r="A971" s="728">
        <f t="shared" si="175"/>
        <v>964</v>
      </c>
      <c r="B971" s="563">
        <v>32</v>
      </c>
      <c r="C971" s="694">
        <v>39193</v>
      </c>
      <c r="D971" s="694" t="s">
        <v>147</v>
      </c>
      <c r="E971" s="695">
        <v>21</v>
      </c>
      <c r="F971" s="503">
        <v>2007</v>
      </c>
      <c r="G971" s="563" t="s">
        <v>103</v>
      </c>
      <c r="H971" s="503" t="s">
        <v>161</v>
      </c>
      <c r="I971" s="695">
        <v>700</v>
      </c>
      <c r="J971" s="695">
        <v>7.97</v>
      </c>
      <c r="K971" s="777">
        <f t="shared" si="174"/>
        <v>3.1698863636363632</v>
      </c>
      <c r="L971" s="968">
        <v>0</v>
      </c>
      <c r="M971" s="503">
        <f t="shared" si="165"/>
        <v>19</v>
      </c>
      <c r="N971" s="504">
        <v>0.83194444444444438</v>
      </c>
      <c r="O971" s="719">
        <f t="shared" si="166"/>
        <v>0.83194444444444438</v>
      </c>
      <c r="P971" s="564">
        <v>0.84166666666666667</v>
      </c>
      <c r="Q971" s="564">
        <f t="shared" si="173"/>
        <v>9.7222222222222987E-3</v>
      </c>
      <c r="R971" s="965" t="s">
        <v>1520</v>
      </c>
      <c r="S971" s="487" t="s">
        <v>414</v>
      </c>
      <c r="U971" s="29" t="str">
        <f t="shared" si="167"/>
        <v>ShermanEF0</v>
      </c>
      <c r="V971" s="29" t="str">
        <f t="shared" si="168"/>
        <v>2007EF0</v>
      </c>
      <c r="W971" s="80">
        <v>500</v>
      </c>
      <c r="X971" s="32">
        <v>5</v>
      </c>
      <c r="Y971" s="467">
        <v>2</v>
      </c>
      <c r="Z971" s="80"/>
      <c r="AA971" s="29" t="str">
        <f t="shared" si="169"/>
        <v>EF0500</v>
      </c>
      <c r="AB971" s="29" t="str">
        <f t="shared" si="170"/>
        <v>EF05</v>
      </c>
      <c r="AC971" s="29" t="str">
        <f t="shared" si="171"/>
        <v>EF02</v>
      </c>
      <c r="AD971" s="29" t="str">
        <f t="shared" si="172"/>
        <v>EF019</v>
      </c>
      <c r="AE971" s="443"/>
      <c r="AF971" s="443"/>
      <c r="AG971" s="443"/>
      <c r="AH971" s="443"/>
    </row>
    <row r="972" spans="1:34" ht="16.5">
      <c r="A972" s="728">
        <f t="shared" si="175"/>
        <v>965</v>
      </c>
      <c r="B972" s="563">
        <v>33</v>
      </c>
      <c r="C972" s="694">
        <v>39193</v>
      </c>
      <c r="D972" s="694" t="s">
        <v>147</v>
      </c>
      <c r="E972" s="695">
        <v>21</v>
      </c>
      <c r="F972" s="503">
        <v>2007</v>
      </c>
      <c r="G972" s="563" t="s">
        <v>108</v>
      </c>
      <c r="H972" s="503" t="s">
        <v>162</v>
      </c>
      <c r="I972" s="695">
        <v>704</v>
      </c>
      <c r="J972" s="695">
        <v>2</v>
      </c>
      <c r="K972" s="777">
        <f t="shared" si="174"/>
        <v>0.8</v>
      </c>
      <c r="L972" s="968">
        <v>8000</v>
      </c>
      <c r="M972" s="503">
        <f t="shared" si="165"/>
        <v>19</v>
      </c>
      <c r="N972" s="504">
        <v>0.83263888888888893</v>
      </c>
      <c r="O972" s="719">
        <f t="shared" si="166"/>
        <v>0.83263888888888893</v>
      </c>
      <c r="P972" s="564">
        <v>0.83472222222222225</v>
      </c>
      <c r="Q972" s="564">
        <f t="shared" si="173"/>
        <v>2.0833333333333259E-3</v>
      </c>
      <c r="R972" s="965" t="s">
        <v>1520</v>
      </c>
      <c r="S972" s="487" t="s">
        <v>372</v>
      </c>
      <c r="U972" s="29" t="str">
        <f t="shared" si="167"/>
        <v>MooreEF1</v>
      </c>
      <c r="V972" s="29" t="str">
        <f t="shared" si="168"/>
        <v>2007EF1</v>
      </c>
      <c r="W972" s="80">
        <v>500</v>
      </c>
      <c r="X972" s="32">
        <v>2</v>
      </c>
      <c r="Y972" s="467">
        <v>0.5</v>
      </c>
      <c r="Z972" s="80"/>
      <c r="AA972" s="29" t="str">
        <f t="shared" si="169"/>
        <v>EF1500</v>
      </c>
      <c r="AB972" s="29" t="str">
        <f t="shared" si="170"/>
        <v>EF12</v>
      </c>
      <c r="AC972" s="29" t="str">
        <f t="shared" si="171"/>
        <v>EF10.5</v>
      </c>
      <c r="AD972" s="29" t="str">
        <f t="shared" si="172"/>
        <v>EF119</v>
      </c>
      <c r="AE972" s="443"/>
      <c r="AF972" s="443"/>
      <c r="AG972" s="443"/>
      <c r="AH972" s="443"/>
    </row>
    <row r="973" spans="1:34" ht="16.5">
      <c r="A973" s="728">
        <f t="shared" si="175"/>
        <v>966</v>
      </c>
      <c r="B973" s="563">
        <v>34</v>
      </c>
      <c r="C973" s="694">
        <v>39193</v>
      </c>
      <c r="D973" s="694" t="s">
        <v>147</v>
      </c>
      <c r="E973" s="695">
        <v>21</v>
      </c>
      <c r="F973" s="503">
        <v>2007</v>
      </c>
      <c r="G973" s="563" t="s">
        <v>118</v>
      </c>
      <c r="H973" s="503" t="s">
        <v>162</v>
      </c>
      <c r="I973" s="695">
        <v>880</v>
      </c>
      <c r="J973" s="695">
        <v>10.7</v>
      </c>
      <c r="K973" s="777">
        <f t="shared" si="174"/>
        <v>5.35</v>
      </c>
      <c r="L973" s="968">
        <v>14000</v>
      </c>
      <c r="M973" s="503">
        <f t="shared" si="165"/>
        <v>20</v>
      </c>
      <c r="N973" s="504">
        <v>0.83333333333333337</v>
      </c>
      <c r="O973" s="719">
        <f t="shared" si="166"/>
        <v>0.83333333333333337</v>
      </c>
      <c r="P973" s="564">
        <v>0.84375</v>
      </c>
      <c r="Q973" s="564">
        <f t="shared" si="173"/>
        <v>1.041666666666663E-2</v>
      </c>
      <c r="R973" s="965" t="s">
        <v>1520</v>
      </c>
      <c r="S973" s="487" t="s">
        <v>81</v>
      </c>
      <c r="U973" s="29" t="str">
        <f t="shared" si="167"/>
        <v>RandallEF1</v>
      </c>
      <c r="V973" s="29" t="str">
        <f t="shared" si="168"/>
        <v>2007EF1</v>
      </c>
      <c r="W973" s="80">
        <v>500</v>
      </c>
      <c r="X973" s="32">
        <v>10</v>
      </c>
      <c r="Y973" s="467">
        <v>5</v>
      </c>
      <c r="Z973" s="80"/>
      <c r="AA973" s="29" t="str">
        <f t="shared" si="169"/>
        <v>EF1500</v>
      </c>
      <c r="AB973" s="29" t="str">
        <f t="shared" si="170"/>
        <v>EF110</v>
      </c>
      <c r="AC973" s="29" t="str">
        <f t="shared" si="171"/>
        <v>EF15</v>
      </c>
      <c r="AD973" s="29" t="str">
        <f t="shared" si="172"/>
        <v>EF120</v>
      </c>
      <c r="AE973" s="443"/>
      <c r="AF973" s="443"/>
      <c r="AG973" s="443"/>
      <c r="AH973" s="443"/>
    </row>
    <row r="974" spans="1:34" ht="25.5">
      <c r="A974" s="728">
        <f t="shared" si="175"/>
        <v>967</v>
      </c>
      <c r="B974" s="563">
        <v>35</v>
      </c>
      <c r="C974" s="694">
        <v>39193</v>
      </c>
      <c r="D974" s="694" t="s">
        <v>147</v>
      </c>
      <c r="E974" s="695">
        <v>21</v>
      </c>
      <c r="F974" s="503">
        <v>2007</v>
      </c>
      <c r="G974" s="563" t="s">
        <v>119</v>
      </c>
      <c r="H974" s="503" t="s">
        <v>160</v>
      </c>
      <c r="I974" s="695">
        <v>440</v>
      </c>
      <c r="J974" s="695">
        <v>0.5</v>
      </c>
      <c r="K974" s="777">
        <f t="shared" si="174"/>
        <v>0.125</v>
      </c>
      <c r="L974" s="968">
        <v>0</v>
      </c>
      <c r="M974" s="503">
        <f t="shared" si="165"/>
        <v>20</v>
      </c>
      <c r="N974" s="504">
        <v>0.85763888888888884</v>
      </c>
      <c r="O974" s="719">
        <f t="shared" si="166"/>
        <v>0.85763888888888884</v>
      </c>
      <c r="P974" s="564">
        <v>0.85902777777777783</v>
      </c>
      <c r="Q974" s="564">
        <f t="shared" si="173"/>
        <v>1.388888888888995E-3</v>
      </c>
      <c r="R974" s="965" t="s">
        <v>1520</v>
      </c>
      <c r="S974" s="487" t="s">
        <v>738</v>
      </c>
      <c r="U974" s="29" t="str">
        <f t="shared" si="167"/>
        <v>ArmstrongEF2</v>
      </c>
      <c r="V974" s="29" t="str">
        <f t="shared" si="168"/>
        <v>2007EF2</v>
      </c>
      <c r="W974" s="80">
        <v>200</v>
      </c>
      <c r="X974" s="32">
        <v>0.5</v>
      </c>
      <c r="Y974" s="467">
        <v>0.1</v>
      </c>
      <c r="Z974" s="80"/>
      <c r="AA974" s="29" t="str">
        <f t="shared" si="169"/>
        <v>EF2200</v>
      </c>
      <c r="AB974" s="29" t="str">
        <f t="shared" si="170"/>
        <v>EF20.5</v>
      </c>
      <c r="AC974" s="29" t="str">
        <f t="shared" si="171"/>
        <v>EF20.1</v>
      </c>
      <c r="AD974" s="29" t="str">
        <f t="shared" si="172"/>
        <v>EF220</v>
      </c>
      <c r="AE974" s="443"/>
      <c r="AF974" s="443"/>
      <c r="AG974" s="443"/>
      <c r="AH974" s="443"/>
    </row>
    <row r="975" spans="1:34" ht="25.5">
      <c r="A975" s="728">
        <f t="shared" si="175"/>
        <v>968</v>
      </c>
      <c r="B975" s="563">
        <v>36</v>
      </c>
      <c r="C975" s="694">
        <v>39193</v>
      </c>
      <c r="D975" s="694" t="s">
        <v>147</v>
      </c>
      <c r="E975" s="695">
        <v>21</v>
      </c>
      <c r="F975" s="503">
        <v>2007</v>
      </c>
      <c r="G975" s="563" t="s">
        <v>114</v>
      </c>
      <c r="H975" s="503" t="s">
        <v>160</v>
      </c>
      <c r="I975" s="695">
        <v>440</v>
      </c>
      <c r="J975" s="695">
        <v>12.38</v>
      </c>
      <c r="K975" s="777">
        <f t="shared" si="174"/>
        <v>3.0950000000000002</v>
      </c>
      <c r="L975" s="968">
        <v>72000</v>
      </c>
      <c r="M975" s="503">
        <f t="shared" si="165"/>
        <v>20</v>
      </c>
      <c r="N975" s="504">
        <v>0.85902777777777783</v>
      </c>
      <c r="O975" s="719">
        <f t="shared" si="166"/>
        <v>0.85902777777777783</v>
      </c>
      <c r="P975" s="564">
        <v>0.88194444444444453</v>
      </c>
      <c r="Q975" s="564">
        <f t="shared" si="173"/>
        <v>2.2916666666666696E-2</v>
      </c>
      <c r="R975" s="965" t="s">
        <v>1520</v>
      </c>
      <c r="S975" s="487" t="s">
        <v>739</v>
      </c>
      <c r="U975" s="29" t="str">
        <f t="shared" si="167"/>
        <v>CarsonEF2</v>
      </c>
      <c r="V975" s="29" t="str">
        <f t="shared" si="168"/>
        <v>2007EF2</v>
      </c>
      <c r="W975" s="80">
        <v>200</v>
      </c>
      <c r="X975" s="32">
        <v>10</v>
      </c>
      <c r="Y975" s="467">
        <v>2</v>
      </c>
      <c r="Z975" s="80"/>
      <c r="AA975" s="29" t="str">
        <f t="shared" si="169"/>
        <v>EF2200</v>
      </c>
      <c r="AB975" s="29" t="str">
        <f t="shared" si="170"/>
        <v>EF210</v>
      </c>
      <c r="AC975" s="29" t="str">
        <f t="shared" si="171"/>
        <v>EF22</v>
      </c>
      <c r="AD975" s="29" t="str">
        <f t="shared" si="172"/>
        <v>EF220</v>
      </c>
      <c r="AE975" s="443"/>
      <c r="AF975" s="443"/>
      <c r="AG975" s="443"/>
      <c r="AH975" s="443"/>
    </row>
    <row r="976" spans="1:34" ht="16.5">
      <c r="A976" s="728">
        <f t="shared" si="175"/>
        <v>969</v>
      </c>
      <c r="B976" s="563">
        <v>37</v>
      </c>
      <c r="C976" s="694">
        <v>39193</v>
      </c>
      <c r="D976" s="694" t="s">
        <v>147</v>
      </c>
      <c r="E976" s="695">
        <v>21</v>
      </c>
      <c r="F976" s="503">
        <v>2007</v>
      </c>
      <c r="G976" s="563" t="s">
        <v>119</v>
      </c>
      <c r="H976" s="503" t="s">
        <v>161</v>
      </c>
      <c r="I976" s="695">
        <v>50</v>
      </c>
      <c r="J976" s="695">
        <v>4.21</v>
      </c>
      <c r="K976" s="777">
        <f t="shared" si="174"/>
        <v>0.11960227272727272</v>
      </c>
      <c r="L976" s="968">
        <v>0</v>
      </c>
      <c r="M976" s="503">
        <f t="shared" si="165"/>
        <v>20</v>
      </c>
      <c r="N976" s="504">
        <v>0.86111111111111116</v>
      </c>
      <c r="O976" s="719">
        <f t="shared" si="166"/>
        <v>0.86111111111111116</v>
      </c>
      <c r="P976" s="564">
        <v>0.86458333333333337</v>
      </c>
      <c r="Q976" s="564">
        <f t="shared" si="173"/>
        <v>3.4722222222222099E-3</v>
      </c>
      <c r="R976" s="965" t="s">
        <v>1520</v>
      </c>
      <c r="S976" s="487" t="s">
        <v>82</v>
      </c>
      <c r="U976" s="29" t="str">
        <f t="shared" si="167"/>
        <v>ArmstrongEF0</v>
      </c>
      <c r="V976" s="29" t="str">
        <f t="shared" si="168"/>
        <v>2007EF0</v>
      </c>
      <c r="W976" s="80">
        <v>50</v>
      </c>
      <c r="X976" s="32">
        <v>2</v>
      </c>
      <c r="Y976" s="467">
        <v>0.1</v>
      </c>
      <c r="Z976" s="80"/>
      <c r="AA976" s="29" t="str">
        <f t="shared" si="169"/>
        <v>EF050</v>
      </c>
      <c r="AB976" s="29" t="str">
        <f t="shared" si="170"/>
        <v>EF02</v>
      </c>
      <c r="AC976" s="29" t="str">
        <f t="shared" si="171"/>
        <v>EF00.1</v>
      </c>
      <c r="AD976" s="29" t="str">
        <f t="shared" si="172"/>
        <v>EF020</v>
      </c>
      <c r="AE976" s="443"/>
      <c r="AF976" s="443"/>
      <c r="AG976" s="443"/>
      <c r="AH976" s="443"/>
    </row>
    <row r="977" spans="1:34" ht="16.5">
      <c r="A977" s="728">
        <f t="shared" si="175"/>
        <v>970</v>
      </c>
      <c r="B977" s="563">
        <v>38</v>
      </c>
      <c r="C977" s="694">
        <v>39193</v>
      </c>
      <c r="D977" s="694" t="s">
        <v>147</v>
      </c>
      <c r="E977" s="695">
        <v>21</v>
      </c>
      <c r="F977" s="503">
        <v>2007</v>
      </c>
      <c r="G977" s="563" t="s">
        <v>115</v>
      </c>
      <c r="H977" s="503" t="s">
        <v>162</v>
      </c>
      <c r="I977" s="695">
        <v>50</v>
      </c>
      <c r="J977" s="695">
        <v>12.7</v>
      </c>
      <c r="K977" s="777">
        <f t="shared" si="174"/>
        <v>0.36079545454545453</v>
      </c>
      <c r="L977" s="968">
        <v>52000</v>
      </c>
      <c r="M977" s="503">
        <f t="shared" si="165"/>
        <v>20</v>
      </c>
      <c r="N977" s="504">
        <v>0.86805555555555547</v>
      </c>
      <c r="O977" s="719">
        <f t="shared" si="166"/>
        <v>0.86805555555555547</v>
      </c>
      <c r="P977" s="564">
        <v>0.88194444444444453</v>
      </c>
      <c r="Q977" s="564">
        <f t="shared" si="173"/>
        <v>1.3888888888889062E-2</v>
      </c>
      <c r="R977" s="965" t="s">
        <v>1520</v>
      </c>
      <c r="S977" s="487" t="s">
        <v>322</v>
      </c>
      <c r="U977" s="29" t="str">
        <f t="shared" si="167"/>
        <v>GrayEF1</v>
      </c>
      <c r="V977" s="29" t="str">
        <f t="shared" si="168"/>
        <v>2007EF1</v>
      </c>
      <c r="W977" s="80">
        <v>50</v>
      </c>
      <c r="X977" s="32">
        <v>10</v>
      </c>
      <c r="Y977" s="467">
        <v>0.2</v>
      </c>
      <c r="Z977" s="80"/>
      <c r="AA977" s="29" t="str">
        <f t="shared" si="169"/>
        <v>EF150</v>
      </c>
      <c r="AB977" s="29" t="str">
        <f t="shared" si="170"/>
        <v>EF110</v>
      </c>
      <c r="AC977" s="29" t="str">
        <f t="shared" si="171"/>
        <v>EF10.2</v>
      </c>
      <c r="AD977" s="29" t="str">
        <f t="shared" si="172"/>
        <v>EF120</v>
      </c>
      <c r="AE977" s="443"/>
      <c r="AF977" s="443"/>
      <c r="AG977" s="443"/>
      <c r="AH977" s="443"/>
    </row>
    <row r="978" spans="1:34" ht="16.5">
      <c r="A978" s="728">
        <f t="shared" si="175"/>
        <v>971</v>
      </c>
      <c r="B978" s="563">
        <v>39</v>
      </c>
      <c r="C978" s="502">
        <v>39207</v>
      </c>
      <c r="D978" s="694" t="s">
        <v>148</v>
      </c>
      <c r="E978" s="695">
        <v>5</v>
      </c>
      <c r="F978" s="503">
        <v>2007</v>
      </c>
      <c r="G978" s="563" t="s">
        <v>121</v>
      </c>
      <c r="H978" s="503" t="s">
        <v>161</v>
      </c>
      <c r="I978" s="695">
        <v>100</v>
      </c>
      <c r="J978" s="695">
        <v>2.78</v>
      </c>
      <c r="K978" s="777">
        <f t="shared" si="174"/>
        <v>0.15795454545454543</v>
      </c>
      <c r="L978" s="968">
        <v>0</v>
      </c>
      <c r="M978" s="503">
        <f t="shared" si="165"/>
        <v>18</v>
      </c>
      <c r="N978" s="504">
        <v>0.76388888888888884</v>
      </c>
      <c r="O978" s="719">
        <f t="shared" si="166"/>
        <v>0.76388888888888884</v>
      </c>
      <c r="P978" s="564">
        <v>0.76597222222222217</v>
      </c>
      <c r="Q978" s="564">
        <f t="shared" si="173"/>
        <v>2.0833333333333259E-3</v>
      </c>
      <c r="R978" s="965" t="s">
        <v>1520</v>
      </c>
      <c r="S978" s="487" t="s">
        <v>35</v>
      </c>
      <c r="U978" s="29" t="str">
        <f t="shared" si="167"/>
        <v>CollingsworthEF0</v>
      </c>
      <c r="V978" s="29" t="str">
        <f t="shared" si="168"/>
        <v>2007EF0</v>
      </c>
      <c r="W978" s="80">
        <v>100</v>
      </c>
      <c r="X978" s="32">
        <v>2</v>
      </c>
      <c r="Y978" s="467">
        <v>0.1</v>
      </c>
      <c r="Z978" s="80"/>
      <c r="AA978" s="29" t="str">
        <f t="shared" si="169"/>
        <v>EF0100</v>
      </c>
      <c r="AB978" s="29" t="str">
        <f t="shared" si="170"/>
        <v>EF02</v>
      </c>
      <c r="AC978" s="29" t="str">
        <f t="shared" si="171"/>
        <v>EF00.1</v>
      </c>
      <c r="AD978" s="29" t="str">
        <f t="shared" si="172"/>
        <v>EF018</v>
      </c>
      <c r="AE978" s="443"/>
      <c r="AF978" s="443"/>
      <c r="AG978" s="443"/>
      <c r="AH978" s="443"/>
    </row>
    <row r="979" spans="1:34" ht="25.5">
      <c r="A979" s="728">
        <f t="shared" si="175"/>
        <v>972</v>
      </c>
      <c r="B979" s="563">
        <v>40</v>
      </c>
      <c r="C979" s="502">
        <v>39207</v>
      </c>
      <c r="D979" s="694" t="s">
        <v>148</v>
      </c>
      <c r="E979" s="695">
        <v>5</v>
      </c>
      <c r="F979" s="503">
        <v>2007</v>
      </c>
      <c r="G979" s="563" t="s">
        <v>121</v>
      </c>
      <c r="H979" s="503" t="s">
        <v>162</v>
      </c>
      <c r="I979" s="695">
        <v>200</v>
      </c>
      <c r="J979" s="695">
        <v>0.74</v>
      </c>
      <c r="K979" s="777">
        <f t="shared" si="174"/>
        <v>8.4090909090909091E-2</v>
      </c>
      <c r="L979" s="968">
        <v>0</v>
      </c>
      <c r="M979" s="503">
        <f t="shared" si="165"/>
        <v>18</v>
      </c>
      <c r="N979" s="504">
        <v>0.76875000000000004</v>
      </c>
      <c r="O979" s="719">
        <f t="shared" si="166"/>
        <v>0.76875000000000004</v>
      </c>
      <c r="P979" s="564">
        <v>0.76944444444444438</v>
      </c>
      <c r="Q979" s="564">
        <f t="shared" si="173"/>
        <v>6.9444444444433095E-4</v>
      </c>
      <c r="R979" s="965" t="s">
        <v>1520</v>
      </c>
      <c r="S979" s="487" t="s">
        <v>740</v>
      </c>
      <c r="U979" s="29" t="str">
        <f t="shared" si="167"/>
        <v>CollingsworthEF1</v>
      </c>
      <c r="V979" s="29" t="str">
        <f t="shared" si="168"/>
        <v>2007EF1</v>
      </c>
      <c r="W979" s="80">
        <v>200</v>
      </c>
      <c r="X979" s="32">
        <v>0.5</v>
      </c>
      <c r="Y979" s="467">
        <v>0.05</v>
      </c>
      <c r="Z979" s="80"/>
      <c r="AA979" s="29" t="str">
        <f t="shared" si="169"/>
        <v>EF1200</v>
      </c>
      <c r="AB979" s="29" t="str">
        <f t="shared" si="170"/>
        <v>EF10.5</v>
      </c>
      <c r="AC979" s="29" t="str">
        <f t="shared" si="171"/>
        <v>EF10.05</v>
      </c>
      <c r="AD979" s="29" t="str">
        <f t="shared" si="172"/>
        <v>EF118</v>
      </c>
      <c r="AE979" s="443"/>
      <c r="AF979" s="443"/>
      <c r="AG979" s="443"/>
      <c r="AH979" s="443"/>
    </row>
    <row r="980" spans="1:34" ht="25.5">
      <c r="A980" s="728">
        <f t="shared" si="175"/>
        <v>973</v>
      </c>
      <c r="B980" s="563">
        <v>41</v>
      </c>
      <c r="C980" s="502">
        <v>39207</v>
      </c>
      <c r="D980" s="694" t="s">
        <v>148</v>
      </c>
      <c r="E980" s="695">
        <v>5</v>
      </c>
      <c r="F980" s="503">
        <v>2007</v>
      </c>
      <c r="G980" s="563" t="s">
        <v>116</v>
      </c>
      <c r="H980" s="503" t="s">
        <v>162</v>
      </c>
      <c r="I980" s="695">
        <v>200</v>
      </c>
      <c r="J980" s="695">
        <v>6.25</v>
      </c>
      <c r="K980" s="777">
        <f t="shared" si="174"/>
        <v>0.71022727272727271</v>
      </c>
      <c r="L980" s="968">
        <v>0</v>
      </c>
      <c r="M980" s="503">
        <f t="shared" si="165"/>
        <v>18</v>
      </c>
      <c r="N980" s="504">
        <v>0.76944444444444438</v>
      </c>
      <c r="O980" s="719">
        <f t="shared" si="166"/>
        <v>0.76944444444444438</v>
      </c>
      <c r="P980" s="564">
        <v>0.77500000000000002</v>
      </c>
      <c r="Q980" s="564">
        <f t="shared" si="173"/>
        <v>5.5555555555556468E-3</v>
      </c>
      <c r="R980" s="965" t="s">
        <v>1520</v>
      </c>
      <c r="S980" s="487" t="s">
        <v>741</v>
      </c>
      <c r="U980" s="29" t="str">
        <f t="shared" si="167"/>
        <v>WheelerEF1</v>
      </c>
      <c r="V980" s="29" t="str">
        <f t="shared" si="168"/>
        <v>2007EF1</v>
      </c>
      <c r="W980" s="80">
        <v>200</v>
      </c>
      <c r="X980" s="32">
        <v>5</v>
      </c>
      <c r="Y980" s="467">
        <v>0.5</v>
      </c>
      <c r="Z980" s="80"/>
      <c r="AA980" s="29" t="str">
        <f t="shared" si="169"/>
        <v>EF1200</v>
      </c>
      <c r="AB980" s="29" t="str">
        <f t="shared" si="170"/>
        <v>EF15</v>
      </c>
      <c r="AC980" s="29" t="str">
        <f t="shared" si="171"/>
        <v>EF10.5</v>
      </c>
      <c r="AD980" s="29" t="str">
        <f t="shared" si="172"/>
        <v>EF118</v>
      </c>
      <c r="AE980" s="443"/>
      <c r="AF980" s="443"/>
      <c r="AG980" s="443"/>
      <c r="AH980" s="443"/>
    </row>
    <row r="981" spans="1:34" ht="16.5">
      <c r="A981" s="728">
        <f t="shared" si="175"/>
        <v>974</v>
      </c>
      <c r="B981" s="563">
        <v>42</v>
      </c>
      <c r="C981" s="502">
        <v>39207</v>
      </c>
      <c r="D981" s="694" t="s">
        <v>148</v>
      </c>
      <c r="E981" s="695">
        <v>5</v>
      </c>
      <c r="F981" s="503">
        <v>2007</v>
      </c>
      <c r="G981" s="563" t="s">
        <v>115</v>
      </c>
      <c r="H981" s="503" t="s">
        <v>161</v>
      </c>
      <c r="I981" s="695">
        <v>300</v>
      </c>
      <c r="J981" s="695">
        <v>2</v>
      </c>
      <c r="K981" s="777">
        <f t="shared" si="174"/>
        <v>0.34090909090909088</v>
      </c>
      <c r="L981" s="968">
        <v>47000</v>
      </c>
      <c r="M981" s="503">
        <f t="shared" si="165"/>
        <v>22</v>
      </c>
      <c r="N981" s="504">
        <v>0.94444444444444453</v>
      </c>
      <c r="O981" s="719">
        <f t="shared" si="166"/>
        <v>0.94444444444444453</v>
      </c>
      <c r="P981" s="564">
        <v>0.94861111111111107</v>
      </c>
      <c r="Q981" s="564">
        <f t="shared" si="173"/>
        <v>4.1666666666665408E-3</v>
      </c>
      <c r="R981" s="965" t="s">
        <v>1520</v>
      </c>
      <c r="S981" s="487" t="s">
        <v>323</v>
      </c>
      <c r="U981" s="29" t="str">
        <f t="shared" si="167"/>
        <v>GrayEF0</v>
      </c>
      <c r="V981" s="29" t="str">
        <f t="shared" si="168"/>
        <v>2007EF0</v>
      </c>
      <c r="W981" s="80">
        <v>200</v>
      </c>
      <c r="X981" s="32">
        <v>2</v>
      </c>
      <c r="Y981" s="467">
        <v>0.2</v>
      </c>
      <c r="Z981" s="80"/>
      <c r="AA981" s="29" t="str">
        <f t="shared" si="169"/>
        <v>EF0200</v>
      </c>
      <c r="AB981" s="29" t="str">
        <f t="shared" si="170"/>
        <v>EF02</v>
      </c>
      <c r="AC981" s="29" t="str">
        <f t="shared" si="171"/>
        <v>EF00.2</v>
      </c>
      <c r="AD981" s="29" t="str">
        <f t="shared" si="172"/>
        <v>EF022</v>
      </c>
      <c r="AE981" s="443"/>
      <c r="AF981" s="443"/>
      <c r="AG981" s="443"/>
      <c r="AH981" s="443"/>
    </row>
    <row r="982" spans="1:34" ht="80.099999999999994" customHeight="1">
      <c r="A982" s="728">
        <f t="shared" si="175"/>
        <v>975</v>
      </c>
      <c r="B982" s="563">
        <v>43</v>
      </c>
      <c r="C982" s="694">
        <v>39225</v>
      </c>
      <c r="D982" s="694" t="s">
        <v>148</v>
      </c>
      <c r="E982" s="695">
        <v>23</v>
      </c>
      <c r="F982" s="503">
        <v>2007</v>
      </c>
      <c r="G982" s="563" t="s">
        <v>110</v>
      </c>
      <c r="H982" s="503" t="s">
        <v>161</v>
      </c>
      <c r="I982" s="695">
        <v>25</v>
      </c>
      <c r="J982" s="695">
        <v>0.2</v>
      </c>
      <c r="K982" s="777">
        <f t="shared" si="174"/>
        <v>2.840909090909091E-3</v>
      </c>
      <c r="L982" s="968">
        <v>0</v>
      </c>
      <c r="M982" s="503">
        <f t="shared" si="165"/>
        <v>15</v>
      </c>
      <c r="N982" s="504">
        <v>0.64444444444444449</v>
      </c>
      <c r="O982" s="719">
        <f t="shared" si="166"/>
        <v>0.64444444444444449</v>
      </c>
      <c r="P982" s="564">
        <v>0.64444444444444449</v>
      </c>
      <c r="Q982" s="564">
        <f t="shared" si="173"/>
        <v>0</v>
      </c>
      <c r="R982" s="965" t="s">
        <v>1520</v>
      </c>
      <c r="S982" s="487" t="s">
        <v>1430</v>
      </c>
      <c r="U982" s="29" t="str">
        <f t="shared" si="167"/>
        <v>RobertsEF0</v>
      </c>
      <c r="V982" s="29" t="str">
        <f t="shared" si="168"/>
        <v>2007EF0</v>
      </c>
      <c r="W982" s="80">
        <v>20</v>
      </c>
      <c r="X982" s="32">
        <v>0.2</v>
      </c>
      <c r="Y982" s="467">
        <v>2E-3</v>
      </c>
      <c r="Z982" s="80"/>
      <c r="AA982" s="29" t="str">
        <f t="shared" si="169"/>
        <v>EF020</v>
      </c>
      <c r="AB982" s="29" t="str">
        <f t="shared" si="170"/>
        <v>EF00.2</v>
      </c>
      <c r="AC982" s="29" t="str">
        <f t="shared" si="171"/>
        <v>EF00.002</v>
      </c>
      <c r="AD982" s="29" t="str">
        <f t="shared" si="172"/>
        <v>EF015</v>
      </c>
      <c r="AE982" s="443"/>
      <c r="AF982" s="443"/>
      <c r="AG982" s="443"/>
      <c r="AH982" s="443"/>
    </row>
    <row r="983" spans="1:34" ht="16.5">
      <c r="A983" s="728">
        <f t="shared" si="175"/>
        <v>976</v>
      </c>
      <c r="B983" s="563">
        <v>44</v>
      </c>
      <c r="C983" s="694">
        <v>39225</v>
      </c>
      <c r="D983" s="694" t="s">
        <v>148</v>
      </c>
      <c r="E983" s="695">
        <v>23</v>
      </c>
      <c r="F983" s="503">
        <v>2007</v>
      </c>
      <c r="G983" s="563" t="s">
        <v>105</v>
      </c>
      <c r="H983" s="503" t="s">
        <v>161</v>
      </c>
      <c r="I983" s="695">
        <v>50</v>
      </c>
      <c r="J983" s="695">
        <v>1</v>
      </c>
      <c r="K983" s="777">
        <f t="shared" si="174"/>
        <v>2.8409090909090908E-2</v>
      </c>
      <c r="L983" s="968">
        <v>0</v>
      </c>
      <c r="M983" s="503">
        <f t="shared" si="165"/>
        <v>16</v>
      </c>
      <c r="N983" s="504">
        <v>0.68402777777777779</v>
      </c>
      <c r="O983" s="719">
        <f t="shared" si="166"/>
        <v>0.68402777777777779</v>
      </c>
      <c r="P983" s="564">
        <v>0.68541666666666667</v>
      </c>
      <c r="Q983" s="564">
        <f t="shared" si="173"/>
        <v>1.388888888888884E-3</v>
      </c>
      <c r="R983" s="965" t="s">
        <v>1520</v>
      </c>
      <c r="S983" s="487" t="s">
        <v>378</v>
      </c>
      <c r="U983" s="29" t="str">
        <f t="shared" si="167"/>
        <v>OchiltreeEF0</v>
      </c>
      <c r="V983" s="29" t="str">
        <f t="shared" si="168"/>
        <v>2007EF0</v>
      </c>
      <c r="W983" s="80">
        <v>50</v>
      </c>
      <c r="X983" s="32">
        <v>1</v>
      </c>
      <c r="Y983" s="467">
        <v>0.02</v>
      </c>
      <c r="Z983" s="80"/>
      <c r="AA983" s="29" t="str">
        <f t="shared" si="169"/>
        <v>EF050</v>
      </c>
      <c r="AB983" s="29" t="str">
        <f t="shared" si="170"/>
        <v>EF01</v>
      </c>
      <c r="AC983" s="29" t="str">
        <f t="shared" si="171"/>
        <v>EF00.02</v>
      </c>
      <c r="AD983" s="29" t="str">
        <f t="shared" si="172"/>
        <v>EF016</v>
      </c>
      <c r="AE983" s="443"/>
      <c r="AF983" s="443"/>
      <c r="AG983" s="443"/>
      <c r="AH983" s="443"/>
    </row>
    <row r="984" spans="1:34" ht="16.5">
      <c r="A984" s="728">
        <f t="shared" si="175"/>
        <v>977</v>
      </c>
      <c r="B984" s="563">
        <v>45</v>
      </c>
      <c r="C984" s="694">
        <v>39225</v>
      </c>
      <c r="D984" s="694" t="s">
        <v>148</v>
      </c>
      <c r="E984" s="695">
        <v>23</v>
      </c>
      <c r="F984" s="503">
        <v>2007</v>
      </c>
      <c r="G984" s="563" t="s">
        <v>105</v>
      </c>
      <c r="H984" s="503" t="s">
        <v>161</v>
      </c>
      <c r="I984" s="695">
        <v>50</v>
      </c>
      <c r="J984" s="695">
        <v>1</v>
      </c>
      <c r="K984" s="777">
        <f t="shared" si="174"/>
        <v>2.8409090909090908E-2</v>
      </c>
      <c r="L984" s="968">
        <v>0</v>
      </c>
      <c r="M984" s="503">
        <f t="shared" si="165"/>
        <v>16</v>
      </c>
      <c r="N984" s="504">
        <v>0.69374999999999998</v>
      </c>
      <c r="O984" s="719">
        <f t="shared" si="166"/>
        <v>0.69374999999999998</v>
      </c>
      <c r="P984" s="564">
        <v>0.69513888888888886</v>
      </c>
      <c r="Q984" s="564">
        <f t="shared" si="173"/>
        <v>1.388888888888884E-3</v>
      </c>
      <c r="R984" s="965" t="s">
        <v>1520</v>
      </c>
      <c r="S984" s="487" t="s">
        <v>379</v>
      </c>
      <c r="U984" s="29" t="str">
        <f t="shared" si="167"/>
        <v>OchiltreeEF0</v>
      </c>
      <c r="V984" s="29" t="str">
        <f t="shared" si="168"/>
        <v>2007EF0</v>
      </c>
      <c r="W984" s="80">
        <v>50</v>
      </c>
      <c r="X984" s="32">
        <v>1</v>
      </c>
      <c r="Y984" s="467">
        <v>0.02</v>
      </c>
      <c r="Z984" s="80"/>
      <c r="AA984" s="29" t="str">
        <f t="shared" si="169"/>
        <v>EF050</v>
      </c>
      <c r="AB984" s="29" t="str">
        <f t="shared" si="170"/>
        <v>EF01</v>
      </c>
      <c r="AC984" s="29" t="str">
        <f t="shared" si="171"/>
        <v>EF00.02</v>
      </c>
      <c r="AD984" s="29" t="str">
        <f t="shared" si="172"/>
        <v>EF016</v>
      </c>
      <c r="AE984" s="443"/>
      <c r="AF984" s="443"/>
      <c r="AG984" s="443"/>
      <c r="AH984" s="443"/>
    </row>
    <row r="985" spans="1:34" ht="16.5">
      <c r="A985" s="728">
        <f t="shared" si="175"/>
        <v>978</v>
      </c>
      <c r="B985" s="563">
        <v>46</v>
      </c>
      <c r="C985" s="694">
        <v>39225</v>
      </c>
      <c r="D985" s="694" t="s">
        <v>148</v>
      </c>
      <c r="E985" s="695">
        <v>23</v>
      </c>
      <c r="F985" s="503">
        <v>2007</v>
      </c>
      <c r="G985" s="563" t="s">
        <v>106</v>
      </c>
      <c r="H985" s="503" t="s">
        <v>161</v>
      </c>
      <c r="I985" s="695">
        <v>50</v>
      </c>
      <c r="J985" s="695">
        <v>1</v>
      </c>
      <c r="K985" s="777">
        <f t="shared" si="174"/>
        <v>2.8409090909090908E-2</v>
      </c>
      <c r="L985" s="968">
        <v>6000</v>
      </c>
      <c r="M985" s="503">
        <f t="shared" si="165"/>
        <v>16</v>
      </c>
      <c r="N985" s="504">
        <v>0.7055555555555556</v>
      </c>
      <c r="O985" s="719">
        <f t="shared" si="166"/>
        <v>0.7055555555555556</v>
      </c>
      <c r="P985" s="564">
        <v>0.70625000000000004</v>
      </c>
      <c r="Q985" s="564">
        <f t="shared" si="173"/>
        <v>6.9444444444444198E-4</v>
      </c>
      <c r="R985" s="965" t="s">
        <v>1520</v>
      </c>
      <c r="S985" s="487" t="s">
        <v>83</v>
      </c>
      <c r="U985" s="29" t="str">
        <f t="shared" si="167"/>
        <v>LipscombEF0</v>
      </c>
      <c r="V985" s="29" t="str">
        <f t="shared" si="168"/>
        <v>2007EF0</v>
      </c>
      <c r="W985" s="80">
        <v>50</v>
      </c>
      <c r="X985" s="32">
        <v>1</v>
      </c>
      <c r="Y985" s="467">
        <v>0.02</v>
      </c>
      <c r="Z985" s="80"/>
      <c r="AA985" s="29" t="str">
        <f t="shared" si="169"/>
        <v>EF050</v>
      </c>
      <c r="AB985" s="29" t="str">
        <f t="shared" si="170"/>
        <v>EF01</v>
      </c>
      <c r="AC985" s="29" t="str">
        <f t="shared" si="171"/>
        <v>EF00.02</v>
      </c>
      <c r="AD985" s="29" t="str">
        <f t="shared" si="172"/>
        <v>EF016</v>
      </c>
      <c r="AE985" s="443"/>
      <c r="AF985" s="443"/>
      <c r="AG985" s="443"/>
      <c r="AH985" s="443"/>
    </row>
    <row r="986" spans="1:34" ht="16.5">
      <c r="A986" s="728">
        <f t="shared" si="175"/>
        <v>979</v>
      </c>
      <c r="B986" s="563">
        <v>47</v>
      </c>
      <c r="C986" s="694">
        <v>39225</v>
      </c>
      <c r="D986" s="694" t="s">
        <v>148</v>
      </c>
      <c r="E986" s="695">
        <v>23</v>
      </c>
      <c r="F986" s="503">
        <v>2007</v>
      </c>
      <c r="G986" s="563" t="s">
        <v>105</v>
      </c>
      <c r="H986" s="503" t="s">
        <v>161</v>
      </c>
      <c r="I986" s="695">
        <v>50</v>
      </c>
      <c r="J986" s="695">
        <v>2</v>
      </c>
      <c r="K986" s="777">
        <f t="shared" si="174"/>
        <v>5.6818181818181816E-2</v>
      </c>
      <c r="L986" s="968">
        <v>0</v>
      </c>
      <c r="M986" s="503">
        <f t="shared" si="165"/>
        <v>17</v>
      </c>
      <c r="N986" s="504">
        <v>0.71805555555555556</v>
      </c>
      <c r="O986" s="719">
        <f t="shared" si="166"/>
        <v>0.71805555555555556</v>
      </c>
      <c r="P986" s="564">
        <v>0.71875</v>
      </c>
      <c r="Q986" s="564">
        <f t="shared" si="173"/>
        <v>6.9444444444444198E-4</v>
      </c>
      <c r="R986" s="965" t="s">
        <v>1520</v>
      </c>
      <c r="S986" s="487" t="s">
        <v>84</v>
      </c>
      <c r="U986" s="29" t="str">
        <f t="shared" si="167"/>
        <v>OchiltreeEF0</v>
      </c>
      <c r="V986" s="29" t="str">
        <f t="shared" si="168"/>
        <v>2007EF0</v>
      </c>
      <c r="W986" s="80">
        <v>50</v>
      </c>
      <c r="X986" s="32">
        <v>2</v>
      </c>
      <c r="Y986" s="467">
        <v>0.05</v>
      </c>
      <c r="Z986" s="80"/>
      <c r="AA986" s="29" t="str">
        <f t="shared" si="169"/>
        <v>EF050</v>
      </c>
      <c r="AB986" s="29" t="str">
        <f t="shared" si="170"/>
        <v>EF02</v>
      </c>
      <c r="AC986" s="29" t="str">
        <f t="shared" si="171"/>
        <v>EF00.05</v>
      </c>
      <c r="AD986" s="29" t="str">
        <f t="shared" si="172"/>
        <v>EF017</v>
      </c>
      <c r="AE986" s="443"/>
      <c r="AF986" s="443"/>
      <c r="AG986" s="443"/>
      <c r="AH986" s="443"/>
    </row>
    <row r="987" spans="1:34" ht="16.5">
      <c r="A987" s="728">
        <f t="shared" si="175"/>
        <v>980</v>
      </c>
      <c r="B987" s="563">
        <v>48</v>
      </c>
      <c r="C987" s="694">
        <v>39225</v>
      </c>
      <c r="D987" s="694" t="s">
        <v>148</v>
      </c>
      <c r="E987" s="695">
        <v>23</v>
      </c>
      <c r="F987" s="503">
        <v>2007</v>
      </c>
      <c r="G987" s="563" t="s">
        <v>105</v>
      </c>
      <c r="H987" s="503" t="s">
        <v>161</v>
      </c>
      <c r="I987" s="695">
        <v>50</v>
      </c>
      <c r="J987" s="695">
        <v>2</v>
      </c>
      <c r="K987" s="777">
        <f t="shared" si="174"/>
        <v>5.6818181818181816E-2</v>
      </c>
      <c r="L987" s="968">
        <v>0</v>
      </c>
      <c r="M987" s="503">
        <f t="shared" si="165"/>
        <v>17</v>
      </c>
      <c r="N987" s="504">
        <v>0.73611111111111116</v>
      </c>
      <c r="O987" s="719">
        <f t="shared" si="166"/>
        <v>0.73611111111111116</v>
      </c>
      <c r="P987" s="564">
        <v>0.74305555555555547</v>
      </c>
      <c r="Q987" s="564">
        <f t="shared" si="173"/>
        <v>6.9444444444443088E-3</v>
      </c>
      <c r="R987" s="965" t="s">
        <v>1520</v>
      </c>
      <c r="S987" s="487" t="s">
        <v>380</v>
      </c>
      <c r="U987" s="29" t="str">
        <f t="shared" si="167"/>
        <v>OchiltreeEF0</v>
      </c>
      <c r="V987" s="29" t="str">
        <f t="shared" si="168"/>
        <v>2007EF0</v>
      </c>
      <c r="W987" s="80">
        <v>50</v>
      </c>
      <c r="X987" s="32">
        <v>2</v>
      </c>
      <c r="Y987" s="467">
        <v>0.05</v>
      </c>
      <c r="Z987" s="80"/>
      <c r="AA987" s="29" t="str">
        <f t="shared" si="169"/>
        <v>EF050</v>
      </c>
      <c r="AB987" s="29" t="str">
        <f t="shared" si="170"/>
        <v>EF02</v>
      </c>
      <c r="AC987" s="29" t="str">
        <f t="shared" si="171"/>
        <v>EF00.05</v>
      </c>
      <c r="AD987" s="29" t="str">
        <f t="shared" si="172"/>
        <v>EF017</v>
      </c>
      <c r="AE987" s="443"/>
      <c r="AF987" s="443"/>
      <c r="AG987" s="443"/>
      <c r="AH987" s="443"/>
    </row>
    <row r="988" spans="1:34" ht="16.5">
      <c r="A988" s="728">
        <f t="shared" si="175"/>
        <v>981</v>
      </c>
      <c r="B988" s="563">
        <v>49</v>
      </c>
      <c r="C988" s="694">
        <v>39225</v>
      </c>
      <c r="D988" s="694" t="s">
        <v>148</v>
      </c>
      <c r="E988" s="695">
        <v>23</v>
      </c>
      <c r="F988" s="503">
        <v>2007</v>
      </c>
      <c r="G988" s="563" t="s">
        <v>106</v>
      </c>
      <c r="H988" s="503" t="s">
        <v>161</v>
      </c>
      <c r="I988" s="695">
        <v>50</v>
      </c>
      <c r="J988" s="695">
        <v>2</v>
      </c>
      <c r="K988" s="777">
        <f t="shared" si="174"/>
        <v>5.6818181818181816E-2</v>
      </c>
      <c r="L988" s="968">
        <v>0</v>
      </c>
      <c r="M988" s="503">
        <f t="shared" si="165"/>
        <v>18</v>
      </c>
      <c r="N988" s="504">
        <v>0.77708333333333324</v>
      </c>
      <c r="O988" s="719">
        <f t="shared" si="166"/>
        <v>0.77708333333333324</v>
      </c>
      <c r="P988" s="564">
        <v>0.78125</v>
      </c>
      <c r="Q988" s="564">
        <f t="shared" si="173"/>
        <v>4.1666666666667629E-3</v>
      </c>
      <c r="R988" s="965" t="s">
        <v>1520</v>
      </c>
      <c r="S988" s="487" t="s">
        <v>359</v>
      </c>
      <c r="U988" s="29" t="str">
        <f t="shared" si="167"/>
        <v>LipscombEF0</v>
      </c>
      <c r="V988" s="29" t="str">
        <f t="shared" si="168"/>
        <v>2007EF0</v>
      </c>
      <c r="W988" s="80">
        <v>50</v>
      </c>
      <c r="X988" s="32">
        <v>2</v>
      </c>
      <c r="Y988" s="467">
        <v>0.05</v>
      </c>
      <c r="Z988" s="80"/>
      <c r="AA988" s="29" t="str">
        <f t="shared" si="169"/>
        <v>EF050</v>
      </c>
      <c r="AB988" s="29" t="str">
        <f t="shared" si="170"/>
        <v>EF02</v>
      </c>
      <c r="AC988" s="29" t="str">
        <f t="shared" si="171"/>
        <v>EF00.05</v>
      </c>
      <c r="AD988" s="29" t="str">
        <f t="shared" si="172"/>
        <v>EF018</v>
      </c>
      <c r="AE988" s="443"/>
      <c r="AF988" s="443"/>
      <c r="AG988" s="443"/>
      <c r="AH988" s="443"/>
    </row>
    <row r="989" spans="1:34" ht="25.5">
      <c r="A989" s="728">
        <f t="shared" si="175"/>
        <v>982</v>
      </c>
      <c r="B989" s="563">
        <v>50</v>
      </c>
      <c r="C989" s="694">
        <v>39225</v>
      </c>
      <c r="D989" s="694" t="s">
        <v>148</v>
      </c>
      <c r="E989" s="695">
        <v>23</v>
      </c>
      <c r="F989" s="503">
        <v>2007</v>
      </c>
      <c r="G989" s="563" t="s">
        <v>109</v>
      </c>
      <c r="H989" s="503" t="s">
        <v>161</v>
      </c>
      <c r="I989" s="695">
        <v>25</v>
      </c>
      <c r="J989" s="695">
        <v>0.1</v>
      </c>
      <c r="K989" s="777">
        <f t="shared" si="174"/>
        <v>1.4204545454545455E-3</v>
      </c>
      <c r="L989" s="968">
        <v>0</v>
      </c>
      <c r="M989" s="503">
        <f t="shared" si="165"/>
        <v>19</v>
      </c>
      <c r="N989" s="504">
        <v>0.80208333333333337</v>
      </c>
      <c r="O989" s="719">
        <f t="shared" si="166"/>
        <v>0.80208333333333337</v>
      </c>
      <c r="P989" s="564">
        <v>0.80208333333333337</v>
      </c>
      <c r="Q989" s="564">
        <f t="shared" si="173"/>
        <v>0</v>
      </c>
      <c r="R989" s="965" t="s">
        <v>1520</v>
      </c>
      <c r="S989" s="487" t="s">
        <v>1431</v>
      </c>
      <c r="U989" s="29" t="str">
        <f t="shared" si="167"/>
        <v>HutchinsonEF0</v>
      </c>
      <c r="V989" s="29" t="str">
        <f t="shared" si="168"/>
        <v>2007EF0</v>
      </c>
      <c r="W989" s="80">
        <v>20</v>
      </c>
      <c r="X989" s="32">
        <v>0.1</v>
      </c>
      <c r="Y989" s="467">
        <v>1E-3</v>
      </c>
      <c r="Z989" s="80"/>
      <c r="AA989" s="29" t="str">
        <f t="shared" si="169"/>
        <v>EF020</v>
      </c>
      <c r="AB989" s="29" t="str">
        <f t="shared" si="170"/>
        <v>EF00.1</v>
      </c>
      <c r="AC989" s="29" t="str">
        <f t="shared" si="171"/>
        <v>EF00.001</v>
      </c>
      <c r="AD989" s="29" t="str">
        <f t="shared" si="172"/>
        <v>EF019</v>
      </c>
      <c r="AE989" s="443"/>
      <c r="AF989" s="443"/>
      <c r="AG989" s="443"/>
      <c r="AH989" s="443"/>
    </row>
    <row r="990" spans="1:34" ht="25.5">
      <c r="A990" s="728">
        <f t="shared" si="175"/>
        <v>983</v>
      </c>
      <c r="B990" s="563">
        <v>51</v>
      </c>
      <c r="C990" s="694">
        <v>39225</v>
      </c>
      <c r="D990" s="694" t="s">
        <v>148</v>
      </c>
      <c r="E990" s="695">
        <v>23</v>
      </c>
      <c r="F990" s="503">
        <v>2007</v>
      </c>
      <c r="G990" s="563" t="s">
        <v>109</v>
      </c>
      <c r="H990" s="503" t="s">
        <v>161</v>
      </c>
      <c r="I990" s="695">
        <v>50</v>
      </c>
      <c r="J990" s="695">
        <v>0.1</v>
      </c>
      <c r="K990" s="777">
        <f t="shared" si="174"/>
        <v>2.840909090909091E-3</v>
      </c>
      <c r="L990" s="968">
        <v>0</v>
      </c>
      <c r="M990" s="503">
        <f t="shared" ref="M990:M1036" si="176">HOUR(O990)</f>
        <v>19</v>
      </c>
      <c r="N990" s="504">
        <v>0.80347222222222225</v>
      </c>
      <c r="O990" s="719">
        <f t="shared" si="166"/>
        <v>0.80347222222222225</v>
      </c>
      <c r="P990" s="564">
        <v>0.80347222222222225</v>
      </c>
      <c r="Q990" s="564">
        <f t="shared" si="173"/>
        <v>0</v>
      </c>
      <c r="R990" s="965" t="s">
        <v>1520</v>
      </c>
      <c r="S990" s="487" t="s">
        <v>1432</v>
      </c>
      <c r="U990" s="29" t="str">
        <f t="shared" si="167"/>
        <v>HutchinsonEF0</v>
      </c>
      <c r="V990" s="29" t="str">
        <f t="shared" si="168"/>
        <v>2007EF0</v>
      </c>
      <c r="W990" s="80">
        <v>50</v>
      </c>
      <c r="X990" s="32">
        <v>0.1</v>
      </c>
      <c r="Y990" s="467">
        <v>2E-3</v>
      </c>
      <c r="Z990" s="80"/>
      <c r="AA990" s="29" t="str">
        <f t="shared" si="169"/>
        <v>EF050</v>
      </c>
      <c r="AB990" s="29" t="str">
        <f t="shared" si="170"/>
        <v>EF00.1</v>
      </c>
      <c r="AC990" s="29" t="str">
        <f t="shared" si="171"/>
        <v>EF00.002</v>
      </c>
      <c r="AD990" s="29" t="str">
        <f t="shared" si="172"/>
        <v>EF019</v>
      </c>
      <c r="AE990" s="443"/>
      <c r="AF990" s="443"/>
      <c r="AG990" s="443"/>
      <c r="AH990" s="443"/>
    </row>
    <row r="991" spans="1:34" ht="16.5">
      <c r="A991" s="728">
        <f t="shared" si="175"/>
        <v>984</v>
      </c>
      <c r="B991" s="563">
        <v>52</v>
      </c>
      <c r="C991" s="694">
        <v>39225</v>
      </c>
      <c r="D991" s="694" t="s">
        <v>148</v>
      </c>
      <c r="E991" s="695">
        <v>23</v>
      </c>
      <c r="F991" s="503">
        <v>2007</v>
      </c>
      <c r="G991" s="563" t="s">
        <v>110</v>
      </c>
      <c r="H991" s="503" t="s">
        <v>161</v>
      </c>
      <c r="I991" s="695">
        <v>100</v>
      </c>
      <c r="J991" s="695">
        <v>2</v>
      </c>
      <c r="K991" s="777">
        <f t="shared" si="174"/>
        <v>0.11363636363636363</v>
      </c>
      <c r="L991" s="968">
        <v>0</v>
      </c>
      <c r="M991" s="503">
        <f t="shared" si="176"/>
        <v>20</v>
      </c>
      <c r="N991" s="504">
        <v>0.85277777777777775</v>
      </c>
      <c r="O991" s="719">
        <f t="shared" si="166"/>
        <v>0.85277777777777775</v>
      </c>
      <c r="P991" s="564">
        <v>0.85555555555555562</v>
      </c>
      <c r="Q991" s="564">
        <f t="shared" si="173"/>
        <v>2.7777777777778789E-3</v>
      </c>
      <c r="R991" s="965" t="s">
        <v>1520</v>
      </c>
      <c r="S991" s="487" t="s">
        <v>409</v>
      </c>
      <c r="U991" s="29" t="str">
        <f t="shared" si="167"/>
        <v>RobertsEF0</v>
      </c>
      <c r="V991" s="29" t="str">
        <f t="shared" si="168"/>
        <v>2007EF0</v>
      </c>
      <c r="W991" s="80">
        <v>100</v>
      </c>
      <c r="X991" s="32">
        <v>2</v>
      </c>
      <c r="Y991" s="467">
        <v>0.1</v>
      </c>
      <c r="Z991" s="80"/>
      <c r="AA991" s="29" t="str">
        <f t="shared" si="169"/>
        <v>EF0100</v>
      </c>
      <c r="AB991" s="29" t="str">
        <f t="shared" si="170"/>
        <v>EF02</v>
      </c>
      <c r="AC991" s="29" t="str">
        <f t="shared" si="171"/>
        <v>EF00.1</v>
      </c>
      <c r="AD991" s="29" t="str">
        <f t="shared" si="172"/>
        <v>EF020</v>
      </c>
      <c r="AE991" s="443"/>
      <c r="AF991" s="443"/>
      <c r="AG991" s="443"/>
      <c r="AH991" s="443"/>
    </row>
    <row r="992" spans="1:34" ht="16.5">
      <c r="A992" s="728">
        <f t="shared" si="175"/>
        <v>985</v>
      </c>
      <c r="B992" s="563">
        <v>53</v>
      </c>
      <c r="C992" s="694">
        <v>39225</v>
      </c>
      <c r="D992" s="694" t="s">
        <v>148</v>
      </c>
      <c r="E992" s="695">
        <v>23</v>
      </c>
      <c r="F992" s="503">
        <v>2007</v>
      </c>
      <c r="G992" s="563" t="s">
        <v>105</v>
      </c>
      <c r="H992" s="503" t="s">
        <v>162</v>
      </c>
      <c r="I992" s="695">
        <v>880</v>
      </c>
      <c r="J992" s="695">
        <v>3</v>
      </c>
      <c r="K992" s="777">
        <f t="shared" si="174"/>
        <v>1.5</v>
      </c>
      <c r="L992" s="968">
        <v>9000</v>
      </c>
      <c r="M992" s="503">
        <f t="shared" si="176"/>
        <v>20</v>
      </c>
      <c r="N992" s="504">
        <v>0.86319444444444438</v>
      </c>
      <c r="O992" s="719">
        <f t="shared" si="166"/>
        <v>0.86319444444444438</v>
      </c>
      <c r="P992" s="564">
        <v>0.86805555555555547</v>
      </c>
      <c r="Q992" s="564">
        <f t="shared" si="173"/>
        <v>4.8611111111110938E-3</v>
      </c>
      <c r="R992" s="965" t="s">
        <v>1520</v>
      </c>
      <c r="S992" s="487" t="s">
        <v>381</v>
      </c>
      <c r="U992" s="29" t="str">
        <f t="shared" si="167"/>
        <v>OchiltreeEF1</v>
      </c>
      <c r="V992" s="29" t="str">
        <f t="shared" si="168"/>
        <v>2007EF1</v>
      </c>
      <c r="W992" s="80">
        <v>500</v>
      </c>
      <c r="X992" s="32">
        <v>2</v>
      </c>
      <c r="Y992" s="467">
        <v>1</v>
      </c>
      <c r="Z992" s="80"/>
      <c r="AA992" s="29" t="str">
        <f t="shared" si="169"/>
        <v>EF1500</v>
      </c>
      <c r="AB992" s="29" t="str">
        <f t="shared" si="170"/>
        <v>EF12</v>
      </c>
      <c r="AC992" s="29" t="str">
        <f t="shared" si="171"/>
        <v>EF11</v>
      </c>
      <c r="AD992" s="29" t="str">
        <f t="shared" si="172"/>
        <v>EF120</v>
      </c>
      <c r="AE992" s="443"/>
      <c r="AF992" s="443"/>
      <c r="AG992" s="443"/>
      <c r="AH992" s="443"/>
    </row>
    <row r="993" spans="1:34" ht="16.5">
      <c r="A993" s="728">
        <f t="shared" si="175"/>
        <v>986</v>
      </c>
      <c r="B993" s="563">
        <v>54</v>
      </c>
      <c r="C993" s="694">
        <v>39225</v>
      </c>
      <c r="D993" s="694" t="s">
        <v>148</v>
      </c>
      <c r="E993" s="695">
        <v>23</v>
      </c>
      <c r="F993" s="503">
        <v>2007</v>
      </c>
      <c r="G993" s="563" t="s">
        <v>106</v>
      </c>
      <c r="H993" s="503" t="s">
        <v>160</v>
      </c>
      <c r="I993" s="695">
        <v>440</v>
      </c>
      <c r="J993" s="695">
        <v>7</v>
      </c>
      <c r="K993" s="777">
        <f t="shared" si="174"/>
        <v>1.75</v>
      </c>
      <c r="L993" s="968">
        <v>23000</v>
      </c>
      <c r="M993" s="503">
        <f t="shared" si="176"/>
        <v>21</v>
      </c>
      <c r="N993" s="504">
        <v>0.90277777777777779</v>
      </c>
      <c r="O993" s="719">
        <f t="shared" si="166"/>
        <v>0.90277777777777779</v>
      </c>
      <c r="P993" s="564">
        <v>0.90972222222222221</v>
      </c>
      <c r="Q993" s="564">
        <f t="shared" si="173"/>
        <v>6.9444444444444198E-3</v>
      </c>
      <c r="R993" s="965" t="s">
        <v>1520</v>
      </c>
      <c r="S993" s="487" t="s">
        <v>360</v>
      </c>
      <c r="U993" s="29" t="str">
        <f t="shared" si="167"/>
        <v>LipscombEF2</v>
      </c>
      <c r="V993" s="29" t="str">
        <f t="shared" si="168"/>
        <v>2007EF2</v>
      </c>
      <c r="W993" s="80">
        <v>200</v>
      </c>
      <c r="X993" s="32">
        <v>5</v>
      </c>
      <c r="Y993" s="467">
        <v>1</v>
      </c>
      <c r="Z993" s="80"/>
      <c r="AA993" s="29" t="str">
        <f t="shared" si="169"/>
        <v>EF2200</v>
      </c>
      <c r="AB993" s="29" t="str">
        <f t="shared" si="170"/>
        <v>EF25</v>
      </c>
      <c r="AC993" s="29" t="str">
        <f t="shared" si="171"/>
        <v>EF21</v>
      </c>
      <c r="AD993" s="29" t="str">
        <f t="shared" si="172"/>
        <v>EF221</v>
      </c>
      <c r="AE993" s="443"/>
      <c r="AF993" s="443"/>
      <c r="AG993" s="443"/>
      <c r="AH993" s="443"/>
    </row>
    <row r="994" spans="1:34" ht="16.5">
      <c r="A994" s="728">
        <f t="shared" si="175"/>
        <v>987</v>
      </c>
      <c r="B994" s="563">
        <v>55</v>
      </c>
      <c r="C994" s="694">
        <v>39225</v>
      </c>
      <c r="D994" s="694" t="s">
        <v>148</v>
      </c>
      <c r="E994" s="695">
        <v>23</v>
      </c>
      <c r="F994" s="503">
        <v>2007</v>
      </c>
      <c r="G994" s="563" t="s">
        <v>106</v>
      </c>
      <c r="H994" s="503" t="s">
        <v>162</v>
      </c>
      <c r="I994" s="695">
        <v>150</v>
      </c>
      <c r="J994" s="695">
        <v>4</v>
      </c>
      <c r="K994" s="777">
        <f t="shared" si="174"/>
        <v>0.34090909090909088</v>
      </c>
      <c r="L994" s="968">
        <v>13000</v>
      </c>
      <c r="M994" s="503">
        <f t="shared" si="176"/>
        <v>21</v>
      </c>
      <c r="N994" s="504">
        <v>0.91319444444444453</v>
      </c>
      <c r="O994" s="719">
        <f t="shared" si="166"/>
        <v>0.91319444444444453</v>
      </c>
      <c r="P994" s="564">
        <v>0.92013888888888884</v>
      </c>
      <c r="Q994" s="564">
        <f t="shared" si="173"/>
        <v>6.9444444444443088E-3</v>
      </c>
      <c r="R994" s="965" t="s">
        <v>1520</v>
      </c>
      <c r="S994" s="487" t="s">
        <v>361</v>
      </c>
      <c r="U994" s="29" t="str">
        <f t="shared" si="167"/>
        <v>LipscombEF1</v>
      </c>
      <c r="V994" s="29" t="str">
        <f t="shared" si="168"/>
        <v>2007EF1</v>
      </c>
      <c r="W994" s="80">
        <v>100</v>
      </c>
      <c r="X994" s="32">
        <v>2</v>
      </c>
      <c r="Y994" s="467">
        <v>0.2</v>
      </c>
      <c r="Z994" s="80"/>
      <c r="AA994" s="29" t="str">
        <f t="shared" si="169"/>
        <v>EF1100</v>
      </c>
      <c r="AB994" s="29" t="str">
        <f t="shared" si="170"/>
        <v>EF12</v>
      </c>
      <c r="AC994" s="29" t="str">
        <f t="shared" si="171"/>
        <v>EF10.2</v>
      </c>
      <c r="AD994" s="29" t="str">
        <f t="shared" si="172"/>
        <v>EF121</v>
      </c>
      <c r="AE994" s="443"/>
      <c r="AF994" s="443"/>
      <c r="AG994" s="443"/>
      <c r="AH994" s="443"/>
    </row>
    <row r="995" spans="1:34" ht="16.5">
      <c r="A995" s="728">
        <f t="shared" si="175"/>
        <v>988</v>
      </c>
      <c r="B995" s="563">
        <v>56</v>
      </c>
      <c r="C995" s="694">
        <v>39225</v>
      </c>
      <c r="D995" s="694" t="s">
        <v>148</v>
      </c>
      <c r="E995" s="695">
        <v>23</v>
      </c>
      <c r="F995" s="503">
        <v>2007</v>
      </c>
      <c r="G995" s="563" t="s">
        <v>106</v>
      </c>
      <c r="H995" s="503" t="s">
        <v>160</v>
      </c>
      <c r="I995" s="695">
        <v>528</v>
      </c>
      <c r="J995" s="695">
        <v>8</v>
      </c>
      <c r="K995" s="777">
        <f t="shared" si="174"/>
        <v>2.4</v>
      </c>
      <c r="L995" s="968">
        <v>36000</v>
      </c>
      <c r="M995" s="503">
        <f t="shared" si="176"/>
        <v>22</v>
      </c>
      <c r="N995" s="504">
        <v>0.9243055555555556</v>
      </c>
      <c r="O995" s="719">
        <f t="shared" si="166"/>
        <v>0.9243055555555556</v>
      </c>
      <c r="P995" s="564">
        <v>0.93472222222222223</v>
      </c>
      <c r="Q995" s="564">
        <f t="shared" si="173"/>
        <v>1.041666666666663E-2</v>
      </c>
      <c r="R995" s="965" t="s">
        <v>1520</v>
      </c>
      <c r="S995" s="487" t="s">
        <v>362</v>
      </c>
      <c r="U995" s="29" t="str">
        <f t="shared" si="167"/>
        <v>LipscombEF2</v>
      </c>
      <c r="V995" s="29" t="str">
        <f t="shared" si="168"/>
        <v>2007EF2</v>
      </c>
      <c r="W995" s="80">
        <v>500</v>
      </c>
      <c r="X995" s="32">
        <v>5</v>
      </c>
      <c r="Y995" s="467">
        <v>2</v>
      </c>
      <c r="Z995" s="80"/>
      <c r="AA995" s="29" t="str">
        <f t="shared" si="169"/>
        <v>EF2500</v>
      </c>
      <c r="AB995" s="29" t="str">
        <f t="shared" si="170"/>
        <v>EF25</v>
      </c>
      <c r="AC995" s="29" t="str">
        <f t="shared" si="171"/>
        <v>EF22</v>
      </c>
      <c r="AD995" s="29" t="str">
        <f t="shared" si="172"/>
        <v>EF222</v>
      </c>
      <c r="AE995" s="443"/>
      <c r="AF995" s="443"/>
      <c r="AG995" s="443"/>
      <c r="AH995" s="443"/>
    </row>
    <row r="996" spans="1:34" ht="25.5">
      <c r="A996" s="728">
        <f t="shared" si="175"/>
        <v>989</v>
      </c>
      <c r="B996" s="563">
        <v>57</v>
      </c>
      <c r="C996" s="694">
        <v>39233</v>
      </c>
      <c r="D996" s="694" t="s">
        <v>148</v>
      </c>
      <c r="E996" s="695">
        <v>31</v>
      </c>
      <c r="F996" s="503">
        <v>2007</v>
      </c>
      <c r="G996" s="563" t="s">
        <v>99</v>
      </c>
      <c r="H996" s="503" t="s">
        <v>161</v>
      </c>
      <c r="I996" s="695">
        <v>100</v>
      </c>
      <c r="J996" s="695">
        <v>0.1</v>
      </c>
      <c r="K996" s="777">
        <f t="shared" si="174"/>
        <v>5.681818181818182E-3</v>
      </c>
      <c r="L996" s="968">
        <v>0</v>
      </c>
      <c r="M996" s="503">
        <f t="shared" si="176"/>
        <v>17</v>
      </c>
      <c r="N996" s="504">
        <v>0.74652777777777779</v>
      </c>
      <c r="O996" s="719">
        <f t="shared" si="166"/>
        <v>0.74652777777777779</v>
      </c>
      <c r="P996" s="564">
        <v>0.74652777777777779</v>
      </c>
      <c r="Q996" s="564">
        <f t="shared" si="173"/>
        <v>0</v>
      </c>
      <c r="R996" s="965" t="s">
        <v>1520</v>
      </c>
      <c r="S996" s="487" t="s">
        <v>1433</v>
      </c>
      <c r="U996" s="29" t="str">
        <f t="shared" si="167"/>
        <v>CimarronEF0</v>
      </c>
      <c r="V996" s="29" t="str">
        <f t="shared" si="168"/>
        <v>2007EF0</v>
      </c>
      <c r="W996" s="80">
        <v>100</v>
      </c>
      <c r="X996" s="32">
        <v>0.1</v>
      </c>
      <c r="Y996" s="467">
        <v>5.0000000000000001E-3</v>
      </c>
      <c r="Z996" s="80"/>
      <c r="AA996" s="29" t="str">
        <f t="shared" si="169"/>
        <v>EF0100</v>
      </c>
      <c r="AB996" s="29" t="str">
        <f t="shared" si="170"/>
        <v>EF00.1</v>
      </c>
      <c r="AC996" s="29" t="str">
        <f t="shared" si="171"/>
        <v>EF00.005</v>
      </c>
      <c r="AD996" s="29" t="str">
        <f t="shared" si="172"/>
        <v>EF017</v>
      </c>
      <c r="AE996" s="443"/>
      <c r="AF996" s="443"/>
      <c r="AG996" s="443"/>
      <c r="AH996" s="443"/>
    </row>
    <row r="997" spans="1:34" ht="16.5">
      <c r="A997" s="728">
        <f t="shared" si="175"/>
        <v>990</v>
      </c>
      <c r="B997" s="563">
        <v>58</v>
      </c>
      <c r="C997" s="694">
        <v>39233</v>
      </c>
      <c r="D997" s="694" t="s">
        <v>148</v>
      </c>
      <c r="E997" s="695">
        <v>31</v>
      </c>
      <c r="F997" s="503">
        <v>2007</v>
      </c>
      <c r="G997" s="563" t="s">
        <v>99</v>
      </c>
      <c r="H997" s="503" t="s">
        <v>161</v>
      </c>
      <c r="I997" s="695">
        <v>100</v>
      </c>
      <c r="J997" s="695">
        <v>0.3</v>
      </c>
      <c r="K997" s="777">
        <f t="shared" si="174"/>
        <v>1.7045454545454544E-2</v>
      </c>
      <c r="L997" s="968">
        <v>0</v>
      </c>
      <c r="M997" s="503">
        <f t="shared" si="176"/>
        <v>18</v>
      </c>
      <c r="N997" s="504">
        <v>0.75763888888888886</v>
      </c>
      <c r="O997" s="719">
        <f t="shared" si="166"/>
        <v>0.75763888888888886</v>
      </c>
      <c r="P997" s="564">
        <v>0.7583333333333333</v>
      </c>
      <c r="Q997" s="564">
        <f t="shared" si="173"/>
        <v>6.9444444444444198E-4</v>
      </c>
      <c r="R997" s="965" t="s">
        <v>1520</v>
      </c>
      <c r="S997" s="487" t="s">
        <v>206</v>
      </c>
      <c r="U997" s="29" t="str">
        <f t="shared" si="167"/>
        <v>CimarronEF0</v>
      </c>
      <c r="V997" s="29" t="str">
        <f t="shared" si="168"/>
        <v>2007EF0</v>
      </c>
      <c r="W997" s="80">
        <v>100</v>
      </c>
      <c r="X997" s="32">
        <v>0.2</v>
      </c>
      <c r="Y997" s="467">
        <v>0.01</v>
      </c>
      <c r="Z997" s="80"/>
      <c r="AA997" s="29" t="str">
        <f t="shared" si="169"/>
        <v>EF0100</v>
      </c>
      <c r="AB997" s="29" t="str">
        <f t="shared" si="170"/>
        <v>EF00.2</v>
      </c>
      <c r="AC997" s="29" t="str">
        <f t="shared" si="171"/>
        <v>EF00.01</v>
      </c>
      <c r="AD997" s="29" t="str">
        <f t="shared" si="172"/>
        <v>EF018</v>
      </c>
      <c r="AE997" s="443"/>
      <c r="AF997" s="443"/>
      <c r="AG997" s="443"/>
      <c r="AH997" s="443"/>
    </row>
    <row r="998" spans="1:34" ht="25.5">
      <c r="A998" s="728">
        <f t="shared" si="175"/>
        <v>991</v>
      </c>
      <c r="B998" s="563">
        <v>59</v>
      </c>
      <c r="C998" s="694">
        <v>39233</v>
      </c>
      <c r="D998" s="694" t="s">
        <v>148</v>
      </c>
      <c r="E998" s="695">
        <v>31</v>
      </c>
      <c r="F998" s="503">
        <v>2007</v>
      </c>
      <c r="G998" s="563" t="s">
        <v>100</v>
      </c>
      <c r="H998" s="503" t="s">
        <v>161</v>
      </c>
      <c r="I998" s="695">
        <v>50</v>
      </c>
      <c r="J998" s="695">
        <v>0.1</v>
      </c>
      <c r="K998" s="777">
        <f t="shared" si="174"/>
        <v>2.840909090909091E-3</v>
      </c>
      <c r="L998" s="968">
        <v>0</v>
      </c>
      <c r="M998" s="503">
        <f t="shared" si="176"/>
        <v>18</v>
      </c>
      <c r="N998" s="504">
        <v>0.77916666666666667</v>
      </c>
      <c r="O998" s="719">
        <f t="shared" si="166"/>
        <v>0.77916666666666667</v>
      </c>
      <c r="P998" s="564">
        <v>0.77916666666666667</v>
      </c>
      <c r="Q998" s="564">
        <f t="shared" si="173"/>
        <v>0</v>
      </c>
      <c r="R998" s="965" t="s">
        <v>1520</v>
      </c>
      <c r="S998" s="487" t="s">
        <v>1434</v>
      </c>
      <c r="U998" s="29" t="str">
        <f t="shared" si="167"/>
        <v>TexasEF0</v>
      </c>
      <c r="V998" s="29" t="str">
        <f t="shared" si="168"/>
        <v>2007EF0</v>
      </c>
      <c r="W998" s="80">
        <v>50</v>
      </c>
      <c r="X998" s="32">
        <v>0.1</v>
      </c>
      <c r="Y998" s="467">
        <v>2E-3</v>
      </c>
      <c r="Z998" s="80"/>
      <c r="AA998" s="29" t="str">
        <f t="shared" si="169"/>
        <v>EF050</v>
      </c>
      <c r="AB998" s="29" t="str">
        <f t="shared" si="170"/>
        <v>EF00.1</v>
      </c>
      <c r="AC998" s="29" t="str">
        <f t="shared" si="171"/>
        <v>EF00.002</v>
      </c>
      <c r="AD998" s="29" t="str">
        <f t="shared" si="172"/>
        <v>EF018</v>
      </c>
      <c r="AE998" s="443"/>
      <c r="AF998" s="443"/>
      <c r="AG998" s="443"/>
      <c r="AH998" s="443"/>
    </row>
    <row r="999" spans="1:34" ht="25.5">
      <c r="A999" s="728">
        <f t="shared" si="175"/>
        <v>992</v>
      </c>
      <c r="B999" s="563">
        <v>60</v>
      </c>
      <c r="C999" s="694">
        <v>39233</v>
      </c>
      <c r="D999" s="694" t="s">
        <v>148</v>
      </c>
      <c r="E999" s="695">
        <v>31</v>
      </c>
      <c r="F999" s="503">
        <v>2007</v>
      </c>
      <c r="G999" s="563" t="s">
        <v>100</v>
      </c>
      <c r="H999" s="503" t="s">
        <v>161</v>
      </c>
      <c r="I999" s="695">
        <v>75</v>
      </c>
      <c r="J999" s="695">
        <v>0.1</v>
      </c>
      <c r="K999" s="777">
        <f t="shared" si="174"/>
        <v>4.261363636363636E-3</v>
      </c>
      <c r="L999" s="968">
        <v>0</v>
      </c>
      <c r="M999" s="503">
        <f t="shared" si="176"/>
        <v>18</v>
      </c>
      <c r="N999" s="504">
        <v>0.78402777777777777</v>
      </c>
      <c r="O999" s="719">
        <f t="shared" si="166"/>
        <v>0.78402777777777777</v>
      </c>
      <c r="P999" s="564">
        <v>0.78402777777777777</v>
      </c>
      <c r="Q999" s="564">
        <f t="shared" si="173"/>
        <v>0</v>
      </c>
      <c r="R999" s="965" t="s">
        <v>1520</v>
      </c>
      <c r="S999" s="487" t="s">
        <v>1435</v>
      </c>
      <c r="U999" s="29" t="str">
        <f t="shared" si="167"/>
        <v>TexasEF0</v>
      </c>
      <c r="V999" s="29" t="str">
        <f t="shared" si="168"/>
        <v>2007EF0</v>
      </c>
      <c r="W999" s="80">
        <v>50</v>
      </c>
      <c r="X999" s="32">
        <v>0.1</v>
      </c>
      <c r="Y999" s="467">
        <v>2E-3</v>
      </c>
      <c r="Z999" s="80"/>
      <c r="AA999" s="29" t="str">
        <f t="shared" si="169"/>
        <v>EF050</v>
      </c>
      <c r="AB999" s="29" t="str">
        <f t="shared" si="170"/>
        <v>EF00.1</v>
      </c>
      <c r="AC999" s="29" t="str">
        <f t="shared" si="171"/>
        <v>EF00.002</v>
      </c>
      <c r="AD999" s="29" t="str">
        <f t="shared" si="172"/>
        <v>EF018</v>
      </c>
      <c r="AE999" s="443"/>
      <c r="AF999" s="443"/>
      <c r="AG999" s="443"/>
      <c r="AH999" s="443"/>
    </row>
    <row r="1000" spans="1:34" ht="16.5">
      <c r="A1000" s="728">
        <f t="shared" si="175"/>
        <v>993</v>
      </c>
      <c r="B1000" s="563">
        <v>61</v>
      </c>
      <c r="C1000" s="694">
        <v>39233</v>
      </c>
      <c r="D1000" s="694" t="s">
        <v>148</v>
      </c>
      <c r="E1000" s="695">
        <v>31</v>
      </c>
      <c r="F1000" s="503">
        <v>2007</v>
      </c>
      <c r="G1000" s="563" t="s">
        <v>100</v>
      </c>
      <c r="H1000" s="503" t="s">
        <v>161</v>
      </c>
      <c r="I1000" s="695">
        <v>150</v>
      </c>
      <c r="J1000" s="695">
        <v>0.5</v>
      </c>
      <c r="K1000" s="777">
        <f t="shared" si="174"/>
        <v>4.261363636363636E-2</v>
      </c>
      <c r="L1000" s="968">
        <v>0</v>
      </c>
      <c r="M1000" s="503">
        <f t="shared" si="176"/>
        <v>18</v>
      </c>
      <c r="N1000" s="504">
        <v>0.79027777777777775</v>
      </c>
      <c r="O1000" s="719">
        <f t="shared" si="166"/>
        <v>0.79027777777777775</v>
      </c>
      <c r="P1000" s="564">
        <v>0.79166666666666663</v>
      </c>
      <c r="Q1000" s="564">
        <f t="shared" si="173"/>
        <v>1.388888888888884E-3</v>
      </c>
      <c r="R1000" s="965" t="s">
        <v>1520</v>
      </c>
      <c r="S1000" s="487" t="s">
        <v>232</v>
      </c>
      <c r="U1000" s="29" t="str">
        <f t="shared" si="167"/>
        <v>TexasEF0</v>
      </c>
      <c r="V1000" s="29" t="str">
        <f t="shared" si="168"/>
        <v>2007EF0</v>
      </c>
      <c r="W1000" s="80">
        <v>100</v>
      </c>
      <c r="X1000" s="32">
        <v>0.5</v>
      </c>
      <c r="Y1000" s="467">
        <v>0.02</v>
      </c>
      <c r="Z1000" s="80"/>
      <c r="AA1000" s="29" t="str">
        <f t="shared" si="169"/>
        <v>EF0100</v>
      </c>
      <c r="AB1000" s="29" t="str">
        <f t="shared" si="170"/>
        <v>EF00.5</v>
      </c>
      <c r="AC1000" s="29" t="str">
        <f t="shared" si="171"/>
        <v>EF00.02</v>
      </c>
      <c r="AD1000" s="29" t="str">
        <f t="shared" si="172"/>
        <v>EF018</v>
      </c>
      <c r="AE1000" s="443"/>
      <c r="AF1000" s="443"/>
      <c r="AG1000" s="443"/>
      <c r="AH1000" s="443"/>
    </row>
    <row r="1001" spans="1:34" ht="16.5">
      <c r="A1001" s="728">
        <f t="shared" si="175"/>
        <v>994</v>
      </c>
      <c r="B1001" s="563">
        <v>62</v>
      </c>
      <c r="C1001" s="694">
        <v>39233</v>
      </c>
      <c r="D1001" s="694" t="s">
        <v>148</v>
      </c>
      <c r="E1001" s="695">
        <v>31</v>
      </c>
      <c r="F1001" s="503">
        <v>2007</v>
      </c>
      <c r="G1001" s="563" t="s">
        <v>100</v>
      </c>
      <c r="H1001" s="503" t="s">
        <v>162</v>
      </c>
      <c r="I1001" s="695">
        <v>300</v>
      </c>
      <c r="J1001" s="695">
        <v>5.27</v>
      </c>
      <c r="K1001" s="777">
        <f t="shared" si="174"/>
        <v>0.89829545454545445</v>
      </c>
      <c r="L1001" s="968">
        <v>18000</v>
      </c>
      <c r="M1001" s="503">
        <f t="shared" si="176"/>
        <v>19</v>
      </c>
      <c r="N1001" s="504">
        <v>0.79583333333333339</v>
      </c>
      <c r="O1001" s="719">
        <f t="shared" si="166"/>
        <v>0.79583333333333339</v>
      </c>
      <c r="P1001" s="564">
        <v>0.80347222222222225</v>
      </c>
      <c r="Q1001" s="564">
        <f t="shared" si="173"/>
        <v>7.6388888888888618E-3</v>
      </c>
      <c r="R1001" s="965" t="s">
        <v>1520</v>
      </c>
      <c r="S1001" s="487" t="s">
        <v>233</v>
      </c>
      <c r="U1001" s="29" t="str">
        <f t="shared" si="167"/>
        <v>TexasEF1</v>
      </c>
      <c r="V1001" s="29" t="str">
        <f t="shared" si="168"/>
        <v>2007EF1</v>
      </c>
      <c r="W1001" s="80">
        <v>200</v>
      </c>
      <c r="X1001" s="32">
        <v>5</v>
      </c>
      <c r="Y1001" s="467">
        <v>0.5</v>
      </c>
      <c r="Z1001" s="80"/>
      <c r="AA1001" s="29" t="str">
        <f t="shared" si="169"/>
        <v>EF1200</v>
      </c>
      <c r="AB1001" s="29" t="str">
        <f t="shared" si="170"/>
        <v>EF15</v>
      </c>
      <c r="AC1001" s="29" t="str">
        <f t="shared" si="171"/>
        <v>EF10.5</v>
      </c>
      <c r="AD1001" s="29" t="str">
        <f t="shared" si="172"/>
        <v>EF119</v>
      </c>
      <c r="AE1001" s="443"/>
      <c r="AF1001" s="443"/>
      <c r="AG1001" s="443"/>
      <c r="AH1001" s="443"/>
    </row>
    <row r="1002" spans="1:34" ht="16.5">
      <c r="A1002" s="728">
        <f t="shared" si="175"/>
        <v>995</v>
      </c>
      <c r="B1002" s="563">
        <v>63</v>
      </c>
      <c r="C1002" s="694">
        <v>39233</v>
      </c>
      <c r="D1002" s="694" t="s">
        <v>148</v>
      </c>
      <c r="E1002" s="695">
        <v>31</v>
      </c>
      <c r="F1002" s="503">
        <v>2007</v>
      </c>
      <c r="G1002" s="563" t="s">
        <v>100</v>
      </c>
      <c r="H1002" s="503" t="s">
        <v>161</v>
      </c>
      <c r="I1002" s="695">
        <v>75</v>
      </c>
      <c r="J1002" s="695">
        <v>0.1</v>
      </c>
      <c r="K1002" s="777">
        <f t="shared" si="174"/>
        <v>4.261363636363636E-3</v>
      </c>
      <c r="L1002" s="968">
        <v>0</v>
      </c>
      <c r="M1002" s="503">
        <f t="shared" si="176"/>
        <v>19</v>
      </c>
      <c r="N1002" s="504">
        <v>0.80833333333333324</v>
      </c>
      <c r="O1002" s="719">
        <f t="shared" si="166"/>
        <v>0.80833333333333324</v>
      </c>
      <c r="P1002" s="564">
        <v>0.80902777777777779</v>
      </c>
      <c r="Q1002" s="564">
        <f t="shared" si="173"/>
        <v>6.94444444444553E-4</v>
      </c>
      <c r="R1002" s="965" t="s">
        <v>1520</v>
      </c>
      <c r="S1002" s="487" t="s">
        <v>234</v>
      </c>
      <c r="U1002" s="29" t="str">
        <f t="shared" si="167"/>
        <v>TexasEF0</v>
      </c>
      <c r="V1002" s="29" t="str">
        <f t="shared" si="168"/>
        <v>2007EF0</v>
      </c>
      <c r="W1002" s="80">
        <v>50</v>
      </c>
      <c r="X1002" s="32">
        <v>0.1</v>
      </c>
      <c r="Y1002" s="467">
        <v>2E-3</v>
      </c>
      <c r="Z1002" s="80"/>
      <c r="AA1002" s="29" t="str">
        <f t="shared" si="169"/>
        <v>EF050</v>
      </c>
      <c r="AB1002" s="29" t="str">
        <f t="shared" si="170"/>
        <v>EF00.1</v>
      </c>
      <c r="AC1002" s="29" t="str">
        <f t="shared" si="171"/>
        <v>EF00.002</v>
      </c>
      <c r="AD1002" s="29" t="str">
        <f t="shared" si="172"/>
        <v>EF019</v>
      </c>
      <c r="AE1002" s="443"/>
      <c r="AF1002" s="443"/>
      <c r="AG1002" s="443"/>
      <c r="AH1002" s="443"/>
    </row>
    <row r="1003" spans="1:34" ht="16.5">
      <c r="A1003" s="728">
        <f t="shared" si="175"/>
        <v>996</v>
      </c>
      <c r="B1003" s="563">
        <v>64</v>
      </c>
      <c r="C1003" s="694">
        <v>39252</v>
      </c>
      <c r="D1003" s="694" t="s">
        <v>149</v>
      </c>
      <c r="E1003" s="695">
        <v>19</v>
      </c>
      <c r="F1003" s="503">
        <v>2007</v>
      </c>
      <c r="G1003" s="563" t="s">
        <v>100</v>
      </c>
      <c r="H1003" s="503" t="s">
        <v>161</v>
      </c>
      <c r="I1003" s="695">
        <v>50</v>
      </c>
      <c r="J1003" s="695">
        <v>2.2400000000000002</v>
      </c>
      <c r="K1003" s="777">
        <f t="shared" si="174"/>
        <v>6.3636363636363644E-2</v>
      </c>
      <c r="L1003" s="968">
        <v>0</v>
      </c>
      <c r="M1003" s="503">
        <f t="shared" si="176"/>
        <v>20</v>
      </c>
      <c r="N1003" s="504">
        <v>0.85972222222222217</v>
      </c>
      <c r="O1003" s="719">
        <f t="shared" si="166"/>
        <v>0.85972222222222217</v>
      </c>
      <c r="P1003" s="564">
        <v>0.86458333333333337</v>
      </c>
      <c r="Q1003" s="564">
        <f t="shared" si="173"/>
        <v>4.8611111111112049E-3</v>
      </c>
      <c r="R1003" s="965" t="s">
        <v>1520</v>
      </c>
      <c r="S1003" s="487" t="s">
        <v>235</v>
      </c>
      <c r="U1003" s="29" t="str">
        <f t="shared" si="167"/>
        <v>TexasEF0</v>
      </c>
      <c r="V1003" s="29" t="str">
        <f t="shared" si="168"/>
        <v>2007EF0</v>
      </c>
      <c r="W1003" s="80">
        <v>50</v>
      </c>
      <c r="X1003" s="32">
        <v>2</v>
      </c>
      <c r="Y1003" s="467">
        <v>0.05</v>
      </c>
      <c r="Z1003" s="80"/>
      <c r="AA1003" s="29" t="str">
        <f t="shared" si="169"/>
        <v>EF050</v>
      </c>
      <c r="AB1003" s="29" t="str">
        <f t="shared" si="170"/>
        <v>EF02</v>
      </c>
      <c r="AC1003" s="29" t="str">
        <f t="shared" si="171"/>
        <v>EF00.05</v>
      </c>
      <c r="AD1003" s="29" t="str">
        <f t="shared" si="172"/>
        <v>EF020</v>
      </c>
      <c r="AE1003" s="443"/>
      <c r="AF1003" s="443"/>
      <c r="AG1003" s="443"/>
      <c r="AH1003" s="443"/>
    </row>
    <row r="1004" spans="1:34" ht="16.5">
      <c r="A1004" s="728">
        <f t="shared" si="175"/>
        <v>997</v>
      </c>
      <c r="B1004" s="563">
        <v>65</v>
      </c>
      <c r="C1004" s="694">
        <v>39371</v>
      </c>
      <c r="D1004" s="694" t="s">
        <v>153</v>
      </c>
      <c r="E1004" s="695">
        <v>16</v>
      </c>
      <c r="F1004" s="503">
        <v>2007</v>
      </c>
      <c r="G1004" s="563" t="s">
        <v>118</v>
      </c>
      <c r="H1004" s="503" t="s">
        <v>162</v>
      </c>
      <c r="I1004" s="695">
        <v>300</v>
      </c>
      <c r="J1004" s="695">
        <v>11.46</v>
      </c>
      <c r="K1004" s="777">
        <f t="shared" si="174"/>
        <v>1.9534090909090909</v>
      </c>
      <c r="L1004" s="968">
        <v>90000</v>
      </c>
      <c r="M1004" s="503">
        <f t="shared" si="176"/>
        <v>23</v>
      </c>
      <c r="N1004" s="504">
        <v>0.96944444444444444</v>
      </c>
      <c r="O1004" s="719">
        <f t="shared" si="166"/>
        <v>0.96944444444444444</v>
      </c>
      <c r="P1004" s="564">
        <v>0.98263888888888884</v>
      </c>
      <c r="Q1004" s="564">
        <f t="shared" si="173"/>
        <v>1.3194444444444398E-2</v>
      </c>
      <c r="R1004" s="965" t="s">
        <v>1520</v>
      </c>
      <c r="S1004" s="487" t="s">
        <v>437</v>
      </c>
      <c r="U1004" s="29" t="str">
        <f t="shared" si="167"/>
        <v>RandallEF1</v>
      </c>
      <c r="V1004" s="29" t="str">
        <f t="shared" si="168"/>
        <v>2007EF1</v>
      </c>
      <c r="W1004" s="80">
        <v>200</v>
      </c>
      <c r="X1004" s="32">
        <v>10</v>
      </c>
      <c r="Y1004" s="467">
        <v>1</v>
      </c>
      <c r="Z1004" s="80"/>
      <c r="AA1004" s="29" t="str">
        <f t="shared" si="169"/>
        <v>EF1200</v>
      </c>
      <c r="AB1004" s="29" t="str">
        <f t="shared" si="170"/>
        <v>EF110</v>
      </c>
      <c r="AC1004" s="29" t="str">
        <f t="shared" si="171"/>
        <v>EF11</v>
      </c>
      <c r="AD1004" s="29" t="str">
        <f t="shared" si="172"/>
        <v>EF123</v>
      </c>
      <c r="AE1004" s="443"/>
      <c r="AF1004" s="443"/>
      <c r="AG1004" s="443"/>
      <c r="AH1004" s="443"/>
    </row>
    <row r="1005" spans="1:34" ht="16.5">
      <c r="A1005" s="728">
        <f t="shared" si="175"/>
        <v>998</v>
      </c>
      <c r="B1005" s="563">
        <v>1</v>
      </c>
      <c r="C1005" s="694">
        <v>39564</v>
      </c>
      <c r="D1005" s="694" t="s">
        <v>147</v>
      </c>
      <c r="E1005" s="695">
        <v>26</v>
      </c>
      <c r="F1005" s="503">
        <v>2008</v>
      </c>
      <c r="G1005" s="563" t="s">
        <v>105</v>
      </c>
      <c r="H1005" s="503" t="s">
        <v>161</v>
      </c>
      <c r="I1005" s="695">
        <v>20</v>
      </c>
      <c r="J1005" s="695">
        <v>0.1</v>
      </c>
      <c r="K1005" s="777">
        <f t="shared" si="174"/>
        <v>1.1363636363636365E-3</v>
      </c>
      <c r="L1005" s="968">
        <v>0</v>
      </c>
      <c r="M1005" s="503">
        <f t="shared" si="176"/>
        <v>13</v>
      </c>
      <c r="N1005" s="504">
        <v>0.5625</v>
      </c>
      <c r="O1005" s="719">
        <f t="shared" si="166"/>
        <v>0.5625</v>
      </c>
      <c r="P1005" s="564">
        <v>0.56597222222222221</v>
      </c>
      <c r="Q1005" s="564">
        <f t="shared" si="173"/>
        <v>3.4722222222222099E-3</v>
      </c>
      <c r="R1005" s="965" t="s">
        <v>1520</v>
      </c>
      <c r="S1005" s="487" t="s">
        <v>382</v>
      </c>
      <c r="U1005" s="29" t="str">
        <f t="shared" si="167"/>
        <v>OchiltreeEF0</v>
      </c>
      <c r="V1005" s="29" t="str">
        <f t="shared" si="168"/>
        <v>2008EF0</v>
      </c>
      <c r="W1005" s="80">
        <v>20</v>
      </c>
      <c r="X1005" s="32">
        <v>0.1</v>
      </c>
      <c r="Y1005" s="467">
        <v>1E-3</v>
      </c>
      <c r="Z1005" s="80"/>
      <c r="AA1005" s="29" t="str">
        <f t="shared" si="169"/>
        <v>EF020</v>
      </c>
      <c r="AB1005" s="29" t="str">
        <f t="shared" si="170"/>
        <v>EF00.1</v>
      </c>
      <c r="AC1005" s="29" t="str">
        <f t="shared" si="171"/>
        <v>EF00.001</v>
      </c>
      <c r="AD1005" s="29" t="str">
        <f t="shared" si="172"/>
        <v>EF013</v>
      </c>
      <c r="AE1005" s="443"/>
      <c r="AF1005" s="443"/>
      <c r="AG1005" s="443"/>
      <c r="AH1005" s="443"/>
    </row>
    <row r="1006" spans="1:34" ht="16.5">
      <c r="A1006" s="728">
        <f t="shared" si="175"/>
        <v>999</v>
      </c>
      <c r="B1006" s="563">
        <v>2</v>
      </c>
      <c r="C1006" s="694">
        <v>39593</v>
      </c>
      <c r="D1006" s="694" t="s">
        <v>148</v>
      </c>
      <c r="E1006" s="695">
        <v>25</v>
      </c>
      <c r="F1006" s="503">
        <v>2008</v>
      </c>
      <c r="G1006" s="563" t="s">
        <v>107</v>
      </c>
      <c r="H1006" s="503" t="s">
        <v>161</v>
      </c>
      <c r="I1006" s="695">
        <v>50</v>
      </c>
      <c r="J1006" s="695">
        <v>1.73</v>
      </c>
      <c r="K1006" s="777">
        <f t="shared" si="174"/>
        <v>4.9147727272727273E-2</v>
      </c>
      <c r="L1006" s="968">
        <v>0</v>
      </c>
      <c r="M1006" s="503">
        <f t="shared" si="176"/>
        <v>14</v>
      </c>
      <c r="N1006" s="504">
        <v>0.60347222222222219</v>
      </c>
      <c r="O1006" s="719">
        <f t="shared" si="166"/>
        <v>0.60347222222222219</v>
      </c>
      <c r="P1006" s="564">
        <v>0.60763888888888895</v>
      </c>
      <c r="Q1006" s="564">
        <f t="shared" si="173"/>
        <v>4.1666666666667629E-3</v>
      </c>
      <c r="R1006" s="965" t="s">
        <v>1520</v>
      </c>
      <c r="S1006" s="494" t="s">
        <v>177</v>
      </c>
      <c r="U1006" s="29" t="str">
        <f t="shared" si="167"/>
        <v>HartleyEF0</v>
      </c>
      <c r="V1006" s="29" t="str">
        <f t="shared" si="168"/>
        <v>2008EF0</v>
      </c>
      <c r="W1006" s="80">
        <v>50</v>
      </c>
      <c r="X1006" s="32">
        <v>1</v>
      </c>
      <c r="Y1006" s="467">
        <v>0.02</v>
      </c>
      <c r="Z1006" s="80"/>
      <c r="AA1006" s="29" t="str">
        <f t="shared" si="169"/>
        <v>EF050</v>
      </c>
      <c r="AB1006" s="29" t="str">
        <f t="shared" si="170"/>
        <v>EF01</v>
      </c>
      <c r="AC1006" s="29" t="str">
        <f t="shared" si="171"/>
        <v>EF00.02</v>
      </c>
      <c r="AD1006" s="29" t="str">
        <f t="shared" si="172"/>
        <v>EF014</v>
      </c>
      <c r="AE1006" s="443"/>
      <c r="AF1006" s="443"/>
      <c r="AG1006" s="443"/>
      <c r="AH1006" s="443"/>
    </row>
    <row r="1007" spans="1:34" ht="25.5">
      <c r="A1007" s="728">
        <f t="shared" si="175"/>
        <v>1000</v>
      </c>
      <c r="B1007" s="563">
        <v>3</v>
      </c>
      <c r="C1007" s="694">
        <v>39593</v>
      </c>
      <c r="D1007" s="694" t="s">
        <v>148</v>
      </c>
      <c r="E1007" s="695">
        <v>25</v>
      </c>
      <c r="F1007" s="503">
        <v>2008</v>
      </c>
      <c r="G1007" s="563" t="s">
        <v>107</v>
      </c>
      <c r="H1007" s="503" t="s">
        <v>161</v>
      </c>
      <c r="I1007" s="695">
        <v>75</v>
      </c>
      <c r="J1007" s="695">
        <v>5.31</v>
      </c>
      <c r="K1007" s="777">
        <f t="shared" si="174"/>
        <v>0.22627840909090904</v>
      </c>
      <c r="L1007" s="968">
        <v>0</v>
      </c>
      <c r="M1007" s="503">
        <f t="shared" si="176"/>
        <v>14</v>
      </c>
      <c r="N1007" s="504">
        <v>0.60902777777777783</v>
      </c>
      <c r="O1007" s="719">
        <f t="shared" si="166"/>
        <v>0.60902777777777783</v>
      </c>
      <c r="P1007" s="564">
        <v>0.61388888888888882</v>
      </c>
      <c r="Q1007" s="564">
        <f t="shared" si="173"/>
        <v>4.8611111111109828E-3</v>
      </c>
      <c r="R1007" s="965" t="s">
        <v>1520</v>
      </c>
      <c r="S1007" s="494" t="s">
        <v>742</v>
      </c>
      <c r="U1007" s="29" t="str">
        <f t="shared" si="167"/>
        <v>HartleyEF0</v>
      </c>
      <c r="V1007" s="29" t="str">
        <f t="shared" si="168"/>
        <v>2008EF0</v>
      </c>
      <c r="W1007" s="80">
        <v>50</v>
      </c>
      <c r="X1007" s="32">
        <v>5</v>
      </c>
      <c r="Y1007" s="467">
        <v>0.2</v>
      </c>
      <c r="Z1007" s="80"/>
      <c r="AA1007" s="29" t="str">
        <f t="shared" si="169"/>
        <v>EF050</v>
      </c>
      <c r="AB1007" s="29" t="str">
        <f t="shared" si="170"/>
        <v>EF05</v>
      </c>
      <c r="AC1007" s="29" t="str">
        <f t="shared" si="171"/>
        <v>EF00.2</v>
      </c>
      <c r="AD1007" s="29" t="str">
        <f t="shared" si="172"/>
        <v>EF014</v>
      </c>
      <c r="AE1007" s="443"/>
      <c r="AF1007" s="443"/>
      <c r="AG1007" s="443"/>
      <c r="AH1007" s="443"/>
    </row>
    <row r="1008" spans="1:34" ht="25.5">
      <c r="A1008" s="728">
        <f t="shared" si="175"/>
        <v>1001</v>
      </c>
      <c r="B1008" s="563">
        <v>4</v>
      </c>
      <c r="C1008" s="694">
        <v>39593</v>
      </c>
      <c r="D1008" s="694" t="s">
        <v>148</v>
      </c>
      <c r="E1008" s="695">
        <v>25</v>
      </c>
      <c r="F1008" s="503">
        <v>2008</v>
      </c>
      <c r="G1008" s="563" t="s">
        <v>108</v>
      </c>
      <c r="H1008" s="503" t="s">
        <v>161</v>
      </c>
      <c r="I1008" s="695">
        <v>75</v>
      </c>
      <c r="J1008" s="695">
        <v>2.34</v>
      </c>
      <c r="K1008" s="777">
        <f t="shared" si="174"/>
        <v>9.9715909090909077E-2</v>
      </c>
      <c r="L1008" s="968">
        <v>0</v>
      </c>
      <c r="M1008" s="503">
        <f t="shared" si="176"/>
        <v>14</v>
      </c>
      <c r="N1008" s="504">
        <v>0.61388888888888882</v>
      </c>
      <c r="O1008" s="719">
        <f t="shared" si="166"/>
        <v>0.61388888888888882</v>
      </c>
      <c r="P1008" s="564">
        <v>0.61736111111111114</v>
      </c>
      <c r="Q1008" s="564">
        <f t="shared" si="173"/>
        <v>3.4722222222223209E-3</v>
      </c>
      <c r="R1008" s="965" t="s">
        <v>1520</v>
      </c>
      <c r="S1008" s="494" t="s">
        <v>743</v>
      </c>
      <c r="U1008" s="29" t="str">
        <f t="shared" si="167"/>
        <v>MooreEF0</v>
      </c>
      <c r="V1008" s="29" t="str">
        <f t="shared" si="168"/>
        <v>2008EF0</v>
      </c>
      <c r="W1008" s="80">
        <v>50</v>
      </c>
      <c r="X1008" s="32">
        <v>2</v>
      </c>
      <c r="Y1008" s="467">
        <v>0.05</v>
      </c>
      <c r="Z1008" s="80"/>
      <c r="AA1008" s="29" t="str">
        <f t="shared" si="169"/>
        <v>EF050</v>
      </c>
      <c r="AB1008" s="29" t="str">
        <f t="shared" si="170"/>
        <v>EF02</v>
      </c>
      <c r="AC1008" s="29" t="str">
        <f t="shared" si="171"/>
        <v>EF00.05</v>
      </c>
      <c r="AD1008" s="29" t="str">
        <f t="shared" si="172"/>
        <v>EF014</v>
      </c>
      <c r="AE1008" s="443"/>
      <c r="AF1008" s="443"/>
      <c r="AG1008" s="443"/>
      <c r="AH1008" s="443"/>
    </row>
    <row r="1009" spans="1:34" ht="16.5">
      <c r="A1009" s="728">
        <f t="shared" si="175"/>
        <v>1002</v>
      </c>
      <c r="B1009" s="563">
        <v>5</v>
      </c>
      <c r="C1009" s="694">
        <v>39593</v>
      </c>
      <c r="D1009" s="694" t="s">
        <v>148</v>
      </c>
      <c r="E1009" s="695">
        <v>25</v>
      </c>
      <c r="F1009" s="503">
        <v>2008</v>
      </c>
      <c r="G1009" s="563" t="s">
        <v>109</v>
      </c>
      <c r="H1009" s="503" t="s">
        <v>161</v>
      </c>
      <c r="I1009" s="695">
        <v>50</v>
      </c>
      <c r="J1009" s="695">
        <v>0.5</v>
      </c>
      <c r="K1009" s="777">
        <f t="shared" si="174"/>
        <v>1.4204545454545454E-2</v>
      </c>
      <c r="L1009" s="968">
        <v>0</v>
      </c>
      <c r="M1009" s="503">
        <f t="shared" si="176"/>
        <v>15</v>
      </c>
      <c r="N1009" s="504">
        <v>0.66180555555555554</v>
      </c>
      <c r="O1009" s="719">
        <f t="shared" si="166"/>
        <v>0.66180555555555554</v>
      </c>
      <c r="P1009" s="564">
        <v>0.66249999999999998</v>
      </c>
      <c r="Q1009" s="564">
        <f t="shared" si="173"/>
        <v>6.9444444444444198E-4</v>
      </c>
      <c r="R1009" s="965" t="s">
        <v>1520</v>
      </c>
      <c r="S1009" s="494" t="s">
        <v>176</v>
      </c>
      <c r="U1009" s="29" t="str">
        <f t="shared" si="167"/>
        <v>HutchinsonEF0</v>
      </c>
      <c r="V1009" s="29" t="str">
        <f t="shared" si="168"/>
        <v>2008EF0</v>
      </c>
      <c r="W1009" s="80">
        <v>50</v>
      </c>
      <c r="X1009" s="32">
        <v>0.5</v>
      </c>
      <c r="Y1009" s="467">
        <v>0.01</v>
      </c>
      <c r="Z1009" s="80"/>
      <c r="AA1009" s="29" t="str">
        <f t="shared" si="169"/>
        <v>EF050</v>
      </c>
      <c r="AB1009" s="29" t="str">
        <f t="shared" si="170"/>
        <v>EF00.5</v>
      </c>
      <c r="AC1009" s="29" t="str">
        <f t="shared" si="171"/>
        <v>EF00.01</v>
      </c>
      <c r="AD1009" s="29" t="str">
        <f t="shared" si="172"/>
        <v>EF015</v>
      </c>
      <c r="AE1009" s="443"/>
      <c r="AF1009" s="443"/>
      <c r="AG1009" s="443"/>
      <c r="AH1009" s="443"/>
    </row>
    <row r="1010" spans="1:34" ht="16.5">
      <c r="A1010" s="728">
        <f t="shared" si="175"/>
        <v>1003</v>
      </c>
      <c r="B1010" s="563">
        <v>6</v>
      </c>
      <c r="C1010" s="694">
        <v>39594</v>
      </c>
      <c r="D1010" s="694" t="s">
        <v>148</v>
      </c>
      <c r="E1010" s="695">
        <v>26</v>
      </c>
      <c r="F1010" s="503">
        <v>2008</v>
      </c>
      <c r="G1010" s="563" t="s">
        <v>121</v>
      </c>
      <c r="H1010" s="503" t="s">
        <v>161</v>
      </c>
      <c r="I1010" s="695">
        <v>25</v>
      </c>
      <c r="J1010" s="695">
        <v>0.05</v>
      </c>
      <c r="K1010" s="777">
        <f t="shared" si="174"/>
        <v>7.1022727272727275E-4</v>
      </c>
      <c r="L1010" s="968">
        <v>0</v>
      </c>
      <c r="M1010" s="503">
        <f t="shared" si="176"/>
        <v>17</v>
      </c>
      <c r="N1010" s="504">
        <v>0.72638888888888886</v>
      </c>
      <c r="O1010" s="719">
        <f t="shared" si="166"/>
        <v>0.72638888888888886</v>
      </c>
      <c r="P1010" s="564">
        <v>0.7270833333333333</v>
      </c>
      <c r="Q1010" s="564">
        <f t="shared" si="173"/>
        <v>6.9444444444444198E-4</v>
      </c>
      <c r="R1010" s="965" t="s">
        <v>1520</v>
      </c>
      <c r="S1010" s="494" t="s">
        <v>178</v>
      </c>
      <c r="U1010" s="29" t="str">
        <f t="shared" si="167"/>
        <v>CollingsworthEF0</v>
      </c>
      <c r="V1010" s="29" t="str">
        <f t="shared" si="168"/>
        <v>2008EF0</v>
      </c>
      <c r="W1010" s="80">
        <v>20</v>
      </c>
      <c r="X1010" s="32">
        <v>0.05</v>
      </c>
      <c r="Y1010" s="467">
        <v>5.0000000000000001E-4</v>
      </c>
      <c r="Z1010" s="80"/>
      <c r="AA1010" s="29" t="str">
        <f t="shared" si="169"/>
        <v>EF020</v>
      </c>
      <c r="AB1010" s="29" t="str">
        <f t="shared" si="170"/>
        <v>EF00.05</v>
      </c>
      <c r="AC1010" s="29" t="str">
        <f t="shared" si="171"/>
        <v>EF00.0005</v>
      </c>
      <c r="AD1010" s="29" t="str">
        <f t="shared" si="172"/>
        <v>EF017</v>
      </c>
      <c r="AE1010" s="443"/>
      <c r="AF1010" s="443"/>
      <c r="AG1010" s="443"/>
      <c r="AH1010" s="443"/>
    </row>
    <row r="1011" spans="1:34" ht="16.5">
      <c r="A1011" s="728">
        <f t="shared" si="175"/>
        <v>1004</v>
      </c>
      <c r="B1011" s="563">
        <v>7</v>
      </c>
      <c r="C1011" s="694">
        <v>39594</v>
      </c>
      <c r="D1011" s="694" t="s">
        <v>148</v>
      </c>
      <c r="E1011" s="695">
        <v>26</v>
      </c>
      <c r="F1011" s="503">
        <v>2008</v>
      </c>
      <c r="G1011" s="563" t="s">
        <v>121</v>
      </c>
      <c r="H1011" s="503" t="s">
        <v>161</v>
      </c>
      <c r="I1011" s="695">
        <v>25</v>
      </c>
      <c r="J1011" s="695">
        <v>0.04</v>
      </c>
      <c r="K1011" s="777">
        <f t="shared" si="174"/>
        <v>5.6818181818181815E-4</v>
      </c>
      <c r="L1011" s="968">
        <v>0</v>
      </c>
      <c r="M1011" s="503">
        <f t="shared" si="176"/>
        <v>17</v>
      </c>
      <c r="N1011" s="504">
        <v>0.73819444444444438</v>
      </c>
      <c r="O1011" s="719">
        <f t="shared" si="166"/>
        <v>0.73819444444444438</v>
      </c>
      <c r="P1011" s="564">
        <v>0.73888888888888893</v>
      </c>
      <c r="Q1011" s="564">
        <f t="shared" si="173"/>
        <v>6.94444444444553E-4</v>
      </c>
      <c r="R1011" s="965" t="s">
        <v>1520</v>
      </c>
      <c r="S1011" s="494" t="s">
        <v>179</v>
      </c>
      <c r="U1011" s="29" t="str">
        <f t="shared" si="167"/>
        <v>CollingsworthEF0</v>
      </c>
      <c r="V1011" s="29" t="str">
        <f t="shared" si="168"/>
        <v>2008EF0</v>
      </c>
      <c r="W1011" s="80">
        <v>20</v>
      </c>
      <c r="X1011" s="32">
        <v>0.02</v>
      </c>
      <c r="Y1011" s="467">
        <v>5.0000000000000001E-4</v>
      </c>
      <c r="Z1011" s="80"/>
      <c r="AA1011" s="29" t="str">
        <f t="shared" si="169"/>
        <v>EF020</v>
      </c>
      <c r="AB1011" s="29" t="str">
        <f t="shared" si="170"/>
        <v>EF00.02</v>
      </c>
      <c r="AC1011" s="29" t="str">
        <f t="shared" si="171"/>
        <v>EF00.0005</v>
      </c>
      <c r="AD1011" s="29" t="str">
        <f t="shared" si="172"/>
        <v>EF017</v>
      </c>
      <c r="AE1011" s="443"/>
      <c r="AF1011" s="443"/>
      <c r="AG1011" s="443"/>
      <c r="AH1011" s="443"/>
    </row>
    <row r="1012" spans="1:34" ht="16.5">
      <c r="A1012" s="728">
        <f t="shared" si="175"/>
        <v>1005</v>
      </c>
      <c r="B1012" s="563">
        <v>8</v>
      </c>
      <c r="C1012" s="502">
        <v>39613</v>
      </c>
      <c r="D1012" s="694" t="s">
        <v>149</v>
      </c>
      <c r="E1012" s="695">
        <v>14</v>
      </c>
      <c r="F1012" s="503">
        <v>2008</v>
      </c>
      <c r="G1012" s="563" t="s">
        <v>119</v>
      </c>
      <c r="H1012" s="503" t="s">
        <v>161</v>
      </c>
      <c r="I1012" s="695">
        <v>20</v>
      </c>
      <c r="J1012" s="695">
        <v>0.16</v>
      </c>
      <c r="K1012" s="777">
        <f t="shared" si="174"/>
        <v>1.8181818181818182E-3</v>
      </c>
      <c r="L1012" s="968">
        <v>11000</v>
      </c>
      <c r="M1012" s="503">
        <f t="shared" si="176"/>
        <v>16</v>
      </c>
      <c r="N1012" s="504">
        <v>0.69791666666666663</v>
      </c>
      <c r="O1012" s="719">
        <f t="shared" si="166"/>
        <v>0.69791666666666663</v>
      </c>
      <c r="P1012" s="564">
        <v>0.69861111111111107</v>
      </c>
      <c r="Q1012" s="564">
        <f t="shared" si="173"/>
        <v>6.9444444444444198E-4</v>
      </c>
      <c r="R1012" s="965" t="s">
        <v>1520</v>
      </c>
      <c r="S1012" s="494" t="s">
        <v>202</v>
      </c>
      <c r="U1012" s="29" t="str">
        <f t="shared" si="167"/>
        <v>ArmstrongEF0</v>
      </c>
      <c r="V1012" s="29" t="str">
        <f t="shared" si="168"/>
        <v>2008EF0</v>
      </c>
      <c r="W1012" s="80">
        <v>20</v>
      </c>
      <c r="X1012" s="32">
        <v>0.1</v>
      </c>
      <c r="Y1012" s="467">
        <v>1E-3</v>
      </c>
      <c r="Z1012" s="80"/>
      <c r="AA1012" s="29" t="str">
        <f t="shared" si="169"/>
        <v>EF020</v>
      </c>
      <c r="AB1012" s="29" t="str">
        <f t="shared" si="170"/>
        <v>EF00.1</v>
      </c>
      <c r="AC1012" s="29" t="str">
        <f t="shared" si="171"/>
        <v>EF00.001</v>
      </c>
      <c r="AD1012" s="29" t="str">
        <f t="shared" si="172"/>
        <v>EF016</v>
      </c>
      <c r="AE1012" s="443"/>
      <c r="AF1012" s="443"/>
      <c r="AG1012" s="443"/>
      <c r="AH1012" s="443"/>
    </row>
    <row r="1013" spans="1:34" ht="15" customHeight="1">
      <c r="A1013" s="728">
        <f t="shared" si="175"/>
        <v>1006</v>
      </c>
      <c r="B1013" s="563">
        <v>9</v>
      </c>
      <c r="C1013" s="694">
        <v>39614</v>
      </c>
      <c r="D1013" s="694" t="s">
        <v>149</v>
      </c>
      <c r="E1013" s="695">
        <v>15</v>
      </c>
      <c r="F1013" s="503">
        <v>2008</v>
      </c>
      <c r="G1013" s="563" t="s">
        <v>101</v>
      </c>
      <c r="H1013" s="503" t="s">
        <v>161</v>
      </c>
      <c r="I1013" s="695">
        <v>50</v>
      </c>
      <c r="J1013" s="695">
        <v>3.2</v>
      </c>
      <c r="K1013" s="777">
        <f t="shared" si="174"/>
        <v>9.0909090909090912E-2</v>
      </c>
      <c r="L1013" s="968">
        <v>0</v>
      </c>
      <c r="M1013" s="503">
        <f t="shared" si="176"/>
        <v>17</v>
      </c>
      <c r="N1013" s="504">
        <v>0.73402777777777783</v>
      </c>
      <c r="O1013" s="719">
        <f t="shared" si="166"/>
        <v>0.73402777777777783</v>
      </c>
      <c r="P1013" s="564">
        <v>0.74861111111111101</v>
      </c>
      <c r="Q1013" s="564">
        <f t="shared" si="173"/>
        <v>1.4583333333333171E-2</v>
      </c>
      <c r="R1013" s="965" t="s">
        <v>1520</v>
      </c>
      <c r="S1013" s="494" t="s">
        <v>203</v>
      </c>
      <c r="U1013" s="29" t="str">
        <f t="shared" si="167"/>
        <v>BeaverEF0</v>
      </c>
      <c r="V1013" s="29" t="str">
        <f t="shared" si="168"/>
        <v>2008EF0</v>
      </c>
      <c r="W1013" s="80">
        <v>50</v>
      </c>
      <c r="X1013" s="32">
        <v>2</v>
      </c>
      <c r="Y1013" s="467">
        <v>0.05</v>
      </c>
      <c r="Z1013" s="80"/>
      <c r="AA1013" s="29" t="str">
        <f t="shared" si="169"/>
        <v>EF050</v>
      </c>
      <c r="AB1013" s="29" t="str">
        <f t="shared" si="170"/>
        <v>EF02</v>
      </c>
      <c r="AC1013" s="29" t="str">
        <f t="shared" si="171"/>
        <v>EF00.05</v>
      </c>
      <c r="AD1013" s="29" t="str">
        <f t="shared" si="172"/>
        <v>EF017</v>
      </c>
      <c r="AE1013" s="443"/>
      <c r="AF1013" s="443"/>
      <c r="AG1013" s="443"/>
      <c r="AH1013" s="443"/>
    </row>
    <row r="1014" spans="1:34" ht="16.5">
      <c r="A1014" s="728">
        <f t="shared" si="175"/>
        <v>1007</v>
      </c>
      <c r="B1014" s="563">
        <v>10</v>
      </c>
      <c r="C1014" s="694">
        <v>39614</v>
      </c>
      <c r="D1014" s="694" t="s">
        <v>149</v>
      </c>
      <c r="E1014" s="695">
        <v>15</v>
      </c>
      <c r="F1014" s="503">
        <v>2008</v>
      </c>
      <c r="G1014" s="563" t="s">
        <v>105</v>
      </c>
      <c r="H1014" s="503" t="s">
        <v>161</v>
      </c>
      <c r="I1014" s="695">
        <v>50</v>
      </c>
      <c r="J1014" s="695">
        <v>1.28</v>
      </c>
      <c r="K1014" s="777">
        <f t="shared" si="174"/>
        <v>3.6363636363636362E-2</v>
      </c>
      <c r="L1014" s="968">
        <v>0</v>
      </c>
      <c r="M1014" s="503">
        <f t="shared" si="176"/>
        <v>18</v>
      </c>
      <c r="N1014" s="504">
        <v>0.75694444444444453</v>
      </c>
      <c r="O1014" s="719">
        <f t="shared" si="166"/>
        <v>0.75694444444444453</v>
      </c>
      <c r="P1014" s="564">
        <v>0.76041666666666663</v>
      </c>
      <c r="Q1014" s="564">
        <f t="shared" si="173"/>
        <v>3.4722222222220989E-3</v>
      </c>
      <c r="R1014" s="965" t="s">
        <v>1520</v>
      </c>
      <c r="S1014" s="494" t="s">
        <v>383</v>
      </c>
      <c r="U1014" s="29" t="str">
        <f t="shared" si="167"/>
        <v>OchiltreeEF0</v>
      </c>
      <c r="V1014" s="29" t="str">
        <f t="shared" si="168"/>
        <v>2008EF0</v>
      </c>
      <c r="W1014" s="80">
        <v>50</v>
      </c>
      <c r="X1014" s="32">
        <v>1</v>
      </c>
      <c r="Y1014" s="467">
        <v>0.02</v>
      </c>
      <c r="Z1014" s="80"/>
      <c r="AA1014" s="29" t="str">
        <f t="shared" si="169"/>
        <v>EF050</v>
      </c>
      <c r="AB1014" s="29" t="str">
        <f t="shared" si="170"/>
        <v>EF01</v>
      </c>
      <c r="AC1014" s="29" t="str">
        <f t="shared" si="171"/>
        <v>EF00.02</v>
      </c>
      <c r="AD1014" s="29" t="str">
        <f t="shared" si="172"/>
        <v>EF018</v>
      </c>
      <c r="AE1014" s="443"/>
      <c r="AF1014" s="443"/>
      <c r="AG1014" s="443"/>
      <c r="AH1014" s="443"/>
    </row>
    <row r="1015" spans="1:34" ht="25.5">
      <c r="A1015" s="728">
        <f t="shared" si="175"/>
        <v>1008</v>
      </c>
      <c r="B1015" s="563">
        <v>11</v>
      </c>
      <c r="C1015" s="694">
        <v>39617</v>
      </c>
      <c r="D1015" s="694" t="s">
        <v>149</v>
      </c>
      <c r="E1015" s="695">
        <v>18</v>
      </c>
      <c r="F1015" s="503">
        <v>2008</v>
      </c>
      <c r="G1015" s="563" t="s">
        <v>101</v>
      </c>
      <c r="H1015" s="503" t="s">
        <v>160</v>
      </c>
      <c r="I1015" s="695">
        <v>200</v>
      </c>
      <c r="J1015" s="695">
        <v>12.02</v>
      </c>
      <c r="K1015" s="777">
        <f t="shared" si="174"/>
        <v>1.3659090909090907</v>
      </c>
      <c r="L1015" s="968">
        <v>200000</v>
      </c>
      <c r="M1015" s="503">
        <f t="shared" si="176"/>
        <v>20</v>
      </c>
      <c r="N1015" s="504">
        <v>0.83333333333333337</v>
      </c>
      <c r="O1015" s="719">
        <f t="shared" si="166"/>
        <v>0.83333333333333337</v>
      </c>
      <c r="P1015" s="564">
        <v>0.84375</v>
      </c>
      <c r="Q1015" s="564">
        <f t="shared" si="173"/>
        <v>1.041666666666663E-2</v>
      </c>
      <c r="R1015" s="965" t="s">
        <v>1520</v>
      </c>
      <c r="S1015" s="494" t="s">
        <v>90</v>
      </c>
      <c r="U1015" s="29" t="str">
        <f t="shared" si="167"/>
        <v>BeaverEF2</v>
      </c>
      <c r="V1015" s="29" t="str">
        <f t="shared" si="168"/>
        <v>2008EF2</v>
      </c>
      <c r="W1015" s="80">
        <v>200</v>
      </c>
      <c r="X1015" s="32">
        <v>10</v>
      </c>
      <c r="Y1015" s="467">
        <v>1</v>
      </c>
      <c r="Z1015" s="80"/>
      <c r="AA1015" s="29" t="str">
        <f t="shared" si="169"/>
        <v>EF2200</v>
      </c>
      <c r="AB1015" s="29" t="str">
        <f t="shared" si="170"/>
        <v>EF210</v>
      </c>
      <c r="AC1015" s="29" t="str">
        <f t="shared" si="171"/>
        <v>EF21</v>
      </c>
      <c r="AD1015" s="29" t="str">
        <f t="shared" si="172"/>
        <v>EF220</v>
      </c>
      <c r="AE1015" s="443"/>
      <c r="AF1015" s="443"/>
      <c r="AG1015" s="443"/>
      <c r="AH1015" s="443"/>
    </row>
    <row r="1016" spans="1:34" ht="16.5">
      <c r="A1016" s="728">
        <f t="shared" si="175"/>
        <v>1009</v>
      </c>
      <c r="B1016" s="563">
        <v>12</v>
      </c>
      <c r="C1016" s="694">
        <v>39618</v>
      </c>
      <c r="D1016" s="694" t="s">
        <v>149</v>
      </c>
      <c r="E1016" s="695">
        <v>19</v>
      </c>
      <c r="F1016" s="503">
        <v>2008</v>
      </c>
      <c r="G1016" s="563" t="s">
        <v>99</v>
      </c>
      <c r="H1016" s="503" t="s">
        <v>161</v>
      </c>
      <c r="I1016" s="695">
        <v>25</v>
      </c>
      <c r="J1016" s="695">
        <v>0.27</v>
      </c>
      <c r="K1016" s="777">
        <f t="shared" si="174"/>
        <v>3.8352272727272727E-3</v>
      </c>
      <c r="L1016" s="968">
        <v>0</v>
      </c>
      <c r="M1016" s="503">
        <f t="shared" si="176"/>
        <v>17</v>
      </c>
      <c r="N1016" s="504">
        <v>0.72916666666666663</v>
      </c>
      <c r="O1016" s="719">
        <f t="shared" si="166"/>
        <v>0.72916666666666663</v>
      </c>
      <c r="P1016" s="564">
        <v>0.72986111111111107</v>
      </c>
      <c r="Q1016" s="564">
        <f t="shared" si="173"/>
        <v>6.9444444444444198E-4</v>
      </c>
      <c r="R1016" s="965" t="s">
        <v>1520</v>
      </c>
      <c r="S1016" s="494" t="s">
        <v>436</v>
      </c>
      <c r="U1016" s="29" t="str">
        <f t="shared" si="167"/>
        <v>CimarronEF0</v>
      </c>
      <c r="V1016" s="29" t="str">
        <f t="shared" si="168"/>
        <v>2008EF0</v>
      </c>
      <c r="W1016" s="80">
        <v>20</v>
      </c>
      <c r="X1016" s="32">
        <v>0.2</v>
      </c>
      <c r="Y1016" s="467">
        <v>2E-3</v>
      </c>
      <c r="Z1016" s="80"/>
      <c r="AA1016" s="29" t="str">
        <f t="shared" si="169"/>
        <v>EF020</v>
      </c>
      <c r="AB1016" s="29" t="str">
        <f t="shared" si="170"/>
        <v>EF00.2</v>
      </c>
      <c r="AC1016" s="29" t="str">
        <f t="shared" si="171"/>
        <v>EF00.002</v>
      </c>
      <c r="AD1016" s="29" t="str">
        <f t="shared" si="172"/>
        <v>EF017</v>
      </c>
      <c r="AE1016" s="443"/>
      <c r="AF1016" s="443"/>
      <c r="AG1016" s="443"/>
      <c r="AH1016" s="443"/>
    </row>
    <row r="1017" spans="1:34" ht="16.5">
      <c r="A1017" s="728">
        <f t="shared" si="175"/>
        <v>1010</v>
      </c>
      <c r="B1017" s="563">
        <v>1</v>
      </c>
      <c r="C1017" s="694">
        <v>39932</v>
      </c>
      <c r="D1017" s="694" t="s">
        <v>147</v>
      </c>
      <c r="E1017" s="695">
        <v>29</v>
      </c>
      <c r="F1017" s="503">
        <v>2009</v>
      </c>
      <c r="G1017" s="563" t="s">
        <v>114</v>
      </c>
      <c r="H1017" s="503" t="s">
        <v>162</v>
      </c>
      <c r="I1017" s="695">
        <v>25</v>
      </c>
      <c r="J1017" s="695">
        <v>0.9</v>
      </c>
      <c r="K1017" s="777">
        <f t="shared" si="174"/>
        <v>1.2784090909090908E-2</v>
      </c>
      <c r="L1017" s="967">
        <v>15000</v>
      </c>
      <c r="M1017" s="503">
        <f t="shared" si="176"/>
        <v>17</v>
      </c>
      <c r="N1017" s="504">
        <v>0.72916666666666663</v>
      </c>
      <c r="O1017" s="719">
        <f t="shared" si="166"/>
        <v>0.72916666666666663</v>
      </c>
      <c r="P1017" s="564">
        <v>0.72986111111111107</v>
      </c>
      <c r="Q1017" s="564">
        <f t="shared" si="173"/>
        <v>6.9444444444444198E-4</v>
      </c>
      <c r="R1017" s="965" t="s">
        <v>1520</v>
      </c>
      <c r="S1017" s="494" t="s">
        <v>551</v>
      </c>
      <c r="U1017" s="29" t="str">
        <f t="shared" si="167"/>
        <v>CarsonEF1</v>
      </c>
      <c r="V1017" s="29" t="str">
        <f t="shared" si="168"/>
        <v>2009EF1</v>
      </c>
      <c r="W1017" s="80">
        <v>20</v>
      </c>
      <c r="X1017" s="32">
        <v>0.5</v>
      </c>
      <c r="Y1017" s="467">
        <v>0.01</v>
      </c>
      <c r="Z1017" s="80"/>
      <c r="AA1017" s="29" t="str">
        <f t="shared" si="169"/>
        <v>EF120</v>
      </c>
      <c r="AB1017" s="29" t="str">
        <f t="shared" si="170"/>
        <v>EF10.5</v>
      </c>
      <c r="AC1017" s="29" t="str">
        <f t="shared" si="171"/>
        <v>EF10.01</v>
      </c>
      <c r="AD1017" s="29" t="str">
        <f t="shared" si="172"/>
        <v>EF117</v>
      </c>
      <c r="AE1017" s="443"/>
      <c r="AF1017" s="443"/>
      <c r="AG1017" s="443"/>
      <c r="AH1017" s="443"/>
    </row>
    <row r="1018" spans="1:34" ht="25.5">
      <c r="A1018" s="728">
        <f t="shared" si="175"/>
        <v>1011</v>
      </c>
      <c r="B1018" s="563">
        <v>2</v>
      </c>
      <c r="C1018" s="694">
        <v>39932</v>
      </c>
      <c r="D1018" s="694" t="s">
        <v>147</v>
      </c>
      <c r="E1018" s="695">
        <v>29</v>
      </c>
      <c r="F1018" s="503">
        <v>2009</v>
      </c>
      <c r="G1018" s="563" t="s">
        <v>114</v>
      </c>
      <c r="H1018" s="503" t="s">
        <v>161</v>
      </c>
      <c r="I1018" s="695">
        <v>25</v>
      </c>
      <c r="J1018" s="695">
        <v>0.1</v>
      </c>
      <c r="K1018" s="777">
        <f t="shared" si="174"/>
        <v>1.4204545454545455E-3</v>
      </c>
      <c r="L1018" s="967">
        <v>8000</v>
      </c>
      <c r="M1018" s="503">
        <f t="shared" si="176"/>
        <v>17</v>
      </c>
      <c r="N1018" s="504">
        <v>0.73333333333333339</v>
      </c>
      <c r="O1018" s="719">
        <f t="shared" si="166"/>
        <v>0.73333333333333339</v>
      </c>
      <c r="P1018" s="564">
        <v>0.73333333333333339</v>
      </c>
      <c r="Q1018" s="564">
        <f t="shared" si="173"/>
        <v>0</v>
      </c>
      <c r="R1018" s="965" t="s">
        <v>1520</v>
      </c>
      <c r="S1018" s="494" t="s">
        <v>1437</v>
      </c>
      <c r="U1018" s="29" t="str">
        <f t="shared" si="167"/>
        <v>CarsonEF0</v>
      </c>
      <c r="V1018" s="29" t="str">
        <f t="shared" si="168"/>
        <v>2009EF0</v>
      </c>
      <c r="W1018" s="80">
        <v>20</v>
      </c>
      <c r="X1018" s="32">
        <v>0.1</v>
      </c>
      <c r="Y1018" s="467">
        <v>1E-3</v>
      </c>
      <c r="Z1018" s="80"/>
      <c r="AA1018" s="29" t="str">
        <f t="shared" si="169"/>
        <v>EF020</v>
      </c>
      <c r="AB1018" s="29" t="str">
        <f t="shared" si="170"/>
        <v>EF00.1</v>
      </c>
      <c r="AC1018" s="29" t="str">
        <f t="shared" si="171"/>
        <v>EF00.001</v>
      </c>
      <c r="AD1018" s="29" t="str">
        <f t="shared" si="172"/>
        <v>EF017</v>
      </c>
      <c r="AE1018" s="443"/>
      <c r="AF1018" s="443"/>
      <c r="AG1018" s="443"/>
      <c r="AH1018" s="443"/>
    </row>
    <row r="1019" spans="1:34" ht="95.1" customHeight="1">
      <c r="A1019" s="728">
        <f t="shared" si="175"/>
        <v>1012</v>
      </c>
      <c r="B1019" s="563">
        <v>3</v>
      </c>
      <c r="C1019" s="694">
        <v>39948</v>
      </c>
      <c r="D1019" s="694" t="s">
        <v>148</v>
      </c>
      <c r="E1019" s="695">
        <v>15</v>
      </c>
      <c r="F1019" s="503">
        <v>2009</v>
      </c>
      <c r="G1019" s="563" t="s">
        <v>110</v>
      </c>
      <c r="H1019" s="503" t="s">
        <v>161</v>
      </c>
      <c r="I1019" s="695">
        <v>100</v>
      </c>
      <c r="J1019" s="695">
        <v>0.25</v>
      </c>
      <c r="K1019" s="777">
        <f t="shared" si="174"/>
        <v>1.4204545454545454E-2</v>
      </c>
      <c r="L1019" s="968">
        <v>0</v>
      </c>
      <c r="M1019" s="503">
        <f t="shared" si="176"/>
        <v>15</v>
      </c>
      <c r="N1019" s="504">
        <v>0.65625</v>
      </c>
      <c r="O1019" s="719">
        <f t="shared" si="166"/>
        <v>0.65625</v>
      </c>
      <c r="P1019" s="564">
        <v>0.65694444444444444</v>
      </c>
      <c r="Q1019" s="564">
        <f t="shared" si="173"/>
        <v>6.9444444444444198E-4</v>
      </c>
      <c r="R1019" s="965" t="s">
        <v>1520</v>
      </c>
      <c r="S1019" s="494" t="s">
        <v>550</v>
      </c>
      <c r="U1019" s="29" t="str">
        <f t="shared" si="167"/>
        <v>RobertsEF0</v>
      </c>
      <c r="V1019" s="29" t="str">
        <f t="shared" si="168"/>
        <v>2009EF0</v>
      </c>
      <c r="W1019" s="80">
        <v>100</v>
      </c>
      <c r="X1019" s="32">
        <v>0.2</v>
      </c>
      <c r="Y1019" s="467">
        <v>0.01</v>
      </c>
      <c r="Z1019" s="80"/>
      <c r="AA1019" s="29" t="str">
        <f t="shared" si="169"/>
        <v>EF0100</v>
      </c>
      <c r="AB1019" s="29" t="str">
        <f t="shared" si="170"/>
        <v>EF00.2</v>
      </c>
      <c r="AC1019" s="29" t="str">
        <f t="shared" si="171"/>
        <v>EF00.01</v>
      </c>
      <c r="AD1019" s="29" t="str">
        <f t="shared" si="172"/>
        <v>EF015</v>
      </c>
      <c r="AE1019" s="443"/>
      <c r="AF1019" s="443"/>
      <c r="AG1019" s="443"/>
      <c r="AH1019" s="443"/>
    </row>
    <row r="1020" spans="1:34" ht="16.5">
      <c r="A1020" s="728">
        <f t="shared" si="175"/>
        <v>1013</v>
      </c>
      <c r="B1020" s="563">
        <v>4</v>
      </c>
      <c r="C1020" s="694">
        <v>39948</v>
      </c>
      <c r="D1020" s="694" t="s">
        <v>148</v>
      </c>
      <c r="E1020" s="695">
        <v>15</v>
      </c>
      <c r="F1020" s="503">
        <v>2009</v>
      </c>
      <c r="G1020" s="563" t="s">
        <v>110</v>
      </c>
      <c r="H1020" s="503" t="s">
        <v>161</v>
      </c>
      <c r="I1020" s="695">
        <v>100</v>
      </c>
      <c r="J1020" s="695">
        <v>0.5</v>
      </c>
      <c r="K1020" s="777">
        <f t="shared" si="174"/>
        <v>2.8409090909090908E-2</v>
      </c>
      <c r="L1020" s="968">
        <v>0</v>
      </c>
      <c r="M1020" s="503">
        <f t="shared" si="176"/>
        <v>15</v>
      </c>
      <c r="N1020" s="504">
        <v>0.65763888888888888</v>
      </c>
      <c r="O1020" s="719">
        <f t="shared" si="166"/>
        <v>0.65763888888888888</v>
      </c>
      <c r="P1020" s="564">
        <v>0.65902777777777777</v>
      </c>
      <c r="Q1020" s="564">
        <f t="shared" si="173"/>
        <v>1.388888888888884E-3</v>
      </c>
      <c r="R1020" s="965" t="s">
        <v>1520</v>
      </c>
      <c r="S1020" s="494" t="s">
        <v>68</v>
      </c>
      <c r="U1020" s="29" t="str">
        <f t="shared" si="167"/>
        <v>RobertsEF0</v>
      </c>
      <c r="V1020" s="29" t="str">
        <f t="shared" si="168"/>
        <v>2009EF0</v>
      </c>
      <c r="W1020" s="80">
        <v>100</v>
      </c>
      <c r="X1020" s="32">
        <v>0.5</v>
      </c>
      <c r="Y1020" s="467">
        <v>0.02</v>
      </c>
      <c r="Z1020" s="80"/>
      <c r="AA1020" s="29" t="str">
        <f t="shared" si="169"/>
        <v>EF0100</v>
      </c>
      <c r="AB1020" s="29" t="str">
        <f t="shared" si="170"/>
        <v>EF00.5</v>
      </c>
      <c r="AC1020" s="29" t="str">
        <f t="shared" si="171"/>
        <v>EF00.02</v>
      </c>
      <c r="AD1020" s="29" t="str">
        <f t="shared" si="172"/>
        <v>EF015</v>
      </c>
      <c r="AE1020" s="443"/>
      <c r="AF1020" s="443"/>
      <c r="AG1020" s="443"/>
      <c r="AH1020" s="443"/>
    </row>
    <row r="1021" spans="1:34" ht="16.5">
      <c r="A1021" s="728">
        <f t="shared" si="175"/>
        <v>1014</v>
      </c>
      <c r="B1021" s="563">
        <v>5</v>
      </c>
      <c r="C1021" s="694">
        <v>39948</v>
      </c>
      <c r="D1021" s="694" t="s">
        <v>148</v>
      </c>
      <c r="E1021" s="695">
        <v>15</v>
      </c>
      <c r="F1021" s="503">
        <v>2009</v>
      </c>
      <c r="G1021" s="563" t="s">
        <v>115</v>
      </c>
      <c r="H1021" s="503" t="s">
        <v>161</v>
      </c>
      <c r="I1021" s="695">
        <v>440</v>
      </c>
      <c r="J1021" s="695">
        <v>1</v>
      </c>
      <c r="K1021" s="777">
        <f t="shared" si="174"/>
        <v>0.25</v>
      </c>
      <c r="L1021" s="968">
        <v>0</v>
      </c>
      <c r="M1021" s="503">
        <f t="shared" si="176"/>
        <v>16</v>
      </c>
      <c r="N1021" s="504">
        <v>0.66805555555555562</v>
      </c>
      <c r="O1021" s="719">
        <f t="shared" si="166"/>
        <v>0.66805555555555562</v>
      </c>
      <c r="P1021" s="564">
        <v>0.67083333333333339</v>
      </c>
      <c r="Q1021" s="564">
        <f t="shared" si="173"/>
        <v>2.7777777777777679E-3</v>
      </c>
      <c r="R1021" s="965" t="s">
        <v>1520</v>
      </c>
      <c r="S1021" s="494" t="s">
        <v>59</v>
      </c>
      <c r="U1021" s="29" t="str">
        <f t="shared" si="167"/>
        <v>GrayEF0</v>
      </c>
      <c r="V1021" s="29" t="str">
        <f t="shared" si="168"/>
        <v>2009EF0</v>
      </c>
      <c r="W1021" s="80">
        <v>200</v>
      </c>
      <c r="X1021" s="32">
        <v>1</v>
      </c>
      <c r="Y1021" s="467">
        <v>0.2</v>
      </c>
      <c r="Z1021" s="80"/>
      <c r="AA1021" s="29" t="str">
        <f t="shared" si="169"/>
        <v>EF0200</v>
      </c>
      <c r="AB1021" s="29" t="str">
        <f t="shared" si="170"/>
        <v>EF01</v>
      </c>
      <c r="AC1021" s="29" t="str">
        <f t="shared" si="171"/>
        <v>EF00.2</v>
      </c>
      <c r="AD1021" s="29" t="str">
        <f t="shared" si="172"/>
        <v>EF016</v>
      </c>
      <c r="AE1021" s="443"/>
      <c r="AF1021" s="443"/>
      <c r="AG1021" s="443"/>
      <c r="AH1021" s="443"/>
    </row>
    <row r="1022" spans="1:34" ht="15" customHeight="1">
      <c r="A1022" s="728">
        <f t="shared" si="175"/>
        <v>1015</v>
      </c>
      <c r="B1022" s="563">
        <v>6</v>
      </c>
      <c r="C1022" s="694">
        <v>39948</v>
      </c>
      <c r="D1022" s="694" t="s">
        <v>148</v>
      </c>
      <c r="E1022" s="695">
        <v>15</v>
      </c>
      <c r="F1022" s="503">
        <v>2009</v>
      </c>
      <c r="G1022" s="563" t="s">
        <v>115</v>
      </c>
      <c r="H1022" s="503" t="s">
        <v>160</v>
      </c>
      <c r="I1022" s="695">
        <v>880</v>
      </c>
      <c r="J1022" s="695">
        <v>3</v>
      </c>
      <c r="K1022" s="777">
        <f t="shared" si="174"/>
        <v>1.5</v>
      </c>
      <c r="L1022" s="967">
        <v>50000</v>
      </c>
      <c r="M1022" s="503">
        <f t="shared" si="176"/>
        <v>16</v>
      </c>
      <c r="N1022" s="504">
        <v>0.67291666666666661</v>
      </c>
      <c r="O1022" s="719">
        <f t="shared" si="166"/>
        <v>0.67291666666666661</v>
      </c>
      <c r="P1022" s="564">
        <v>0.67847222222222225</v>
      </c>
      <c r="Q1022" s="564">
        <f t="shared" si="173"/>
        <v>5.5555555555556468E-3</v>
      </c>
      <c r="R1022" s="965" t="s">
        <v>1520</v>
      </c>
      <c r="S1022" s="494" t="s">
        <v>58</v>
      </c>
      <c r="U1022" s="29" t="str">
        <f t="shared" si="167"/>
        <v>GrayEF2</v>
      </c>
      <c r="V1022" s="29" t="str">
        <f t="shared" si="168"/>
        <v>2009EF2</v>
      </c>
      <c r="W1022" s="80">
        <v>500</v>
      </c>
      <c r="X1022" s="32">
        <v>2</v>
      </c>
      <c r="Y1022" s="467">
        <v>1</v>
      </c>
      <c r="Z1022" s="80"/>
      <c r="AA1022" s="29" t="str">
        <f t="shared" si="169"/>
        <v>EF2500</v>
      </c>
      <c r="AB1022" s="29" t="str">
        <f t="shared" si="170"/>
        <v>EF22</v>
      </c>
      <c r="AC1022" s="29" t="str">
        <f t="shared" si="171"/>
        <v>EF21</v>
      </c>
      <c r="AD1022" s="29" t="str">
        <f t="shared" si="172"/>
        <v>EF216</v>
      </c>
      <c r="AE1022" s="443"/>
      <c r="AF1022" s="443"/>
      <c r="AG1022" s="443"/>
      <c r="AH1022" s="443"/>
    </row>
    <row r="1023" spans="1:34" ht="16.5">
      <c r="A1023" s="728">
        <f t="shared" si="175"/>
        <v>1016</v>
      </c>
      <c r="B1023" s="563">
        <v>7</v>
      </c>
      <c r="C1023" s="694">
        <v>39948</v>
      </c>
      <c r="D1023" s="694" t="s">
        <v>148</v>
      </c>
      <c r="E1023" s="695">
        <v>15</v>
      </c>
      <c r="F1023" s="503">
        <v>2009</v>
      </c>
      <c r="G1023" s="563" t="s">
        <v>115</v>
      </c>
      <c r="H1023" s="503" t="s">
        <v>162</v>
      </c>
      <c r="I1023" s="695">
        <v>440</v>
      </c>
      <c r="J1023" s="695">
        <v>6</v>
      </c>
      <c r="K1023" s="777">
        <f t="shared" si="174"/>
        <v>1.5</v>
      </c>
      <c r="L1023" s="967">
        <v>40000</v>
      </c>
      <c r="M1023" s="503">
        <f t="shared" si="176"/>
        <v>16</v>
      </c>
      <c r="N1023" s="504">
        <v>0.68402777777777779</v>
      </c>
      <c r="O1023" s="719">
        <f t="shared" si="166"/>
        <v>0.68402777777777779</v>
      </c>
      <c r="P1023" s="564">
        <v>0.69791666666666663</v>
      </c>
      <c r="Q1023" s="564">
        <f t="shared" si="173"/>
        <v>1.388888888888884E-2</v>
      </c>
      <c r="R1023" s="965" t="s">
        <v>1520</v>
      </c>
      <c r="S1023" s="494" t="s">
        <v>57</v>
      </c>
      <c r="U1023" s="29" t="str">
        <f t="shared" si="167"/>
        <v>GrayEF1</v>
      </c>
      <c r="V1023" s="29" t="str">
        <f t="shared" si="168"/>
        <v>2009EF1</v>
      </c>
      <c r="W1023" s="80">
        <v>200</v>
      </c>
      <c r="X1023" s="32">
        <v>5</v>
      </c>
      <c r="Y1023" s="467">
        <v>1</v>
      </c>
      <c r="Z1023" s="80"/>
      <c r="AA1023" s="29" t="str">
        <f t="shared" si="169"/>
        <v>EF1200</v>
      </c>
      <c r="AB1023" s="29" t="str">
        <f t="shared" si="170"/>
        <v>EF15</v>
      </c>
      <c r="AC1023" s="29" t="str">
        <f t="shared" si="171"/>
        <v>EF11</v>
      </c>
      <c r="AD1023" s="29" t="str">
        <f t="shared" si="172"/>
        <v>EF116</v>
      </c>
      <c r="AE1023" s="443"/>
      <c r="AF1023" s="443"/>
      <c r="AG1023" s="443"/>
      <c r="AH1023" s="443"/>
    </row>
    <row r="1024" spans="1:34" ht="54.95" customHeight="1">
      <c r="A1024" s="728">
        <f t="shared" si="175"/>
        <v>1017</v>
      </c>
      <c r="B1024" s="563">
        <v>8</v>
      </c>
      <c r="C1024" s="694">
        <v>39968</v>
      </c>
      <c r="D1024" s="694" t="s">
        <v>149</v>
      </c>
      <c r="E1024" s="695">
        <v>4</v>
      </c>
      <c r="F1024" s="503">
        <v>2009</v>
      </c>
      <c r="G1024" s="563" t="s">
        <v>107</v>
      </c>
      <c r="H1024" s="503" t="s">
        <v>161</v>
      </c>
      <c r="I1024" s="695">
        <v>100</v>
      </c>
      <c r="J1024" s="695">
        <v>0.52</v>
      </c>
      <c r="K1024" s="777">
        <f t="shared" si="174"/>
        <v>2.9545454545454545E-2</v>
      </c>
      <c r="L1024" s="968">
        <v>0</v>
      </c>
      <c r="M1024" s="503">
        <f t="shared" si="176"/>
        <v>15</v>
      </c>
      <c r="N1024" s="504">
        <v>0.63680555555555551</v>
      </c>
      <c r="O1024" s="719">
        <f t="shared" si="166"/>
        <v>0.63680555555555551</v>
      </c>
      <c r="P1024" s="564">
        <v>0.6381944444444444</v>
      </c>
      <c r="Q1024" s="564">
        <f t="shared" si="173"/>
        <v>1.388888888888884E-3</v>
      </c>
      <c r="R1024" s="965" t="s">
        <v>1520</v>
      </c>
      <c r="S1024" s="494" t="s">
        <v>554</v>
      </c>
      <c r="U1024" s="29" t="str">
        <f t="shared" si="167"/>
        <v>HartleyEF0</v>
      </c>
      <c r="V1024" s="29" t="str">
        <f t="shared" si="168"/>
        <v>2009EF0</v>
      </c>
      <c r="W1024" s="80">
        <v>100</v>
      </c>
      <c r="X1024" s="32">
        <v>0.5</v>
      </c>
      <c r="Y1024" s="467">
        <v>0.02</v>
      </c>
      <c r="Z1024" s="80"/>
      <c r="AA1024" s="29" t="str">
        <f t="shared" si="169"/>
        <v>EF0100</v>
      </c>
      <c r="AB1024" s="29" t="str">
        <f t="shared" si="170"/>
        <v>EF00.5</v>
      </c>
      <c r="AC1024" s="29" t="str">
        <f t="shared" si="171"/>
        <v>EF00.02</v>
      </c>
      <c r="AD1024" s="29" t="str">
        <f t="shared" si="172"/>
        <v>EF015</v>
      </c>
      <c r="AE1024" s="443"/>
      <c r="AF1024" s="443"/>
      <c r="AG1024" s="443"/>
      <c r="AH1024" s="443"/>
    </row>
    <row r="1025" spans="1:34" ht="15" customHeight="1">
      <c r="A1025" s="728">
        <f t="shared" si="175"/>
        <v>1018</v>
      </c>
      <c r="B1025" s="563">
        <v>9</v>
      </c>
      <c r="C1025" s="694">
        <v>39968</v>
      </c>
      <c r="D1025" s="694" t="s">
        <v>149</v>
      </c>
      <c r="E1025" s="695">
        <v>4</v>
      </c>
      <c r="F1025" s="503">
        <v>2009</v>
      </c>
      <c r="G1025" s="563" t="s">
        <v>112</v>
      </c>
      <c r="H1025" s="503" t="s">
        <v>161</v>
      </c>
      <c r="I1025" s="695">
        <v>100</v>
      </c>
      <c r="J1025" s="695">
        <v>1</v>
      </c>
      <c r="K1025" s="777">
        <f t="shared" si="174"/>
        <v>5.6818181818181816E-2</v>
      </c>
      <c r="L1025" s="968">
        <v>0</v>
      </c>
      <c r="M1025" s="503">
        <f t="shared" si="176"/>
        <v>17</v>
      </c>
      <c r="N1025" s="504">
        <v>0.71388888888888891</v>
      </c>
      <c r="O1025" s="719">
        <f t="shared" si="166"/>
        <v>0.71388888888888891</v>
      </c>
      <c r="P1025" s="564">
        <v>0.71597222222222223</v>
      </c>
      <c r="Q1025" s="564">
        <f t="shared" si="173"/>
        <v>2.0833333333333259E-3</v>
      </c>
      <c r="R1025" s="965" t="s">
        <v>1520</v>
      </c>
      <c r="S1025" s="494" t="s">
        <v>552</v>
      </c>
      <c r="U1025" s="29" t="str">
        <f t="shared" si="167"/>
        <v>OldhamEF0</v>
      </c>
      <c r="V1025" s="29" t="str">
        <f t="shared" si="168"/>
        <v>2009EF0</v>
      </c>
      <c r="W1025" s="80">
        <v>100</v>
      </c>
      <c r="X1025" s="32">
        <v>1</v>
      </c>
      <c r="Y1025" s="467">
        <v>0.05</v>
      </c>
      <c r="Z1025" s="80"/>
      <c r="AA1025" s="29" t="str">
        <f t="shared" si="169"/>
        <v>EF0100</v>
      </c>
      <c r="AB1025" s="29" t="str">
        <f t="shared" si="170"/>
        <v>EF01</v>
      </c>
      <c r="AC1025" s="29" t="str">
        <f t="shared" si="171"/>
        <v>EF00.05</v>
      </c>
      <c r="AD1025" s="29" t="str">
        <f t="shared" si="172"/>
        <v>EF017</v>
      </c>
      <c r="AE1025" s="443"/>
      <c r="AF1025" s="443"/>
      <c r="AG1025" s="443"/>
      <c r="AH1025" s="443"/>
    </row>
    <row r="1026" spans="1:34" ht="30" customHeight="1">
      <c r="A1026" s="728">
        <f t="shared" si="175"/>
        <v>1019</v>
      </c>
      <c r="B1026" s="563">
        <v>10</v>
      </c>
      <c r="C1026" s="694">
        <v>39968</v>
      </c>
      <c r="D1026" s="694" t="s">
        <v>149</v>
      </c>
      <c r="E1026" s="695">
        <v>4</v>
      </c>
      <c r="F1026" s="503">
        <v>2009</v>
      </c>
      <c r="G1026" s="563" t="s">
        <v>118</v>
      </c>
      <c r="H1026" s="503" t="s">
        <v>161</v>
      </c>
      <c r="I1026" s="695">
        <v>100</v>
      </c>
      <c r="J1026" s="695">
        <v>0.13</v>
      </c>
      <c r="K1026" s="777">
        <f t="shared" si="174"/>
        <v>7.3863636363636362E-3</v>
      </c>
      <c r="L1026" s="968">
        <v>0</v>
      </c>
      <c r="M1026" s="503">
        <f t="shared" si="176"/>
        <v>17</v>
      </c>
      <c r="N1026" s="504">
        <v>0.73125000000000007</v>
      </c>
      <c r="O1026" s="719">
        <f t="shared" si="166"/>
        <v>0.73125000000000007</v>
      </c>
      <c r="P1026" s="564">
        <v>0.73125000000000007</v>
      </c>
      <c r="Q1026" s="564">
        <f t="shared" si="173"/>
        <v>0</v>
      </c>
      <c r="R1026" s="965" t="s">
        <v>1520</v>
      </c>
      <c r="S1026" s="494" t="s">
        <v>1438</v>
      </c>
      <c r="U1026" s="29" t="str">
        <f t="shared" si="167"/>
        <v>RandallEF0</v>
      </c>
      <c r="V1026" s="29" t="str">
        <f t="shared" si="168"/>
        <v>2009EF0</v>
      </c>
      <c r="W1026" s="80">
        <v>100</v>
      </c>
      <c r="X1026" s="32">
        <v>0.1</v>
      </c>
      <c r="Y1026" s="467">
        <v>5.0000000000000001E-3</v>
      </c>
      <c r="Z1026" s="80"/>
      <c r="AA1026" s="29" t="str">
        <f t="shared" si="169"/>
        <v>EF0100</v>
      </c>
      <c r="AB1026" s="29" t="str">
        <f t="shared" si="170"/>
        <v>EF00.1</v>
      </c>
      <c r="AC1026" s="29" t="str">
        <f t="shared" si="171"/>
        <v>EF00.005</v>
      </c>
      <c r="AD1026" s="29" t="str">
        <f t="shared" si="172"/>
        <v>EF017</v>
      </c>
      <c r="AE1026" s="443"/>
      <c r="AF1026" s="443"/>
      <c r="AG1026" s="443"/>
      <c r="AH1026" s="443"/>
    </row>
    <row r="1027" spans="1:34" ht="16.5">
      <c r="A1027" s="728">
        <f t="shared" si="175"/>
        <v>1020</v>
      </c>
      <c r="B1027" s="563">
        <v>11</v>
      </c>
      <c r="C1027" s="694">
        <v>39968</v>
      </c>
      <c r="D1027" s="694" t="s">
        <v>149</v>
      </c>
      <c r="E1027" s="695">
        <v>4</v>
      </c>
      <c r="F1027" s="503">
        <v>2009</v>
      </c>
      <c r="G1027" s="563" t="s">
        <v>118</v>
      </c>
      <c r="H1027" s="503" t="s">
        <v>161</v>
      </c>
      <c r="I1027" s="695">
        <v>100</v>
      </c>
      <c r="J1027" s="695">
        <v>0.75</v>
      </c>
      <c r="K1027" s="777">
        <f t="shared" si="174"/>
        <v>4.261363636363636E-2</v>
      </c>
      <c r="L1027" s="968">
        <v>0</v>
      </c>
      <c r="M1027" s="503">
        <f t="shared" si="176"/>
        <v>17</v>
      </c>
      <c r="N1027" s="504">
        <v>0.73611111111111116</v>
      </c>
      <c r="O1027" s="719">
        <f t="shared" si="166"/>
        <v>0.73611111111111116</v>
      </c>
      <c r="P1027" s="564">
        <v>0.73749999999999993</v>
      </c>
      <c r="Q1027" s="564">
        <f t="shared" si="173"/>
        <v>1.3888888888887729E-3</v>
      </c>
      <c r="R1027" s="965" t="s">
        <v>1520</v>
      </c>
      <c r="S1027" s="494" t="s">
        <v>62</v>
      </c>
      <c r="U1027" s="29" t="str">
        <f t="shared" si="167"/>
        <v>RandallEF0</v>
      </c>
      <c r="V1027" s="29" t="str">
        <f t="shared" si="168"/>
        <v>2009EF0</v>
      </c>
      <c r="W1027" s="80">
        <v>100</v>
      </c>
      <c r="X1027" s="32">
        <v>0.5</v>
      </c>
      <c r="Y1027" s="467">
        <v>0.02</v>
      </c>
      <c r="Z1027" s="80"/>
      <c r="AA1027" s="29" t="str">
        <f t="shared" si="169"/>
        <v>EF0100</v>
      </c>
      <c r="AB1027" s="29" t="str">
        <f t="shared" si="170"/>
        <v>EF00.5</v>
      </c>
      <c r="AC1027" s="29" t="str">
        <f t="shared" si="171"/>
        <v>EF00.02</v>
      </c>
      <c r="AD1027" s="29" t="str">
        <f t="shared" si="172"/>
        <v>EF017</v>
      </c>
      <c r="AE1027" s="443"/>
      <c r="AF1027" s="443"/>
      <c r="AG1027" s="443"/>
      <c r="AH1027" s="443"/>
    </row>
    <row r="1028" spans="1:34" ht="54.95" customHeight="1">
      <c r="A1028" s="728">
        <f t="shared" si="175"/>
        <v>1021</v>
      </c>
      <c r="B1028" s="563">
        <v>12</v>
      </c>
      <c r="C1028" s="694">
        <v>39969</v>
      </c>
      <c r="D1028" s="694" t="s">
        <v>149</v>
      </c>
      <c r="E1028" s="695">
        <v>5</v>
      </c>
      <c r="F1028" s="503">
        <v>2009</v>
      </c>
      <c r="G1028" s="563" t="s">
        <v>114</v>
      </c>
      <c r="H1028" s="503" t="s">
        <v>161</v>
      </c>
      <c r="I1028" s="695">
        <v>25</v>
      </c>
      <c r="J1028" s="695">
        <v>1.29</v>
      </c>
      <c r="K1028" s="777">
        <f t="shared" si="174"/>
        <v>1.8323863636363635E-2</v>
      </c>
      <c r="L1028" s="968">
        <v>0</v>
      </c>
      <c r="M1028" s="503">
        <f t="shared" si="176"/>
        <v>20</v>
      </c>
      <c r="N1028" s="504">
        <v>0.86041666666666661</v>
      </c>
      <c r="O1028" s="719">
        <f t="shared" si="166"/>
        <v>0.86041666666666661</v>
      </c>
      <c r="P1028" s="564">
        <v>0.8666666666666667</v>
      </c>
      <c r="Q1028" s="564">
        <f t="shared" si="173"/>
        <v>6.2500000000000888E-3</v>
      </c>
      <c r="R1028" s="965" t="s">
        <v>1520</v>
      </c>
      <c r="S1028" s="505" t="s">
        <v>588</v>
      </c>
      <c r="U1028" s="29" t="str">
        <f t="shared" si="167"/>
        <v>CarsonEF0</v>
      </c>
      <c r="V1028" s="29" t="str">
        <f t="shared" si="168"/>
        <v>2009EF0</v>
      </c>
      <c r="W1028" s="80">
        <v>20</v>
      </c>
      <c r="X1028" s="32">
        <v>1</v>
      </c>
      <c r="Y1028" s="467">
        <v>0.01</v>
      </c>
      <c r="Z1028" s="80"/>
      <c r="AA1028" s="29" t="str">
        <f t="shared" si="169"/>
        <v>EF020</v>
      </c>
      <c r="AB1028" s="29" t="str">
        <f t="shared" si="170"/>
        <v>EF01</v>
      </c>
      <c r="AC1028" s="29" t="str">
        <f t="shared" si="171"/>
        <v>EF00.01</v>
      </c>
      <c r="AD1028" s="29" t="str">
        <f t="shared" si="172"/>
        <v>EF020</v>
      </c>
      <c r="AE1028" s="443"/>
      <c r="AF1028" s="443"/>
      <c r="AG1028" s="443"/>
      <c r="AH1028" s="443"/>
    </row>
    <row r="1029" spans="1:34" ht="16.5">
      <c r="A1029" s="728">
        <f t="shared" si="175"/>
        <v>1022</v>
      </c>
      <c r="B1029" s="563">
        <v>13</v>
      </c>
      <c r="C1029" s="694">
        <v>39979</v>
      </c>
      <c r="D1029" s="694" t="s">
        <v>149</v>
      </c>
      <c r="E1029" s="695">
        <v>15</v>
      </c>
      <c r="F1029" s="503">
        <v>2009</v>
      </c>
      <c r="G1029" s="563" t="s">
        <v>105</v>
      </c>
      <c r="H1029" s="503" t="s">
        <v>161</v>
      </c>
      <c r="I1029" s="695">
        <v>50</v>
      </c>
      <c r="J1029" s="695">
        <v>0.25</v>
      </c>
      <c r="K1029" s="777">
        <f t="shared" si="174"/>
        <v>7.102272727272727E-3</v>
      </c>
      <c r="L1029" s="968">
        <v>0</v>
      </c>
      <c r="M1029" s="503">
        <f t="shared" si="176"/>
        <v>17</v>
      </c>
      <c r="N1029" s="504">
        <v>0.72430555555555554</v>
      </c>
      <c r="O1029" s="719">
        <f t="shared" si="166"/>
        <v>0.72430555555555554</v>
      </c>
      <c r="P1029" s="564">
        <v>0.7284722222222223</v>
      </c>
      <c r="Q1029" s="564">
        <f t="shared" si="173"/>
        <v>4.1666666666667629E-3</v>
      </c>
      <c r="R1029" s="965" t="s">
        <v>1520</v>
      </c>
      <c r="S1029" s="494" t="s">
        <v>553</v>
      </c>
      <c r="U1029" s="29" t="str">
        <f t="shared" si="167"/>
        <v>OchiltreeEF0</v>
      </c>
      <c r="V1029" s="29" t="str">
        <f t="shared" si="168"/>
        <v>2009EF0</v>
      </c>
      <c r="W1029" s="80">
        <v>50</v>
      </c>
      <c r="X1029" s="32">
        <v>0.2</v>
      </c>
      <c r="Y1029" s="467">
        <v>5.0000000000000001E-3</v>
      </c>
      <c r="Z1029" s="80"/>
      <c r="AA1029" s="29" t="str">
        <f t="shared" si="169"/>
        <v>EF050</v>
      </c>
      <c r="AB1029" s="29" t="str">
        <f t="shared" si="170"/>
        <v>EF00.2</v>
      </c>
      <c r="AC1029" s="29" t="str">
        <f t="shared" si="171"/>
        <v>EF00.005</v>
      </c>
      <c r="AD1029" s="29" t="str">
        <f t="shared" si="172"/>
        <v>EF017</v>
      </c>
      <c r="AE1029" s="443"/>
      <c r="AF1029" s="443"/>
      <c r="AG1029" s="443"/>
      <c r="AH1029" s="443"/>
    </row>
    <row r="1030" spans="1:34" ht="120" customHeight="1">
      <c r="A1030" s="728">
        <f t="shared" si="175"/>
        <v>1023</v>
      </c>
      <c r="B1030" s="563">
        <v>1</v>
      </c>
      <c r="C1030" s="694">
        <v>40288</v>
      </c>
      <c r="D1030" s="694" t="s">
        <v>147</v>
      </c>
      <c r="E1030" s="695">
        <v>20</v>
      </c>
      <c r="F1030" s="503">
        <v>2010</v>
      </c>
      <c r="G1030" s="707" t="s">
        <v>113</v>
      </c>
      <c r="H1030" s="503" t="s">
        <v>161</v>
      </c>
      <c r="I1030" s="695">
        <v>50</v>
      </c>
      <c r="J1030" s="695">
        <v>1.05</v>
      </c>
      <c r="K1030" s="777">
        <f t="shared" si="174"/>
        <v>2.9829545454545456E-2</v>
      </c>
      <c r="L1030" s="968">
        <v>0</v>
      </c>
      <c r="M1030" s="503">
        <f t="shared" si="176"/>
        <v>18</v>
      </c>
      <c r="N1030" s="504">
        <v>0.75277777777777777</v>
      </c>
      <c r="O1030" s="719">
        <f t="shared" si="166"/>
        <v>0.75277777777777777</v>
      </c>
      <c r="P1030" s="564">
        <v>0.75624999999999998</v>
      </c>
      <c r="Q1030" s="564">
        <f t="shared" si="173"/>
        <v>3.4722222222222099E-3</v>
      </c>
      <c r="R1030" s="965" t="s">
        <v>1520</v>
      </c>
      <c r="S1030" s="494" t="s">
        <v>889</v>
      </c>
      <c r="U1030" s="29" t="str">
        <f t="shared" si="167"/>
        <v>PotterEF0</v>
      </c>
      <c r="V1030" s="29" t="str">
        <f t="shared" si="168"/>
        <v>2010EF0</v>
      </c>
      <c r="W1030" s="80">
        <v>50</v>
      </c>
      <c r="X1030" s="32">
        <v>1</v>
      </c>
      <c r="Y1030" s="467">
        <v>0.02</v>
      </c>
      <c r="Z1030" s="80"/>
      <c r="AA1030" s="29" t="str">
        <f t="shared" si="169"/>
        <v>EF050</v>
      </c>
      <c r="AB1030" s="29" t="str">
        <f t="shared" si="170"/>
        <v>EF01</v>
      </c>
      <c r="AC1030" s="29" t="str">
        <f t="shared" si="171"/>
        <v>EF00.02</v>
      </c>
      <c r="AD1030" s="29" t="str">
        <f t="shared" si="172"/>
        <v>EF018</v>
      </c>
      <c r="AE1030" s="443"/>
      <c r="AF1030" s="443"/>
      <c r="AG1030" s="443"/>
      <c r="AH1030" s="443"/>
    </row>
    <row r="1031" spans="1:34" ht="25.5">
      <c r="A1031" s="728">
        <f t="shared" si="175"/>
        <v>1024</v>
      </c>
      <c r="B1031" s="563">
        <v>2</v>
      </c>
      <c r="C1031" s="694">
        <v>40288</v>
      </c>
      <c r="D1031" s="694" t="s">
        <v>147</v>
      </c>
      <c r="E1031" s="695">
        <v>20</v>
      </c>
      <c r="F1031" s="503">
        <v>2010</v>
      </c>
      <c r="G1031" s="707" t="s">
        <v>118</v>
      </c>
      <c r="H1031" s="503" t="s">
        <v>161</v>
      </c>
      <c r="I1031" s="695">
        <v>50</v>
      </c>
      <c r="J1031" s="695">
        <v>0.9</v>
      </c>
      <c r="K1031" s="777">
        <f t="shared" si="174"/>
        <v>2.5568181818181816E-2</v>
      </c>
      <c r="L1031" s="968">
        <v>0</v>
      </c>
      <c r="M1031" s="503">
        <f t="shared" si="176"/>
        <v>18</v>
      </c>
      <c r="N1031" s="504">
        <v>0.78263888888888899</v>
      </c>
      <c r="O1031" s="719">
        <f t="shared" si="166"/>
        <v>0.78263888888888899</v>
      </c>
      <c r="P1031" s="564">
        <v>0.78402777777777777</v>
      </c>
      <c r="Q1031" s="564">
        <f t="shared" si="173"/>
        <v>1.3888888888887729E-3</v>
      </c>
      <c r="R1031" s="965" t="s">
        <v>1520</v>
      </c>
      <c r="S1031" s="494" t="s">
        <v>860</v>
      </c>
      <c r="U1031" s="29" t="str">
        <f t="shared" ref="U1031:U1094" si="177">CONCATENATE(G1031,H1031)</f>
        <v>RandallEF0</v>
      </c>
      <c r="V1031" s="29" t="str">
        <f t="shared" ref="V1031:V1094" si="178">CONCATENATE(F1031,H1031)</f>
        <v>2010EF0</v>
      </c>
      <c r="W1031" s="80">
        <v>50</v>
      </c>
      <c r="X1031" s="32">
        <v>0.5</v>
      </c>
      <c r="Y1031" s="467">
        <v>0.02</v>
      </c>
      <c r="Z1031" s="80"/>
      <c r="AA1031" s="29" t="str">
        <f t="shared" si="169"/>
        <v>EF050</v>
      </c>
      <c r="AB1031" s="29" t="str">
        <f t="shared" si="170"/>
        <v>EF00.5</v>
      </c>
      <c r="AC1031" s="29" t="str">
        <f t="shared" si="171"/>
        <v>EF00.02</v>
      </c>
      <c r="AD1031" s="29" t="str">
        <f t="shared" si="172"/>
        <v>EF018</v>
      </c>
      <c r="AE1031" s="443"/>
      <c r="AF1031" s="443"/>
      <c r="AG1031" s="443"/>
      <c r="AH1031" s="443"/>
    </row>
    <row r="1032" spans="1:34" ht="95.1" customHeight="1">
      <c r="A1032" s="728">
        <f t="shared" si="175"/>
        <v>1025</v>
      </c>
      <c r="B1032" s="563">
        <v>3</v>
      </c>
      <c r="C1032" s="694">
        <v>40290</v>
      </c>
      <c r="D1032" s="694" t="s">
        <v>147</v>
      </c>
      <c r="E1032" s="695">
        <v>22</v>
      </c>
      <c r="F1032" s="503">
        <v>2010</v>
      </c>
      <c r="G1032" s="563" t="s">
        <v>119</v>
      </c>
      <c r="H1032" s="503" t="s">
        <v>161</v>
      </c>
      <c r="I1032" s="695">
        <v>50</v>
      </c>
      <c r="J1032" s="695">
        <v>1.83</v>
      </c>
      <c r="K1032" s="777">
        <f t="shared" si="174"/>
        <v>5.1988636363636362E-2</v>
      </c>
      <c r="L1032" s="968">
        <v>0</v>
      </c>
      <c r="M1032" s="503">
        <f t="shared" si="176"/>
        <v>15</v>
      </c>
      <c r="N1032" s="504">
        <v>0.66597222222222219</v>
      </c>
      <c r="O1032" s="719">
        <f t="shared" si="166"/>
        <v>0.66597222222222219</v>
      </c>
      <c r="P1032" s="564">
        <v>0.66805555555555562</v>
      </c>
      <c r="Q1032" s="564">
        <f t="shared" ref="Q1032:Q1094" si="179">+P1032-O1032</f>
        <v>2.083333333333437E-3</v>
      </c>
      <c r="R1032" s="965" t="s">
        <v>1520</v>
      </c>
      <c r="S1032" s="494" t="s">
        <v>862</v>
      </c>
      <c r="U1032" s="29" t="str">
        <f t="shared" si="177"/>
        <v>ArmstrongEF0</v>
      </c>
      <c r="V1032" s="29" t="str">
        <f t="shared" si="178"/>
        <v>2010EF0</v>
      </c>
      <c r="W1032" s="80">
        <v>50</v>
      </c>
      <c r="X1032" s="32">
        <v>1</v>
      </c>
      <c r="Y1032" s="467">
        <v>0.05</v>
      </c>
      <c r="Z1032" s="80"/>
      <c r="AA1032" s="29" t="str">
        <f t="shared" si="169"/>
        <v>EF050</v>
      </c>
      <c r="AB1032" s="29" t="str">
        <f t="shared" si="170"/>
        <v>EF01</v>
      </c>
      <c r="AC1032" s="29" t="str">
        <f t="shared" si="171"/>
        <v>EF00.05</v>
      </c>
      <c r="AD1032" s="29" t="str">
        <f t="shared" si="172"/>
        <v>EF015</v>
      </c>
      <c r="AE1032" s="443"/>
      <c r="AF1032" s="443"/>
      <c r="AG1032" s="443"/>
      <c r="AH1032" s="443"/>
    </row>
    <row r="1033" spans="1:34" ht="16.5">
      <c r="A1033" s="728">
        <f t="shared" si="175"/>
        <v>1026</v>
      </c>
      <c r="B1033" s="563">
        <v>4</v>
      </c>
      <c r="C1033" s="694">
        <v>40290</v>
      </c>
      <c r="D1033" s="694" t="s">
        <v>147</v>
      </c>
      <c r="E1033" s="695">
        <v>22</v>
      </c>
      <c r="F1033" s="503">
        <v>2010</v>
      </c>
      <c r="G1033" s="563" t="s">
        <v>120</v>
      </c>
      <c r="H1033" s="503" t="s">
        <v>161</v>
      </c>
      <c r="I1033" s="563">
        <v>100</v>
      </c>
      <c r="J1033" s="563">
        <v>5.24</v>
      </c>
      <c r="K1033" s="777">
        <f t="shared" ref="K1033:K1095" si="180">+(I1033/1760)*J1033</f>
        <v>0.29772727272727273</v>
      </c>
      <c r="L1033" s="968">
        <v>0</v>
      </c>
      <c r="M1033" s="503">
        <f t="shared" si="176"/>
        <v>16</v>
      </c>
      <c r="N1033" s="504">
        <v>0.67361111111111116</v>
      </c>
      <c r="O1033" s="719">
        <f t="shared" si="166"/>
        <v>0.67361111111111116</v>
      </c>
      <c r="P1033" s="564">
        <v>0.68472222222222223</v>
      </c>
      <c r="Q1033" s="564">
        <f t="shared" si="179"/>
        <v>1.1111111111111072E-2</v>
      </c>
      <c r="R1033" s="965" t="s">
        <v>1520</v>
      </c>
      <c r="S1033" s="494" t="s">
        <v>890</v>
      </c>
      <c r="U1033" s="29" t="str">
        <f t="shared" si="177"/>
        <v>DonleyEF0</v>
      </c>
      <c r="V1033" s="29" t="str">
        <f t="shared" si="178"/>
        <v>2010EF0</v>
      </c>
      <c r="W1033" s="80">
        <v>100</v>
      </c>
      <c r="X1033" s="32">
        <v>5</v>
      </c>
      <c r="Y1033" s="467">
        <v>0.2</v>
      </c>
      <c r="Z1033" s="80"/>
      <c r="AA1033" s="29" t="str">
        <f t="shared" si="169"/>
        <v>EF0100</v>
      </c>
      <c r="AB1033" s="29" t="str">
        <f t="shared" si="170"/>
        <v>EF05</v>
      </c>
      <c r="AC1033" s="29" t="str">
        <f t="shared" si="171"/>
        <v>EF00.2</v>
      </c>
      <c r="AD1033" s="29" t="str">
        <f t="shared" si="172"/>
        <v>EF016</v>
      </c>
      <c r="AE1033" s="443"/>
      <c r="AF1033" s="443"/>
      <c r="AG1033" s="443"/>
      <c r="AH1033" s="443"/>
    </row>
    <row r="1034" spans="1:34" ht="15" customHeight="1">
      <c r="A1034" s="728">
        <f t="shared" ref="A1034:A1097" si="181">+A1033+1</f>
        <v>1027</v>
      </c>
      <c r="B1034" s="563">
        <v>5</v>
      </c>
      <c r="C1034" s="694">
        <v>40290</v>
      </c>
      <c r="D1034" s="694" t="s">
        <v>147</v>
      </c>
      <c r="E1034" s="695">
        <v>22</v>
      </c>
      <c r="F1034" s="503">
        <v>2010</v>
      </c>
      <c r="G1034" s="563" t="s">
        <v>119</v>
      </c>
      <c r="H1034" s="503" t="s">
        <v>162</v>
      </c>
      <c r="I1034" s="563">
        <v>100</v>
      </c>
      <c r="J1034" s="563">
        <v>10.34</v>
      </c>
      <c r="K1034" s="777">
        <f t="shared" si="180"/>
        <v>0.58750000000000002</v>
      </c>
      <c r="L1034" s="968">
        <v>3000</v>
      </c>
      <c r="M1034" s="503">
        <f t="shared" si="176"/>
        <v>16</v>
      </c>
      <c r="N1034" s="504">
        <v>0.68055555555555547</v>
      </c>
      <c r="O1034" s="719">
        <f t="shared" si="166"/>
        <v>0.68055555555555547</v>
      </c>
      <c r="P1034" s="564">
        <v>0.69652777777777775</v>
      </c>
      <c r="Q1034" s="564">
        <f t="shared" si="179"/>
        <v>1.5972222222222276E-2</v>
      </c>
      <c r="R1034" s="965" t="s">
        <v>1520</v>
      </c>
      <c r="S1034" s="494" t="s">
        <v>861</v>
      </c>
      <c r="U1034" s="29" t="str">
        <f t="shared" si="177"/>
        <v>ArmstrongEF1</v>
      </c>
      <c r="V1034" s="29" t="str">
        <f t="shared" si="178"/>
        <v>2010EF1</v>
      </c>
      <c r="W1034" s="80">
        <v>100</v>
      </c>
      <c r="X1034" s="32">
        <v>10</v>
      </c>
      <c r="Y1034" s="467">
        <v>0.5</v>
      </c>
      <c r="Z1034" s="80"/>
      <c r="AA1034" s="29" t="str">
        <f t="shared" si="169"/>
        <v>EF1100</v>
      </c>
      <c r="AB1034" s="29" t="str">
        <f t="shared" si="170"/>
        <v>EF110</v>
      </c>
      <c r="AC1034" s="29" t="str">
        <f t="shared" si="171"/>
        <v>EF10.5</v>
      </c>
      <c r="AD1034" s="29" t="str">
        <f t="shared" si="172"/>
        <v>EF116</v>
      </c>
      <c r="AE1034" s="443"/>
      <c r="AF1034" s="443"/>
      <c r="AG1034" s="443"/>
      <c r="AH1034" s="443"/>
    </row>
    <row r="1035" spans="1:34" ht="16.5">
      <c r="A1035" s="728">
        <f t="shared" si="181"/>
        <v>1028</v>
      </c>
      <c r="B1035" s="563">
        <v>6</v>
      </c>
      <c r="C1035" s="694">
        <v>40290</v>
      </c>
      <c r="D1035" s="694" t="s">
        <v>147</v>
      </c>
      <c r="E1035" s="695">
        <v>22</v>
      </c>
      <c r="F1035" s="503">
        <v>2010</v>
      </c>
      <c r="G1035" s="563" t="s">
        <v>101</v>
      </c>
      <c r="H1035" s="503" t="s">
        <v>161</v>
      </c>
      <c r="I1035" s="563">
        <v>25</v>
      </c>
      <c r="J1035" s="563">
        <v>0.23</v>
      </c>
      <c r="K1035" s="777">
        <f t="shared" si="180"/>
        <v>3.2670454545454548E-3</v>
      </c>
      <c r="L1035" s="968">
        <v>0</v>
      </c>
      <c r="M1035" s="503">
        <f t="shared" si="176"/>
        <v>16</v>
      </c>
      <c r="N1035" s="504">
        <v>0.70208333333333339</v>
      </c>
      <c r="O1035" s="719">
        <f t="shared" si="166"/>
        <v>0.70208333333333339</v>
      </c>
      <c r="P1035" s="564">
        <v>0.70277777777777783</v>
      </c>
      <c r="Q1035" s="564">
        <f t="shared" si="179"/>
        <v>6.9444444444444198E-4</v>
      </c>
      <c r="R1035" s="965" t="s">
        <v>1520</v>
      </c>
      <c r="S1035" s="494" t="s">
        <v>888</v>
      </c>
      <c r="U1035" s="29" t="str">
        <f t="shared" si="177"/>
        <v>BeaverEF0</v>
      </c>
      <c r="V1035" s="29" t="str">
        <f t="shared" si="178"/>
        <v>2010EF0</v>
      </c>
      <c r="W1035" s="80">
        <v>20</v>
      </c>
      <c r="X1035" s="32">
        <v>0.2</v>
      </c>
      <c r="Y1035" s="467">
        <v>2E-3</v>
      </c>
      <c r="Z1035" s="80"/>
      <c r="AA1035" s="29" t="str">
        <f t="shared" si="169"/>
        <v>EF020</v>
      </c>
      <c r="AB1035" s="29" t="str">
        <f t="shared" si="170"/>
        <v>EF00.2</v>
      </c>
      <c r="AC1035" s="29" t="str">
        <f t="shared" si="171"/>
        <v>EF00.002</v>
      </c>
      <c r="AD1035" s="29" t="str">
        <f t="shared" si="172"/>
        <v>EF016</v>
      </c>
      <c r="AE1035" s="443"/>
      <c r="AF1035" s="443"/>
      <c r="AG1035" s="443"/>
      <c r="AH1035" s="443"/>
    </row>
    <row r="1036" spans="1:34" ht="16.5">
      <c r="A1036" s="728">
        <f t="shared" si="181"/>
        <v>1029</v>
      </c>
      <c r="B1036" s="565">
        <v>7</v>
      </c>
      <c r="C1036" s="694">
        <v>40290</v>
      </c>
      <c r="D1036" s="694" t="s">
        <v>147</v>
      </c>
      <c r="E1036" s="695">
        <v>22</v>
      </c>
      <c r="F1036" s="503">
        <v>2010</v>
      </c>
      <c r="G1036" s="565" t="s">
        <v>115</v>
      </c>
      <c r="H1036" s="27" t="s">
        <v>161</v>
      </c>
      <c r="I1036" s="565">
        <v>25</v>
      </c>
      <c r="J1036" s="565">
        <v>0.49</v>
      </c>
      <c r="K1036" s="817">
        <f t="shared" si="180"/>
        <v>6.9602272727272724E-3</v>
      </c>
      <c r="L1036" s="968">
        <v>0</v>
      </c>
      <c r="M1036" s="741">
        <f t="shared" si="176"/>
        <v>16</v>
      </c>
      <c r="N1036" s="29">
        <v>0.69305555555555554</v>
      </c>
      <c r="O1036" s="742">
        <f t="shared" si="166"/>
        <v>0.69305555555555554</v>
      </c>
      <c r="P1036" s="564">
        <v>0.69444444444444453</v>
      </c>
      <c r="Q1036" s="743">
        <f t="shared" si="179"/>
        <v>1.388888888888995E-3</v>
      </c>
      <c r="R1036" s="965" t="s">
        <v>1520</v>
      </c>
      <c r="S1036" s="494" t="s">
        <v>891</v>
      </c>
      <c r="U1036" s="29" t="str">
        <f t="shared" si="177"/>
        <v>GrayEF0</v>
      </c>
      <c r="V1036" s="29" t="str">
        <f t="shared" si="178"/>
        <v>2010EF0</v>
      </c>
      <c r="W1036" s="80">
        <v>20</v>
      </c>
      <c r="X1036" s="32">
        <v>0.2</v>
      </c>
      <c r="Y1036" s="467">
        <v>5.0000000000000001E-3</v>
      </c>
      <c r="Z1036" s="80"/>
      <c r="AA1036" s="29" t="str">
        <f>CONCATENATE(H1038,W1036)</f>
        <v>EF020</v>
      </c>
      <c r="AB1036" s="29" t="str">
        <f>CONCATENATE(H1038,X1036)</f>
        <v>EF00.2</v>
      </c>
      <c r="AC1036" s="29" t="str">
        <f>CONCATENATE(H1038,Y1036)</f>
        <v>EF00.005</v>
      </c>
      <c r="AD1036" s="29" t="str">
        <f>CONCATENATE(H1038,M1038)</f>
        <v>EF017</v>
      </c>
      <c r="AE1036" s="443"/>
      <c r="AF1036" s="443"/>
      <c r="AG1036" s="443"/>
      <c r="AH1036" s="443"/>
    </row>
    <row r="1037" spans="1:34" ht="16.5">
      <c r="A1037" s="728">
        <f t="shared" si="181"/>
        <v>1030</v>
      </c>
      <c r="B1037" s="565">
        <v>8</v>
      </c>
      <c r="C1037" s="694">
        <v>40290</v>
      </c>
      <c r="D1037" s="694" t="s">
        <v>147</v>
      </c>
      <c r="E1037" s="695">
        <v>22</v>
      </c>
      <c r="F1037" s="503">
        <v>2010</v>
      </c>
      <c r="G1037" s="565" t="s">
        <v>120</v>
      </c>
      <c r="H1037" s="27" t="s">
        <v>161</v>
      </c>
      <c r="I1037" s="565">
        <v>25</v>
      </c>
      <c r="J1037" s="565">
        <v>0.59</v>
      </c>
      <c r="K1037" s="817">
        <f>+(I1037/1760)*J1037</f>
        <v>8.3806818181818166E-3</v>
      </c>
      <c r="L1037" s="968">
        <v>0</v>
      </c>
      <c r="M1037" s="741">
        <f>HOUR(O1037)</f>
        <v>17</v>
      </c>
      <c r="N1037" s="29">
        <v>0.71319444444444446</v>
      </c>
      <c r="O1037" s="742">
        <f>+N1037</f>
        <v>0.71319444444444446</v>
      </c>
      <c r="P1037" s="564">
        <v>0.71458333333333324</v>
      </c>
      <c r="Q1037" s="743">
        <f>+P1037-O1037</f>
        <v>1.3888888888887729E-3</v>
      </c>
      <c r="R1037" s="965" t="s">
        <v>1520</v>
      </c>
      <c r="S1037" s="494" t="s">
        <v>890</v>
      </c>
      <c r="U1037" s="29" t="str">
        <f t="shared" si="177"/>
        <v>DonleyEF0</v>
      </c>
      <c r="V1037" s="29" t="str">
        <f t="shared" si="178"/>
        <v>2010EF0</v>
      </c>
      <c r="W1037" s="80">
        <v>20</v>
      </c>
      <c r="X1037" s="32">
        <v>0.5</v>
      </c>
      <c r="Y1037" s="467">
        <v>5.0000000000000001E-3</v>
      </c>
      <c r="Z1037" s="80"/>
      <c r="AA1037" s="29" t="str">
        <f>CONCATENATE(H1039,W1037)</f>
        <v>EF020</v>
      </c>
      <c r="AB1037" s="29" t="str">
        <f>CONCATENATE(H1039,X1037)</f>
        <v>EF00.5</v>
      </c>
      <c r="AC1037" s="29" t="str">
        <f>CONCATENATE(H1039,Y1037)</f>
        <v>EF00.005</v>
      </c>
      <c r="AD1037" s="29" t="str">
        <f>CONCATENATE(H1039,M1039)</f>
        <v>EF017</v>
      </c>
      <c r="AE1037" s="443"/>
      <c r="AF1037" s="443"/>
      <c r="AG1037" s="443"/>
      <c r="AH1037" s="443"/>
    </row>
    <row r="1038" spans="1:34" ht="16.5">
      <c r="A1038" s="728">
        <f>+A1037+1</f>
        <v>1031</v>
      </c>
      <c r="B1038" s="563">
        <v>9</v>
      </c>
      <c r="C1038" s="694">
        <v>40290</v>
      </c>
      <c r="D1038" s="694" t="s">
        <v>147</v>
      </c>
      <c r="E1038" s="695">
        <v>22</v>
      </c>
      <c r="F1038" s="503">
        <v>2010</v>
      </c>
      <c r="G1038" s="563" t="s">
        <v>115</v>
      </c>
      <c r="H1038" s="503" t="s">
        <v>161</v>
      </c>
      <c r="I1038" s="563">
        <v>440</v>
      </c>
      <c r="J1038" s="563">
        <v>4.01</v>
      </c>
      <c r="K1038" s="777">
        <f>+(I1038/1760)*J1038</f>
        <v>1.0024999999999999</v>
      </c>
      <c r="L1038" s="968">
        <v>0</v>
      </c>
      <c r="M1038" s="503">
        <f>HOUR(O1038)</f>
        <v>17</v>
      </c>
      <c r="N1038" s="504">
        <v>0.72916666666666663</v>
      </c>
      <c r="O1038" s="719">
        <f>+N1038</f>
        <v>0.72916666666666663</v>
      </c>
      <c r="P1038" s="564">
        <v>0.74444444444444446</v>
      </c>
      <c r="Q1038" s="564">
        <f>+P1038-O1038</f>
        <v>1.5277777777777835E-2</v>
      </c>
      <c r="R1038" s="965" t="s">
        <v>1520</v>
      </c>
      <c r="S1038" s="494" t="s">
        <v>892</v>
      </c>
      <c r="U1038" s="29" t="str">
        <f t="shared" si="177"/>
        <v>GrayEF0</v>
      </c>
      <c r="V1038" s="29" t="str">
        <f t="shared" si="178"/>
        <v>2010EF0</v>
      </c>
      <c r="W1038" s="80">
        <v>200</v>
      </c>
      <c r="X1038" s="32">
        <v>2</v>
      </c>
      <c r="Y1038" s="467">
        <v>1</v>
      </c>
      <c r="Z1038" s="80"/>
      <c r="AA1038" s="29" t="str">
        <f>CONCATENATE(H1039,W1038)</f>
        <v>EF0200</v>
      </c>
      <c r="AB1038" s="29" t="str">
        <f>CONCATENATE(H1039,X1038)</f>
        <v>EF02</v>
      </c>
      <c r="AC1038" s="29" t="str">
        <f>CONCATENATE(H1039,Y1038)</f>
        <v>EF01</v>
      </c>
      <c r="AD1038" s="29" t="str">
        <f>CONCATENATE(H1039,M1039)</f>
        <v>EF017</v>
      </c>
      <c r="AE1038" s="443"/>
      <c r="AF1038" s="443"/>
      <c r="AG1038" s="443"/>
      <c r="AH1038" s="443"/>
    </row>
    <row r="1039" spans="1:34" ht="16.5">
      <c r="A1039" s="728">
        <f t="shared" si="181"/>
        <v>1032</v>
      </c>
      <c r="B1039" s="563">
        <v>10</v>
      </c>
      <c r="C1039" s="694">
        <v>40290</v>
      </c>
      <c r="D1039" s="694" t="s">
        <v>147</v>
      </c>
      <c r="E1039" s="695">
        <v>22</v>
      </c>
      <c r="F1039" s="503">
        <v>2010</v>
      </c>
      <c r="G1039" s="563" t="s">
        <v>115</v>
      </c>
      <c r="H1039" s="503" t="s">
        <v>161</v>
      </c>
      <c r="I1039" s="695">
        <v>100</v>
      </c>
      <c r="J1039" s="695">
        <v>4.47</v>
      </c>
      <c r="K1039" s="777">
        <f>+(I1039/1760)*J1039</f>
        <v>0.25397727272727272</v>
      </c>
      <c r="L1039" s="968">
        <v>0</v>
      </c>
      <c r="M1039" s="503">
        <f>HOUR(O1039)</f>
        <v>17</v>
      </c>
      <c r="N1039" s="504">
        <v>0.23611111111111113</v>
      </c>
      <c r="O1039" s="719">
        <v>0.73611111111111116</v>
      </c>
      <c r="P1039" s="564">
        <v>0.74305555555555547</v>
      </c>
      <c r="Q1039" s="564">
        <f>+P1039-O1039</f>
        <v>6.9444444444443088E-3</v>
      </c>
      <c r="R1039" s="965" t="s">
        <v>1520</v>
      </c>
      <c r="S1039" s="494" t="s">
        <v>893</v>
      </c>
      <c r="U1039" s="29" t="str">
        <f t="shared" si="177"/>
        <v>GrayEF0</v>
      </c>
      <c r="V1039" s="29" t="str">
        <f t="shared" si="178"/>
        <v>2010EF0</v>
      </c>
      <c r="W1039" s="80">
        <v>100</v>
      </c>
      <c r="X1039" s="32">
        <v>2</v>
      </c>
      <c r="Y1039" s="467">
        <v>0.2</v>
      </c>
      <c r="Z1039" s="80"/>
      <c r="AA1039" s="29" t="str">
        <f>CONCATENATE(H1040,W1039)</f>
        <v>EF0100</v>
      </c>
      <c r="AB1039" s="29" t="str">
        <f>CONCATENATE(H1040,X1039)</f>
        <v>EF02</v>
      </c>
      <c r="AC1039" s="29" t="str">
        <f>CONCATENATE(H1040,Y1039)</f>
        <v>EF00.2</v>
      </c>
      <c r="AD1039" s="29" t="str">
        <f>CONCATENATE(H1040,M1040)</f>
        <v>EF016</v>
      </c>
      <c r="AE1039" s="443"/>
      <c r="AF1039" s="443"/>
      <c r="AG1039" s="443"/>
      <c r="AH1039" s="443"/>
    </row>
    <row r="1040" spans="1:34" ht="93.75" customHeight="1">
      <c r="A1040" s="728">
        <f t="shared" si="181"/>
        <v>1033</v>
      </c>
      <c r="B1040" s="563">
        <v>11</v>
      </c>
      <c r="C1040" s="694">
        <v>40316</v>
      </c>
      <c r="D1040" s="694" t="s">
        <v>863</v>
      </c>
      <c r="E1040" s="695">
        <v>18</v>
      </c>
      <c r="F1040" s="503">
        <v>2010</v>
      </c>
      <c r="G1040" s="563" t="s">
        <v>107</v>
      </c>
      <c r="H1040" s="503" t="s">
        <v>161</v>
      </c>
      <c r="I1040" s="695">
        <v>50</v>
      </c>
      <c r="J1040" s="695">
        <v>1.0900000000000001</v>
      </c>
      <c r="K1040" s="777">
        <f t="shared" si="180"/>
        <v>3.0965909090909093E-2</v>
      </c>
      <c r="L1040" s="968">
        <v>0</v>
      </c>
      <c r="M1040" s="503">
        <f>HOUR(O1040)</f>
        <v>16</v>
      </c>
      <c r="N1040" s="504">
        <v>0.68888888888888899</v>
      </c>
      <c r="O1040" s="719">
        <f t="shared" ref="O1040:O1110" si="182">+N1040</f>
        <v>0.68888888888888899</v>
      </c>
      <c r="P1040" s="564">
        <v>0.69166666666666676</v>
      </c>
      <c r="Q1040" s="564">
        <f t="shared" si="179"/>
        <v>2.7777777777777679E-3</v>
      </c>
      <c r="R1040" s="965" t="s">
        <v>1520</v>
      </c>
      <c r="S1040" s="494" t="s">
        <v>874</v>
      </c>
      <c r="U1040" s="29" t="str">
        <f t="shared" si="177"/>
        <v>HartleyEF0</v>
      </c>
      <c r="V1040" s="29" t="str">
        <f t="shared" si="178"/>
        <v>2010EF0</v>
      </c>
      <c r="W1040" s="80">
        <v>50</v>
      </c>
      <c r="X1040" s="32">
        <v>1</v>
      </c>
      <c r="Y1040" s="467">
        <v>0.02</v>
      </c>
      <c r="Z1040" s="80"/>
      <c r="AA1040" s="29" t="str">
        <f t="shared" ref="AA1040:AA1103" si="183">CONCATENATE(H1040,W1040)</f>
        <v>EF050</v>
      </c>
      <c r="AB1040" s="29" t="str">
        <f t="shared" ref="AB1040:AB1103" si="184">CONCATENATE(H1040,X1040)</f>
        <v>EF01</v>
      </c>
      <c r="AC1040" s="29" t="str">
        <f t="shared" ref="AC1040:AC1103" si="185">CONCATENATE(H1040,Y1040)</f>
        <v>EF00.02</v>
      </c>
      <c r="AD1040" s="29" t="str">
        <f t="shared" ref="AD1040:AD1071" si="186">CONCATENATE(H1040,M1040)</f>
        <v>EF016</v>
      </c>
      <c r="AE1040" s="443"/>
      <c r="AF1040" s="443"/>
      <c r="AG1040" s="443"/>
      <c r="AH1040" s="443"/>
    </row>
    <row r="1041" spans="1:34" ht="16.5">
      <c r="A1041" s="728">
        <f t="shared" si="181"/>
        <v>1034</v>
      </c>
      <c r="B1041" s="563">
        <v>12</v>
      </c>
      <c r="C1041" s="694">
        <v>40316</v>
      </c>
      <c r="D1041" s="694" t="s">
        <v>863</v>
      </c>
      <c r="E1041" s="695">
        <v>18</v>
      </c>
      <c r="F1041" s="503">
        <v>2010</v>
      </c>
      <c r="G1041" s="563" t="s">
        <v>107</v>
      </c>
      <c r="H1041" s="503" t="s">
        <v>161</v>
      </c>
      <c r="I1041" s="695">
        <v>100</v>
      </c>
      <c r="J1041" s="695">
        <v>1.01</v>
      </c>
      <c r="K1041" s="777">
        <f t="shared" si="180"/>
        <v>5.7386363636363638E-2</v>
      </c>
      <c r="L1041" s="968">
        <v>0</v>
      </c>
      <c r="M1041" s="503">
        <f t="shared" ref="M1041:M1110" si="187">HOUR(O1041)</f>
        <v>16</v>
      </c>
      <c r="N1041" s="504">
        <v>0.69513888888888886</v>
      </c>
      <c r="O1041" s="719">
        <f t="shared" si="182"/>
        <v>0.69513888888888886</v>
      </c>
      <c r="P1041" s="564">
        <v>0.6972222222222223</v>
      </c>
      <c r="Q1041" s="564">
        <f t="shared" si="179"/>
        <v>2.083333333333437E-3</v>
      </c>
      <c r="R1041" s="965" t="s">
        <v>1520</v>
      </c>
      <c r="S1041" s="494" t="s">
        <v>894</v>
      </c>
      <c r="U1041" s="29" t="str">
        <f t="shared" si="177"/>
        <v>HartleyEF0</v>
      </c>
      <c r="V1041" s="29" t="str">
        <f t="shared" si="178"/>
        <v>2010EF0</v>
      </c>
      <c r="W1041" s="80">
        <v>100</v>
      </c>
      <c r="X1041" s="32">
        <v>1</v>
      </c>
      <c r="Y1041" s="467">
        <v>0.05</v>
      </c>
      <c r="Z1041" s="80"/>
      <c r="AA1041" s="29" t="str">
        <f t="shared" si="183"/>
        <v>EF0100</v>
      </c>
      <c r="AB1041" s="29" t="str">
        <f t="shared" si="184"/>
        <v>EF01</v>
      </c>
      <c r="AC1041" s="29" t="str">
        <f t="shared" si="185"/>
        <v>EF00.05</v>
      </c>
      <c r="AD1041" s="29" t="str">
        <f t="shared" si="186"/>
        <v>EF016</v>
      </c>
      <c r="AE1041" s="443"/>
      <c r="AF1041" s="443"/>
      <c r="AG1041" s="443"/>
      <c r="AH1041" s="443"/>
    </row>
    <row r="1042" spans="1:34" ht="16.5">
      <c r="A1042" s="728">
        <f t="shared" si="181"/>
        <v>1035</v>
      </c>
      <c r="B1042" s="563">
        <v>13</v>
      </c>
      <c r="C1042" s="694">
        <v>40316</v>
      </c>
      <c r="D1042" s="694" t="s">
        <v>863</v>
      </c>
      <c r="E1042" s="695">
        <v>18</v>
      </c>
      <c r="F1042" s="503">
        <v>2010</v>
      </c>
      <c r="G1042" s="563" t="s">
        <v>108</v>
      </c>
      <c r="H1042" s="503" t="s">
        <v>161</v>
      </c>
      <c r="I1042" s="695">
        <v>25</v>
      </c>
      <c r="J1042" s="695">
        <v>0.53</v>
      </c>
      <c r="K1042" s="777">
        <f t="shared" si="180"/>
        <v>7.5284090909090908E-3</v>
      </c>
      <c r="L1042" s="968">
        <v>0</v>
      </c>
      <c r="M1042" s="503">
        <f t="shared" si="187"/>
        <v>16</v>
      </c>
      <c r="N1042" s="504">
        <v>0.70486111111111116</v>
      </c>
      <c r="O1042" s="719">
        <f t="shared" si="182"/>
        <v>0.70486111111111116</v>
      </c>
      <c r="P1042" s="564">
        <v>0.70624999999999993</v>
      </c>
      <c r="Q1042" s="564">
        <f t="shared" si="179"/>
        <v>1.3888888888887729E-3</v>
      </c>
      <c r="R1042" s="965" t="s">
        <v>1520</v>
      </c>
      <c r="S1042" s="494" t="s">
        <v>864</v>
      </c>
      <c r="U1042" s="29" t="str">
        <f t="shared" si="177"/>
        <v>MooreEF0</v>
      </c>
      <c r="V1042" s="29" t="str">
        <f t="shared" si="178"/>
        <v>2010EF0</v>
      </c>
      <c r="W1042" s="80">
        <v>20</v>
      </c>
      <c r="X1042" s="32">
        <v>0.5</v>
      </c>
      <c r="Y1042" s="467">
        <v>5.0000000000000001E-3</v>
      </c>
      <c r="Z1042" s="80"/>
      <c r="AA1042" s="29" t="str">
        <f t="shared" si="183"/>
        <v>EF020</v>
      </c>
      <c r="AB1042" s="29" t="str">
        <f t="shared" si="184"/>
        <v>EF00.5</v>
      </c>
      <c r="AC1042" s="29" t="str">
        <f t="shared" si="185"/>
        <v>EF00.005</v>
      </c>
      <c r="AD1042" s="29" t="str">
        <f t="shared" si="186"/>
        <v>EF016</v>
      </c>
      <c r="AE1042" s="443"/>
      <c r="AF1042" s="443"/>
      <c r="AG1042" s="443"/>
      <c r="AH1042" s="443"/>
    </row>
    <row r="1043" spans="1:34" ht="16.5">
      <c r="A1043" s="728">
        <f t="shared" si="181"/>
        <v>1036</v>
      </c>
      <c r="B1043" s="563">
        <v>14</v>
      </c>
      <c r="C1043" s="694">
        <v>40316</v>
      </c>
      <c r="D1043" s="694" t="s">
        <v>863</v>
      </c>
      <c r="E1043" s="695">
        <v>18</v>
      </c>
      <c r="F1043" s="503">
        <v>2010</v>
      </c>
      <c r="G1043" s="563" t="s">
        <v>108</v>
      </c>
      <c r="H1043" s="503" t="s">
        <v>161</v>
      </c>
      <c r="I1043" s="695">
        <v>25</v>
      </c>
      <c r="J1043" s="695">
        <v>2.2200000000000002</v>
      </c>
      <c r="K1043" s="777">
        <f t="shared" si="180"/>
        <v>3.1534090909090907E-2</v>
      </c>
      <c r="L1043" s="968">
        <v>0</v>
      </c>
      <c r="M1043" s="503">
        <f t="shared" si="187"/>
        <v>17</v>
      </c>
      <c r="N1043" s="504">
        <v>0.72777777777777775</v>
      </c>
      <c r="O1043" s="719">
        <f t="shared" si="182"/>
        <v>0.72777777777777775</v>
      </c>
      <c r="P1043" s="564">
        <v>0.72916666666666663</v>
      </c>
      <c r="Q1043" s="564">
        <f t="shared" si="179"/>
        <v>1.388888888888884E-3</v>
      </c>
      <c r="R1043" s="965" t="s">
        <v>1520</v>
      </c>
      <c r="S1043" s="494" t="s">
        <v>868</v>
      </c>
      <c r="U1043" s="29" t="str">
        <f t="shared" si="177"/>
        <v>MooreEF0</v>
      </c>
      <c r="V1043" s="29" t="str">
        <f t="shared" si="178"/>
        <v>2010EF0</v>
      </c>
      <c r="W1043" s="80">
        <v>20</v>
      </c>
      <c r="X1043" s="32">
        <v>2</v>
      </c>
      <c r="Y1043" s="467">
        <v>0.02</v>
      </c>
      <c r="Z1043" s="80"/>
      <c r="AA1043" s="29" t="str">
        <f t="shared" si="183"/>
        <v>EF020</v>
      </c>
      <c r="AB1043" s="29" t="str">
        <f t="shared" si="184"/>
        <v>EF02</v>
      </c>
      <c r="AC1043" s="29" t="str">
        <f t="shared" si="185"/>
        <v>EF00.02</v>
      </c>
      <c r="AD1043" s="29" t="str">
        <f t="shared" si="186"/>
        <v>EF017</v>
      </c>
      <c r="AE1043" s="443"/>
      <c r="AF1043" s="443"/>
      <c r="AG1043" s="443"/>
      <c r="AH1043" s="443"/>
    </row>
    <row r="1044" spans="1:34" ht="16.5">
      <c r="A1044" s="728">
        <f t="shared" si="181"/>
        <v>1037</v>
      </c>
      <c r="B1044" s="563">
        <v>15</v>
      </c>
      <c r="C1044" s="694">
        <v>40316</v>
      </c>
      <c r="D1044" s="694" t="s">
        <v>863</v>
      </c>
      <c r="E1044" s="695">
        <v>18</v>
      </c>
      <c r="F1044" s="503">
        <v>2010</v>
      </c>
      <c r="G1044" s="563" t="s">
        <v>108</v>
      </c>
      <c r="H1044" s="503" t="s">
        <v>161</v>
      </c>
      <c r="I1044" s="695">
        <v>200</v>
      </c>
      <c r="J1044" s="695">
        <v>1.23</v>
      </c>
      <c r="K1044" s="777">
        <f t="shared" si="180"/>
        <v>0.13977272727272727</v>
      </c>
      <c r="L1044" s="968">
        <v>0</v>
      </c>
      <c r="M1044" s="503">
        <f t="shared" si="187"/>
        <v>17</v>
      </c>
      <c r="N1044" s="504">
        <v>0.73749999999999993</v>
      </c>
      <c r="O1044" s="719">
        <f t="shared" si="182"/>
        <v>0.73749999999999993</v>
      </c>
      <c r="P1044" s="564">
        <v>0.73958333333333337</v>
      </c>
      <c r="Q1044" s="564">
        <f t="shared" si="179"/>
        <v>2.083333333333437E-3</v>
      </c>
      <c r="R1044" s="965" t="s">
        <v>1520</v>
      </c>
      <c r="S1044" s="494" t="s">
        <v>865</v>
      </c>
      <c r="U1044" s="29" t="str">
        <f t="shared" si="177"/>
        <v>MooreEF0</v>
      </c>
      <c r="V1044" s="29" t="str">
        <f t="shared" si="178"/>
        <v>2010EF0</v>
      </c>
      <c r="W1044" s="80">
        <v>200</v>
      </c>
      <c r="X1044" s="32">
        <v>1</v>
      </c>
      <c r="Y1044" s="467">
        <v>0.1</v>
      </c>
      <c r="Z1044" s="80"/>
      <c r="AA1044" s="29" t="str">
        <f t="shared" si="183"/>
        <v>EF0200</v>
      </c>
      <c r="AB1044" s="29" t="str">
        <f t="shared" si="184"/>
        <v>EF01</v>
      </c>
      <c r="AC1044" s="29" t="str">
        <f t="shared" si="185"/>
        <v>EF00.1</v>
      </c>
      <c r="AD1044" s="29" t="str">
        <f t="shared" si="186"/>
        <v>EF017</v>
      </c>
      <c r="AE1044" s="443"/>
      <c r="AF1044" s="443"/>
      <c r="AG1044" s="443"/>
      <c r="AH1044" s="443"/>
    </row>
    <row r="1045" spans="1:34" ht="16.5">
      <c r="A1045" s="728">
        <f t="shared" si="181"/>
        <v>1038</v>
      </c>
      <c r="B1045" s="563">
        <v>16</v>
      </c>
      <c r="C1045" s="694">
        <v>40316</v>
      </c>
      <c r="D1045" s="694" t="s">
        <v>863</v>
      </c>
      <c r="E1045" s="695">
        <v>18</v>
      </c>
      <c r="F1045" s="503">
        <v>2010</v>
      </c>
      <c r="G1045" s="563" t="s">
        <v>109</v>
      </c>
      <c r="H1045" s="503" t="s">
        <v>160</v>
      </c>
      <c r="I1045" s="695">
        <v>300</v>
      </c>
      <c r="J1045" s="695">
        <v>4.99</v>
      </c>
      <c r="K1045" s="777">
        <f t="shared" si="180"/>
        <v>0.85056818181818183</v>
      </c>
      <c r="L1045" s="968">
        <v>40000</v>
      </c>
      <c r="M1045" s="503">
        <f t="shared" si="187"/>
        <v>18</v>
      </c>
      <c r="N1045" s="504">
        <v>0.78055555555555556</v>
      </c>
      <c r="O1045" s="719">
        <f t="shared" si="182"/>
        <v>0.78055555555555556</v>
      </c>
      <c r="P1045" s="564">
        <v>0.79166666666666663</v>
      </c>
      <c r="Q1045" s="564">
        <f t="shared" si="179"/>
        <v>1.1111111111111072E-2</v>
      </c>
      <c r="R1045" s="965" t="s">
        <v>1520</v>
      </c>
      <c r="S1045" s="494" t="s">
        <v>871</v>
      </c>
      <c r="U1045" s="29" t="str">
        <f t="shared" si="177"/>
        <v>HutchinsonEF2</v>
      </c>
      <c r="V1045" s="29" t="str">
        <f t="shared" si="178"/>
        <v>2010EF2</v>
      </c>
      <c r="W1045" s="80">
        <v>200</v>
      </c>
      <c r="X1045" s="32">
        <v>2</v>
      </c>
      <c r="Y1045" s="467">
        <v>0.5</v>
      </c>
      <c r="Z1045" s="80"/>
      <c r="AA1045" s="29" t="str">
        <f t="shared" si="183"/>
        <v>EF2200</v>
      </c>
      <c r="AB1045" s="29" t="str">
        <f t="shared" si="184"/>
        <v>EF22</v>
      </c>
      <c r="AC1045" s="29" t="str">
        <f t="shared" si="185"/>
        <v>EF20.5</v>
      </c>
      <c r="AD1045" s="29" t="str">
        <f t="shared" si="186"/>
        <v>EF218</v>
      </c>
      <c r="AE1045" s="443"/>
      <c r="AF1045" s="443"/>
      <c r="AG1045" s="443"/>
      <c r="AH1045" s="443"/>
    </row>
    <row r="1046" spans="1:34" ht="25.5">
      <c r="A1046" s="728">
        <f t="shared" si="181"/>
        <v>1039</v>
      </c>
      <c r="B1046" s="563">
        <v>17</v>
      </c>
      <c r="C1046" s="694">
        <v>40316</v>
      </c>
      <c r="D1046" s="694" t="s">
        <v>863</v>
      </c>
      <c r="E1046" s="695">
        <v>18</v>
      </c>
      <c r="F1046" s="503">
        <v>2010</v>
      </c>
      <c r="G1046" s="563" t="s">
        <v>100</v>
      </c>
      <c r="H1046" s="503" t="s">
        <v>161</v>
      </c>
      <c r="I1046" s="695">
        <v>25</v>
      </c>
      <c r="J1046" s="695">
        <v>0.55000000000000004</v>
      </c>
      <c r="K1046" s="777">
        <f t="shared" si="180"/>
        <v>7.8125E-3</v>
      </c>
      <c r="L1046" s="968">
        <v>0</v>
      </c>
      <c r="M1046" s="503">
        <f t="shared" si="187"/>
        <v>18</v>
      </c>
      <c r="N1046" s="504">
        <v>0.78055555555555556</v>
      </c>
      <c r="O1046" s="719">
        <f t="shared" si="182"/>
        <v>0.78055555555555556</v>
      </c>
      <c r="P1046" s="564">
        <v>0.78194444444444444</v>
      </c>
      <c r="Q1046" s="564">
        <f t="shared" si="179"/>
        <v>1.388888888888884E-3</v>
      </c>
      <c r="R1046" s="965" t="s">
        <v>1520</v>
      </c>
      <c r="S1046" s="494" t="s">
        <v>867</v>
      </c>
      <c r="U1046" s="29" t="str">
        <f t="shared" si="177"/>
        <v>TexasEF0</v>
      </c>
      <c r="V1046" s="29" t="str">
        <f t="shared" si="178"/>
        <v>2010EF0</v>
      </c>
      <c r="W1046" s="80">
        <v>20</v>
      </c>
      <c r="X1046" s="32">
        <v>0.5</v>
      </c>
      <c r="Y1046" s="467">
        <v>5.0000000000000001E-3</v>
      </c>
      <c r="Z1046" s="80"/>
      <c r="AA1046" s="29" t="str">
        <f t="shared" si="183"/>
        <v>EF020</v>
      </c>
      <c r="AB1046" s="29" t="str">
        <f t="shared" si="184"/>
        <v>EF00.5</v>
      </c>
      <c r="AC1046" s="29" t="str">
        <f t="shared" si="185"/>
        <v>EF00.005</v>
      </c>
      <c r="AD1046" s="29" t="str">
        <f t="shared" si="186"/>
        <v>EF018</v>
      </c>
      <c r="AE1046" s="443"/>
      <c r="AF1046" s="443"/>
      <c r="AG1046" s="443"/>
      <c r="AH1046" s="443"/>
    </row>
    <row r="1047" spans="1:34" ht="16.5">
      <c r="A1047" s="728">
        <f t="shared" si="181"/>
        <v>1040</v>
      </c>
      <c r="B1047" s="563">
        <v>18</v>
      </c>
      <c r="C1047" s="694">
        <v>40316</v>
      </c>
      <c r="D1047" s="694" t="s">
        <v>863</v>
      </c>
      <c r="E1047" s="695">
        <v>18</v>
      </c>
      <c r="F1047" s="503">
        <v>2010</v>
      </c>
      <c r="G1047" s="563" t="s">
        <v>102</v>
      </c>
      <c r="H1047" s="503" t="s">
        <v>161</v>
      </c>
      <c r="I1047" s="695">
        <v>25</v>
      </c>
      <c r="J1047" s="695">
        <v>0.52</v>
      </c>
      <c r="K1047" s="777">
        <f t="shared" si="180"/>
        <v>7.3863636363636362E-3</v>
      </c>
      <c r="L1047" s="968">
        <v>0</v>
      </c>
      <c r="M1047" s="503">
        <f t="shared" si="187"/>
        <v>19</v>
      </c>
      <c r="N1047" s="504">
        <v>0.82777777777777783</v>
      </c>
      <c r="O1047" s="719">
        <f t="shared" si="182"/>
        <v>0.82777777777777783</v>
      </c>
      <c r="P1047" s="564">
        <v>0.82847222222222217</v>
      </c>
      <c r="Q1047" s="564">
        <f t="shared" si="179"/>
        <v>6.9444444444433095E-4</v>
      </c>
      <c r="R1047" s="965" t="s">
        <v>1520</v>
      </c>
      <c r="S1047" s="494" t="s">
        <v>869</v>
      </c>
      <c r="U1047" s="29" t="str">
        <f t="shared" si="177"/>
        <v>DallamEF0</v>
      </c>
      <c r="V1047" s="29" t="str">
        <f t="shared" si="178"/>
        <v>2010EF0</v>
      </c>
      <c r="W1047" s="80">
        <v>20</v>
      </c>
      <c r="X1047" s="32">
        <v>0.5</v>
      </c>
      <c r="Y1047" s="467">
        <v>5.0000000000000001E-3</v>
      </c>
      <c r="Z1047" s="80"/>
      <c r="AA1047" s="29" t="str">
        <f t="shared" si="183"/>
        <v>EF020</v>
      </c>
      <c r="AB1047" s="29" t="str">
        <f t="shared" si="184"/>
        <v>EF00.5</v>
      </c>
      <c r="AC1047" s="29" t="str">
        <f t="shared" si="185"/>
        <v>EF00.005</v>
      </c>
      <c r="AD1047" s="29" t="str">
        <f t="shared" si="186"/>
        <v>EF019</v>
      </c>
      <c r="AE1047" s="443"/>
      <c r="AF1047" s="443"/>
      <c r="AG1047" s="443"/>
      <c r="AH1047" s="443"/>
    </row>
    <row r="1048" spans="1:34" ht="25.5">
      <c r="A1048" s="728">
        <f t="shared" si="181"/>
        <v>1041</v>
      </c>
      <c r="B1048" s="563">
        <v>19</v>
      </c>
      <c r="C1048" s="694">
        <v>40316</v>
      </c>
      <c r="D1048" s="694" t="s">
        <v>863</v>
      </c>
      <c r="E1048" s="695">
        <v>18</v>
      </c>
      <c r="F1048" s="503">
        <v>2010</v>
      </c>
      <c r="G1048" s="563" t="s">
        <v>102</v>
      </c>
      <c r="H1048" s="503" t="s">
        <v>161</v>
      </c>
      <c r="I1048" s="695">
        <v>25</v>
      </c>
      <c r="J1048" s="695">
        <v>4.08</v>
      </c>
      <c r="K1048" s="777">
        <f t="shared" si="180"/>
        <v>5.7954545454545453E-2</v>
      </c>
      <c r="L1048" s="968">
        <v>0</v>
      </c>
      <c r="M1048" s="503">
        <f t="shared" si="187"/>
        <v>20</v>
      </c>
      <c r="N1048" s="504">
        <v>0.85416666666666663</v>
      </c>
      <c r="O1048" s="719">
        <f t="shared" si="182"/>
        <v>0.85416666666666663</v>
      </c>
      <c r="P1048" s="564">
        <v>0.86249999999999993</v>
      </c>
      <c r="Q1048" s="564">
        <f t="shared" si="179"/>
        <v>8.3333333333333037E-3</v>
      </c>
      <c r="R1048" s="965" t="s">
        <v>1520</v>
      </c>
      <c r="S1048" s="494" t="s">
        <v>872</v>
      </c>
      <c r="U1048" s="29" t="str">
        <f t="shared" si="177"/>
        <v>DallamEF0</v>
      </c>
      <c r="V1048" s="29" t="str">
        <f t="shared" si="178"/>
        <v>2010EF0</v>
      </c>
      <c r="W1048" s="80">
        <v>20</v>
      </c>
      <c r="X1048" s="32">
        <v>2</v>
      </c>
      <c r="Y1048" s="467">
        <v>0.05</v>
      </c>
      <c r="Z1048" s="80"/>
      <c r="AA1048" s="29" t="str">
        <f t="shared" si="183"/>
        <v>EF020</v>
      </c>
      <c r="AB1048" s="29" t="str">
        <f t="shared" si="184"/>
        <v>EF02</v>
      </c>
      <c r="AC1048" s="29" t="str">
        <f t="shared" si="185"/>
        <v>EF00.05</v>
      </c>
      <c r="AD1048" s="29" t="str">
        <f t="shared" si="186"/>
        <v>EF020</v>
      </c>
      <c r="AE1048" s="443"/>
      <c r="AF1048" s="443"/>
      <c r="AG1048" s="443"/>
      <c r="AH1048" s="443"/>
    </row>
    <row r="1049" spans="1:34" ht="25.5">
      <c r="A1049" s="728">
        <f t="shared" si="181"/>
        <v>1042</v>
      </c>
      <c r="B1049" s="563">
        <v>20</v>
      </c>
      <c r="C1049" s="694">
        <v>40316</v>
      </c>
      <c r="D1049" s="694" t="s">
        <v>863</v>
      </c>
      <c r="E1049" s="695">
        <v>18</v>
      </c>
      <c r="F1049" s="503">
        <v>2010</v>
      </c>
      <c r="G1049" s="563" t="s">
        <v>103</v>
      </c>
      <c r="H1049" s="503" t="s">
        <v>161</v>
      </c>
      <c r="I1049" s="695">
        <v>50</v>
      </c>
      <c r="J1049" s="695">
        <v>1.06</v>
      </c>
      <c r="K1049" s="777">
        <f t="shared" si="180"/>
        <v>3.0113636363636363E-2</v>
      </c>
      <c r="L1049" s="968">
        <v>0</v>
      </c>
      <c r="M1049" s="503">
        <f t="shared" si="187"/>
        <v>21</v>
      </c>
      <c r="N1049" s="504">
        <v>0.90277777777777779</v>
      </c>
      <c r="O1049" s="719">
        <f t="shared" si="182"/>
        <v>0.90277777777777779</v>
      </c>
      <c r="P1049" s="564">
        <v>0.90486111111111101</v>
      </c>
      <c r="Q1049" s="564">
        <f t="shared" si="179"/>
        <v>2.0833333333332149E-3</v>
      </c>
      <c r="R1049" s="965" t="s">
        <v>1520</v>
      </c>
      <c r="S1049" s="494" t="s">
        <v>873</v>
      </c>
      <c r="U1049" s="29" t="str">
        <f t="shared" si="177"/>
        <v>ShermanEF0</v>
      </c>
      <c r="V1049" s="29" t="str">
        <f t="shared" si="178"/>
        <v>2010EF0</v>
      </c>
      <c r="W1049" s="80">
        <v>50</v>
      </c>
      <c r="X1049" s="32">
        <v>1</v>
      </c>
      <c r="Y1049" s="467">
        <v>0.02</v>
      </c>
      <c r="Z1049" s="80"/>
      <c r="AA1049" s="29" t="str">
        <f t="shared" si="183"/>
        <v>EF050</v>
      </c>
      <c r="AB1049" s="29" t="str">
        <f t="shared" si="184"/>
        <v>EF01</v>
      </c>
      <c r="AC1049" s="29" t="str">
        <f t="shared" si="185"/>
        <v>EF00.02</v>
      </c>
      <c r="AD1049" s="29" t="str">
        <f t="shared" si="186"/>
        <v>EF021</v>
      </c>
      <c r="AE1049" s="443"/>
      <c r="AF1049" s="443"/>
      <c r="AG1049" s="443"/>
      <c r="AH1049" s="443"/>
    </row>
    <row r="1050" spans="1:34" ht="16.5">
      <c r="A1050" s="728">
        <f t="shared" si="181"/>
        <v>1043</v>
      </c>
      <c r="B1050" s="563">
        <v>21</v>
      </c>
      <c r="C1050" s="694">
        <v>40316</v>
      </c>
      <c r="D1050" s="694" t="s">
        <v>863</v>
      </c>
      <c r="E1050" s="695">
        <v>18</v>
      </c>
      <c r="F1050" s="503">
        <v>2010</v>
      </c>
      <c r="G1050" s="563" t="s">
        <v>103</v>
      </c>
      <c r="H1050" s="503" t="s">
        <v>161</v>
      </c>
      <c r="I1050" s="695">
        <v>880</v>
      </c>
      <c r="J1050" s="695">
        <v>1.4</v>
      </c>
      <c r="K1050" s="777">
        <f t="shared" si="180"/>
        <v>0.7</v>
      </c>
      <c r="L1050" s="968">
        <v>12000</v>
      </c>
      <c r="M1050" s="503">
        <f t="shared" si="187"/>
        <v>22</v>
      </c>
      <c r="N1050" s="504">
        <v>0.93541666666666667</v>
      </c>
      <c r="O1050" s="719">
        <f t="shared" si="182"/>
        <v>0.93541666666666667</v>
      </c>
      <c r="P1050" s="564">
        <v>0.93819444444444444</v>
      </c>
      <c r="Q1050" s="564">
        <f t="shared" si="179"/>
        <v>2.7777777777777679E-3</v>
      </c>
      <c r="R1050" s="965" t="s">
        <v>1520</v>
      </c>
      <c r="S1050" s="494" t="s">
        <v>866</v>
      </c>
      <c r="U1050" s="29" t="str">
        <f t="shared" si="177"/>
        <v>ShermanEF0</v>
      </c>
      <c r="V1050" s="29" t="str">
        <f t="shared" si="178"/>
        <v>2010EF0</v>
      </c>
      <c r="W1050" s="80">
        <v>500</v>
      </c>
      <c r="X1050" s="32">
        <v>1</v>
      </c>
      <c r="Y1050" s="467">
        <v>0.5</v>
      </c>
      <c r="Z1050" s="80"/>
      <c r="AA1050" s="29" t="str">
        <f t="shared" si="183"/>
        <v>EF0500</v>
      </c>
      <c r="AB1050" s="29" t="str">
        <f t="shared" si="184"/>
        <v>EF01</v>
      </c>
      <c r="AC1050" s="29" t="str">
        <f t="shared" si="185"/>
        <v>EF00.5</v>
      </c>
      <c r="AD1050" s="29" t="str">
        <f t="shared" si="186"/>
        <v>EF022</v>
      </c>
      <c r="AE1050" s="443"/>
      <c r="AF1050" s="443"/>
      <c r="AG1050" s="443"/>
      <c r="AH1050" s="443"/>
    </row>
    <row r="1051" spans="1:34" ht="16.5">
      <c r="A1051" s="728">
        <f t="shared" si="181"/>
        <v>1044</v>
      </c>
      <c r="B1051" s="563">
        <v>22</v>
      </c>
      <c r="C1051" s="694">
        <v>40316</v>
      </c>
      <c r="D1051" s="694" t="s">
        <v>863</v>
      </c>
      <c r="E1051" s="695">
        <v>18</v>
      </c>
      <c r="F1051" s="503">
        <v>2010</v>
      </c>
      <c r="G1051" s="563" t="s">
        <v>104</v>
      </c>
      <c r="H1051" s="503" t="s">
        <v>161</v>
      </c>
      <c r="I1051" s="695">
        <v>25</v>
      </c>
      <c r="J1051" s="695">
        <v>0.55000000000000004</v>
      </c>
      <c r="K1051" s="777">
        <f t="shared" si="180"/>
        <v>7.8125E-3</v>
      </c>
      <c r="L1051" s="968">
        <v>0</v>
      </c>
      <c r="M1051" s="503">
        <f t="shared" si="187"/>
        <v>23</v>
      </c>
      <c r="N1051" s="504">
        <v>0.96666666666666667</v>
      </c>
      <c r="O1051" s="719">
        <f t="shared" si="182"/>
        <v>0.96666666666666667</v>
      </c>
      <c r="P1051" s="564">
        <v>0.96805555555555556</v>
      </c>
      <c r="Q1051" s="564">
        <f t="shared" si="179"/>
        <v>1.388888888888884E-3</v>
      </c>
      <c r="R1051" s="965" t="s">
        <v>1520</v>
      </c>
      <c r="S1051" s="494" t="s">
        <v>870</v>
      </c>
      <c r="U1051" s="29" t="str">
        <f t="shared" si="177"/>
        <v>HansfordEF0</v>
      </c>
      <c r="V1051" s="29" t="str">
        <f t="shared" si="178"/>
        <v>2010EF0</v>
      </c>
      <c r="W1051" s="80">
        <v>20</v>
      </c>
      <c r="X1051" s="32">
        <v>0.5</v>
      </c>
      <c r="Y1051" s="467">
        <v>5.0000000000000001E-3</v>
      </c>
      <c r="Z1051" s="80"/>
      <c r="AA1051" s="29" t="str">
        <f t="shared" si="183"/>
        <v>EF020</v>
      </c>
      <c r="AB1051" s="29" t="str">
        <f t="shared" si="184"/>
        <v>EF00.5</v>
      </c>
      <c r="AC1051" s="29" t="str">
        <f t="shared" si="185"/>
        <v>EF00.005</v>
      </c>
      <c r="AD1051" s="29" t="str">
        <f t="shared" si="186"/>
        <v>EF023</v>
      </c>
      <c r="AE1051" s="443"/>
      <c r="AF1051" s="443"/>
      <c r="AG1051" s="443"/>
      <c r="AH1051" s="443"/>
    </row>
    <row r="1052" spans="1:34" ht="16.5">
      <c r="A1052" s="728">
        <f t="shared" si="181"/>
        <v>1045</v>
      </c>
      <c r="B1052" s="563">
        <v>23</v>
      </c>
      <c r="C1052" s="694">
        <v>40317</v>
      </c>
      <c r="D1052" s="694" t="s">
        <v>148</v>
      </c>
      <c r="E1052" s="695">
        <v>19</v>
      </c>
      <c r="F1052" s="503">
        <v>2010</v>
      </c>
      <c r="G1052" s="563" t="s">
        <v>109</v>
      </c>
      <c r="H1052" s="503" t="s">
        <v>162</v>
      </c>
      <c r="I1052" s="695">
        <v>100</v>
      </c>
      <c r="J1052" s="695">
        <v>0.44</v>
      </c>
      <c r="K1052" s="777">
        <f t="shared" si="180"/>
        <v>2.4999999999999998E-2</v>
      </c>
      <c r="L1052" s="968">
        <v>28000</v>
      </c>
      <c r="M1052" s="503">
        <f t="shared" si="187"/>
        <v>0</v>
      </c>
      <c r="N1052" s="504">
        <v>3.888888888888889E-2</v>
      </c>
      <c r="O1052" s="719">
        <f t="shared" si="182"/>
        <v>3.888888888888889E-2</v>
      </c>
      <c r="P1052" s="564">
        <v>3.9583333333333331E-2</v>
      </c>
      <c r="Q1052" s="564">
        <f t="shared" si="179"/>
        <v>6.9444444444444198E-4</v>
      </c>
      <c r="R1052" s="965" t="s">
        <v>1520</v>
      </c>
      <c r="S1052" s="494" t="s">
        <v>871</v>
      </c>
      <c r="U1052" s="29" t="str">
        <f t="shared" si="177"/>
        <v>HutchinsonEF1</v>
      </c>
      <c r="V1052" s="29" t="str">
        <f t="shared" si="178"/>
        <v>2010EF1</v>
      </c>
      <c r="W1052" s="80">
        <v>100</v>
      </c>
      <c r="X1052" s="32">
        <v>0.2</v>
      </c>
      <c r="Y1052" s="467">
        <v>0.02</v>
      </c>
      <c r="Z1052" s="80"/>
      <c r="AA1052" s="29" t="str">
        <f t="shared" si="183"/>
        <v>EF1100</v>
      </c>
      <c r="AB1052" s="29" t="str">
        <f t="shared" si="184"/>
        <v>EF10.2</v>
      </c>
      <c r="AC1052" s="29" t="str">
        <f t="shared" si="185"/>
        <v>EF10.02</v>
      </c>
      <c r="AD1052" s="29" t="str">
        <f t="shared" si="186"/>
        <v>EF10</v>
      </c>
      <c r="AE1052" s="443"/>
      <c r="AF1052" s="443"/>
      <c r="AG1052" s="443"/>
      <c r="AH1052" s="443"/>
    </row>
    <row r="1053" spans="1:34" ht="25.5">
      <c r="A1053" s="728">
        <f t="shared" si="181"/>
        <v>1046</v>
      </c>
      <c r="B1053" s="563">
        <v>24</v>
      </c>
      <c r="C1053" s="694">
        <v>40317</v>
      </c>
      <c r="D1053" s="694" t="s">
        <v>148</v>
      </c>
      <c r="E1053" s="695">
        <v>19</v>
      </c>
      <c r="F1053" s="503">
        <v>2010</v>
      </c>
      <c r="G1053" s="563" t="s">
        <v>105</v>
      </c>
      <c r="H1053" s="503" t="s">
        <v>161</v>
      </c>
      <c r="I1053" s="695">
        <v>50</v>
      </c>
      <c r="J1053" s="695">
        <v>1.1200000000000001</v>
      </c>
      <c r="K1053" s="777">
        <f t="shared" si="180"/>
        <v>3.1818181818181822E-2</v>
      </c>
      <c r="L1053" s="968">
        <v>0</v>
      </c>
      <c r="M1053" s="503">
        <f t="shared" si="187"/>
        <v>2</v>
      </c>
      <c r="N1053" s="504">
        <v>0.10555555555555556</v>
      </c>
      <c r="O1053" s="719">
        <f t="shared" si="182"/>
        <v>0.10555555555555556</v>
      </c>
      <c r="P1053" s="564">
        <v>0.10694444444444444</v>
      </c>
      <c r="Q1053" s="564">
        <f t="shared" si="179"/>
        <v>1.388888888888884E-3</v>
      </c>
      <c r="R1053" s="965" t="s">
        <v>1520</v>
      </c>
      <c r="S1053" s="494" t="s">
        <v>895</v>
      </c>
      <c r="U1053" s="29" t="str">
        <f t="shared" si="177"/>
        <v>OchiltreeEF0</v>
      </c>
      <c r="V1053" s="29" t="str">
        <f t="shared" si="178"/>
        <v>2010EF0</v>
      </c>
      <c r="W1053" s="80">
        <v>50</v>
      </c>
      <c r="X1053" s="32">
        <v>1</v>
      </c>
      <c r="Y1053" s="467">
        <v>0.02</v>
      </c>
      <c r="Z1053" s="80"/>
      <c r="AA1053" s="29" t="str">
        <f t="shared" si="183"/>
        <v>EF050</v>
      </c>
      <c r="AB1053" s="29" t="str">
        <f t="shared" si="184"/>
        <v>EF01</v>
      </c>
      <c r="AC1053" s="29" t="str">
        <f t="shared" si="185"/>
        <v>EF00.02</v>
      </c>
      <c r="AD1053" s="29" t="str">
        <f t="shared" si="186"/>
        <v>EF02</v>
      </c>
      <c r="AE1053" s="443"/>
      <c r="AF1053" s="443"/>
      <c r="AG1053" s="443"/>
      <c r="AH1053" s="443"/>
    </row>
    <row r="1054" spans="1:34" ht="83.25" customHeight="1">
      <c r="A1054" s="728">
        <f t="shared" si="181"/>
        <v>1047</v>
      </c>
      <c r="B1054" s="563">
        <v>25</v>
      </c>
      <c r="C1054" s="694">
        <v>40321</v>
      </c>
      <c r="D1054" s="694" t="s">
        <v>148</v>
      </c>
      <c r="E1054" s="695">
        <v>23</v>
      </c>
      <c r="F1054" s="503">
        <v>2010</v>
      </c>
      <c r="G1054" s="563" t="s">
        <v>99</v>
      </c>
      <c r="H1054" s="503" t="s">
        <v>161</v>
      </c>
      <c r="I1054" s="695">
        <v>25</v>
      </c>
      <c r="J1054" s="695">
        <v>2.0499999999999998</v>
      </c>
      <c r="K1054" s="777">
        <f>+(I1054/1760)*J1054</f>
        <v>2.9119318181818177E-2</v>
      </c>
      <c r="L1054" s="968">
        <v>0</v>
      </c>
      <c r="M1054" s="503">
        <f>HOUR(O1054)</f>
        <v>19</v>
      </c>
      <c r="N1054" s="504">
        <v>0.8125</v>
      </c>
      <c r="O1054" s="719">
        <f>+N1054</f>
        <v>0.8125</v>
      </c>
      <c r="P1054" s="564">
        <v>0.81597222222222221</v>
      </c>
      <c r="Q1054" s="564">
        <f>+P1054-O1054</f>
        <v>3.4722222222222099E-3</v>
      </c>
      <c r="R1054" s="965" t="s">
        <v>1520</v>
      </c>
      <c r="S1054" s="494" t="s">
        <v>877</v>
      </c>
      <c r="U1054" s="29" t="str">
        <f t="shared" si="177"/>
        <v>CimarronEF0</v>
      </c>
      <c r="V1054" s="29" t="str">
        <f t="shared" si="178"/>
        <v>2010EF0</v>
      </c>
      <c r="W1054" s="80">
        <v>20</v>
      </c>
      <c r="X1054" s="32">
        <v>2</v>
      </c>
      <c r="Y1054" s="467">
        <v>0.02</v>
      </c>
      <c r="Z1054" s="80"/>
      <c r="AA1054" s="29" t="str">
        <f t="shared" si="183"/>
        <v>EF020</v>
      </c>
      <c r="AB1054" s="29" t="str">
        <f t="shared" si="184"/>
        <v>EF02</v>
      </c>
      <c r="AC1054" s="29" t="str">
        <f t="shared" si="185"/>
        <v>EF00.02</v>
      </c>
      <c r="AD1054" s="29" t="str">
        <f t="shared" si="186"/>
        <v>EF019</v>
      </c>
      <c r="AE1054" s="443"/>
      <c r="AF1054" s="443"/>
      <c r="AG1054" s="443"/>
      <c r="AH1054" s="443"/>
    </row>
    <row r="1055" spans="1:34" ht="15" customHeight="1">
      <c r="A1055" s="728">
        <f t="shared" si="181"/>
        <v>1048</v>
      </c>
      <c r="B1055" s="563">
        <v>26</v>
      </c>
      <c r="C1055" s="694">
        <v>40321</v>
      </c>
      <c r="D1055" s="694" t="s">
        <v>148</v>
      </c>
      <c r="E1055" s="695">
        <v>23</v>
      </c>
      <c r="F1055" s="503">
        <v>2010</v>
      </c>
      <c r="G1055" s="563" t="s">
        <v>99</v>
      </c>
      <c r="H1055" s="503" t="s">
        <v>162</v>
      </c>
      <c r="I1055" s="695">
        <v>440</v>
      </c>
      <c r="J1055" s="695">
        <v>6.01</v>
      </c>
      <c r="K1055" s="777">
        <f t="shared" si="180"/>
        <v>1.5024999999999999</v>
      </c>
      <c r="L1055" s="968">
        <v>20000</v>
      </c>
      <c r="M1055" s="503">
        <f t="shared" si="187"/>
        <v>20</v>
      </c>
      <c r="N1055" s="504">
        <v>0.85763888888888884</v>
      </c>
      <c r="O1055" s="719">
        <f t="shared" si="182"/>
        <v>0.85763888888888884</v>
      </c>
      <c r="P1055" s="564">
        <v>0.86597222222222225</v>
      </c>
      <c r="Q1055" s="564">
        <f t="shared" si="179"/>
        <v>8.3333333333334147E-3</v>
      </c>
      <c r="R1055" s="965" t="s">
        <v>1520</v>
      </c>
      <c r="S1055" s="494" t="s">
        <v>896</v>
      </c>
      <c r="U1055" s="29" t="str">
        <f t="shared" si="177"/>
        <v>CimarronEF1</v>
      </c>
      <c r="V1055" s="29" t="str">
        <f t="shared" si="178"/>
        <v>2010EF1</v>
      </c>
      <c r="W1055" s="80">
        <v>200</v>
      </c>
      <c r="X1055" s="32">
        <v>5</v>
      </c>
      <c r="Y1055" s="467">
        <v>1</v>
      </c>
      <c r="Z1055" s="80"/>
      <c r="AA1055" s="29" t="str">
        <f t="shared" si="183"/>
        <v>EF1200</v>
      </c>
      <c r="AB1055" s="29" t="str">
        <f t="shared" si="184"/>
        <v>EF15</v>
      </c>
      <c r="AC1055" s="29" t="str">
        <f t="shared" si="185"/>
        <v>EF11</v>
      </c>
      <c r="AD1055" s="29" t="str">
        <f t="shared" si="186"/>
        <v>EF120</v>
      </c>
      <c r="AE1055" s="443"/>
      <c r="AF1055" s="443"/>
      <c r="AG1055" s="443"/>
      <c r="AH1055" s="443"/>
    </row>
    <row r="1056" spans="1:34" ht="78.75" customHeight="1">
      <c r="A1056" s="728">
        <f t="shared" si="181"/>
        <v>1049</v>
      </c>
      <c r="B1056" s="563">
        <v>27</v>
      </c>
      <c r="C1056" s="694">
        <v>40322</v>
      </c>
      <c r="D1056" s="694" t="s">
        <v>148</v>
      </c>
      <c r="E1056" s="695">
        <v>24</v>
      </c>
      <c r="F1056" s="503">
        <v>2010</v>
      </c>
      <c r="G1056" s="563" t="s">
        <v>104</v>
      </c>
      <c r="H1056" s="503" t="s">
        <v>161</v>
      </c>
      <c r="I1056" s="695">
        <v>100</v>
      </c>
      <c r="J1056" s="695">
        <v>3.06</v>
      </c>
      <c r="K1056" s="777">
        <f t="shared" si="180"/>
        <v>0.17386363636363636</v>
      </c>
      <c r="L1056" s="968">
        <v>6000</v>
      </c>
      <c r="M1056" s="503">
        <f t="shared" si="187"/>
        <v>19</v>
      </c>
      <c r="N1056" s="504">
        <v>0.81180555555555556</v>
      </c>
      <c r="O1056" s="719">
        <f t="shared" si="182"/>
        <v>0.81180555555555556</v>
      </c>
      <c r="P1056" s="564">
        <v>0.8208333333333333</v>
      </c>
      <c r="Q1056" s="564">
        <f t="shared" si="179"/>
        <v>9.0277777777777457E-3</v>
      </c>
      <c r="R1056" s="965" t="s">
        <v>1520</v>
      </c>
      <c r="S1056" s="494" t="s">
        <v>897</v>
      </c>
      <c r="U1056" s="29" t="str">
        <f t="shared" si="177"/>
        <v>HansfordEF0</v>
      </c>
      <c r="V1056" s="29" t="str">
        <f t="shared" si="178"/>
        <v>2010EF0</v>
      </c>
      <c r="W1056" s="80">
        <v>100</v>
      </c>
      <c r="X1056" s="32">
        <v>2</v>
      </c>
      <c r="Y1056" s="467">
        <v>0.1</v>
      </c>
      <c r="Z1056" s="80"/>
      <c r="AA1056" s="29" t="str">
        <f t="shared" si="183"/>
        <v>EF0100</v>
      </c>
      <c r="AB1056" s="29" t="str">
        <f t="shared" si="184"/>
        <v>EF02</v>
      </c>
      <c r="AC1056" s="29" t="str">
        <f t="shared" si="185"/>
        <v>EF00.1</v>
      </c>
      <c r="AD1056" s="29" t="str">
        <f t="shared" si="186"/>
        <v>EF019</v>
      </c>
      <c r="AE1056" s="443"/>
      <c r="AF1056" s="443"/>
      <c r="AG1056" s="443"/>
      <c r="AH1056" s="443"/>
    </row>
    <row r="1057" spans="1:34" ht="16.5">
      <c r="A1057" s="728">
        <f t="shared" si="181"/>
        <v>1050</v>
      </c>
      <c r="B1057" s="563">
        <v>28</v>
      </c>
      <c r="C1057" s="694">
        <v>40322</v>
      </c>
      <c r="D1057" s="694" t="s">
        <v>148</v>
      </c>
      <c r="E1057" s="695">
        <v>24</v>
      </c>
      <c r="F1057" s="503">
        <v>2010</v>
      </c>
      <c r="G1057" s="563" t="s">
        <v>104</v>
      </c>
      <c r="H1057" s="503" t="s">
        <v>161</v>
      </c>
      <c r="I1057" s="695">
        <v>25</v>
      </c>
      <c r="J1057" s="695">
        <v>0.21</v>
      </c>
      <c r="K1057" s="777">
        <f t="shared" si="180"/>
        <v>2.9829545454545451E-3</v>
      </c>
      <c r="L1057" s="968">
        <v>0</v>
      </c>
      <c r="M1057" s="503">
        <f t="shared" si="187"/>
        <v>19</v>
      </c>
      <c r="N1057" s="504">
        <v>0.81736111111111109</v>
      </c>
      <c r="O1057" s="719">
        <f t="shared" si="182"/>
        <v>0.81736111111111109</v>
      </c>
      <c r="P1057" s="564">
        <v>0.81805555555555554</v>
      </c>
      <c r="Q1057" s="564">
        <f t="shared" si="179"/>
        <v>6.9444444444444198E-4</v>
      </c>
      <c r="R1057" s="965" t="s">
        <v>1520</v>
      </c>
      <c r="S1057" s="494" t="s">
        <v>898</v>
      </c>
      <c r="U1057" s="29" t="str">
        <f t="shared" si="177"/>
        <v>HansfordEF0</v>
      </c>
      <c r="V1057" s="29" t="str">
        <f t="shared" si="178"/>
        <v>2010EF0</v>
      </c>
      <c r="W1057" s="80">
        <v>20</v>
      </c>
      <c r="X1057" s="32">
        <v>0.2</v>
      </c>
      <c r="Y1057" s="467">
        <v>2E-3</v>
      </c>
      <c r="Z1057" s="80"/>
      <c r="AA1057" s="29" t="str">
        <f t="shared" si="183"/>
        <v>EF020</v>
      </c>
      <c r="AB1057" s="29" t="str">
        <f t="shared" si="184"/>
        <v>EF00.2</v>
      </c>
      <c r="AC1057" s="29" t="str">
        <f t="shared" si="185"/>
        <v>EF00.002</v>
      </c>
      <c r="AD1057" s="29" t="str">
        <f t="shared" si="186"/>
        <v>EF019</v>
      </c>
      <c r="AE1057" s="443"/>
      <c r="AF1057" s="443"/>
      <c r="AG1057" s="443"/>
      <c r="AH1057" s="443"/>
    </row>
    <row r="1058" spans="1:34" ht="16.5">
      <c r="A1058" s="728">
        <f t="shared" si="181"/>
        <v>1051</v>
      </c>
      <c r="B1058" s="563">
        <v>29</v>
      </c>
      <c r="C1058" s="694">
        <v>40322</v>
      </c>
      <c r="D1058" s="694" t="s">
        <v>148</v>
      </c>
      <c r="E1058" s="695">
        <v>24</v>
      </c>
      <c r="F1058" s="503">
        <v>2010</v>
      </c>
      <c r="G1058" s="563" t="s">
        <v>104</v>
      </c>
      <c r="H1058" s="503" t="s">
        <v>161</v>
      </c>
      <c r="I1058" s="695">
        <v>25</v>
      </c>
      <c r="J1058" s="695">
        <v>0.38</v>
      </c>
      <c r="K1058" s="777">
        <f t="shared" si="180"/>
        <v>5.3977272727272728E-3</v>
      </c>
      <c r="L1058" s="968">
        <v>0</v>
      </c>
      <c r="M1058" s="503">
        <f t="shared" si="187"/>
        <v>19</v>
      </c>
      <c r="N1058" s="504">
        <v>0.82430555555555562</v>
      </c>
      <c r="O1058" s="719">
        <f t="shared" si="182"/>
        <v>0.82430555555555562</v>
      </c>
      <c r="P1058" s="564">
        <v>0.8256944444444444</v>
      </c>
      <c r="Q1058" s="564">
        <f t="shared" si="179"/>
        <v>1.3888888888887729E-3</v>
      </c>
      <c r="R1058" s="965" t="s">
        <v>1520</v>
      </c>
      <c r="S1058" s="494" t="s">
        <v>899</v>
      </c>
      <c r="U1058" s="29" t="str">
        <f t="shared" si="177"/>
        <v>HansfordEF0</v>
      </c>
      <c r="V1058" s="29" t="str">
        <f t="shared" si="178"/>
        <v>2010EF0</v>
      </c>
      <c r="W1058" s="80">
        <v>20</v>
      </c>
      <c r="X1058" s="32">
        <v>0.2</v>
      </c>
      <c r="Y1058" s="467">
        <v>5.0000000000000001E-3</v>
      </c>
      <c r="Z1058" s="80"/>
      <c r="AA1058" s="29" t="str">
        <f t="shared" si="183"/>
        <v>EF020</v>
      </c>
      <c r="AB1058" s="29" t="str">
        <f t="shared" si="184"/>
        <v>EF00.2</v>
      </c>
      <c r="AC1058" s="29" t="str">
        <f t="shared" si="185"/>
        <v>EF00.005</v>
      </c>
      <c r="AD1058" s="29" t="str">
        <f t="shared" si="186"/>
        <v>EF019</v>
      </c>
      <c r="AE1058" s="443"/>
      <c r="AF1058" s="443"/>
      <c r="AG1058" s="443"/>
      <c r="AH1058" s="443"/>
    </row>
    <row r="1059" spans="1:34" ht="16.5">
      <c r="A1059" s="728">
        <f t="shared" si="181"/>
        <v>1052</v>
      </c>
      <c r="B1059" s="563">
        <v>30</v>
      </c>
      <c r="C1059" s="694">
        <v>40322</v>
      </c>
      <c r="D1059" s="694" t="s">
        <v>148</v>
      </c>
      <c r="E1059" s="695">
        <v>24</v>
      </c>
      <c r="F1059" s="503">
        <v>2010</v>
      </c>
      <c r="G1059" s="563" t="s">
        <v>104</v>
      </c>
      <c r="H1059" s="503" t="s">
        <v>161</v>
      </c>
      <c r="I1059" s="695">
        <v>25</v>
      </c>
      <c r="J1059" s="695">
        <v>0.14000000000000001</v>
      </c>
      <c r="K1059" s="777">
        <f t="shared" si="180"/>
        <v>1.9886363636363639E-3</v>
      </c>
      <c r="L1059" s="968">
        <v>0</v>
      </c>
      <c r="M1059" s="503">
        <f t="shared" si="187"/>
        <v>19</v>
      </c>
      <c r="N1059" s="504">
        <v>0.8305555555555556</v>
      </c>
      <c r="O1059" s="719">
        <f t="shared" si="182"/>
        <v>0.8305555555555556</v>
      </c>
      <c r="P1059" s="564">
        <v>0.83194444444444438</v>
      </c>
      <c r="Q1059" s="564">
        <f t="shared" si="179"/>
        <v>1.3888888888887729E-3</v>
      </c>
      <c r="R1059" s="965" t="s">
        <v>1520</v>
      </c>
      <c r="S1059" s="494" t="s">
        <v>875</v>
      </c>
      <c r="U1059" s="29" t="str">
        <f t="shared" si="177"/>
        <v>HansfordEF0</v>
      </c>
      <c r="V1059" s="29" t="str">
        <f t="shared" si="178"/>
        <v>2010EF0</v>
      </c>
      <c r="W1059" s="80">
        <v>20</v>
      </c>
      <c r="X1059" s="32">
        <v>0.1</v>
      </c>
      <c r="Y1059" s="467">
        <v>1E-3</v>
      </c>
      <c r="Z1059" s="80"/>
      <c r="AA1059" s="29" t="str">
        <f t="shared" si="183"/>
        <v>EF020</v>
      </c>
      <c r="AB1059" s="29" t="str">
        <f t="shared" si="184"/>
        <v>EF00.1</v>
      </c>
      <c r="AC1059" s="29" t="str">
        <f t="shared" si="185"/>
        <v>EF00.001</v>
      </c>
      <c r="AD1059" s="29" t="str">
        <f t="shared" si="186"/>
        <v>EF019</v>
      </c>
      <c r="AE1059" s="443"/>
      <c r="AF1059" s="443"/>
      <c r="AG1059" s="443"/>
      <c r="AH1059" s="443"/>
    </row>
    <row r="1060" spans="1:34" ht="51">
      <c r="A1060" s="728">
        <f t="shared" si="181"/>
        <v>1053</v>
      </c>
      <c r="B1060" s="563">
        <v>31</v>
      </c>
      <c r="C1060" s="694">
        <v>40329</v>
      </c>
      <c r="D1060" s="694" t="s">
        <v>148</v>
      </c>
      <c r="E1060" s="695">
        <v>31</v>
      </c>
      <c r="F1060" s="503">
        <v>2010</v>
      </c>
      <c r="G1060" s="563" t="s">
        <v>99</v>
      </c>
      <c r="H1060" s="503" t="s">
        <v>161</v>
      </c>
      <c r="I1060" s="695">
        <v>25</v>
      </c>
      <c r="J1060" s="695">
        <v>1.75</v>
      </c>
      <c r="K1060" s="777">
        <f t="shared" si="180"/>
        <v>2.4857954545454544E-2</v>
      </c>
      <c r="L1060" s="968">
        <v>0</v>
      </c>
      <c r="M1060" s="503">
        <f t="shared" si="187"/>
        <v>18</v>
      </c>
      <c r="N1060" s="504">
        <v>0.79027777777777775</v>
      </c>
      <c r="O1060" s="719">
        <f t="shared" si="182"/>
        <v>0.79027777777777775</v>
      </c>
      <c r="P1060" s="564">
        <v>0.79166666666666663</v>
      </c>
      <c r="Q1060" s="564">
        <f t="shared" si="179"/>
        <v>1.388888888888884E-3</v>
      </c>
      <c r="R1060" s="965" t="s">
        <v>1520</v>
      </c>
      <c r="S1060" s="494" t="s">
        <v>878</v>
      </c>
      <c r="U1060" s="29" t="str">
        <f t="shared" si="177"/>
        <v>CimarronEF0</v>
      </c>
      <c r="V1060" s="29" t="str">
        <f t="shared" si="178"/>
        <v>2010EF0</v>
      </c>
      <c r="W1060" s="80">
        <v>20</v>
      </c>
      <c r="X1060" s="32">
        <v>1</v>
      </c>
      <c r="Y1060" s="467">
        <v>0.02</v>
      </c>
      <c r="Z1060" s="80"/>
      <c r="AA1060" s="29" t="str">
        <f t="shared" si="183"/>
        <v>EF020</v>
      </c>
      <c r="AB1060" s="29" t="str">
        <f t="shared" si="184"/>
        <v>EF01</v>
      </c>
      <c r="AC1060" s="29" t="str">
        <f t="shared" si="185"/>
        <v>EF00.02</v>
      </c>
      <c r="AD1060" s="29" t="str">
        <f t="shared" si="186"/>
        <v>EF018</v>
      </c>
      <c r="AE1060" s="443"/>
      <c r="AF1060" s="443"/>
      <c r="AG1060" s="443"/>
      <c r="AH1060" s="443"/>
    </row>
    <row r="1061" spans="1:34" ht="16.5">
      <c r="A1061" s="728">
        <f t="shared" si="181"/>
        <v>1054</v>
      </c>
      <c r="B1061" s="563">
        <v>32</v>
      </c>
      <c r="C1061" s="694">
        <v>40329</v>
      </c>
      <c r="D1061" s="694" t="s">
        <v>148</v>
      </c>
      <c r="E1061" s="695">
        <v>31</v>
      </c>
      <c r="F1061" s="503">
        <v>2010</v>
      </c>
      <c r="G1061" s="563" t="s">
        <v>100</v>
      </c>
      <c r="H1061" s="503" t="s">
        <v>161</v>
      </c>
      <c r="I1061" s="695">
        <v>25</v>
      </c>
      <c r="J1061" s="695">
        <v>1.7</v>
      </c>
      <c r="K1061" s="777">
        <f t="shared" si="180"/>
        <v>2.4147727272727272E-2</v>
      </c>
      <c r="L1061" s="968">
        <v>0</v>
      </c>
      <c r="M1061" s="503">
        <f t="shared" si="187"/>
        <v>19</v>
      </c>
      <c r="N1061" s="504">
        <v>0.82708333333333339</v>
      </c>
      <c r="O1061" s="719">
        <f t="shared" si="182"/>
        <v>0.82708333333333339</v>
      </c>
      <c r="P1061" s="564">
        <v>0.82847222222222217</v>
      </c>
      <c r="Q1061" s="564">
        <f t="shared" si="179"/>
        <v>1.3888888888887729E-3</v>
      </c>
      <c r="R1061" s="965" t="s">
        <v>1520</v>
      </c>
      <c r="S1061" s="494" t="s">
        <v>876</v>
      </c>
      <c r="U1061" s="29" t="str">
        <f t="shared" si="177"/>
        <v>TexasEF0</v>
      </c>
      <c r="V1061" s="29" t="str">
        <f t="shared" si="178"/>
        <v>2010EF0</v>
      </c>
      <c r="W1061" s="80">
        <v>20</v>
      </c>
      <c r="X1061" s="32">
        <v>1</v>
      </c>
      <c r="Y1061" s="467">
        <v>0.02</v>
      </c>
      <c r="Z1061" s="80"/>
      <c r="AA1061" s="29" t="str">
        <f t="shared" si="183"/>
        <v>EF020</v>
      </c>
      <c r="AB1061" s="29" t="str">
        <f t="shared" si="184"/>
        <v>EF01</v>
      </c>
      <c r="AC1061" s="29" t="str">
        <f t="shared" si="185"/>
        <v>EF00.02</v>
      </c>
      <c r="AD1061" s="29" t="str">
        <f t="shared" si="186"/>
        <v>EF019</v>
      </c>
      <c r="AE1061" s="443"/>
      <c r="AF1061" s="443"/>
      <c r="AG1061" s="443"/>
      <c r="AH1061" s="443"/>
    </row>
    <row r="1062" spans="1:34" ht="79.5" customHeight="1">
      <c r="A1062" s="728">
        <f t="shared" si="181"/>
        <v>1055</v>
      </c>
      <c r="B1062" s="563">
        <v>33</v>
      </c>
      <c r="C1062" s="694">
        <v>40341</v>
      </c>
      <c r="D1062" s="694" t="s">
        <v>149</v>
      </c>
      <c r="E1062" s="695">
        <v>12</v>
      </c>
      <c r="F1062" s="503">
        <v>2010</v>
      </c>
      <c r="G1062" s="563" t="s">
        <v>108</v>
      </c>
      <c r="H1062" s="503" t="s">
        <v>161</v>
      </c>
      <c r="I1062" s="695">
        <v>25</v>
      </c>
      <c r="J1062" s="695">
        <v>0.56000000000000005</v>
      </c>
      <c r="K1062" s="777">
        <f t="shared" si="180"/>
        <v>7.9545454545454555E-3</v>
      </c>
      <c r="L1062" s="968">
        <v>0</v>
      </c>
      <c r="M1062" s="503">
        <f t="shared" si="187"/>
        <v>14</v>
      </c>
      <c r="N1062" s="504">
        <v>0.59305555555555556</v>
      </c>
      <c r="O1062" s="719">
        <f t="shared" si="182"/>
        <v>0.59305555555555556</v>
      </c>
      <c r="P1062" s="564">
        <v>0.59444444444444444</v>
      </c>
      <c r="Q1062" s="564">
        <f t="shared" si="179"/>
        <v>1.388888888888884E-3</v>
      </c>
      <c r="R1062" s="965" t="s">
        <v>1520</v>
      </c>
      <c r="S1062" s="494" t="s">
        <v>886</v>
      </c>
      <c r="U1062" s="29" t="str">
        <f t="shared" si="177"/>
        <v>MooreEF0</v>
      </c>
      <c r="V1062" s="29" t="str">
        <f t="shared" si="178"/>
        <v>2010EF0</v>
      </c>
      <c r="W1062" s="80">
        <v>20</v>
      </c>
      <c r="X1062" s="32">
        <v>0.5</v>
      </c>
      <c r="Y1062" s="467">
        <v>5.0000000000000001E-3</v>
      </c>
      <c r="Z1062" s="80"/>
      <c r="AA1062" s="29" t="str">
        <f t="shared" si="183"/>
        <v>EF020</v>
      </c>
      <c r="AB1062" s="29" t="str">
        <f t="shared" si="184"/>
        <v>EF00.5</v>
      </c>
      <c r="AC1062" s="29" t="str">
        <f t="shared" si="185"/>
        <v>EF00.005</v>
      </c>
      <c r="AD1062" s="29" t="str">
        <f t="shared" si="186"/>
        <v>EF014</v>
      </c>
      <c r="AE1062" s="443"/>
      <c r="AF1062" s="443"/>
      <c r="AG1062" s="443"/>
      <c r="AH1062" s="443"/>
    </row>
    <row r="1063" spans="1:34" ht="92.25" customHeight="1">
      <c r="A1063" s="728">
        <f t="shared" si="181"/>
        <v>1056</v>
      </c>
      <c r="B1063" s="563">
        <v>34</v>
      </c>
      <c r="C1063" s="694">
        <v>40342</v>
      </c>
      <c r="D1063" s="694" t="s">
        <v>149</v>
      </c>
      <c r="E1063" s="695">
        <v>13</v>
      </c>
      <c r="F1063" s="503">
        <v>2010</v>
      </c>
      <c r="G1063" s="563" t="s">
        <v>101</v>
      </c>
      <c r="H1063" s="503" t="s">
        <v>161</v>
      </c>
      <c r="I1063" s="695">
        <v>25</v>
      </c>
      <c r="J1063" s="695">
        <v>5.1100000000000003</v>
      </c>
      <c r="K1063" s="777">
        <f t="shared" si="180"/>
        <v>7.2585227272727273E-2</v>
      </c>
      <c r="L1063" s="968">
        <v>0</v>
      </c>
      <c r="M1063" s="503">
        <f t="shared" si="187"/>
        <v>14</v>
      </c>
      <c r="N1063" s="504">
        <v>0.61944444444444446</v>
      </c>
      <c r="O1063" s="719">
        <f t="shared" si="182"/>
        <v>0.61944444444444446</v>
      </c>
      <c r="P1063" s="564">
        <v>0.62361111111111112</v>
      </c>
      <c r="Q1063" s="564">
        <f t="shared" si="179"/>
        <v>4.1666666666666519E-3</v>
      </c>
      <c r="R1063" s="965" t="s">
        <v>1520</v>
      </c>
      <c r="S1063" s="494" t="s">
        <v>900</v>
      </c>
      <c r="U1063" s="29" t="str">
        <f t="shared" si="177"/>
        <v>BeaverEF0</v>
      </c>
      <c r="V1063" s="29" t="str">
        <f t="shared" si="178"/>
        <v>2010EF0</v>
      </c>
      <c r="W1063" s="80">
        <v>20</v>
      </c>
      <c r="X1063" s="32">
        <v>5</v>
      </c>
      <c r="Y1063" s="467">
        <v>0.05</v>
      </c>
      <c r="Z1063" s="80"/>
      <c r="AA1063" s="29" t="str">
        <f t="shared" si="183"/>
        <v>EF020</v>
      </c>
      <c r="AB1063" s="29" t="str">
        <f t="shared" si="184"/>
        <v>EF05</v>
      </c>
      <c r="AC1063" s="29" t="str">
        <f t="shared" si="185"/>
        <v>EF00.05</v>
      </c>
      <c r="AD1063" s="29" t="str">
        <f t="shared" si="186"/>
        <v>EF014</v>
      </c>
      <c r="AE1063" s="443"/>
      <c r="AF1063" s="443"/>
      <c r="AG1063" s="443"/>
      <c r="AH1063" s="443"/>
    </row>
    <row r="1064" spans="1:34" ht="16.5">
      <c r="A1064" s="728">
        <f t="shared" si="181"/>
        <v>1057</v>
      </c>
      <c r="B1064" s="563">
        <v>35</v>
      </c>
      <c r="C1064" s="694">
        <v>40342</v>
      </c>
      <c r="D1064" s="694" t="s">
        <v>149</v>
      </c>
      <c r="E1064" s="695">
        <v>13</v>
      </c>
      <c r="F1064" s="503">
        <v>2010</v>
      </c>
      <c r="G1064" s="563" t="s">
        <v>101</v>
      </c>
      <c r="H1064" s="503" t="s">
        <v>161</v>
      </c>
      <c r="I1064" s="695">
        <v>25</v>
      </c>
      <c r="J1064" s="695">
        <v>3.07</v>
      </c>
      <c r="K1064" s="777">
        <f t="shared" si="180"/>
        <v>4.360795454545454E-2</v>
      </c>
      <c r="L1064" s="968">
        <v>0</v>
      </c>
      <c r="M1064" s="503">
        <f t="shared" si="187"/>
        <v>15</v>
      </c>
      <c r="N1064" s="504">
        <v>0.63680555555555551</v>
      </c>
      <c r="O1064" s="719">
        <f t="shared" si="182"/>
        <v>0.63680555555555551</v>
      </c>
      <c r="P1064" s="564">
        <v>0.64027777777777783</v>
      </c>
      <c r="Q1064" s="564">
        <f t="shared" si="179"/>
        <v>3.4722222222223209E-3</v>
      </c>
      <c r="R1064" s="965" t="s">
        <v>1520</v>
      </c>
      <c r="S1064" s="494" t="s">
        <v>883</v>
      </c>
      <c r="U1064" s="29" t="str">
        <f t="shared" si="177"/>
        <v>BeaverEF0</v>
      </c>
      <c r="V1064" s="29" t="str">
        <f t="shared" si="178"/>
        <v>2010EF0</v>
      </c>
      <c r="W1064" s="80">
        <v>20</v>
      </c>
      <c r="X1064" s="32">
        <v>2</v>
      </c>
      <c r="Y1064" s="467">
        <v>0.02</v>
      </c>
      <c r="Z1064" s="80"/>
      <c r="AA1064" s="29" t="str">
        <f t="shared" si="183"/>
        <v>EF020</v>
      </c>
      <c r="AB1064" s="29" t="str">
        <f t="shared" si="184"/>
        <v>EF02</v>
      </c>
      <c r="AC1064" s="29" t="str">
        <f t="shared" si="185"/>
        <v>EF00.02</v>
      </c>
      <c r="AD1064" s="29" t="str">
        <f t="shared" si="186"/>
        <v>EF015</v>
      </c>
      <c r="AE1064" s="443"/>
      <c r="AF1064" s="443"/>
      <c r="AG1064" s="443"/>
      <c r="AH1064" s="443"/>
    </row>
    <row r="1065" spans="1:34" ht="16.5">
      <c r="A1065" s="728">
        <f t="shared" si="181"/>
        <v>1058</v>
      </c>
      <c r="B1065" s="563">
        <v>36</v>
      </c>
      <c r="C1065" s="694">
        <v>40342</v>
      </c>
      <c r="D1065" s="694" t="s">
        <v>149</v>
      </c>
      <c r="E1065" s="695">
        <v>13</v>
      </c>
      <c r="F1065" s="503">
        <v>2010</v>
      </c>
      <c r="G1065" s="563" t="s">
        <v>101</v>
      </c>
      <c r="H1065" s="503" t="s">
        <v>161</v>
      </c>
      <c r="I1065" s="695">
        <v>25</v>
      </c>
      <c r="J1065" s="695">
        <v>2.5099999999999998</v>
      </c>
      <c r="K1065" s="777">
        <f t="shared" si="180"/>
        <v>3.565340909090909E-2</v>
      </c>
      <c r="L1065" s="968">
        <v>0</v>
      </c>
      <c r="M1065" s="503">
        <f t="shared" si="187"/>
        <v>15</v>
      </c>
      <c r="N1065" s="504">
        <v>0.64027777777777783</v>
      </c>
      <c r="O1065" s="719">
        <f t="shared" si="182"/>
        <v>0.64027777777777783</v>
      </c>
      <c r="P1065" s="564">
        <v>0.64374999999999993</v>
      </c>
      <c r="Q1065" s="564">
        <f t="shared" si="179"/>
        <v>3.4722222222220989E-3</v>
      </c>
      <c r="R1065" s="965" t="s">
        <v>1520</v>
      </c>
      <c r="S1065" s="494" t="s">
        <v>884</v>
      </c>
      <c r="U1065" s="29" t="str">
        <f t="shared" si="177"/>
        <v>BeaverEF0</v>
      </c>
      <c r="V1065" s="29" t="str">
        <f t="shared" si="178"/>
        <v>2010EF0</v>
      </c>
      <c r="W1065" s="80">
        <v>20</v>
      </c>
      <c r="X1065" s="32">
        <v>2</v>
      </c>
      <c r="Y1065" s="467">
        <v>0.02</v>
      </c>
      <c r="Z1065" s="80"/>
      <c r="AA1065" s="29" t="str">
        <f t="shared" si="183"/>
        <v>EF020</v>
      </c>
      <c r="AB1065" s="29" t="str">
        <f t="shared" si="184"/>
        <v>EF02</v>
      </c>
      <c r="AC1065" s="29" t="str">
        <f t="shared" si="185"/>
        <v>EF00.02</v>
      </c>
      <c r="AD1065" s="29" t="str">
        <f t="shared" si="186"/>
        <v>EF015</v>
      </c>
      <c r="AE1065" s="443"/>
      <c r="AF1065" s="443"/>
      <c r="AG1065" s="443"/>
      <c r="AH1065" s="443"/>
    </row>
    <row r="1066" spans="1:34" ht="16.5">
      <c r="A1066" s="728">
        <f t="shared" si="181"/>
        <v>1059</v>
      </c>
      <c r="B1066" s="563">
        <v>37</v>
      </c>
      <c r="C1066" s="694">
        <v>40342</v>
      </c>
      <c r="D1066" s="694" t="s">
        <v>149</v>
      </c>
      <c r="E1066" s="695">
        <v>13</v>
      </c>
      <c r="F1066" s="503">
        <v>2010</v>
      </c>
      <c r="G1066" s="563" t="s">
        <v>101</v>
      </c>
      <c r="H1066" s="503" t="s">
        <v>161</v>
      </c>
      <c r="I1066" s="695">
        <v>25</v>
      </c>
      <c r="J1066" s="695">
        <v>2.79</v>
      </c>
      <c r="K1066" s="777">
        <f t="shared" si="180"/>
        <v>3.9630681818181815E-2</v>
      </c>
      <c r="L1066" s="968">
        <v>0</v>
      </c>
      <c r="M1066" s="503">
        <f t="shared" si="187"/>
        <v>15</v>
      </c>
      <c r="N1066" s="504">
        <v>0.65347222222222223</v>
      </c>
      <c r="O1066" s="719">
        <f t="shared" si="182"/>
        <v>0.65347222222222223</v>
      </c>
      <c r="P1066" s="564">
        <v>0.65694444444444444</v>
      </c>
      <c r="Q1066" s="564">
        <f t="shared" si="179"/>
        <v>3.4722222222222099E-3</v>
      </c>
      <c r="R1066" s="965" t="s">
        <v>1520</v>
      </c>
      <c r="S1066" s="494" t="s">
        <v>885</v>
      </c>
      <c r="U1066" s="29" t="str">
        <f t="shared" si="177"/>
        <v>BeaverEF0</v>
      </c>
      <c r="V1066" s="29" t="str">
        <f t="shared" si="178"/>
        <v>2010EF0</v>
      </c>
      <c r="W1066" s="80">
        <v>20</v>
      </c>
      <c r="X1066" s="32">
        <v>2</v>
      </c>
      <c r="Y1066" s="467">
        <v>0.02</v>
      </c>
      <c r="Z1066" s="80"/>
      <c r="AA1066" s="29" t="str">
        <f t="shared" si="183"/>
        <v>EF020</v>
      </c>
      <c r="AB1066" s="29" t="str">
        <f t="shared" si="184"/>
        <v>EF02</v>
      </c>
      <c r="AC1066" s="29" t="str">
        <f t="shared" si="185"/>
        <v>EF00.02</v>
      </c>
      <c r="AD1066" s="29" t="str">
        <f t="shared" si="186"/>
        <v>EF015</v>
      </c>
      <c r="AE1066" s="443"/>
      <c r="AF1066" s="443"/>
      <c r="AG1066" s="443"/>
      <c r="AH1066" s="443"/>
    </row>
    <row r="1067" spans="1:34" ht="16.5">
      <c r="A1067" s="728">
        <f t="shared" si="181"/>
        <v>1060</v>
      </c>
      <c r="B1067" s="563">
        <v>38</v>
      </c>
      <c r="C1067" s="694">
        <v>40342</v>
      </c>
      <c r="D1067" s="694" t="s">
        <v>149</v>
      </c>
      <c r="E1067" s="695">
        <v>13</v>
      </c>
      <c r="F1067" s="503">
        <v>2010</v>
      </c>
      <c r="G1067" s="563" t="s">
        <v>106</v>
      </c>
      <c r="H1067" s="503" t="s">
        <v>161</v>
      </c>
      <c r="I1067" s="563">
        <v>25</v>
      </c>
      <c r="J1067" s="563">
        <v>0.32</v>
      </c>
      <c r="K1067" s="777">
        <f t="shared" si="180"/>
        <v>4.5454545454545452E-3</v>
      </c>
      <c r="L1067" s="968">
        <v>0</v>
      </c>
      <c r="M1067" s="503">
        <f t="shared" si="187"/>
        <v>16</v>
      </c>
      <c r="N1067" s="504">
        <v>0.68333333333333324</v>
      </c>
      <c r="O1067" s="719">
        <f t="shared" si="182"/>
        <v>0.68333333333333324</v>
      </c>
      <c r="P1067" s="564">
        <v>0.68472222222222223</v>
      </c>
      <c r="Q1067" s="564">
        <f t="shared" si="179"/>
        <v>1.388888888888995E-3</v>
      </c>
      <c r="R1067" s="965" t="s">
        <v>1520</v>
      </c>
      <c r="S1067" s="494" t="s">
        <v>901</v>
      </c>
      <c r="U1067" s="29" t="str">
        <f t="shared" si="177"/>
        <v>LipscombEF0</v>
      </c>
      <c r="V1067" s="29" t="str">
        <f t="shared" si="178"/>
        <v>2010EF0</v>
      </c>
      <c r="W1067" s="80">
        <v>20</v>
      </c>
      <c r="X1067" s="32">
        <v>0.2</v>
      </c>
      <c r="Y1067" s="467">
        <v>2E-3</v>
      </c>
      <c r="Z1067" s="80"/>
      <c r="AA1067" s="29" t="str">
        <f t="shared" si="183"/>
        <v>EF020</v>
      </c>
      <c r="AB1067" s="29" t="str">
        <f t="shared" si="184"/>
        <v>EF00.2</v>
      </c>
      <c r="AC1067" s="29" t="str">
        <f t="shared" si="185"/>
        <v>EF00.002</v>
      </c>
      <c r="AD1067" s="29" t="str">
        <f t="shared" si="186"/>
        <v>EF016</v>
      </c>
      <c r="AE1067" s="443"/>
      <c r="AF1067" s="443"/>
      <c r="AG1067" s="443"/>
      <c r="AH1067" s="443"/>
    </row>
    <row r="1068" spans="1:34" ht="51">
      <c r="A1068" s="728">
        <f t="shared" si="181"/>
        <v>1061</v>
      </c>
      <c r="B1068" s="563">
        <v>1</v>
      </c>
      <c r="C1068" s="694">
        <v>40705</v>
      </c>
      <c r="D1068" s="694" t="s">
        <v>149</v>
      </c>
      <c r="E1068" s="695">
        <v>11</v>
      </c>
      <c r="F1068" s="503">
        <v>2011</v>
      </c>
      <c r="G1068" s="563" t="s">
        <v>106</v>
      </c>
      <c r="H1068" s="503" t="s">
        <v>161</v>
      </c>
      <c r="I1068" s="563">
        <v>50</v>
      </c>
      <c r="J1068" s="563">
        <v>0.51</v>
      </c>
      <c r="K1068" s="777">
        <f t="shared" si="180"/>
        <v>1.4488636363636363E-2</v>
      </c>
      <c r="L1068" s="967">
        <v>15000</v>
      </c>
      <c r="M1068" s="503">
        <f t="shared" si="187"/>
        <v>17</v>
      </c>
      <c r="N1068" s="504">
        <v>0.74236111111111114</v>
      </c>
      <c r="O1068" s="719">
        <f t="shared" si="182"/>
        <v>0.74236111111111114</v>
      </c>
      <c r="P1068" s="564">
        <v>0.74375000000000002</v>
      </c>
      <c r="Q1068" s="564">
        <f t="shared" si="179"/>
        <v>1.388888888888884E-3</v>
      </c>
      <c r="R1068" s="965" t="s">
        <v>1520</v>
      </c>
      <c r="S1068" s="494" t="s">
        <v>937</v>
      </c>
      <c r="U1068" s="29" t="str">
        <f t="shared" si="177"/>
        <v>LipscombEF0</v>
      </c>
      <c r="V1068" s="29" t="str">
        <f t="shared" si="178"/>
        <v>2011EF0</v>
      </c>
      <c r="W1068" s="80">
        <v>50</v>
      </c>
      <c r="X1068" s="32">
        <v>0.5</v>
      </c>
      <c r="Y1068" s="467">
        <v>0.01</v>
      </c>
      <c r="Z1068" s="29"/>
      <c r="AA1068" s="29" t="str">
        <f t="shared" si="183"/>
        <v>EF050</v>
      </c>
      <c r="AB1068" s="29" t="str">
        <f t="shared" si="184"/>
        <v>EF00.5</v>
      </c>
      <c r="AC1068" s="29" t="str">
        <f t="shared" si="185"/>
        <v>EF00.01</v>
      </c>
      <c r="AD1068" s="29" t="str">
        <f t="shared" si="186"/>
        <v>EF017</v>
      </c>
      <c r="AE1068" s="443"/>
      <c r="AF1068" s="443"/>
      <c r="AG1068" s="443"/>
      <c r="AH1068" s="443"/>
    </row>
    <row r="1069" spans="1:34" ht="16.5">
      <c r="A1069" s="728">
        <f t="shared" si="181"/>
        <v>1062</v>
      </c>
      <c r="B1069" s="563">
        <v>2</v>
      </c>
      <c r="C1069" s="694">
        <v>40705</v>
      </c>
      <c r="D1069" s="694" t="s">
        <v>149</v>
      </c>
      <c r="E1069" s="695">
        <v>11</v>
      </c>
      <c r="F1069" s="503">
        <v>2011</v>
      </c>
      <c r="G1069" s="563" t="s">
        <v>100</v>
      </c>
      <c r="H1069" s="503" t="s">
        <v>161</v>
      </c>
      <c r="I1069" s="563">
        <v>50</v>
      </c>
      <c r="J1069" s="563">
        <v>2.1</v>
      </c>
      <c r="K1069" s="777">
        <f t="shared" si="180"/>
        <v>5.9659090909090912E-2</v>
      </c>
      <c r="L1069" s="967">
        <v>20000</v>
      </c>
      <c r="M1069" s="503">
        <f t="shared" si="187"/>
        <v>18</v>
      </c>
      <c r="N1069" s="504">
        <v>0.75763888888888886</v>
      </c>
      <c r="O1069" s="719">
        <f t="shared" si="182"/>
        <v>0.75763888888888886</v>
      </c>
      <c r="P1069" s="564">
        <v>0.76736111111111116</v>
      </c>
      <c r="Q1069" s="564">
        <f t="shared" si="179"/>
        <v>9.7222222222222987E-3</v>
      </c>
      <c r="R1069" s="965" t="s">
        <v>1520</v>
      </c>
      <c r="S1069" s="494" t="s">
        <v>919</v>
      </c>
      <c r="U1069" s="29" t="str">
        <f t="shared" si="177"/>
        <v>TexasEF0</v>
      </c>
      <c r="V1069" s="29" t="str">
        <f t="shared" si="178"/>
        <v>2011EF0</v>
      </c>
      <c r="W1069" s="80">
        <v>50</v>
      </c>
      <c r="X1069" s="32">
        <v>2</v>
      </c>
      <c r="Y1069" s="467">
        <v>0.05</v>
      </c>
      <c r="Z1069" s="29"/>
      <c r="AA1069" s="29" t="str">
        <f t="shared" si="183"/>
        <v>EF050</v>
      </c>
      <c r="AB1069" s="29" t="str">
        <f t="shared" si="184"/>
        <v>EF02</v>
      </c>
      <c r="AC1069" s="29" t="str">
        <f t="shared" si="185"/>
        <v>EF00.05</v>
      </c>
      <c r="AD1069" s="29" t="str">
        <f t="shared" si="186"/>
        <v>EF018</v>
      </c>
      <c r="AE1069" s="443"/>
      <c r="AF1069" s="443"/>
      <c r="AG1069" s="443"/>
      <c r="AH1069" s="443"/>
    </row>
    <row r="1070" spans="1:34" ht="16.5">
      <c r="A1070" s="728">
        <f t="shared" si="181"/>
        <v>1063</v>
      </c>
      <c r="B1070" s="563">
        <v>3</v>
      </c>
      <c r="C1070" s="694">
        <v>40705</v>
      </c>
      <c r="D1070" s="694" t="s">
        <v>149</v>
      </c>
      <c r="E1070" s="695">
        <v>11</v>
      </c>
      <c r="F1070" s="503">
        <v>2011</v>
      </c>
      <c r="G1070" s="563" t="s">
        <v>101</v>
      </c>
      <c r="H1070" s="503" t="s">
        <v>161</v>
      </c>
      <c r="I1070" s="563">
        <v>25</v>
      </c>
      <c r="J1070" s="563">
        <v>0.1</v>
      </c>
      <c r="K1070" s="777">
        <f t="shared" si="180"/>
        <v>1.4204545454545455E-3</v>
      </c>
      <c r="L1070" s="968">
        <v>0</v>
      </c>
      <c r="M1070" s="503">
        <f t="shared" si="187"/>
        <v>18</v>
      </c>
      <c r="N1070" s="504">
        <v>0.78472222222222221</v>
      </c>
      <c r="O1070" s="719">
        <f t="shared" si="182"/>
        <v>0.78472222222222221</v>
      </c>
      <c r="P1070" s="564">
        <v>0.78611111111111109</v>
      </c>
      <c r="Q1070" s="564">
        <f t="shared" si="179"/>
        <v>1.388888888888884E-3</v>
      </c>
      <c r="R1070" s="965" t="s">
        <v>1520</v>
      </c>
      <c r="S1070" s="494" t="s">
        <v>920</v>
      </c>
      <c r="U1070" s="29" t="str">
        <f t="shared" si="177"/>
        <v>BeaverEF0</v>
      </c>
      <c r="V1070" s="29" t="str">
        <f t="shared" si="178"/>
        <v>2011EF0</v>
      </c>
      <c r="W1070" s="80">
        <v>20</v>
      </c>
      <c r="X1070" s="32">
        <v>0.1</v>
      </c>
      <c r="Y1070" s="467">
        <v>1E-3</v>
      </c>
      <c r="Z1070" s="29"/>
      <c r="AA1070" s="29" t="str">
        <f t="shared" si="183"/>
        <v>EF020</v>
      </c>
      <c r="AB1070" s="29" t="str">
        <f t="shared" si="184"/>
        <v>EF00.1</v>
      </c>
      <c r="AC1070" s="29" t="str">
        <f t="shared" si="185"/>
        <v>EF00.001</v>
      </c>
      <c r="AD1070" s="29" t="str">
        <f t="shared" si="186"/>
        <v>EF018</v>
      </c>
      <c r="AE1070" s="443"/>
      <c r="AF1070" s="443"/>
      <c r="AG1070" s="443"/>
      <c r="AH1070" s="443"/>
    </row>
    <row r="1071" spans="1:34" ht="16.5">
      <c r="A1071" s="728">
        <f t="shared" si="181"/>
        <v>1064</v>
      </c>
      <c r="B1071" s="563">
        <v>4</v>
      </c>
      <c r="C1071" s="694">
        <v>40705</v>
      </c>
      <c r="D1071" s="694" t="s">
        <v>149</v>
      </c>
      <c r="E1071" s="695">
        <v>11</v>
      </c>
      <c r="F1071" s="503">
        <v>2011</v>
      </c>
      <c r="G1071" s="563" t="s">
        <v>106</v>
      </c>
      <c r="H1071" s="503" t="s">
        <v>161</v>
      </c>
      <c r="I1071" s="563">
        <v>50</v>
      </c>
      <c r="J1071" s="563">
        <v>0.17</v>
      </c>
      <c r="K1071" s="777">
        <f t="shared" si="180"/>
        <v>4.8295454545454544E-3</v>
      </c>
      <c r="L1071" s="967">
        <v>5000</v>
      </c>
      <c r="M1071" s="503">
        <f t="shared" si="187"/>
        <v>18</v>
      </c>
      <c r="N1071" s="504">
        <v>0.78472222222222221</v>
      </c>
      <c r="O1071" s="719">
        <f t="shared" si="182"/>
        <v>0.78472222222222221</v>
      </c>
      <c r="P1071" s="564">
        <v>0.78611111111111109</v>
      </c>
      <c r="Q1071" s="564">
        <f t="shared" si="179"/>
        <v>1.388888888888884E-3</v>
      </c>
      <c r="R1071" s="965" t="s">
        <v>1520</v>
      </c>
      <c r="S1071" s="494" t="s">
        <v>921</v>
      </c>
      <c r="U1071" s="29" t="str">
        <f t="shared" si="177"/>
        <v>LipscombEF0</v>
      </c>
      <c r="V1071" s="29" t="str">
        <f t="shared" si="178"/>
        <v>2011EF0</v>
      </c>
      <c r="W1071" s="80">
        <v>50</v>
      </c>
      <c r="X1071" s="32">
        <v>0.1</v>
      </c>
      <c r="Y1071" s="467">
        <v>2E-3</v>
      </c>
      <c r="Z1071" s="29"/>
      <c r="AA1071" s="29" t="str">
        <f t="shared" si="183"/>
        <v>EF050</v>
      </c>
      <c r="AB1071" s="29" t="str">
        <f t="shared" si="184"/>
        <v>EF00.1</v>
      </c>
      <c r="AC1071" s="29" t="str">
        <f t="shared" si="185"/>
        <v>EF00.002</v>
      </c>
      <c r="AD1071" s="29" t="str">
        <f t="shared" si="186"/>
        <v>EF018</v>
      </c>
      <c r="AE1071" s="443"/>
      <c r="AF1071" s="443"/>
      <c r="AG1071" s="443"/>
      <c r="AH1071" s="443"/>
    </row>
    <row r="1072" spans="1:34" ht="25.5">
      <c r="A1072" s="728">
        <f t="shared" si="181"/>
        <v>1065</v>
      </c>
      <c r="B1072" s="661">
        <v>1</v>
      </c>
      <c r="C1072" s="662">
        <v>40942</v>
      </c>
      <c r="D1072" s="662" t="s">
        <v>145</v>
      </c>
      <c r="E1072" s="663">
        <v>3</v>
      </c>
      <c r="F1072" s="664">
        <v>2012</v>
      </c>
      <c r="G1072" s="661" t="s">
        <v>115</v>
      </c>
      <c r="H1072" s="664" t="s">
        <v>162</v>
      </c>
      <c r="I1072" s="661">
        <v>100</v>
      </c>
      <c r="J1072" s="661">
        <v>8.3000000000000007</v>
      </c>
      <c r="K1072" s="818">
        <f t="shared" si="180"/>
        <v>0.47159090909090912</v>
      </c>
      <c r="L1072" s="967">
        <v>250000</v>
      </c>
      <c r="M1072" s="664">
        <f t="shared" si="187"/>
        <v>0</v>
      </c>
      <c r="N1072" s="744">
        <v>2.9166666666666664E-2</v>
      </c>
      <c r="O1072" s="745">
        <f t="shared" si="182"/>
        <v>2.9166666666666664E-2</v>
      </c>
      <c r="P1072" s="746">
        <v>3.8194444444444441E-2</v>
      </c>
      <c r="Q1072" s="564">
        <f t="shared" si="179"/>
        <v>9.0277777777777769E-3</v>
      </c>
      <c r="R1072" s="965" t="s">
        <v>1520</v>
      </c>
      <c r="S1072" s="660" t="s">
        <v>1042</v>
      </c>
      <c r="U1072" s="29" t="str">
        <f t="shared" si="177"/>
        <v>GrayEF1</v>
      </c>
      <c r="V1072" s="29" t="str">
        <f t="shared" si="178"/>
        <v>2012EF1</v>
      </c>
      <c r="W1072" s="652">
        <v>100</v>
      </c>
      <c r="X1072" s="770">
        <v>5</v>
      </c>
      <c r="Y1072" s="653">
        <v>0.2</v>
      </c>
      <c r="Z1072" s="29"/>
      <c r="AA1072" s="29" t="str">
        <f t="shared" si="183"/>
        <v>EF1100</v>
      </c>
      <c r="AB1072" s="29" t="str">
        <f t="shared" si="184"/>
        <v>EF15</v>
      </c>
      <c r="AC1072" s="29" t="str">
        <f t="shared" si="185"/>
        <v>EF10.2</v>
      </c>
      <c r="AD1072" s="29" t="str">
        <f t="shared" ref="AD1072:AD1103" si="188">CONCATENATE(H1072,M1072)</f>
        <v>EF10</v>
      </c>
      <c r="AE1072" s="443"/>
      <c r="AF1072" s="443"/>
      <c r="AG1072" s="443"/>
      <c r="AH1072" s="443"/>
    </row>
    <row r="1073" spans="1:34" ht="25.5">
      <c r="A1073" s="728">
        <f t="shared" si="181"/>
        <v>1066</v>
      </c>
      <c r="B1073" s="661">
        <v>2</v>
      </c>
      <c r="C1073" s="662">
        <v>40942</v>
      </c>
      <c r="D1073" s="662" t="s">
        <v>145</v>
      </c>
      <c r="E1073" s="663">
        <v>3</v>
      </c>
      <c r="F1073" s="664">
        <v>2012</v>
      </c>
      <c r="G1073" s="661" t="s">
        <v>110</v>
      </c>
      <c r="H1073" s="664" t="s">
        <v>161</v>
      </c>
      <c r="I1073" s="661">
        <v>100</v>
      </c>
      <c r="J1073" s="661">
        <v>2.5499999999999998</v>
      </c>
      <c r="K1073" s="818">
        <f t="shared" si="180"/>
        <v>0.14488636363636362</v>
      </c>
      <c r="L1073" s="968">
        <v>0</v>
      </c>
      <c r="M1073" s="664">
        <f t="shared" si="187"/>
        <v>0</v>
      </c>
      <c r="N1073" s="744">
        <v>3.8194444444444441E-2</v>
      </c>
      <c r="O1073" s="745">
        <f t="shared" si="182"/>
        <v>3.8194444444444441E-2</v>
      </c>
      <c r="P1073" s="746">
        <v>4.1666666666666664E-2</v>
      </c>
      <c r="Q1073" s="564">
        <f t="shared" si="179"/>
        <v>3.4722222222222238E-3</v>
      </c>
      <c r="R1073" s="965" t="s">
        <v>1520</v>
      </c>
      <c r="S1073" s="660" t="s">
        <v>1044</v>
      </c>
      <c r="U1073" s="29" t="str">
        <f t="shared" si="177"/>
        <v>RobertsEF0</v>
      </c>
      <c r="V1073" s="29" t="str">
        <f t="shared" si="178"/>
        <v>2012EF0</v>
      </c>
      <c r="W1073" s="652">
        <v>100</v>
      </c>
      <c r="X1073" s="770">
        <v>2</v>
      </c>
      <c r="Y1073" s="653">
        <v>0.1</v>
      </c>
      <c r="Z1073" s="29"/>
      <c r="AA1073" s="29" t="str">
        <f t="shared" si="183"/>
        <v>EF0100</v>
      </c>
      <c r="AB1073" s="29" t="str">
        <f t="shared" si="184"/>
        <v>EF02</v>
      </c>
      <c r="AC1073" s="29" t="str">
        <f t="shared" si="185"/>
        <v>EF00.1</v>
      </c>
      <c r="AD1073" s="29" t="str">
        <f t="shared" si="188"/>
        <v>EF00</v>
      </c>
      <c r="AE1073" s="443"/>
      <c r="AF1073" s="443"/>
      <c r="AG1073" s="443"/>
      <c r="AH1073" s="443"/>
    </row>
    <row r="1074" spans="1:34" ht="38.25">
      <c r="A1074" s="728">
        <f t="shared" si="181"/>
        <v>1067</v>
      </c>
      <c r="B1074" s="661">
        <v>3</v>
      </c>
      <c r="C1074" s="662">
        <v>40942</v>
      </c>
      <c r="D1074" s="662" t="s">
        <v>145</v>
      </c>
      <c r="E1074" s="663">
        <v>3</v>
      </c>
      <c r="F1074" s="664">
        <v>2012</v>
      </c>
      <c r="G1074" s="661" t="s">
        <v>111</v>
      </c>
      <c r="H1074" s="664" t="s">
        <v>161</v>
      </c>
      <c r="I1074" s="661">
        <v>100</v>
      </c>
      <c r="J1074" s="661">
        <v>1.82</v>
      </c>
      <c r="K1074" s="818">
        <f t="shared" si="180"/>
        <v>0.10340909090909091</v>
      </c>
      <c r="L1074" s="968">
        <v>0</v>
      </c>
      <c r="M1074" s="664">
        <f t="shared" si="187"/>
        <v>1</v>
      </c>
      <c r="N1074" s="744">
        <v>4.1666666666666664E-2</v>
      </c>
      <c r="O1074" s="745">
        <f t="shared" si="182"/>
        <v>4.1666666666666664E-2</v>
      </c>
      <c r="P1074" s="746">
        <v>4.3750000000000004E-2</v>
      </c>
      <c r="Q1074" s="564">
        <f t="shared" si="179"/>
        <v>2.0833333333333398E-3</v>
      </c>
      <c r="R1074" s="965" t="s">
        <v>1520</v>
      </c>
      <c r="S1074" s="660" t="s">
        <v>1045</v>
      </c>
      <c r="U1074" s="29" t="str">
        <f t="shared" si="177"/>
        <v>HemphillEF0</v>
      </c>
      <c r="V1074" s="29" t="str">
        <f t="shared" si="178"/>
        <v>2012EF0</v>
      </c>
      <c r="W1074" s="652">
        <v>100</v>
      </c>
      <c r="X1074" s="770">
        <v>1</v>
      </c>
      <c r="Y1074" s="653">
        <v>0.1</v>
      </c>
      <c r="Z1074" s="29"/>
      <c r="AA1074" s="29" t="str">
        <f t="shared" si="183"/>
        <v>EF0100</v>
      </c>
      <c r="AB1074" s="29" t="str">
        <f t="shared" si="184"/>
        <v>EF01</v>
      </c>
      <c r="AC1074" s="29" t="str">
        <f t="shared" si="185"/>
        <v>EF00.1</v>
      </c>
      <c r="AD1074" s="29" t="str">
        <f t="shared" si="188"/>
        <v>EF01</v>
      </c>
      <c r="AE1074" s="443"/>
      <c r="AF1074" s="443"/>
      <c r="AG1074" s="443"/>
      <c r="AH1074" s="443"/>
    </row>
    <row r="1075" spans="1:34" ht="16.5">
      <c r="A1075" s="728">
        <f t="shared" si="181"/>
        <v>1068</v>
      </c>
      <c r="B1075" s="661">
        <v>4</v>
      </c>
      <c r="C1075" s="662">
        <v>41029</v>
      </c>
      <c r="D1075" s="662" t="s">
        <v>147</v>
      </c>
      <c r="E1075" s="663">
        <v>30</v>
      </c>
      <c r="F1075" s="664">
        <v>2012</v>
      </c>
      <c r="G1075" s="661" t="s">
        <v>121</v>
      </c>
      <c r="H1075" s="664" t="s">
        <v>161</v>
      </c>
      <c r="I1075" s="661">
        <v>150</v>
      </c>
      <c r="J1075" s="661">
        <v>1.26</v>
      </c>
      <c r="K1075" s="818">
        <f t="shared" si="180"/>
        <v>0.10738636363636363</v>
      </c>
      <c r="L1075" s="968">
        <v>0</v>
      </c>
      <c r="M1075" s="664">
        <f t="shared" si="187"/>
        <v>19</v>
      </c>
      <c r="N1075" s="744">
        <v>0.8125</v>
      </c>
      <c r="O1075" s="745">
        <f t="shared" si="182"/>
        <v>0.8125</v>
      </c>
      <c r="P1075" s="746">
        <v>0.81458333333333333</v>
      </c>
      <c r="Q1075" s="564">
        <f t="shared" si="179"/>
        <v>2.0833333333333259E-3</v>
      </c>
      <c r="R1075" s="965" t="s">
        <v>1520</v>
      </c>
      <c r="S1075" s="660" t="s">
        <v>955</v>
      </c>
      <c r="U1075" s="29" t="str">
        <f t="shared" si="177"/>
        <v>CollingsworthEF0</v>
      </c>
      <c r="V1075" s="29" t="str">
        <f t="shared" si="178"/>
        <v>2012EF0</v>
      </c>
      <c r="W1075" s="652">
        <v>100</v>
      </c>
      <c r="X1075" s="770">
        <v>1</v>
      </c>
      <c r="Y1075" s="653">
        <v>0.1</v>
      </c>
      <c r="Z1075" s="29"/>
      <c r="AA1075" s="29" t="str">
        <f t="shared" si="183"/>
        <v>EF0100</v>
      </c>
      <c r="AB1075" s="29" t="str">
        <f t="shared" si="184"/>
        <v>EF01</v>
      </c>
      <c r="AC1075" s="29" t="str">
        <f t="shared" si="185"/>
        <v>EF00.1</v>
      </c>
      <c r="AD1075" s="29" t="str">
        <f t="shared" si="188"/>
        <v>EF019</v>
      </c>
      <c r="AE1075" s="443"/>
      <c r="AF1075" s="443"/>
      <c r="AG1075" s="443"/>
      <c r="AH1075" s="443"/>
    </row>
    <row r="1076" spans="1:34" ht="16.5">
      <c r="A1076" s="728">
        <f t="shared" si="181"/>
        <v>1069</v>
      </c>
      <c r="B1076" s="661">
        <v>5</v>
      </c>
      <c r="C1076" s="662">
        <v>41050</v>
      </c>
      <c r="D1076" s="662" t="s">
        <v>148</v>
      </c>
      <c r="E1076" s="663">
        <v>21</v>
      </c>
      <c r="F1076" s="664">
        <v>2012</v>
      </c>
      <c r="G1076" s="661" t="s">
        <v>112</v>
      </c>
      <c r="H1076" s="664" t="s">
        <v>161</v>
      </c>
      <c r="I1076" s="661">
        <v>100</v>
      </c>
      <c r="J1076" s="661">
        <v>0.56999999999999995</v>
      </c>
      <c r="K1076" s="818">
        <f t="shared" si="180"/>
        <v>3.238636363636363E-2</v>
      </c>
      <c r="L1076" s="968">
        <v>0</v>
      </c>
      <c r="M1076" s="664">
        <f t="shared" si="187"/>
        <v>19</v>
      </c>
      <c r="N1076" s="744">
        <v>0.81736111111111109</v>
      </c>
      <c r="O1076" s="745">
        <f t="shared" si="182"/>
        <v>0.81736111111111109</v>
      </c>
      <c r="P1076" s="746">
        <v>0.81944444444444453</v>
      </c>
      <c r="Q1076" s="564">
        <f t="shared" si="179"/>
        <v>2.083333333333437E-3</v>
      </c>
      <c r="R1076" s="965" t="s">
        <v>1520</v>
      </c>
      <c r="S1076" s="660" t="s">
        <v>956</v>
      </c>
      <c r="U1076" s="29" t="str">
        <f t="shared" si="177"/>
        <v>OldhamEF0</v>
      </c>
      <c r="V1076" s="29" t="str">
        <f t="shared" si="178"/>
        <v>2012EF0</v>
      </c>
      <c r="W1076" s="652">
        <v>100</v>
      </c>
      <c r="X1076" s="770">
        <v>0.5</v>
      </c>
      <c r="Y1076" s="653">
        <v>0.02</v>
      </c>
      <c r="Z1076" s="29"/>
      <c r="AA1076" s="29" t="str">
        <f t="shared" si="183"/>
        <v>EF0100</v>
      </c>
      <c r="AB1076" s="29" t="str">
        <f t="shared" si="184"/>
        <v>EF00.5</v>
      </c>
      <c r="AC1076" s="29" t="str">
        <f t="shared" si="185"/>
        <v>EF00.02</v>
      </c>
      <c r="AD1076" s="29" t="str">
        <f t="shared" si="188"/>
        <v>EF019</v>
      </c>
      <c r="AE1076" s="443"/>
      <c r="AF1076" s="443"/>
      <c r="AG1076" s="443"/>
      <c r="AH1076" s="443"/>
    </row>
    <row r="1077" spans="1:34" ht="16.5">
      <c r="A1077" s="728">
        <f t="shared" si="181"/>
        <v>1070</v>
      </c>
      <c r="B1077" s="661">
        <v>6</v>
      </c>
      <c r="C1077" s="662">
        <v>41257</v>
      </c>
      <c r="D1077" s="662" t="s">
        <v>155</v>
      </c>
      <c r="E1077" s="663">
        <v>14</v>
      </c>
      <c r="F1077" s="664">
        <v>2012</v>
      </c>
      <c r="G1077" s="661" t="s">
        <v>114</v>
      </c>
      <c r="H1077" s="664" t="s">
        <v>161</v>
      </c>
      <c r="I1077" s="661">
        <v>200</v>
      </c>
      <c r="J1077" s="661">
        <v>3</v>
      </c>
      <c r="K1077" s="818">
        <f t="shared" si="180"/>
        <v>0.34090909090909088</v>
      </c>
      <c r="L1077" s="968">
        <v>0</v>
      </c>
      <c r="M1077" s="664">
        <f t="shared" si="187"/>
        <v>16</v>
      </c>
      <c r="N1077" s="744">
        <v>0.67847222222222225</v>
      </c>
      <c r="O1077" s="745">
        <f t="shared" si="182"/>
        <v>0.67847222222222225</v>
      </c>
      <c r="P1077" s="746">
        <v>0.68194444444444446</v>
      </c>
      <c r="Q1077" s="564">
        <f t="shared" si="179"/>
        <v>3.4722222222222099E-3</v>
      </c>
      <c r="R1077" s="965" t="s">
        <v>1520</v>
      </c>
      <c r="S1077" s="660" t="s">
        <v>957</v>
      </c>
      <c r="U1077" s="29" t="str">
        <f t="shared" si="177"/>
        <v>CarsonEF0</v>
      </c>
      <c r="V1077" s="29" t="str">
        <f t="shared" si="178"/>
        <v>2012EF0</v>
      </c>
      <c r="W1077" s="652">
        <v>200</v>
      </c>
      <c r="X1077" s="770">
        <v>2</v>
      </c>
      <c r="Y1077" s="653">
        <v>0.2</v>
      </c>
      <c r="Z1077" s="29"/>
      <c r="AA1077" s="29" t="str">
        <f t="shared" si="183"/>
        <v>EF0200</v>
      </c>
      <c r="AB1077" s="29" t="str">
        <f t="shared" si="184"/>
        <v>EF02</v>
      </c>
      <c r="AC1077" s="29" t="str">
        <f t="shared" si="185"/>
        <v>EF00.2</v>
      </c>
      <c r="AD1077" s="29" t="str">
        <f t="shared" si="188"/>
        <v>EF016</v>
      </c>
      <c r="AE1077" s="443"/>
      <c r="AF1077" s="443"/>
      <c r="AG1077" s="443"/>
      <c r="AH1077" s="443"/>
    </row>
    <row r="1078" spans="1:34" ht="25.5">
      <c r="A1078" s="728">
        <f t="shared" si="181"/>
        <v>1071</v>
      </c>
      <c r="B1078" s="661">
        <v>7</v>
      </c>
      <c r="C1078" s="662">
        <v>41257</v>
      </c>
      <c r="D1078" s="662" t="s">
        <v>155</v>
      </c>
      <c r="E1078" s="663">
        <v>14</v>
      </c>
      <c r="F1078" s="664">
        <v>2012</v>
      </c>
      <c r="G1078" s="661" t="s">
        <v>120</v>
      </c>
      <c r="H1078" s="664" t="s">
        <v>161</v>
      </c>
      <c r="I1078" s="661">
        <v>50</v>
      </c>
      <c r="J1078" s="661">
        <v>0.75</v>
      </c>
      <c r="K1078" s="818">
        <f t="shared" si="180"/>
        <v>2.130681818181818E-2</v>
      </c>
      <c r="L1078" s="968">
        <v>0</v>
      </c>
      <c r="M1078" s="664">
        <f t="shared" si="187"/>
        <v>16</v>
      </c>
      <c r="N1078" s="744">
        <v>0.70347222222222217</v>
      </c>
      <c r="O1078" s="745">
        <f t="shared" si="182"/>
        <v>0.70347222222222217</v>
      </c>
      <c r="P1078" s="746">
        <v>0.70347222222222217</v>
      </c>
      <c r="Q1078" s="564">
        <f t="shared" si="179"/>
        <v>0</v>
      </c>
      <c r="R1078" s="965" t="s">
        <v>1520</v>
      </c>
      <c r="S1078" s="660" t="s">
        <v>1439</v>
      </c>
      <c r="U1078" s="29" t="str">
        <f t="shared" si="177"/>
        <v>DonleyEF0</v>
      </c>
      <c r="V1078" s="29" t="str">
        <f t="shared" si="178"/>
        <v>2012EF0</v>
      </c>
      <c r="W1078" s="652">
        <v>50</v>
      </c>
      <c r="X1078" s="770">
        <v>0.5</v>
      </c>
      <c r="Y1078" s="653">
        <v>0.02</v>
      </c>
      <c r="Z1078" s="29"/>
      <c r="AA1078" s="29" t="str">
        <f t="shared" si="183"/>
        <v>EF050</v>
      </c>
      <c r="AB1078" s="29" t="str">
        <f t="shared" si="184"/>
        <v>EF00.5</v>
      </c>
      <c r="AC1078" s="29" t="str">
        <f t="shared" si="185"/>
        <v>EF00.02</v>
      </c>
      <c r="AD1078" s="29" t="str">
        <f t="shared" si="188"/>
        <v>EF016</v>
      </c>
      <c r="AE1078" s="443"/>
      <c r="AF1078" s="443"/>
      <c r="AG1078" s="443"/>
      <c r="AH1078" s="443"/>
    </row>
    <row r="1079" spans="1:34" ht="16.5">
      <c r="A1079" s="728">
        <f t="shared" si="181"/>
        <v>1072</v>
      </c>
      <c r="B1079" s="661">
        <v>8</v>
      </c>
      <c r="C1079" s="662">
        <v>41257</v>
      </c>
      <c r="D1079" s="662" t="s">
        <v>155</v>
      </c>
      <c r="E1079" s="663">
        <v>14</v>
      </c>
      <c r="F1079" s="664">
        <v>2012</v>
      </c>
      <c r="G1079" s="661" t="s">
        <v>120</v>
      </c>
      <c r="H1079" s="664" t="s">
        <v>161</v>
      </c>
      <c r="I1079" s="661">
        <v>50</v>
      </c>
      <c r="J1079" s="661">
        <v>0.3</v>
      </c>
      <c r="K1079" s="818">
        <f t="shared" si="180"/>
        <v>8.5227272727272721E-3</v>
      </c>
      <c r="L1079" s="968">
        <v>0</v>
      </c>
      <c r="M1079" s="664">
        <f t="shared" si="187"/>
        <v>16</v>
      </c>
      <c r="N1079" s="744">
        <v>0.70694444444444438</v>
      </c>
      <c r="O1079" s="745">
        <f t="shared" si="182"/>
        <v>0.70694444444444438</v>
      </c>
      <c r="P1079" s="746">
        <v>0.70763888888888893</v>
      </c>
      <c r="Q1079" s="564">
        <f t="shared" si="179"/>
        <v>6.94444444444553E-4</v>
      </c>
      <c r="R1079" s="965" t="s">
        <v>1520</v>
      </c>
      <c r="S1079" s="660" t="s">
        <v>958</v>
      </c>
      <c r="U1079" s="29" t="str">
        <f t="shared" si="177"/>
        <v>DonleyEF0</v>
      </c>
      <c r="V1079" s="29" t="str">
        <f t="shared" si="178"/>
        <v>2012EF0</v>
      </c>
      <c r="W1079" s="652">
        <v>50</v>
      </c>
      <c r="X1079" s="770">
        <v>0.2</v>
      </c>
      <c r="Y1079" s="653">
        <v>5.0000000000000001E-3</v>
      </c>
      <c r="Z1079" s="29"/>
      <c r="AA1079" s="29" t="str">
        <f t="shared" si="183"/>
        <v>EF050</v>
      </c>
      <c r="AB1079" s="29" t="str">
        <f t="shared" si="184"/>
        <v>EF00.2</v>
      </c>
      <c r="AC1079" s="29" t="str">
        <f t="shared" si="185"/>
        <v>EF00.005</v>
      </c>
      <c r="AD1079" s="29" t="str">
        <f t="shared" si="188"/>
        <v>EF016</v>
      </c>
      <c r="AE1079" s="443"/>
      <c r="AF1079" s="443"/>
      <c r="AG1079" s="443"/>
      <c r="AH1079" s="443"/>
    </row>
    <row r="1080" spans="1:34" ht="25.5">
      <c r="A1080" s="728">
        <f t="shared" si="181"/>
        <v>1073</v>
      </c>
      <c r="B1080" s="563">
        <v>1</v>
      </c>
      <c r="C1080" s="694">
        <v>41422</v>
      </c>
      <c r="D1080" s="694" t="s">
        <v>148</v>
      </c>
      <c r="E1080" s="695">
        <v>28</v>
      </c>
      <c r="F1080" s="503">
        <v>2013</v>
      </c>
      <c r="G1080" s="563" t="s">
        <v>101</v>
      </c>
      <c r="H1080" s="503" t="s">
        <v>161</v>
      </c>
      <c r="I1080" s="563">
        <v>25</v>
      </c>
      <c r="J1080" s="563">
        <v>0.82</v>
      </c>
      <c r="K1080" s="777">
        <f t="shared" si="180"/>
        <v>1.1647727272727271E-2</v>
      </c>
      <c r="L1080" s="968">
        <v>0</v>
      </c>
      <c r="M1080" s="503">
        <f t="shared" si="187"/>
        <v>14</v>
      </c>
      <c r="N1080" s="504">
        <v>0.58888888888888891</v>
      </c>
      <c r="O1080" s="719">
        <f t="shared" si="182"/>
        <v>0.58888888888888891</v>
      </c>
      <c r="P1080" s="564">
        <v>0.59097222222222223</v>
      </c>
      <c r="Q1080" s="564">
        <f t="shared" si="179"/>
        <v>2.0833333333333259E-3</v>
      </c>
      <c r="R1080" s="965" t="s">
        <v>1520</v>
      </c>
      <c r="S1080" s="494" t="s">
        <v>1053</v>
      </c>
      <c r="U1080" s="29" t="str">
        <f t="shared" si="177"/>
        <v>BeaverEF0</v>
      </c>
      <c r="V1080" s="29" t="str">
        <f t="shared" si="178"/>
        <v>2013EF0</v>
      </c>
      <c r="W1080" s="80">
        <v>20</v>
      </c>
      <c r="X1080" s="32">
        <v>0.5</v>
      </c>
      <c r="Y1080" s="467">
        <v>0.01</v>
      </c>
      <c r="Z1080" s="29"/>
      <c r="AA1080" s="29" t="str">
        <f t="shared" si="183"/>
        <v>EF020</v>
      </c>
      <c r="AB1080" s="29" t="str">
        <f t="shared" si="184"/>
        <v>EF00.5</v>
      </c>
      <c r="AC1080" s="29" t="str">
        <f t="shared" si="185"/>
        <v>EF00.01</v>
      </c>
      <c r="AD1080" s="29" t="str">
        <f t="shared" si="188"/>
        <v>EF014</v>
      </c>
      <c r="AE1080" s="443"/>
      <c r="AF1080" s="443"/>
      <c r="AG1080" s="443"/>
      <c r="AH1080" s="443"/>
    </row>
    <row r="1081" spans="1:34" ht="25.5">
      <c r="A1081" s="728">
        <f t="shared" si="181"/>
        <v>1074</v>
      </c>
      <c r="B1081" s="563">
        <v>2</v>
      </c>
      <c r="C1081" s="694">
        <v>41422</v>
      </c>
      <c r="D1081" s="694" t="s">
        <v>148</v>
      </c>
      <c r="E1081" s="695">
        <v>28</v>
      </c>
      <c r="F1081" s="503">
        <v>2013</v>
      </c>
      <c r="G1081" s="563" t="s">
        <v>101</v>
      </c>
      <c r="H1081" s="503" t="s">
        <v>161</v>
      </c>
      <c r="I1081" s="563">
        <v>25</v>
      </c>
      <c r="J1081" s="563">
        <v>1.77</v>
      </c>
      <c r="K1081" s="777">
        <f t="shared" si="180"/>
        <v>2.5142045454545455E-2</v>
      </c>
      <c r="L1081" s="968">
        <v>0</v>
      </c>
      <c r="M1081" s="503">
        <f t="shared" si="187"/>
        <v>14</v>
      </c>
      <c r="N1081" s="504">
        <v>0.60347222222222219</v>
      </c>
      <c r="O1081" s="719">
        <f t="shared" si="182"/>
        <v>0.60347222222222219</v>
      </c>
      <c r="P1081" s="564">
        <v>0.61111111111111105</v>
      </c>
      <c r="Q1081" s="564">
        <f t="shared" si="179"/>
        <v>7.6388888888888618E-3</v>
      </c>
      <c r="R1081" s="965" t="s">
        <v>1520</v>
      </c>
      <c r="S1081" s="494" t="s">
        <v>1054</v>
      </c>
      <c r="U1081" s="29" t="str">
        <f t="shared" si="177"/>
        <v>BeaverEF0</v>
      </c>
      <c r="V1081" s="29" t="str">
        <f t="shared" si="178"/>
        <v>2013EF0</v>
      </c>
      <c r="W1081" s="80">
        <v>20</v>
      </c>
      <c r="X1081" s="32">
        <v>1</v>
      </c>
      <c r="Y1081" s="467">
        <v>0.02</v>
      </c>
      <c r="Z1081" s="29"/>
      <c r="AA1081" s="29" t="str">
        <f t="shared" si="183"/>
        <v>EF020</v>
      </c>
      <c r="AB1081" s="29" t="str">
        <f t="shared" si="184"/>
        <v>EF01</v>
      </c>
      <c r="AC1081" s="29" t="str">
        <f t="shared" si="185"/>
        <v>EF00.02</v>
      </c>
      <c r="AD1081" s="29" t="str">
        <f t="shared" si="188"/>
        <v>EF014</v>
      </c>
      <c r="AE1081" s="443"/>
      <c r="AF1081" s="443"/>
      <c r="AG1081" s="443"/>
      <c r="AH1081" s="443"/>
    </row>
    <row r="1082" spans="1:34" ht="25.5">
      <c r="A1082" s="728">
        <f t="shared" si="181"/>
        <v>1075</v>
      </c>
      <c r="B1082" s="563">
        <v>3</v>
      </c>
      <c r="C1082" s="694">
        <v>41422</v>
      </c>
      <c r="D1082" s="694" t="s">
        <v>148</v>
      </c>
      <c r="E1082" s="695">
        <v>28</v>
      </c>
      <c r="F1082" s="503">
        <v>2013</v>
      </c>
      <c r="G1082" s="563" t="s">
        <v>117</v>
      </c>
      <c r="H1082" s="503" t="s">
        <v>161</v>
      </c>
      <c r="I1082" s="563">
        <v>75</v>
      </c>
      <c r="J1082" s="563">
        <v>2.14</v>
      </c>
      <c r="K1082" s="777">
        <f t="shared" si="180"/>
        <v>9.1193181818181812E-2</v>
      </c>
      <c r="L1082" s="968">
        <v>0</v>
      </c>
      <c r="M1082" s="503">
        <f t="shared" si="187"/>
        <v>17</v>
      </c>
      <c r="N1082" s="504">
        <v>0.73958333333333337</v>
      </c>
      <c r="O1082" s="719">
        <f t="shared" si="182"/>
        <v>0.73958333333333337</v>
      </c>
      <c r="P1082" s="564">
        <v>0.74305555555555547</v>
      </c>
      <c r="Q1082" s="564">
        <f t="shared" si="179"/>
        <v>3.4722222222220989E-3</v>
      </c>
      <c r="R1082" s="965" t="s">
        <v>1520</v>
      </c>
      <c r="S1082" s="494" t="s">
        <v>1055</v>
      </c>
      <c r="U1082" s="29" t="str">
        <f t="shared" si="177"/>
        <v>Deaf SmithEF0</v>
      </c>
      <c r="V1082" s="29" t="str">
        <f t="shared" si="178"/>
        <v>2013EF0</v>
      </c>
      <c r="W1082" s="80">
        <v>50</v>
      </c>
      <c r="X1082" s="32">
        <v>2</v>
      </c>
      <c r="Y1082" s="467">
        <v>0.05</v>
      </c>
      <c r="Z1082" s="29"/>
      <c r="AA1082" s="29" t="str">
        <f t="shared" si="183"/>
        <v>EF050</v>
      </c>
      <c r="AB1082" s="29" t="str">
        <f t="shared" si="184"/>
        <v>EF02</v>
      </c>
      <c r="AC1082" s="29" t="str">
        <f t="shared" si="185"/>
        <v>EF00.05</v>
      </c>
      <c r="AD1082" s="29" t="str">
        <f t="shared" si="188"/>
        <v>EF017</v>
      </c>
      <c r="AE1082" s="443"/>
      <c r="AF1082" s="443"/>
      <c r="AG1082" s="443"/>
      <c r="AH1082" s="443"/>
    </row>
    <row r="1083" spans="1:34" ht="89.25">
      <c r="A1083" s="728">
        <f t="shared" si="181"/>
        <v>1076</v>
      </c>
      <c r="B1083" s="563">
        <v>4</v>
      </c>
      <c r="C1083" s="694">
        <v>41422</v>
      </c>
      <c r="D1083" s="694" t="s">
        <v>148</v>
      </c>
      <c r="E1083" s="695">
        <v>28</v>
      </c>
      <c r="F1083" s="503">
        <v>2013</v>
      </c>
      <c r="G1083" s="563" t="s">
        <v>117</v>
      </c>
      <c r="H1083" s="503" t="s">
        <v>161</v>
      </c>
      <c r="I1083" s="563">
        <v>150</v>
      </c>
      <c r="J1083" s="563">
        <v>2.06</v>
      </c>
      <c r="K1083" s="777">
        <f t="shared" si="180"/>
        <v>0.17556818181818182</v>
      </c>
      <c r="L1083" s="968">
        <v>0</v>
      </c>
      <c r="M1083" s="503">
        <f t="shared" si="187"/>
        <v>20</v>
      </c>
      <c r="N1083" s="504">
        <v>0.83750000000000002</v>
      </c>
      <c r="O1083" s="719">
        <f t="shared" si="182"/>
        <v>0.83750000000000002</v>
      </c>
      <c r="P1083" s="564">
        <v>0.84097222222222223</v>
      </c>
      <c r="Q1083" s="564">
        <f t="shared" si="179"/>
        <v>3.4722222222222099E-3</v>
      </c>
      <c r="R1083" s="965" t="s">
        <v>1520</v>
      </c>
      <c r="S1083" s="494" t="s">
        <v>1056</v>
      </c>
      <c r="U1083" s="29" t="str">
        <f t="shared" si="177"/>
        <v>Deaf SmithEF0</v>
      </c>
      <c r="V1083" s="29" t="str">
        <f t="shared" si="178"/>
        <v>2013EF0</v>
      </c>
      <c r="W1083" s="80">
        <v>100</v>
      </c>
      <c r="X1083" s="32">
        <v>2</v>
      </c>
      <c r="Y1083" s="467">
        <v>0.1</v>
      </c>
      <c r="Z1083" s="29"/>
      <c r="AA1083" s="29" t="str">
        <f t="shared" si="183"/>
        <v>EF0100</v>
      </c>
      <c r="AB1083" s="29" t="str">
        <f t="shared" si="184"/>
        <v>EF02</v>
      </c>
      <c r="AC1083" s="29" t="str">
        <f t="shared" si="185"/>
        <v>EF00.1</v>
      </c>
      <c r="AD1083" s="29" t="str">
        <f t="shared" si="188"/>
        <v>EF020</v>
      </c>
      <c r="AE1083" s="443"/>
      <c r="AF1083" s="443"/>
      <c r="AG1083" s="443"/>
      <c r="AH1083" s="443"/>
    </row>
    <row r="1084" spans="1:34" ht="16.5">
      <c r="A1084" s="728">
        <f t="shared" si="181"/>
        <v>1077</v>
      </c>
      <c r="B1084" s="563">
        <v>5</v>
      </c>
      <c r="C1084" s="694">
        <v>41493</v>
      </c>
      <c r="D1084" s="694" t="s">
        <v>151</v>
      </c>
      <c r="E1084" s="695">
        <v>7</v>
      </c>
      <c r="F1084" s="503">
        <v>2013</v>
      </c>
      <c r="G1084" s="563" t="s">
        <v>101</v>
      </c>
      <c r="H1084" s="503" t="s">
        <v>161</v>
      </c>
      <c r="I1084" s="563">
        <v>25</v>
      </c>
      <c r="J1084" s="563">
        <v>0.11</v>
      </c>
      <c r="K1084" s="777">
        <f t="shared" si="180"/>
        <v>1.5624999999999999E-3</v>
      </c>
      <c r="L1084" s="968">
        <v>0</v>
      </c>
      <c r="M1084" s="503">
        <f t="shared" si="187"/>
        <v>18</v>
      </c>
      <c r="N1084" s="504">
        <v>0.77500000000000002</v>
      </c>
      <c r="O1084" s="719">
        <f t="shared" si="182"/>
        <v>0.77500000000000002</v>
      </c>
      <c r="P1084" s="564">
        <v>0.77916666666666667</v>
      </c>
      <c r="Q1084" s="564">
        <f t="shared" si="179"/>
        <v>4.1666666666666519E-3</v>
      </c>
      <c r="R1084" s="965" t="s">
        <v>1520</v>
      </c>
      <c r="S1084" s="494" t="s">
        <v>1172</v>
      </c>
      <c r="U1084" s="29" t="str">
        <f t="shared" si="177"/>
        <v>BeaverEF0</v>
      </c>
      <c r="V1084" s="29" t="str">
        <f t="shared" si="178"/>
        <v>2013EF0</v>
      </c>
      <c r="W1084" s="80">
        <v>20</v>
      </c>
      <c r="X1084" s="32">
        <v>0.1</v>
      </c>
      <c r="Y1084" s="467">
        <v>1E-3</v>
      </c>
      <c r="Z1084" s="29"/>
      <c r="AA1084" s="29" t="str">
        <f t="shared" si="183"/>
        <v>EF020</v>
      </c>
      <c r="AB1084" s="29" t="str">
        <f t="shared" si="184"/>
        <v>EF00.1</v>
      </c>
      <c r="AC1084" s="29" t="str">
        <f t="shared" si="185"/>
        <v>EF00.001</v>
      </c>
      <c r="AD1084" s="29" t="str">
        <f t="shared" si="188"/>
        <v>EF018</v>
      </c>
      <c r="AE1084" s="443"/>
      <c r="AF1084" s="443"/>
      <c r="AG1084" s="443"/>
      <c r="AH1084" s="443"/>
    </row>
    <row r="1085" spans="1:34" ht="16.5">
      <c r="A1085" s="728">
        <f t="shared" si="181"/>
        <v>1078</v>
      </c>
      <c r="B1085" s="563">
        <v>6</v>
      </c>
      <c r="C1085" s="694">
        <v>41500</v>
      </c>
      <c r="D1085" s="694" t="s">
        <v>151</v>
      </c>
      <c r="E1085" s="695">
        <v>14</v>
      </c>
      <c r="F1085" s="503">
        <v>2013</v>
      </c>
      <c r="G1085" s="563" t="s">
        <v>103</v>
      </c>
      <c r="H1085" s="503" t="s">
        <v>161</v>
      </c>
      <c r="I1085" s="563">
        <v>50</v>
      </c>
      <c r="J1085" s="563">
        <v>1</v>
      </c>
      <c r="K1085" s="777">
        <f t="shared" si="180"/>
        <v>2.8409090909090908E-2</v>
      </c>
      <c r="L1085" s="968">
        <v>0</v>
      </c>
      <c r="M1085" s="503">
        <f t="shared" si="187"/>
        <v>16</v>
      </c>
      <c r="N1085" s="504">
        <v>0.69791666666666663</v>
      </c>
      <c r="O1085" s="719">
        <f t="shared" si="182"/>
        <v>0.69791666666666663</v>
      </c>
      <c r="P1085" s="564">
        <v>0.70000000000000007</v>
      </c>
      <c r="Q1085" s="564">
        <f t="shared" si="179"/>
        <v>2.083333333333437E-3</v>
      </c>
      <c r="R1085" s="965" t="s">
        <v>1520</v>
      </c>
      <c r="S1085" s="494" t="s">
        <v>1173</v>
      </c>
      <c r="U1085" s="29" t="str">
        <f t="shared" si="177"/>
        <v>ShermanEF0</v>
      </c>
      <c r="V1085" s="29" t="str">
        <f t="shared" si="178"/>
        <v>2013EF0</v>
      </c>
      <c r="W1085" s="80">
        <v>50</v>
      </c>
      <c r="X1085" s="32">
        <v>1</v>
      </c>
      <c r="Y1085" s="467">
        <v>0.02</v>
      </c>
      <c r="Z1085" s="29"/>
      <c r="AA1085" s="29" t="str">
        <f t="shared" si="183"/>
        <v>EF050</v>
      </c>
      <c r="AB1085" s="29" t="str">
        <f t="shared" si="184"/>
        <v>EF01</v>
      </c>
      <c r="AC1085" s="29" t="str">
        <f t="shared" si="185"/>
        <v>EF00.02</v>
      </c>
      <c r="AD1085" s="29" t="str">
        <f t="shared" si="188"/>
        <v>EF016</v>
      </c>
      <c r="AE1085" s="443"/>
      <c r="AF1085" s="443"/>
      <c r="AG1085" s="443"/>
      <c r="AH1085" s="443"/>
    </row>
    <row r="1086" spans="1:34" ht="63.75">
      <c r="A1086" s="728">
        <f t="shared" si="181"/>
        <v>1079</v>
      </c>
      <c r="B1086" s="563">
        <v>7</v>
      </c>
      <c r="C1086" s="694">
        <v>41500</v>
      </c>
      <c r="D1086" s="694" t="s">
        <v>151</v>
      </c>
      <c r="E1086" s="695">
        <v>14</v>
      </c>
      <c r="F1086" s="503">
        <v>2013</v>
      </c>
      <c r="G1086" s="563" t="s">
        <v>109</v>
      </c>
      <c r="H1086" s="503" t="s">
        <v>161</v>
      </c>
      <c r="I1086" s="563">
        <v>40</v>
      </c>
      <c r="J1086" s="563">
        <v>0.11</v>
      </c>
      <c r="K1086" s="777">
        <f t="shared" si="180"/>
        <v>2.5000000000000001E-3</v>
      </c>
      <c r="L1086" s="968">
        <v>0</v>
      </c>
      <c r="M1086" s="503">
        <f t="shared" si="187"/>
        <v>17</v>
      </c>
      <c r="N1086" s="504">
        <v>0.73611111111111116</v>
      </c>
      <c r="O1086" s="719">
        <f t="shared" si="182"/>
        <v>0.73611111111111116</v>
      </c>
      <c r="P1086" s="564">
        <v>0.7368055555555556</v>
      </c>
      <c r="Q1086" s="564">
        <f t="shared" si="179"/>
        <v>6.9444444444444198E-4</v>
      </c>
      <c r="R1086" s="965" t="s">
        <v>1520</v>
      </c>
      <c r="S1086" s="494" t="s">
        <v>1174</v>
      </c>
      <c r="U1086" s="29" t="str">
        <f t="shared" si="177"/>
        <v>HutchinsonEF0</v>
      </c>
      <c r="V1086" s="29" t="str">
        <f t="shared" si="178"/>
        <v>2013EF0</v>
      </c>
      <c r="W1086" s="80">
        <v>20</v>
      </c>
      <c r="X1086" s="32">
        <v>0.1</v>
      </c>
      <c r="Y1086" s="467">
        <v>2E-3</v>
      </c>
      <c r="Z1086" s="29"/>
      <c r="AA1086" s="29" t="str">
        <f t="shared" si="183"/>
        <v>EF020</v>
      </c>
      <c r="AB1086" s="29" t="str">
        <f t="shared" si="184"/>
        <v>EF00.1</v>
      </c>
      <c r="AC1086" s="29" t="str">
        <f t="shared" si="185"/>
        <v>EF00.002</v>
      </c>
      <c r="AD1086" s="29" t="str">
        <f t="shared" si="188"/>
        <v>EF017</v>
      </c>
      <c r="AE1086" s="443"/>
      <c r="AF1086" s="443"/>
      <c r="AG1086" s="443"/>
      <c r="AH1086" s="443"/>
    </row>
    <row r="1087" spans="1:34" ht="51">
      <c r="A1087" s="728">
        <f t="shared" si="181"/>
        <v>1080</v>
      </c>
      <c r="B1087" s="563">
        <v>1</v>
      </c>
      <c r="C1087" s="694">
        <v>41796</v>
      </c>
      <c r="D1087" s="694" t="s">
        <v>149</v>
      </c>
      <c r="E1087" s="695">
        <v>6</v>
      </c>
      <c r="F1087" s="503">
        <v>2014</v>
      </c>
      <c r="G1087" s="563" t="s">
        <v>107</v>
      </c>
      <c r="H1087" s="503" t="s">
        <v>161</v>
      </c>
      <c r="I1087" s="563">
        <v>25</v>
      </c>
      <c r="J1087" s="563">
        <v>2.46</v>
      </c>
      <c r="K1087" s="777">
        <f t="shared" si="180"/>
        <v>3.4943181818181818E-2</v>
      </c>
      <c r="L1087" s="968">
        <v>0</v>
      </c>
      <c r="M1087" s="503">
        <f t="shared" si="187"/>
        <v>18</v>
      </c>
      <c r="N1087" s="504">
        <v>0.76041666666666663</v>
      </c>
      <c r="O1087" s="719">
        <f t="shared" si="182"/>
        <v>0.76041666666666663</v>
      </c>
      <c r="P1087" s="564">
        <v>0.76388888888888884</v>
      </c>
      <c r="Q1087" s="564">
        <f t="shared" si="179"/>
        <v>3.4722222222222099E-3</v>
      </c>
      <c r="R1087" s="965" t="s">
        <v>1520</v>
      </c>
      <c r="S1087" s="494" t="s">
        <v>1158</v>
      </c>
      <c r="U1087" s="29" t="str">
        <f t="shared" si="177"/>
        <v>HartleyEF0</v>
      </c>
      <c r="V1087" s="29" t="str">
        <f t="shared" si="178"/>
        <v>2014EF0</v>
      </c>
      <c r="W1087" s="80">
        <v>20</v>
      </c>
      <c r="X1087" s="32">
        <v>2</v>
      </c>
      <c r="Y1087" s="467">
        <v>0.02</v>
      </c>
      <c r="Z1087" s="29"/>
      <c r="AA1087" s="29" t="str">
        <f t="shared" si="183"/>
        <v>EF020</v>
      </c>
      <c r="AB1087" s="29" t="str">
        <f t="shared" si="184"/>
        <v>EF02</v>
      </c>
      <c r="AC1087" s="29" t="str">
        <f t="shared" si="185"/>
        <v>EF00.02</v>
      </c>
      <c r="AD1087" s="29" t="str">
        <f t="shared" si="188"/>
        <v>EF018</v>
      </c>
      <c r="AE1087" s="443"/>
      <c r="AF1087" s="443"/>
      <c r="AG1087" s="443"/>
      <c r="AH1087" s="443"/>
    </row>
    <row r="1088" spans="1:34" ht="16.5">
      <c r="A1088" s="728">
        <f t="shared" si="181"/>
        <v>1081</v>
      </c>
      <c r="B1088" s="563">
        <v>2</v>
      </c>
      <c r="C1088" s="694">
        <v>41796</v>
      </c>
      <c r="D1088" s="694" t="s">
        <v>149</v>
      </c>
      <c r="E1088" s="695">
        <v>6</v>
      </c>
      <c r="F1088" s="503">
        <v>2014</v>
      </c>
      <c r="G1088" s="563" t="s">
        <v>105</v>
      </c>
      <c r="H1088" s="503" t="s">
        <v>161</v>
      </c>
      <c r="I1088" s="563">
        <v>70</v>
      </c>
      <c r="J1088" s="563">
        <v>1.65</v>
      </c>
      <c r="K1088" s="777">
        <f t="shared" si="180"/>
        <v>6.5624999999999989E-2</v>
      </c>
      <c r="L1088" s="968">
        <v>0</v>
      </c>
      <c r="M1088" s="503">
        <f t="shared" si="187"/>
        <v>18</v>
      </c>
      <c r="N1088" s="504">
        <v>0.78611111111111109</v>
      </c>
      <c r="O1088" s="719">
        <f t="shared" si="182"/>
        <v>0.78611111111111109</v>
      </c>
      <c r="P1088" s="564">
        <v>0.79166666666666663</v>
      </c>
      <c r="Q1088" s="564">
        <f t="shared" si="179"/>
        <v>5.5555555555555358E-3</v>
      </c>
      <c r="R1088" s="965" t="s">
        <v>1520</v>
      </c>
      <c r="S1088" s="494"/>
      <c r="U1088" s="29" t="str">
        <f t="shared" si="177"/>
        <v>OchiltreeEF0</v>
      </c>
      <c r="V1088" s="29" t="str">
        <f t="shared" si="178"/>
        <v>2014EF0</v>
      </c>
      <c r="W1088" s="80">
        <v>50</v>
      </c>
      <c r="X1088" s="32">
        <v>1</v>
      </c>
      <c r="Y1088" s="467">
        <v>0.05</v>
      </c>
      <c r="Z1088" s="29"/>
      <c r="AA1088" s="29" t="str">
        <f t="shared" si="183"/>
        <v>EF050</v>
      </c>
      <c r="AB1088" s="29" t="str">
        <f t="shared" si="184"/>
        <v>EF01</v>
      </c>
      <c r="AC1088" s="29" t="str">
        <f t="shared" si="185"/>
        <v>EF00.05</v>
      </c>
      <c r="AD1088" s="29" t="str">
        <f t="shared" si="188"/>
        <v>EF018</v>
      </c>
      <c r="AE1088" s="443"/>
      <c r="AF1088" s="443"/>
      <c r="AG1088" s="443"/>
      <c r="AH1088" s="443"/>
    </row>
    <row r="1089" spans="1:34" ht="76.5">
      <c r="A1089" s="728">
        <f t="shared" si="181"/>
        <v>1082</v>
      </c>
      <c r="B1089" s="563">
        <v>3</v>
      </c>
      <c r="C1089" s="694">
        <v>41812</v>
      </c>
      <c r="D1089" s="694" t="s">
        <v>149</v>
      </c>
      <c r="E1089" s="695">
        <v>22</v>
      </c>
      <c r="F1089" s="503">
        <v>2014</v>
      </c>
      <c r="G1089" s="563" t="s">
        <v>101</v>
      </c>
      <c r="H1089" s="503" t="s">
        <v>161</v>
      </c>
      <c r="I1089" s="563">
        <v>100</v>
      </c>
      <c r="J1089" s="563">
        <v>2.0099999999999998</v>
      </c>
      <c r="K1089" s="777">
        <f t="shared" si="180"/>
        <v>0.11420454545454543</v>
      </c>
      <c r="L1089" s="968">
        <v>0</v>
      </c>
      <c r="M1089" s="503">
        <f t="shared" si="187"/>
        <v>16</v>
      </c>
      <c r="N1089" s="504">
        <v>0.6958333333333333</v>
      </c>
      <c r="O1089" s="719">
        <f t="shared" si="182"/>
        <v>0.6958333333333333</v>
      </c>
      <c r="P1089" s="564">
        <v>0.70138888888888884</v>
      </c>
      <c r="Q1089" s="564">
        <f t="shared" si="179"/>
        <v>5.5555555555555358E-3</v>
      </c>
      <c r="R1089" s="965" t="s">
        <v>1520</v>
      </c>
      <c r="S1089" s="494" t="s">
        <v>1177</v>
      </c>
      <c r="U1089" s="29" t="str">
        <f t="shared" si="177"/>
        <v>BeaverEF0</v>
      </c>
      <c r="V1089" s="29" t="str">
        <f t="shared" si="178"/>
        <v>2014EF0</v>
      </c>
      <c r="W1089" s="80">
        <v>100</v>
      </c>
      <c r="X1089" s="32">
        <v>2</v>
      </c>
      <c r="Y1089" s="467">
        <v>0.1</v>
      </c>
      <c r="Z1089" s="29"/>
      <c r="AA1089" s="29" t="str">
        <f t="shared" si="183"/>
        <v>EF0100</v>
      </c>
      <c r="AB1089" s="29" t="str">
        <f t="shared" si="184"/>
        <v>EF02</v>
      </c>
      <c r="AC1089" s="29" t="str">
        <f t="shared" si="185"/>
        <v>EF00.1</v>
      </c>
      <c r="AD1089" s="29" t="str">
        <f t="shared" si="188"/>
        <v>EF016</v>
      </c>
      <c r="AE1089" s="443"/>
      <c r="AF1089" s="443"/>
      <c r="AG1089" s="443"/>
      <c r="AH1089" s="443"/>
    </row>
    <row r="1090" spans="1:34" ht="16.5">
      <c r="A1090" s="728">
        <f t="shared" si="181"/>
        <v>1083</v>
      </c>
      <c r="B1090" s="563">
        <v>4</v>
      </c>
      <c r="C1090" s="694">
        <v>41812</v>
      </c>
      <c r="D1090" s="694" t="s">
        <v>149</v>
      </c>
      <c r="E1090" s="695">
        <v>22</v>
      </c>
      <c r="F1090" s="503">
        <v>2014</v>
      </c>
      <c r="G1090" s="563" t="s">
        <v>101</v>
      </c>
      <c r="H1090" s="503" t="s">
        <v>162</v>
      </c>
      <c r="I1090" s="563">
        <v>150</v>
      </c>
      <c r="J1090" s="563">
        <v>3.77</v>
      </c>
      <c r="K1090" s="777">
        <f t="shared" si="180"/>
        <v>0.32130681818181817</v>
      </c>
      <c r="L1090" s="968">
        <v>0</v>
      </c>
      <c r="M1090" s="503">
        <f t="shared" si="187"/>
        <v>17</v>
      </c>
      <c r="N1090" s="504">
        <v>0.7104166666666667</v>
      </c>
      <c r="O1090" s="719">
        <v>0.7104166666666667</v>
      </c>
      <c r="P1090" s="564">
        <v>0.71736111111111101</v>
      </c>
      <c r="Q1090" s="564">
        <f t="shared" si="179"/>
        <v>6.9444444444443088E-3</v>
      </c>
      <c r="R1090" s="965" t="s">
        <v>1520</v>
      </c>
      <c r="S1090" s="494" t="s">
        <v>1162</v>
      </c>
      <c r="U1090" s="29" t="str">
        <f t="shared" si="177"/>
        <v>BeaverEF1</v>
      </c>
      <c r="V1090" s="29" t="str">
        <f t="shared" si="178"/>
        <v>2014EF1</v>
      </c>
      <c r="W1090" s="80">
        <v>100</v>
      </c>
      <c r="X1090" s="32">
        <v>2</v>
      </c>
      <c r="Y1090" s="467">
        <v>0.2</v>
      </c>
      <c r="Z1090" s="29"/>
      <c r="AA1090" s="29" t="str">
        <f t="shared" si="183"/>
        <v>EF1100</v>
      </c>
      <c r="AB1090" s="29" t="str">
        <f t="shared" si="184"/>
        <v>EF12</v>
      </c>
      <c r="AC1090" s="29" t="str">
        <f t="shared" si="185"/>
        <v>EF10.2</v>
      </c>
      <c r="AD1090" s="29" t="str">
        <f t="shared" si="188"/>
        <v>EF117</v>
      </c>
      <c r="AE1090" s="443"/>
      <c r="AF1090" s="443"/>
      <c r="AG1090" s="443"/>
      <c r="AH1090" s="443"/>
    </row>
    <row r="1091" spans="1:34" ht="15" customHeight="1">
      <c r="A1091" s="728">
        <f t="shared" si="181"/>
        <v>1084</v>
      </c>
      <c r="B1091" s="563">
        <v>5</v>
      </c>
      <c r="C1091" s="694">
        <v>41812</v>
      </c>
      <c r="D1091" s="694" t="s">
        <v>149</v>
      </c>
      <c r="E1091" s="695">
        <v>22</v>
      </c>
      <c r="F1091" s="503">
        <v>2014</v>
      </c>
      <c r="G1091" s="563" t="s">
        <v>101</v>
      </c>
      <c r="H1091" s="503" t="s">
        <v>161</v>
      </c>
      <c r="I1091" s="563">
        <v>50</v>
      </c>
      <c r="J1091" s="563">
        <v>0.44</v>
      </c>
      <c r="K1091" s="777">
        <f t="shared" si="180"/>
        <v>1.2499999999999999E-2</v>
      </c>
      <c r="L1091" s="968">
        <v>0</v>
      </c>
      <c r="M1091" s="503">
        <f t="shared" si="187"/>
        <v>17</v>
      </c>
      <c r="N1091" s="504">
        <v>0.72986111111111107</v>
      </c>
      <c r="O1091" s="719">
        <f t="shared" si="182"/>
        <v>0.72986111111111107</v>
      </c>
      <c r="P1091" s="564">
        <v>0.73055555555555562</v>
      </c>
      <c r="Q1091" s="564">
        <f t="shared" si="179"/>
        <v>6.94444444444553E-4</v>
      </c>
      <c r="R1091" s="965" t="s">
        <v>1520</v>
      </c>
      <c r="S1091" s="494" t="s">
        <v>1159</v>
      </c>
      <c r="U1091" s="29" t="str">
        <f t="shared" si="177"/>
        <v>BeaverEF0</v>
      </c>
      <c r="V1091" s="29" t="str">
        <f t="shared" si="178"/>
        <v>2014EF0</v>
      </c>
      <c r="W1091" s="80">
        <v>50</v>
      </c>
      <c r="X1091" s="32">
        <v>0.2</v>
      </c>
      <c r="Y1091" s="467">
        <v>0.01</v>
      </c>
      <c r="Z1091" s="29"/>
      <c r="AA1091" s="29" t="str">
        <f t="shared" si="183"/>
        <v>EF050</v>
      </c>
      <c r="AB1091" s="29" t="str">
        <f t="shared" si="184"/>
        <v>EF00.2</v>
      </c>
      <c r="AC1091" s="29" t="str">
        <f t="shared" si="185"/>
        <v>EF00.01</v>
      </c>
      <c r="AD1091" s="29" t="str">
        <f t="shared" si="188"/>
        <v>EF017</v>
      </c>
      <c r="AE1091" s="443"/>
      <c r="AF1091" s="443"/>
      <c r="AG1091" s="443"/>
      <c r="AH1091" s="443"/>
    </row>
    <row r="1092" spans="1:34" ht="16.5">
      <c r="A1092" s="728">
        <f t="shared" si="181"/>
        <v>1085</v>
      </c>
      <c r="B1092" s="563">
        <v>6</v>
      </c>
      <c r="C1092" s="694">
        <v>41812</v>
      </c>
      <c r="D1092" s="694" t="s">
        <v>149</v>
      </c>
      <c r="E1092" s="695">
        <v>22</v>
      </c>
      <c r="F1092" s="503">
        <v>2014</v>
      </c>
      <c r="G1092" s="563" t="s">
        <v>106</v>
      </c>
      <c r="H1092" s="503" t="s">
        <v>161</v>
      </c>
      <c r="I1092" s="563">
        <v>50</v>
      </c>
      <c r="J1092" s="563">
        <v>2</v>
      </c>
      <c r="K1092" s="777">
        <f t="shared" si="180"/>
        <v>5.6818181818181816E-2</v>
      </c>
      <c r="L1092" s="968">
        <v>0</v>
      </c>
      <c r="M1092" s="503">
        <f t="shared" si="187"/>
        <v>17</v>
      </c>
      <c r="N1092" s="504">
        <v>0.74791666666666667</v>
      </c>
      <c r="O1092" s="719">
        <f t="shared" si="182"/>
        <v>0.74791666666666667</v>
      </c>
      <c r="P1092" s="564">
        <v>0.75208333333333333</v>
      </c>
      <c r="Q1092" s="564">
        <f t="shared" si="179"/>
        <v>4.1666666666666519E-3</v>
      </c>
      <c r="R1092" s="965" t="s">
        <v>1520</v>
      </c>
      <c r="S1092" s="494" t="s">
        <v>1160</v>
      </c>
      <c r="U1092" s="29" t="str">
        <f t="shared" si="177"/>
        <v>LipscombEF0</v>
      </c>
      <c r="V1092" s="29" t="str">
        <f t="shared" si="178"/>
        <v>2014EF0</v>
      </c>
      <c r="W1092" s="80">
        <v>50</v>
      </c>
      <c r="X1092" s="32">
        <v>2</v>
      </c>
      <c r="Y1092" s="467">
        <v>0.05</v>
      </c>
      <c r="Z1092" s="29"/>
      <c r="AA1092" s="29" t="str">
        <f t="shared" si="183"/>
        <v>EF050</v>
      </c>
      <c r="AB1092" s="29" t="str">
        <f t="shared" si="184"/>
        <v>EF02</v>
      </c>
      <c r="AC1092" s="29" t="str">
        <f t="shared" si="185"/>
        <v>EF00.05</v>
      </c>
      <c r="AD1092" s="29" t="str">
        <f t="shared" si="188"/>
        <v>EF017</v>
      </c>
      <c r="AE1092" s="443"/>
      <c r="AF1092" s="443"/>
      <c r="AG1092" s="443"/>
      <c r="AH1092" s="443"/>
    </row>
    <row r="1093" spans="1:34" ht="16.5">
      <c r="A1093" s="728">
        <f t="shared" si="181"/>
        <v>1086</v>
      </c>
      <c r="B1093" s="563">
        <v>7</v>
      </c>
      <c r="C1093" s="694">
        <v>41812</v>
      </c>
      <c r="D1093" s="694" t="s">
        <v>149</v>
      </c>
      <c r="E1093" s="695">
        <v>22</v>
      </c>
      <c r="F1093" s="503">
        <v>2014</v>
      </c>
      <c r="G1093" s="563" t="s">
        <v>106</v>
      </c>
      <c r="H1093" s="503" t="s">
        <v>161</v>
      </c>
      <c r="I1093" s="563">
        <v>75</v>
      </c>
      <c r="J1093" s="563">
        <v>1</v>
      </c>
      <c r="K1093" s="777">
        <f t="shared" si="180"/>
        <v>4.261363636363636E-2</v>
      </c>
      <c r="L1093" s="968">
        <v>0</v>
      </c>
      <c r="M1093" s="503">
        <f t="shared" si="187"/>
        <v>18</v>
      </c>
      <c r="N1093" s="504">
        <v>0.76527777777777783</v>
      </c>
      <c r="O1093" s="719">
        <f t="shared" si="182"/>
        <v>0.76527777777777783</v>
      </c>
      <c r="P1093" s="564">
        <v>0.76597222222222217</v>
      </c>
      <c r="Q1093" s="564">
        <f t="shared" si="179"/>
        <v>6.9444444444433095E-4</v>
      </c>
      <c r="R1093" s="965" t="s">
        <v>1520</v>
      </c>
      <c r="S1093" s="494" t="s">
        <v>1161</v>
      </c>
      <c r="U1093" s="29" t="str">
        <f t="shared" si="177"/>
        <v>LipscombEF0</v>
      </c>
      <c r="V1093" s="29" t="str">
        <f t="shared" si="178"/>
        <v>2014EF0</v>
      </c>
      <c r="W1093" s="80">
        <v>50</v>
      </c>
      <c r="X1093" s="32">
        <v>1</v>
      </c>
      <c r="Y1093" s="467">
        <v>0.02</v>
      </c>
      <c r="Z1093" s="29"/>
      <c r="AA1093" s="29" t="str">
        <f t="shared" si="183"/>
        <v>EF050</v>
      </c>
      <c r="AB1093" s="29" t="str">
        <f t="shared" si="184"/>
        <v>EF01</v>
      </c>
      <c r="AC1093" s="29" t="str">
        <f t="shared" si="185"/>
        <v>EF00.02</v>
      </c>
      <c r="AD1093" s="29" t="str">
        <f t="shared" si="188"/>
        <v>EF018</v>
      </c>
      <c r="AE1093" s="443"/>
      <c r="AF1093" s="443"/>
      <c r="AG1093" s="443"/>
      <c r="AH1093" s="443"/>
    </row>
    <row r="1094" spans="1:34" ht="63.75">
      <c r="A1094" s="728">
        <f t="shared" si="181"/>
        <v>1087</v>
      </c>
      <c r="B1094" s="563">
        <v>8</v>
      </c>
      <c r="C1094" s="694">
        <v>41812</v>
      </c>
      <c r="D1094" s="694" t="s">
        <v>149</v>
      </c>
      <c r="E1094" s="695">
        <v>22</v>
      </c>
      <c r="F1094" s="503">
        <v>2014</v>
      </c>
      <c r="G1094" s="563" t="s">
        <v>111</v>
      </c>
      <c r="H1094" s="503" t="s">
        <v>162</v>
      </c>
      <c r="I1094" s="563">
        <v>100</v>
      </c>
      <c r="J1094" s="563">
        <v>0.86</v>
      </c>
      <c r="K1094" s="777">
        <f t="shared" si="180"/>
        <v>4.8863636363636359E-2</v>
      </c>
      <c r="L1094" s="968">
        <v>0</v>
      </c>
      <c r="M1094" s="503">
        <f t="shared" si="187"/>
        <v>20</v>
      </c>
      <c r="N1094" s="504">
        <v>0.86805555555555547</v>
      </c>
      <c r="O1094" s="719">
        <f t="shared" si="182"/>
        <v>0.86805555555555547</v>
      </c>
      <c r="P1094" s="564">
        <v>0.86944444444444446</v>
      </c>
      <c r="Q1094" s="564">
        <f t="shared" si="179"/>
        <v>1.388888888888995E-3</v>
      </c>
      <c r="R1094" s="965" t="s">
        <v>1520</v>
      </c>
      <c r="S1094" s="753" t="s">
        <v>1231</v>
      </c>
      <c r="U1094" s="29" t="str">
        <f t="shared" si="177"/>
        <v>HemphillEF1</v>
      </c>
      <c r="V1094" s="29" t="str">
        <f t="shared" si="178"/>
        <v>2014EF1</v>
      </c>
      <c r="W1094" s="80">
        <v>100</v>
      </c>
      <c r="X1094" s="32">
        <v>0.5</v>
      </c>
      <c r="Y1094" s="467">
        <v>0.02</v>
      </c>
      <c r="Z1094" s="29"/>
      <c r="AA1094" s="29" t="str">
        <f t="shared" si="183"/>
        <v>EF1100</v>
      </c>
      <c r="AB1094" s="29" t="str">
        <f t="shared" si="184"/>
        <v>EF10.5</v>
      </c>
      <c r="AC1094" s="29" t="str">
        <f t="shared" si="185"/>
        <v>EF10.02</v>
      </c>
      <c r="AD1094" s="29" t="str">
        <f t="shared" si="188"/>
        <v>EF120</v>
      </c>
      <c r="AE1094" s="443"/>
      <c r="AF1094" s="443"/>
      <c r="AG1094" s="443"/>
      <c r="AH1094" s="443"/>
    </row>
    <row r="1095" spans="1:34" ht="25.5">
      <c r="A1095" s="728">
        <f t="shared" si="181"/>
        <v>1088</v>
      </c>
      <c r="B1095" s="563">
        <v>9</v>
      </c>
      <c r="C1095" s="694">
        <v>41812</v>
      </c>
      <c r="D1095" s="694" t="s">
        <v>149</v>
      </c>
      <c r="E1095" s="695">
        <v>22</v>
      </c>
      <c r="F1095" s="503">
        <v>2014</v>
      </c>
      <c r="G1095" s="563" t="s">
        <v>110</v>
      </c>
      <c r="H1095" s="503" t="s">
        <v>162</v>
      </c>
      <c r="I1095" s="563">
        <v>100</v>
      </c>
      <c r="J1095" s="563">
        <v>1</v>
      </c>
      <c r="K1095" s="777">
        <f t="shared" si="180"/>
        <v>5.6818181818181816E-2</v>
      </c>
      <c r="L1095" s="968">
        <v>0</v>
      </c>
      <c r="M1095" s="503">
        <f t="shared" si="187"/>
        <v>20</v>
      </c>
      <c r="N1095" s="504">
        <v>0.86944444444444446</v>
      </c>
      <c r="O1095" s="719">
        <f t="shared" si="182"/>
        <v>0.86944444444444446</v>
      </c>
      <c r="P1095" s="564">
        <v>0.87152777777777779</v>
      </c>
      <c r="Q1095" s="564">
        <f t="shared" ref="Q1095:Q1113" si="189">+P1095-O1095</f>
        <v>2.0833333333333259E-3</v>
      </c>
      <c r="R1095" s="965" t="s">
        <v>1520</v>
      </c>
      <c r="S1095" s="494" t="s">
        <v>1178</v>
      </c>
      <c r="U1095" s="29" t="str">
        <f t="shared" ref="U1095:U1158" si="190">CONCATENATE(G1095,H1095)</f>
        <v>RobertsEF1</v>
      </c>
      <c r="V1095" s="29" t="str">
        <f t="shared" ref="V1095:V1158" si="191">CONCATENATE(F1095,H1095)</f>
        <v>2014EF1</v>
      </c>
      <c r="W1095" s="80">
        <v>100</v>
      </c>
      <c r="X1095" s="32">
        <v>1</v>
      </c>
      <c r="Y1095" s="467">
        <v>0.05</v>
      </c>
      <c r="Z1095" s="29"/>
      <c r="AA1095" s="29" t="str">
        <f t="shared" si="183"/>
        <v>EF1100</v>
      </c>
      <c r="AB1095" s="29" t="str">
        <f t="shared" si="184"/>
        <v>EF11</v>
      </c>
      <c r="AC1095" s="29" t="str">
        <f t="shared" si="185"/>
        <v>EF10.05</v>
      </c>
      <c r="AD1095" s="29" t="str">
        <f t="shared" si="188"/>
        <v>EF120</v>
      </c>
      <c r="AE1095" s="443"/>
      <c r="AF1095" s="443"/>
      <c r="AG1095" s="443"/>
      <c r="AH1095" s="443"/>
    </row>
    <row r="1096" spans="1:34" ht="76.5">
      <c r="A1096" s="728">
        <f t="shared" si="181"/>
        <v>1089</v>
      </c>
      <c r="B1096" s="563">
        <v>10</v>
      </c>
      <c r="C1096" s="694">
        <v>41836</v>
      </c>
      <c r="D1096" s="694" t="s">
        <v>150</v>
      </c>
      <c r="E1096" s="695">
        <v>16</v>
      </c>
      <c r="F1096" s="503">
        <v>2014</v>
      </c>
      <c r="G1096" s="563" t="s">
        <v>103</v>
      </c>
      <c r="H1096" s="503" t="s">
        <v>161</v>
      </c>
      <c r="I1096" s="563">
        <v>50</v>
      </c>
      <c r="J1096" s="563">
        <v>0.01</v>
      </c>
      <c r="K1096" s="777">
        <f t="shared" ref="K1096:K1113" si="192">+(I1096/1760)*J1096</f>
        <v>2.8409090909090908E-4</v>
      </c>
      <c r="L1096" s="968">
        <v>0</v>
      </c>
      <c r="M1096" s="503">
        <f t="shared" si="187"/>
        <v>18</v>
      </c>
      <c r="N1096" s="504">
        <v>0.75555555555555554</v>
      </c>
      <c r="O1096" s="719">
        <f t="shared" si="182"/>
        <v>0.75555555555555554</v>
      </c>
      <c r="P1096" s="564">
        <v>0.75624999999999998</v>
      </c>
      <c r="Q1096" s="564">
        <f t="shared" si="189"/>
        <v>6.9444444444444198E-4</v>
      </c>
      <c r="R1096" s="965" t="s">
        <v>1520</v>
      </c>
      <c r="S1096" s="494" t="s">
        <v>1179</v>
      </c>
      <c r="U1096" s="29" t="str">
        <f t="shared" si="190"/>
        <v>ShermanEF0</v>
      </c>
      <c r="V1096" s="29" t="str">
        <f t="shared" si="191"/>
        <v>2014EF0</v>
      </c>
      <c r="W1096" s="80">
        <v>50</v>
      </c>
      <c r="X1096" s="32">
        <v>0.01</v>
      </c>
      <c r="Y1096" s="467">
        <v>2.0000000000000001E-4</v>
      </c>
      <c r="Z1096" s="29"/>
      <c r="AA1096" s="29" t="str">
        <f t="shared" si="183"/>
        <v>EF050</v>
      </c>
      <c r="AB1096" s="29" t="str">
        <f t="shared" si="184"/>
        <v>EF00.01</v>
      </c>
      <c r="AC1096" s="29" t="str">
        <f t="shared" si="185"/>
        <v>EF00.0002</v>
      </c>
      <c r="AD1096" s="29" t="str">
        <f t="shared" si="188"/>
        <v>EF018</v>
      </c>
      <c r="AE1096" s="443"/>
      <c r="AF1096" s="443"/>
      <c r="AG1096" s="443"/>
      <c r="AH1096" s="443"/>
    </row>
    <row r="1097" spans="1:34" ht="16.5">
      <c r="A1097" s="728">
        <f t="shared" si="181"/>
        <v>1090</v>
      </c>
      <c r="B1097" s="563">
        <v>11</v>
      </c>
      <c r="C1097" s="694">
        <v>41836</v>
      </c>
      <c r="D1097" s="694" t="s">
        <v>150</v>
      </c>
      <c r="E1097" s="695">
        <v>16</v>
      </c>
      <c r="F1097" s="503">
        <v>2014</v>
      </c>
      <c r="G1097" s="563" t="s">
        <v>103</v>
      </c>
      <c r="H1097" s="503" t="s">
        <v>161</v>
      </c>
      <c r="I1097" s="563">
        <v>100</v>
      </c>
      <c r="J1097" s="563">
        <v>1.34</v>
      </c>
      <c r="K1097" s="777">
        <f t="shared" si="192"/>
        <v>7.6136363636363641E-2</v>
      </c>
      <c r="L1097" s="968">
        <v>0</v>
      </c>
      <c r="M1097" s="503">
        <f t="shared" si="187"/>
        <v>18</v>
      </c>
      <c r="N1097" s="504">
        <v>0.7680555555555556</v>
      </c>
      <c r="O1097" s="719">
        <f t="shared" si="182"/>
        <v>0.7680555555555556</v>
      </c>
      <c r="P1097" s="564">
        <v>0.7729166666666667</v>
      </c>
      <c r="Q1097" s="564">
        <f t="shared" si="189"/>
        <v>4.8611111111110938E-3</v>
      </c>
      <c r="R1097" s="965" t="s">
        <v>1520</v>
      </c>
      <c r="S1097" s="494" t="s">
        <v>1170</v>
      </c>
      <c r="U1097" s="29" t="str">
        <f t="shared" si="190"/>
        <v>ShermanEF0</v>
      </c>
      <c r="V1097" s="29" t="str">
        <f t="shared" si="191"/>
        <v>2014EF0</v>
      </c>
      <c r="W1097" s="80">
        <v>100</v>
      </c>
      <c r="X1097" s="32">
        <v>1</v>
      </c>
      <c r="Y1097" s="467">
        <v>0.05</v>
      </c>
      <c r="Z1097" s="29"/>
      <c r="AA1097" s="29" t="str">
        <f t="shared" si="183"/>
        <v>EF0100</v>
      </c>
      <c r="AB1097" s="29" t="str">
        <f t="shared" si="184"/>
        <v>EF01</v>
      </c>
      <c r="AC1097" s="29" t="str">
        <f t="shared" si="185"/>
        <v>EF00.05</v>
      </c>
      <c r="AD1097" s="29" t="str">
        <f t="shared" si="188"/>
        <v>EF018</v>
      </c>
      <c r="AE1097" s="443"/>
      <c r="AF1097" s="443"/>
      <c r="AG1097" s="443"/>
      <c r="AH1097" s="443"/>
    </row>
    <row r="1098" spans="1:34" ht="16.5">
      <c r="A1098" s="728">
        <f t="shared" ref="A1098:A1161" si="193">+A1097+1</f>
        <v>1091</v>
      </c>
      <c r="B1098" s="563">
        <v>12</v>
      </c>
      <c r="C1098" s="694">
        <v>41836</v>
      </c>
      <c r="D1098" s="694" t="s">
        <v>150</v>
      </c>
      <c r="E1098" s="695">
        <v>16</v>
      </c>
      <c r="F1098" s="503">
        <v>2014</v>
      </c>
      <c r="G1098" s="563" t="s">
        <v>108</v>
      </c>
      <c r="H1098" s="503" t="s">
        <v>161</v>
      </c>
      <c r="I1098" s="563">
        <v>100</v>
      </c>
      <c r="J1098" s="563">
        <v>3.07</v>
      </c>
      <c r="K1098" s="777">
        <f t="shared" si="192"/>
        <v>0.17443181818181816</v>
      </c>
      <c r="L1098" s="968">
        <v>0</v>
      </c>
      <c r="M1098" s="503">
        <f t="shared" si="187"/>
        <v>19</v>
      </c>
      <c r="N1098" s="504">
        <v>0.80763888888888891</v>
      </c>
      <c r="O1098" s="719">
        <f t="shared" si="182"/>
        <v>0.80763888888888891</v>
      </c>
      <c r="P1098" s="564">
        <v>0.8125</v>
      </c>
      <c r="Q1098" s="564">
        <f t="shared" si="189"/>
        <v>4.8611111111110938E-3</v>
      </c>
      <c r="R1098" s="965" t="s">
        <v>1520</v>
      </c>
      <c r="S1098" s="494" t="s">
        <v>1171</v>
      </c>
      <c r="U1098" s="29" t="str">
        <f t="shared" si="190"/>
        <v>MooreEF0</v>
      </c>
      <c r="V1098" s="29" t="str">
        <f t="shared" si="191"/>
        <v>2014EF0</v>
      </c>
      <c r="W1098" s="80">
        <v>100</v>
      </c>
      <c r="X1098" s="32">
        <v>2</v>
      </c>
      <c r="Y1098" s="467">
        <v>0.1</v>
      </c>
      <c r="Z1098" s="29"/>
      <c r="AA1098" s="29" t="str">
        <f t="shared" si="183"/>
        <v>EF0100</v>
      </c>
      <c r="AB1098" s="29" t="str">
        <f t="shared" si="184"/>
        <v>EF02</v>
      </c>
      <c r="AC1098" s="29" t="str">
        <f t="shared" si="185"/>
        <v>EF00.1</v>
      </c>
      <c r="AD1098" s="29" t="str">
        <f t="shared" si="188"/>
        <v>EF019</v>
      </c>
      <c r="AE1098" s="443"/>
      <c r="AF1098" s="443"/>
      <c r="AG1098" s="443"/>
      <c r="AH1098" s="443"/>
    </row>
    <row r="1099" spans="1:34" ht="89.25">
      <c r="A1099" s="728">
        <f t="shared" si="193"/>
        <v>1092</v>
      </c>
      <c r="B1099" s="563">
        <v>13</v>
      </c>
      <c r="C1099" s="694">
        <v>41921</v>
      </c>
      <c r="D1099" s="694" t="s">
        <v>153</v>
      </c>
      <c r="E1099" s="695">
        <v>9</v>
      </c>
      <c r="F1099" s="503">
        <v>2014</v>
      </c>
      <c r="G1099" s="563" t="s">
        <v>115</v>
      </c>
      <c r="H1099" s="503" t="s">
        <v>162</v>
      </c>
      <c r="I1099" s="563">
        <v>125</v>
      </c>
      <c r="J1099" s="563">
        <v>7.03</v>
      </c>
      <c r="K1099" s="777">
        <f t="shared" si="192"/>
        <v>0.49928977272727276</v>
      </c>
      <c r="L1099" s="968">
        <v>0</v>
      </c>
      <c r="M1099" s="503">
        <f t="shared" si="187"/>
        <v>20</v>
      </c>
      <c r="N1099" s="504">
        <v>0.84027777777777779</v>
      </c>
      <c r="O1099" s="719">
        <f t="shared" si="182"/>
        <v>0.84027777777777779</v>
      </c>
      <c r="P1099" s="564">
        <v>0.84861111111111109</v>
      </c>
      <c r="Q1099" s="564">
        <f t="shared" si="189"/>
        <v>8.3333333333333037E-3</v>
      </c>
      <c r="R1099" s="965" t="s">
        <v>1520</v>
      </c>
      <c r="S1099" s="494" t="s">
        <v>1180</v>
      </c>
      <c r="U1099" s="29" t="str">
        <f t="shared" si="190"/>
        <v>GrayEF1</v>
      </c>
      <c r="V1099" s="29" t="str">
        <f t="shared" si="191"/>
        <v>2014EF1</v>
      </c>
      <c r="W1099" s="80">
        <v>100</v>
      </c>
      <c r="X1099" s="32">
        <v>5</v>
      </c>
      <c r="Y1099" s="467">
        <v>0.2</v>
      </c>
      <c r="Z1099" s="29"/>
      <c r="AA1099" s="29" t="str">
        <f t="shared" si="183"/>
        <v>EF1100</v>
      </c>
      <c r="AB1099" s="29" t="str">
        <f t="shared" si="184"/>
        <v>EF15</v>
      </c>
      <c r="AC1099" s="29" t="str">
        <f t="shared" si="185"/>
        <v>EF10.2</v>
      </c>
      <c r="AD1099" s="29" t="str">
        <f t="shared" si="188"/>
        <v>EF120</v>
      </c>
      <c r="AE1099" s="443"/>
      <c r="AF1099" s="443"/>
      <c r="AG1099" s="443"/>
      <c r="AH1099" s="443"/>
    </row>
    <row r="1100" spans="1:34" ht="16.5">
      <c r="A1100" s="728">
        <f t="shared" si="193"/>
        <v>1093</v>
      </c>
      <c r="B1100" s="563">
        <v>1</v>
      </c>
      <c r="C1100" s="694">
        <v>42105</v>
      </c>
      <c r="D1100" s="761" t="s">
        <v>147</v>
      </c>
      <c r="E1100" s="695">
        <v>11</v>
      </c>
      <c r="F1100" s="503">
        <v>2015</v>
      </c>
      <c r="G1100" s="707" t="s">
        <v>113</v>
      </c>
      <c r="H1100" s="736" t="s">
        <v>161</v>
      </c>
      <c r="I1100" s="563">
        <v>30</v>
      </c>
      <c r="J1100" s="563">
        <v>2.84</v>
      </c>
      <c r="K1100" s="777">
        <f t="shared" si="192"/>
        <v>4.8409090909090902E-2</v>
      </c>
      <c r="L1100" s="968">
        <v>0</v>
      </c>
      <c r="M1100" s="503">
        <f t="shared" si="187"/>
        <v>17</v>
      </c>
      <c r="N1100" s="504">
        <v>0.73333333333333339</v>
      </c>
      <c r="O1100" s="719">
        <f t="shared" si="182"/>
        <v>0.73333333333333339</v>
      </c>
      <c r="P1100" s="564">
        <v>0.73749999999999993</v>
      </c>
      <c r="Q1100" s="564">
        <f t="shared" si="189"/>
        <v>4.1666666666665408E-3</v>
      </c>
      <c r="R1100" s="965" t="s">
        <v>1520</v>
      </c>
      <c r="S1100" s="494" t="s">
        <v>1205</v>
      </c>
      <c r="U1100" s="29" t="str">
        <f t="shared" si="190"/>
        <v>PotterEF0</v>
      </c>
      <c r="V1100" s="29" t="str">
        <f t="shared" si="191"/>
        <v>2015EF0</v>
      </c>
      <c r="W1100" s="80">
        <v>20</v>
      </c>
      <c r="X1100" s="32">
        <v>2</v>
      </c>
      <c r="Y1100" s="467">
        <v>0.02</v>
      </c>
      <c r="Z1100" s="29"/>
      <c r="AA1100" s="29" t="str">
        <f t="shared" si="183"/>
        <v>EF020</v>
      </c>
      <c r="AB1100" s="29" t="str">
        <f t="shared" si="184"/>
        <v>EF02</v>
      </c>
      <c r="AC1100" s="29" t="str">
        <f t="shared" si="185"/>
        <v>EF00.02</v>
      </c>
      <c r="AD1100" s="29" t="str">
        <f t="shared" si="188"/>
        <v>EF017</v>
      </c>
      <c r="AE1100" s="443"/>
      <c r="AF1100" s="443"/>
      <c r="AG1100" s="443"/>
      <c r="AH1100" s="443"/>
    </row>
    <row r="1101" spans="1:34" ht="51">
      <c r="A1101" s="728">
        <f t="shared" si="193"/>
        <v>1094</v>
      </c>
      <c r="B1101" s="563">
        <v>2</v>
      </c>
      <c r="C1101" s="694">
        <v>42110</v>
      </c>
      <c r="D1101" s="761" t="s">
        <v>147</v>
      </c>
      <c r="E1101" s="695">
        <v>16</v>
      </c>
      <c r="F1101" s="503">
        <v>2015</v>
      </c>
      <c r="G1101" s="563" t="s">
        <v>114</v>
      </c>
      <c r="H1101" s="503" t="s">
        <v>161</v>
      </c>
      <c r="I1101" s="563">
        <v>50</v>
      </c>
      <c r="J1101" s="563">
        <v>2.25</v>
      </c>
      <c r="K1101" s="777">
        <f t="shared" si="192"/>
        <v>6.3920454545454544E-2</v>
      </c>
      <c r="L1101" s="968">
        <v>0</v>
      </c>
      <c r="M1101" s="503">
        <f t="shared" si="187"/>
        <v>14</v>
      </c>
      <c r="N1101" s="504">
        <v>0.62361111111111112</v>
      </c>
      <c r="O1101" s="719">
        <f t="shared" si="182"/>
        <v>0.62361111111111112</v>
      </c>
      <c r="P1101" s="564">
        <v>0.62708333333333333</v>
      </c>
      <c r="Q1101" s="564">
        <f t="shared" si="189"/>
        <v>3.4722222222222099E-3</v>
      </c>
      <c r="R1101" s="965" t="s">
        <v>1520</v>
      </c>
      <c r="S1101" s="494" t="s">
        <v>1232</v>
      </c>
      <c r="U1101" s="29" t="str">
        <f t="shared" si="190"/>
        <v>CarsonEF0</v>
      </c>
      <c r="V1101" s="29" t="str">
        <f t="shared" si="191"/>
        <v>2015EF0</v>
      </c>
      <c r="W1101" s="80">
        <v>50</v>
      </c>
      <c r="X1101" s="32">
        <v>2</v>
      </c>
      <c r="Y1101" s="467">
        <v>0.05</v>
      </c>
      <c r="Z1101" s="29"/>
      <c r="AA1101" s="29" t="str">
        <f t="shared" si="183"/>
        <v>EF050</v>
      </c>
      <c r="AB1101" s="29" t="str">
        <f t="shared" si="184"/>
        <v>EF02</v>
      </c>
      <c r="AC1101" s="29" t="str">
        <f t="shared" si="185"/>
        <v>EF00.05</v>
      </c>
      <c r="AD1101" s="29" t="str">
        <f t="shared" si="188"/>
        <v>EF014</v>
      </c>
      <c r="AE1101" s="443"/>
      <c r="AF1101" s="443"/>
      <c r="AG1101" s="443"/>
      <c r="AH1101" s="443"/>
    </row>
    <row r="1102" spans="1:34" ht="16.5">
      <c r="A1102" s="728">
        <f t="shared" si="193"/>
        <v>1095</v>
      </c>
      <c r="B1102" s="563">
        <v>3</v>
      </c>
      <c r="C1102" s="694">
        <v>42110</v>
      </c>
      <c r="D1102" s="761" t="s">
        <v>147</v>
      </c>
      <c r="E1102" s="695">
        <v>16</v>
      </c>
      <c r="F1102" s="503">
        <v>2015</v>
      </c>
      <c r="G1102" s="563" t="s">
        <v>115</v>
      </c>
      <c r="H1102" s="503" t="s">
        <v>161</v>
      </c>
      <c r="I1102" s="563">
        <v>30</v>
      </c>
      <c r="J1102" s="563">
        <v>2.34</v>
      </c>
      <c r="K1102" s="777">
        <f t="shared" si="192"/>
        <v>3.988636363636363E-2</v>
      </c>
      <c r="L1102" s="968">
        <v>0</v>
      </c>
      <c r="M1102" s="503">
        <f t="shared" si="187"/>
        <v>15</v>
      </c>
      <c r="N1102" s="504">
        <v>0.66527777777777775</v>
      </c>
      <c r="O1102" s="719">
        <f t="shared" si="182"/>
        <v>0.66527777777777775</v>
      </c>
      <c r="P1102" s="564">
        <v>0.6694444444444444</v>
      </c>
      <c r="Q1102" s="564">
        <f t="shared" si="189"/>
        <v>4.1666666666666519E-3</v>
      </c>
      <c r="R1102" s="965" t="s">
        <v>1520</v>
      </c>
      <c r="S1102" s="494" t="s">
        <v>1206</v>
      </c>
      <c r="U1102" s="29" t="str">
        <f t="shared" si="190"/>
        <v>GrayEF0</v>
      </c>
      <c r="V1102" s="29" t="str">
        <f t="shared" si="191"/>
        <v>2015EF0</v>
      </c>
      <c r="W1102" s="80">
        <v>20</v>
      </c>
      <c r="X1102" s="32">
        <v>2</v>
      </c>
      <c r="Y1102" s="467">
        <v>0.02</v>
      </c>
      <c r="Z1102" s="29"/>
      <c r="AA1102" s="29" t="str">
        <f t="shared" si="183"/>
        <v>EF020</v>
      </c>
      <c r="AB1102" s="29" t="str">
        <f t="shared" si="184"/>
        <v>EF02</v>
      </c>
      <c r="AC1102" s="29" t="str">
        <f t="shared" si="185"/>
        <v>EF00.02</v>
      </c>
      <c r="AD1102" s="29" t="str">
        <f t="shared" si="188"/>
        <v>EF015</v>
      </c>
      <c r="AE1102" s="443"/>
      <c r="AF1102" s="443"/>
      <c r="AG1102" s="443"/>
      <c r="AH1102" s="443"/>
    </row>
    <row r="1103" spans="1:34" ht="16.5">
      <c r="A1103" s="728">
        <f t="shared" si="193"/>
        <v>1096</v>
      </c>
      <c r="B1103" s="563">
        <v>4</v>
      </c>
      <c r="C1103" s="694">
        <v>42110</v>
      </c>
      <c r="D1103" s="761" t="s">
        <v>147</v>
      </c>
      <c r="E1103" s="695">
        <v>16</v>
      </c>
      <c r="F1103" s="503">
        <v>2015</v>
      </c>
      <c r="G1103" s="563" t="s">
        <v>111</v>
      </c>
      <c r="H1103" s="503" t="s">
        <v>161</v>
      </c>
      <c r="I1103" s="563">
        <v>75</v>
      </c>
      <c r="J1103" s="563">
        <v>7.17</v>
      </c>
      <c r="K1103" s="777">
        <f t="shared" si="192"/>
        <v>0.30553977272727273</v>
      </c>
      <c r="L1103" s="968">
        <v>0</v>
      </c>
      <c r="M1103" s="503">
        <f t="shared" si="187"/>
        <v>16</v>
      </c>
      <c r="N1103" s="504">
        <v>0.68055555555555547</v>
      </c>
      <c r="O1103" s="719">
        <f t="shared" si="182"/>
        <v>0.68055555555555547</v>
      </c>
      <c r="P1103" s="564">
        <v>0.70208333333333339</v>
      </c>
      <c r="Q1103" s="564">
        <f t="shared" si="189"/>
        <v>2.1527777777777923E-2</v>
      </c>
      <c r="R1103" s="965" t="s">
        <v>1520</v>
      </c>
      <c r="S1103" s="494" t="s">
        <v>1207</v>
      </c>
      <c r="U1103" s="29" t="str">
        <f t="shared" si="190"/>
        <v>HemphillEF0</v>
      </c>
      <c r="V1103" s="29" t="str">
        <f t="shared" si="191"/>
        <v>2015EF0</v>
      </c>
      <c r="W1103" s="80">
        <v>50</v>
      </c>
      <c r="X1103" s="32">
        <v>5</v>
      </c>
      <c r="Y1103" s="467">
        <v>0.2</v>
      </c>
      <c r="Z1103" s="29"/>
      <c r="AA1103" s="29" t="str">
        <f t="shared" si="183"/>
        <v>EF050</v>
      </c>
      <c r="AB1103" s="29" t="str">
        <f t="shared" si="184"/>
        <v>EF05</v>
      </c>
      <c r="AC1103" s="29" t="str">
        <f t="shared" si="185"/>
        <v>EF00.2</v>
      </c>
      <c r="AD1103" s="29" t="str">
        <f t="shared" si="188"/>
        <v>EF016</v>
      </c>
      <c r="AE1103" s="443"/>
      <c r="AF1103" s="443"/>
      <c r="AG1103" s="443"/>
      <c r="AH1103" s="443"/>
    </row>
    <row r="1104" spans="1:34" ht="16.5">
      <c r="A1104" s="728">
        <f t="shared" si="193"/>
        <v>1097</v>
      </c>
      <c r="B1104" s="563">
        <v>5</v>
      </c>
      <c r="C1104" s="694">
        <v>42110</v>
      </c>
      <c r="D1104" s="761" t="s">
        <v>147</v>
      </c>
      <c r="E1104" s="695">
        <v>16</v>
      </c>
      <c r="F1104" s="503">
        <v>2015</v>
      </c>
      <c r="G1104" s="563" t="s">
        <v>110</v>
      </c>
      <c r="H1104" s="503" t="s">
        <v>161</v>
      </c>
      <c r="I1104" s="563">
        <v>50</v>
      </c>
      <c r="J1104" s="563">
        <v>4.38</v>
      </c>
      <c r="K1104" s="777">
        <f t="shared" si="192"/>
        <v>0.12443181818181817</v>
      </c>
      <c r="L1104" s="968">
        <v>0</v>
      </c>
      <c r="M1104" s="503">
        <f t="shared" si="187"/>
        <v>16</v>
      </c>
      <c r="N1104" s="504">
        <v>0.69097222222222221</v>
      </c>
      <c r="O1104" s="719">
        <f t="shared" si="182"/>
        <v>0.69097222222222221</v>
      </c>
      <c r="P1104" s="564">
        <v>0.6972222222222223</v>
      </c>
      <c r="Q1104" s="564">
        <f t="shared" si="189"/>
        <v>6.2500000000000888E-3</v>
      </c>
      <c r="R1104" s="965" t="s">
        <v>1520</v>
      </c>
      <c r="S1104" s="494" t="s">
        <v>1208</v>
      </c>
      <c r="U1104" s="29" t="str">
        <f t="shared" si="190"/>
        <v>RobertsEF0</v>
      </c>
      <c r="V1104" s="29" t="str">
        <f t="shared" si="191"/>
        <v>2015EF0</v>
      </c>
      <c r="W1104" s="80">
        <v>50</v>
      </c>
      <c r="X1104" s="32">
        <v>2</v>
      </c>
      <c r="Y1104" s="467">
        <v>0.1</v>
      </c>
      <c r="Z1104" s="29"/>
      <c r="AA1104" s="29" t="str">
        <f t="shared" ref="AA1104:AA1167" si="194">CONCATENATE(H1104,W1104)</f>
        <v>EF050</v>
      </c>
      <c r="AB1104" s="29" t="str">
        <f t="shared" ref="AB1104:AB1167" si="195">CONCATENATE(H1104,X1104)</f>
        <v>EF02</v>
      </c>
      <c r="AC1104" s="29" t="str">
        <f t="shared" ref="AC1104:AC1167" si="196">CONCATENATE(H1104,Y1104)</f>
        <v>EF00.1</v>
      </c>
      <c r="AD1104" s="29" t="str">
        <f t="shared" ref="AD1104:AD1111" si="197">CONCATENATE(H1104,M1104)</f>
        <v>EF016</v>
      </c>
      <c r="AE1104" s="443"/>
      <c r="AF1104" s="443"/>
      <c r="AG1104" s="443"/>
      <c r="AH1104" s="443"/>
    </row>
    <row r="1105" spans="1:34" ht="51">
      <c r="A1105" s="728">
        <f t="shared" si="193"/>
        <v>1098</v>
      </c>
      <c r="B1105" s="563">
        <v>6</v>
      </c>
      <c r="C1105" s="694">
        <v>42110</v>
      </c>
      <c r="D1105" s="761" t="s">
        <v>147</v>
      </c>
      <c r="E1105" s="695">
        <v>16</v>
      </c>
      <c r="F1105" s="503">
        <v>2015</v>
      </c>
      <c r="G1105" s="563" t="s">
        <v>116</v>
      </c>
      <c r="H1105" s="503" t="s">
        <v>161</v>
      </c>
      <c r="I1105" s="563">
        <v>50</v>
      </c>
      <c r="J1105" s="563">
        <v>14.05</v>
      </c>
      <c r="K1105" s="777">
        <f t="shared" si="192"/>
        <v>0.39914772727272729</v>
      </c>
      <c r="L1105" s="968">
        <v>0</v>
      </c>
      <c r="M1105" s="503">
        <f t="shared" si="187"/>
        <v>17</v>
      </c>
      <c r="N1105" s="504">
        <v>0.72222222222222221</v>
      </c>
      <c r="O1105" s="719">
        <f t="shared" si="182"/>
        <v>0.72222222222222221</v>
      </c>
      <c r="P1105" s="564">
        <v>0.74652777777777779</v>
      </c>
      <c r="Q1105" s="564">
        <f t="shared" si="189"/>
        <v>2.430555555555558E-2</v>
      </c>
      <c r="R1105" s="965" t="s">
        <v>1520</v>
      </c>
      <c r="S1105" s="753" t="s">
        <v>1209</v>
      </c>
      <c r="U1105" s="29" t="str">
        <f t="shared" si="190"/>
        <v>WheelerEF0</v>
      </c>
      <c r="V1105" s="29" t="str">
        <f t="shared" si="191"/>
        <v>2015EF0</v>
      </c>
      <c r="W1105" s="80">
        <v>50</v>
      </c>
      <c r="X1105" s="32">
        <v>10</v>
      </c>
      <c r="Y1105" s="467">
        <v>0.2</v>
      </c>
      <c r="Z1105" s="29"/>
      <c r="AA1105" s="29" t="str">
        <f t="shared" si="194"/>
        <v>EF050</v>
      </c>
      <c r="AB1105" s="29" t="str">
        <f t="shared" si="195"/>
        <v>EF010</v>
      </c>
      <c r="AC1105" s="29" t="str">
        <f t="shared" si="196"/>
        <v>EF00.2</v>
      </c>
      <c r="AD1105" s="29" t="str">
        <f t="shared" si="197"/>
        <v>EF017</v>
      </c>
      <c r="AE1105" s="443"/>
      <c r="AF1105" s="443"/>
      <c r="AG1105" s="443"/>
      <c r="AH1105" s="443"/>
    </row>
    <row r="1106" spans="1:34" ht="16.5">
      <c r="A1106" s="728">
        <f t="shared" si="193"/>
        <v>1099</v>
      </c>
      <c r="B1106" s="563">
        <v>7</v>
      </c>
      <c r="C1106" s="694">
        <v>42110</v>
      </c>
      <c r="D1106" s="761" t="s">
        <v>147</v>
      </c>
      <c r="E1106" s="695">
        <v>16</v>
      </c>
      <c r="F1106" s="503">
        <v>2015</v>
      </c>
      <c r="G1106" s="563" t="s">
        <v>116</v>
      </c>
      <c r="H1106" s="503" t="s">
        <v>161</v>
      </c>
      <c r="I1106" s="563">
        <v>70</v>
      </c>
      <c r="J1106" s="563">
        <v>4.92</v>
      </c>
      <c r="K1106" s="777">
        <f t="shared" si="192"/>
        <v>0.19568181818181818</v>
      </c>
      <c r="L1106" s="968">
        <v>0</v>
      </c>
      <c r="M1106" s="503">
        <f t="shared" si="187"/>
        <v>17</v>
      </c>
      <c r="N1106" s="504">
        <v>0.72361111111111109</v>
      </c>
      <c r="O1106" s="719">
        <f t="shared" si="182"/>
        <v>0.72361111111111109</v>
      </c>
      <c r="P1106" s="564">
        <v>0.73263888888888884</v>
      </c>
      <c r="Q1106" s="564">
        <f t="shared" si="189"/>
        <v>9.0277777777777457E-3</v>
      </c>
      <c r="R1106" s="965" t="s">
        <v>1520</v>
      </c>
      <c r="S1106" s="494" t="s">
        <v>1175</v>
      </c>
      <c r="U1106" s="29" t="str">
        <f t="shared" si="190"/>
        <v>WheelerEF0</v>
      </c>
      <c r="V1106" s="29" t="str">
        <f t="shared" si="191"/>
        <v>2015EF0</v>
      </c>
      <c r="W1106" s="80">
        <v>50</v>
      </c>
      <c r="X1106" s="32">
        <v>2</v>
      </c>
      <c r="Y1106" s="467">
        <v>0.1</v>
      </c>
      <c r="Z1106" s="29"/>
      <c r="AA1106" s="29" t="str">
        <f t="shared" si="194"/>
        <v>EF050</v>
      </c>
      <c r="AB1106" s="29" t="str">
        <f t="shared" si="195"/>
        <v>EF02</v>
      </c>
      <c r="AC1106" s="29" t="str">
        <f t="shared" si="196"/>
        <v>EF00.1</v>
      </c>
      <c r="AD1106" s="29" t="str">
        <f t="shared" si="197"/>
        <v>EF017</v>
      </c>
      <c r="AE1106" s="443"/>
      <c r="AF1106" s="443"/>
      <c r="AG1106" s="443"/>
      <c r="AH1106" s="443"/>
    </row>
    <row r="1107" spans="1:34" ht="51">
      <c r="A1107" s="728">
        <f t="shared" si="193"/>
        <v>1100</v>
      </c>
      <c r="B1107" s="563">
        <v>8</v>
      </c>
      <c r="C1107" s="694">
        <v>42140</v>
      </c>
      <c r="D1107" s="694" t="s">
        <v>148</v>
      </c>
      <c r="E1107" s="695">
        <v>16</v>
      </c>
      <c r="F1107" s="503">
        <v>2015</v>
      </c>
      <c r="G1107" s="563" t="s">
        <v>120</v>
      </c>
      <c r="H1107" s="503" t="s">
        <v>162</v>
      </c>
      <c r="I1107" s="563">
        <v>150</v>
      </c>
      <c r="J1107" s="563">
        <v>8.59</v>
      </c>
      <c r="K1107" s="777">
        <f t="shared" si="192"/>
        <v>0.73210227272727268</v>
      </c>
      <c r="L1107" s="968">
        <v>0</v>
      </c>
      <c r="M1107" s="503">
        <f t="shared" si="187"/>
        <v>13</v>
      </c>
      <c r="N1107" s="504">
        <v>0.55555555555555558</v>
      </c>
      <c r="O1107" s="719">
        <f t="shared" si="182"/>
        <v>0.55555555555555558</v>
      </c>
      <c r="P1107" s="564">
        <v>0.56805555555555554</v>
      </c>
      <c r="Q1107" s="564">
        <f t="shared" si="189"/>
        <v>1.2499999999999956E-2</v>
      </c>
      <c r="R1107" s="965" t="s">
        <v>1520</v>
      </c>
      <c r="S1107" s="494" t="s">
        <v>1210</v>
      </c>
      <c r="U1107" s="29" t="str">
        <f t="shared" si="190"/>
        <v>DonleyEF1</v>
      </c>
      <c r="V1107" s="29" t="str">
        <f t="shared" si="191"/>
        <v>2015EF1</v>
      </c>
      <c r="W1107" s="80">
        <v>100</v>
      </c>
      <c r="X1107" s="32">
        <v>5</v>
      </c>
      <c r="Y1107" s="467">
        <v>0.5</v>
      </c>
      <c r="Z1107" s="29"/>
      <c r="AA1107" s="29" t="str">
        <f t="shared" si="194"/>
        <v>EF1100</v>
      </c>
      <c r="AB1107" s="29" t="str">
        <f t="shared" si="195"/>
        <v>EF15</v>
      </c>
      <c r="AC1107" s="29" t="str">
        <f t="shared" si="196"/>
        <v>EF10.5</v>
      </c>
      <c r="AD1107" s="29" t="str">
        <f t="shared" si="197"/>
        <v>EF113</v>
      </c>
      <c r="AE1107" s="443"/>
      <c r="AF1107" s="443"/>
      <c r="AG1107" s="443"/>
      <c r="AH1107" s="443"/>
    </row>
    <row r="1108" spans="1:34" ht="25.5">
      <c r="A1108" s="728">
        <f t="shared" si="193"/>
        <v>1101</v>
      </c>
      <c r="B1108" s="563">
        <v>9</v>
      </c>
      <c r="C1108" s="694">
        <v>42140</v>
      </c>
      <c r="D1108" s="694" t="s">
        <v>148</v>
      </c>
      <c r="E1108" s="695">
        <v>16</v>
      </c>
      <c r="F1108" s="503">
        <v>2015</v>
      </c>
      <c r="G1108" s="563" t="s">
        <v>120</v>
      </c>
      <c r="H1108" s="503" t="s">
        <v>162</v>
      </c>
      <c r="I1108" s="563">
        <v>100</v>
      </c>
      <c r="J1108" s="563">
        <v>6</v>
      </c>
      <c r="K1108" s="777">
        <f t="shared" si="192"/>
        <v>0.34090909090909088</v>
      </c>
      <c r="L1108" s="968">
        <v>0</v>
      </c>
      <c r="M1108" s="503">
        <f t="shared" si="187"/>
        <v>13</v>
      </c>
      <c r="N1108" s="504">
        <v>0.56944444444444442</v>
      </c>
      <c r="O1108" s="719">
        <f t="shared" si="182"/>
        <v>0.56944444444444442</v>
      </c>
      <c r="P1108" s="564">
        <v>0.57430555555555551</v>
      </c>
      <c r="Q1108" s="564">
        <f t="shared" si="189"/>
        <v>4.8611111111110938E-3</v>
      </c>
      <c r="R1108" s="965" t="s">
        <v>1520</v>
      </c>
      <c r="S1108" s="494" t="s">
        <v>1211</v>
      </c>
      <c r="U1108" s="29" t="str">
        <f t="shared" si="190"/>
        <v>DonleyEF1</v>
      </c>
      <c r="V1108" s="29" t="str">
        <f t="shared" si="191"/>
        <v>2015EF1</v>
      </c>
      <c r="W1108" s="80">
        <v>100</v>
      </c>
      <c r="X1108" s="32">
        <v>5</v>
      </c>
      <c r="Y1108" s="467">
        <v>0.2</v>
      </c>
      <c r="Z1108" s="29"/>
      <c r="AA1108" s="29" t="str">
        <f t="shared" si="194"/>
        <v>EF1100</v>
      </c>
      <c r="AB1108" s="29" t="str">
        <f t="shared" si="195"/>
        <v>EF15</v>
      </c>
      <c r="AC1108" s="29" t="str">
        <f t="shared" si="196"/>
        <v>EF10.2</v>
      </c>
      <c r="AD1108" s="29" t="str">
        <f t="shared" si="197"/>
        <v>EF113</v>
      </c>
      <c r="AE1108" s="443"/>
      <c r="AF1108" s="443"/>
      <c r="AG1108" s="443"/>
      <c r="AH1108" s="443"/>
    </row>
    <row r="1109" spans="1:34" ht="25.5">
      <c r="A1109" s="728">
        <f t="shared" si="193"/>
        <v>1102</v>
      </c>
      <c r="B1109" s="563">
        <v>10</v>
      </c>
      <c r="C1109" s="694">
        <v>42140</v>
      </c>
      <c r="D1109" s="694" t="s">
        <v>148</v>
      </c>
      <c r="E1109" s="695">
        <v>16</v>
      </c>
      <c r="F1109" s="503">
        <v>2015</v>
      </c>
      <c r="G1109" s="563" t="s">
        <v>121</v>
      </c>
      <c r="H1109" s="503" t="s">
        <v>162</v>
      </c>
      <c r="I1109" s="563">
        <v>100</v>
      </c>
      <c r="J1109" s="563">
        <v>16.48</v>
      </c>
      <c r="K1109" s="777">
        <f t="shared" si="192"/>
        <v>0.9363636363636364</v>
      </c>
      <c r="L1109" s="968">
        <v>0</v>
      </c>
      <c r="M1109" s="503">
        <f t="shared" si="187"/>
        <v>13</v>
      </c>
      <c r="N1109" s="504">
        <v>0.57430555555555551</v>
      </c>
      <c r="O1109" s="719">
        <f t="shared" si="182"/>
        <v>0.57430555555555551</v>
      </c>
      <c r="P1109" s="564">
        <v>0.58819444444444446</v>
      </c>
      <c r="Q1109" s="564">
        <f t="shared" si="189"/>
        <v>1.3888888888888951E-2</v>
      </c>
      <c r="R1109" s="965" t="s">
        <v>1520</v>
      </c>
      <c r="S1109" s="494" t="s">
        <v>1212</v>
      </c>
      <c r="U1109" s="29" t="str">
        <f t="shared" si="190"/>
        <v>CollingsworthEF1</v>
      </c>
      <c r="V1109" s="29" t="str">
        <f t="shared" si="191"/>
        <v>2015EF1</v>
      </c>
      <c r="W1109" s="80">
        <v>100</v>
      </c>
      <c r="X1109" s="32">
        <v>10</v>
      </c>
      <c r="Y1109" s="467">
        <v>0.5</v>
      </c>
      <c r="Z1109" s="29"/>
      <c r="AA1109" s="29" t="str">
        <f t="shared" si="194"/>
        <v>EF1100</v>
      </c>
      <c r="AB1109" s="29" t="str">
        <f t="shared" si="195"/>
        <v>EF110</v>
      </c>
      <c r="AC1109" s="29" t="str">
        <f t="shared" si="196"/>
        <v>EF10.5</v>
      </c>
      <c r="AD1109" s="29" t="str">
        <f t="shared" si="197"/>
        <v>EF113</v>
      </c>
      <c r="AE1109" s="443"/>
      <c r="AF1109" s="443"/>
      <c r="AG1109" s="443"/>
      <c r="AH1109" s="443"/>
    </row>
    <row r="1110" spans="1:34" ht="16.5">
      <c r="A1110" s="728">
        <f t="shared" si="193"/>
        <v>1103</v>
      </c>
      <c r="B1110" s="563">
        <v>11</v>
      </c>
      <c r="C1110" s="694">
        <v>42140</v>
      </c>
      <c r="D1110" s="694" t="s">
        <v>148</v>
      </c>
      <c r="E1110" s="695">
        <v>16</v>
      </c>
      <c r="F1110" s="503">
        <v>2015</v>
      </c>
      <c r="G1110" s="563" t="s">
        <v>116</v>
      </c>
      <c r="H1110" s="503" t="s">
        <v>161</v>
      </c>
      <c r="I1110" s="563">
        <v>30</v>
      </c>
      <c r="J1110" s="563">
        <v>5.49</v>
      </c>
      <c r="K1110" s="777">
        <f t="shared" si="192"/>
        <v>9.3579545454545457E-2</v>
      </c>
      <c r="L1110" s="968">
        <v>0</v>
      </c>
      <c r="M1110" s="503">
        <f t="shared" si="187"/>
        <v>14</v>
      </c>
      <c r="N1110" s="504">
        <v>0.59305555555555556</v>
      </c>
      <c r="O1110" s="719">
        <f t="shared" si="182"/>
        <v>0.59305555555555556</v>
      </c>
      <c r="P1110" s="564">
        <v>0.60069444444444442</v>
      </c>
      <c r="Q1110" s="564">
        <f t="shared" si="189"/>
        <v>7.6388888888888618E-3</v>
      </c>
      <c r="R1110" s="965" t="s">
        <v>1520</v>
      </c>
      <c r="S1110" s="494" t="s">
        <v>1213</v>
      </c>
      <c r="U1110" s="29" t="str">
        <f t="shared" si="190"/>
        <v>WheelerEF0</v>
      </c>
      <c r="V1110" s="29" t="str">
        <f t="shared" si="191"/>
        <v>2015EF0</v>
      </c>
      <c r="W1110" s="80">
        <v>20</v>
      </c>
      <c r="X1110" s="32">
        <v>5</v>
      </c>
      <c r="Y1110" s="467">
        <v>0.05</v>
      </c>
      <c r="Z1110" s="29"/>
      <c r="AA1110" s="29" t="str">
        <f t="shared" si="194"/>
        <v>EF020</v>
      </c>
      <c r="AB1110" s="29" t="str">
        <f t="shared" si="195"/>
        <v>EF05</v>
      </c>
      <c r="AC1110" s="29" t="str">
        <f t="shared" si="196"/>
        <v>EF00.05</v>
      </c>
      <c r="AD1110" s="29" t="str">
        <f t="shared" si="197"/>
        <v>EF014</v>
      </c>
      <c r="AE1110" s="443"/>
      <c r="AF1110" s="443"/>
      <c r="AG1110" s="443"/>
      <c r="AH1110" s="443"/>
    </row>
    <row r="1111" spans="1:34" ht="38.25">
      <c r="A1111" s="728">
        <f t="shared" si="193"/>
        <v>1104</v>
      </c>
      <c r="B1111" s="563">
        <v>12</v>
      </c>
      <c r="C1111" s="694">
        <v>42151</v>
      </c>
      <c r="D1111" s="694" t="s">
        <v>148</v>
      </c>
      <c r="E1111" s="695">
        <v>27</v>
      </c>
      <c r="F1111" s="503">
        <v>2015</v>
      </c>
      <c r="G1111" s="563" t="s">
        <v>111</v>
      </c>
      <c r="H1111" s="503" t="s">
        <v>160</v>
      </c>
      <c r="I1111" s="563">
        <v>1200</v>
      </c>
      <c r="J1111" s="563">
        <v>1.39</v>
      </c>
      <c r="K1111" s="777">
        <f>+(I1111/1760)*J1111</f>
        <v>0.94772727272727264</v>
      </c>
      <c r="L1111" s="968">
        <v>0</v>
      </c>
      <c r="M1111" s="503">
        <f>HOUR(O1111)</f>
        <v>15</v>
      </c>
      <c r="N1111" s="504">
        <v>0.66527777777777775</v>
      </c>
      <c r="O1111" s="719">
        <f>+N1111</f>
        <v>0.66527777777777775</v>
      </c>
      <c r="P1111" s="564">
        <v>0.67499999999999993</v>
      </c>
      <c r="Q1111" s="564">
        <f>+P1111-O1111</f>
        <v>9.7222222222221877E-3</v>
      </c>
      <c r="R1111" s="965" t="s">
        <v>1521</v>
      </c>
      <c r="S1111" s="494" t="s">
        <v>1214</v>
      </c>
      <c r="U1111" s="29" t="str">
        <f t="shared" si="190"/>
        <v>HemphillEF2</v>
      </c>
      <c r="V1111" s="29" t="str">
        <f t="shared" si="191"/>
        <v>2015EF2</v>
      </c>
      <c r="W1111" s="80">
        <v>1000</v>
      </c>
      <c r="X1111" s="32">
        <v>1</v>
      </c>
      <c r="Y1111" s="467">
        <v>0.5</v>
      </c>
      <c r="Z1111" s="29"/>
      <c r="AA1111" s="29" t="str">
        <f t="shared" si="194"/>
        <v>EF21000</v>
      </c>
      <c r="AB1111" s="29" t="str">
        <f t="shared" si="195"/>
        <v>EF21</v>
      </c>
      <c r="AC1111" s="29" t="str">
        <f t="shared" si="196"/>
        <v>EF20.5</v>
      </c>
      <c r="AD1111" s="29" t="str">
        <f t="shared" si="197"/>
        <v>EF215</v>
      </c>
      <c r="AE1111" s="443"/>
      <c r="AF1111" s="443"/>
      <c r="AG1111" s="443"/>
      <c r="AH1111" s="443"/>
    </row>
    <row r="1112" spans="1:34" ht="16.5">
      <c r="A1112" s="728">
        <f t="shared" si="193"/>
        <v>1105</v>
      </c>
      <c r="B1112" s="563">
        <v>13</v>
      </c>
      <c r="C1112" s="694">
        <v>42151</v>
      </c>
      <c r="D1112" s="694" t="s">
        <v>148</v>
      </c>
      <c r="E1112" s="695">
        <v>27</v>
      </c>
      <c r="F1112" s="503">
        <v>2015</v>
      </c>
      <c r="G1112" s="563" t="s">
        <v>111</v>
      </c>
      <c r="H1112" s="762" t="s">
        <v>162</v>
      </c>
      <c r="I1112" s="763">
        <v>600</v>
      </c>
      <c r="J1112" s="763">
        <v>1.1200000000000001</v>
      </c>
      <c r="K1112" s="778">
        <f>+(I1112/1760)*J1112</f>
        <v>0.38181818181818183</v>
      </c>
      <c r="L1112" s="968">
        <v>0</v>
      </c>
      <c r="M1112" s="736">
        <f>HOUR(O1112)</f>
        <v>17</v>
      </c>
      <c r="N1112" s="764">
        <v>0.70972222222222225</v>
      </c>
      <c r="O1112" s="738">
        <f>+N1112</f>
        <v>0.70972222222222225</v>
      </c>
      <c r="P1112" s="739">
        <v>0.7104166666666667</v>
      </c>
      <c r="Q1112" s="739">
        <f>+P1112-O1112</f>
        <v>6.9444444444444198E-4</v>
      </c>
      <c r="R1112" s="965" t="s">
        <v>1520</v>
      </c>
      <c r="S1112" s="494" t="s">
        <v>1215</v>
      </c>
      <c r="U1112" s="29" t="str">
        <f t="shared" si="190"/>
        <v>HemphillEF1</v>
      </c>
      <c r="V1112" s="29" t="str">
        <f t="shared" si="191"/>
        <v>2015EF1</v>
      </c>
      <c r="W1112" s="80">
        <v>500</v>
      </c>
      <c r="X1112" s="32">
        <v>1</v>
      </c>
      <c r="Y1112" s="467">
        <v>0.2</v>
      </c>
      <c r="Z1112" s="29"/>
      <c r="AA1112" s="29" t="str">
        <f t="shared" si="194"/>
        <v>EF1500</v>
      </c>
      <c r="AB1112" s="29" t="str">
        <f t="shared" si="195"/>
        <v>EF11</v>
      </c>
      <c r="AC1112" s="29" t="str">
        <f t="shared" si="196"/>
        <v>EF10.2</v>
      </c>
      <c r="AD1112" s="29" t="str">
        <f>CONCATENATE(H1111,M1111)</f>
        <v>EF215</v>
      </c>
      <c r="AE1112" s="443"/>
      <c r="AF1112" s="443"/>
      <c r="AG1112" s="443"/>
      <c r="AH1112" s="443"/>
    </row>
    <row r="1113" spans="1:34" ht="16.5">
      <c r="A1113" s="728">
        <f t="shared" si="193"/>
        <v>1106</v>
      </c>
      <c r="B1113" s="765">
        <v>14</v>
      </c>
      <c r="C1113" s="694">
        <v>42151</v>
      </c>
      <c r="D1113" s="761" t="s">
        <v>148</v>
      </c>
      <c r="E1113" s="737">
        <v>27</v>
      </c>
      <c r="F1113" s="736">
        <v>2015</v>
      </c>
      <c r="G1113" s="707" t="s">
        <v>111</v>
      </c>
      <c r="H1113" s="762" t="s">
        <v>161</v>
      </c>
      <c r="I1113" s="763">
        <v>600</v>
      </c>
      <c r="J1113" s="763">
        <v>1.1200000000000001</v>
      </c>
      <c r="K1113" s="778">
        <f t="shared" si="192"/>
        <v>0.38181818181818183</v>
      </c>
      <c r="L1113" s="968">
        <v>0</v>
      </c>
      <c r="M1113" s="736">
        <f t="shared" ref="M1113:M1175" si="198">HOUR(O1113)</f>
        <v>17</v>
      </c>
      <c r="N1113" s="764">
        <v>0.71180555555555547</v>
      </c>
      <c r="O1113" s="738">
        <f t="shared" ref="O1113:O1174" si="199">+N1113</f>
        <v>0.71180555555555547</v>
      </c>
      <c r="P1113" s="739">
        <v>0.71388888888888891</v>
      </c>
      <c r="Q1113" s="739">
        <f t="shared" si="189"/>
        <v>2.083333333333437E-3</v>
      </c>
      <c r="R1113" s="965" t="s">
        <v>1520</v>
      </c>
      <c r="S1113" s="494" t="s">
        <v>1215</v>
      </c>
      <c r="U1113" s="758" t="str">
        <f t="shared" si="190"/>
        <v>HemphillEF0</v>
      </c>
      <c r="V1113" s="758" t="str">
        <f t="shared" si="191"/>
        <v>2015EF0</v>
      </c>
      <c r="W1113" s="35">
        <v>200</v>
      </c>
      <c r="X1113" s="251">
        <v>1</v>
      </c>
      <c r="Y1113" s="468">
        <v>0.2</v>
      </c>
      <c r="Z1113" s="758"/>
      <c r="AA1113" s="758" t="str">
        <f t="shared" si="194"/>
        <v>EF0200</v>
      </c>
      <c r="AB1113" s="758" t="str">
        <f t="shared" si="195"/>
        <v>EF01</v>
      </c>
      <c r="AC1113" s="758" t="str">
        <f t="shared" si="196"/>
        <v>EF00.2</v>
      </c>
      <c r="AD1113" s="758" t="str">
        <f t="shared" ref="AD1113:AD1176" si="200">CONCATENATE(H1113,M1113)</f>
        <v>EF017</v>
      </c>
      <c r="AE1113" s="760"/>
      <c r="AF1113" s="760"/>
      <c r="AG1113" s="443"/>
      <c r="AH1113" s="443"/>
    </row>
    <row r="1114" spans="1:34" ht="16.5">
      <c r="A1114" s="728">
        <f t="shared" si="193"/>
        <v>1107</v>
      </c>
      <c r="B1114" s="765">
        <v>15</v>
      </c>
      <c r="C1114" s="694">
        <v>42151</v>
      </c>
      <c r="D1114" s="761" t="s">
        <v>148</v>
      </c>
      <c r="E1114" s="737">
        <v>27</v>
      </c>
      <c r="F1114" s="736">
        <v>2015</v>
      </c>
      <c r="G1114" s="707" t="s">
        <v>111</v>
      </c>
      <c r="H1114" s="762" t="s">
        <v>161</v>
      </c>
      <c r="I1114" s="763">
        <v>400</v>
      </c>
      <c r="J1114" s="763">
        <v>0.53</v>
      </c>
      <c r="K1114" s="778">
        <f t="shared" ref="K1114:K1177" si="201">+(I1114/1760)*J1114</f>
        <v>0.12045454545454545</v>
      </c>
      <c r="L1114" s="968">
        <v>0</v>
      </c>
      <c r="M1114" s="736">
        <f t="shared" si="198"/>
        <v>17</v>
      </c>
      <c r="N1114" s="764">
        <v>0.71180555555555547</v>
      </c>
      <c r="O1114" s="738">
        <f t="shared" si="199"/>
        <v>0.71180555555555547</v>
      </c>
      <c r="P1114" s="739">
        <v>0.71388888888888891</v>
      </c>
      <c r="Q1114" s="739">
        <f t="shared" ref="Q1114:Q1177" si="202">+P1114-O1114</f>
        <v>2.083333333333437E-3</v>
      </c>
      <c r="R1114" s="965" t="s">
        <v>1520</v>
      </c>
      <c r="S1114" s="494" t="s">
        <v>1216</v>
      </c>
      <c r="U1114" s="758" t="str">
        <f t="shared" si="190"/>
        <v>HemphillEF0</v>
      </c>
      <c r="V1114" s="758" t="str">
        <f t="shared" si="191"/>
        <v>2015EF0</v>
      </c>
      <c r="W1114" s="35">
        <v>200</v>
      </c>
      <c r="X1114" s="251">
        <v>0.5</v>
      </c>
      <c r="Y1114" s="468">
        <v>0.1</v>
      </c>
      <c r="Z1114" s="758"/>
      <c r="AA1114" s="758" t="str">
        <f t="shared" si="194"/>
        <v>EF0200</v>
      </c>
      <c r="AB1114" s="758" t="str">
        <f t="shared" si="195"/>
        <v>EF00.5</v>
      </c>
      <c r="AC1114" s="758" t="str">
        <f t="shared" si="196"/>
        <v>EF00.1</v>
      </c>
      <c r="AD1114" s="758" t="str">
        <f t="shared" si="200"/>
        <v>EF017</v>
      </c>
      <c r="AE1114" s="760"/>
      <c r="AF1114" s="760"/>
      <c r="AG1114" s="443"/>
      <c r="AH1114" s="443"/>
    </row>
    <row r="1115" spans="1:34" ht="16.5">
      <c r="A1115" s="728">
        <f t="shared" si="193"/>
        <v>1108</v>
      </c>
      <c r="B1115" s="765">
        <v>16</v>
      </c>
      <c r="C1115" s="694">
        <v>42167</v>
      </c>
      <c r="D1115" s="763" t="s">
        <v>149</v>
      </c>
      <c r="E1115" s="763">
        <v>12</v>
      </c>
      <c r="F1115" s="736">
        <v>2015</v>
      </c>
      <c r="G1115" s="763" t="s">
        <v>117</v>
      </c>
      <c r="H1115" s="762" t="s">
        <v>161</v>
      </c>
      <c r="I1115" s="763">
        <v>50</v>
      </c>
      <c r="J1115" s="763">
        <v>0.2</v>
      </c>
      <c r="K1115" s="778">
        <f t="shared" si="201"/>
        <v>5.681818181818182E-3</v>
      </c>
      <c r="L1115" s="968">
        <v>0</v>
      </c>
      <c r="M1115" s="736">
        <f t="shared" si="198"/>
        <v>14</v>
      </c>
      <c r="N1115" s="764">
        <v>0.59583333333333333</v>
      </c>
      <c r="O1115" s="738">
        <f t="shared" si="199"/>
        <v>0.59583333333333333</v>
      </c>
      <c r="P1115" s="739">
        <v>0.59791666666666665</v>
      </c>
      <c r="Q1115" s="739">
        <f t="shared" si="202"/>
        <v>2.0833333333333259E-3</v>
      </c>
      <c r="R1115" s="965" t="s">
        <v>1520</v>
      </c>
      <c r="S1115" s="766" t="s">
        <v>1176</v>
      </c>
      <c r="T1115" s="277"/>
      <c r="U1115" s="758" t="str">
        <f t="shared" si="190"/>
        <v>Deaf SmithEF0</v>
      </c>
      <c r="V1115" s="758" t="str">
        <f t="shared" si="191"/>
        <v>2015EF0</v>
      </c>
      <c r="W1115" s="35">
        <v>50</v>
      </c>
      <c r="X1115" s="251">
        <v>0.2</v>
      </c>
      <c r="Y1115" s="468">
        <v>5.0000000000000001E-3</v>
      </c>
      <c r="Z1115" s="758"/>
      <c r="AA1115" s="758" t="str">
        <f t="shared" si="194"/>
        <v>EF050</v>
      </c>
      <c r="AB1115" s="758" t="str">
        <f t="shared" si="195"/>
        <v>EF00.2</v>
      </c>
      <c r="AC1115" s="758" t="str">
        <f t="shared" si="196"/>
        <v>EF00.005</v>
      </c>
      <c r="AD1115" s="758" t="str">
        <f t="shared" si="200"/>
        <v>EF014</v>
      </c>
      <c r="AE1115" s="760"/>
      <c r="AF1115" s="760"/>
      <c r="AG1115" s="443"/>
      <c r="AH1115" s="443"/>
    </row>
    <row r="1116" spans="1:34" ht="16.5">
      <c r="A1116" s="728">
        <f t="shared" si="193"/>
        <v>1109</v>
      </c>
      <c r="B1116" s="765">
        <v>17</v>
      </c>
      <c r="C1116" s="694">
        <v>42324</v>
      </c>
      <c r="D1116" s="763" t="s">
        <v>154</v>
      </c>
      <c r="E1116" s="763">
        <v>16</v>
      </c>
      <c r="F1116" s="736">
        <v>2015</v>
      </c>
      <c r="G1116" s="763" t="s">
        <v>119</v>
      </c>
      <c r="H1116" s="762" t="s">
        <v>161</v>
      </c>
      <c r="I1116" s="763">
        <v>50</v>
      </c>
      <c r="J1116" s="763">
        <v>0.4</v>
      </c>
      <c r="K1116" s="778">
        <f t="shared" si="201"/>
        <v>1.1363636363636364E-2</v>
      </c>
      <c r="L1116" s="968">
        <v>0</v>
      </c>
      <c r="M1116" s="736">
        <f t="shared" si="198"/>
        <v>17</v>
      </c>
      <c r="N1116" s="764">
        <v>0.73888888888888893</v>
      </c>
      <c r="O1116" s="738">
        <f t="shared" si="199"/>
        <v>0.73888888888888893</v>
      </c>
      <c r="P1116" s="739">
        <v>0.73958333333333337</v>
      </c>
      <c r="Q1116" s="739">
        <f t="shared" si="202"/>
        <v>6.9444444444444198E-4</v>
      </c>
      <c r="R1116" s="965" t="s">
        <v>1520</v>
      </c>
      <c r="S1116" s="766" t="s">
        <v>1181</v>
      </c>
      <c r="T1116" s="277"/>
      <c r="U1116" s="758" t="str">
        <f t="shared" si="190"/>
        <v>ArmstrongEF0</v>
      </c>
      <c r="V1116" s="758" t="str">
        <f t="shared" si="191"/>
        <v>2015EF0</v>
      </c>
      <c r="W1116" s="35">
        <v>50</v>
      </c>
      <c r="X1116" s="251">
        <v>0.2</v>
      </c>
      <c r="Y1116" s="468">
        <v>0.01</v>
      </c>
      <c r="Z1116" s="758"/>
      <c r="AA1116" s="758" t="str">
        <f t="shared" si="194"/>
        <v>EF050</v>
      </c>
      <c r="AB1116" s="758" t="str">
        <f t="shared" si="195"/>
        <v>EF00.2</v>
      </c>
      <c r="AC1116" s="758" t="str">
        <f t="shared" si="196"/>
        <v>EF00.01</v>
      </c>
      <c r="AD1116" s="758" t="str">
        <f t="shared" si="200"/>
        <v>EF017</v>
      </c>
      <c r="AE1116" s="760"/>
      <c r="AF1116" s="760"/>
      <c r="AG1116" s="443"/>
      <c r="AH1116" s="443"/>
    </row>
    <row r="1117" spans="1:34" ht="16.5">
      <c r="A1117" s="728">
        <f t="shared" si="193"/>
        <v>1110</v>
      </c>
      <c r="B1117" s="765">
        <v>18</v>
      </c>
      <c r="C1117" s="694">
        <v>42324</v>
      </c>
      <c r="D1117" s="763" t="s">
        <v>154</v>
      </c>
      <c r="E1117" s="763">
        <v>16</v>
      </c>
      <c r="F1117" s="736">
        <v>2015</v>
      </c>
      <c r="G1117" s="763" t="s">
        <v>110</v>
      </c>
      <c r="H1117" s="762" t="s">
        <v>161</v>
      </c>
      <c r="I1117" s="763">
        <v>50</v>
      </c>
      <c r="J1117" s="763">
        <v>0.11</v>
      </c>
      <c r="K1117" s="778">
        <f t="shared" si="201"/>
        <v>3.1249999999999997E-3</v>
      </c>
      <c r="L1117" s="968">
        <v>0</v>
      </c>
      <c r="M1117" s="736">
        <f t="shared" si="198"/>
        <v>17</v>
      </c>
      <c r="N1117" s="764">
        <v>0.73888888888888893</v>
      </c>
      <c r="O1117" s="738">
        <f t="shared" si="199"/>
        <v>0.73888888888888893</v>
      </c>
      <c r="P1117" s="739">
        <v>0.73958333333333337</v>
      </c>
      <c r="Q1117" s="739">
        <f t="shared" si="202"/>
        <v>6.9444444444444198E-4</v>
      </c>
      <c r="R1117" s="965" t="s">
        <v>1520</v>
      </c>
      <c r="S1117" s="766" t="s">
        <v>1182</v>
      </c>
      <c r="T1117" s="277"/>
      <c r="U1117" s="758" t="str">
        <f t="shared" si="190"/>
        <v>RobertsEF0</v>
      </c>
      <c r="V1117" s="758" t="str">
        <f t="shared" si="191"/>
        <v>2015EF0</v>
      </c>
      <c r="W1117" s="35">
        <v>50</v>
      </c>
      <c r="X1117" s="251">
        <v>0.1</v>
      </c>
      <c r="Y1117" s="468">
        <v>2E-3</v>
      </c>
      <c r="Z1117" s="758"/>
      <c r="AA1117" s="758" t="str">
        <f t="shared" si="194"/>
        <v>EF050</v>
      </c>
      <c r="AB1117" s="758" t="str">
        <f t="shared" si="195"/>
        <v>EF00.1</v>
      </c>
      <c r="AC1117" s="758" t="str">
        <f t="shared" si="196"/>
        <v>EF00.002</v>
      </c>
      <c r="AD1117" s="758" t="str">
        <f t="shared" si="200"/>
        <v>EF017</v>
      </c>
      <c r="AE1117" s="760"/>
      <c r="AF1117" s="760"/>
      <c r="AG1117" s="443"/>
      <c r="AH1117" s="443"/>
    </row>
    <row r="1118" spans="1:34" ht="16.5">
      <c r="A1118" s="728">
        <f t="shared" si="193"/>
        <v>1111</v>
      </c>
      <c r="B1118" s="765">
        <v>19</v>
      </c>
      <c r="C1118" s="694">
        <v>42324</v>
      </c>
      <c r="D1118" s="763" t="s">
        <v>154</v>
      </c>
      <c r="E1118" s="763">
        <v>16</v>
      </c>
      <c r="F1118" s="736">
        <v>2015</v>
      </c>
      <c r="G1118" s="763" t="s">
        <v>110</v>
      </c>
      <c r="H1118" s="762" t="s">
        <v>161</v>
      </c>
      <c r="I1118" s="763">
        <v>50</v>
      </c>
      <c r="J1118" s="763">
        <v>0.26</v>
      </c>
      <c r="K1118" s="778">
        <f t="shared" si="201"/>
        <v>7.3863636363636362E-3</v>
      </c>
      <c r="L1118" s="968">
        <v>0</v>
      </c>
      <c r="M1118" s="736">
        <f t="shared" si="198"/>
        <v>18</v>
      </c>
      <c r="N1118" s="764">
        <v>0.75347222222222221</v>
      </c>
      <c r="O1118" s="738">
        <f t="shared" si="199"/>
        <v>0.75347222222222221</v>
      </c>
      <c r="P1118" s="739">
        <v>0.76041666666666663</v>
      </c>
      <c r="Q1118" s="739">
        <f t="shared" si="202"/>
        <v>6.9444444444444198E-3</v>
      </c>
      <c r="R1118" s="965" t="s">
        <v>1520</v>
      </c>
      <c r="S1118" s="766" t="s">
        <v>1183</v>
      </c>
      <c r="T1118" s="277"/>
      <c r="U1118" s="758" t="str">
        <f t="shared" si="190"/>
        <v>RobertsEF0</v>
      </c>
      <c r="V1118" s="758" t="str">
        <f t="shared" si="191"/>
        <v>2015EF0</v>
      </c>
      <c r="W1118" s="35">
        <v>50</v>
      </c>
      <c r="X1118" s="251">
        <v>0.2</v>
      </c>
      <c r="Y1118" s="468">
        <v>5.0000000000000001E-3</v>
      </c>
      <c r="Z1118" s="758"/>
      <c r="AA1118" s="758" t="str">
        <f t="shared" si="194"/>
        <v>EF050</v>
      </c>
      <c r="AB1118" s="758" t="str">
        <f t="shared" si="195"/>
        <v>EF00.2</v>
      </c>
      <c r="AC1118" s="758" t="str">
        <f t="shared" si="196"/>
        <v>EF00.005</v>
      </c>
      <c r="AD1118" s="758" t="str">
        <f t="shared" si="200"/>
        <v>EF018</v>
      </c>
      <c r="AE1118" s="760"/>
      <c r="AF1118" s="760"/>
      <c r="AG1118" s="443"/>
      <c r="AH1118" s="443"/>
    </row>
    <row r="1119" spans="1:34" ht="16.5">
      <c r="A1119" s="728">
        <f t="shared" si="193"/>
        <v>1112</v>
      </c>
      <c r="B1119" s="765">
        <v>20</v>
      </c>
      <c r="C1119" s="694">
        <v>42324</v>
      </c>
      <c r="D1119" s="763" t="s">
        <v>154</v>
      </c>
      <c r="E1119" s="763">
        <v>16</v>
      </c>
      <c r="F1119" s="736">
        <v>2015</v>
      </c>
      <c r="G1119" s="763" t="s">
        <v>114</v>
      </c>
      <c r="H1119" s="762" t="s">
        <v>161</v>
      </c>
      <c r="I1119" s="763">
        <v>50</v>
      </c>
      <c r="J1119" s="763">
        <v>0.22</v>
      </c>
      <c r="K1119" s="778">
        <f t="shared" si="201"/>
        <v>6.2499999999999995E-3</v>
      </c>
      <c r="L1119" s="968">
        <v>0</v>
      </c>
      <c r="M1119" s="736">
        <f t="shared" si="198"/>
        <v>18</v>
      </c>
      <c r="N1119" s="764">
        <v>0.75624999999999998</v>
      </c>
      <c r="O1119" s="738">
        <f t="shared" si="199"/>
        <v>0.75624999999999998</v>
      </c>
      <c r="P1119" s="739">
        <v>0.75694444444444453</v>
      </c>
      <c r="Q1119" s="739">
        <f t="shared" si="202"/>
        <v>6.94444444444553E-4</v>
      </c>
      <c r="R1119" s="965" t="s">
        <v>1520</v>
      </c>
      <c r="S1119" s="766" t="s">
        <v>1184</v>
      </c>
      <c r="T1119" s="277"/>
      <c r="U1119" s="758" t="str">
        <f t="shared" si="190"/>
        <v>CarsonEF0</v>
      </c>
      <c r="V1119" s="758" t="str">
        <f t="shared" si="191"/>
        <v>2015EF0</v>
      </c>
      <c r="W1119" s="35">
        <v>50</v>
      </c>
      <c r="X1119" s="251">
        <v>0.2</v>
      </c>
      <c r="Y1119" s="468">
        <v>5.0000000000000001E-3</v>
      </c>
      <c r="Z1119" s="758"/>
      <c r="AA1119" s="758" t="str">
        <f t="shared" si="194"/>
        <v>EF050</v>
      </c>
      <c r="AB1119" s="758" t="str">
        <f t="shared" si="195"/>
        <v>EF00.2</v>
      </c>
      <c r="AC1119" s="758" t="str">
        <f t="shared" si="196"/>
        <v>EF00.005</v>
      </c>
      <c r="AD1119" s="758" t="str">
        <f t="shared" si="200"/>
        <v>EF018</v>
      </c>
      <c r="AE1119" s="760"/>
      <c r="AF1119" s="760"/>
      <c r="AG1119" s="443"/>
      <c r="AH1119" s="443"/>
    </row>
    <row r="1120" spans="1:34" ht="25.5">
      <c r="A1120" s="728">
        <f t="shared" si="193"/>
        <v>1113</v>
      </c>
      <c r="B1120" s="765">
        <v>21</v>
      </c>
      <c r="C1120" s="694">
        <v>42324</v>
      </c>
      <c r="D1120" s="763" t="s">
        <v>154</v>
      </c>
      <c r="E1120" s="763">
        <v>16</v>
      </c>
      <c r="F1120" s="736">
        <v>2015</v>
      </c>
      <c r="G1120" s="763" t="s">
        <v>115</v>
      </c>
      <c r="H1120" s="762" t="s">
        <v>163</v>
      </c>
      <c r="I1120" s="763">
        <v>750</v>
      </c>
      <c r="J1120" s="763">
        <v>23.16</v>
      </c>
      <c r="K1120" s="778">
        <f t="shared" si="201"/>
        <v>9.8693181818181817</v>
      </c>
      <c r="L1120" s="968">
        <v>0</v>
      </c>
      <c r="M1120" s="736">
        <f t="shared" si="198"/>
        <v>18</v>
      </c>
      <c r="N1120" s="764">
        <v>0.76388888888888884</v>
      </c>
      <c r="O1120" s="738">
        <f t="shared" si="199"/>
        <v>0.76388888888888884</v>
      </c>
      <c r="P1120" s="739">
        <v>0.79166666666666663</v>
      </c>
      <c r="Q1120" s="739">
        <f t="shared" si="202"/>
        <v>2.777777777777779E-2</v>
      </c>
      <c r="R1120" s="965" t="s">
        <v>1520</v>
      </c>
      <c r="S1120" s="766" t="s">
        <v>1235</v>
      </c>
      <c r="T1120" s="277"/>
      <c r="U1120" s="758" t="str">
        <f t="shared" si="190"/>
        <v>GrayEF3</v>
      </c>
      <c r="V1120" s="758" t="str">
        <f t="shared" si="191"/>
        <v>2015EF3</v>
      </c>
      <c r="W1120" s="35">
        <v>500</v>
      </c>
      <c r="X1120" s="251">
        <v>20</v>
      </c>
      <c r="Y1120" s="468">
        <v>5</v>
      </c>
      <c r="Z1120" s="758"/>
      <c r="AA1120" s="758" t="str">
        <f t="shared" si="194"/>
        <v>EF3500</v>
      </c>
      <c r="AB1120" s="758" t="str">
        <f t="shared" si="195"/>
        <v>EF320</v>
      </c>
      <c r="AC1120" s="758" t="str">
        <f t="shared" si="196"/>
        <v>EF35</v>
      </c>
      <c r="AD1120" s="758" t="str">
        <f t="shared" si="200"/>
        <v>EF318</v>
      </c>
      <c r="AE1120" s="760"/>
      <c r="AF1120" s="760"/>
      <c r="AG1120" s="443"/>
      <c r="AH1120" s="443"/>
    </row>
    <row r="1121" spans="1:34" ht="25.5">
      <c r="A1121" s="728">
        <f t="shared" si="193"/>
        <v>1114</v>
      </c>
      <c r="B1121" s="765">
        <v>22</v>
      </c>
      <c r="C1121" s="694">
        <v>42324</v>
      </c>
      <c r="D1121" s="763" t="s">
        <v>154</v>
      </c>
      <c r="E1121" s="763">
        <v>16</v>
      </c>
      <c r="F1121" s="736">
        <v>2015</v>
      </c>
      <c r="G1121" s="763" t="s">
        <v>114</v>
      </c>
      <c r="H1121" s="762" t="s">
        <v>160</v>
      </c>
      <c r="I1121" s="763">
        <v>175</v>
      </c>
      <c r="J1121" s="763">
        <v>9.0500000000000007</v>
      </c>
      <c r="K1121" s="778">
        <f t="shared" si="201"/>
        <v>0.89985795454545459</v>
      </c>
      <c r="L1121" s="968">
        <v>0</v>
      </c>
      <c r="M1121" s="736">
        <f t="shared" si="198"/>
        <v>18</v>
      </c>
      <c r="N1121" s="764">
        <v>0.77916666666666667</v>
      </c>
      <c r="O1121" s="738">
        <f t="shared" si="199"/>
        <v>0.77916666666666667</v>
      </c>
      <c r="P1121" s="739">
        <v>0.78680555555555554</v>
      </c>
      <c r="Q1121" s="739">
        <f t="shared" si="202"/>
        <v>7.6388888888888618E-3</v>
      </c>
      <c r="R1121" s="965" t="s">
        <v>1520</v>
      </c>
      <c r="S1121" s="766" t="s">
        <v>1233</v>
      </c>
      <c r="T1121" s="277"/>
      <c r="U1121" s="758" t="str">
        <f t="shared" si="190"/>
        <v>CarsonEF2</v>
      </c>
      <c r="V1121" s="758" t="str">
        <f t="shared" si="191"/>
        <v>2015EF2</v>
      </c>
      <c r="W1121" s="35">
        <v>100</v>
      </c>
      <c r="X1121" s="251">
        <v>5</v>
      </c>
      <c r="Y1121" s="468">
        <v>0.5</v>
      </c>
      <c r="Z1121" s="758"/>
      <c r="AA1121" s="758" t="str">
        <f t="shared" si="194"/>
        <v>EF2100</v>
      </c>
      <c r="AB1121" s="758" t="str">
        <f t="shared" si="195"/>
        <v>EF25</v>
      </c>
      <c r="AC1121" s="758" t="str">
        <f t="shared" si="196"/>
        <v>EF20.5</v>
      </c>
      <c r="AD1121" s="758" t="str">
        <f t="shared" si="200"/>
        <v>EF218</v>
      </c>
      <c r="AE1121" s="760"/>
      <c r="AF1121" s="760"/>
      <c r="AG1121" s="443"/>
      <c r="AH1121" s="443"/>
    </row>
    <row r="1122" spans="1:34" ht="16.5">
      <c r="A1122" s="728">
        <f t="shared" si="193"/>
        <v>1115</v>
      </c>
      <c r="B1122" s="765">
        <v>23</v>
      </c>
      <c r="C1122" s="694">
        <v>42324</v>
      </c>
      <c r="D1122" s="763" t="s">
        <v>154</v>
      </c>
      <c r="E1122" s="763">
        <v>16</v>
      </c>
      <c r="F1122" s="736">
        <v>2015</v>
      </c>
      <c r="G1122" s="763" t="s">
        <v>105</v>
      </c>
      <c r="H1122" s="762" t="s">
        <v>161</v>
      </c>
      <c r="I1122" s="763">
        <v>100</v>
      </c>
      <c r="J1122" s="763">
        <v>3.66</v>
      </c>
      <c r="K1122" s="778">
        <f t="shared" si="201"/>
        <v>0.20795454545454545</v>
      </c>
      <c r="L1122" s="968">
        <v>0</v>
      </c>
      <c r="M1122" s="736">
        <f t="shared" si="198"/>
        <v>18</v>
      </c>
      <c r="N1122" s="764">
        <v>0.78055555555555556</v>
      </c>
      <c r="O1122" s="738">
        <f t="shared" si="199"/>
        <v>0.78055555555555556</v>
      </c>
      <c r="P1122" s="739">
        <v>0.78472222222222221</v>
      </c>
      <c r="Q1122" s="739">
        <f t="shared" si="202"/>
        <v>4.1666666666666519E-3</v>
      </c>
      <c r="R1122" s="965" t="s">
        <v>1520</v>
      </c>
      <c r="S1122" s="766" t="s">
        <v>1185</v>
      </c>
      <c r="T1122" s="277"/>
      <c r="U1122" s="758" t="str">
        <f t="shared" si="190"/>
        <v>OchiltreeEF0</v>
      </c>
      <c r="V1122" s="758" t="str">
        <f t="shared" si="191"/>
        <v>2015EF0</v>
      </c>
      <c r="W1122" s="35">
        <v>100</v>
      </c>
      <c r="X1122" s="251">
        <v>2</v>
      </c>
      <c r="Y1122" s="468">
        <v>0.2</v>
      </c>
      <c r="Z1122" s="758"/>
      <c r="AA1122" s="758" t="str">
        <f t="shared" si="194"/>
        <v>EF0100</v>
      </c>
      <c r="AB1122" s="758" t="str">
        <f t="shared" si="195"/>
        <v>EF02</v>
      </c>
      <c r="AC1122" s="758" t="str">
        <f t="shared" si="196"/>
        <v>EF00.2</v>
      </c>
      <c r="AD1122" s="758" t="str">
        <f t="shared" si="200"/>
        <v>EF018</v>
      </c>
      <c r="AE1122" s="760"/>
      <c r="AF1122" s="760"/>
      <c r="AG1122" s="443"/>
      <c r="AH1122" s="443"/>
    </row>
    <row r="1123" spans="1:34" ht="16.5">
      <c r="A1123" s="728">
        <f t="shared" si="193"/>
        <v>1116</v>
      </c>
      <c r="B1123" s="765">
        <v>24</v>
      </c>
      <c r="C1123" s="694">
        <v>42324</v>
      </c>
      <c r="D1123" s="763" t="s">
        <v>154</v>
      </c>
      <c r="E1123" s="763">
        <v>16</v>
      </c>
      <c r="F1123" s="736">
        <v>2015</v>
      </c>
      <c r="G1123" s="763" t="s">
        <v>105</v>
      </c>
      <c r="H1123" s="762" t="s">
        <v>162</v>
      </c>
      <c r="I1123" s="763">
        <v>200</v>
      </c>
      <c r="J1123" s="763">
        <v>5.78</v>
      </c>
      <c r="K1123" s="778">
        <f t="shared" si="201"/>
        <v>0.65681818181818186</v>
      </c>
      <c r="L1123" s="968">
        <v>0</v>
      </c>
      <c r="M1123" s="736">
        <f t="shared" si="198"/>
        <v>18</v>
      </c>
      <c r="N1123" s="764">
        <v>0.78611111111111109</v>
      </c>
      <c r="O1123" s="738">
        <f t="shared" si="199"/>
        <v>0.78611111111111109</v>
      </c>
      <c r="P1123" s="739">
        <v>0.7909722222222223</v>
      </c>
      <c r="Q1123" s="739">
        <f t="shared" si="202"/>
        <v>4.8611111111112049E-3</v>
      </c>
      <c r="R1123" s="965" t="s">
        <v>1520</v>
      </c>
      <c r="S1123" s="766" t="s">
        <v>1186</v>
      </c>
      <c r="T1123" s="277"/>
      <c r="U1123" s="758" t="str">
        <f t="shared" si="190"/>
        <v>OchiltreeEF1</v>
      </c>
      <c r="V1123" s="758" t="str">
        <f t="shared" si="191"/>
        <v>2015EF1</v>
      </c>
      <c r="W1123" s="35">
        <v>200</v>
      </c>
      <c r="X1123" s="251">
        <v>5</v>
      </c>
      <c r="Y1123" s="468">
        <v>0.5</v>
      </c>
      <c r="Z1123" s="758"/>
      <c r="AA1123" s="758" t="str">
        <f t="shared" si="194"/>
        <v>EF1200</v>
      </c>
      <c r="AB1123" s="758" t="str">
        <f t="shared" si="195"/>
        <v>EF15</v>
      </c>
      <c r="AC1123" s="758" t="str">
        <f t="shared" si="196"/>
        <v>EF10.5</v>
      </c>
      <c r="AD1123" s="758" t="str">
        <f t="shared" si="200"/>
        <v>EF118</v>
      </c>
      <c r="AE1123" s="760"/>
      <c r="AF1123" s="760"/>
      <c r="AG1123" s="443"/>
      <c r="AH1123" s="443"/>
    </row>
    <row r="1124" spans="1:34" ht="25.5">
      <c r="A1124" s="728">
        <f t="shared" si="193"/>
        <v>1117</v>
      </c>
      <c r="B1124" s="765">
        <v>25</v>
      </c>
      <c r="C1124" s="694">
        <v>42324</v>
      </c>
      <c r="D1124" s="763" t="s">
        <v>154</v>
      </c>
      <c r="E1124" s="763">
        <v>16</v>
      </c>
      <c r="F1124" s="736">
        <v>2015</v>
      </c>
      <c r="G1124" s="763" t="s">
        <v>115</v>
      </c>
      <c r="H1124" s="762" t="s">
        <v>160</v>
      </c>
      <c r="I1124" s="763">
        <v>175</v>
      </c>
      <c r="J1124" s="763">
        <v>1.37</v>
      </c>
      <c r="K1124" s="778">
        <f t="shared" si="201"/>
        <v>0.13622159090909092</v>
      </c>
      <c r="L1124" s="968">
        <v>0</v>
      </c>
      <c r="M1124" s="736">
        <f t="shared" si="198"/>
        <v>18</v>
      </c>
      <c r="N1124" s="764">
        <v>0.78680555555555554</v>
      </c>
      <c r="O1124" s="738">
        <f t="shared" si="199"/>
        <v>0.78680555555555554</v>
      </c>
      <c r="P1124" s="739">
        <v>0.78819444444444453</v>
      </c>
      <c r="Q1124" s="739">
        <f t="shared" si="202"/>
        <v>1.388888888888995E-3</v>
      </c>
      <c r="R1124" s="965" t="s">
        <v>1520</v>
      </c>
      <c r="S1124" s="766" t="s">
        <v>1234</v>
      </c>
      <c r="T1124" s="277"/>
      <c r="U1124" s="758" t="str">
        <f t="shared" si="190"/>
        <v>GrayEF2</v>
      </c>
      <c r="V1124" s="758" t="str">
        <f t="shared" si="191"/>
        <v>2015EF2</v>
      </c>
      <c r="W1124" s="35">
        <v>100</v>
      </c>
      <c r="X1124" s="251">
        <v>1</v>
      </c>
      <c r="Y1124" s="468">
        <v>0.1</v>
      </c>
      <c r="Z1124" s="758"/>
      <c r="AA1124" s="758" t="str">
        <f t="shared" si="194"/>
        <v>EF2100</v>
      </c>
      <c r="AB1124" s="758" t="str">
        <f t="shared" si="195"/>
        <v>EF21</v>
      </c>
      <c r="AC1124" s="758" t="str">
        <f t="shared" si="196"/>
        <v>EF20.1</v>
      </c>
      <c r="AD1124" s="758" t="str">
        <f t="shared" si="200"/>
        <v>EF218</v>
      </c>
      <c r="AE1124" s="760"/>
      <c r="AF1124" s="760"/>
      <c r="AG1124" s="443"/>
      <c r="AH1124" s="443"/>
    </row>
    <row r="1125" spans="1:34" ht="25.5">
      <c r="A1125" s="728">
        <f t="shared" si="193"/>
        <v>1118</v>
      </c>
      <c r="B1125" s="765">
        <v>26</v>
      </c>
      <c r="C1125" s="694">
        <v>42324</v>
      </c>
      <c r="D1125" s="763" t="s">
        <v>154</v>
      </c>
      <c r="E1125" s="763">
        <v>16</v>
      </c>
      <c r="F1125" s="736">
        <v>2015</v>
      </c>
      <c r="G1125" s="763" t="s">
        <v>105</v>
      </c>
      <c r="H1125" s="762" t="s">
        <v>162</v>
      </c>
      <c r="I1125" s="763">
        <v>400</v>
      </c>
      <c r="J1125" s="763">
        <v>4.17</v>
      </c>
      <c r="K1125" s="778">
        <f t="shared" si="201"/>
        <v>0.94772727272727264</v>
      </c>
      <c r="L1125" s="968">
        <v>0</v>
      </c>
      <c r="M1125" s="736">
        <f t="shared" si="198"/>
        <v>19</v>
      </c>
      <c r="N1125" s="764">
        <v>0.79166666666666663</v>
      </c>
      <c r="O1125" s="738">
        <f t="shared" si="199"/>
        <v>0.79166666666666663</v>
      </c>
      <c r="P1125" s="739">
        <v>0.79652777777777783</v>
      </c>
      <c r="Q1125" s="739">
        <f t="shared" si="202"/>
        <v>4.8611111111112049E-3</v>
      </c>
      <c r="R1125" s="965" t="s">
        <v>1520</v>
      </c>
      <c r="S1125" s="766" t="s">
        <v>1188</v>
      </c>
      <c r="T1125" s="277"/>
      <c r="U1125" s="758" t="str">
        <f t="shared" si="190"/>
        <v>OchiltreeEF1</v>
      </c>
      <c r="V1125" s="758" t="str">
        <f t="shared" si="191"/>
        <v>2015EF1</v>
      </c>
      <c r="W1125" s="35">
        <v>200</v>
      </c>
      <c r="X1125" s="251">
        <v>2</v>
      </c>
      <c r="Y1125" s="468">
        <v>0.5</v>
      </c>
      <c r="Z1125" s="758"/>
      <c r="AA1125" s="758" t="str">
        <f t="shared" si="194"/>
        <v>EF1200</v>
      </c>
      <c r="AB1125" s="758" t="str">
        <f t="shared" si="195"/>
        <v>EF12</v>
      </c>
      <c r="AC1125" s="758" t="str">
        <f t="shared" si="196"/>
        <v>EF10.5</v>
      </c>
      <c r="AD1125" s="758" t="str">
        <f t="shared" si="200"/>
        <v>EF119</v>
      </c>
      <c r="AE1125" s="760"/>
      <c r="AF1125" s="760"/>
      <c r="AG1125" s="443"/>
      <c r="AH1125" s="443"/>
    </row>
    <row r="1126" spans="1:34" ht="25.5">
      <c r="A1126" s="728">
        <f t="shared" si="193"/>
        <v>1119</v>
      </c>
      <c r="B1126" s="765">
        <v>27</v>
      </c>
      <c r="C1126" s="694">
        <v>42324</v>
      </c>
      <c r="D1126" s="763" t="s">
        <v>154</v>
      </c>
      <c r="E1126" s="763">
        <v>16</v>
      </c>
      <c r="F1126" s="736">
        <v>2015</v>
      </c>
      <c r="G1126" s="763" t="s">
        <v>110</v>
      </c>
      <c r="H1126" s="762" t="s">
        <v>163</v>
      </c>
      <c r="I1126" s="763">
        <v>750</v>
      </c>
      <c r="J1126" s="763">
        <v>8.6999999999999993</v>
      </c>
      <c r="K1126" s="778">
        <f t="shared" si="201"/>
        <v>3.7073863636363633</v>
      </c>
      <c r="L1126" s="968">
        <v>0</v>
      </c>
      <c r="M1126" s="736">
        <f t="shared" si="198"/>
        <v>19</v>
      </c>
      <c r="N1126" s="764">
        <v>0.79166666666666663</v>
      </c>
      <c r="O1126" s="738">
        <f t="shared" si="199"/>
        <v>0.79166666666666663</v>
      </c>
      <c r="P1126" s="739">
        <v>0.80555555555555547</v>
      </c>
      <c r="Q1126" s="739">
        <f t="shared" si="202"/>
        <v>1.388888888888884E-2</v>
      </c>
      <c r="R1126" s="965" t="s">
        <v>1520</v>
      </c>
      <c r="S1126" s="766" t="s">
        <v>1236</v>
      </c>
      <c r="T1126" s="277"/>
      <c r="U1126" s="758" t="str">
        <f t="shared" si="190"/>
        <v>RobertsEF3</v>
      </c>
      <c r="V1126" s="758" t="str">
        <f t="shared" si="191"/>
        <v>2015EF3</v>
      </c>
      <c r="W1126" s="35">
        <v>500</v>
      </c>
      <c r="X1126" s="251">
        <v>5</v>
      </c>
      <c r="Y1126" s="468">
        <v>2</v>
      </c>
      <c r="Z1126" s="758"/>
      <c r="AA1126" s="758" t="str">
        <f t="shared" si="194"/>
        <v>EF3500</v>
      </c>
      <c r="AB1126" s="758" t="str">
        <f t="shared" si="195"/>
        <v>EF35</v>
      </c>
      <c r="AC1126" s="758" t="str">
        <f t="shared" si="196"/>
        <v>EF32</v>
      </c>
      <c r="AD1126" s="758" t="str">
        <f t="shared" si="200"/>
        <v>EF319</v>
      </c>
      <c r="AE1126" s="760"/>
      <c r="AF1126" s="760"/>
      <c r="AG1126" s="443"/>
      <c r="AH1126" s="443"/>
    </row>
    <row r="1127" spans="1:34" ht="38.25">
      <c r="A1127" s="728">
        <f t="shared" si="193"/>
        <v>1120</v>
      </c>
      <c r="B1127" s="765">
        <v>28</v>
      </c>
      <c r="C1127" s="694">
        <v>42324</v>
      </c>
      <c r="D1127" s="763" t="s">
        <v>154</v>
      </c>
      <c r="E1127" s="763">
        <v>16</v>
      </c>
      <c r="F1127" s="736">
        <v>2015</v>
      </c>
      <c r="G1127" s="763" t="s">
        <v>115</v>
      </c>
      <c r="H1127" s="762" t="s">
        <v>163</v>
      </c>
      <c r="I1127" s="763">
        <v>500</v>
      </c>
      <c r="J1127" s="763">
        <v>10.92</v>
      </c>
      <c r="K1127" s="778">
        <f t="shared" si="201"/>
        <v>3.1022727272727275</v>
      </c>
      <c r="L1127" s="968">
        <v>0</v>
      </c>
      <c r="M1127" s="736">
        <f t="shared" si="198"/>
        <v>19</v>
      </c>
      <c r="N1127" s="764">
        <v>0.79583333333333339</v>
      </c>
      <c r="O1127" s="738">
        <f t="shared" si="199"/>
        <v>0.79583333333333339</v>
      </c>
      <c r="P1127" s="739">
        <v>0.80486111111111114</v>
      </c>
      <c r="Q1127" s="739">
        <f t="shared" si="202"/>
        <v>9.0277777777777457E-3</v>
      </c>
      <c r="R1127" s="965" t="s">
        <v>1520</v>
      </c>
      <c r="S1127" s="766" t="s">
        <v>1187</v>
      </c>
      <c r="T1127" s="277"/>
      <c r="U1127" s="758" t="str">
        <f t="shared" si="190"/>
        <v>GrayEF3</v>
      </c>
      <c r="V1127" s="758" t="str">
        <f t="shared" si="191"/>
        <v>2015EF3</v>
      </c>
      <c r="W1127" s="35">
        <v>500</v>
      </c>
      <c r="X1127" s="251">
        <v>10</v>
      </c>
      <c r="Y1127" s="468">
        <v>2</v>
      </c>
      <c r="Z1127" s="758"/>
      <c r="AA1127" s="758" t="str">
        <f t="shared" si="194"/>
        <v>EF3500</v>
      </c>
      <c r="AB1127" s="758" t="str">
        <f t="shared" si="195"/>
        <v>EF310</v>
      </c>
      <c r="AC1127" s="758" t="str">
        <f t="shared" si="196"/>
        <v>EF32</v>
      </c>
      <c r="AD1127" s="758" t="str">
        <f t="shared" si="200"/>
        <v>EF319</v>
      </c>
      <c r="AE1127" s="760"/>
      <c r="AF1127" s="760"/>
      <c r="AG1127" s="443"/>
      <c r="AH1127" s="443"/>
    </row>
    <row r="1128" spans="1:34" ht="25.5">
      <c r="A1128" s="728">
        <f t="shared" si="193"/>
        <v>1121</v>
      </c>
      <c r="B1128" s="765">
        <v>29</v>
      </c>
      <c r="C1128" s="694">
        <v>42324</v>
      </c>
      <c r="D1128" s="763" t="s">
        <v>154</v>
      </c>
      <c r="E1128" s="763">
        <v>16</v>
      </c>
      <c r="F1128" s="736">
        <v>2015</v>
      </c>
      <c r="G1128" s="763" t="s">
        <v>101</v>
      </c>
      <c r="H1128" s="762" t="s">
        <v>162</v>
      </c>
      <c r="I1128" s="763">
        <v>400</v>
      </c>
      <c r="J1128" s="763">
        <v>1.01</v>
      </c>
      <c r="K1128" s="778">
        <f t="shared" si="201"/>
        <v>0.22954545454545455</v>
      </c>
      <c r="L1128" s="968">
        <v>0</v>
      </c>
      <c r="M1128" s="736">
        <f t="shared" si="198"/>
        <v>19</v>
      </c>
      <c r="N1128" s="764">
        <v>0.79652777777777783</v>
      </c>
      <c r="O1128" s="738">
        <f t="shared" si="199"/>
        <v>0.79652777777777783</v>
      </c>
      <c r="P1128" s="739">
        <v>0.79722222222222217</v>
      </c>
      <c r="Q1128" s="739">
        <f t="shared" si="202"/>
        <v>6.9444444444433095E-4</v>
      </c>
      <c r="R1128" s="965" t="s">
        <v>1520</v>
      </c>
      <c r="S1128" s="766" t="s">
        <v>1189</v>
      </c>
      <c r="T1128" s="277"/>
      <c r="U1128" s="758" t="str">
        <f t="shared" si="190"/>
        <v>BeaverEF1</v>
      </c>
      <c r="V1128" s="758" t="str">
        <f t="shared" si="191"/>
        <v>2015EF1</v>
      </c>
      <c r="W1128" s="35">
        <v>200</v>
      </c>
      <c r="X1128" s="251">
        <v>1</v>
      </c>
      <c r="Y1128" s="468">
        <v>0.2</v>
      </c>
      <c r="Z1128" s="758"/>
      <c r="AA1128" s="758" t="str">
        <f t="shared" si="194"/>
        <v>EF1200</v>
      </c>
      <c r="AB1128" s="758" t="str">
        <f t="shared" si="195"/>
        <v>EF11</v>
      </c>
      <c r="AC1128" s="758" t="str">
        <f t="shared" si="196"/>
        <v>EF10.2</v>
      </c>
      <c r="AD1128" s="758" t="str">
        <f t="shared" si="200"/>
        <v>EF119</v>
      </c>
      <c r="AE1128" s="760"/>
      <c r="AF1128" s="760"/>
      <c r="AG1128" s="443"/>
      <c r="AH1128" s="443"/>
    </row>
    <row r="1129" spans="1:34" ht="16.5">
      <c r="A1129" s="728">
        <f t="shared" si="193"/>
        <v>1122</v>
      </c>
      <c r="B1129" s="765">
        <v>30</v>
      </c>
      <c r="C1129" s="694">
        <v>42324</v>
      </c>
      <c r="D1129" s="763" t="s">
        <v>154</v>
      </c>
      <c r="E1129" s="763">
        <v>16</v>
      </c>
      <c r="F1129" s="736">
        <v>2015</v>
      </c>
      <c r="G1129" s="763" t="s">
        <v>101</v>
      </c>
      <c r="H1129" s="762" t="s">
        <v>161</v>
      </c>
      <c r="I1129" s="763">
        <v>100</v>
      </c>
      <c r="J1129" s="763">
        <v>4.22</v>
      </c>
      <c r="K1129" s="778">
        <f t="shared" si="201"/>
        <v>0.23977272727272725</v>
      </c>
      <c r="L1129" s="968">
        <v>0</v>
      </c>
      <c r="M1129" s="736">
        <f t="shared" si="198"/>
        <v>19</v>
      </c>
      <c r="N1129" s="764">
        <v>0.79861111111111116</v>
      </c>
      <c r="O1129" s="738">
        <f t="shared" si="199"/>
        <v>0.79861111111111116</v>
      </c>
      <c r="P1129" s="739">
        <v>0.8041666666666667</v>
      </c>
      <c r="Q1129" s="739">
        <f t="shared" si="202"/>
        <v>5.5555555555555358E-3</v>
      </c>
      <c r="R1129" s="965" t="s">
        <v>1520</v>
      </c>
      <c r="S1129" s="766" t="s">
        <v>1190</v>
      </c>
      <c r="T1129" s="277"/>
      <c r="U1129" s="758" t="str">
        <f t="shared" si="190"/>
        <v>BeaverEF0</v>
      </c>
      <c r="V1129" s="758" t="str">
        <f t="shared" si="191"/>
        <v>2015EF0</v>
      </c>
      <c r="W1129" s="35">
        <v>100</v>
      </c>
      <c r="X1129" s="251">
        <v>2</v>
      </c>
      <c r="Y1129" s="468">
        <v>0.2</v>
      </c>
      <c r="Z1129" s="758"/>
      <c r="AA1129" s="758" t="str">
        <f t="shared" si="194"/>
        <v>EF0100</v>
      </c>
      <c r="AB1129" s="758" t="str">
        <f t="shared" si="195"/>
        <v>EF02</v>
      </c>
      <c r="AC1129" s="758" t="str">
        <f t="shared" si="196"/>
        <v>EF00.2</v>
      </c>
      <c r="AD1129" s="758" t="str">
        <f t="shared" si="200"/>
        <v>EF019</v>
      </c>
      <c r="AE1129" s="760"/>
      <c r="AF1129" s="760"/>
      <c r="AG1129" s="443"/>
      <c r="AH1129" s="443"/>
    </row>
    <row r="1130" spans="1:34" ht="38.25">
      <c r="A1130" s="728">
        <f t="shared" si="193"/>
        <v>1123</v>
      </c>
      <c r="B1130" s="765">
        <v>31</v>
      </c>
      <c r="C1130" s="694">
        <v>42324</v>
      </c>
      <c r="D1130" s="763" t="s">
        <v>154</v>
      </c>
      <c r="E1130" s="763">
        <v>16</v>
      </c>
      <c r="F1130" s="736">
        <v>2015</v>
      </c>
      <c r="G1130" s="763" t="s">
        <v>115</v>
      </c>
      <c r="H1130" s="762" t="s">
        <v>162</v>
      </c>
      <c r="I1130" s="763">
        <v>300</v>
      </c>
      <c r="J1130" s="763">
        <v>2.66</v>
      </c>
      <c r="K1130" s="778">
        <f t="shared" si="201"/>
        <v>0.45340909090909087</v>
      </c>
      <c r="L1130" s="968">
        <v>0</v>
      </c>
      <c r="M1130" s="736">
        <f t="shared" si="198"/>
        <v>19</v>
      </c>
      <c r="N1130" s="764">
        <v>0.80694444444444446</v>
      </c>
      <c r="O1130" s="738">
        <f t="shared" si="199"/>
        <v>0.80694444444444446</v>
      </c>
      <c r="P1130" s="739">
        <v>0.81111111111111101</v>
      </c>
      <c r="Q1130" s="739">
        <f t="shared" si="202"/>
        <v>4.1666666666665408E-3</v>
      </c>
      <c r="R1130" s="965" t="s">
        <v>1520</v>
      </c>
      <c r="S1130" s="766" t="s">
        <v>1191</v>
      </c>
      <c r="T1130" s="277"/>
      <c r="U1130" s="758" t="str">
        <f t="shared" si="190"/>
        <v>GrayEF1</v>
      </c>
      <c r="V1130" s="758" t="str">
        <f t="shared" si="191"/>
        <v>2015EF1</v>
      </c>
      <c r="W1130" s="35">
        <v>200</v>
      </c>
      <c r="X1130" s="251">
        <v>2</v>
      </c>
      <c r="Y1130" s="468">
        <v>0.2</v>
      </c>
      <c r="Z1130" s="758"/>
      <c r="AA1130" s="758" t="str">
        <f t="shared" si="194"/>
        <v>EF1200</v>
      </c>
      <c r="AB1130" s="758" t="str">
        <f t="shared" si="195"/>
        <v>EF12</v>
      </c>
      <c r="AC1130" s="758" t="str">
        <f t="shared" si="196"/>
        <v>EF10.2</v>
      </c>
      <c r="AD1130" s="758" t="str">
        <f t="shared" si="200"/>
        <v>EF119</v>
      </c>
      <c r="AE1130" s="760"/>
      <c r="AF1130" s="760"/>
      <c r="AG1130" s="443"/>
      <c r="AH1130" s="443"/>
    </row>
    <row r="1131" spans="1:34" ht="25.5">
      <c r="A1131" s="728">
        <f t="shared" si="193"/>
        <v>1124</v>
      </c>
      <c r="B1131" s="765">
        <v>32</v>
      </c>
      <c r="C1131" s="694">
        <v>42324</v>
      </c>
      <c r="D1131" s="763" t="s">
        <v>154</v>
      </c>
      <c r="E1131" s="763">
        <v>16</v>
      </c>
      <c r="F1131" s="736">
        <v>2015</v>
      </c>
      <c r="G1131" s="763" t="s">
        <v>110</v>
      </c>
      <c r="H1131" s="762" t="s">
        <v>162</v>
      </c>
      <c r="I1131" s="763">
        <v>300</v>
      </c>
      <c r="J1131" s="763">
        <v>13.34</v>
      </c>
      <c r="K1131" s="778">
        <f t="shared" si="201"/>
        <v>2.273863636363636</v>
      </c>
      <c r="L1131" s="968">
        <v>0</v>
      </c>
      <c r="M1131" s="736">
        <f t="shared" si="198"/>
        <v>19</v>
      </c>
      <c r="N1131" s="764">
        <v>0.81111111111111101</v>
      </c>
      <c r="O1131" s="738">
        <f t="shared" si="199"/>
        <v>0.81111111111111101</v>
      </c>
      <c r="P1131" s="739">
        <v>0.8222222222222223</v>
      </c>
      <c r="Q1131" s="739">
        <f t="shared" si="202"/>
        <v>1.1111111111111294E-2</v>
      </c>
      <c r="R1131" s="965" t="s">
        <v>1520</v>
      </c>
      <c r="S1131" s="766" t="s">
        <v>1192</v>
      </c>
      <c r="T1131" s="277"/>
      <c r="U1131" s="758" t="str">
        <f t="shared" si="190"/>
        <v>RobertsEF1</v>
      </c>
      <c r="V1131" s="758" t="str">
        <f t="shared" si="191"/>
        <v>2015EF1</v>
      </c>
      <c r="W1131" s="35">
        <v>200</v>
      </c>
      <c r="X1131" s="251">
        <v>10</v>
      </c>
      <c r="Y1131" s="468">
        <v>2</v>
      </c>
      <c r="Z1131" s="758"/>
      <c r="AA1131" s="758" t="str">
        <f t="shared" si="194"/>
        <v>EF1200</v>
      </c>
      <c r="AB1131" s="758" t="str">
        <f t="shared" si="195"/>
        <v>EF110</v>
      </c>
      <c r="AC1131" s="758" t="str">
        <f t="shared" si="196"/>
        <v>EF12</v>
      </c>
      <c r="AD1131" s="758" t="str">
        <f t="shared" si="200"/>
        <v>EF119</v>
      </c>
      <c r="AE1131" s="760"/>
      <c r="AF1131" s="760"/>
      <c r="AG1131" s="443"/>
      <c r="AH1131" s="443"/>
    </row>
    <row r="1132" spans="1:34" ht="16.5">
      <c r="A1132" s="728">
        <f t="shared" si="193"/>
        <v>1125</v>
      </c>
      <c r="B1132" s="765">
        <v>33</v>
      </c>
      <c r="C1132" s="694">
        <v>42324</v>
      </c>
      <c r="D1132" s="763" t="s">
        <v>154</v>
      </c>
      <c r="E1132" s="763">
        <v>16</v>
      </c>
      <c r="F1132" s="736">
        <v>2015</v>
      </c>
      <c r="G1132" s="763" t="s">
        <v>109</v>
      </c>
      <c r="H1132" s="762" t="s">
        <v>161</v>
      </c>
      <c r="I1132" s="763">
        <v>50</v>
      </c>
      <c r="J1132" s="763">
        <v>0.56000000000000005</v>
      </c>
      <c r="K1132" s="778">
        <f t="shared" si="201"/>
        <v>1.5909090909090911E-2</v>
      </c>
      <c r="L1132" s="968">
        <v>0</v>
      </c>
      <c r="M1132" s="736">
        <f t="shared" si="198"/>
        <v>19</v>
      </c>
      <c r="N1132" s="764">
        <v>0.82152777777777775</v>
      </c>
      <c r="O1132" s="738">
        <f t="shared" si="199"/>
        <v>0.82152777777777775</v>
      </c>
      <c r="P1132" s="739">
        <v>0.8222222222222223</v>
      </c>
      <c r="Q1132" s="739">
        <f t="shared" si="202"/>
        <v>6.94444444444553E-4</v>
      </c>
      <c r="R1132" s="965" t="s">
        <v>1520</v>
      </c>
      <c r="S1132" s="766" t="s">
        <v>1193</v>
      </c>
      <c r="T1132" s="277"/>
      <c r="U1132" s="758" t="str">
        <f t="shared" si="190"/>
        <v>HutchinsonEF0</v>
      </c>
      <c r="V1132" s="758" t="str">
        <f t="shared" si="191"/>
        <v>2015EF0</v>
      </c>
      <c r="W1132" s="35">
        <v>50</v>
      </c>
      <c r="X1132" s="251">
        <v>0.5</v>
      </c>
      <c r="Y1132" s="468">
        <v>0.01</v>
      </c>
      <c r="Z1132" s="758"/>
      <c r="AA1132" s="758" t="str">
        <f t="shared" si="194"/>
        <v>EF050</v>
      </c>
      <c r="AB1132" s="758" t="str">
        <f t="shared" si="195"/>
        <v>EF00.5</v>
      </c>
      <c r="AC1132" s="758" t="str">
        <f t="shared" si="196"/>
        <v>EF00.01</v>
      </c>
      <c r="AD1132" s="758" t="str">
        <f t="shared" si="200"/>
        <v>EF019</v>
      </c>
      <c r="AE1132" s="760"/>
      <c r="AF1132" s="760"/>
      <c r="AG1132" s="443"/>
      <c r="AH1132" s="443"/>
    </row>
    <row r="1133" spans="1:34" ht="25.5">
      <c r="A1133" s="728">
        <f t="shared" si="193"/>
        <v>1126</v>
      </c>
      <c r="B1133" s="765">
        <v>34</v>
      </c>
      <c r="C1133" s="694">
        <v>42324</v>
      </c>
      <c r="D1133" s="763" t="s">
        <v>154</v>
      </c>
      <c r="E1133" s="763">
        <v>16</v>
      </c>
      <c r="F1133" s="736">
        <v>2015</v>
      </c>
      <c r="G1133" s="763" t="s">
        <v>110</v>
      </c>
      <c r="H1133" s="762" t="s">
        <v>161</v>
      </c>
      <c r="I1133" s="763">
        <v>50</v>
      </c>
      <c r="J1133" s="763">
        <v>5.72</v>
      </c>
      <c r="K1133" s="778">
        <f t="shared" si="201"/>
        <v>0.16249999999999998</v>
      </c>
      <c r="L1133" s="968">
        <v>0</v>
      </c>
      <c r="M1133" s="736">
        <f t="shared" si="198"/>
        <v>19</v>
      </c>
      <c r="N1133" s="764">
        <v>0.82291666666666663</v>
      </c>
      <c r="O1133" s="738">
        <f t="shared" si="199"/>
        <v>0.82291666666666663</v>
      </c>
      <c r="P1133" s="739">
        <v>0.82777777777777783</v>
      </c>
      <c r="Q1133" s="739">
        <f t="shared" si="202"/>
        <v>4.8611111111112049E-3</v>
      </c>
      <c r="R1133" s="965" t="s">
        <v>1520</v>
      </c>
      <c r="S1133" s="766" t="s">
        <v>1194</v>
      </c>
      <c r="T1133" s="277"/>
      <c r="U1133" s="758" t="str">
        <f t="shared" si="190"/>
        <v>RobertsEF0</v>
      </c>
      <c r="V1133" s="758" t="str">
        <f t="shared" si="191"/>
        <v>2015EF0</v>
      </c>
      <c r="W1133" s="35">
        <v>50</v>
      </c>
      <c r="X1133" s="251">
        <v>5</v>
      </c>
      <c r="Y1133" s="468">
        <v>0.1</v>
      </c>
      <c r="Z1133" s="758"/>
      <c r="AA1133" s="758" t="str">
        <f t="shared" si="194"/>
        <v>EF050</v>
      </c>
      <c r="AB1133" s="758" t="str">
        <f t="shared" si="195"/>
        <v>EF05</v>
      </c>
      <c r="AC1133" s="758" t="str">
        <f t="shared" si="196"/>
        <v>EF00.1</v>
      </c>
      <c r="AD1133" s="758" t="str">
        <f t="shared" si="200"/>
        <v>EF019</v>
      </c>
      <c r="AE1133" s="760"/>
      <c r="AF1133" s="760"/>
      <c r="AG1133" s="443"/>
      <c r="AH1133" s="443"/>
    </row>
    <row r="1134" spans="1:34" ht="25.5">
      <c r="A1134" s="728">
        <f t="shared" si="193"/>
        <v>1127</v>
      </c>
      <c r="B1134" s="765">
        <v>35</v>
      </c>
      <c r="C1134" s="694">
        <v>42324</v>
      </c>
      <c r="D1134" s="763" t="s">
        <v>154</v>
      </c>
      <c r="E1134" s="763">
        <v>16</v>
      </c>
      <c r="F1134" s="736">
        <v>2015</v>
      </c>
      <c r="G1134" s="763" t="s">
        <v>111</v>
      </c>
      <c r="H1134" s="762" t="s">
        <v>161</v>
      </c>
      <c r="I1134" s="763">
        <v>50</v>
      </c>
      <c r="J1134" s="763">
        <v>1.49</v>
      </c>
      <c r="K1134" s="778">
        <f t="shared" si="201"/>
        <v>4.2329545454545453E-2</v>
      </c>
      <c r="L1134" s="968">
        <v>0</v>
      </c>
      <c r="M1134" s="736">
        <f t="shared" si="198"/>
        <v>19</v>
      </c>
      <c r="N1134" s="764">
        <v>0.82777777777777783</v>
      </c>
      <c r="O1134" s="738">
        <f t="shared" si="199"/>
        <v>0.82777777777777783</v>
      </c>
      <c r="P1134" s="739">
        <v>0.82986111111111116</v>
      </c>
      <c r="Q1134" s="739">
        <f t="shared" si="202"/>
        <v>2.0833333333333259E-3</v>
      </c>
      <c r="R1134" s="965" t="s">
        <v>1520</v>
      </c>
      <c r="S1134" s="766" t="s">
        <v>1195</v>
      </c>
      <c r="T1134" s="277"/>
      <c r="U1134" s="758" t="str">
        <f t="shared" si="190"/>
        <v>HemphillEF0</v>
      </c>
      <c r="V1134" s="758" t="str">
        <f t="shared" si="191"/>
        <v>2015EF0</v>
      </c>
      <c r="W1134" s="35">
        <v>50</v>
      </c>
      <c r="X1134" s="251">
        <v>1</v>
      </c>
      <c r="Y1134" s="468">
        <v>0.02</v>
      </c>
      <c r="Z1134" s="758"/>
      <c r="AA1134" s="758" t="str">
        <f t="shared" si="194"/>
        <v>EF050</v>
      </c>
      <c r="AB1134" s="758" t="str">
        <f t="shared" si="195"/>
        <v>EF01</v>
      </c>
      <c r="AC1134" s="758" t="str">
        <f t="shared" si="196"/>
        <v>EF00.02</v>
      </c>
      <c r="AD1134" s="758" t="str">
        <f t="shared" si="200"/>
        <v>EF019</v>
      </c>
      <c r="AE1134" s="760"/>
      <c r="AF1134" s="760"/>
      <c r="AG1134" s="443"/>
      <c r="AH1134" s="443"/>
    </row>
    <row r="1135" spans="1:34" ht="16.5">
      <c r="A1135" s="728">
        <f t="shared" si="193"/>
        <v>1128</v>
      </c>
      <c r="B1135" s="765">
        <v>36</v>
      </c>
      <c r="C1135" s="694">
        <v>42324</v>
      </c>
      <c r="D1135" s="763" t="s">
        <v>154</v>
      </c>
      <c r="E1135" s="763">
        <v>16</v>
      </c>
      <c r="F1135" s="736">
        <v>2015</v>
      </c>
      <c r="G1135" s="763" t="s">
        <v>113</v>
      </c>
      <c r="H1135" s="762" t="s">
        <v>161</v>
      </c>
      <c r="I1135" s="763">
        <v>50</v>
      </c>
      <c r="J1135" s="763">
        <v>0.38</v>
      </c>
      <c r="K1135" s="778">
        <f t="shared" si="201"/>
        <v>1.0795454545454546E-2</v>
      </c>
      <c r="L1135" s="968">
        <v>0</v>
      </c>
      <c r="M1135" s="736">
        <f t="shared" si="198"/>
        <v>19</v>
      </c>
      <c r="N1135" s="764">
        <v>0.83194444444444438</v>
      </c>
      <c r="O1135" s="738">
        <f t="shared" si="199"/>
        <v>0.83194444444444438</v>
      </c>
      <c r="P1135" s="739">
        <v>0.83263888888888893</v>
      </c>
      <c r="Q1135" s="739">
        <f t="shared" si="202"/>
        <v>6.94444444444553E-4</v>
      </c>
      <c r="R1135" s="965" t="s">
        <v>1520</v>
      </c>
      <c r="S1135" s="766" t="s">
        <v>1196</v>
      </c>
      <c r="T1135" s="277"/>
      <c r="U1135" s="758" t="str">
        <f t="shared" si="190"/>
        <v>PotterEF0</v>
      </c>
      <c r="V1135" s="758" t="str">
        <f t="shared" si="191"/>
        <v>2015EF0</v>
      </c>
      <c r="W1135" s="35">
        <v>50</v>
      </c>
      <c r="X1135" s="251">
        <v>0.2</v>
      </c>
      <c r="Y1135" s="468">
        <v>0.01</v>
      </c>
      <c r="Z1135" s="758"/>
      <c r="AA1135" s="758" t="str">
        <f t="shared" si="194"/>
        <v>EF050</v>
      </c>
      <c r="AB1135" s="758" t="str">
        <f t="shared" si="195"/>
        <v>EF00.2</v>
      </c>
      <c r="AC1135" s="758" t="str">
        <f t="shared" si="196"/>
        <v>EF00.01</v>
      </c>
      <c r="AD1135" s="758" t="str">
        <f t="shared" si="200"/>
        <v>EF019</v>
      </c>
      <c r="AE1135" s="760"/>
      <c r="AF1135" s="760"/>
      <c r="AG1135" s="443"/>
      <c r="AH1135" s="443"/>
    </row>
    <row r="1136" spans="1:34" ht="25.5">
      <c r="A1136" s="728">
        <f t="shared" si="193"/>
        <v>1129</v>
      </c>
      <c r="B1136" s="765">
        <v>37</v>
      </c>
      <c r="C1136" s="694">
        <v>42324</v>
      </c>
      <c r="D1136" s="763" t="s">
        <v>154</v>
      </c>
      <c r="E1136" s="763">
        <v>16</v>
      </c>
      <c r="F1136" s="736">
        <v>2015</v>
      </c>
      <c r="G1136" s="763" t="s">
        <v>111</v>
      </c>
      <c r="H1136" s="762" t="s">
        <v>162</v>
      </c>
      <c r="I1136" s="763">
        <v>50</v>
      </c>
      <c r="J1136" s="763">
        <v>2.76</v>
      </c>
      <c r="K1136" s="778">
        <f t="shared" si="201"/>
        <v>7.8409090909090901E-2</v>
      </c>
      <c r="L1136" s="968">
        <v>0</v>
      </c>
      <c r="M1136" s="736">
        <f t="shared" si="198"/>
        <v>20</v>
      </c>
      <c r="N1136" s="764">
        <v>0.84722222222222221</v>
      </c>
      <c r="O1136" s="738">
        <f t="shared" si="199"/>
        <v>0.84722222222222221</v>
      </c>
      <c r="P1136" s="739">
        <v>0.85138888888888886</v>
      </c>
      <c r="Q1136" s="739">
        <f t="shared" si="202"/>
        <v>4.1666666666666519E-3</v>
      </c>
      <c r="R1136" s="965" t="s">
        <v>1520</v>
      </c>
      <c r="S1136" s="766" t="s">
        <v>1197</v>
      </c>
      <c r="T1136" s="277"/>
      <c r="U1136" s="758" t="str">
        <f t="shared" si="190"/>
        <v>HemphillEF1</v>
      </c>
      <c r="V1136" s="758" t="str">
        <f t="shared" si="191"/>
        <v>2015EF1</v>
      </c>
      <c r="W1136" s="35">
        <v>50</v>
      </c>
      <c r="X1136" s="251">
        <v>2</v>
      </c>
      <c r="Y1136" s="468">
        <v>0.05</v>
      </c>
      <c r="Z1136" s="758"/>
      <c r="AA1136" s="758" t="str">
        <f t="shared" si="194"/>
        <v>EF150</v>
      </c>
      <c r="AB1136" s="758" t="str">
        <f t="shared" si="195"/>
        <v>EF12</v>
      </c>
      <c r="AC1136" s="758" t="str">
        <f t="shared" si="196"/>
        <v>EF10.05</v>
      </c>
      <c r="AD1136" s="758" t="str">
        <f t="shared" si="200"/>
        <v>EF120</v>
      </c>
      <c r="AE1136" s="760"/>
      <c r="AF1136" s="760"/>
      <c r="AG1136" s="443"/>
      <c r="AH1136" s="443"/>
    </row>
    <row r="1137" spans="1:34" ht="38.25">
      <c r="A1137" s="728">
        <f t="shared" si="193"/>
        <v>1130</v>
      </c>
      <c r="B1137" s="765">
        <v>38</v>
      </c>
      <c r="C1137" s="694">
        <v>42324</v>
      </c>
      <c r="D1137" s="763" t="s">
        <v>154</v>
      </c>
      <c r="E1137" s="763">
        <v>16</v>
      </c>
      <c r="F1137" s="736">
        <v>2015</v>
      </c>
      <c r="G1137" s="763" t="s">
        <v>106</v>
      </c>
      <c r="H1137" s="762" t="s">
        <v>162</v>
      </c>
      <c r="I1137" s="763">
        <v>50</v>
      </c>
      <c r="J1137" s="763">
        <v>23.27</v>
      </c>
      <c r="K1137" s="778">
        <f t="shared" si="201"/>
        <v>0.66107954545454539</v>
      </c>
      <c r="L1137" s="968">
        <v>0</v>
      </c>
      <c r="M1137" s="736">
        <f t="shared" si="198"/>
        <v>20</v>
      </c>
      <c r="N1137" s="764">
        <v>0.85138888888888886</v>
      </c>
      <c r="O1137" s="738">
        <f t="shared" si="199"/>
        <v>0.85138888888888886</v>
      </c>
      <c r="P1137" s="739">
        <v>0.86875000000000002</v>
      </c>
      <c r="Q1137" s="739">
        <f t="shared" si="202"/>
        <v>1.736111111111116E-2</v>
      </c>
      <c r="R1137" s="965" t="s">
        <v>1520</v>
      </c>
      <c r="S1137" s="766" t="s">
        <v>1198</v>
      </c>
      <c r="T1137" s="277"/>
      <c r="U1137" s="758" t="str">
        <f t="shared" si="190"/>
        <v>LipscombEF1</v>
      </c>
      <c r="V1137" s="758" t="str">
        <f t="shared" si="191"/>
        <v>2015EF1</v>
      </c>
      <c r="W1137" s="35">
        <v>50</v>
      </c>
      <c r="X1137" s="251">
        <v>20</v>
      </c>
      <c r="Y1137" s="468">
        <v>0.5</v>
      </c>
      <c r="Z1137" s="758"/>
      <c r="AA1137" s="758" t="str">
        <f t="shared" si="194"/>
        <v>EF150</v>
      </c>
      <c r="AB1137" s="758" t="str">
        <f t="shared" si="195"/>
        <v>EF120</v>
      </c>
      <c r="AC1137" s="758" t="str">
        <f t="shared" si="196"/>
        <v>EF10.5</v>
      </c>
      <c r="AD1137" s="758" t="str">
        <f t="shared" si="200"/>
        <v>EF120</v>
      </c>
      <c r="AE1137" s="760"/>
      <c r="AF1137" s="760"/>
      <c r="AG1137" s="443"/>
      <c r="AH1137" s="443"/>
    </row>
    <row r="1138" spans="1:34" ht="16.5">
      <c r="A1138" s="728">
        <f t="shared" si="193"/>
        <v>1131</v>
      </c>
      <c r="B1138" s="765">
        <v>39</v>
      </c>
      <c r="C1138" s="694">
        <v>42324</v>
      </c>
      <c r="D1138" s="763" t="s">
        <v>154</v>
      </c>
      <c r="E1138" s="763">
        <v>16</v>
      </c>
      <c r="F1138" s="736">
        <v>2015</v>
      </c>
      <c r="G1138" s="763" t="s">
        <v>105</v>
      </c>
      <c r="H1138" s="762" t="s">
        <v>162</v>
      </c>
      <c r="I1138" s="763">
        <v>70</v>
      </c>
      <c r="J1138" s="763">
        <v>14.59</v>
      </c>
      <c r="K1138" s="778">
        <f t="shared" si="201"/>
        <v>0.58028409090909094</v>
      </c>
      <c r="L1138" s="968">
        <v>0</v>
      </c>
      <c r="M1138" s="736">
        <f t="shared" si="198"/>
        <v>20</v>
      </c>
      <c r="N1138" s="764">
        <v>0.85138888888888886</v>
      </c>
      <c r="O1138" s="738">
        <f t="shared" si="199"/>
        <v>0.85138888888888886</v>
      </c>
      <c r="P1138" s="739">
        <v>0.86875000000000002</v>
      </c>
      <c r="Q1138" s="739">
        <f t="shared" si="202"/>
        <v>1.736111111111116E-2</v>
      </c>
      <c r="R1138" s="965" t="s">
        <v>1520</v>
      </c>
      <c r="S1138" s="766" t="s">
        <v>1199</v>
      </c>
      <c r="T1138" s="277"/>
      <c r="U1138" s="758" t="str">
        <f t="shared" si="190"/>
        <v>OchiltreeEF1</v>
      </c>
      <c r="V1138" s="758" t="str">
        <f t="shared" si="191"/>
        <v>2015EF1</v>
      </c>
      <c r="W1138" s="35">
        <v>50</v>
      </c>
      <c r="X1138" s="251">
        <v>10</v>
      </c>
      <c r="Y1138" s="468">
        <v>0.5</v>
      </c>
      <c r="Z1138" s="758"/>
      <c r="AA1138" s="758" t="str">
        <f t="shared" si="194"/>
        <v>EF150</v>
      </c>
      <c r="AB1138" s="758" t="str">
        <f t="shared" si="195"/>
        <v>EF110</v>
      </c>
      <c r="AC1138" s="758" t="str">
        <f t="shared" si="196"/>
        <v>EF10.5</v>
      </c>
      <c r="AD1138" s="758" t="str">
        <f t="shared" si="200"/>
        <v>EF120</v>
      </c>
      <c r="AE1138" s="760"/>
      <c r="AF1138" s="760"/>
      <c r="AG1138" s="443"/>
      <c r="AH1138" s="443"/>
    </row>
    <row r="1139" spans="1:34" ht="16.5">
      <c r="A1139" s="728">
        <f t="shared" si="193"/>
        <v>1132</v>
      </c>
      <c r="B1139" s="765">
        <v>40</v>
      </c>
      <c r="C1139" s="694">
        <v>42324</v>
      </c>
      <c r="D1139" s="763" t="s">
        <v>154</v>
      </c>
      <c r="E1139" s="763">
        <v>16</v>
      </c>
      <c r="F1139" s="736">
        <v>2015</v>
      </c>
      <c r="G1139" s="763" t="s">
        <v>106</v>
      </c>
      <c r="H1139" s="762" t="s">
        <v>161</v>
      </c>
      <c r="I1139" s="763">
        <v>100</v>
      </c>
      <c r="J1139" s="763">
        <v>4.6900000000000004</v>
      </c>
      <c r="K1139" s="778">
        <f t="shared" si="201"/>
        <v>0.26647727272727273</v>
      </c>
      <c r="L1139" s="968">
        <v>0</v>
      </c>
      <c r="M1139" s="736">
        <f t="shared" si="198"/>
        <v>20</v>
      </c>
      <c r="N1139" s="764">
        <v>0.87430555555555556</v>
      </c>
      <c r="O1139" s="738">
        <f t="shared" si="199"/>
        <v>0.87430555555555556</v>
      </c>
      <c r="P1139" s="739">
        <v>0.87986111111111109</v>
      </c>
      <c r="Q1139" s="739">
        <f t="shared" si="202"/>
        <v>5.5555555555555358E-3</v>
      </c>
      <c r="R1139" s="965" t="s">
        <v>1520</v>
      </c>
      <c r="S1139" s="766" t="s">
        <v>1200</v>
      </c>
      <c r="T1139" s="277"/>
      <c r="U1139" s="758" t="str">
        <f t="shared" si="190"/>
        <v>LipscombEF0</v>
      </c>
      <c r="V1139" s="758" t="str">
        <f t="shared" si="191"/>
        <v>2015EF0</v>
      </c>
      <c r="W1139" s="35">
        <v>100</v>
      </c>
      <c r="X1139" s="251">
        <v>2</v>
      </c>
      <c r="Y1139" s="468">
        <v>0.2</v>
      </c>
      <c r="Z1139" s="758"/>
      <c r="AA1139" s="758" t="str">
        <f t="shared" si="194"/>
        <v>EF0100</v>
      </c>
      <c r="AB1139" s="758" t="str">
        <f t="shared" si="195"/>
        <v>EF02</v>
      </c>
      <c r="AC1139" s="758" t="str">
        <f t="shared" si="196"/>
        <v>EF00.2</v>
      </c>
      <c r="AD1139" s="758" t="str">
        <f t="shared" si="200"/>
        <v>EF020</v>
      </c>
      <c r="AE1139" s="760"/>
      <c r="AF1139" s="760"/>
      <c r="AG1139" s="443"/>
      <c r="AH1139" s="443"/>
    </row>
    <row r="1140" spans="1:34" ht="16.5">
      <c r="A1140" s="728">
        <f t="shared" si="193"/>
        <v>1133</v>
      </c>
      <c r="B1140" s="765">
        <v>41</v>
      </c>
      <c r="C1140" s="694">
        <v>42324</v>
      </c>
      <c r="D1140" s="763" t="s">
        <v>154</v>
      </c>
      <c r="E1140" s="763">
        <v>16</v>
      </c>
      <c r="F1140" s="736">
        <v>2015</v>
      </c>
      <c r="G1140" s="763" t="s">
        <v>101</v>
      </c>
      <c r="H1140" s="762" t="s">
        <v>162</v>
      </c>
      <c r="I1140" s="763">
        <v>500</v>
      </c>
      <c r="J1140" s="763">
        <v>8.93</v>
      </c>
      <c r="K1140" s="778">
        <f t="shared" si="201"/>
        <v>2.5369318181818183</v>
      </c>
      <c r="L1140" s="968">
        <v>0</v>
      </c>
      <c r="M1140" s="736">
        <f t="shared" si="198"/>
        <v>21</v>
      </c>
      <c r="N1140" s="764">
        <v>0.89166666666666661</v>
      </c>
      <c r="O1140" s="738">
        <f t="shared" si="199"/>
        <v>0.89166666666666661</v>
      </c>
      <c r="P1140" s="739">
        <v>0.90069444444444446</v>
      </c>
      <c r="Q1140" s="739">
        <f t="shared" si="202"/>
        <v>9.0277777777778567E-3</v>
      </c>
      <c r="R1140" s="965" t="s">
        <v>1520</v>
      </c>
      <c r="S1140" s="766" t="s">
        <v>1201</v>
      </c>
      <c r="T1140" s="277"/>
      <c r="U1140" s="758" t="str">
        <f t="shared" si="190"/>
        <v>BeaverEF1</v>
      </c>
      <c r="V1140" s="758" t="str">
        <f t="shared" si="191"/>
        <v>2015EF1</v>
      </c>
      <c r="W1140" s="35">
        <v>500</v>
      </c>
      <c r="X1140" s="251">
        <v>5</v>
      </c>
      <c r="Y1140" s="468">
        <v>2</v>
      </c>
      <c r="Z1140" s="758"/>
      <c r="AA1140" s="758" t="str">
        <f t="shared" si="194"/>
        <v>EF1500</v>
      </c>
      <c r="AB1140" s="758" t="str">
        <f t="shared" si="195"/>
        <v>EF15</v>
      </c>
      <c r="AC1140" s="758" t="str">
        <f t="shared" si="196"/>
        <v>EF12</v>
      </c>
      <c r="AD1140" s="758" t="str">
        <f t="shared" si="200"/>
        <v>EF121</v>
      </c>
      <c r="AE1140" s="760"/>
      <c r="AF1140" s="760"/>
      <c r="AG1140" s="443"/>
      <c r="AH1140" s="443"/>
    </row>
    <row r="1141" spans="1:34" ht="38.25">
      <c r="A1141" s="728">
        <f t="shared" si="193"/>
        <v>1134</v>
      </c>
      <c r="B1141" s="765">
        <v>42</v>
      </c>
      <c r="C1141" s="694">
        <v>42350</v>
      </c>
      <c r="D1141" s="763" t="s">
        <v>155</v>
      </c>
      <c r="E1141" s="763">
        <v>12</v>
      </c>
      <c r="F1141" s="736">
        <v>2015</v>
      </c>
      <c r="G1141" s="763" t="s">
        <v>115</v>
      </c>
      <c r="H1141" s="762" t="s">
        <v>161</v>
      </c>
      <c r="I1141" s="763">
        <v>50</v>
      </c>
      <c r="J1141" s="763">
        <v>0.04</v>
      </c>
      <c r="K1141" s="778">
        <f t="shared" si="201"/>
        <v>1.1363636363636363E-3</v>
      </c>
      <c r="L1141" s="968">
        <v>0</v>
      </c>
      <c r="M1141" s="736">
        <f t="shared" si="198"/>
        <v>17</v>
      </c>
      <c r="N1141" s="764">
        <v>0.74513888888888891</v>
      </c>
      <c r="O1141" s="738">
        <f t="shared" si="199"/>
        <v>0.74513888888888891</v>
      </c>
      <c r="P1141" s="739">
        <v>0.74583333333333324</v>
      </c>
      <c r="Q1141" s="739">
        <f t="shared" si="202"/>
        <v>6.9444444444433095E-4</v>
      </c>
      <c r="R1141" s="965" t="s">
        <v>1520</v>
      </c>
      <c r="S1141" s="766" t="s">
        <v>1202</v>
      </c>
      <c r="T1141" s="277"/>
      <c r="U1141" s="758" t="str">
        <f t="shared" si="190"/>
        <v>GrayEF0</v>
      </c>
      <c r="V1141" s="758" t="str">
        <f t="shared" si="191"/>
        <v>2015EF0</v>
      </c>
      <c r="W1141" s="35">
        <v>50</v>
      </c>
      <c r="X1141" s="251">
        <v>0.02</v>
      </c>
      <c r="Y1141" s="468">
        <v>1E-3</v>
      </c>
      <c r="Z1141" s="758"/>
      <c r="AA1141" s="758" t="str">
        <f t="shared" si="194"/>
        <v>EF050</v>
      </c>
      <c r="AB1141" s="758" t="str">
        <f t="shared" si="195"/>
        <v>EF00.02</v>
      </c>
      <c r="AC1141" s="758" t="str">
        <f t="shared" si="196"/>
        <v>EF00.001</v>
      </c>
      <c r="AD1141" s="758" t="str">
        <f t="shared" si="200"/>
        <v>EF017</v>
      </c>
      <c r="AE1141" s="760"/>
      <c r="AF1141" s="760"/>
      <c r="AG1141" s="443"/>
      <c r="AH1141" s="443"/>
    </row>
    <row r="1142" spans="1:34" ht="51">
      <c r="A1142" s="728">
        <f t="shared" si="193"/>
        <v>1135</v>
      </c>
      <c r="B1142" s="765">
        <v>1</v>
      </c>
      <c r="C1142" s="694">
        <v>42475</v>
      </c>
      <c r="D1142" s="763" t="s">
        <v>147</v>
      </c>
      <c r="E1142" s="763">
        <v>15</v>
      </c>
      <c r="F1142" s="762">
        <v>2016</v>
      </c>
      <c r="G1142" s="763" t="s">
        <v>100</v>
      </c>
      <c r="H1142" s="762" t="s">
        <v>161</v>
      </c>
      <c r="I1142" s="763">
        <v>50</v>
      </c>
      <c r="J1142" s="763">
        <v>1.07</v>
      </c>
      <c r="K1142" s="778">
        <f t="shared" si="201"/>
        <v>3.0397727272727274E-2</v>
      </c>
      <c r="L1142" s="968">
        <v>0</v>
      </c>
      <c r="M1142" s="736">
        <f t="shared" si="198"/>
        <v>18</v>
      </c>
      <c r="N1142" s="764">
        <v>0.78472222222222221</v>
      </c>
      <c r="O1142" s="738">
        <f t="shared" si="199"/>
        <v>0.78472222222222221</v>
      </c>
      <c r="P1142" s="739">
        <v>0.78541666666666676</v>
      </c>
      <c r="Q1142" s="739">
        <f t="shared" si="202"/>
        <v>6.94444444444553E-4</v>
      </c>
      <c r="R1142" s="965" t="s">
        <v>1520</v>
      </c>
      <c r="S1142" s="766" t="s">
        <v>1242</v>
      </c>
      <c r="T1142" s="277"/>
      <c r="U1142" s="758" t="str">
        <f t="shared" si="190"/>
        <v>TexasEF0</v>
      </c>
      <c r="V1142" s="758" t="str">
        <f t="shared" si="191"/>
        <v>2016EF0</v>
      </c>
      <c r="W1142" s="35">
        <v>50</v>
      </c>
      <c r="X1142" s="251">
        <v>1</v>
      </c>
      <c r="Y1142" s="468">
        <v>0.02</v>
      </c>
      <c r="Z1142" s="758"/>
      <c r="AA1142" s="758" t="str">
        <f t="shared" si="194"/>
        <v>EF050</v>
      </c>
      <c r="AB1142" s="758" t="str">
        <f t="shared" si="195"/>
        <v>EF01</v>
      </c>
      <c r="AC1142" s="758" t="str">
        <f t="shared" si="196"/>
        <v>EF00.02</v>
      </c>
      <c r="AD1142" s="758" t="str">
        <f t="shared" si="200"/>
        <v>EF018</v>
      </c>
      <c r="AE1142" s="760"/>
      <c r="AF1142" s="760"/>
      <c r="AG1142" s="443"/>
      <c r="AH1142" s="443"/>
    </row>
    <row r="1143" spans="1:34" ht="16.5">
      <c r="A1143" s="728">
        <f t="shared" si="193"/>
        <v>1136</v>
      </c>
      <c r="B1143" s="765">
        <v>2</v>
      </c>
      <c r="C1143" s="694">
        <v>42475</v>
      </c>
      <c r="D1143" s="763" t="s">
        <v>147</v>
      </c>
      <c r="E1143" s="763">
        <v>15</v>
      </c>
      <c r="F1143" s="762">
        <v>2016</v>
      </c>
      <c r="G1143" s="763" t="s">
        <v>100</v>
      </c>
      <c r="H1143" s="762" t="s">
        <v>162</v>
      </c>
      <c r="I1143" s="763">
        <v>60</v>
      </c>
      <c r="J1143" s="763">
        <v>1.07</v>
      </c>
      <c r="K1143" s="778">
        <f t="shared" si="201"/>
        <v>3.6477272727272726E-2</v>
      </c>
      <c r="L1143" s="968">
        <v>0</v>
      </c>
      <c r="M1143" s="736">
        <f t="shared" si="198"/>
        <v>18</v>
      </c>
      <c r="N1143" s="764">
        <v>0.78888888888888886</v>
      </c>
      <c r="O1143" s="738">
        <f t="shared" si="199"/>
        <v>0.78888888888888886</v>
      </c>
      <c r="P1143" s="739">
        <v>0.7909722222222223</v>
      </c>
      <c r="Q1143" s="739">
        <f t="shared" si="202"/>
        <v>2.083333333333437E-3</v>
      </c>
      <c r="R1143" s="965" t="s">
        <v>1520</v>
      </c>
      <c r="S1143" s="766" t="s">
        <v>1237</v>
      </c>
      <c r="T1143" s="277"/>
      <c r="U1143" s="758" t="str">
        <f t="shared" si="190"/>
        <v>TexasEF1</v>
      </c>
      <c r="V1143" s="758" t="str">
        <f t="shared" si="191"/>
        <v>2016EF1</v>
      </c>
      <c r="W1143" s="35">
        <v>50</v>
      </c>
      <c r="X1143" s="251">
        <v>1</v>
      </c>
      <c r="Y1143" s="468">
        <v>0.02</v>
      </c>
      <c r="Z1143" s="758"/>
      <c r="AA1143" s="758" t="str">
        <f t="shared" si="194"/>
        <v>EF150</v>
      </c>
      <c r="AB1143" s="758" t="str">
        <f t="shared" si="195"/>
        <v>EF11</v>
      </c>
      <c r="AC1143" s="758" t="str">
        <f t="shared" si="196"/>
        <v>EF10.02</v>
      </c>
      <c r="AD1143" s="758" t="str">
        <f t="shared" si="200"/>
        <v>EF118</v>
      </c>
      <c r="AE1143" s="760"/>
      <c r="AF1143" s="760"/>
      <c r="AG1143" s="443"/>
      <c r="AH1143" s="443"/>
    </row>
    <row r="1144" spans="1:34" ht="16.5">
      <c r="A1144" s="728">
        <f t="shared" si="193"/>
        <v>1137</v>
      </c>
      <c r="B1144" s="765">
        <v>3</v>
      </c>
      <c r="C1144" s="694">
        <v>42475</v>
      </c>
      <c r="D1144" s="763" t="s">
        <v>147</v>
      </c>
      <c r="E1144" s="763">
        <v>15</v>
      </c>
      <c r="F1144" s="762">
        <v>2016</v>
      </c>
      <c r="G1144" s="763" t="s">
        <v>100</v>
      </c>
      <c r="H1144" s="762" t="s">
        <v>161</v>
      </c>
      <c r="I1144" s="763">
        <v>50</v>
      </c>
      <c r="J1144" s="763">
        <v>0.91</v>
      </c>
      <c r="K1144" s="778">
        <f t="shared" si="201"/>
        <v>2.5852272727272727E-2</v>
      </c>
      <c r="L1144" s="968">
        <v>0</v>
      </c>
      <c r="M1144" s="736">
        <f t="shared" si="198"/>
        <v>19</v>
      </c>
      <c r="N1144" s="764">
        <v>0.79305555555555562</v>
      </c>
      <c r="O1144" s="738">
        <f t="shared" si="199"/>
        <v>0.79305555555555562</v>
      </c>
      <c r="P1144" s="739">
        <v>0.7944444444444444</v>
      </c>
      <c r="Q1144" s="739">
        <f t="shared" si="202"/>
        <v>1.3888888888887729E-3</v>
      </c>
      <c r="R1144" s="965" t="s">
        <v>1520</v>
      </c>
      <c r="S1144" s="766" t="s">
        <v>1238</v>
      </c>
      <c r="T1144" s="277"/>
      <c r="U1144" s="758" t="str">
        <f t="shared" si="190"/>
        <v>TexasEF0</v>
      </c>
      <c r="V1144" s="758" t="str">
        <f t="shared" si="191"/>
        <v>2016EF0</v>
      </c>
      <c r="W1144" s="35">
        <v>50</v>
      </c>
      <c r="X1144" s="251">
        <v>0.5</v>
      </c>
      <c r="Y1144" s="468">
        <v>0.02</v>
      </c>
      <c r="Z1144" s="758"/>
      <c r="AA1144" s="758" t="str">
        <f t="shared" si="194"/>
        <v>EF050</v>
      </c>
      <c r="AB1144" s="758" t="str">
        <f t="shared" si="195"/>
        <v>EF00.5</v>
      </c>
      <c r="AC1144" s="758" t="str">
        <f t="shared" si="196"/>
        <v>EF00.02</v>
      </c>
      <c r="AD1144" s="758" t="str">
        <f t="shared" si="200"/>
        <v>EF019</v>
      </c>
      <c r="AE1144" s="760"/>
      <c r="AF1144" s="760"/>
      <c r="AG1144" s="443"/>
      <c r="AH1144" s="443"/>
    </row>
    <row r="1145" spans="1:34" ht="16.5">
      <c r="A1145" s="728">
        <f t="shared" si="193"/>
        <v>1138</v>
      </c>
      <c r="B1145" s="765">
        <v>4</v>
      </c>
      <c r="C1145" s="694">
        <v>42475</v>
      </c>
      <c r="D1145" s="763" t="s">
        <v>147</v>
      </c>
      <c r="E1145" s="763">
        <v>15</v>
      </c>
      <c r="F1145" s="762">
        <v>2016</v>
      </c>
      <c r="G1145" s="763" t="s">
        <v>100</v>
      </c>
      <c r="H1145" s="762" t="s">
        <v>161</v>
      </c>
      <c r="I1145" s="763">
        <v>50</v>
      </c>
      <c r="J1145" s="763">
        <v>1</v>
      </c>
      <c r="K1145" s="778">
        <f t="shared" si="201"/>
        <v>2.8409090909090908E-2</v>
      </c>
      <c r="L1145" s="968">
        <v>0</v>
      </c>
      <c r="M1145" s="736">
        <f t="shared" si="198"/>
        <v>19</v>
      </c>
      <c r="N1145" s="764">
        <v>0.8027777777777777</v>
      </c>
      <c r="O1145" s="738">
        <f t="shared" si="199"/>
        <v>0.8027777777777777</v>
      </c>
      <c r="P1145" s="739">
        <v>0.80555555555555547</v>
      </c>
      <c r="Q1145" s="739">
        <f t="shared" si="202"/>
        <v>2.7777777777777679E-3</v>
      </c>
      <c r="R1145" s="965" t="s">
        <v>1520</v>
      </c>
      <c r="S1145" s="766" t="s">
        <v>1239</v>
      </c>
      <c r="T1145" s="277"/>
      <c r="U1145" s="758" t="str">
        <f t="shared" si="190"/>
        <v>TexasEF0</v>
      </c>
      <c r="V1145" s="758" t="str">
        <f t="shared" si="191"/>
        <v>2016EF0</v>
      </c>
      <c r="W1145" s="35">
        <v>50</v>
      </c>
      <c r="X1145" s="251">
        <v>1</v>
      </c>
      <c r="Y1145" s="468">
        <v>0.02</v>
      </c>
      <c r="Z1145" s="758"/>
      <c r="AA1145" s="758" t="str">
        <f t="shared" si="194"/>
        <v>EF050</v>
      </c>
      <c r="AB1145" s="758" t="str">
        <f t="shared" si="195"/>
        <v>EF01</v>
      </c>
      <c r="AC1145" s="758" t="str">
        <f t="shared" si="196"/>
        <v>EF00.02</v>
      </c>
      <c r="AD1145" s="758" t="str">
        <f t="shared" si="200"/>
        <v>EF019</v>
      </c>
      <c r="AE1145" s="760"/>
      <c r="AF1145" s="760"/>
      <c r="AG1145" s="443"/>
      <c r="AH1145" s="443"/>
    </row>
    <row r="1146" spans="1:34" ht="16.5">
      <c r="A1146" s="728">
        <f t="shared" si="193"/>
        <v>1139</v>
      </c>
      <c r="B1146" s="765">
        <v>5</v>
      </c>
      <c r="C1146" s="694">
        <v>42475</v>
      </c>
      <c r="D1146" s="763" t="s">
        <v>147</v>
      </c>
      <c r="E1146" s="763">
        <v>15</v>
      </c>
      <c r="F1146" s="762">
        <v>2016</v>
      </c>
      <c r="G1146" s="763" t="s">
        <v>100</v>
      </c>
      <c r="H1146" s="762" t="s">
        <v>161</v>
      </c>
      <c r="I1146" s="763">
        <v>25</v>
      </c>
      <c r="J1146" s="763">
        <v>0.78</v>
      </c>
      <c r="K1146" s="778">
        <f t="shared" si="201"/>
        <v>1.1079545454545455E-2</v>
      </c>
      <c r="L1146" s="968">
        <v>0</v>
      </c>
      <c r="M1146" s="736">
        <f t="shared" si="198"/>
        <v>19</v>
      </c>
      <c r="N1146" s="764">
        <v>0.80486111111111114</v>
      </c>
      <c r="O1146" s="738">
        <f t="shared" si="199"/>
        <v>0.80486111111111114</v>
      </c>
      <c r="P1146" s="739">
        <v>0.80625000000000002</v>
      </c>
      <c r="Q1146" s="739">
        <f t="shared" si="202"/>
        <v>1.388888888888884E-3</v>
      </c>
      <c r="R1146" s="965" t="s">
        <v>1520</v>
      </c>
      <c r="S1146" s="766" t="s">
        <v>1240</v>
      </c>
      <c r="T1146" s="277"/>
      <c r="U1146" s="758" t="str">
        <f t="shared" si="190"/>
        <v>TexasEF0</v>
      </c>
      <c r="V1146" s="758" t="str">
        <f t="shared" si="191"/>
        <v>2016EF0</v>
      </c>
      <c r="W1146" s="35">
        <v>20</v>
      </c>
      <c r="X1146" s="251">
        <v>0.5</v>
      </c>
      <c r="Y1146" s="468">
        <v>0.01</v>
      </c>
      <c r="Z1146" s="758"/>
      <c r="AA1146" s="758" t="str">
        <f t="shared" si="194"/>
        <v>EF020</v>
      </c>
      <c r="AB1146" s="758" t="str">
        <f t="shared" si="195"/>
        <v>EF00.5</v>
      </c>
      <c r="AC1146" s="758" t="str">
        <f t="shared" si="196"/>
        <v>EF00.01</v>
      </c>
      <c r="AD1146" s="758" t="str">
        <f t="shared" si="200"/>
        <v>EF019</v>
      </c>
      <c r="AE1146" s="760"/>
      <c r="AF1146" s="760"/>
      <c r="AG1146" s="443"/>
      <c r="AH1146" s="443"/>
    </row>
    <row r="1147" spans="1:34" ht="16.5">
      <c r="A1147" s="728">
        <f t="shared" si="193"/>
        <v>1140</v>
      </c>
      <c r="B1147" s="765">
        <v>6</v>
      </c>
      <c r="C1147" s="694">
        <v>42475</v>
      </c>
      <c r="D1147" s="763" t="s">
        <v>147</v>
      </c>
      <c r="E1147" s="763">
        <v>15</v>
      </c>
      <c r="F1147" s="762">
        <v>2016</v>
      </c>
      <c r="G1147" s="763" t="s">
        <v>112</v>
      </c>
      <c r="H1147" s="762" t="s">
        <v>161</v>
      </c>
      <c r="I1147" s="763">
        <v>50</v>
      </c>
      <c r="J1147" s="763">
        <v>0.8</v>
      </c>
      <c r="K1147" s="778">
        <f t="shared" si="201"/>
        <v>2.2727272727272728E-2</v>
      </c>
      <c r="L1147" s="968">
        <v>0</v>
      </c>
      <c r="M1147" s="736">
        <f t="shared" si="198"/>
        <v>20</v>
      </c>
      <c r="N1147" s="764">
        <v>0.86805555555555547</v>
      </c>
      <c r="O1147" s="738">
        <f t="shared" si="199"/>
        <v>0.86805555555555547</v>
      </c>
      <c r="P1147" s="739">
        <v>0.86875000000000002</v>
      </c>
      <c r="Q1147" s="739">
        <f t="shared" si="202"/>
        <v>6.94444444444553E-4</v>
      </c>
      <c r="R1147" s="965" t="s">
        <v>1520</v>
      </c>
      <c r="S1147" s="766" t="s">
        <v>1241</v>
      </c>
      <c r="T1147" s="277"/>
      <c r="U1147" s="758" t="str">
        <f t="shared" si="190"/>
        <v>OldhamEF0</v>
      </c>
      <c r="V1147" s="758" t="str">
        <f t="shared" si="191"/>
        <v>2016EF0</v>
      </c>
      <c r="W1147" s="35">
        <v>50</v>
      </c>
      <c r="X1147" s="251">
        <v>0.5</v>
      </c>
      <c r="Y1147" s="468">
        <v>0.02</v>
      </c>
      <c r="Z1147" s="758"/>
      <c r="AA1147" s="758" t="str">
        <f t="shared" si="194"/>
        <v>EF050</v>
      </c>
      <c r="AB1147" s="758" t="str">
        <f t="shared" si="195"/>
        <v>EF00.5</v>
      </c>
      <c r="AC1147" s="758" t="str">
        <f t="shared" si="196"/>
        <v>EF00.02</v>
      </c>
      <c r="AD1147" s="758" t="str">
        <f t="shared" si="200"/>
        <v>EF020</v>
      </c>
      <c r="AE1147" s="760"/>
      <c r="AF1147" s="760"/>
      <c r="AG1147" s="443"/>
      <c r="AH1147" s="443"/>
    </row>
    <row r="1148" spans="1:34" ht="63.75">
      <c r="A1148" s="728">
        <f t="shared" si="193"/>
        <v>1141</v>
      </c>
      <c r="B1148" s="765">
        <v>7</v>
      </c>
      <c r="C1148" s="694">
        <v>42506</v>
      </c>
      <c r="D1148" s="763" t="s">
        <v>148</v>
      </c>
      <c r="E1148" s="763">
        <v>16</v>
      </c>
      <c r="F1148" s="762">
        <v>2016</v>
      </c>
      <c r="G1148" s="763" t="s">
        <v>99</v>
      </c>
      <c r="H1148" s="762" t="s">
        <v>161</v>
      </c>
      <c r="I1148" s="763">
        <v>25</v>
      </c>
      <c r="J1148" s="763">
        <v>0.52</v>
      </c>
      <c r="K1148" s="778">
        <f t="shared" si="201"/>
        <v>7.3863636363636362E-3</v>
      </c>
      <c r="L1148" s="968">
        <v>0</v>
      </c>
      <c r="M1148" s="736">
        <f t="shared" si="198"/>
        <v>15</v>
      </c>
      <c r="N1148" s="764">
        <v>0.65208333333333335</v>
      </c>
      <c r="O1148" s="738">
        <f t="shared" si="199"/>
        <v>0.65208333333333335</v>
      </c>
      <c r="P1148" s="739">
        <v>0.65277777777777779</v>
      </c>
      <c r="Q1148" s="739">
        <f t="shared" si="202"/>
        <v>6.9444444444444198E-4</v>
      </c>
      <c r="R1148" s="965" t="s">
        <v>1520</v>
      </c>
      <c r="S1148" s="766" t="s">
        <v>1250</v>
      </c>
      <c r="T1148" s="277"/>
      <c r="U1148" s="758" t="str">
        <f t="shared" si="190"/>
        <v>CimarronEF0</v>
      </c>
      <c r="V1148" s="758" t="str">
        <f t="shared" si="191"/>
        <v>2016EF0</v>
      </c>
      <c r="W1148" s="35">
        <v>20</v>
      </c>
      <c r="X1148" s="251">
        <v>0.5</v>
      </c>
      <c r="Y1148" s="468">
        <v>5.0000000000000001E-3</v>
      </c>
      <c r="Z1148" s="758"/>
      <c r="AA1148" s="758" t="str">
        <f t="shared" si="194"/>
        <v>EF020</v>
      </c>
      <c r="AB1148" s="758" t="str">
        <f t="shared" si="195"/>
        <v>EF00.5</v>
      </c>
      <c r="AC1148" s="758" t="str">
        <f t="shared" si="196"/>
        <v>EF00.005</v>
      </c>
      <c r="AD1148" s="758" t="str">
        <f t="shared" si="200"/>
        <v>EF015</v>
      </c>
      <c r="AE1148" s="760"/>
      <c r="AF1148" s="760"/>
      <c r="AG1148" s="443"/>
      <c r="AH1148" s="443"/>
    </row>
    <row r="1149" spans="1:34" ht="16.5">
      <c r="A1149" s="728">
        <f t="shared" si="193"/>
        <v>1142</v>
      </c>
      <c r="B1149" s="765">
        <v>8</v>
      </c>
      <c r="C1149" s="694">
        <v>42506</v>
      </c>
      <c r="D1149" s="763" t="s">
        <v>148</v>
      </c>
      <c r="E1149" s="763">
        <v>16</v>
      </c>
      <c r="F1149" s="762">
        <v>2016</v>
      </c>
      <c r="G1149" s="763" t="s">
        <v>99</v>
      </c>
      <c r="H1149" s="762" t="s">
        <v>161</v>
      </c>
      <c r="I1149" s="763">
        <v>25</v>
      </c>
      <c r="J1149" s="763">
        <v>0.31</v>
      </c>
      <c r="K1149" s="778">
        <f t="shared" si="201"/>
        <v>4.4034090909090906E-3</v>
      </c>
      <c r="L1149" s="968">
        <v>0</v>
      </c>
      <c r="M1149" s="736">
        <f t="shared" si="198"/>
        <v>15</v>
      </c>
      <c r="N1149" s="764">
        <v>0.6645833333333333</v>
      </c>
      <c r="O1149" s="738">
        <f t="shared" si="199"/>
        <v>0.6645833333333333</v>
      </c>
      <c r="P1149" s="739">
        <v>0.66527777777777775</v>
      </c>
      <c r="Q1149" s="739">
        <f t="shared" si="202"/>
        <v>6.9444444444444198E-4</v>
      </c>
      <c r="R1149" s="965" t="s">
        <v>1520</v>
      </c>
      <c r="S1149" s="766" t="s">
        <v>1244</v>
      </c>
      <c r="T1149" s="277"/>
      <c r="U1149" s="758" t="str">
        <f t="shared" si="190"/>
        <v>CimarronEF0</v>
      </c>
      <c r="V1149" s="758" t="str">
        <f t="shared" si="191"/>
        <v>2016EF0</v>
      </c>
      <c r="W1149" s="35">
        <v>20</v>
      </c>
      <c r="X1149" s="251">
        <v>0.2</v>
      </c>
      <c r="Y1149" s="468">
        <v>2E-3</v>
      </c>
      <c r="Z1149" s="758"/>
      <c r="AA1149" s="758" t="str">
        <f t="shared" si="194"/>
        <v>EF020</v>
      </c>
      <c r="AB1149" s="758" t="str">
        <f t="shared" si="195"/>
        <v>EF00.2</v>
      </c>
      <c r="AC1149" s="758" t="str">
        <f t="shared" si="196"/>
        <v>EF00.002</v>
      </c>
      <c r="AD1149" s="758" t="str">
        <f t="shared" si="200"/>
        <v>EF015</v>
      </c>
      <c r="AE1149" s="760"/>
      <c r="AF1149" s="760"/>
      <c r="AG1149" s="443"/>
      <c r="AH1149" s="443"/>
    </row>
    <row r="1150" spans="1:34" ht="16.5">
      <c r="A1150" s="728">
        <f t="shared" si="193"/>
        <v>1143</v>
      </c>
      <c r="B1150" s="765">
        <v>9</v>
      </c>
      <c r="C1150" s="694">
        <v>42506</v>
      </c>
      <c r="D1150" s="763" t="s">
        <v>148</v>
      </c>
      <c r="E1150" s="763">
        <v>16</v>
      </c>
      <c r="F1150" s="762">
        <v>2016</v>
      </c>
      <c r="G1150" s="763" t="s">
        <v>102</v>
      </c>
      <c r="H1150" s="762" t="s">
        <v>162</v>
      </c>
      <c r="I1150" s="763">
        <v>25</v>
      </c>
      <c r="J1150" s="763">
        <v>0.87</v>
      </c>
      <c r="K1150" s="778">
        <f t="shared" si="201"/>
        <v>1.2357954545454545E-2</v>
      </c>
      <c r="L1150" s="968">
        <v>0</v>
      </c>
      <c r="M1150" s="736">
        <f t="shared" si="198"/>
        <v>16</v>
      </c>
      <c r="N1150" s="764">
        <v>0.69444444444444453</v>
      </c>
      <c r="O1150" s="738">
        <f t="shared" si="199"/>
        <v>0.69444444444444453</v>
      </c>
      <c r="P1150" s="739">
        <v>0.6958333333333333</v>
      </c>
      <c r="Q1150" s="739">
        <f t="shared" si="202"/>
        <v>1.3888888888887729E-3</v>
      </c>
      <c r="R1150" s="965" t="s">
        <v>1520</v>
      </c>
      <c r="S1150" s="766" t="s">
        <v>1245</v>
      </c>
      <c r="T1150" s="277"/>
      <c r="U1150" s="758" t="str">
        <f t="shared" si="190"/>
        <v>DallamEF1</v>
      </c>
      <c r="V1150" s="758" t="str">
        <f t="shared" si="191"/>
        <v>2016EF1</v>
      </c>
      <c r="W1150" s="35">
        <v>20</v>
      </c>
      <c r="X1150" s="251">
        <v>0.5</v>
      </c>
      <c r="Y1150" s="468">
        <v>0.01</v>
      </c>
      <c r="Z1150" s="758"/>
      <c r="AA1150" s="758" t="str">
        <f t="shared" si="194"/>
        <v>EF120</v>
      </c>
      <c r="AB1150" s="758" t="str">
        <f t="shared" si="195"/>
        <v>EF10.5</v>
      </c>
      <c r="AC1150" s="758" t="str">
        <f t="shared" si="196"/>
        <v>EF10.01</v>
      </c>
      <c r="AD1150" s="758" t="str">
        <f t="shared" si="200"/>
        <v>EF116</v>
      </c>
      <c r="AE1150" s="760"/>
      <c r="AF1150" s="760"/>
      <c r="AG1150" s="443"/>
      <c r="AH1150" s="443"/>
    </row>
    <row r="1151" spans="1:34" ht="16.5">
      <c r="A1151" s="728">
        <f t="shared" si="193"/>
        <v>1144</v>
      </c>
      <c r="B1151" s="765">
        <v>10</v>
      </c>
      <c r="C1151" s="694">
        <v>42506</v>
      </c>
      <c r="D1151" s="763" t="s">
        <v>148</v>
      </c>
      <c r="E1151" s="763">
        <v>16</v>
      </c>
      <c r="F1151" s="762">
        <v>2016</v>
      </c>
      <c r="G1151" s="763" t="s">
        <v>102</v>
      </c>
      <c r="H1151" s="762" t="s">
        <v>161</v>
      </c>
      <c r="I1151" s="763">
        <v>50</v>
      </c>
      <c r="J1151" s="763">
        <v>0.2</v>
      </c>
      <c r="K1151" s="778">
        <f t="shared" si="201"/>
        <v>5.681818181818182E-3</v>
      </c>
      <c r="L1151" s="968">
        <v>0</v>
      </c>
      <c r="M1151" s="736">
        <f t="shared" si="198"/>
        <v>17</v>
      </c>
      <c r="N1151" s="764">
        <v>0.71250000000000002</v>
      </c>
      <c r="O1151" s="738">
        <f t="shared" si="199"/>
        <v>0.71250000000000002</v>
      </c>
      <c r="P1151" s="739">
        <v>0.71319444444444446</v>
      </c>
      <c r="Q1151" s="739">
        <f t="shared" si="202"/>
        <v>6.9444444444444198E-4</v>
      </c>
      <c r="R1151" s="965" t="s">
        <v>1520</v>
      </c>
      <c r="S1151" s="766" t="s">
        <v>1246</v>
      </c>
      <c r="T1151" s="277"/>
      <c r="U1151" s="758" t="str">
        <f t="shared" si="190"/>
        <v>DallamEF0</v>
      </c>
      <c r="V1151" s="758" t="str">
        <f t="shared" si="191"/>
        <v>2016EF0</v>
      </c>
      <c r="W1151" s="35">
        <v>50</v>
      </c>
      <c r="X1151" s="251">
        <v>0.2</v>
      </c>
      <c r="Y1151" s="468">
        <v>5.0000000000000001E-3</v>
      </c>
      <c r="Z1151" s="758"/>
      <c r="AA1151" s="758" t="str">
        <f t="shared" si="194"/>
        <v>EF050</v>
      </c>
      <c r="AB1151" s="758" t="str">
        <f t="shared" si="195"/>
        <v>EF00.2</v>
      </c>
      <c r="AC1151" s="758" t="str">
        <f t="shared" si="196"/>
        <v>EF00.005</v>
      </c>
      <c r="AD1151" s="758" t="str">
        <f t="shared" si="200"/>
        <v>EF017</v>
      </c>
      <c r="AE1151" s="760"/>
      <c r="AF1151" s="760"/>
      <c r="AG1151" s="443"/>
      <c r="AH1151" s="443"/>
    </row>
    <row r="1152" spans="1:34" ht="16.5">
      <c r="A1152" s="728">
        <f t="shared" si="193"/>
        <v>1145</v>
      </c>
      <c r="B1152" s="765">
        <v>11</v>
      </c>
      <c r="C1152" s="694">
        <v>42506</v>
      </c>
      <c r="D1152" s="763" t="s">
        <v>148</v>
      </c>
      <c r="E1152" s="763">
        <v>16</v>
      </c>
      <c r="F1152" s="762">
        <v>2016</v>
      </c>
      <c r="G1152" s="763" t="s">
        <v>111</v>
      </c>
      <c r="H1152" s="762" t="s">
        <v>161</v>
      </c>
      <c r="I1152" s="763">
        <v>25</v>
      </c>
      <c r="J1152" s="763">
        <v>0.1</v>
      </c>
      <c r="K1152" s="778">
        <f t="shared" si="201"/>
        <v>1.4204545454545455E-3</v>
      </c>
      <c r="L1152" s="968">
        <v>0</v>
      </c>
      <c r="M1152" s="736">
        <f t="shared" si="198"/>
        <v>19</v>
      </c>
      <c r="N1152" s="764">
        <v>0.82777777777777783</v>
      </c>
      <c r="O1152" s="738">
        <f t="shared" si="199"/>
        <v>0.82777777777777783</v>
      </c>
      <c r="P1152" s="739">
        <v>0.82847222222222217</v>
      </c>
      <c r="Q1152" s="739">
        <f t="shared" si="202"/>
        <v>6.9444444444433095E-4</v>
      </c>
      <c r="R1152" s="965" t="s">
        <v>1520</v>
      </c>
      <c r="S1152" s="766" t="s">
        <v>1247</v>
      </c>
      <c r="T1152" s="277"/>
      <c r="U1152" s="758" t="str">
        <f t="shared" si="190"/>
        <v>HemphillEF0</v>
      </c>
      <c r="V1152" s="758" t="str">
        <f t="shared" si="191"/>
        <v>2016EF0</v>
      </c>
      <c r="W1152" s="35">
        <v>20</v>
      </c>
      <c r="X1152" s="251">
        <v>0.1</v>
      </c>
      <c r="Y1152" s="468">
        <v>1E-3</v>
      </c>
      <c r="Z1152" s="758"/>
      <c r="AA1152" s="758" t="str">
        <f t="shared" si="194"/>
        <v>EF020</v>
      </c>
      <c r="AB1152" s="758" t="str">
        <f t="shared" si="195"/>
        <v>EF00.1</v>
      </c>
      <c r="AC1152" s="758" t="str">
        <f t="shared" si="196"/>
        <v>EF00.001</v>
      </c>
      <c r="AD1152" s="758" t="str">
        <f t="shared" si="200"/>
        <v>EF019</v>
      </c>
      <c r="AE1152" s="760"/>
      <c r="AF1152" s="760"/>
      <c r="AG1152" s="443"/>
      <c r="AH1152" s="443"/>
    </row>
    <row r="1153" spans="1:34" ht="16.5">
      <c r="A1153" s="728">
        <f t="shared" si="193"/>
        <v>1146</v>
      </c>
      <c r="B1153" s="765">
        <v>12</v>
      </c>
      <c r="C1153" s="694">
        <v>42506</v>
      </c>
      <c r="D1153" s="763" t="s">
        <v>148</v>
      </c>
      <c r="E1153" s="763">
        <v>16</v>
      </c>
      <c r="F1153" s="762">
        <v>2016</v>
      </c>
      <c r="G1153" s="763" t="s">
        <v>111</v>
      </c>
      <c r="H1153" s="762" t="s">
        <v>161</v>
      </c>
      <c r="I1153" s="763">
        <v>25</v>
      </c>
      <c r="J1153" s="763">
        <v>9.42</v>
      </c>
      <c r="K1153" s="778">
        <f t="shared" si="201"/>
        <v>0.13380681818181817</v>
      </c>
      <c r="L1153" s="968">
        <v>0</v>
      </c>
      <c r="M1153" s="736">
        <f t="shared" si="198"/>
        <v>20</v>
      </c>
      <c r="N1153" s="764">
        <v>0.83750000000000002</v>
      </c>
      <c r="O1153" s="738">
        <f t="shared" si="199"/>
        <v>0.83750000000000002</v>
      </c>
      <c r="P1153" s="739">
        <v>0.85069444444444453</v>
      </c>
      <c r="Q1153" s="739">
        <f t="shared" si="202"/>
        <v>1.3194444444444509E-2</v>
      </c>
      <c r="R1153" s="965" t="s">
        <v>1520</v>
      </c>
      <c r="S1153" s="766" t="s">
        <v>1248</v>
      </c>
      <c r="T1153" s="277"/>
      <c r="U1153" s="758" t="str">
        <f t="shared" si="190"/>
        <v>HemphillEF0</v>
      </c>
      <c r="V1153" s="758" t="str">
        <f t="shared" si="191"/>
        <v>2016EF0</v>
      </c>
      <c r="W1153" s="35">
        <v>20</v>
      </c>
      <c r="X1153" s="251">
        <v>5</v>
      </c>
      <c r="Y1153" s="468">
        <v>0.1</v>
      </c>
      <c r="Z1153" s="758"/>
      <c r="AA1153" s="758" t="str">
        <f t="shared" si="194"/>
        <v>EF020</v>
      </c>
      <c r="AB1153" s="758" t="str">
        <f t="shared" si="195"/>
        <v>EF05</v>
      </c>
      <c r="AC1153" s="758" t="str">
        <f t="shared" si="196"/>
        <v>EF00.1</v>
      </c>
      <c r="AD1153" s="758" t="str">
        <f t="shared" si="200"/>
        <v>EF020</v>
      </c>
      <c r="AE1153" s="760"/>
      <c r="AF1153" s="760"/>
      <c r="AG1153" s="443"/>
      <c r="AH1153" s="443"/>
    </row>
    <row r="1154" spans="1:34" ht="16.5">
      <c r="A1154" s="728">
        <f t="shared" si="193"/>
        <v>1147</v>
      </c>
      <c r="B1154" s="765">
        <v>13</v>
      </c>
      <c r="C1154" s="694">
        <v>42506</v>
      </c>
      <c r="D1154" s="763" t="s">
        <v>148</v>
      </c>
      <c r="E1154" s="763">
        <v>16</v>
      </c>
      <c r="F1154" s="762">
        <v>2016</v>
      </c>
      <c r="G1154" s="763" t="s">
        <v>111</v>
      </c>
      <c r="H1154" s="762" t="s">
        <v>161</v>
      </c>
      <c r="I1154" s="763">
        <v>50</v>
      </c>
      <c r="J1154" s="763">
        <v>0.15</v>
      </c>
      <c r="K1154" s="778">
        <f t="shared" si="201"/>
        <v>4.261363636363636E-3</v>
      </c>
      <c r="L1154" s="968">
        <v>0</v>
      </c>
      <c r="M1154" s="736">
        <f t="shared" si="198"/>
        <v>20</v>
      </c>
      <c r="N1154" s="764">
        <v>0.85763888888888884</v>
      </c>
      <c r="O1154" s="738">
        <f t="shared" si="199"/>
        <v>0.85763888888888884</v>
      </c>
      <c r="P1154" s="739">
        <v>0.85833333333333339</v>
      </c>
      <c r="Q1154" s="739">
        <f t="shared" si="202"/>
        <v>6.94444444444553E-4</v>
      </c>
      <c r="R1154" s="965" t="s">
        <v>1520</v>
      </c>
      <c r="S1154" s="766" t="s">
        <v>1249</v>
      </c>
      <c r="T1154" s="277"/>
      <c r="U1154" s="758" t="str">
        <f t="shared" si="190"/>
        <v>HemphillEF0</v>
      </c>
      <c r="V1154" s="758" t="str">
        <f t="shared" si="191"/>
        <v>2016EF0</v>
      </c>
      <c r="W1154" s="35">
        <v>50</v>
      </c>
      <c r="X1154" s="251">
        <v>0.1</v>
      </c>
      <c r="Y1154" s="468">
        <v>2E-3</v>
      </c>
      <c r="Z1154" s="758"/>
      <c r="AA1154" s="758" t="str">
        <f t="shared" si="194"/>
        <v>EF050</v>
      </c>
      <c r="AB1154" s="758" t="str">
        <f t="shared" si="195"/>
        <v>EF00.1</v>
      </c>
      <c r="AC1154" s="758" t="str">
        <f t="shared" si="196"/>
        <v>EF00.002</v>
      </c>
      <c r="AD1154" s="758" t="str">
        <f t="shared" si="200"/>
        <v>EF020</v>
      </c>
      <c r="AE1154" s="760"/>
      <c r="AF1154" s="760"/>
      <c r="AG1154" s="443"/>
      <c r="AH1154" s="443"/>
    </row>
    <row r="1155" spans="1:34" ht="16.5">
      <c r="A1155" s="728">
        <f t="shared" si="193"/>
        <v>1148</v>
      </c>
      <c r="B1155" s="765">
        <v>14</v>
      </c>
      <c r="C1155" s="694">
        <v>42512</v>
      </c>
      <c r="D1155" s="763" t="s">
        <v>148</v>
      </c>
      <c r="E1155" s="763">
        <v>22</v>
      </c>
      <c r="F1155" s="762">
        <v>2016</v>
      </c>
      <c r="G1155" s="763" t="s">
        <v>120</v>
      </c>
      <c r="H1155" s="762" t="s">
        <v>161</v>
      </c>
      <c r="I1155" s="763">
        <v>25</v>
      </c>
      <c r="J1155" s="763">
        <v>0.36</v>
      </c>
      <c r="K1155" s="778">
        <f t="shared" si="201"/>
        <v>5.1136363636363636E-3</v>
      </c>
      <c r="L1155" s="968">
        <v>0</v>
      </c>
      <c r="M1155" s="736">
        <f t="shared" si="198"/>
        <v>16</v>
      </c>
      <c r="N1155" s="764">
        <v>0.6875</v>
      </c>
      <c r="O1155" s="738">
        <f t="shared" si="199"/>
        <v>0.6875</v>
      </c>
      <c r="P1155" s="739">
        <v>0.68819444444444444</v>
      </c>
      <c r="Q1155" s="739">
        <f t="shared" si="202"/>
        <v>6.9444444444444198E-4</v>
      </c>
      <c r="R1155" s="965" t="s">
        <v>1520</v>
      </c>
      <c r="S1155" s="766" t="s">
        <v>1251</v>
      </c>
      <c r="T1155" s="277"/>
      <c r="U1155" s="758" t="str">
        <f t="shared" si="190"/>
        <v>DonleyEF0</v>
      </c>
      <c r="V1155" s="758" t="str">
        <f t="shared" si="191"/>
        <v>2016EF0</v>
      </c>
      <c r="W1155" s="35">
        <v>20</v>
      </c>
      <c r="X1155" s="251">
        <v>0.2</v>
      </c>
      <c r="Y1155" s="468">
        <v>5.0000000000000001E-3</v>
      </c>
      <c r="Z1155" s="758"/>
      <c r="AA1155" s="758" t="str">
        <f t="shared" si="194"/>
        <v>EF020</v>
      </c>
      <c r="AB1155" s="758" t="str">
        <f t="shared" si="195"/>
        <v>EF00.2</v>
      </c>
      <c r="AC1155" s="758" t="str">
        <f t="shared" si="196"/>
        <v>EF00.005</v>
      </c>
      <c r="AD1155" s="758" t="str">
        <f t="shared" si="200"/>
        <v>EF016</v>
      </c>
      <c r="AE1155" s="760"/>
      <c r="AF1155" s="760"/>
      <c r="AG1155" s="443"/>
      <c r="AH1155" s="443"/>
    </row>
    <row r="1156" spans="1:34" ht="16.5">
      <c r="A1156" s="728">
        <f t="shared" si="193"/>
        <v>1149</v>
      </c>
      <c r="B1156" s="765">
        <v>15</v>
      </c>
      <c r="C1156" s="694">
        <v>42512</v>
      </c>
      <c r="D1156" s="763" t="s">
        <v>148</v>
      </c>
      <c r="E1156" s="763">
        <v>22</v>
      </c>
      <c r="F1156" s="762">
        <v>2016</v>
      </c>
      <c r="G1156" s="763" t="s">
        <v>120</v>
      </c>
      <c r="H1156" s="762" t="s">
        <v>162</v>
      </c>
      <c r="I1156" s="763">
        <v>75</v>
      </c>
      <c r="J1156" s="763">
        <v>1.05</v>
      </c>
      <c r="K1156" s="778">
        <f t="shared" si="201"/>
        <v>4.4744318181818184E-2</v>
      </c>
      <c r="L1156" s="968">
        <v>0</v>
      </c>
      <c r="M1156" s="736">
        <f t="shared" si="198"/>
        <v>16</v>
      </c>
      <c r="N1156" s="764">
        <v>0.69374999999999998</v>
      </c>
      <c r="O1156" s="738">
        <f t="shared" si="199"/>
        <v>0.69374999999999998</v>
      </c>
      <c r="P1156" s="739">
        <v>0.70000000000000007</v>
      </c>
      <c r="Q1156" s="739">
        <f t="shared" si="202"/>
        <v>6.2500000000000888E-3</v>
      </c>
      <c r="R1156" s="965" t="s">
        <v>1520</v>
      </c>
      <c r="S1156" s="766" t="s">
        <v>1252</v>
      </c>
      <c r="T1156" s="277"/>
      <c r="U1156" s="758" t="str">
        <f t="shared" si="190"/>
        <v>DonleyEF1</v>
      </c>
      <c r="V1156" s="758" t="str">
        <f t="shared" si="191"/>
        <v>2016EF1</v>
      </c>
      <c r="W1156" s="35">
        <v>50</v>
      </c>
      <c r="X1156" s="251">
        <v>1</v>
      </c>
      <c r="Y1156" s="468">
        <v>0.02</v>
      </c>
      <c r="Z1156" s="758"/>
      <c r="AA1156" s="758" t="str">
        <f t="shared" si="194"/>
        <v>EF150</v>
      </c>
      <c r="AB1156" s="758" t="str">
        <f t="shared" si="195"/>
        <v>EF11</v>
      </c>
      <c r="AC1156" s="758" t="str">
        <f t="shared" si="196"/>
        <v>EF10.02</v>
      </c>
      <c r="AD1156" s="758" t="str">
        <f t="shared" si="200"/>
        <v>EF116</v>
      </c>
      <c r="AE1156" s="760"/>
      <c r="AF1156" s="760"/>
      <c r="AG1156" s="443"/>
      <c r="AH1156" s="443"/>
    </row>
    <row r="1157" spans="1:34" ht="16.5">
      <c r="A1157" s="728">
        <f t="shared" si="193"/>
        <v>1150</v>
      </c>
      <c r="B1157" s="765">
        <v>16</v>
      </c>
      <c r="C1157" s="694">
        <v>42512</v>
      </c>
      <c r="D1157" s="763" t="s">
        <v>148</v>
      </c>
      <c r="E1157" s="763">
        <v>22</v>
      </c>
      <c r="F1157" s="762">
        <v>2016</v>
      </c>
      <c r="G1157" s="763" t="s">
        <v>105</v>
      </c>
      <c r="H1157" s="762" t="s">
        <v>161</v>
      </c>
      <c r="I1157" s="763">
        <v>75</v>
      </c>
      <c r="J1157" s="763">
        <v>2.5</v>
      </c>
      <c r="K1157" s="778">
        <f t="shared" si="201"/>
        <v>0.1065340909090909</v>
      </c>
      <c r="L1157" s="968">
        <v>0</v>
      </c>
      <c r="M1157" s="736">
        <f t="shared" si="198"/>
        <v>17</v>
      </c>
      <c r="N1157" s="764">
        <v>0.73888888888888893</v>
      </c>
      <c r="O1157" s="738">
        <f t="shared" si="199"/>
        <v>0.73888888888888893</v>
      </c>
      <c r="P1157" s="739">
        <v>0.74375000000000002</v>
      </c>
      <c r="Q1157" s="739">
        <f t="shared" si="202"/>
        <v>4.8611111111110938E-3</v>
      </c>
      <c r="R1157" s="965" t="s">
        <v>1520</v>
      </c>
      <c r="S1157" s="766" t="s">
        <v>1253</v>
      </c>
      <c r="T1157" s="277"/>
      <c r="U1157" s="758" t="str">
        <f t="shared" si="190"/>
        <v>OchiltreeEF0</v>
      </c>
      <c r="V1157" s="758" t="str">
        <f t="shared" si="191"/>
        <v>2016EF0</v>
      </c>
      <c r="W1157" s="35">
        <v>50</v>
      </c>
      <c r="X1157" s="251">
        <v>2</v>
      </c>
      <c r="Y1157" s="468">
        <v>0.1</v>
      </c>
      <c r="Z1157" s="758"/>
      <c r="AA1157" s="758" t="str">
        <f t="shared" si="194"/>
        <v>EF050</v>
      </c>
      <c r="AB1157" s="758" t="str">
        <f t="shared" si="195"/>
        <v>EF02</v>
      </c>
      <c r="AC1157" s="758" t="str">
        <f t="shared" si="196"/>
        <v>EF00.1</v>
      </c>
      <c r="AD1157" s="758" t="str">
        <f t="shared" si="200"/>
        <v>EF017</v>
      </c>
      <c r="AE1157" s="760"/>
      <c r="AF1157" s="760"/>
      <c r="AG1157" s="443"/>
      <c r="AH1157" s="443"/>
    </row>
    <row r="1158" spans="1:34" ht="16.5">
      <c r="A1158" s="728">
        <f t="shared" si="193"/>
        <v>1151</v>
      </c>
      <c r="B1158" s="765">
        <v>17</v>
      </c>
      <c r="C1158" s="694">
        <v>42512</v>
      </c>
      <c r="D1158" s="763" t="s">
        <v>148</v>
      </c>
      <c r="E1158" s="763">
        <v>22</v>
      </c>
      <c r="F1158" s="762">
        <v>2016</v>
      </c>
      <c r="G1158" s="763" t="s">
        <v>105</v>
      </c>
      <c r="H1158" s="762" t="s">
        <v>162</v>
      </c>
      <c r="I1158" s="763">
        <v>500</v>
      </c>
      <c r="J1158" s="763">
        <v>1.5</v>
      </c>
      <c r="K1158" s="778">
        <f t="shared" si="201"/>
        <v>0.42613636363636365</v>
      </c>
      <c r="L1158" s="968">
        <v>0</v>
      </c>
      <c r="M1158" s="736">
        <f t="shared" si="198"/>
        <v>17</v>
      </c>
      <c r="N1158" s="764">
        <v>0.74791666666666667</v>
      </c>
      <c r="O1158" s="738">
        <f t="shared" si="199"/>
        <v>0.74791666666666667</v>
      </c>
      <c r="P1158" s="739">
        <v>0.75347222222222221</v>
      </c>
      <c r="Q1158" s="739">
        <f t="shared" si="202"/>
        <v>5.5555555555555358E-3</v>
      </c>
      <c r="R1158" s="965" t="s">
        <v>1520</v>
      </c>
      <c r="S1158" s="766" t="s">
        <v>1254</v>
      </c>
      <c r="T1158" s="277"/>
      <c r="U1158" s="758" t="str">
        <f t="shared" si="190"/>
        <v>OchiltreeEF1</v>
      </c>
      <c r="V1158" s="758" t="str">
        <f t="shared" si="191"/>
        <v>2016EF1</v>
      </c>
      <c r="W1158" s="35">
        <v>500</v>
      </c>
      <c r="X1158" s="251">
        <v>1</v>
      </c>
      <c r="Y1158" s="468">
        <v>0.2</v>
      </c>
      <c r="Z1158" s="758"/>
      <c r="AA1158" s="758" t="str">
        <f t="shared" si="194"/>
        <v>EF1500</v>
      </c>
      <c r="AB1158" s="758" t="str">
        <f t="shared" si="195"/>
        <v>EF11</v>
      </c>
      <c r="AC1158" s="758" t="str">
        <f t="shared" si="196"/>
        <v>EF10.2</v>
      </c>
      <c r="AD1158" s="758" t="str">
        <f t="shared" si="200"/>
        <v>EF117</v>
      </c>
      <c r="AE1158" s="760"/>
      <c r="AF1158" s="760"/>
      <c r="AG1158" s="443"/>
      <c r="AH1158" s="443"/>
    </row>
    <row r="1159" spans="1:34" ht="38.25">
      <c r="A1159" s="728">
        <f t="shared" si="193"/>
        <v>1152</v>
      </c>
      <c r="B1159" s="765">
        <v>18</v>
      </c>
      <c r="C1159" s="694">
        <v>42512</v>
      </c>
      <c r="D1159" s="763" t="s">
        <v>148</v>
      </c>
      <c r="E1159" s="763">
        <v>22</v>
      </c>
      <c r="F1159" s="762">
        <v>2016</v>
      </c>
      <c r="G1159" s="763" t="s">
        <v>105</v>
      </c>
      <c r="H1159" s="762" t="s">
        <v>162</v>
      </c>
      <c r="I1159" s="763">
        <v>400</v>
      </c>
      <c r="J1159" s="763">
        <v>1.5</v>
      </c>
      <c r="K1159" s="778">
        <f t="shared" si="201"/>
        <v>0.34090909090909088</v>
      </c>
      <c r="L1159" s="968">
        <v>0</v>
      </c>
      <c r="M1159" s="736">
        <f t="shared" si="198"/>
        <v>18</v>
      </c>
      <c r="N1159" s="764">
        <v>0.75277777777777777</v>
      </c>
      <c r="O1159" s="738">
        <f t="shared" si="199"/>
        <v>0.75277777777777777</v>
      </c>
      <c r="P1159" s="739">
        <v>0.75486111111111109</v>
      </c>
      <c r="Q1159" s="739">
        <f t="shared" si="202"/>
        <v>2.0833333333333259E-3</v>
      </c>
      <c r="R1159" s="965" t="s">
        <v>1520</v>
      </c>
      <c r="S1159" s="766" t="s">
        <v>1255</v>
      </c>
      <c r="T1159" s="277"/>
      <c r="U1159" s="758" t="str">
        <f t="shared" ref="U1159:U1222" si="203">CONCATENATE(G1159,H1159)</f>
        <v>OchiltreeEF1</v>
      </c>
      <c r="V1159" s="758" t="str">
        <f t="shared" ref="V1159:V1222" si="204">CONCATENATE(F1159,H1159)</f>
        <v>2016EF1</v>
      </c>
      <c r="W1159" s="35">
        <v>200</v>
      </c>
      <c r="X1159" s="251">
        <v>1</v>
      </c>
      <c r="Y1159" s="468">
        <v>0.2</v>
      </c>
      <c r="Z1159" s="758"/>
      <c r="AA1159" s="758" t="str">
        <f t="shared" si="194"/>
        <v>EF1200</v>
      </c>
      <c r="AB1159" s="758" t="str">
        <f t="shared" si="195"/>
        <v>EF11</v>
      </c>
      <c r="AC1159" s="758" t="str">
        <f t="shared" si="196"/>
        <v>EF10.2</v>
      </c>
      <c r="AD1159" s="758" t="str">
        <f t="shared" si="200"/>
        <v>EF118</v>
      </c>
      <c r="AE1159" s="760"/>
      <c r="AF1159" s="760"/>
      <c r="AG1159" s="443"/>
      <c r="AH1159" s="443"/>
    </row>
    <row r="1160" spans="1:34" ht="16.5">
      <c r="A1160" s="728">
        <f t="shared" si="193"/>
        <v>1153</v>
      </c>
      <c r="B1160" s="765">
        <v>19</v>
      </c>
      <c r="C1160" s="694">
        <v>42512</v>
      </c>
      <c r="D1160" s="763" t="s">
        <v>148</v>
      </c>
      <c r="E1160" s="763">
        <v>22</v>
      </c>
      <c r="F1160" s="762">
        <v>2016</v>
      </c>
      <c r="G1160" s="763" t="s">
        <v>105</v>
      </c>
      <c r="H1160" s="762" t="s">
        <v>162</v>
      </c>
      <c r="I1160" s="763">
        <v>75</v>
      </c>
      <c r="J1160" s="763">
        <v>2.4</v>
      </c>
      <c r="K1160" s="778">
        <f t="shared" si="201"/>
        <v>0.10227272727272727</v>
      </c>
      <c r="L1160" s="968">
        <v>0</v>
      </c>
      <c r="M1160" s="736">
        <f t="shared" si="198"/>
        <v>18</v>
      </c>
      <c r="N1160" s="764">
        <v>0.76041666666666663</v>
      </c>
      <c r="O1160" s="738">
        <f t="shared" si="199"/>
        <v>0.76041666666666663</v>
      </c>
      <c r="P1160" s="739">
        <v>0.76388888888888884</v>
      </c>
      <c r="Q1160" s="739">
        <f t="shared" si="202"/>
        <v>3.4722222222222099E-3</v>
      </c>
      <c r="R1160" s="965" t="s">
        <v>1520</v>
      </c>
      <c r="S1160" s="766" t="s">
        <v>1256</v>
      </c>
      <c r="T1160" s="277"/>
      <c r="U1160" s="758" t="str">
        <f t="shared" si="203"/>
        <v>OchiltreeEF1</v>
      </c>
      <c r="V1160" s="758" t="str">
        <f t="shared" si="204"/>
        <v>2016EF1</v>
      </c>
      <c r="W1160" s="35">
        <v>50</v>
      </c>
      <c r="X1160" s="251">
        <v>2</v>
      </c>
      <c r="Y1160" s="468">
        <v>0.1</v>
      </c>
      <c r="Z1160" s="758"/>
      <c r="AA1160" s="758" t="str">
        <f t="shared" si="194"/>
        <v>EF150</v>
      </c>
      <c r="AB1160" s="758" t="str">
        <f t="shared" si="195"/>
        <v>EF12</v>
      </c>
      <c r="AC1160" s="758" t="str">
        <f t="shared" si="196"/>
        <v>EF10.1</v>
      </c>
      <c r="AD1160" s="758" t="str">
        <f t="shared" si="200"/>
        <v>EF118</v>
      </c>
      <c r="AE1160" s="760"/>
      <c r="AF1160" s="760"/>
      <c r="AG1160" s="443"/>
      <c r="AH1160" s="443"/>
    </row>
    <row r="1161" spans="1:34" ht="38.25">
      <c r="A1161" s="728">
        <f t="shared" si="193"/>
        <v>1154</v>
      </c>
      <c r="B1161" s="765">
        <v>20</v>
      </c>
      <c r="C1161" s="694">
        <v>42512</v>
      </c>
      <c r="D1161" s="763" t="s">
        <v>148</v>
      </c>
      <c r="E1161" s="763">
        <v>22</v>
      </c>
      <c r="F1161" s="762">
        <v>2016</v>
      </c>
      <c r="G1161" s="763" t="s">
        <v>105</v>
      </c>
      <c r="H1161" s="906" t="s">
        <v>161</v>
      </c>
      <c r="I1161" s="763">
        <v>50</v>
      </c>
      <c r="J1161" s="763">
        <v>0.25</v>
      </c>
      <c r="K1161" s="778">
        <f t="shared" si="201"/>
        <v>7.102272727272727E-3</v>
      </c>
      <c r="L1161" s="968">
        <v>0</v>
      </c>
      <c r="M1161" s="736">
        <f t="shared" si="198"/>
        <v>18</v>
      </c>
      <c r="N1161" s="764">
        <v>0.78402777777777777</v>
      </c>
      <c r="O1161" s="738">
        <f t="shared" si="199"/>
        <v>0.78402777777777777</v>
      </c>
      <c r="P1161" s="739">
        <v>0.78541666666666676</v>
      </c>
      <c r="Q1161" s="739">
        <f t="shared" si="202"/>
        <v>1.388888888888995E-3</v>
      </c>
      <c r="R1161" s="965" t="s">
        <v>1520</v>
      </c>
      <c r="S1161" s="766" t="s">
        <v>1257</v>
      </c>
      <c r="T1161" s="277"/>
      <c r="U1161" s="758" t="str">
        <f t="shared" si="203"/>
        <v>OchiltreeEF0</v>
      </c>
      <c r="V1161" s="758" t="str">
        <f t="shared" si="204"/>
        <v>2016EF0</v>
      </c>
      <c r="W1161" s="35">
        <v>50</v>
      </c>
      <c r="X1161" s="251">
        <v>0.2</v>
      </c>
      <c r="Y1161" s="468">
        <v>5.0000000000000001E-3</v>
      </c>
      <c r="Z1161" s="758"/>
      <c r="AA1161" s="758" t="str">
        <f t="shared" si="194"/>
        <v>EF050</v>
      </c>
      <c r="AB1161" s="758" t="str">
        <f t="shared" si="195"/>
        <v>EF00.2</v>
      </c>
      <c r="AC1161" s="758" t="str">
        <f t="shared" si="196"/>
        <v>EF00.005</v>
      </c>
      <c r="AD1161" s="758" t="str">
        <f t="shared" si="200"/>
        <v>EF018</v>
      </c>
      <c r="AE1161" s="760"/>
      <c r="AF1161" s="760"/>
      <c r="AG1161" s="443"/>
      <c r="AH1161" s="443"/>
    </row>
    <row r="1162" spans="1:34" ht="51">
      <c r="A1162" s="728">
        <f t="shared" ref="A1162:A1226" si="205">+A1161+1</f>
        <v>1155</v>
      </c>
      <c r="B1162" s="765">
        <v>21</v>
      </c>
      <c r="C1162" s="694">
        <v>42512</v>
      </c>
      <c r="D1162" s="763" t="s">
        <v>148</v>
      </c>
      <c r="E1162" s="763">
        <v>22</v>
      </c>
      <c r="F1162" s="762">
        <v>2016</v>
      </c>
      <c r="G1162" s="763" t="s">
        <v>105</v>
      </c>
      <c r="H1162" s="762" t="s">
        <v>161</v>
      </c>
      <c r="I1162" s="763">
        <v>50</v>
      </c>
      <c r="J1162" s="763">
        <v>0.1</v>
      </c>
      <c r="K1162" s="778">
        <f t="shared" si="201"/>
        <v>2.840909090909091E-3</v>
      </c>
      <c r="L1162" s="968">
        <v>0</v>
      </c>
      <c r="M1162" s="736">
        <f t="shared" si="198"/>
        <v>19</v>
      </c>
      <c r="N1162" s="764">
        <v>0.82291666666666663</v>
      </c>
      <c r="O1162" s="738">
        <f t="shared" si="199"/>
        <v>0.82291666666666663</v>
      </c>
      <c r="P1162" s="739">
        <v>0.82361111111111107</v>
      </c>
      <c r="Q1162" s="739">
        <f t="shared" si="202"/>
        <v>6.9444444444444198E-4</v>
      </c>
      <c r="R1162" s="965" t="s">
        <v>1520</v>
      </c>
      <c r="S1162" s="766" t="s">
        <v>1258</v>
      </c>
      <c r="T1162" s="277"/>
      <c r="U1162" s="758" t="str">
        <f t="shared" si="203"/>
        <v>OchiltreeEF0</v>
      </c>
      <c r="V1162" s="758" t="str">
        <f t="shared" si="204"/>
        <v>2016EF0</v>
      </c>
      <c r="W1162" s="35">
        <v>50</v>
      </c>
      <c r="X1162" s="251">
        <v>0.1</v>
      </c>
      <c r="Y1162" s="468">
        <v>2E-3</v>
      </c>
      <c r="Z1162" s="758"/>
      <c r="AA1162" s="758" t="str">
        <f t="shared" si="194"/>
        <v>EF050</v>
      </c>
      <c r="AB1162" s="758" t="str">
        <f t="shared" si="195"/>
        <v>EF00.1</v>
      </c>
      <c r="AC1162" s="758" t="str">
        <f t="shared" si="196"/>
        <v>EF00.002</v>
      </c>
      <c r="AD1162" s="758" t="str">
        <f t="shared" si="200"/>
        <v>EF019</v>
      </c>
      <c r="AE1162" s="760"/>
      <c r="AF1162" s="760"/>
      <c r="AG1162" s="443"/>
      <c r="AH1162" s="443"/>
    </row>
    <row r="1163" spans="1:34" ht="38.25">
      <c r="A1163" s="728">
        <f t="shared" si="205"/>
        <v>1156</v>
      </c>
      <c r="B1163" s="765">
        <v>22</v>
      </c>
      <c r="C1163" s="694">
        <v>42514</v>
      </c>
      <c r="D1163" s="763" t="s">
        <v>148</v>
      </c>
      <c r="E1163" s="763">
        <v>24</v>
      </c>
      <c r="F1163" s="762">
        <v>2016</v>
      </c>
      <c r="G1163" s="763" t="s">
        <v>109</v>
      </c>
      <c r="H1163" s="906" t="s">
        <v>161</v>
      </c>
      <c r="I1163" s="763">
        <v>25</v>
      </c>
      <c r="J1163" s="763">
        <v>0.36</v>
      </c>
      <c r="K1163" s="778">
        <f t="shared" si="201"/>
        <v>5.1136363636363636E-3</v>
      </c>
      <c r="L1163" s="968">
        <v>0</v>
      </c>
      <c r="M1163" s="736">
        <f t="shared" si="198"/>
        <v>17</v>
      </c>
      <c r="N1163" s="764">
        <v>0.73888888888888893</v>
      </c>
      <c r="O1163" s="738">
        <f t="shared" si="199"/>
        <v>0.73888888888888893</v>
      </c>
      <c r="P1163" s="739">
        <v>0.73958333333333337</v>
      </c>
      <c r="Q1163" s="739">
        <f t="shared" si="202"/>
        <v>6.9444444444444198E-4</v>
      </c>
      <c r="R1163" s="965" t="s">
        <v>1520</v>
      </c>
      <c r="S1163" s="766" t="s">
        <v>1259</v>
      </c>
      <c r="T1163" s="277"/>
      <c r="U1163" s="758" t="str">
        <f t="shared" si="203"/>
        <v>HutchinsonEF0</v>
      </c>
      <c r="V1163" s="758" t="str">
        <f t="shared" si="204"/>
        <v>2016EF0</v>
      </c>
      <c r="W1163" s="35">
        <v>20</v>
      </c>
      <c r="X1163" s="251">
        <v>0.2</v>
      </c>
      <c r="Y1163" s="468">
        <v>5.0000000000000001E-3</v>
      </c>
      <c r="Z1163" s="758"/>
      <c r="AA1163" s="758" t="str">
        <f t="shared" si="194"/>
        <v>EF020</v>
      </c>
      <c r="AB1163" s="758" t="str">
        <f t="shared" si="195"/>
        <v>EF00.2</v>
      </c>
      <c r="AC1163" s="758" t="str">
        <f t="shared" si="196"/>
        <v>EF00.005</v>
      </c>
      <c r="AD1163" s="758" t="str">
        <f t="shared" si="200"/>
        <v>EF017</v>
      </c>
      <c r="AE1163" s="760"/>
      <c r="AF1163" s="760"/>
      <c r="AG1163" s="443"/>
      <c r="AH1163" s="443"/>
    </row>
    <row r="1164" spans="1:34" ht="38.25">
      <c r="A1164" s="728">
        <f t="shared" si="205"/>
        <v>1157</v>
      </c>
      <c r="B1164" s="765">
        <v>23</v>
      </c>
      <c r="C1164" s="694">
        <v>42516</v>
      </c>
      <c r="D1164" s="763" t="s">
        <v>148</v>
      </c>
      <c r="E1164" s="763">
        <v>26</v>
      </c>
      <c r="F1164" s="762">
        <v>2016</v>
      </c>
      <c r="G1164" s="763" t="s">
        <v>111</v>
      </c>
      <c r="H1164" s="906" t="s">
        <v>161</v>
      </c>
      <c r="I1164" s="763">
        <v>25</v>
      </c>
      <c r="J1164" s="763">
        <v>0.11</v>
      </c>
      <c r="K1164" s="778">
        <f t="shared" si="201"/>
        <v>1.5624999999999999E-3</v>
      </c>
      <c r="L1164" s="968">
        <v>0</v>
      </c>
      <c r="M1164" s="736">
        <f t="shared" si="198"/>
        <v>19</v>
      </c>
      <c r="N1164" s="764">
        <v>0.79861111111111116</v>
      </c>
      <c r="O1164" s="738">
        <f t="shared" si="199"/>
        <v>0.79861111111111116</v>
      </c>
      <c r="P1164" s="739">
        <v>0.80069444444444438</v>
      </c>
      <c r="Q1164" s="739">
        <f t="shared" si="202"/>
        <v>2.0833333333332149E-3</v>
      </c>
      <c r="R1164" s="965" t="s">
        <v>1520</v>
      </c>
      <c r="S1164" s="766" t="s">
        <v>1260</v>
      </c>
      <c r="T1164" s="277"/>
      <c r="U1164" s="758" t="str">
        <f t="shared" si="203"/>
        <v>HemphillEF0</v>
      </c>
      <c r="V1164" s="758" t="str">
        <f t="shared" si="204"/>
        <v>2016EF0</v>
      </c>
      <c r="W1164" s="35">
        <v>20</v>
      </c>
      <c r="X1164" s="251">
        <v>0.1</v>
      </c>
      <c r="Y1164" s="468">
        <v>1E-3</v>
      </c>
      <c r="Z1164" s="758"/>
      <c r="AA1164" s="758" t="str">
        <f t="shared" si="194"/>
        <v>EF020</v>
      </c>
      <c r="AB1164" s="758" t="str">
        <f t="shared" si="195"/>
        <v>EF00.1</v>
      </c>
      <c r="AC1164" s="758" t="str">
        <f t="shared" si="196"/>
        <v>EF00.001</v>
      </c>
      <c r="AD1164" s="758" t="str">
        <f t="shared" si="200"/>
        <v>EF019</v>
      </c>
      <c r="AE1164" s="760"/>
      <c r="AF1164" s="760"/>
      <c r="AG1164" s="443"/>
      <c r="AH1164" s="443"/>
    </row>
    <row r="1165" spans="1:34" ht="63.75">
      <c r="A1165" s="728">
        <f t="shared" si="205"/>
        <v>1158</v>
      </c>
      <c r="B1165" s="765">
        <v>24</v>
      </c>
      <c r="C1165" s="694">
        <v>42534</v>
      </c>
      <c r="D1165" s="763" t="s">
        <v>149</v>
      </c>
      <c r="E1165" s="763">
        <v>13</v>
      </c>
      <c r="F1165" s="762">
        <v>2016</v>
      </c>
      <c r="G1165" s="763" t="s">
        <v>108</v>
      </c>
      <c r="H1165" s="762" t="s">
        <v>161</v>
      </c>
      <c r="I1165" s="763">
        <v>50</v>
      </c>
      <c r="J1165" s="763">
        <v>0.3</v>
      </c>
      <c r="K1165" s="778">
        <f t="shared" si="201"/>
        <v>8.5227272727272721E-3</v>
      </c>
      <c r="L1165" s="968">
        <v>0</v>
      </c>
      <c r="M1165" s="736">
        <f t="shared" si="198"/>
        <v>19</v>
      </c>
      <c r="N1165" s="764">
        <v>0.79583333333333339</v>
      </c>
      <c r="O1165" s="738">
        <f t="shared" si="199"/>
        <v>0.79583333333333339</v>
      </c>
      <c r="P1165" s="739">
        <v>0.7993055555555556</v>
      </c>
      <c r="Q1165" s="739">
        <f t="shared" si="202"/>
        <v>3.4722222222222099E-3</v>
      </c>
      <c r="R1165" s="965" t="s">
        <v>1520</v>
      </c>
      <c r="S1165" s="766" t="s">
        <v>1263</v>
      </c>
      <c r="T1165" s="277"/>
      <c r="U1165" s="758" t="str">
        <f t="shared" si="203"/>
        <v>MooreEF0</v>
      </c>
      <c r="V1165" s="758" t="str">
        <f t="shared" si="204"/>
        <v>2016EF0</v>
      </c>
      <c r="W1165" s="35">
        <v>50</v>
      </c>
      <c r="X1165" s="251">
        <v>0.2</v>
      </c>
      <c r="Y1165" s="468">
        <v>5.0000000000000001E-3</v>
      </c>
      <c r="Z1165" s="758"/>
      <c r="AA1165" s="758" t="str">
        <f t="shared" si="194"/>
        <v>EF050</v>
      </c>
      <c r="AB1165" s="758" t="str">
        <f t="shared" si="195"/>
        <v>EF00.2</v>
      </c>
      <c r="AC1165" s="758" t="str">
        <f t="shared" si="196"/>
        <v>EF00.005</v>
      </c>
      <c r="AD1165" s="758" t="str">
        <f t="shared" si="200"/>
        <v>EF019</v>
      </c>
      <c r="AE1165" s="760"/>
      <c r="AF1165" s="760"/>
      <c r="AG1165" s="443"/>
      <c r="AH1165" s="443"/>
    </row>
    <row r="1166" spans="1:34" ht="25.5">
      <c r="A1166" s="728">
        <f t="shared" si="205"/>
        <v>1159</v>
      </c>
      <c r="B1166" s="765">
        <v>25</v>
      </c>
      <c r="C1166" s="694">
        <v>42534</v>
      </c>
      <c r="D1166" s="763" t="s">
        <v>149</v>
      </c>
      <c r="E1166" s="763">
        <v>13</v>
      </c>
      <c r="F1166" s="762">
        <v>2016</v>
      </c>
      <c r="G1166" s="763" t="s">
        <v>113</v>
      </c>
      <c r="H1166" s="762" t="s">
        <v>162</v>
      </c>
      <c r="I1166" s="763">
        <v>100</v>
      </c>
      <c r="J1166" s="763">
        <v>1.24</v>
      </c>
      <c r="K1166" s="778">
        <f t="shared" si="201"/>
        <v>7.045454545454545E-2</v>
      </c>
      <c r="L1166" s="968">
        <v>0</v>
      </c>
      <c r="M1166" s="736">
        <f t="shared" si="198"/>
        <v>19</v>
      </c>
      <c r="N1166" s="764">
        <v>0.80902777777777779</v>
      </c>
      <c r="O1166" s="738">
        <f t="shared" si="199"/>
        <v>0.80902777777777779</v>
      </c>
      <c r="P1166" s="739">
        <v>0.81319444444444444</v>
      </c>
      <c r="Q1166" s="739">
        <f t="shared" si="202"/>
        <v>4.1666666666666519E-3</v>
      </c>
      <c r="R1166" s="965" t="s">
        <v>1520</v>
      </c>
      <c r="S1166" s="766" t="s">
        <v>1261</v>
      </c>
      <c r="T1166" s="277"/>
      <c r="U1166" s="758" t="str">
        <f t="shared" si="203"/>
        <v>PotterEF1</v>
      </c>
      <c r="V1166" s="758" t="str">
        <f t="shared" si="204"/>
        <v>2016EF1</v>
      </c>
      <c r="W1166" s="35">
        <v>100</v>
      </c>
      <c r="X1166" s="251">
        <v>1</v>
      </c>
      <c r="Y1166" s="468">
        <v>0.05</v>
      </c>
      <c r="Z1166" s="758"/>
      <c r="AA1166" s="758" t="str">
        <f t="shared" si="194"/>
        <v>EF1100</v>
      </c>
      <c r="AB1166" s="758" t="str">
        <f t="shared" si="195"/>
        <v>EF11</v>
      </c>
      <c r="AC1166" s="758" t="str">
        <f t="shared" si="196"/>
        <v>EF10.05</v>
      </c>
      <c r="AD1166" s="758" t="str">
        <f t="shared" si="200"/>
        <v>EF119</v>
      </c>
      <c r="AE1166" s="760"/>
      <c r="AF1166" s="760"/>
      <c r="AG1166" s="443"/>
      <c r="AH1166" s="443"/>
    </row>
    <row r="1167" spans="1:34" ht="25.5">
      <c r="A1167" s="728">
        <f t="shared" si="205"/>
        <v>1160</v>
      </c>
      <c r="B1167" s="765">
        <v>26</v>
      </c>
      <c r="C1167" s="694">
        <v>42534</v>
      </c>
      <c r="D1167" s="763" t="s">
        <v>149</v>
      </c>
      <c r="E1167" s="763">
        <v>13</v>
      </c>
      <c r="F1167" s="762">
        <v>2016</v>
      </c>
      <c r="G1167" s="763" t="s">
        <v>114</v>
      </c>
      <c r="H1167" s="762" t="s">
        <v>160</v>
      </c>
      <c r="I1167" s="763">
        <v>100</v>
      </c>
      <c r="J1167" s="763">
        <v>2.93</v>
      </c>
      <c r="K1167" s="778">
        <f t="shared" si="201"/>
        <v>0.16647727272727272</v>
      </c>
      <c r="L1167" s="968">
        <v>0</v>
      </c>
      <c r="M1167" s="736">
        <f t="shared" si="198"/>
        <v>19</v>
      </c>
      <c r="N1167" s="764">
        <v>0.81319444444444444</v>
      </c>
      <c r="O1167" s="738">
        <f t="shared" si="199"/>
        <v>0.81319444444444444</v>
      </c>
      <c r="P1167" s="739">
        <v>0.81736111111111109</v>
      </c>
      <c r="Q1167" s="739">
        <f t="shared" si="202"/>
        <v>4.1666666666666519E-3</v>
      </c>
      <c r="R1167" s="965" t="s">
        <v>1520</v>
      </c>
      <c r="S1167" s="776" t="s">
        <v>1262</v>
      </c>
      <c r="T1167" s="277"/>
      <c r="U1167" s="758" t="str">
        <f t="shared" si="203"/>
        <v>CarsonEF2</v>
      </c>
      <c r="V1167" s="758" t="str">
        <f t="shared" si="204"/>
        <v>2016EF2</v>
      </c>
      <c r="W1167" s="35">
        <v>100</v>
      </c>
      <c r="X1167" s="251">
        <v>2</v>
      </c>
      <c r="Y1167" s="468">
        <v>0.1</v>
      </c>
      <c r="Z1167" s="758"/>
      <c r="AA1167" s="758" t="str">
        <f t="shared" si="194"/>
        <v>EF2100</v>
      </c>
      <c r="AB1167" s="758" t="str">
        <f t="shared" si="195"/>
        <v>EF22</v>
      </c>
      <c r="AC1167" s="758" t="str">
        <f t="shared" si="196"/>
        <v>EF20.1</v>
      </c>
      <c r="AD1167" s="758" t="str">
        <f t="shared" si="200"/>
        <v>EF219</v>
      </c>
      <c r="AE1167" s="760"/>
      <c r="AF1167" s="760"/>
      <c r="AG1167" s="443"/>
      <c r="AH1167" s="443"/>
    </row>
    <row r="1168" spans="1:34" ht="38.25">
      <c r="A1168" s="728">
        <f t="shared" si="205"/>
        <v>1161</v>
      </c>
      <c r="B1168" s="765">
        <v>27</v>
      </c>
      <c r="C1168" s="694">
        <v>42622</v>
      </c>
      <c r="D1168" s="763" t="s">
        <v>152</v>
      </c>
      <c r="E1168" s="763">
        <v>9</v>
      </c>
      <c r="F1168" s="762">
        <v>2016</v>
      </c>
      <c r="G1168" s="763" t="s">
        <v>104</v>
      </c>
      <c r="H1168" s="762" t="s">
        <v>161</v>
      </c>
      <c r="I1168" s="763">
        <v>15</v>
      </c>
      <c r="J1168" s="763">
        <v>0.28000000000000003</v>
      </c>
      <c r="K1168" s="778">
        <f t="shared" si="201"/>
        <v>2.3863636363636366E-3</v>
      </c>
      <c r="L1168" s="968">
        <v>0</v>
      </c>
      <c r="M1168" s="736">
        <f t="shared" si="198"/>
        <v>17</v>
      </c>
      <c r="N1168" s="764">
        <v>0.72222222222222221</v>
      </c>
      <c r="O1168" s="738">
        <f t="shared" si="199"/>
        <v>0.72222222222222221</v>
      </c>
      <c r="P1168" s="739">
        <v>0.72291666666666676</v>
      </c>
      <c r="Q1168" s="739">
        <f t="shared" si="202"/>
        <v>6.94444444444553E-4</v>
      </c>
      <c r="R1168" s="965" t="s">
        <v>1520</v>
      </c>
      <c r="S1168" s="766" t="s">
        <v>1264</v>
      </c>
      <c r="T1168" s="277"/>
      <c r="U1168" s="758" t="str">
        <f t="shared" si="203"/>
        <v>HansfordEF0</v>
      </c>
      <c r="V1168" s="758" t="str">
        <f t="shared" si="204"/>
        <v>2016EF0</v>
      </c>
      <c r="W1168" s="35">
        <v>10</v>
      </c>
      <c r="X1168" s="251">
        <v>0.2</v>
      </c>
      <c r="Y1168" s="468">
        <v>2E-3</v>
      </c>
      <c r="Z1168" s="758"/>
      <c r="AA1168" s="758" t="str">
        <f t="shared" ref="AA1168:AA1231" si="206">CONCATENATE(H1168,W1168)</f>
        <v>EF010</v>
      </c>
      <c r="AB1168" s="758" t="str">
        <f t="shared" ref="AB1168:AB1231" si="207">CONCATENATE(H1168,X1168)</f>
        <v>EF00.2</v>
      </c>
      <c r="AC1168" s="758" t="str">
        <f t="shared" ref="AC1168:AC1231" si="208">CONCATENATE(H1168,Y1168)</f>
        <v>EF00.002</v>
      </c>
      <c r="AD1168" s="758" t="str">
        <f t="shared" si="200"/>
        <v>EF017</v>
      </c>
      <c r="AE1168" s="760"/>
      <c r="AF1168" s="760"/>
      <c r="AG1168" s="443"/>
      <c r="AH1168" s="443"/>
    </row>
    <row r="1169" spans="1:34" ht="25.5">
      <c r="A1169" s="728">
        <f t="shared" si="205"/>
        <v>1162</v>
      </c>
      <c r="B1169" s="765">
        <v>28</v>
      </c>
      <c r="C1169" s="694">
        <v>42630</v>
      </c>
      <c r="D1169" s="763" t="s">
        <v>152</v>
      </c>
      <c r="E1169" s="763">
        <v>17</v>
      </c>
      <c r="F1169" s="762">
        <v>2016</v>
      </c>
      <c r="G1169" s="763" t="s">
        <v>108</v>
      </c>
      <c r="H1169" s="762" t="s">
        <v>161</v>
      </c>
      <c r="I1169" s="763">
        <v>15</v>
      </c>
      <c r="J1169" s="763">
        <v>0.01</v>
      </c>
      <c r="K1169" s="778">
        <f t="shared" si="201"/>
        <v>8.522727272727272E-5</v>
      </c>
      <c r="L1169" s="968">
        <v>0</v>
      </c>
      <c r="M1169" s="736">
        <f t="shared" si="198"/>
        <v>20</v>
      </c>
      <c r="N1169" s="764">
        <v>0.8618055555555556</v>
      </c>
      <c r="O1169" s="738">
        <f t="shared" si="199"/>
        <v>0.8618055555555556</v>
      </c>
      <c r="P1169" s="739">
        <v>0.86249999999999993</v>
      </c>
      <c r="Q1169" s="739">
        <f t="shared" si="202"/>
        <v>6.9444444444433095E-4</v>
      </c>
      <c r="R1169" s="965" t="s">
        <v>1520</v>
      </c>
      <c r="S1169" s="766" t="s">
        <v>1265</v>
      </c>
      <c r="T1169" s="277"/>
      <c r="U1169" s="758" t="str">
        <f t="shared" si="203"/>
        <v>MooreEF0</v>
      </c>
      <c r="V1169" s="758" t="str">
        <f t="shared" si="204"/>
        <v>2016EF0</v>
      </c>
      <c r="W1169" s="35">
        <v>10</v>
      </c>
      <c r="X1169" s="251">
        <v>0.01</v>
      </c>
      <c r="Y1169" s="779">
        <v>5.0000000000000002E-5</v>
      </c>
      <c r="Z1169" s="758"/>
      <c r="AA1169" s="758" t="str">
        <f t="shared" si="206"/>
        <v>EF010</v>
      </c>
      <c r="AB1169" s="758" t="str">
        <f t="shared" si="207"/>
        <v>EF00.01</v>
      </c>
      <c r="AC1169" s="758" t="str">
        <f t="shared" si="208"/>
        <v>EF00.00005</v>
      </c>
      <c r="AD1169" s="758" t="str">
        <f t="shared" si="200"/>
        <v>EF020</v>
      </c>
      <c r="AE1169" s="760"/>
      <c r="AF1169" s="760"/>
      <c r="AG1169" s="443"/>
      <c r="AH1169" s="443"/>
    </row>
    <row r="1170" spans="1:34" ht="16.5">
      <c r="A1170" s="728">
        <f t="shared" si="205"/>
        <v>1163</v>
      </c>
      <c r="B1170" s="765">
        <v>29</v>
      </c>
      <c r="C1170" s="694">
        <v>42630</v>
      </c>
      <c r="D1170" s="763" t="s">
        <v>152</v>
      </c>
      <c r="E1170" s="763">
        <v>17</v>
      </c>
      <c r="F1170" s="762">
        <v>2016</v>
      </c>
      <c r="G1170" s="763" t="s">
        <v>108</v>
      </c>
      <c r="H1170" s="762" t="s">
        <v>161</v>
      </c>
      <c r="I1170" s="763">
        <v>150</v>
      </c>
      <c r="J1170" s="763">
        <v>1.17</v>
      </c>
      <c r="K1170" s="778">
        <f t="shared" si="201"/>
        <v>9.9715909090909077E-2</v>
      </c>
      <c r="L1170" s="968">
        <v>0</v>
      </c>
      <c r="M1170" s="736">
        <f t="shared" si="198"/>
        <v>20</v>
      </c>
      <c r="N1170" s="764">
        <v>0.86597222222222225</v>
      </c>
      <c r="O1170" s="738">
        <f t="shared" si="199"/>
        <v>0.86597222222222225</v>
      </c>
      <c r="P1170" s="739">
        <v>0.87083333333333324</v>
      </c>
      <c r="Q1170" s="739">
        <f t="shared" si="202"/>
        <v>4.8611111111109828E-3</v>
      </c>
      <c r="R1170" s="965" t="s">
        <v>1520</v>
      </c>
      <c r="S1170" s="766" t="s">
        <v>1266</v>
      </c>
      <c r="T1170" s="277"/>
      <c r="U1170" s="758" t="str">
        <f t="shared" si="203"/>
        <v>MooreEF0</v>
      </c>
      <c r="V1170" s="758" t="str">
        <f t="shared" si="204"/>
        <v>2016EF0</v>
      </c>
      <c r="W1170" s="35">
        <v>100</v>
      </c>
      <c r="X1170" s="251">
        <v>1</v>
      </c>
      <c r="Y1170" s="468">
        <v>0.05</v>
      </c>
      <c r="Z1170" s="758"/>
      <c r="AA1170" s="758" t="str">
        <f t="shared" si="206"/>
        <v>EF0100</v>
      </c>
      <c r="AB1170" s="758" t="str">
        <f t="shared" si="207"/>
        <v>EF01</v>
      </c>
      <c r="AC1170" s="758" t="str">
        <f t="shared" si="208"/>
        <v>EF00.05</v>
      </c>
      <c r="AD1170" s="758" t="str">
        <f t="shared" si="200"/>
        <v>EF020</v>
      </c>
      <c r="AE1170" s="760"/>
      <c r="AF1170" s="760"/>
      <c r="AG1170" s="443"/>
      <c r="AH1170" s="443"/>
    </row>
    <row r="1171" spans="1:34" ht="16.5">
      <c r="A1171" s="728">
        <f t="shared" si="205"/>
        <v>1164</v>
      </c>
      <c r="B1171" s="765">
        <v>1</v>
      </c>
      <c r="C1171" s="694">
        <v>42822</v>
      </c>
      <c r="D1171" s="763" t="s">
        <v>146</v>
      </c>
      <c r="E1171" s="763">
        <v>28</v>
      </c>
      <c r="F1171" s="762">
        <v>2017</v>
      </c>
      <c r="G1171" s="763" t="s">
        <v>121</v>
      </c>
      <c r="H1171" s="762" t="s">
        <v>161</v>
      </c>
      <c r="I1171" s="763">
        <v>50</v>
      </c>
      <c r="J1171" s="763">
        <v>3.1</v>
      </c>
      <c r="K1171" s="778">
        <f t="shared" si="201"/>
        <v>8.8068181818181823E-2</v>
      </c>
      <c r="L1171" s="968">
        <v>0</v>
      </c>
      <c r="M1171" s="736">
        <f t="shared" si="198"/>
        <v>16</v>
      </c>
      <c r="N1171" s="764">
        <v>0.70624999999999993</v>
      </c>
      <c r="O1171" s="738">
        <f t="shared" si="199"/>
        <v>0.70624999999999993</v>
      </c>
      <c r="P1171" s="739">
        <v>0.7090277777777777</v>
      </c>
      <c r="Q1171" s="739">
        <f t="shared" si="202"/>
        <v>2.7777777777777679E-3</v>
      </c>
      <c r="R1171" s="965" t="s">
        <v>1520</v>
      </c>
      <c r="S1171" s="766" t="s">
        <v>1283</v>
      </c>
      <c r="T1171" s="277"/>
      <c r="U1171" s="758" t="str">
        <f t="shared" si="203"/>
        <v>CollingsworthEF0</v>
      </c>
      <c r="V1171" s="758" t="str">
        <f t="shared" si="204"/>
        <v>2017EF0</v>
      </c>
      <c r="W1171" s="35">
        <v>50</v>
      </c>
      <c r="X1171" s="251">
        <v>2</v>
      </c>
      <c r="Y1171" s="468">
        <v>0.05</v>
      </c>
      <c r="Z1171" s="758"/>
      <c r="AA1171" s="758" t="str">
        <f t="shared" si="206"/>
        <v>EF050</v>
      </c>
      <c r="AB1171" s="758" t="str">
        <f t="shared" si="207"/>
        <v>EF02</v>
      </c>
      <c r="AC1171" s="758" t="str">
        <f t="shared" si="208"/>
        <v>EF00.05</v>
      </c>
      <c r="AD1171" s="758" t="str">
        <f t="shared" si="200"/>
        <v>EF016</v>
      </c>
      <c r="AE1171" s="760"/>
      <c r="AF1171" s="760"/>
      <c r="AG1171" s="443"/>
      <c r="AH1171" s="443"/>
    </row>
    <row r="1172" spans="1:34" ht="16.5">
      <c r="A1172" s="728">
        <f t="shared" si="205"/>
        <v>1165</v>
      </c>
      <c r="B1172" s="765">
        <v>2</v>
      </c>
      <c r="C1172" s="694">
        <v>42865</v>
      </c>
      <c r="D1172" s="763" t="s">
        <v>148</v>
      </c>
      <c r="E1172" s="763">
        <v>10</v>
      </c>
      <c r="F1172" s="762">
        <v>2017</v>
      </c>
      <c r="G1172" s="763" t="s">
        <v>119</v>
      </c>
      <c r="H1172" s="762" t="s">
        <v>162</v>
      </c>
      <c r="I1172" s="763">
        <v>180</v>
      </c>
      <c r="J1172" s="763">
        <v>2.8</v>
      </c>
      <c r="K1172" s="778">
        <f t="shared" si="201"/>
        <v>0.28636363636363638</v>
      </c>
      <c r="L1172" s="968">
        <v>0</v>
      </c>
      <c r="M1172" s="736">
        <f t="shared" si="198"/>
        <v>2</v>
      </c>
      <c r="N1172" s="764">
        <v>0.10208333333333335</v>
      </c>
      <c r="O1172" s="738">
        <f t="shared" si="199"/>
        <v>0.10208333333333335</v>
      </c>
      <c r="P1172" s="739">
        <v>0.10833333333333334</v>
      </c>
      <c r="Q1172" s="739">
        <f t="shared" si="202"/>
        <v>6.2499999999999917E-3</v>
      </c>
      <c r="R1172" s="965" t="s">
        <v>1520</v>
      </c>
      <c r="S1172" s="766" t="s">
        <v>1284</v>
      </c>
      <c r="T1172" s="277"/>
      <c r="U1172" s="758" t="str">
        <f t="shared" si="203"/>
        <v>ArmstrongEF1</v>
      </c>
      <c r="V1172" s="758" t="str">
        <f t="shared" si="204"/>
        <v>2017EF1</v>
      </c>
      <c r="W1172" s="35">
        <v>100</v>
      </c>
      <c r="X1172" s="251">
        <v>2</v>
      </c>
      <c r="Y1172" s="468">
        <v>0.2</v>
      </c>
      <c r="Z1172" s="758"/>
      <c r="AA1172" s="758" t="str">
        <f t="shared" si="206"/>
        <v>EF1100</v>
      </c>
      <c r="AB1172" s="758" t="str">
        <f t="shared" si="207"/>
        <v>EF12</v>
      </c>
      <c r="AC1172" s="758" t="str">
        <f t="shared" si="208"/>
        <v>EF10.2</v>
      </c>
      <c r="AD1172" s="758" t="str">
        <f t="shared" si="200"/>
        <v>EF12</v>
      </c>
      <c r="AE1172" s="760"/>
      <c r="AF1172" s="760"/>
      <c r="AG1172" s="443"/>
      <c r="AH1172" s="443"/>
    </row>
    <row r="1173" spans="1:34" ht="16.5">
      <c r="A1173" s="728">
        <f t="shared" si="205"/>
        <v>1166</v>
      </c>
      <c r="B1173" s="765">
        <v>3</v>
      </c>
      <c r="C1173" s="694">
        <v>42865</v>
      </c>
      <c r="D1173" s="763" t="s">
        <v>148</v>
      </c>
      <c r="E1173" s="763">
        <v>10</v>
      </c>
      <c r="F1173" s="762">
        <v>2017</v>
      </c>
      <c r="G1173" s="763" t="s">
        <v>115</v>
      </c>
      <c r="H1173" s="762" t="s">
        <v>162</v>
      </c>
      <c r="I1173" s="763">
        <v>50</v>
      </c>
      <c r="J1173" s="763">
        <v>2.65</v>
      </c>
      <c r="K1173" s="778">
        <f t="shared" si="201"/>
        <v>7.5284090909090898E-2</v>
      </c>
      <c r="L1173" s="968">
        <v>0</v>
      </c>
      <c r="M1173" s="736">
        <f t="shared" si="198"/>
        <v>3</v>
      </c>
      <c r="N1173" s="764">
        <v>0.12569444444444444</v>
      </c>
      <c r="O1173" s="738">
        <f t="shared" si="199"/>
        <v>0.12569444444444444</v>
      </c>
      <c r="P1173" s="739">
        <v>0.13125000000000001</v>
      </c>
      <c r="Q1173" s="739">
        <f t="shared" si="202"/>
        <v>5.5555555555555636E-3</v>
      </c>
      <c r="R1173" s="965" t="s">
        <v>1520</v>
      </c>
      <c r="S1173" s="766" t="s">
        <v>1285</v>
      </c>
      <c r="T1173" s="277"/>
      <c r="U1173" s="758" t="str">
        <f t="shared" si="203"/>
        <v>GrayEF1</v>
      </c>
      <c r="V1173" s="758" t="str">
        <f t="shared" si="204"/>
        <v>2017EF1</v>
      </c>
      <c r="W1173" s="35">
        <v>50</v>
      </c>
      <c r="X1173" s="251">
        <v>2</v>
      </c>
      <c r="Y1173" s="468">
        <v>0.05</v>
      </c>
      <c r="Z1173" s="758"/>
      <c r="AA1173" s="758" t="str">
        <f t="shared" si="206"/>
        <v>EF150</v>
      </c>
      <c r="AB1173" s="758" t="str">
        <f t="shared" si="207"/>
        <v>EF12</v>
      </c>
      <c r="AC1173" s="758" t="str">
        <f t="shared" si="208"/>
        <v>EF10.05</v>
      </c>
      <c r="AD1173" s="758" t="str">
        <f t="shared" si="200"/>
        <v>EF13</v>
      </c>
      <c r="AE1173" s="760"/>
      <c r="AF1173" s="760"/>
      <c r="AG1173" s="443"/>
      <c r="AH1173" s="443"/>
    </row>
    <row r="1174" spans="1:34" ht="95.1" customHeight="1">
      <c r="A1174" s="728">
        <f t="shared" si="205"/>
        <v>1167</v>
      </c>
      <c r="B1174" s="765">
        <v>4</v>
      </c>
      <c r="C1174" s="694">
        <v>42871</v>
      </c>
      <c r="D1174" s="763" t="s">
        <v>148</v>
      </c>
      <c r="E1174" s="763">
        <v>16</v>
      </c>
      <c r="F1174" s="762">
        <v>2017</v>
      </c>
      <c r="G1174" s="763" t="s">
        <v>101</v>
      </c>
      <c r="H1174" s="762" t="s">
        <v>161</v>
      </c>
      <c r="I1174" s="763">
        <v>25</v>
      </c>
      <c r="J1174" s="763">
        <v>0.09</v>
      </c>
      <c r="K1174" s="778">
        <f t="shared" si="201"/>
        <v>1.2784090909090909E-3</v>
      </c>
      <c r="L1174" s="968">
        <v>0</v>
      </c>
      <c r="M1174" s="736">
        <f t="shared" si="198"/>
        <v>13</v>
      </c>
      <c r="N1174" s="764">
        <v>0.57291666666666663</v>
      </c>
      <c r="O1174" s="738">
        <f t="shared" si="199"/>
        <v>0.57291666666666663</v>
      </c>
      <c r="P1174" s="739">
        <v>0.57361111111111118</v>
      </c>
      <c r="Q1174" s="739">
        <f t="shared" si="202"/>
        <v>6.94444444444553E-4</v>
      </c>
      <c r="R1174" s="965" t="s">
        <v>1520</v>
      </c>
      <c r="S1174" s="766" t="s">
        <v>1300</v>
      </c>
      <c r="T1174" s="277"/>
      <c r="U1174" s="758" t="str">
        <f t="shared" si="203"/>
        <v>BeaverEF0</v>
      </c>
      <c r="V1174" s="758" t="str">
        <f t="shared" si="204"/>
        <v>2017EF0</v>
      </c>
      <c r="W1174" s="35">
        <v>20</v>
      </c>
      <c r="X1174" s="251">
        <v>0.05</v>
      </c>
      <c r="Y1174" s="468">
        <v>1E-3</v>
      </c>
      <c r="Z1174" s="758"/>
      <c r="AA1174" s="758" t="str">
        <f t="shared" si="206"/>
        <v>EF020</v>
      </c>
      <c r="AB1174" s="758" t="str">
        <f t="shared" si="207"/>
        <v>EF00.05</v>
      </c>
      <c r="AC1174" s="758" t="str">
        <f t="shared" si="208"/>
        <v>EF00.001</v>
      </c>
      <c r="AD1174" s="758" t="str">
        <f t="shared" si="200"/>
        <v>EF013</v>
      </c>
      <c r="AE1174" s="760"/>
      <c r="AF1174" s="760"/>
      <c r="AG1174" s="443"/>
      <c r="AH1174" s="443"/>
    </row>
    <row r="1175" spans="1:34" ht="16.5">
      <c r="A1175" s="728">
        <f t="shared" si="205"/>
        <v>1168</v>
      </c>
      <c r="B1175" s="765">
        <v>5</v>
      </c>
      <c r="C1175" s="694">
        <v>42871</v>
      </c>
      <c r="D1175" s="763" t="s">
        <v>148</v>
      </c>
      <c r="E1175" s="763">
        <v>16</v>
      </c>
      <c r="F1175" s="762">
        <v>2017</v>
      </c>
      <c r="G1175" s="763" t="s">
        <v>104</v>
      </c>
      <c r="H1175" s="762" t="s">
        <v>161</v>
      </c>
      <c r="I1175" s="763">
        <v>25</v>
      </c>
      <c r="J1175" s="763">
        <v>0.09</v>
      </c>
      <c r="K1175" s="778">
        <f t="shared" si="201"/>
        <v>1.2784090909090909E-3</v>
      </c>
      <c r="L1175" s="968">
        <v>0</v>
      </c>
      <c r="M1175" s="736">
        <f t="shared" si="198"/>
        <v>14</v>
      </c>
      <c r="N1175" s="764">
        <v>0.58611111111111114</v>
      </c>
      <c r="O1175" s="738">
        <f t="shared" ref="O1175:O1207" si="209">+N1175</f>
        <v>0.58611111111111114</v>
      </c>
      <c r="P1175" s="739">
        <v>0.58680555555555558</v>
      </c>
      <c r="Q1175" s="739">
        <f t="shared" si="202"/>
        <v>6.9444444444444198E-4</v>
      </c>
      <c r="R1175" s="965" t="s">
        <v>1520</v>
      </c>
      <c r="S1175" s="766" t="s">
        <v>1286</v>
      </c>
      <c r="T1175" s="277"/>
      <c r="U1175" s="758" t="str">
        <f t="shared" si="203"/>
        <v>HansfordEF0</v>
      </c>
      <c r="V1175" s="758" t="str">
        <f t="shared" si="204"/>
        <v>2017EF0</v>
      </c>
      <c r="W1175" s="35">
        <v>20</v>
      </c>
      <c r="X1175" s="251">
        <v>0.05</v>
      </c>
      <c r="Y1175" s="468">
        <v>1E-3</v>
      </c>
      <c r="Z1175" s="758"/>
      <c r="AA1175" s="758" t="str">
        <f t="shared" si="206"/>
        <v>EF020</v>
      </c>
      <c r="AB1175" s="758" t="str">
        <f t="shared" si="207"/>
        <v>EF00.05</v>
      </c>
      <c r="AC1175" s="758" t="str">
        <f t="shared" si="208"/>
        <v>EF00.001</v>
      </c>
      <c r="AD1175" s="758" t="str">
        <f t="shared" si="200"/>
        <v>EF014</v>
      </c>
      <c r="AE1175" s="760"/>
      <c r="AF1175" s="760"/>
      <c r="AG1175" s="443"/>
      <c r="AH1175" s="443"/>
    </row>
    <row r="1176" spans="1:34" ht="16.5">
      <c r="A1176" s="728">
        <f t="shared" si="205"/>
        <v>1169</v>
      </c>
      <c r="B1176" s="765">
        <v>6</v>
      </c>
      <c r="C1176" s="694">
        <v>42871</v>
      </c>
      <c r="D1176" s="763" t="s">
        <v>148</v>
      </c>
      <c r="E1176" s="763">
        <v>16</v>
      </c>
      <c r="F1176" s="762">
        <v>2017</v>
      </c>
      <c r="G1176" s="763" t="s">
        <v>120</v>
      </c>
      <c r="H1176" s="762" t="s">
        <v>161</v>
      </c>
      <c r="I1176" s="763">
        <v>50</v>
      </c>
      <c r="J1176" s="763">
        <v>1.39</v>
      </c>
      <c r="K1176" s="778">
        <f t="shared" si="201"/>
        <v>3.9488636363636358E-2</v>
      </c>
      <c r="L1176" s="968">
        <v>0</v>
      </c>
      <c r="M1176" s="736">
        <f t="shared" ref="M1176:M1207" si="210">HOUR(O1176)</f>
        <v>15</v>
      </c>
      <c r="N1176" s="764">
        <v>0.65208333333333335</v>
      </c>
      <c r="O1176" s="738">
        <f t="shared" si="209"/>
        <v>0.65208333333333335</v>
      </c>
      <c r="P1176" s="739">
        <v>0.65972222222222221</v>
      </c>
      <c r="Q1176" s="739">
        <f t="shared" si="202"/>
        <v>7.6388888888888618E-3</v>
      </c>
      <c r="R1176" s="965" t="s">
        <v>1520</v>
      </c>
      <c r="S1176" s="766" t="s">
        <v>1287</v>
      </c>
      <c r="T1176" s="277"/>
      <c r="U1176" s="758" t="str">
        <f t="shared" si="203"/>
        <v>DonleyEF0</v>
      </c>
      <c r="V1176" s="758" t="str">
        <f t="shared" si="204"/>
        <v>2017EF0</v>
      </c>
      <c r="W1176" s="35">
        <v>50</v>
      </c>
      <c r="X1176" s="251">
        <v>1</v>
      </c>
      <c r="Y1176" s="468">
        <v>0.02</v>
      </c>
      <c r="Z1176" s="758"/>
      <c r="AA1176" s="758" t="str">
        <f t="shared" si="206"/>
        <v>EF050</v>
      </c>
      <c r="AB1176" s="758" t="str">
        <f t="shared" si="207"/>
        <v>EF01</v>
      </c>
      <c r="AC1176" s="758" t="str">
        <f t="shared" si="208"/>
        <v>EF00.02</v>
      </c>
      <c r="AD1176" s="758" t="str">
        <f t="shared" si="200"/>
        <v>EF015</v>
      </c>
      <c r="AE1176" s="760"/>
      <c r="AF1176" s="760"/>
      <c r="AG1176" s="443"/>
      <c r="AH1176" s="443"/>
    </row>
    <row r="1177" spans="1:34" ht="16.5">
      <c r="A1177" s="728">
        <f t="shared" si="205"/>
        <v>1170</v>
      </c>
      <c r="B1177" s="765">
        <v>7</v>
      </c>
      <c r="C1177" s="694">
        <v>42871</v>
      </c>
      <c r="D1177" s="763" t="s">
        <v>148</v>
      </c>
      <c r="E1177" s="763">
        <v>16</v>
      </c>
      <c r="F1177" s="762">
        <v>2017</v>
      </c>
      <c r="G1177" s="763" t="s">
        <v>116</v>
      </c>
      <c r="H1177" s="762" t="s">
        <v>161</v>
      </c>
      <c r="I1177" s="763">
        <v>25</v>
      </c>
      <c r="J1177" s="763">
        <v>0.06</v>
      </c>
      <c r="K1177" s="778">
        <f t="shared" si="201"/>
        <v>8.5227272727272723E-4</v>
      </c>
      <c r="L1177" s="968">
        <v>0</v>
      </c>
      <c r="M1177" s="736">
        <f t="shared" si="210"/>
        <v>15</v>
      </c>
      <c r="N1177" s="764">
        <v>0.66180555555555554</v>
      </c>
      <c r="O1177" s="738">
        <f t="shared" si="209"/>
        <v>0.66180555555555554</v>
      </c>
      <c r="P1177" s="739">
        <v>0.66249999999999998</v>
      </c>
      <c r="Q1177" s="739">
        <f t="shared" si="202"/>
        <v>6.9444444444444198E-4</v>
      </c>
      <c r="R1177" s="965" t="s">
        <v>1520</v>
      </c>
      <c r="S1177" s="766" t="s">
        <v>1288</v>
      </c>
      <c r="T1177" s="277"/>
      <c r="U1177" s="758" t="str">
        <f t="shared" si="203"/>
        <v>WheelerEF0</v>
      </c>
      <c r="V1177" s="758" t="str">
        <f t="shared" si="204"/>
        <v>2017EF0</v>
      </c>
      <c r="W1177" s="35">
        <v>20</v>
      </c>
      <c r="X1177" s="251">
        <v>0.05</v>
      </c>
      <c r="Y1177" s="468">
        <v>5.0000000000000001E-4</v>
      </c>
      <c r="Z1177" s="758"/>
      <c r="AA1177" s="758" t="str">
        <f t="shared" si="206"/>
        <v>EF020</v>
      </c>
      <c r="AB1177" s="758" t="str">
        <f t="shared" si="207"/>
        <v>EF00.05</v>
      </c>
      <c r="AC1177" s="758" t="str">
        <f t="shared" si="208"/>
        <v>EF00.0005</v>
      </c>
      <c r="AD1177" s="758" t="str">
        <f t="shared" ref="AD1177:AD1240" si="211">CONCATENATE(H1177,M1177)</f>
        <v>EF015</v>
      </c>
      <c r="AE1177" s="760"/>
      <c r="AF1177" s="760"/>
      <c r="AG1177" s="443"/>
      <c r="AH1177" s="443"/>
    </row>
    <row r="1178" spans="1:34" ht="16.5">
      <c r="A1178" s="728">
        <f t="shared" si="205"/>
        <v>1171</v>
      </c>
      <c r="B1178" s="765">
        <v>8</v>
      </c>
      <c r="C1178" s="694">
        <v>42871</v>
      </c>
      <c r="D1178" s="763" t="s">
        <v>148</v>
      </c>
      <c r="E1178" s="763">
        <v>16</v>
      </c>
      <c r="F1178" s="762">
        <v>2017</v>
      </c>
      <c r="G1178" s="763" t="s">
        <v>116</v>
      </c>
      <c r="H1178" s="762" t="s">
        <v>162</v>
      </c>
      <c r="I1178" s="763">
        <v>25</v>
      </c>
      <c r="J1178" s="763">
        <v>0.09</v>
      </c>
      <c r="K1178" s="778">
        <f t="shared" ref="K1178:K1207" si="212">+(I1178/1760)*J1178</f>
        <v>1.2784090909090909E-3</v>
      </c>
      <c r="L1178" s="968">
        <v>0</v>
      </c>
      <c r="M1178" s="736">
        <f t="shared" si="210"/>
        <v>16</v>
      </c>
      <c r="N1178" s="764">
        <v>0.6777777777777777</v>
      </c>
      <c r="O1178" s="738">
        <f t="shared" si="209"/>
        <v>0.6777777777777777</v>
      </c>
      <c r="P1178" s="739">
        <v>0.67847222222222225</v>
      </c>
      <c r="Q1178" s="739">
        <f t="shared" ref="Q1178:Q1207" si="213">+P1178-O1178</f>
        <v>6.94444444444553E-4</v>
      </c>
      <c r="R1178" s="965" t="s">
        <v>1520</v>
      </c>
      <c r="S1178" s="766" t="s">
        <v>1289</v>
      </c>
      <c r="T1178" s="277"/>
      <c r="U1178" s="758" t="str">
        <f t="shared" si="203"/>
        <v>WheelerEF1</v>
      </c>
      <c r="V1178" s="758" t="str">
        <f t="shared" si="204"/>
        <v>2017EF1</v>
      </c>
      <c r="W1178" s="35">
        <v>20</v>
      </c>
      <c r="X1178" s="251">
        <v>0.05</v>
      </c>
      <c r="Y1178" s="468">
        <v>1E-3</v>
      </c>
      <c r="Z1178" s="758"/>
      <c r="AA1178" s="758" t="str">
        <f t="shared" si="206"/>
        <v>EF120</v>
      </c>
      <c r="AB1178" s="758" t="str">
        <f t="shared" si="207"/>
        <v>EF10.05</v>
      </c>
      <c r="AC1178" s="758" t="str">
        <f t="shared" si="208"/>
        <v>EF10.001</v>
      </c>
      <c r="AD1178" s="758" t="str">
        <f t="shared" si="211"/>
        <v>EF116</v>
      </c>
      <c r="AE1178" s="760"/>
      <c r="AF1178" s="760"/>
      <c r="AG1178" s="443"/>
      <c r="AH1178" s="443"/>
    </row>
    <row r="1179" spans="1:34" ht="16.5">
      <c r="A1179" s="728">
        <f t="shared" si="205"/>
        <v>1172</v>
      </c>
      <c r="B1179" s="765">
        <v>9</v>
      </c>
      <c r="C1179" s="694">
        <v>42871</v>
      </c>
      <c r="D1179" s="763" t="s">
        <v>148</v>
      </c>
      <c r="E1179" s="763">
        <v>16</v>
      </c>
      <c r="F1179" s="762">
        <v>2017</v>
      </c>
      <c r="G1179" s="763" t="s">
        <v>116</v>
      </c>
      <c r="H1179" s="762" t="s">
        <v>160</v>
      </c>
      <c r="I1179" s="763">
        <v>1250</v>
      </c>
      <c r="J1179" s="763">
        <v>9.18</v>
      </c>
      <c r="K1179" s="778">
        <f t="shared" si="212"/>
        <v>6.5198863636363633</v>
      </c>
      <c r="L1179" s="968">
        <v>0</v>
      </c>
      <c r="M1179" s="736">
        <f t="shared" si="210"/>
        <v>16</v>
      </c>
      <c r="N1179" s="764">
        <v>0.68402777777777779</v>
      </c>
      <c r="O1179" s="738">
        <f t="shared" si="209"/>
        <v>0.68402777777777779</v>
      </c>
      <c r="P1179" s="739">
        <v>0.6972222222222223</v>
      </c>
      <c r="Q1179" s="739">
        <f t="shared" si="213"/>
        <v>1.3194444444444509E-2</v>
      </c>
      <c r="R1179" s="965" t="s">
        <v>1520</v>
      </c>
      <c r="S1179" s="766" t="s">
        <v>1290</v>
      </c>
      <c r="T1179" s="277"/>
      <c r="U1179" s="758" t="str">
        <f t="shared" si="203"/>
        <v>WheelerEF2</v>
      </c>
      <c r="V1179" s="758" t="str">
        <f t="shared" si="204"/>
        <v>2017EF2</v>
      </c>
      <c r="W1179" s="35">
        <v>1000</v>
      </c>
      <c r="X1179" s="251">
        <v>5</v>
      </c>
      <c r="Y1179" s="468">
        <v>5</v>
      </c>
      <c r="Z1179" s="758"/>
      <c r="AA1179" s="758" t="str">
        <f t="shared" si="206"/>
        <v>EF21000</v>
      </c>
      <c r="AB1179" s="758" t="str">
        <f t="shared" si="207"/>
        <v>EF25</v>
      </c>
      <c r="AC1179" s="758" t="str">
        <f t="shared" si="208"/>
        <v>EF25</v>
      </c>
      <c r="AD1179" s="758" t="str">
        <f t="shared" si="211"/>
        <v>EF216</v>
      </c>
      <c r="AE1179" s="760"/>
      <c r="AF1179" s="760"/>
      <c r="AG1179" s="443"/>
      <c r="AH1179" s="443"/>
    </row>
    <row r="1180" spans="1:34" ht="16.5">
      <c r="A1180" s="728">
        <f t="shared" si="205"/>
        <v>1173</v>
      </c>
      <c r="B1180" s="765">
        <v>10</v>
      </c>
      <c r="C1180" s="694">
        <v>42871</v>
      </c>
      <c r="D1180" s="763" t="s">
        <v>148</v>
      </c>
      <c r="E1180" s="763">
        <v>16</v>
      </c>
      <c r="F1180" s="762">
        <v>2017</v>
      </c>
      <c r="G1180" s="763" t="s">
        <v>121</v>
      </c>
      <c r="H1180" s="762" t="s">
        <v>161</v>
      </c>
      <c r="I1180" s="763">
        <v>25</v>
      </c>
      <c r="J1180" s="763">
        <v>0.28999999999999998</v>
      </c>
      <c r="K1180" s="778">
        <f t="shared" si="212"/>
        <v>4.1193181818181815E-3</v>
      </c>
      <c r="L1180" s="968">
        <v>0</v>
      </c>
      <c r="M1180" s="736">
        <f t="shared" si="210"/>
        <v>16</v>
      </c>
      <c r="N1180" s="764">
        <v>0.69791666666666663</v>
      </c>
      <c r="O1180" s="738">
        <f t="shared" si="209"/>
        <v>0.69791666666666663</v>
      </c>
      <c r="P1180" s="739">
        <v>0.69861111111111107</v>
      </c>
      <c r="Q1180" s="739">
        <f t="shared" si="213"/>
        <v>6.9444444444444198E-4</v>
      </c>
      <c r="R1180" s="965" t="s">
        <v>1520</v>
      </c>
      <c r="S1180" s="766" t="s">
        <v>1291</v>
      </c>
      <c r="T1180" s="277"/>
      <c r="U1180" s="758" t="str">
        <f t="shared" si="203"/>
        <v>CollingsworthEF0</v>
      </c>
      <c r="V1180" s="758" t="str">
        <f t="shared" si="204"/>
        <v>2017EF0</v>
      </c>
      <c r="W1180" s="35">
        <v>20</v>
      </c>
      <c r="X1180" s="251">
        <v>0.2</v>
      </c>
      <c r="Y1180" s="468">
        <v>2E-3</v>
      </c>
      <c r="Z1180" s="758"/>
      <c r="AA1180" s="758" t="str">
        <f t="shared" si="206"/>
        <v>EF020</v>
      </c>
      <c r="AB1180" s="758" t="str">
        <f t="shared" si="207"/>
        <v>EF00.2</v>
      </c>
      <c r="AC1180" s="758" t="str">
        <f t="shared" si="208"/>
        <v>EF00.002</v>
      </c>
      <c r="AD1180" s="758" t="str">
        <f t="shared" si="211"/>
        <v>EF016</v>
      </c>
      <c r="AE1180" s="760"/>
      <c r="AF1180" s="760"/>
      <c r="AG1180" s="443"/>
      <c r="AH1180" s="443"/>
    </row>
    <row r="1181" spans="1:34" ht="16.5">
      <c r="A1181" s="728">
        <f t="shared" si="205"/>
        <v>1174</v>
      </c>
      <c r="B1181" s="765">
        <v>11</v>
      </c>
      <c r="C1181" s="694">
        <v>42871</v>
      </c>
      <c r="D1181" s="763" t="s">
        <v>148</v>
      </c>
      <c r="E1181" s="763">
        <v>16</v>
      </c>
      <c r="F1181" s="762">
        <v>2017</v>
      </c>
      <c r="G1181" s="763" t="s">
        <v>121</v>
      </c>
      <c r="H1181" s="762" t="s">
        <v>161</v>
      </c>
      <c r="I1181" s="763">
        <v>25</v>
      </c>
      <c r="J1181" s="763">
        <v>2.2599999999999998</v>
      </c>
      <c r="K1181" s="778">
        <f t="shared" si="212"/>
        <v>3.2102272727272722E-2</v>
      </c>
      <c r="L1181" s="968">
        <v>0</v>
      </c>
      <c r="M1181" s="736">
        <f t="shared" si="210"/>
        <v>16</v>
      </c>
      <c r="N1181" s="764">
        <v>0.70138888888888884</v>
      </c>
      <c r="O1181" s="738">
        <f t="shared" si="209"/>
        <v>0.70138888888888884</v>
      </c>
      <c r="P1181" s="739">
        <v>0.70208333333333339</v>
      </c>
      <c r="Q1181" s="739">
        <f t="shared" si="213"/>
        <v>6.94444444444553E-4</v>
      </c>
      <c r="R1181" s="965" t="s">
        <v>1520</v>
      </c>
      <c r="S1181" s="766" t="s">
        <v>1291</v>
      </c>
      <c r="T1181" s="277"/>
      <c r="U1181" s="758" t="str">
        <f t="shared" si="203"/>
        <v>CollingsworthEF0</v>
      </c>
      <c r="V1181" s="758" t="str">
        <f t="shared" si="204"/>
        <v>2017EF0</v>
      </c>
      <c r="W1181" s="35">
        <v>20</v>
      </c>
      <c r="X1181" s="251">
        <v>2</v>
      </c>
      <c r="Y1181" s="468">
        <v>0.02</v>
      </c>
      <c r="Z1181" s="758"/>
      <c r="AA1181" s="758" t="str">
        <f t="shared" si="206"/>
        <v>EF020</v>
      </c>
      <c r="AB1181" s="758" t="str">
        <f t="shared" si="207"/>
        <v>EF02</v>
      </c>
      <c r="AC1181" s="758" t="str">
        <f t="shared" si="208"/>
        <v>EF00.02</v>
      </c>
      <c r="AD1181" s="758" t="str">
        <f t="shared" si="211"/>
        <v>EF016</v>
      </c>
      <c r="AE1181" s="760"/>
      <c r="AF1181" s="760"/>
      <c r="AG1181" s="443"/>
      <c r="AH1181" s="443"/>
    </row>
    <row r="1182" spans="1:34" ht="25.5">
      <c r="A1182" s="728">
        <f t="shared" si="205"/>
        <v>1175</v>
      </c>
      <c r="B1182" s="765">
        <v>12</v>
      </c>
      <c r="C1182" s="694">
        <v>42911</v>
      </c>
      <c r="D1182" s="763" t="s">
        <v>149</v>
      </c>
      <c r="E1182" s="763">
        <v>25</v>
      </c>
      <c r="F1182" s="762">
        <v>2017</v>
      </c>
      <c r="G1182" s="763" t="s">
        <v>99</v>
      </c>
      <c r="H1182" s="762" t="s">
        <v>161</v>
      </c>
      <c r="I1182" s="763">
        <v>10</v>
      </c>
      <c r="J1182" s="763">
        <v>0.1</v>
      </c>
      <c r="K1182" s="778">
        <f t="shared" si="212"/>
        <v>5.6818181818181826E-4</v>
      </c>
      <c r="L1182" s="968">
        <v>0</v>
      </c>
      <c r="M1182" s="736">
        <f t="shared" si="210"/>
        <v>17</v>
      </c>
      <c r="N1182" s="764">
        <v>0.73125000000000007</v>
      </c>
      <c r="O1182" s="738">
        <f t="shared" si="209"/>
        <v>0.73125000000000007</v>
      </c>
      <c r="P1182" s="739">
        <v>0.73125000000000007</v>
      </c>
      <c r="Q1182" s="739">
        <f t="shared" si="213"/>
        <v>0</v>
      </c>
      <c r="R1182" s="965" t="s">
        <v>1520</v>
      </c>
      <c r="S1182" s="766" t="s">
        <v>1440</v>
      </c>
      <c r="T1182" s="277"/>
      <c r="U1182" s="758" t="str">
        <f t="shared" si="203"/>
        <v>CimarronEF0</v>
      </c>
      <c r="V1182" s="758" t="str">
        <f t="shared" si="204"/>
        <v>2017EF0</v>
      </c>
      <c r="W1182" s="35">
        <v>10</v>
      </c>
      <c r="X1182" s="251">
        <v>0.1</v>
      </c>
      <c r="Y1182" s="468">
        <v>5.0000000000000001E-4</v>
      </c>
      <c r="Z1182" s="758"/>
      <c r="AA1182" s="758" t="str">
        <f t="shared" si="206"/>
        <v>EF010</v>
      </c>
      <c r="AB1182" s="758" t="str">
        <f t="shared" si="207"/>
        <v>EF00.1</v>
      </c>
      <c r="AC1182" s="758" t="str">
        <f t="shared" si="208"/>
        <v>EF00.0005</v>
      </c>
      <c r="AD1182" s="758" t="str">
        <f t="shared" si="211"/>
        <v>EF017</v>
      </c>
      <c r="AE1182" s="760"/>
      <c r="AF1182" s="760"/>
      <c r="AG1182" s="443"/>
      <c r="AH1182" s="443"/>
    </row>
    <row r="1183" spans="1:34" ht="16.5">
      <c r="A1183" s="728">
        <f t="shared" si="205"/>
        <v>1176</v>
      </c>
      <c r="B1183" s="765">
        <v>13</v>
      </c>
      <c r="C1183" s="694">
        <v>42960</v>
      </c>
      <c r="D1183" s="763" t="s">
        <v>151</v>
      </c>
      <c r="E1183" s="763">
        <v>13</v>
      </c>
      <c r="F1183" s="762">
        <v>2017</v>
      </c>
      <c r="G1183" s="763" t="s">
        <v>113</v>
      </c>
      <c r="H1183" s="762" t="s">
        <v>161</v>
      </c>
      <c r="I1183" s="763">
        <v>20</v>
      </c>
      <c r="J1183" s="763">
        <v>0.09</v>
      </c>
      <c r="K1183" s="778">
        <f t="shared" si="212"/>
        <v>1.0227272727272728E-3</v>
      </c>
      <c r="L1183" s="968">
        <v>0</v>
      </c>
      <c r="M1183" s="736">
        <f t="shared" si="210"/>
        <v>19</v>
      </c>
      <c r="N1183" s="764">
        <v>0.79166666666666663</v>
      </c>
      <c r="O1183" s="738">
        <f t="shared" si="209"/>
        <v>0.79166666666666663</v>
      </c>
      <c r="P1183" s="739">
        <v>0.79236111111111107</v>
      </c>
      <c r="Q1183" s="739">
        <f t="shared" si="213"/>
        <v>6.9444444444444198E-4</v>
      </c>
      <c r="R1183" s="965" t="s">
        <v>1520</v>
      </c>
      <c r="S1183" s="766" t="s">
        <v>1292</v>
      </c>
      <c r="T1183" s="277"/>
      <c r="U1183" s="758" t="str">
        <f t="shared" si="203"/>
        <v>PotterEF0</v>
      </c>
      <c r="V1183" s="758" t="str">
        <f t="shared" si="204"/>
        <v>2017EF0</v>
      </c>
      <c r="W1183" s="35">
        <v>20</v>
      </c>
      <c r="X1183" s="251">
        <v>0.05</v>
      </c>
      <c r="Y1183" s="468">
        <v>1E-3</v>
      </c>
      <c r="Z1183" s="758"/>
      <c r="AA1183" s="758" t="str">
        <f t="shared" si="206"/>
        <v>EF020</v>
      </c>
      <c r="AB1183" s="758" t="str">
        <f t="shared" si="207"/>
        <v>EF00.05</v>
      </c>
      <c r="AC1183" s="758" t="str">
        <f t="shared" si="208"/>
        <v>EF00.001</v>
      </c>
      <c r="AD1183" s="758" t="str">
        <f t="shared" si="211"/>
        <v>EF019</v>
      </c>
      <c r="AE1183" s="760"/>
      <c r="AF1183" s="760"/>
      <c r="AG1183" s="443"/>
      <c r="AH1183" s="443"/>
    </row>
    <row r="1184" spans="1:34" ht="16.5">
      <c r="A1184" s="728">
        <f t="shared" si="205"/>
        <v>1177</v>
      </c>
      <c r="B1184" s="765">
        <v>1</v>
      </c>
      <c r="C1184" s="694">
        <v>43177</v>
      </c>
      <c r="D1184" s="763" t="str">
        <f>TEXT(C1184,"mmmm")</f>
        <v>March</v>
      </c>
      <c r="E1184" s="763">
        <f>DAY(C1184)</f>
        <v>18</v>
      </c>
      <c r="F1184" s="762">
        <f>YEAR(C1184)</f>
        <v>2018</v>
      </c>
      <c r="G1184" s="763" t="s">
        <v>104</v>
      </c>
      <c r="H1184" s="762" t="s">
        <v>161</v>
      </c>
      <c r="I1184" s="763">
        <v>25</v>
      </c>
      <c r="J1184" s="763">
        <v>0.06</v>
      </c>
      <c r="K1184" s="778">
        <f t="shared" si="212"/>
        <v>8.5227272727272723E-4</v>
      </c>
      <c r="L1184" s="968">
        <v>0</v>
      </c>
      <c r="M1184" s="736">
        <f t="shared" si="210"/>
        <v>18</v>
      </c>
      <c r="N1184" s="764">
        <v>0.77013888888888893</v>
      </c>
      <c r="O1184" s="738">
        <f t="shared" si="209"/>
        <v>0.77013888888888893</v>
      </c>
      <c r="P1184" s="739">
        <v>0.77361111111111114</v>
      </c>
      <c r="Q1184" s="739">
        <f t="shared" si="213"/>
        <v>3.4722222222222099E-3</v>
      </c>
      <c r="R1184" s="965" t="s">
        <v>1520</v>
      </c>
      <c r="S1184" s="766" t="s">
        <v>1401</v>
      </c>
      <c r="T1184" s="277"/>
      <c r="U1184" s="758" t="str">
        <f t="shared" si="203"/>
        <v>HansfordEF0</v>
      </c>
      <c r="V1184" s="758" t="str">
        <f t="shared" si="204"/>
        <v>2018EF0</v>
      </c>
      <c r="W1184" s="35">
        <v>20</v>
      </c>
      <c r="X1184" s="251">
        <v>0.05</v>
      </c>
      <c r="Y1184" s="468">
        <v>5.0000000000000001E-4</v>
      </c>
      <c r="Z1184" s="758"/>
      <c r="AA1184" s="758" t="str">
        <f t="shared" si="206"/>
        <v>EF020</v>
      </c>
      <c r="AB1184" s="758" t="str">
        <f t="shared" si="207"/>
        <v>EF00.05</v>
      </c>
      <c r="AC1184" s="758" t="str">
        <f t="shared" si="208"/>
        <v>EF00.0005</v>
      </c>
      <c r="AD1184" s="758" t="str">
        <f t="shared" si="211"/>
        <v>EF018</v>
      </c>
      <c r="AE1184" s="760"/>
      <c r="AF1184" s="760"/>
      <c r="AG1184" s="443"/>
      <c r="AH1184" s="443"/>
    </row>
    <row r="1185" spans="1:34" ht="16.5">
      <c r="A1185" s="728">
        <f t="shared" si="205"/>
        <v>1178</v>
      </c>
      <c r="B1185" s="765">
        <v>2</v>
      </c>
      <c r="C1185" s="694">
        <v>43177</v>
      </c>
      <c r="D1185" s="763" t="str">
        <f t="shared" ref="D1185:D1207" si="214">TEXT(C1185,"mmmm")</f>
        <v>March</v>
      </c>
      <c r="E1185" s="763">
        <f t="shared" ref="E1185:E1207" si="215">DAY(C1185)</f>
        <v>18</v>
      </c>
      <c r="F1185" s="762">
        <f t="shared" ref="F1185:F1207" si="216">YEAR(C1185)</f>
        <v>2018</v>
      </c>
      <c r="G1185" s="763" t="s">
        <v>106</v>
      </c>
      <c r="H1185" s="762" t="s">
        <v>162</v>
      </c>
      <c r="I1185" s="763">
        <v>70</v>
      </c>
      <c r="J1185" s="763">
        <v>2.88</v>
      </c>
      <c r="K1185" s="778">
        <f t="shared" si="212"/>
        <v>0.11454545454545453</v>
      </c>
      <c r="L1185" s="968">
        <v>0</v>
      </c>
      <c r="M1185" s="736">
        <f t="shared" si="210"/>
        <v>20</v>
      </c>
      <c r="N1185" s="764">
        <v>0.84583333333333333</v>
      </c>
      <c r="O1185" s="738">
        <f t="shared" si="209"/>
        <v>0.84583333333333333</v>
      </c>
      <c r="P1185" s="739">
        <v>0.85</v>
      </c>
      <c r="Q1185" s="739">
        <f t="shared" si="213"/>
        <v>4.1666666666666519E-3</v>
      </c>
      <c r="R1185" s="965" t="s">
        <v>1520</v>
      </c>
      <c r="S1185" s="766" t="s">
        <v>1402</v>
      </c>
      <c r="T1185" s="277"/>
      <c r="U1185" s="758" t="str">
        <f t="shared" si="203"/>
        <v>LipscombEF1</v>
      </c>
      <c r="V1185" s="758" t="str">
        <f t="shared" si="204"/>
        <v>2018EF1</v>
      </c>
      <c r="W1185" s="35">
        <v>50</v>
      </c>
      <c r="X1185" s="251">
        <v>2</v>
      </c>
      <c r="Y1185" s="468">
        <v>0.1</v>
      </c>
      <c r="Z1185" s="758"/>
      <c r="AA1185" s="758" t="str">
        <f t="shared" si="206"/>
        <v>EF150</v>
      </c>
      <c r="AB1185" s="758" t="str">
        <f t="shared" si="207"/>
        <v>EF12</v>
      </c>
      <c r="AC1185" s="758" t="str">
        <f t="shared" si="208"/>
        <v>EF10.1</v>
      </c>
      <c r="AD1185" s="758" t="str">
        <f t="shared" si="211"/>
        <v>EF120</v>
      </c>
      <c r="AE1185" s="760"/>
      <c r="AF1185" s="760"/>
      <c r="AG1185" s="443"/>
      <c r="AH1185" s="443"/>
    </row>
    <row r="1186" spans="1:34" ht="16.5">
      <c r="A1186" s="728">
        <f t="shared" si="205"/>
        <v>1179</v>
      </c>
      <c r="B1186" s="765">
        <v>3</v>
      </c>
      <c r="C1186" s="694">
        <v>43248</v>
      </c>
      <c r="D1186" s="763" t="str">
        <f t="shared" si="214"/>
        <v>May</v>
      </c>
      <c r="E1186" s="763">
        <f t="shared" si="215"/>
        <v>28</v>
      </c>
      <c r="F1186" s="762">
        <f t="shared" si="216"/>
        <v>2018</v>
      </c>
      <c r="G1186" s="763" t="s">
        <v>100</v>
      </c>
      <c r="H1186" s="762" t="s">
        <v>161</v>
      </c>
      <c r="I1186" s="763">
        <v>50</v>
      </c>
      <c r="J1186" s="763">
        <v>0.26</v>
      </c>
      <c r="K1186" s="778">
        <f t="shared" si="212"/>
        <v>7.3863636363636362E-3</v>
      </c>
      <c r="L1186" s="968">
        <v>0</v>
      </c>
      <c r="M1186" s="736">
        <f t="shared" si="210"/>
        <v>18</v>
      </c>
      <c r="N1186" s="764">
        <v>0.77847222222222223</v>
      </c>
      <c r="O1186" s="738">
        <f t="shared" si="209"/>
        <v>0.77847222222222223</v>
      </c>
      <c r="P1186" s="739">
        <v>0.77916666666666667</v>
      </c>
      <c r="Q1186" s="739">
        <f t="shared" si="213"/>
        <v>6.9444444444444198E-4</v>
      </c>
      <c r="R1186" s="965" t="s">
        <v>1520</v>
      </c>
      <c r="S1186" s="766" t="s">
        <v>1403</v>
      </c>
      <c r="T1186" s="277"/>
      <c r="U1186" s="758" t="str">
        <f t="shared" si="203"/>
        <v>TexasEF0</v>
      </c>
      <c r="V1186" s="758" t="str">
        <f t="shared" si="204"/>
        <v>2018EF0</v>
      </c>
      <c r="W1186" s="35">
        <v>50</v>
      </c>
      <c r="X1186" s="251">
        <v>0.2</v>
      </c>
      <c r="Y1186" s="468">
        <v>5.0000000000000001E-3</v>
      </c>
      <c r="Z1186" s="758"/>
      <c r="AA1186" s="758" t="str">
        <f t="shared" si="206"/>
        <v>EF050</v>
      </c>
      <c r="AB1186" s="758" t="str">
        <f t="shared" si="207"/>
        <v>EF00.2</v>
      </c>
      <c r="AC1186" s="758" t="str">
        <f t="shared" si="208"/>
        <v>EF00.005</v>
      </c>
      <c r="AD1186" s="758" t="str">
        <f t="shared" si="211"/>
        <v>EF018</v>
      </c>
      <c r="AE1186" s="760"/>
      <c r="AF1186" s="760"/>
      <c r="AG1186" s="443"/>
      <c r="AH1186" s="443"/>
    </row>
    <row r="1187" spans="1:34" ht="16.5">
      <c r="A1187" s="728">
        <f t="shared" si="205"/>
        <v>1180</v>
      </c>
      <c r="B1187" s="765">
        <v>4</v>
      </c>
      <c r="C1187" s="694">
        <v>43248</v>
      </c>
      <c r="D1187" s="763" t="str">
        <f t="shared" si="214"/>
        <v>May</v>
      </c>
      <c r="E1187" s="763">
        <f t="shared" si="215"/>
        <v>28</v>
      </c>
      <c r="F1187" s="762">
        <f t="shared" si="216"/>
        <v>2018</v>
      </c>
      <c r="G1187" s="763" t="s">
        <v>100</v>
      </c>
      <c r="H1187" s="762" t="s">
        <v>162</v>
      </c>
      <c r="I1187" s="763">
        <v>200</v>
      </c>
      <c r="J1187" s="763">
        <v>2.02</v>
      </c>
      <c r="K1187" s="778">
        <f t="shared" si="212"/>
        <v>0.22954545454545455</v>
      </c>
      <c r="L1187" s="968">
        <v>0</v>
      </c>
      <c r="M1187" s="736">
        <f t="shared" si="210"/>
        <v>19</v>
      </c>
      <c r="N1187" s="764">
        <v>0.80625000000000002</v>
      </c>
      <c r="O1187" s="738">
        <f t="shared" si="209"/>
        <v>0.80625000000000002</v>
      </c>
      <c r="P1187" s="739">
        <v>0.80833333333333324</v>
      </c>
      <c r="Q1187" s="739">
        <f t="shared" si="213"/>
        <v>2.0833333333332149E-3</v>
      </c>
      <c r="R1187" s="965" t="s">
        <v>1520</v>
      </c>
      <c r="S1187" s="766" t="s">
        <v>1404</v>
      </c>
      <c r="T1187" s="277"/>
      <c r="U1187" s="758" t="str">
        <f t="shared" si="203"/>
        <v>TexasEF1</v>
      </c>
      <c r="V1187" s="758" t="str">
        <f t="shared" si="204"/>
        <v>2018EF1</v>
      </c>
      <c r="W1187" s="35">
        <v>200</v>
      </c>
      <c r="X1187" s="251">
        <v>2</v>
      </c>
      <c r="Y1187" s="468">
        <v>0.2</v>
      </c>
      <c r="Z1187" s="758"/>
      <c r="AA1187" s="758" t="str">
        <f t="shared" si="206"/>
        <v>EF1200</v>
      </c>
      <c r="AB1187" s="758" t="str">
        <f t="shared" si="207"/>
        <v>EF12</v>
      </c>
      <c r="AC1187" s="758" t="str">
        <f t="shared" si="208"/>
        <v>EF10.2</v>
      </c>
      <c r="AD1187" s="758" t="str">
        <f t="shared" si="211"/>
        <v>EF119</v>
      </c>
      <c r="AE1187" s="760"/>
      <c r="AF1187" s="760"/>
      <c r="AG1187" s="443"/>
      <c r="AH1187" s="443"/>
    </row>
    <row r="1188" spans="1:34" ht="16.5">
      <c r="A1188" s="728">
        <f t="shared" si="205"/>
        <v>1181</v>
      </c>
      <c r="B1188" s="765">
        <v>5</v>
      </c>
      <c r="C1188" s="694">
        <v>43249</v>
      </c>
      <c r="D1188" s="763" t="str">
        <f t="shared" si="214"/>
        <v>May</v>
      </c>
      <c r="E1188" s="763">
        <f t="shared" si="215"/>
        <v>29</v>
      </c>
      <c r="F1188" s="762">
        <f t="shared" si="216"/>
        <v>2018</v>
      </c>
      <c r="G1188" s="763" t="s">
        <v>115</v>
      </c>
      <c r="H1188" s="762" t="s">
        <v>161</v>
      </c>
      <c r="I1188" s="763">
        <v>50</v>
      </c>
      <c r="J1188" s="763">
        <v>0.1</v>
      </c>
      <c r="K1188" s="778">
        <f t="shared" si="212"/>
        <v>2.840909090909091E-3</v>
      </c>
      <c r="L1188" s="968">
        <v>0</v>
      </c>
      <c r="M1188" s="736">
        <f t="shared" si="210"/>
        <v>16</v>
      </c>
      <c r="N1188" s="764">
        <v>0.69166666666666676</v>
      </c>
      <c r="O1188" s="738">
        <f t="shared" si="209"/>
        <v>0.69166666666666676</v>
      </c>
      <c r="P1188" s="739">
        <v>0.69236111111111109</v>
      </c>
      <c r="Q1188" s="739">
        <f t="shared" si="213"/>
        <v>6.9444444444433095E-4</v>
      </c>
      <c r="R1188" s="965" t="s">
        <v>1520</v>
      </c>
      <c r="S1188" s="766" t="s">
        <v>1405</v>
      </c>
      <c r="T1188" s="277"/>
      <c r="U1188" s="758" t="str">
        <f t="shared" si="203"/>
        <v>GrayEF0</v>
      </c>
      <c r="V1188" s="758" t="str">
        <f t="shared" si="204"/>
        <v>2018EF0</v>
      </c>
      <c r="W1188" s="35">
        <v>50</v>
      </c>
      <c r="X1188" s="251">
        <v>0.1</v>
      </c>
      <c r="Y1188" s="468">
        <v>2E-3</v>
      </c>
      <c r="Z1188" s="758"/>
      <c r="AA1188" s="758" t="str">
        <f t="shared" si="206"/>
        <v>EF050</v>
      </c>
      <c r="AB1188" s="758" t="str">
        <f t="shared" si="207"/>
        <v>EF00.1</v>
      </c>
      <c r="AC1188" s="758" t="str">
        <f t="shared" si="208"/>
        <v>EF00.002</v>
      </c>
      <c r="AD1188" s="758" t="str">
        <f t="shared" si="211"/>
        <v>EF016</v>
      </c>
      <c r="AE1188" s="760"/>
      <c r="AF1188" s="760"/>
      <c r="AG1188" s="443"/>
      <c r="AH1188" s="443"/>
    </row>
    <row r="1189" spans="1:34" ht="16.5">
      <c r="A1189" s="728">
        <f t="shared" si="205"/>
        <v>1182</v>
      </c>
      <c r="B1189" s="765">
        <v>6</v>
      </c>
      <c r="C1189" s="694">
        <v>43249</v>
      </c>
      <c r="D1189" s="763" t="str">
        <f t="shared" si="214"/>
        <v>May</v>
      </c>
      <c r="E1189" s="763">
        <f t="shared" si="215"/>
        <v>29</v>
      </c>
      <c r="F1189" s="762">
        <f t="shared" si="216"/>
        <v>2018</v>
      </c>
      <c r="G1189" s="763" t="s">
        <v>116</v>
      </c>
      <c r="H1189" s="762" t="s">
        <v>161</v>
      </c>
      <c r="I1189" s="763">
        <v>50</v>
      </c>
      <c r="J1189" s="763">
        <v>0.1</v>
      </c>
      <c r="K1189" s="778">
        <f t="shared" si="212"/>
        <v>2.840909090909091E-3</v>
      </c>
      <c r="L1189" s="968">
        <v>0</v>
      </c>
      <c r="M1189" s="736">
        <f t="shared" si="210"/>
        <v>17</v>
      </c>
      <c r="N1189" s="764">
        <v>0.71458333333333324</v>
      </c>
      <c r="O1189" s="738">
        <f t="shared" si="209"/>
        <v>0.71458333333333324</v>
      </c>
      <c r="P1189" s="739">
        <v>0.71527777777777779</v>
      </c>
      <c r="Q1189" s="739">
        <f t="shared" si="213"/>
        <v>6.94444444444553E-4</v>
      </c>
      <c r="R1189" s="965" t="s">
        <v>1520</v>
      </c>
      <c r="S1189" s="766" t="s">
        <v>1406</v>
      </c>
      <c r="T1189" s="277"/>
      <c r="U1189" s="758" t="str">
        <f t="shared" si="203"/>
        <v>WheelerEF0</v>
      </c>
      <c r="V1189" s="758" t="str">
        <f t="shared" si="204"/>
        <v>2018EF0</v>
      </c>
      <c r="W1189" s="35">
        <v>50</v>
      </c>
      <c r="X1189" s="251">
        <v>0.1</v>
      </c>
      <c r="Y1189" s="468">
        <v>2E-3</v>
      </c>
      <c r="Z1189" s="758"/>
      <c r="AA1189" s="758" t="str">
        <f t="shared" si="206"/>
        <v>EF050</v>
      </c>
      <c r="AB1189" s="758" t="str">
        <f t="shared" si="207"/>
        <v>EF00.1</v>
      </c>
      <c r="AC1189" s="758" t="str">
        <f t="shared" si="208"/>
        <v>EF00.002</v>
      </c>
      <c r="AD1189" s="758" t="str">
        <f t="shared" si="211"/>
        <v>EF017</v>
      </c>
      <c r="AE1189" s="760"/>
      <c r="AF1189" s="760"/>
      <c r="AG1189" s="443"/>
      <c r="AH1189" s="443"/>
    </row>
    <row r="1190" spans="1:34" ht="25.5">
      <c r="A1190" s="728">
        <f t="shared" si="205"/>
        <v>1183</v>
      </c>
      <c r="B1190" s="765">
        <v>7</v>
      </c>
      <c r="C1190" s="694">
        <v>43263</v>
      </c>
      <c r="D1190" s="763" t="str">
        <f t="shared" si="214"/>
        <v>June</v>
      </c>
      <c r="E1190" s="763">
        <f t="shared" si="215"/>
        <v>12</v>
      </c>
      <c r="F1190" s="762">
        <f t="shared" si="216"/>
        <v>2018</v>
      </c>
      <c r="G1190" s="763" t="s">
        <v>114</v>
      </c>
      <c r="H1190" s="762" t="s">
        <v>161</v>
      </c>
      <c r="I1190" s="763">
        <v>10</v>
      </c>
      <c r="J1190" s="763">
        <v>0.1</v>
      </c>
      <c r="K1190" s="778">
        <f t="shared" si="212"/>
        <v>5.6818181818181826E-4</v>
      </c>
      <c r="L1190" s="968">
        <v>0</v>
      </c>
      <c r="M1190" s="736">
        <f t="shared" si="210"/>
        <v>17</v>
      </c>
      <c r="N1190" s="764">
        <v>0.7402777777777777</v>
      </c>
      <c r="O1190" s="738">
        <f t="shared" si="209"/>
        <v>0.7402777777777777</v>
      </c>
      <c r="P1190" s="739">
        <v>0.7402777777777777</v>
      </c>
      <c r="Q1190" s="739">
        <f t="shared" si="213"/>
        <v>0</v>
      </c>
      <c r="R1190" s="965" t="s">
        <v>1520</v>
      </c>
      <c r="S1190" s="766" t="s">
        <v>1441</v>
      </c>
      <c r="T1190" s="277"/>
      <c r="U1190" s="758" t="str">
        <f t="shared" si="203"/>
        <v>CarsonEF0</v>
      </c>
      <c r="V1190" s="758" t="str">
        <f t="shared" si="204"/>
        <v>2018EF0</v>
      </c>
      <c r="W1190" s="35">
        <v>10</v>
      </c>
      <c r="X1190" s="251">
        <v>0.1</v>
      </c>
      <c r="Y1190" s="468">
        <v>5.0000000000000001E-4</v>
      </c>
      <c r="Z1190" s="758"/>
      <c r="AA1190" s="758" t="str">
        <f t="shared" si="206"/>
        <v>EF010</v>
      </c>
      <c r="AB1190" s="758" t="str">
        <f t="shared" si="207"/>
        <v>EF00.1</v>
      </c>
      <c r="AC1190" s="758" t="str">
        <f t="shared" si="208"/>
        <v>EF00.0005</v>
      </c>
      <c r="AD1190" s="758" t="str">
        <f t="shared" si="211"/>
        <v>EF017</v>
      </c>
      <c r="AE1190" s="760"/>
      <c r="AF1190" s="760"/>
      <c r="AG1190" s="443"/>
      <c r="AH1190" s="443"/>
    </row>
    <row r="1191" spans="1:34" ht="25.5">
      <c r="A1191" s="728">
        <f t="shared" si="205"/>
        <v>1184</v>
      </c>
      <c r="B1191" s="765">
        <v>8</v>
      </c>
      <c r="C1191" s="694">
        <v>43273</v>
      </c>
      <c r="D1191" s="763" t="str">
        <f t="shared" si="214"/>
        <v>June</v>
      </c>
      <c r="E1191" s="763">
        <f t="shared" si="215"/>
        <v>22</v>
      </c>
      <c r="F1191" s="762">
        <f t="shared" si="216"/>
        <v>2018</v>
      </c>
      <c r="G1191" s="763" t="s">
        <v>101</v>
      </c>
      <c r="H1191" s="762" t="s">
        <v>161</v>
      </c>
      <c r="I1191" s="763">
        <v>10</v>
      </c>
      <c r="J1191" s="763">
        <v>0.06</v>
      </c>
      <c r="K1191" s="778">
        <f t="shared" si="212"/>
        <v>3.4090909090909088E-4</v>
      </c>
      <c r="L1191" s="968">
        <v>0</v>
      </c>
      <c r="M1191" s="736">
        <f t="shared" si="210"/>
        <v>18</v>
      </c>
      <c r="N1191" s="764">
        <v>0.76180555555555562</v>
      </c>
      <c r="O1191" s="738">
        <f t="shared" si="209"/>
        <v>0.76180555555555562</v>
      </c>
      <c r="P1191" s="739">
        <v>0.76215277777777779</v>
      </c>
      <c r="Q1191" s="739">
        <f t="shared" si="213"/>
        <v>3.4722222222216548E-4</v>
      </c>
      <c r="R1191" s="965" t="s">
        <v>1520</v>
      </c>
      <c r="S1191" s="766" t="s">
        <v>1442</v>
      </c>
      <c r="T1191" s="277"/>
      <c r="U1191" s="758" t="str">
        <f t="shared" si="203"/>
        <v>BeaverEF0</v>
      </c>
      <c r="V1191" s="758" t="str">
        <f t="shared" si="204"/>
        <v>2018EF0</v>
      </c>
      <c r="W1191" s="35">
        <v>10</v>
      </c>
      <c r="X1191" s="251">
        <v>0.05</v>
      </c>
      <c r="Y1191" s="468">
        <v>2.0000000000000001E-4</v>
      </c>
      <c r="Z1191" s="758"/>
      <c r="AA1191" s="758" t="str">
        <f t="shared" si="206"/>
        <v>EF010</v>
      </c>
      <c r="AB1191" s="758" t="str">
        <f t="shared" si="207"/>
        <v>EF00.05</v>
      </c>
      <c r="AC1191" s="758" t="str">
        <f t="shared" si="208"/>
        <v>EF00.0002</v>
      </c>
      <c r="AD1191" s="758" t="str">
        <f t="shared" si="211"/>
        <v>EF018</v>
      </c>
      <c r="AE1191" s="760"/>
      <c r="AF1191" s="760"/>
      <c r="AG1191" s="443"/>
      <c r="AH1191" s="443"/>
    </row>
    <row r="1192" spans="1:34" ht="16.5">
      <c r="A1192" s="728">
        <f t="shared" si="205"/>
        <v>1185</v>
      </c>
      <c r="B1192" s="765">
        <v>9</v>
      </c>
      <c r="C1192" s="694">
        <v>43273</v>
      </c>
      <c r="D1192" s="763" t="str">
        <f t="shared" si="214"/>
        <v>June</v>
      </c>
      <c r="E1192" s="763">
        <f t="shared" si="215"/>
        <v>22</v>
      </c>
      <c r="F1192" s="762">
        <f t="shared" si="216"/>
        <v>2018</v>
      </c>
      <c r="G1192" s="763" t="s">
        <v>116</v>
      </c>
      <c r="H1192" s="762" t="s">
        <v>161</v>
      </c>
      <c r="I1192" s="763">
        <v>50</v>
      </c>
      <c r="J1192" s="763">
        <v>0.53</v>
      </c>
      <c r="K1192" s="778">
        <f t="shared" si="212"/>
        <v>1.5056818181818182E-2</v>
      </c>
      <c r="L1192" s="968">
        <v>0</v>
      </c>
      <c r="M1192" s="736">
        <f t="shared" si="210"/>
        <v>21</v>
      </c>
      <c r="N1192" s="764">
        <v>0.88958333333333339</v>
      </c>
      <c r="O1192" s="738">
        <f t="shared" si="209"/>
        <v>0.88958333333333339</v>
      </c>
      <c r="P1192" s="739">
        <v>0.89027777777777783</v>
      </c>
      <c r="Q1192" s="739">
        <f t="shared" si="213"/>
        <v>6.9444444444444198E-4</v>
      </c>
      <c r="R1192" s="965" t="s">
        <v>1520</v>
      </c>
      <c r="S1192" s="766" t="s">
        <v>1407</v>
      </c>
      <c r="T1192" s="277"/>
      <c r="U1192" s="758" t="str">
        <f t="shared" si="203"/>
        <v>WheelerEF0</v>
      </c>
      <c r="V1192" s="758" t="str">
        <f t="shared" si="204"/>
        <v>2018EF0</v>
      </c>
      <c r="W1192" s="35">
        <v>50</v>
      </c>
      <c r="X1192" s="251">
        <v>0.5</v>
      </c>
      <c r="Y1192" s="468">
        <v>0.01</v>
      </c>
      <c r="Z1192" s="758"/>
      <c r="AA1192" s="758" t="str">
        <f t="shared" si="206"/>
        <v>EF050</v>
      </c>
      <c r="AB1192" s="758" t="str">
        <f t="shared" si="207"/>
        <v>EF00.5</v>
      </c>
      <c r="AC1192" s="758" t="str">
        <f t="shared" si="208"/>
        <v>EF00.01</v>
      </c>
      <c r="AD1192" s="758" t="str">
        <f t="shared" si="211"/>
        <v>EF021</v>
      </c>
      <c r="AE1192" s="760"/>
      <c r="AF1192" s="760"/>
      <c r="AG1192" s="443"/>
      <c r="AH1192" s="443"/>
    </row>
    <row r="1193" spans="1:34" ht="16.5">
      <c r="A1193" s="728">
        <f t="shared" si="205"/>
        <v>1186</v>
      </c>
      <c r="B1193" s="765">
        <v>10</v>
      </c>
      <c r="C1193" s="694">
        <v>43460</v>
      </c>
      <c r="D1193" s="763" t="str">
        <f t="shared" si="214"/>
        <v>December</v>
      </c>
      <c r="E1193" s="763">
        <f t="shared" si="215"/>
        <v>26</v>
      </c>
      <c r="F1193" s="762">
        <f t="shared" si="216"/>
        <v>2018</v>
      </c>
      <c r="G1193" s="763" t="s">
        <v>120</v>
      </c>
      <c r="H1193" s="762" t="s">
        <v>161</v>
      </c>
      <c r="I1193" s="763">
        <v>100</v>
      </c>
      <c r="J1193" s="763">
        <v>0.6</v>
      </c>
      <c r="K1193" s="778">
        <f t="shared" si="212"/>
        <v>3.4090909090909088E-2</v>
      </c>
      <c r="L1193" s="968">
        <v>0</v>
      </c>
      <c r="M1193" s="736">
        <f t="shared" si="210"/>
        <v>16</v>
      </c>
      <c r="N1193" s="764">
        <v>0.68333333333333324</v>
      </c>
      <c r="O1193" s="738">
        <f t="shared" si="209"/>
        <v>0.68333333333333324</v>
      </c>
      <c r="P1193" s="739">
        <v>0.68402777777777779</v>
      </c>
      <c r="Q1193" s="739">
        <f t="shared" si="213"/>
        <v>6.94444444444553E-4</v>
      </c>
      <c r="R1193" s="965" t="s">
        <v>1520</v>
      </c>
      <c r="S1193" s="766" t="s">
        <v>1309</v>
      </c>
      <c r="T1193" s="277"/>
      <c r="U1193" s="758" t="str">
        <f t="shared" si="203"/>
        <v>DonleyEF0</v>
      </c>
      <c r="V1193" s="758" t="str">
        <f t="shared" si="204"/>
        <v>2018EF0</v>
      </c>
      <c r="W1193" s="35">
        <v>100</v>
      </c>
      <c r="X1193" s="251">
        <v>0.5</v>
      </c>
      <c r="Y1193" s="468">
        <v>0.02</v>
      </c>
      <c r="Z1193" s="758"/>
      <c r="AA1193" s="758" t="str">
        <f t="shared" si="206"/>
        <v>EF0100</v>
      </c>
      <c r="AB1193" s="758" t="str">
        <f t="shared" si="207"/>
        <v>EF00.5</v>
      </c>
      <c r="AC1193" s="758" t="str">
        <f t="shared" si="208"/>
        <v>EF00.02</v>
      </c>
      <c r="AD1193" s="758" t="str">
        <f t="shared" si="211"/>
        <v>EF016</v>
      </c>
      <c r="AE1193" s="760"/>
      <c r="AF1193" s="760"/>
      <c r="AG1193" s="443"/>
      <c r="AH1193" s="443"/>
    </row>
    <row r="1194" spans="1:34" ht="25.5">
      <c r="A1194" s="728">
        <f t="shared" si="205"/>
        <v>1187</v>
      </c>
      <c r="B1194" s="765">
        <v>1</v>
      </c>
      <c r="C1194" s="694">
        <v>43546</v>
      </c>
      <c r="D1194" s="763" t="str">
        <f>TEXT(C1194,"mmmm")</f>
        <v>March</v>
      </c>
      <c r="E1194" s="763">
        <f>DAY(C1194)</f>
        <v>22</v>
      </c>
      <c r="F1194" s="762">
        <f>YEAR(C1194)</f>
        <v>2019</v>
      </c>
      <c r="G1194" s="763" t="s">
        <v>108</v>
      </c>
      <c r="H1194" s="906" t="s">
        <v>161</v>
      </c>
      <c r="I1194" s="763">
        <v>200</v>
      </c>
      <c r="J1194" s="763">
        <v>1.48</v>
      </c>
      <c r="K1194" s="778">
        <f>+(I1194/1760)*J1194</f>
        <v>0.16818181818181818</v>
      </c>
      <c r="L1194" s="968">
        <v>0</v>
      </c>
      <c r="M1194" s="736">
        <f>HOUR(O1194)</f>
        <v>16</v>
      </c>
      <c r="N1194" s="764">
        <v>0.67499999999999993</v>
      </c>
      <c r="O1194" s="738">
        <f t="shared" si="209"/>
        <v>0.67499999999999993</v>
      </c>
      <c r="P1194" s="739">
        <v>0.67638888888888893</v>
      </c>
      <c r="Q1194" s="739">
        <f>+P1194-O1194</f>
        <v>1.388888888888995E-3</v>
      </c>
      <c r="R1194" s="965" t="s">
        <v>1520</v>
      </c>
      <c r="S1194" s="766" t="s">
        <v>1502</v>
      </c>
      <c r="T1194" s="277"/>
      <c r="U1194" s="758" t="str">
        <f t="shared" si="203"/>
        <v>MooreEF0</v>
      </c>
      <c r="V1194" s="758" t="str">
        <f t="shared" si="204"/>
        <v>2019EF0</v>
      </c>
      <c r="W1194" s="35">
        <v>200</v>
      </c>
      <c r="X1194" s="251">
        <v>1</v>
      </c>
      <c r="Y1194" s="468">
        <v>0.1</v>
      </c>
      <c r="Z1194" s="758"/>
      <c r="AA1194" s="758" t="str">
        <f t="shared" si="206"/>
        <v>EF0200</v>
      </c>
      <c r="AB1194" s="758" t="str">
        <f t="shared" si="207"/>
        <v>EF01</v>
      </c>
      <c r="AC1194" s="758" t="str">
        <f t="shared" si="208"/>
        <v>EF00.1</v>
      </c>
      <c r="AD1194" s="758" t="str">
        <f t="shared" si="211"/>
        <v>EF016</v>
      </c>
      <c r="AE1194" s="760"/>
      <c r="AF1194" s="760"/>
      <c r="AG1194" s="443"/>
      <c r="AH1194" s="443"/>
    </row>
    <row r="1195" spans="1:34" ht="25.5">
      <c r="A1195" s="728">
        <f t="shared" si="205"/>
        <v>1188</v>
      </c>
      <c r="B1195" s="765">
        <v>2</v>
      </c>
      <c r="C1195" s="694">
        <v>43546</v>
      </c>
      <c r="D1195" s="763" t="str">
        <f t="shared" si="214"/>
        <v>March</v>
      </c>
      <c r="E1195" s="763">
        <f t="shared" si="215"/>
        <v>22</v>
      </c>
      <c r="F1195" s="762">
        <f t="shared" si="216"/>
        <v>2019</v>
      </c>
      <c r="G1195" s="763" t="s">
        <v>112</v>
      </c>
      <c r="H1195" s="906" t="s">
        <v>161</v>
      </c>
      <c r="I1195" s="763">
        <v>40</v>
      </c>
      <c r="J1195" s="763">
        <v>0.64</v>
      </c>
      <c r="K1195" s="778">
        <f t="shared" si="212"/>
        <v>1.4545454545454545E-2</v>
      </c>
      <c r="L1195" s="968">
        <v>0</v>
      </c>
      <c r="M1195" s="736">
        <f t="shared" si="210"/>
        <v>16</v>
      </c>
      <c r="N1195" s="764">
        <v>0.69652777777777775</v>
      </c>
      <c r="O1195" s="738">
        <f t="shared" si="209"/>
        <v>0.69652777777777775</v>
      </c>
      <c r="P1195" s="739">
        <v>0.6972222222222223</v>
      </c>
      <c r="Q1195" s="739">
        <f t="shared" si="213"/>
        <v>6.94444444444553E-4</v>
      </c>
      <c r="R1195" s="965" t="s">
        <v>1520</v>
      </c>
      <c r="S1195" s="766" t="s">
        <v>1503</v>
      </c>
      <c r="T1195" s="277"/>
      <c r="U1195" s="758" t="str">
        <f t="shared" si="203"/>
        <v>OldhamEF0</v>
      </c>
      <c r="V1195" s="758" t="str">
        <f t="shared" si="204"/>
        <v>2019EF0</v>
      </c>
      <c r="W1195" s="35">
        <v>20</v>
      </c>
      <c r="X1195" s="251">
        <v>0.5</v>
      </c>
      <c r="Y1195" s="468">
        <v>0.01</v>
      </c>
      <c r="Z1195" s="758"/>
      <c r="AA1195" s="758" t="str">
        <f t="shared" si="206"/>
        <v>EF020</v>
      </c>
      <c r="AB1195" s="758" t="str">
        <f t="shared" si="207"/>
        <v>EF00.5</v>
      </c>
      <c r="AC1195" s="758" t="str">
        <f t="shared" si="208"/>
        <v>EF00.01</v>
      </c>
      <c r="AD1195" s="758" t="str">
        <f t="shared" si="211"/>
        <v>EF016</v>
      </c>
      <c r="AE1195" s="760"/>
      <c r="AF1195" s="760"/>
      <c r="AG1195" s="443"/>
      <c r="AH1195" s="443"/>
    </row>
    <row r="1196" spans="1:34" ht="25.5">
      <c r="A1196" s="728">
        <f t="shared" si="205"/>
        <v>1189</v>
      </c>
      <c r="B1196" s="765">
        <v>3</v>
      </c>
      <c r="C1196" s="694">
        <v>43546</v>
      </c>
      <c r="D1196" s="763" t="str">
        <f>TEXT(C1196,"mmmm")</f>
        <v>March</v>
      </c>
      <c r="E1196" s="763">
        <f>DAY(C1196)</f>
        <v>22</v>
      </c>
      <c r="F1196" s="762">
        <f>YEAR(C1196)</f>
        <v>2019</v>
      </c>
      <c r="G1196" s="763" t="s">
        <v>118</v>
      </c>
      <c r="H1196" s="906" t="s">
        <v>161</v>
      </c>
      <c r="I1196" s="763">
        <v>50</v>
      </c>
      <c r="J1196" s="763">
        <v>2.08</v>
      </c>
      <c r="K1196" s="778">
        <f>+(I1196/1760)*J1196</f>
        <v>5.909090909090909E-2</v>
      </c>
      <c r="L1196" s="968">
        <v>0</v>
      </c>
      <c r="M1196" s="736">
        <f>HOUR(O1196)</f>
        <v>18</v>
      </c>
      <c r="N1196" s="764">
        <v>0.7895833333333333</v>
      </c>
      <c r="O1196" s="738">
        <f t="shared" si="209"/>
        <v>0.7895833333333333</v>
      </c>
      <c r="P1196" s="739">
        <v>0.79236111111111107</v>
      </c>
      <c r="Q1196" s="739">
        <f>+P1196-O1196</f>
        <v>2.7777777777777679E-3</v>
      </c>
      <c r="R1196" s="965" t="s">
        <v>1520</v>
      </c>
      <c r="S1196" s="766" t="s">
        <v>1504</v>
      </c>
      <c r="T1196" s="277"/>
      <c r="U1196" s="758" t="str">
        <f t="shared" si="203"/>
        <v>RandallEF0</v>
      </c>
      <c r="V1196" s="758" t="str">
        <f t="shared" si="204"/>
        <v>2019EF0</v>
      </c>
      <c r="W1196" s="35">
        <v>50</v>
      </c>
      <c r="X1196" s="251">
        <v>2</v>
      </c>
      <c r="Y1196" s="468">
        <v>0.05</v>
      </c>
      <c r="Z1196" s="758"/>
      <c r="AA1196" s="758" t="str">
        <f t="shared" si="206"/>
        <v>EF050</v>
      </c>
      <c r="AB1196" s="758" t="str">
        <f t="shared" si="207"/>
        <v>EF02</v>
      </c>
      <c r="AC1196" s="758" t="str">
        <f t="shared" si="208"/>
        <v>EF00.05</v>
      </c>
      <c r="AD1196" s="758" t="str">
        <f t="shared" si="211"/>
        <v>EF018</v>
      </c>
      <c r="AE1196" s="760"/>
      <c r="AF1196" s="760"/>
      <c r="AG1196" s="443"/>
      <c r="AH1196" s="443"/>
    </row>
    <row r="1197" spans="1:34" ht="25.5">
      <c r="A1197" s="728">
        <f t="shared" si="205"/>
        <v>1190</v>
      </c>
      <c r="B1197" s="765">
        <v>4</v>
      </c>
      <c r="C1197" s="694">
        <v>43572</v>
      </c>
      <c r="D1197" s="763" t="str">
        <f t="shared" si="214"/>
        <v>April</v>
      </c>
      <c r="E1197" s="763">
        <f t="shared" si="215"/>
        <v>17</v>
      </c>
      <c r="F1197" s="762">
        <f t="shared" si="216"/>
        <v>2019</v>
      </c>
      <c r="G1197" s="763" t="s">
        <v>111</v>
      </c>
      <c r="H1197" s="906" t="s">
        <v>161</v>
      </c>
      <c r="I1197" s="763">
        <v>30</v>
      </c>
      <c r="J1197" s="763">
        <v>2.4300000000000002</v>
      </c>
      <c r="K1197" s="778">
        <f t="shared" si="212"/>
        <v>4.1420454545454545E-2</v>
      </c>
      <c r="L1197" s="968">
        <v>0</v>
      </c>
      <c r="M1197" s="736">
        <f t="shared" si="210"/>
        <v>14</v>
      </c>
      <c r="N1197" s="764">
        <v>0.61041666666666672</v>
      </c>
      <c r="O1197" s="738">
        <f t="shared" si="209"/>
        <v>0.61041666666666672</v>
      </c>
      <c r="P1197" s="739">
        <v>0.62083333333333335</v>
      </c>
      <c r="Q1197" s="739">
        <f t="shared" si="213"/>
        <v>1.041666666666663E-2</v>
      </c>
      <c r="R1197" s="965" t="s">
        <v>1520</v>
      </c>
      <c r="S1197" s="766" t="s">
        <v>1505</v>
      </c>
      <c r="T1197" s="277"/>
      <c r="U1197" s="758" t="str">
        <f t="shared" si="203"/>
        <v>HemphillEF0</v>
      </c>
      <c r="V1197" s="758" t="str">
        <f t="shared" si="204"/>
        <v>2019EF0</v>
      </c>
      <c r="W1197" s="35">
        <v>20</v>
      </c>
      <c r="X1197" s="251">
        <v>2</v>
      </c>
      <c r="Y1197" s="468">
        <v>0.02</v>
      </c>
      <c r="Z1197" s="758"/>
      <c r="AA1197" s="758" t="str">
        <f t="shared" si="206"/>
        <v>EF020</v>
      </c>
      <c r="AB1197" s="758" t="str">
        <f t="shared" si="207"/>
        <v>EF02</v>
      </c>
      <c r="AC1197" s="758" t="str">
        <f t="shared" si="208"/>
        <v>EF00.02</v>
      </c>
      <c r="AD1197" s="758" t="str">
        <f t="shared" si="211"/>
        <v>EF014</v>
      </c>
      <c r="AE1197" s="760"/>
      <c r="AF1197" s="760"/>
      <c r="AG1197" s="443"/>
      <c r="AH1197" s="443"/>
    </row>
    <row r="1198" spans="1:34" ht="16.5">
      <c r="A1198" s="728">
        <f t="shared" si="205"/>
        <v>1191</v>
      </c>
      <c r="B1198" s="765">
        <v>5</v>
      </c>
      <c r="C1198" s="694">
        <v>43572</v>
      </c>
      <c r="D1198" s="763" t="str">
        <f t="shared" si="214"/>
        <v>April</v>
      </c>
      <c r="E1198" s="763">
        <f t="shared" si="215"/>
        <v>17</v>
      </c>
      <c r="F1198" s="762">
        <f t="shared" si="216"/>
        <v>2019</v>
      </c>
      <c r="G1198" s="763" t="s">
        <v>111</v>
      </c>
      <c r="H1198" s="762" t="s">
        <v>161</v>
      </c>
      <c r="I1198" s="763">
        <v>40</v>
      </c>
      <c r="J1198" s="763">
        <v>4.13</v>
      </c>
      <c r="K1198" s="778">
        <f t="shared" si="212"/>
        <v>9.3863636363636357E-2</v>
      </c>
      <c r="L1198" s="968">
        <v>0</v>
      </c>
      <c r="M1198" s="736">
        <f t="shared" si="210"/>
        <v>14</v>
      </c>
      <c r="N1198" s="764">
        <v>0.62083333333333335</v>
      </c>
      <c r="O1198" s="738">
        <f t="shared" si="209"/>
        <v>0.62083333333333335</v>
      </c>
      <c r="P1198" s="739">
        <v>0.63958333333333328</v>
      </c>
      <c r="Q1198" s="739">
        <f t="shared" si="213"/>
        <v>1.8749999999999933E-2</v>
      </c>
      <c r="R1198" s="965" t="s">
        <v>1520</v>
      </c>
      <c r="S1198" s="766" t="s">
        <v>1408</v>
      </c>
      <c r="T1198" s="277"/>
      <c r="U1198" s="758" t="str">
        <f t="shared" si="203"/>
        <v>HemphillEF0</v>
      </c>
      <c r="V1198" s="758" t="str">
        <f t="shared" si="204"/>
        <v>2019EF0</v>
      </c>
      <c r="W1198" s="35">
        <v>20</v>
      </c>
      <c r="X1198" s="251">
        <v>2</v>
      </c>
      <c r="Y1198" s="468">
        <v>0.05</v>
      </c>
      <c r="Z1198" s="758"/>
      <c r="AA1198" s="758" t="str">
        <f t="shared" si="206"/>
        <v>EF020</v>
      </c>
      <c r="AB1198" s="758" t="str">
        <f t="shared" si="207"/>
        <v>EF02</v>
      </c>
      <c r="AC1198" s="758" t="str">
        <f t="shared" si="208"/>
        <v>EF00.05</v>
      </c>
      <c r="AD1198" s="758" t="str">
        <f t="shared" si="211"/>
        <v>EF014</v>
      </c>
      <c r="AE1198" s="760"/>
      <c r="AF1198" s="760"/>
      <c r="AG1198" s="443"/>
      <c r="AH1198" s="443"/>
    </row>
    <row r="1199" spans="1:34" ht="25.5">
      <c r="A1199" s="728">
        <f t="shared" si="205"/>
        <v>1192</v>
      </c>
      <c r="B1199" s="765">
        <v>6</v>
      </c>
      <c r="C1199" s="694">
        <v>43572</v>
      </c>
      <c r="D1199" s="763" t="str">
        <f t="shared" si="214"/>
        <v>April</v>
      </c>
      <c r="E1199" s="763">
        <f t="shared" si="215"/>
        <v>17</v>
      </c>
      <c r="F1199" s="762">
        <f t="shared" si="216"/>
        <v>2019</v>
      </c>
      <c r="G1199" s="763" t="s">
        <v>106</v>
      </c>
      <c r="H1199" s="906" t="s">
        <v>161</v>
      </c>
      <c r="I1199" s="763">
        <v>30</v>
      </c>
      <c r="J1199" s="763">
        <v>1.06</v>
      </c>
      <c r="K1199" s="778">
        <f t="shared" si="212"/>
        <v>1.8068181818181817E-2</v>
      </c>
      <c r="L1199" s="968">
        <v>0</v>
      </c>
      <c r="M1199" s="736">
        <f t="shared" si="210"/>
        <v>15</v>
      </c>
      <c r="N1199" s="764">
        <v>0.64513888888888882</v>
      </c>
      <c r="O1199" s="738">
        <f t="shared" si="209"/>
        <v>0.64513888888888882</v>
      </c>
      <c r="P1199" s="739">
        <v>0.64722222222222225</v>
      </c>
      <c r="Q1199" s="739">
        <f t="shared" si="213"/>
        <v>2.083333333333437E-3</v>
      </c>
      <c r="R1199" s="965" t="s">
        <v>1520</v>
      </c>
      <c r="S1199" s="766" t="s">
        <v>1506</v>
      </c>
      <c r="T1199" s="277"/>
      <c r="U1199" s="758" t="str">
        <f t="shared" si="203"/>
        <v>LipscombEF0</v>
      </c>
      <c r="V1199" s="758" t="str">
        <f t="shared" si="204"/>
        <v>2019EF0</v>
      </c>
      <c r="W1199" s="35">
        <v>20</v>
      </c>
      <c r="X1199" s="251">
        <v>1</v>
      </c>
      <c r="Y1199" s="468">
        <v>0.01</v>
      </c>
      <c r="Z1199" s="758"/>
      <c r="AA1199" s="758" t="str">
        <f t="shared" si="206"/>
        <v>EF020</v>
      </c>
      <c r="AB1199" s="758" t="str">
        <f t="shared" si="207"/>
        <v>EF01</v>
      </c>
      <c r="AC1199" s="758" t="str">
        <f t="shared" si="208"/>
        <v>EF00.01</v>
      </c>
      <c r="AD1199" s="758" t="str">
        <f t="shared" si="211"/>
        <v>EF015</v>
      </c>
      <c r="AE1199" s="760"/>
      <c r="AF1199" s="760"/>
      <c r="AG1199" s="443"/>
      <c r="AH1199" s="443"/>
    </row>
    <row r="1200" spans="1:34" ht="25.5">
      <c r="A1200" s="728">
        <f t="shared" si="205"/>
        <v>1193</v>
      </c>
      <c r="B1200" s="765">
        <v>7</v>
      </c>
      <c r="C1200" s="694">
        <v>43572</v>
      </c>
      <c r="D1200" s="763" t="str">
        <f t="shared" si="214"/>
        <v>April</v>
      </c>
      <c r="E1200" s="763">
        <f t="shared" si="215"/>
        <v>17</v>
      </c>
      <c r="F1200" s="762">
        <f t="shared" si="216"/>
        <v>2019</v>
      </c>
      <c r="G1200" s="763" t="s">
        <v>114</v>
      </c>
      <c r="H1200" s="906" t="s">
        <v>161</v>
      </c>
      <c r="I1200" s="763">
        <v>20</v>
      </c>
      <c r="J1200" s="763">
        <v>1.97</v>
      </c>
      <c r="K1200" s="778">
        <f t="shared" si="212"/>
        <v>2.2386363636363638E-2</v>
      </c>
      <c r="L1200" s="968">
        <v>0</v>
      </c>
      <c r="M1200" s="736">
        <f t="shared" si="210"/>
        <v>16</v>
      </c>
      <c r="N1200" s="764">
        <v>0.67013888888888884</v>
      </c>
      <c r="O1200" s="738">
        <f t="shared" si="209"/>
        <v>0.67013888888888884</v>
      </c>
      <c r="P1200" s="739">
        <v>0.67986111111111114</v>
      </c>
      <c r="Q1200" s="739">
        <f t="shared" si="213"/>
        <v>9.7222222222222987E-3</v>
      </c>
      <c r="R1200" s="965" t="s">
        <v>1520</v>
      </c>
      <c r="S1200" s="766" t="s">
        <v>1507</v>
      </c>
      <c r="T1200" s="277"/>
      <c r="U1200" s="758" t="str">
        <f t="shared" si="203"/>
        <v>CarsonEF0</v>
      </c>
      <c r="V1200" s="758" t="str">
        <f t="shared" si="204"/>
        <v>2019EF0</v>
      </c>
      <c r="W1200" s="35">
        <v>20</v>
      </c>
      <c r="X1200" s="251">
        <v>1</v>
      </c>
      <c r="Y1200" s="468">
        <v>0.02</v>
      </c>
      <c r="Z1200" s="758"/>
      <c r="AA1200" s="758" t="str">
        <f t="shared" si="206"/>
        <v>EF020</v>
      </c>
      <c r="AB1200" s="758" t="str">
        <f t="shared" si="207"/>
        <v>EF01</v>
      </c>
      <c r="AC1200" s="758" t="str">
        <f t="shared" si="208"/>
        <v>EF00.02</v>
      </c>
      <c r="AD1200" s="758" t="str">
        <f t="shared" si="211"/>
        <v>EF016</v>
      </c>
      <c r="AE1200" s="760"/>
      <c r="AF1200" s="760"/>
      <c r="AG1200" s="443"/>
      <c r="AH1200" s="443"/>
    </row>
    <row r="1201" spans="1:34" ht="25.5">
      <c r="A1201" s="728">
        <f t="shared" si="205"/>
        <v>1194</v>
      </c>
      <c r="B1201" s="765">
        <v>8</v>
      </c>
      <c r="C1201" s="694">
        <v>43589</v>
      </c>
      <c r="D1201" s="763" t="str">
        <f t="shared" si="214"/>
        <v>May</v>
      </c>
      <c r="E1201" s="763">
        <f t="shared" si="215"/>
        <v>4</v>
      </c>
      <c r="F1201" s="762">
        <f t="shared" si="216"/>
        <v>2019</v>
      </c>
      <c r="G1201" s="763" t="s">
        <v>112</v>
      </c>
      <c r="H1201" s="906" t="s">
        <v>161</v>
      </c>
      <c r="I1201" s="763">
        <v>10</v>
      </c>
      <c r="J1201" s="763">
        <v>0.09</v>
      </c>
      <c r="K1201" s="778">
        <f t="shared" si="212"/>
        <v>5.113636363636364E-4</v>
      </c>
      <c r="L1201" s="968">
        <v>0</v>
      </c>
      <c r="M1201" s="736">
        <f t="shared" si="210"/>
        <v>18</v>
      </c>
      <c r="N1201" s="764">
        <v>0.76944444444444438</v>
      </c>
      <c r="O1201" s="738">
        <f t="shared" si="209"/>
        <v>0.76944444444444438</v>
      </c>
      <c r="P1201" s="739">
        <v>0.77013888888888893</v>
      </c>
      <c r="Q1201" s="739">
        <f t="shared" si="213"/>
        <v>6.94444444444553E-4</v>
      </c>
      <c r="R1201" s="965" t="s">
        <v>1520</v>
      </c>
      <c r="S1201" s="766" t="s">
        <v>1508</v>
      </c>
      <c r="T1201" s="277"/>
      <c r="U1201" s="758" t="str">
        <f t="shared" si="203"/>
        <v>OldhamEF0</v>
      </c>
      <c r="V1201" s="758" t="str">
        <f t="shared" si="204"/>
        <v>2019EF0</v>
      </c>
      <c r="W1201" s="35">
        <v>10</v>
      </c>
      <c r="X1201" s="251">
        <v>0.05</v>
      </c>
      <c r="Y1201" s="468">
        <v>5.0000000000000001E-4</v>
      </c>
      <c r="Z1201" s="758"/>
      <c r="AA1201" s="758" t="str">
        <f t="shared" si="206"/>
        <v>EF010</v>
      </c>
      <c r="AB1201" s="758" t="str">
        <f t="shared" si="207"/>
        <v>EF00.05</v>
      </c>
      <c r="AC1201" s="758" t="str">
        <f t="shared" si="208"/>
        <v>EF00.0005</v>
      </c>
      <c r="AD1201" s="758" t="str">
        <f t="shared" si="211"/>
        <v>EF018</v>
      </c>
      <c r="AE1201" s="760"/>
      <c r="AF1201" s="760"/>
      <c r="AG1201" s="443"/>
      <c r="AH1201" s="443"/>
    </row>
    <row r="1202" spans="1:34" ht="25.5">
      <c r="A1202" s="728">
        <f t="shared" si="205"/>
        <v>1195</v>
      </c>
      <c r="B1202" s="765">
        <v>9</v>
      </c>
      <c r="C1202" s="694">
        <v>43590</v>
      </c>
      <c r="D1202" s="763" t="str">
        <f t="shared" si="214"/>
        <v>May</v>
      </c>
      <c r="E1202" s="763">
        <f t="shared" si="215"/>
        <v>5</v>
      </c>
      <c r="F1202" s="762">
        <f t="shared" si="216"/>
        <v>2019</v>
      </c>
      <c r="G1202" s="763" t="s">
        <v>110</v>
      </c>
      <c r="H1202" s="906" t="s">
        <v>161</v>
      </c>
      <c r="I1202" s="763">
        <v>500</v>
      </c>
      <c r="J1202" s="763">
        <v>6.4</v>
      </c>
      <c r="K1202" s="778">
        <f t="shared" si="212"/>
        <v>1.8181818181818183</v>
      </c>
      <c r="L1202" s="968">
        <v>0</v>
      </c>
      <c r="M1202" s="736">
        <f t="shared" si="210"/>
        <v>19</v>
      </c>
      <c r="N1202" s="764">
        <v>0.8256944444444444</v>
      </c>
      <c r="O1202" s="738">
        <f t="shared" si="209"/>
        <v>0.8256944444444444</v>
      </c>
      <c r="P1202" s="739">
        <v>0.8354166666666667</v>
      </c>
      <c r="Q1202" s="739">
        <f t="shared" si="213"/>
        <v>9.7222222222222987E-3</v>
      </c>
      <c r="R1202" s="965" t="s">
        <v>1520</v>
      </c>
      <c r="S1202" s="766" t="s">
        <v>1509</v>
      </c>
      <c r="T1202" s="277"/>
      <c r="U1202" s="758" t="str">
        <f t="shared" si="203"/>
        <v>RobertsEF0</v>
      </c>
      <c r="V1202" s="758" t="str">
        <f t="shared" si="204"/>
        <v>2019EF0</v>
      </c>
      <c r="W1202" s="35">
        <v>500</v>
      </c>
      <c r="X1202" s="251">
        <v>5</v>
      </c>
      <c r="Y1202" s="468">
        <v>1</v>
      </c>
      <c r="Z1202" s="758"/>
      <c r="AA1202" s="758" t="str">
        <f t="shared" si="206"/>
        <v>EF0500</v>
      </c>
      <c r="AB1202" s="758" t="str">
        <f t="shared" si="207"/>
        <v>EF05</v>
      </c>
      <c r="AC1202" s="758" t="str">
        <f t="shared" si="208"/>
        <v>EF01</v>
      </c>
      <c r="AD1202" s="758" t="str">
        <f t="shared" si="211"/>
        <v>EF019</v>
      </c>
      <c r="AE1202" s="760"/>
      <c r="AF1202" s="760"/>
      <c r="AG1202" s="443"/>
      <c r="AH1202" s="443"/>
    </row>
    <row r="1203" spans="1:34" ht="38.25">
      <c r="A1203" s="728">
        <f t="shared" si="205"/>
        <v>1196</v>
      </c>
      <c r="B1203" s="765">
        <v>10</v>
      </c>
      <c r="C1203" s="694">
        <v>43592</v>
      </c>
      <c r="D1203" s="763" t="str">
        <f t="shared" si="214"/>
        <v>May</v>
      </c>
      <c r="E1203" s="763">
        <f t="shared" si="215"/>
        <v>7</v>
      </c>
      <c r="F1203" s="762">
        <f t="shared" si="216"/>
        <v>2019</v>
      </c>
      <c r="G1203" s="763" t="s">
        <v>109</v>
      </c>
      <c r="H1203" s="906" t="s">
        <v>161</v>
      </c>
      <c r="I1203" s="763">
        <v>100</v>
      </c>
      <c r="J1203" s="763">
        <v>1.1399999999999999</v>
      </c>
      <c r="K1203" s="778">
        <f t="shared" si="212"/>
        <v>6.477272727272726E-2</v>
      </c>
      <c r="L1203" s="968">
        <v>0</v>
      </c>
      <c r="M1203" s="736">
        <f t="shared" si="210"/>
        <v>14</v>
      </c>
      <c r="N1203" s="764">
        <v>0.60833333333333328</v>
      </c>
      <c r="O1203" s="738">
        <f t="shared" si="209"/>
        <v>0.60833333333333328</v>
      </c>
      <c r="P1203" s="739">
        <v>0.61249999999999993</v>
      </c>
      <c r="Q1203" s="739">
        <f t="shared" si="213"/>
        <v>4.1666666666666519E-3</v>
      </c>
      <c r="R1203" s="965" t="s">
        <v>1520</v>
      </c>
      <c r="S1203" s="766" t="s">
        <v>1510</v>
      </c>
      <c r="T1203" s="277"/>
      <c r="U1203" s="758" t="str">
        <f t="shared" si="203"/>
        <v>HutchinsonEF0</v>
      </c>
      <c r="V1203" s="758" t="str">
        <f t="shared" si="204"/>
        <v>2019EF0</v>
      </c>
      <c r="W1203" s="35">
        <v>100</v>
      </c>
      <c r="X1203" s="251">
        <v>1</v>
      </c>
      <c r="Y1203" s="468">
        <v>0.05</v>
      </c>
      <c r="Z1203" s="758"/>
      <c r="AA1203" s="758" t="str">
        <f t="shared" si="206"/>
        <v>EF0100</v>
      </c>
      <c r="AB1203" s="758" t="str">
        <f t="shared" si="207"/>
        <v>EF01</v>
      </c>
      <c r="AC1203" s="758" t="str">
        <f t="shared" si="208"/>
        <v>EF00.05</v>
      </c>
      <c r="AD1203" s="758" t="str">
        <f t="shared" si="211"/>
        <v>EF014</v>
      </c>
      <c r="AE1203" s="760"/>
      <c r="AF1203" s="760"/>
      <c r="AG1203" s="443"/>
      <c r="AH1203" s="443"/>
    </row>
    <row r="1204" spans="1:34" ht="38.25">
      <c r="A1204" s="728">
        <f t="shared" si="205"/>
        <v>1197</v>
      </c>
      <c r="B1204" s="765">
        <v>11</v>
      </c>
      <c r="C1204" s="694">
        <v>43592</v>
      </c>
      <c r="D1204" s="763" t="str">
        <f t="shared" si="214"/>
        <v>May</v>
      </c>
      <c r="E1204" s="763">
        <f t="shared" si="215"/>
        <v>7</v>
      </c>
      <c r="F1204" s="762">
        <f t="shared" si="216"/>
        <v>2019</v>
      </c>
      <c r="G1204" s="763" t="s">
        <v>104</v>
      </c>
      <c r="H1204" s="906" t="s">
        <v>161</v>
      </c>
      <c r="I1204" s="763">
        <v>100</v>
      </c>
      <c r="J1204" s="763">
        <v>1.77</v>
      </c>
      <c r="K1204" s="778">
        <f t="shared" si="212"/>
        <v>0.10056818181818182</v>
      </c>
      <c r="L1204" s="968">
        <v>0</v>
      </c>
      <c r="M1204" s="736">
        <f t="shared" si="210"/>
        <v>14</v>
      </c>
      <c r="N1204" s="764">
        <v>0.61249999999999993</v>
      </c>
      <c r="O1204" s="738">
        <f t="shared" si="209"/>
        <v>0.61249999999999993</v>
      </c>
      <c r="P1204" s="739">
        <v>0.61736111111111114</v>
      </c>
      <c r="Q1204" s="739">
        <f t="shared" si="213"/>
        <v>4.8611111111112049E-3</v>
      </c>
      <c r="R1204" s="965" t="s">
        <v>1520</v>
      </c>
      <c r="S1204" s="766" t="s">
        <v>1511</v>
      </c>
      <c r="T1204" s="277"/>
      <c r="U1204" s="758" t="str">
        <f t="shared" si="203"/>
        <v>HansfordEF0</v>
      </c>
      <c r="V1204" s="758" t="str">
        <f t="shared" si="204"/>
        <v>2019EF0</v>
      </c>
      <c r="W1204" s="35">
        <v>100</v>
      </c>
      <c r="X1204" s="251">
        <v>1</v>
      </c>
      <c r="Y1204" s="468">
        <v>0.1</v>
      </c>
      <c r="Z1204" s="758"/>
      <c r="AA1204" s="758" t="str">
        <f t="shared" si="206"/>
        <v>EF0100</v>
      </c>
      <c r="AB1204" s="758" t="str">
        <f t="shared" si="207"/>
        <v>EF01</v>
      </c>
      <c r="AC1204" s="758" t="str">
        <f t="shared" si="208"/>
        <v>EF00.1</v>
      </c>
      <c r="AD1204" s="758" t="str">
        <f t="shared" si="211"/>
        <v>EF014</v>
      </c>
      <c r="AE1204" s="760"/>
      <c r="AF1204" s="760"/>
      <c r="AG1204" s="443"/>
      <c r="AH1204" s="443"/>
    </row>
    <row r="1205" spans="1:34" ht="16.5">
      <c r="A1205" s="728">
        <f t="shared" si="205"/>
        <v>1198</v>
      </c>
      <c r="B1205" s="765">
        <v>12</v>
      </c>
      <c r="C1205" s="694">
        <v>43592</v>
      </c>
      <c r="D1205" s="763" t="str">
        <f t="shared" si="214"/>
        <v>May</v>
      </c>
      <c r="E1205" s="763">
        <f t="shared" si="215"/>
        <v>7</v>
      </c>
      <c r="F1205" s="762">
        <f t="shared" si="216"/>
        <v>2019</v>
      </c>
      <c r="G1205" s="763" t="s">
        <v>109</v>
      </c>
      <c r="H1205" s="762" t="s">
        <v>161</v>
      </c>
      <c r="I1205" s="763">
        <v>30</v>
      </c>
      <c r="J1205" s="763">
        <v>7.0000000000000007E-2</v>
      </c>
      <c r="K1205" s="778">
        <f t="shared" si="212"/>
        <v>1.1931818181818183E-3</v>
      </c>
      <c r="L1205" s="968">
        <v>0</v>
      </c>
      <c r="M1205" s="736">
        <f t="shared" si="210"/>
        <v>15</v>
      </c>
      <c r="N1205" s="764">
        <v>0.65902777777777777</v>
      </c>
      <c r="O1205" s="738">
        <f t="shared" si="209"/>
        <v>0.65902777777777777</v>
      </c>
      <c r="P1205" s="739">
        <v>0.65972222222222221</v>
      </c>
      <c r="Q1205" s="739">
        <f t="shared" si="213"/>
        <v>6.9444444444444198E-4</v>
      </c>
      <c r="R1205" s="965" t="s">
        <v>1520</v>
      </c>
      <c r="S1205" s="766" t="s">
        <v>1409</v>
      </c>
      <c r="T1205" s="277"/>
      <c r="U1205" s="758" t="str">
        <f t="shared" si="203"/>
        <v>HutchinsonEF0</v>
      </c>
      <c r="V1205" s="758" t="str">
        <f t="shared" si="204"/>
        <v>2019EF0</v>
      </c>
      <c r="W1205" s="35">
        <v>20</v>
      </c>
      <c r="X1205" s="251">
        <v>0.05</v>
      </c>
      <c r="Y1205" s="468">
        <v>1E-3</v>
      </c>
      <c r="Z1205" s="758"/>
      <c r="AA1205" s="758" t="str">
        <f t="shared" si="206"/>
        <v>EF020</v>
      </c>
      <c r="AB1205" s="758" t="str">
        <f t="shared" si="207"/>
        <v>EF00.05</v>
      </c>
      <c r="AC1205" s="758" t="str">
        <f t="shared" si="208"/>
        <v>EF00.001</v>
      </c>
      <c r="AD1205" s="758" t="str">
        <f t="shared" si="211"/>
        <v>EF015</v>
      </c>
      <c r="AE1205" s="760"/>
      <c r="AF1205" s="760"/>
      <c r="AG1205" s="443"/>
      <c r="AH1205" s="443"/>
    </row>
    <row r="1206" spans="1:34" ht="16.5">
      <c r="A1206" s="728">
        <f t="shared" si="205"/>
        <v>1199</v>
      </c>
      <c r="B1206" s="765">
        <v>13</v>
      </c>
      <c r="C1206" s="694">
        <v>43592</v>
      </c>
      <c r="D1206" s="763" t="str">
        <f t="shared" si="214"/>
        <v>May</v>
      </c>
      <c r="E1206" s="763">
        <f t="shared" si="215"/>
        <v>7</v>
      </c>
      <c r="F1206" s="762">
        <f t="shared" si="216"/>
        <v>2019</v>
      </c>
      <c r="G1206" s="763" t="s">
        <v>105</v>
      </c>
      <c r="H1206" s="762" t="s">
        <v>161</v>
      </c>
      <c r="I1206" s="763">
        <v>20</v>
      </c>
      <c r="J1206" s="763">
        <v>0.03</v>
      </c>
      <c r="K1206" s="778">
        <f>+(I1206/1760)*J1206</f>
        <v>3.4090909090909088E-4</v>
      </c>
      <c r="L1206" s="968">
        <v>0</v>
      </c>
      <c r="M1206" s="736">
        <f t="shared" si="210"/>
        <v>15</v>
      </c>
      <c r="N1206" s="764">
        <v>0.65972222222222221</v>
      </c>
      <c r="O1206" s="738">
        <f t="shared" si="209"/>
        <v>0.65972222222222221</v>
      </c>
      <c r="P1206" s="739">
        <v>0.66041666666666665</v>
      </c>
      <c r="Q1206" s="739">
        <f>+P1206-O1206</f>
        <v>6.9444444444444198E-4</v>
      </c>
      <c r="R1206" s="965" t="s">
        <v>1520</v>
      </c>
      <c r="S1206" s="766" t="s">
        <v>1410</v>
      </c>
      <c r="T1206" s="277"/>
      <c r="U1206" s="758" t="str">
        <f t="shared" si="203"/>
        <v>OchiltreeEF0</v>
      </c>
      <c r="V1206" s="758" t="str">
        <f t="shared" si="204"/>
        <v>2019EF0</v>
      </c>
      <c r="W1206" s="35">
        <v>20</v>
      </c>
      <c r="X1206" s="251">
        <v>0.02</v>
      </c>
      <c r="Y1206" s="468">
        <v>2.0000000000000001E-4</v>
      </c>
      <c r="Z1206" s="758"/>
      <c r="AA1206" s="758" t="str">
        <f t="shared" si="206"/>
        <v>EF020</v>
      </c>
      <c r="AB1206" s="758" t="str">
        <f t="shared" si="207"/>
        <v>EF00.02</v>
      </c>
      <c r="AC1206" s="758" t="str">
        <f t="shared" si="208"/>
        <v>EF00.0002</v>
      </c>
      <c r="AD1206" s="758" t="str">
        <f t="shared" si="211"/>
        <v>EF015</v>
      </c>
      <c r="AE1206" s="760"/>
      <c r="AF1206" s="760"/>
      <c r="AG1206" s="443"/>
      <c r="AH1206" s="443"/>
    </row>
    <row r="1207" spans="1:34" ht="16.5">
      <c r="A1207" s="728">
        <f t="shared" si="205"/>
        <v>1200</v>
      </c>
      <c r="B1207" s="765">
        <v>14</v>
      </c>
      <c r="C1207" s="694">
        <v>43592</v>
      </c>
      <c r="D1207" s="763" t="str">
        <f t="shared" si="214"/>
        <v>May</v>
      </c>
      <c r="E1207" s="763">
        <f t="shared" si="215"/>
        <v>7</v>
      </c>
      <c r="F1207" s="762">
        <f t="shared" si="216"/>
        <v>2019</v>
      </c>
      <c r="G1207" s="761" t="s">
        <v>109</v>
      </c>
      <c r="H1207" s="886" t="s">
        <v>161</v>
      </c>
      <c r="I1207" s="763">
        <v>50</v>
      </c>
      <c r="J1207" s="763">
        <v>5.39</v>
      </c>
      <c r="K1207" s="778">
        <f t="shared" si="212"/>
        <v>0.15312499999999998</v>
      </c>
      <c r="L1207" s="968">
        <v>0</v>
      </c>
      <c r="M1207" s="736">
        <f t="shared" si="210"/>
        <v>16</v>
      </c>
      <c r="N1207" s="764">
        <v>0.6777777777777777</v>
      </c>
      <c r="O1207" s="738">
        <f t="shared" si="209"/>
        <v>0.6777777777777777</v>
      </c>
      <c r="P1207" s="739">
        <v>0.67986111111111114</v>
      </c>
      <c r="Q1207" s="739">
        <f t="shared" si="213"/>
        <v>2.083333333333437E-3</v>
      </c>
      <c r="R1207" s="965" t="s">
        <v>1520</v>
      </c>
      <c r="S1207" s="766" t="s">
        <v>1411</v>
      </c>
      <c r="T1207" s="277"/>
      <c r="U1207" s="758" t="str">
        <f t="shared" si="203"/>
        <v>HutchinsonEF0</v>
      </c>
      <c r="V1207" s="758" t="str">
        <f t="shared" si="204"/>
        <v>2019EF0</v>
      </c>
      <c r="W1207" s="35">
        <v>50</v>
      </c>
      <c r="X1207" s="251">
        <v>5</v>
      </c>
      <c r="Y1207" s="468">
        <v>0.1</v>
      </c>
      <c r="Z1207" s="758"/>
      <c r="AA1207" s="758" t="str">
        <f t="shared" si="206"/>
        <v>EF050</v>
      </c>
      <c r="AB1207" s="758" t="str">
        <f t="shared" si="207"/>
        <v>EF05</v>
      </c>
      <c r="AC1207" s="758" t="str">
        <f t="shared" si="208"/>
        <v>EF00.1</v>
      </c>
      <c r="AD1207" s="758" t="str">
        <f t="shared" si="211"/>
        <v>EF016</v>
      </c>
      <c r="AE1207" s="760"/>
      <c r="AF1207" s="760"/>
      <c r="AG1207" s="443"/>
      <c r="AH1207" s="443"/>
    </row>
    <row r="1208" spans="1:34" ht="16.5">
      <c r="A1208" s="728">
        <f t="shared" si="205"/>
        <v>1201</v>
      </c>
      <c r="B1208" s="765">
        <v>15</v>
      </c>
      <c r="C1208" s="694">
        <v>43592</v>
      </c>
      <c r="D1208" s="763" t="str">
        <f t="shared" ref="D1208:D1272" si="217">TEXT(C1208,"mmmm")</f>
        <v>May</v>
      </c>
      <c r="E1208" s="763">
        <f t="shared" ref="E1208:E1272" si="218">DAY(C1208)</f>
        <v>7</v>
      </c>
      <c r="F1208" s="762">
        <f t="shared" ref="F1208:F1272" si="219">YEAR(C1208)</f>
        <v>2019</v>
      </c>
      <c r="G1208" s="761" t="s">
        <v>119</v>
      </c>
      <c r="H1208" s="886" t="s">
        <v>161</v>
      </c>
      <c r="I1208" s="763">
        <v>100</v>
      </c>
      <c r="J1208" s="763">
        <v>11.49</v>
      </c>
      <c r="K1208" s="778">
        <f t="shared" ref="K1208:K1272" si="220">+(I1208/1760)*J1208</f>
        <v>0.65284090909090908</v>
      </c>
      <c r="L1208" s="968">
        <v>0</v>
      </c>
      <c r="M1208" s="736">
        <f t="shared" ref="M1208:M1272" si="221">HOUR(O1208)</f>
        <v>17</v>
      </c>
      <c r="N1208" s="764">
        <v>0.7270833333333333</v>
      </c>
      <c r="O1208" s="738">
        <f t="shared" ref="O1208:O1272" si="222">+N1208</f>
        <v>0.7270833333333333</v>
      </c>
      <c r="P1208" s="739">
        <v>0.73263888888888884</v>
      </c>
      <c r="Q1208" s="739">
        <f t="shared" ref="Q1208:Q1272" si="223">+P1208-O1208</f>
        <v>5.5555555555555358E-3</v>
      </c>
      <c r="R1208" s="965" t="s">
        <v>1520</v>
      </c>
      <c r="S1208" s="766" t="s">
        <v>1412</v>
      </c>
      <c r="T1208" s="277"/>
      <c r="U1208" s="758" t="str">
        <f t="shared" si="203"/>
        <v>ArmstrongEF0</v>
      </c>
      <c r="V1208" s="758" t="str">
        <f t="shared" si="204"/>
        <v>2019EF0</v>
      </c>
      <c r="W1208" s="35">
        <v>100</v>
      </c>
      <c r="X1208" s="251">
        <v>10</v>
      </c>
      <c r="Y1208" s="468">
        <v>0.5</v>
      </c>
      <c r="Z1208" s="758"/>
      <c r="AA1208" s="758" t="str">
        <f t="shared" si="206"/>
        <v>EF0100</v>
      </c>
      <c r="AB1208" s="758" t="str">
        <f t="shared" si="207"/>
        <v>EF010</v>
      </c>
      <c r="AC1208" s="758" t="str">
        <f t="shared" si="208"/>
        <v>EF00.5</v>
      </c>
      <c r="AD1208" s="758" t="str">
        <f t="shared" si="211"/>
        <v>EF017</v>
      </c>
      <c r="AE1208" s="760"/>
      <c r="AF1208" s="760"/>
      <c r="AG1208" s="443"/>
      <c r="AH1208" s="443"/>
    </row>
    <row r="1209" spans="1:34" ht="25.5">
      <c r="A1209" s="728">
        <f t="shared" si="205"/>
        <v>1202</v>
      </c>
      <c r="B1209" s="765">
        <v>16</v>
      </c>
      <c r="C1209" s="694">
        <v>43592</v>
      </c>
      <c r="D1209" s="763" t="str">
        <f t="shared" si="217"/>
        <v>May</v>
      </c>
      <c r="E1209" s="763">
        <f t="shared" si="218"/>
        <v>7</v>
      </c>
      <c r="F1209" s="762">
        <f t="shared" si="219"/>
        <v>2019</v>
      </c>
      <c r="G1209" s="761" t="s">
        <v>106</v>
      </c>
      <c r="H1209" s="886" t="s">
        <v>161</v>
      </c>
      <c r="I1209" s="763">
        <v>20</v>
      </c>
      <c r="J1209" s="763">
        <v>0.06</v>
      </c>
      <c r="K1209" s="778">
        <f t="shared" si="220"/>
        <v>6.8181818181818176E-4</v>
      </c>
      <c r="L1209" s="968">
        <v>0</v>
      </c>
      <c r="M1209" s="736">
        <f t="shared" si="221"/>
        <v>17</v>
      </c>
      <c r="N1209" s="764">
        <v>0.74722222222222223</v>
      </c>
      <c r="O1209" s="738">
        <f t="shared" si="222"/>
        <v>0.74722222222222223</v>
      </c>
      <c r="P1209" s="739">
        <v>0.74722222222222223</v>
      </c>
      <c r="Q1209" s="739">
        <f t="shared" si="223"/>
        <v>0</v>
      </c>
      <c r="R1209" s="965" t="s">
        <v>1520</v>
      </c>
      <c r="S1209" s="766" t="s">
        <v>1443</v>
      </c>
      <c r="T1209" s="277"/>
      <c r="U1209" s="758" t="str">
        <f t="shared" si="203"/>
        <v>LipscombEF0</v>
      </c>
      <c r="V1209" s="758" t="str">
        <f t="shared" si="204"/>
        <v>2019EF0</v>
      </c>
      <c r="W1209" s="35">
        <v>20</v>
      </c>
      <c r="X1209" s="251">
        <v>0.05</v>
      </c>
      <c r="Y1209" s="468">
        <v>5.0000000000000001E-4</v>
      </c>
      <c r="Z1209" s="758"/>
      <c r="AA1209" s="758" t="str">
        <f t="shared" si="206"/>
        <v>EF020</v>
      </c>
      <c r="AB1209" s="758" t="str">
        <f t="shared" si="207"/>
        <v>EF00.05</v>
      </c>
      <c r="AC1209" s="758" t="str">
        <f t="shared" si="208"/>
        <v>EF00.0005</v>
      </c>
      <c r="AD1209" s="758" t="str">
        <f t="shared" si="211"/>
        <v>EF017</v>
      </c>
      <c r="AE1209" s="760"/>
      <c r="AF1209" s="760"/>
      <c r="AG1209" s="443"/>
      <c r="AH1209" s="443"/>
    </row>
    <row r="1210" spans="1:34" ht="16.5">
      <c r="A1210" s="728">
        <f t="shared" si="205"/>
        <v>1203</v>
      </c>
      <c r="B1210" s="765">
        <v>17</v>
      </c>
      <c r="C1210" s="694">
        <v>43592</v>
      </c>
      <c r="D1210" s="763" t="str">
        <f t="shared" si="217"/>
        <v>May</v>
      </c>
      <c r="E1210" s="763">
        <f t="shared" si="218"/>
        <v>7</v>
      </c>
      <c r="F1210" s="762">
        <f t="shared" si="219"/>
        <v>2019</v>
      </c>
      <c r="G1210" s="761" t="s">
        <v>120</v>
      </c>
      <c r="H1210" s="886" t="s">
        <v>161</v>
      </c>
      <c r="I1210" s="763">
        <v>73</v>
      </c>
      <c r="J1210" s="763">
        <v>1.1000000000000001</v>
      </c>
      <c r="K1210" s="778">
        <f t="shared" si="220"/>
        <v>4.5625000000000006E-2</v>
      </c>
      <c r="L1210" s="968">
        <v>0</v>
      </c>
      <c r="M1210" s="736">
        <f t="shared" si="221"/>
        <v>18</v>
      </c>
      <c r="N1210" s="764">
        <v>0.76736111111111116</v>
      </c>
      <c r="O1210" s="738">
        <f t="shared" si="222"/>
        <v>0.76736111111111116</v>
      </c>
      <c r="P1210" s="739">
        <v>0.76944444444444438</v>
      </c>
      <c r="Q1210" s="739">
        <f t="shared" si="223"/>
        <v>2.0833333333332149E-3</v>
      </c>
      <c r="R1210" s="965" t="s">
        <v>1520</v>
      </c>
      <c r="S1210" s="766" t="s">
        <v>1413</v>
      </c>
      <c r="T1210" s="277"/>
      <c r="U1210" s="758" t="str">
        <f t="shared" si="203"/>
        <v>DonleyEF0</v>
      </c>
      <c r="V1210" s="758" t="str">
        <f t="shared" si="204"/>
        <v>2019EF0</v>
      </c>
      <c r="W1210" s="35">
        <v>50</v>
      </c>
      <c r="X1210" s="251">
        <v>1</v>
      </c>
      <c r="Y1210" s="468">
        <v>0.02</v>
      </c>
      <c r="Z1210" s="758"/>
      <c r="AA1210" s="758" t="str">
        <f t="shared" si="206"/>
        <v>EF050</v>
      </c>
      <c r="AB1210" s="758" t="str">
        <f t="shared" si="207"/>
        <v>EF01</v>
      </c>
      <c r="AC1210" s="758" t="str">
        <f t="shared" si="208"/>
        <v>EF00.02</v>
      </c>
      <c r="AD1210" s="758" t="str">
        <f t="shared" si="211"/>
        <v>EF018</v>
      </c>
      <c r="AE1210" s="760"/>
      <c r="AF1210" s="760"/>
      <c r="AG1210" s="443"/>
      <c r="AH1210" s="443"/>
    </row>
    <row r="1211" spans="1:34" ht="16.5">
      <c r="A1211" s="728">
        <f t="shared" si="205"/>
        <v>1204</v>
      </c>
      <c r="B1211" s="765">
        <v>18</v>
      </c>
      <c r="C1211" s="694">
        <v>43592</v>
      </c>
      <c r="D1211" s="763" t="str">
        <f t="shared" si="217"/>
        <v>May</v>
      </c>
      <c r="E1211" s="763">
        <f t="shared" si="218"/>
        <v>7</v>
      </c>
      <c r="F1211" s="762">
        <f t="shared" si="219"/>
        <v>2019</v>
      </c>
      <c r="G1211" s="761" t="s">
        <v>120</v>
      </c>
      <c r="H1211" s="886" t="s">
        <v>161</v>
      </c>
      <c r="I1211" s="763">
        <v>500</v>
      </c>
      <c r="J1211" s="763">
        <v>4.24</v>
      </c>
      <c r="K1211" s="778">
        <f t="shared" si="220"/>
        <v>1.2045454545454548</v>
      </c>
      <c r="L1211" s="968">
        <v>0</v>
      </c>
      <c r="M1211" s="736">
        <f t="shared" si="221"/>
        <v>18</v>
      </c>
      <c r="N1211" s="764">
        <v>0.78333333333333333</v>
      </c>
      <c r="O1211" s="738">
        <f t="shared" si="222"/>
        <v>0.78333333333333333</v>
      </c>
      <c r="P1211" s="739">
        <v>0.78611111111111109</v>
      </c>
      <c r="Q1211" s="739">
        <f t="shared" si="223"/>
        <v>2.7777777777777679E-3</v>
      </c>
      <c r="R1211" s="965" t="s">
        <v>1520</v>
      </c>
      <c r="S1211" s="766" t="s">
        <v>1414</v>
      </c>
      <c r="T1211" s="277"/>
      <c r="U1211" s="758" t="str">
        <f t="shared" si="203"/>
        <v>DonleyEF0</v>
      </c>
      <c r="V1211" s="758" t="str">
        <f t="shared" si="204"/>
        <v>2019EF0</v>
      </c>
      <c r="W1211" s="35">
        <v>500</v>
      </c>
      <c r="X1211" s="251">
        <v>2</v>
      </c>
      <c r="Y1211" s="468">
        <v>1</v>
      </c>
      <c r="Z1211" s="758"/>
      <c r="AA1211" s="758" t="str">
        <f t="shared" si="206"/>
        <v>EF0500</v>
      </c>
      <c r="AB1211" s="758" t="str">
        <f t="shared" si="207"/>
        <v>EF02</v>
      </c>
      <c r="AC1211" s="758" t="str">
        <f t="shared" si="208"/>
        <v>EF01</v>
      </c>
      <c r="AD1211" s="758" t="str">
        <f t="shared" si="211"/>
        <v>EF018</v>
      </c>
      <c r="AE1211" s="760"/>
      <c r="AF1211" s="760"/>
      <c r="AG1211" s="443"/>
      <c r="AH1211" s="443"/>
    </row>
    <row r="1212" spans="1:34" ht="25.5">
      <c r="A1212" s="728">
        <f t="shared" si="205"/>
        <v>1205</v>
      </c>
      <c r="B1212" s="765">
        <v>19</v>
      </c>
      <c r="C1212" s="694">
        <v>43602</v>
      </c>
      <c r="D1212" s="763" t="str">
        <f t="shared" si="217"/>
        <v>May</v>
      </c>
      <c r="E1212" s="763">
        <f t="shared" si="218"/>
        <v>17</v>
      </c>
      <c r="F1212" s="762">
        <f t="shared" si="219"/>
        <v>2019</v>
      </c>
      <c r="G1212" s="761" t="s">
        <v>101</v>
      </c>
      <c r="H1212" s="907" t="s">
        <v>161</v>
      </c>
      <c r="I1212" s="763">
        <v>50</v>
      </c>
      <c r="J1212" s="763">
        <v>2.88</v>
      </c>
      <c r="K1212" s="778">
        <f t="shared" si="220"/>
        <v>8.1818181818181818E-2</v>
      </c>
      <c r="L1212" s="968">
        <v>0</v>
      </c>
      <c r="M1212" s="736">
        <f t="shared" si="221"/>
        <v>18</v>
      </c>
      <c r="N1212" s="764">
        <v>0.77222222222222225</v>
      </c>
      <c r="O1212" s="738">
        <f t="shared" si="222"/>
        <v>0.77222222222222225</v>
      </c>
      <c r="P1212" s="739">
        <v>0.77708333333333324</v>
      </c>
      <c r="Q1212" s="739">
        <f t="shared" si="223"/>
        <v>4.8611111111109828E-3</v>
      </c>
      <c r="R1212" s="965" t="s">
        <v>1520</v>
      </c>
      <c r="S1212" s="766" t="s">
        <v>1512</v>
      </c>
      <c r="T1212" s="277"/>
      <c r="U1212" s="758" t="str">
        <f t="shared" si="203"/>
        <v>BeaverEF0</v>
      </c>
      <c r="V1212" s="758" t="str">
        <f t="shared" si="204"/>
        <v>2019EF0</v>
      </c>
      <c r="W1212" s="35">
        <v>50</v>
      </c>
      <c r="X1212" s="251">
        <v>2</v>
      </c>
      <c r="Y1212" s="468">
        <v>0.05</v>
      </c>
      <c r="Z1212" s="758"/>
      <c r="AA1212" s="758" t="str">
        <f t="shared" si="206"/>
        <v>EF050</v>
      </c>
      <c r="AB1212" s="758" t="str">
        <f t="shared" si="207"/>
        <v>EF02</v>
      </c>
      <c r="AC1212" s="758" t="str">
        <f t="shared" si="208"/>
        <v>EF00.05</v>
      </c>
      <c r="AD1212" s="758" t="str">
        <f t="shared" si="211"/>
        <v>EF018</v>
      </c>
      <c r="AE1212" s="760"/>
      <c r="AF1212" s="760"/>
      <c r="AG1212" s="443"/>
      <c r="AH1212" s="443"/>
    </row>
    <row r="1213" spans="1:34" ht="16.5">
      <c r="A1213" s="728">
        <f t="shared" si="205"/>
        <v>1206</v>
      </c>
      <c r="B1213" s="765">
        <v>20</v>
      </c>
      <c r="C1213" s="694">
        <v>43605</v>
      </c>
      <c r="D1213" s="763" t="str">
        <f t="shared" si="217"/>
        <v>May</v>
      </c>
      <c r="E1213" s="763">
        <f t="shared" si="218"/>
        <v>20</v>
      </c>
      <c r="F1213" s="762">
        <f t="shared" si="219"/>
        <v>2019</v>
      </c>
      <c r="G1213" s="761" t="s">
        <v>121</v>
      </c>
      <c r="H1213" s="886" t="s">
        <v>161</v>
      </c>
      <c r="I1213" s="763">
        <v>50</v>
      </c>
      <c r="J1213" s="763">
        <v>0.35</v>
      </c>
      <c r="K1213" s="778">
        <f t="shared" si="220"/>
        <v>9.943181818181818E-3</v>
      </c>
      <c r="L1213" s="968">
        <v>0</v>
      </c>
      <c r="M1213" s="736">
        <f t="shared" si="221"/>
        <v>14</v>
      </c>
      <c r="N1213" s="764">
        <v>0.60347222222222219</v>
      </c>
      <c r="O1213" s="738">
        <f t="shared" si="222"/>
        <v>0.60347222222222219</v>
      </c>
      <c r="P1213" s="739">
        <v>0.60416666666666663</v>
      </c>
      <c r="Q1213" s="739">
        <f t="shared" si="223"/>
        <v>6.9444444444444198E-4</v>
      </c>
      <c r="R1213" s="965" t="s">
        <v>1520</v>
      </c>
      <c r="S1213" s="766" t="s">
        <v>1444</v>
      </c>
      <c r="T1213" s="277"/>
      <c r="U1213" s="758" t="str">
        <f t="shared" si="203"/>
        <v>CollingsworthEF0</v>
      </c>
      <c r="V1213" s="758" t="str">
        <f t="shared" si="204"/>
        <v>2019EF0</v>
      </c>
      <c r="W1213" s="35">
        <v>50</v>
      </c>
      <c r="X1213" s="251">
        <v>0.2</v>
      </c>
      <c r="Y1213" s="468">
        <v>5.0000000000000001E-3</v>
      </c>
      <c r="Z1213" s="758"/>
      <c r="AA1213" s="758" t="str">
        <f t="shared" si="206"/>
        <v>EF050</v>
      </c>
      <c r="AB1213" s="758" t="str">
        <f t="shared" si="207"/>
        <v>EF00.2</v>
      </c>
      <c r="AC1213" s="758" t="str">
        <f t="shared" si="208"/>
        <v>EF00.005</v>
      </c>
      <c r="AD1213" s="758" t="str">
        <f t="shared" si="211"/>
        <v>EF014</v>
      </c>
      <c r="AE1213" s="760"/>
      <c r="AF1213" s="760"/>
      <c r="AG1213" s="443"/>
      <c r="AH1213" s="443"/>
    </row>
    <row r="1214" spans="1:34" ht="15" customHeight="1">
      <c r="A1214" s="728">
        <f t="shared" si="205"/>
        <v>1207</v>
      </c>
      <c r="B1214" s="765">
        <v>21</v>
      </c>
      <c r="C1214" s="694">
        <v>43608</v>
      </c>
      <c r="D1214" s="763" t="str">
        <f t="shared" si="217"/>
        <v>May</v>
      </c>
      <c r="E1214" s="763">
        <f t="shared" si="218"/>
        <v>23</v>
      </c>
      <c r="F1214" s="762">
        <f t="shared" si="219"/>
        <v>2019</v>
      </c>
      <c r="G1214" s="761" t="s">
        <v>118</v>
      </c>
      <c r="H1214" s="886" t="s">
        <v>161</v>
      </c>
      <c r="I1214" s="763">
        <v>50</v>
      </c>
      <c r="J1214" s="763">
        <v>0.59</v>
      </c>
      <c r="K1214" s="778">
        <f t="shared" si="220"/>
        <v>1.6761363636363633E-2</v>
      </c>
      <c r="L1214" s="968">
        <v>0</v>
      </c>
      <c r="M1214" s="736">
        <f t="shared" si="221"/>
        <v>16</v>
      </c>
      <c r="N1214" s="764">
        <v>0.66736111111111107</v>
      </c>
      <c r="O1214" s="738">
        <f t="shared" si="222"/>
        <v>0.66736111111111107</v>
      </c>
      <c r="P1214" s="739">
        <v>0.6694444444444444</v>
      </c>
      <c r="Q1214" s="739">
        <f t="shared" si="223"/>
        <v>2.0833333333333259E-3</v>
      </c>
      <c r="R1214" s="965" t="s">
        <v>1520</v>
      </c>
      <c r="S1214" s="766" t="s">
        <v>1445</v>
      </c>
      <c r="T1214" s="277"/>
      <c r="U1214" s="758" t="str">
        <f t="shared" si="203"/>
        <v>RandallEF0</v>
      </c>
      <c r="V1214" s="758" t="str">
        <f t="shared" si="204"/>
        <v>2019EF0</v>
      </c>
      <c r="W1214" s="35">
        <v>50</v>
      </c>
      <c r="X1214" s="251">
        <v>0.5</v>
      </c>
      <c r="Y1214" s="468">
        <v>0.01</v>
      </c>
      <c r="Z1214" s="758"/>
      <c r="AA1214" s="758" t="str">
        <f t="shared" si="206"/>
        <v>EF050</v>
      </c>
      <c r="AB1214" s="758" t="str">
        <f t="shared" si="207"/>
        <v>EF00.5</v>
      </c>
      <c r="AC1214" s="758" t="str">
        <f t="shared" si="208"/>
        <v>EF00.01</v>
      </c>
      <c r="AD1214" s="758" t="str">
        <f t="shared" si="211"/>
        <v>EF016</v>
      </c>
      <c r="AE1214" s="760"/>
      <c r="AF1214" s="760"/>
      <c r="AG1214" s="443"/>
      <c r="AH1214" s="443"/>
    </row>
    <row r="1215" spans="1:34" ht="16.5">
      <c r="A1215" s="728">
        <f t="shared" si="205"/>
        <v>1208</v>
      </c>
      <c r="B1215" s="765">
        <v>22</v>
      </c>
      <c r="C1215" s="694">
        <v>43608</v>
      </c>
      <c r="D1215" s="763" t="str">
        <f t="shared" si="217"/>
        <v>May</v>
      </c>
      <c r="E1215" s="763">
        <f t="shared" si="218"/>
        <v>23</v>
      </c>
      <c r="F1215" s="762">
        <f t="shared" si="219"/>
        <v>2019</v>
      </c>
      <c r="G1215" s="761" t="s">
        <v>119</v>
      </c>
      <c r="H1215" s="886" t="s">
        <v>161</v>
      </c>
      <c r="I1215" s="763">
        <v>50</v>
      </c>
      <c r="J1215" s="763">
        <v>0.71</v>
      </c>
      <c r="K1215" s="778">
        <f t="shared" si="220"/>
        <v>2.0170454545454543E-2</v>
      </c>
      <c r="L1215" s="968">
        <v>0</v>
      </c>
      <c r="M1215" s="736">
        <f t="shared" si="221"/>
        <v>16</v>
      </c>
      <c r="N1215" s="764">
        <v>0.67569444444444438</v>
      </c>
      <c r="O1215" s="738">
        <f t="shared" si="222"/>
        <v>0.67569444444444438</v>
      </c>
      <c r="P1215" s="739">
        <v>0.6777777777777777</v>
      </c>
      <c r="Q1215" s="739">
        <f t="shared" si="223"/>
        <v>2.0833333333333259E-3</v>
      </c>
      <c r="R1215" s="965" t="s">
        <v>1520</v>
      </c>
      <c r="S1215" s="766" t="s">
        <v>1446</v>
      </c>
      <c r="T1215" s="277"/>
      <c r="U1215" s="758" t="str">
        <f t="shared" si="203"/>
        <v>ArmstrongEF0</v>
      </c>
      <c r="V1215" s="758" t="str">
        <f t="shared" si="204"/>
        <v>2019EF0</v>
      </c>
      <c r="W1215" s="35">
        <v>50</v>
      </c>
      <c r="X1215" s="251">
        <v>0.5</v>
      </c>
      <c r="Y1215" s="468">
        <v>0.02</v>
      </c>
      <c r="Z1215" s="758"/>
      <c r="AA1215" s="758" t="str">
        <f t="shared" si="206"/>
        <v>EF050</v>
      </c>
      <c r="AB1215" s="758" t="str">
        <f t="shared" si="207"/>
        <v>EF00.5</v>
      </c>
      <c r="AC1215" s="758" t="str">
        <f t="shared" si="208"/>
        <v>EF00.02</v>
      </c>
      <c r="AD1215" s="758" t="str">
        <f t="shared" si="211"/>
        <v>EF016</v>
      </c>
      <c r="AE1215" s="760"/>
      <c r="AF1215" s="760"/>
      <c r="AG1215" s="443"/>
      <c r="AH1215" s="443"/>
    </row>
    <row r="1216" spans="1:34" ht="16.5">
      <c r="A1216" s="728">
        <f t="shared" si="205"/>
        <v>1209</v>
      </c>
      <c r="B1216" s="765">
        <v>23</v>
      </c>
      <c r="C1216" s="694">
        <v>43608</v>
      </c>
      <c r="D1216" s="763" t="str">
        <f t="shared" si="217"/>
        <v>May</v>
      </c>
      <c r="E1216" s="763">
        <f t="shared" si="218"/>
        <v>23</v>
      </c>
      <c r="F1216" s="762">
        <f t="shared" si="219"/>
        <v>2019</v>
      </c>
      <c r="G1216" s="761" t="s">
        <v>118</v>
      </c>
      <c r="H1216" s="886" t="s">
        <v>161</v>
      </c>
      <c r="I1216" s="763">
        <v>50</v>
      </c>
      <c r="J1216" s="763">
        <v>0.28999999999999998</v>
      </c>
      <c r="K1216" s="778">
        <f t="shared" si="220"/>
        <v>8.2386363636363629E-3</v>
      </c>
      <c r="L1216" s="968">
        <v>0</v>
      </c>
      <c r="M1216" s="736">
        <f t="shared" si="221"/>
        <v>16</v>
      </c>
      <c r="N1216" s="764">
        <v>0.67708333333333337</v>
      </c>
      <c r="O1216" s="738">
        <f t="shared" si="222"/>
        <v>0.67708333333333337</v>
      </c>
      <c r="P1216" s="739">
        <v>0.67847222222222225</v>
      </c>
      <c r="Q1216" s="739">
        <f t="shared" si="223"/>
        <v>1.388888888888884E-3</v>
      </c>
      <c r="R1216" s="965" t="s">
        <v>1520</v>
      </c>
      <c r="S1216" s="766" t="s">
        <v>1448</v>
      </c>
      <c r="T1216" s="277"/>
      <c r="U1216" s="758" t="str">
        <f t="shared" si="203"/>
        <v>RandallEF0</v>
      </c>
      <c r="V1216" s="758" t="str">
        <f t="shared" si="204"/>
        <v>2019EF0</v>
      </c>
      <c r="W1216" s="35">
        <v>50</v>
      </c>
      <c r="X1216" s="251">
        <v>0.2</v>
      </c>
      <c r="Y1216" s="468">
        <v>5.0000000000000001E-3</v>
      </c>
      <c r="Z1216" s="758"/>
      <c r="AA1216" s="758" t="str">
        <f t="shared" si="206"/>
        <v>EF050</v>
      </c>
      <c r="AB1216" s="758" t="str">
        <f t="shared" si="207"/>
        <v>EF00.2</v>
      </c>
      <c r="AC1216" s="758" t="str">
        <f t="shared" si="208"/>
        <v>EF00.005</v>
      </c>
      <c r="AD1216" s="758" t="str">
        <f t="shared" si="211"/>
        <v>EF016</v>
      </c>
      <c r="AE1216" s="760"/>
      <c r="AF1216" s="760"/>
      <c r="AG1216" s="443"/>
      <c r="AH1216" s="443"/>
    </row>
    <row r="1217" spans="1:34" ht="16.5">
      <c r="A1217" s="728">
        <f t="shared" si="205"/>
        <v>1210</v>
      </c>
      <c r="B1217" s="765">
        <v>24</v>
      </c>
      <c r="C1217" s="694">
        <v>43608</v>
      </c>
      <c r="D1217" s="763" t="str">
        <f t="shared" si="217"/>
        <v>May</v>
      </c>
      <c r="E1217" s="763">
        <f t="shared" si="218"/>
        <v>23</v>
      </c>
      <c r="F1217" s="762">
        <f t="shared" si="219"/>
        <v>2019</v>
      </c>
      <c r="G1217" s="761" t="s">
        <v>110</v>
      </c>
      <c r="H1217" s="886" t="s">
        <v>162</v>
      </c>
      <c r="I1217" s="763">
        <v>50</v>
      </c>
      <c r="J1217" s="763">
        <v>9.11</v>
      </c>
      <c r="K1217" s="778">
        <f t="shared" ref="K1217" si="224">+(I1217/1760)*J1217</f>
        <v>0.25880681818181817</v>
      </c>
      <c r="L1217" s="968">
        <v>0</v>
      </c>
      <c r="M1217" s="736">
        <f t="shared" ref="M1217" si="225">HOUR(O1217)</f>
        <v>17</v>
      </c>
      <c r="N1217" s="764">
        <v>0.71805555555555556</v>
      </c>
      <c r="O1217" s="738">
        <f t="shared" ref="O1217" si="226">+N1217</f>
        <v>0.71805555555555556</v>
      </c>
      <c r="P1217" s="739">
        <v>0.72777777777777775</v>
      </c>
      <c r="Q1217" s="739">
        <f t="shared" ref="Q1217" si="227">+P1217-O1217</f>
        <v>9.7222222222221877E-3</v>
      </c>
      <c r="R1217" s="965" t="s">
        <v>1520</v>
      </c>
      <c r="S1217" s="766" t="s">
        <v>1447</v>
      </c>
      <c r="T1217" s="277"/>
      <c r="U1217" s="758" t="str">
        <f t="shared" si="203"/>
        <v>RobertsEF1</v>
      </c>
      <c r="V1217" s="758" t="str">
        <f t="shared" si="204"/>
        <v>2019EF1</v>
      </c>
      <c r="W1217" s="35">
        <v>50</v>
      </c>
      <c r="X1217" s="251">
        <v>5</v>
      </c>
      <c r="Y1217" s="468">
        <v>0.2</v>
      </c>
      <c r="Z1217" s="758"/>
      <c r="AA1217" s="758" t="str">
        <f t="shared" si="206"/>
        <v>EF150</v>
      </c>
      <c r="AB1217" s="758" t="str">
        <f t="shared" si="207"/>
        <v>EF15</v>
      </c>
      <c r="AC1217" s="758" t="str">
        <f t="shared" si="208"/>
        <v>EF10.2</v>
      </c>
      <c r="AD1217" s="758" t="str">
        <f t="shared" si="211"/>
        <v>EF117</v>
      </c>
      <c r="AE1217" s="760"/>
      <c r="AF1217" s="760"/>
      <c r="AG1217" s="443"/>
      <c r="AH1217" s="443"/>
    </row>
    <row r="1218" spans="1:34" ht="25.5">
      <c r="A1218" s="728">
        <f t="shared" si="205"/>
        <v>1211</v>
      </c>
      <c r="B1218" s="765">
        <v>25</v>
      </c>
      <c r="C1218" s="694">
        <v>43608</v>
      </c>
      <c r="D1218" s="763" t="str">
        <f t="shared" si="217"/>
        <v>May</v>
      </c>
      <c r="E1218" s="763">
        <f t="shared" si="218"/>
        <v>23</v>
      </c>
      <c r="F1218" s="762">
        <f t="shared" si="219"/>
        <v>2019</v>
      </c>
      <c r="G1218" s="761" t="s">
        <v>110</v>
      </c>
      <c r="H1218" s="886" t="s">
        <v>160</v>
      </c>
      <c r="I1218" s="763">
        <v>900</v>
      </c>
      <c r="J1218" s="763">
        <v>5.78</v>
      </c>
      <c r="K1218" s="778">
        <f t="shared" si="220"/>
        <v>2.9556818181818181</v>
      </c>
      <c r="L1218" s="968">
        <v>0</v>
      </c>
      <c r="M1218" s="736">
        <f t="shared" si="221"/>
        <v>17</v>
      </c>
      <c r="N1218" s="764">
        <v>0.74930555555555556</v>
      </c>
      <c r="O1218" s="738">
        <f t="shared" si="222"/>
        <v>0.74930555555555556</v>
      </c>
      <c r="P1218" s="739">
        <v>0.75277777777777777</v>
      </c>
      <c r="Q1218" s="739">
        <f t="shared" si="223"/>
        <v>3.4722222222222099E-3</v>
      </c>
      <c r="R1218" s="965" t="s">
        <v>1520</v>
      </c>
      <c r="S1218" s="766" t="s">
        <v>1449</v>
      </c>
      <c r="T1218" s="277"/>
      <c r="U1218" s="758" t="str">
        <f t="shared" si="203"/>
        <v>RobertsEF2</v>
      </c>
      <c r="V1218" s="758" t="str">
        <f t="shared" si="204"/>
        <v>2019EF2</v>
      </c>
      <c r="W1218" s="35">
        <v>500</v>
      </c>
      <c r="X1218" s="251">
        <v>5</v>
      </c>
      <c r="Y1218" s="468">
        <v>2</v>
      </c>
      <c r="Z1218" s="758"/>
      <c r="AA1218" s="758" t="str">
        <f t="shared" si="206"/>
        <v>EF2500</v>
      </c>
      <c r="AB1218" s="758" t="str">
        <f t="shared" si="207"/>
        <v>EF25</v>
      </c>
      <c r="AC1218" s="758" t="str">
        <f t="shared" si="208"/>
        <v>EF22</v>
      </c>
      <c r="AD1218" s="758" t="str">
        <f t="shared" si="211"/>
        <v>EF217</v>
      </c>
      <c r="AE1218" s="760"/>
      <c r="AF1218" s="760"/>
      <c r="AG1218" s="443"/>
      <c r="AH1218" s="443"/>
    </row>
    <row r="1219" spans="1:34" ht="38.25">
      <c r="A1219" s="728">
        <f t="shared" si="205"/>
        <v>1212</v>
      </c>
      <c r="B1219" s="765">
        <v>26</v>
      </c>
      <c r="C1219" s="694">
        <v>43608</v>
      </c>
      <c r="D1219" s="763" t="str">
        <f t="shared" si="217"/>
        <v>May</v>
      </c>
      <c r="E1219" s="763">
        <f t="shared" si="218"/>
        <v>23</v>
      </c>
      <c r="F1219" s="762">
        <f t="shared" si="219"/>
        <v>2019</v>
      </c>
      <c r="G1219" s="761" t="s">
        <v>105</v>
      </c>
      <c r="H1219" s="886" t="s">
        <v>160</v>
      </c>
      <c r="I1219" s="763">
        <v>900</v>
      </c>
      <c r="J1219" s="763">
        <v>7.05</v>
      </c>
      <c r="K1219" s="778">
        <f t="shared" si="220"/>
        <v>3.6051136363636362</v>
      </c>
      <c r="L1219" s="968">
        <v>0</v>
      </c>
      <c r="M1219" s="736">
        <f t="shared" si="221"/>
        <v>18</v>
      </c>
      <c r="N1219" s="764">
        <v>0.75277777777777777</v>
      </c>
      <c r="O1219" s="738">
        <f t="shared" si="222"/>
        <v>0.75277777777777777</v>
      </c>
      <c r="P1219" s="739">
        <v>0.7631944444444444</v>
      </c>
      <c r="Q1219" s="739">
        <f t="shared" si="223"/>
        <v>1.041666666666663E-2</v>
      </c>
      <c r="R1219" s="965" t="s">
        <v>1520</v>
      </c>
      <c r="S1219" s="766" t="s">
        <v>1450</v>
      </c>
      <c r="T1219" s="277"/>
      <c r="U1219" s="758" t="str">
        <f t="shared" si="203"/>
        <v>OchiltreeEF2</v>
      </c>
      <c r="V1219" s="758" t="str">
        <f t="shared" si="204"/>
        <v>2019EF2</v>
      </c>
      <c r="W1219" s="35">
        <v>500</v>
      </c>
      <c r="X1219" s="251">
        <v>5</v>
      </c>
      <c r="Y1219" s="468">
        <v>2</v>
      </c>
      <c r="Z1219" s="758"/>
      <c r="AA1219" s="758" t="str">
        <f t="shared" si="206"/>
        <v>EF2500</v>
      </c>
      <c r="AB1219" s="758" t="str">
        <f t="shared" si="207"/>
        <v>EF25</v>
      </c>
      <c r="AC1219" s="758" t="str">
        <f t="shared" si="208"/>
        <v>EF22</v>
      </c>
      <c r="AD1219" s="758" t="str">
        <f t="shared" si="211"/>
        <v>EF218</v>
      </c>
      <c r="AE1219" s="760"/>
      <c r="AF1219" s="760"/>
      <c r="AG1219" s="443"/>
      <c r="AH1219" s="443"/>
    </row>
    <row r="1220" spans="1:34" ht="16.5">
      <c r="A1220" s="728">
        <f t="shared" si="205"/>
        <v>1213</v>
      </c>
      <c r="B1220" s="765">
        <v>27</v>
      </c>
      <c r="C1220" s="694">
        <v>43608</v>
      </c>
      <c r="D1220" s="763" t="str">
        <f t="shared" si="217"/>
        <v>May</v>
      </c>
      <c r="E1220" s="763">
        <f t="shared" si="218"/>
        <v>23</v>
      </c>
      <c r="F1220" s="762">
        <f t="shared" si="219"/>
        <v>2019</v>
      </c>
      <c r="G1220" s="761" t="s">
        <v>110</v>
      </c>
      <c r="H1220" s="886" t="s">
        <v>161</v>
      </c>
      <c r="I1220" s="763">
        <v>20</v>
      </c>
      <c r="J1220" s="763">
        <v>0.04</v>
      </c>
      <c r="K1220" s="778">
        <f t="shared" si="220"/>
        <v>4.5454545454545455E-4</v>
      </c>
      <c r="L1220" s="968">
        <v>0</v>
      </c>
      <c r="M1220" s="736">
        <f t="shared" si="221"/>
        <v>18</v>
      </c>
      <c r="N1220" s="764">
        <v>0.75486111111111109</v>
      </c>
      <c r="O1220" s="738">
        <f t="shared" si="222"/>
        <v>0.75486111111111109</v>
      </c>
      <c r="P1220" s="739">
        <v>0.75555555555555554</v>
      </c>
      <c r="Q1220" s="739">
        <f t="shared" si="223"/>
        <v>6.9444444444444198E-4</v>
      </c>
      <c r="R1220" s="965" t="s">
        <v>1520</v>
      </c>
      <c r="S1220" s="766" t="s">
        <v>1451</v>
      </c>
      <c r="T1220" s="277"/>
      <c r="U1220" s="758" t="str">
        <f t="shared" si="203"/>
        <v>RobertsEF0</v>
      </c>
      <c r="V1220" s="758" t="str">
        <f t="shared" si="204"/>
        <v>2019EF0</v>
      </c>
      <c r="W1220" s="35">
        <v>20</v>
      </c>
      <c r="X1220" s="251">
        <v>0.02</v>
      </c>
      <c r="Y1220" s="468">
        <v>2.0000000000000001E-4</v>
      </c>
      <c r="Z1220" s="758"/>
      <c r="AA1220" s="758" t="str">
        <f t="shared" si="206"/>
        <v>EF020</v>
      </c>
      <c r="AB1220" s="758" t="str">
        <f t="shared" si="207"/>
        <v>EF00.02</v>
      </c>
      <c r="AC1220" s="758" t="str">
        <f t="shared" si="208"/>
        <v>EF00.0002</v>
      </c>
      <c r="AD1220" s="758" t="str">
        <f t="shared" si="211"/>
        <v>EF018</v>
      </c>
      <c r="AE1220" s="760"/>
      <c r="AF1220" s="760"/>
      <c r="AG1220" s="443"/>
      <c r="AH1220" s="443"/>
    </row>
    <row r="1221" spans="1:34" ht="25.5">
      <c r="A1221" s="728">
        <f t="shared" si="205"/>
        <v>1214</v>
      </c>
      <c r="B1221" s="765">
        <v>28</v>
      </c>
      <c r="C1221" s="694">
        <v>43608</v>
      </c>
      <c r="D1221" s="763" t="str">
        <f t="shared" si="217"/>
        <v>May</v>
      </c>
      <c r="E1221" s="763">
        <f t="shared" si="218"/>
        <v>23</v>
      </c>
      <c r="F1221" s="762">
        <f t="shared" si="219"/>
        <v>2019</v>
      </c>
      <c r="G1221" s="761" t="s">
        <v>106</v>
      </c>
      <c r="H1221" s="886" t="s">
        <v>160</v>
      </c>
      <c r="I1221" s="763">
        <v>900</v>
      </c>
      <c r="J1221" s="763">
        <v>4.68</v>
      </c>
      <c r="K1221" s="778">
        <f t="shared" si="220"/>
        <v>2.3931818181818181</v>
      </c>
      <c r="L1221" s="968">
        <v>0</v>
      </c>
      <c r="M1221" s="736">
        <f t="shared" si="221"/>
        <v>18</v>
      </c>
      <c r="N1221" s="764">
        <v>0.7631944444444444</v>
      </c>
      <c r="O1221" s="738">
        <f t="shared" si="222"/>
        <v>0.7631944444444444</v>
      </c>
      <c r="P1221" s="739">
        <v>0.7729166666666667</v>
      </c>
      <c r="Q1221" s="739">
        <f t="shared" si="223"/>
        <v>9.7222222222222987E-3</v>
      </c>
      <c r="R1221" s="965" t="s">
        <v>1520</v>
      </c>
      <c r="S1221" s="766" t="s">
        <v>1452</v>
      </c>
      <c r="T1221" s="277"/>
      <c r="U1221" s="758" t="str">
        <f t="shared" si="203"/>
        <v>LipscombEF2</v>
      </c>
      <c r="V1221" s="758" t="str">
        <f t="shared" si="204"/>
        <v>2019EF2</v>
      </c>
      <c r="W1221" s="35">
        <v>500</v>
      </c>
      <c r="X1221" s="251">
        <v>2</v>
      </c>
      <c r="Y1221" s="468">
        <v>2</v>
      </c>
      <c r="Z1221" s="758"/>
      <c r="AA1221" s="758" t="str">
        <f t="shared" si="206"/>
        <v>EF2500</v>
      </c>
      <c r="AB1221" s="758" t="str">
        <f t="shared" si="207"/>
        <v>EF22</v>
      </c>
      <c r="AC1221" s="758" t="str">
        <f t="shared" si="208"/>
        <v>EF22</v>
      </c>
      <c r="AD1221" s="758" t="str">
        <f t="shared" si="211"/>
        <v>EF218</v>
      </c>
      <c r="AE1221" s="760"/>
      <c r="AF1221" s="760"/>
      <c r="AG1221" s="443"/>
      <c r="AH1221" s="443"/>
    </row>
    <row r="1222" spans="1:34" ht="38.25">
      <c r="A1222" s="728">
        <f t="shared" si="205"/>
        <v>1215</v>
      </c>
      <c r="B1222" s="765">
        <v>29</v>
      </c>
      <c r="C1222" s="694">
        <v>43608</v>
      </c>
      <c r="D1222" s="763" t="str">
        <f t="shared" si="217"/>
        <v>May</v>
      </c>
      <c r="E1222" s="763">
        <f t="shared" si="218"/>
        <v>23</v>
      </c>
      <c r="F1222" s="762">
        <f t="shared" si="219"/>
        <v>2019</v>
      </c>
      <c r="G1222" s="694" t="s">
        <v>106</v>
      </c>
      <c r="H1222" s="885" t="s">
        <v>160</v>
      </c>
      <c r="I1222" s="763">
        <v>1400</v>
      </c>
      <c r="J1222" s="763">
        <v>4.47</v>
      </c>
      <c r="K1222" s="778">
        <f t="shared" si="220"/>
        <v>3.5556818181818177</v>
      </c>
      <c r="L1222" s="968">
        <v>0</v>
      </c>
      <c r="M1222" s="736">
        <f t="shared" si="221"/>
        <v>19</v>
      </c>
      <c r="N1222" s="764">
        <v>0.80972222222222223</v>
      </c>
      <c r="O1222" s="738">
        <f t="shared" si="222"/>
        <v>0.80972222222222223</v>
      </c>
      <c r="P1222" s="739">
        <v>0.8125</v>
      </c>
      <c r="Q1222" s="739">
        <f t="shared" si="223"/>
        <v>2.7777777777777679E-3</v>
      </c>
      <c r="R1222" s="965" t="s">
        <v>1520</v>
      </c>
      <c r="S1222" s="766" t="s">
        <v>1484</v>
      </c>
      <c r="T1222" s="277"/>
      <c r="U1222" s="758" t="str">
        <f t="shared" si="203"/>
        <v>LipscombEF2</v>
      </c>
      <c r="V1222" s="758" t="str">
        <f t="shared" si="204"/>
        <v>2019EF2</v>
      </c>
      <c r="W1222" s="35">
        <v>1000</v>
      </c>
      <c r="X1222" s="251">
        <v>2</v>
      </c>
      <c r="Y1222" s="468">
        <v>2</v>
      </c>
      <c r="Z1222" s="758"/>
      <c r="AA1222" s="758" t="str">
        <f t="shared" si="206"/>
        <v>EF21000</v>
      </c>
      <c r="AB1222" s="758" t="str">
        <f t="shared" si="207"/>
        <v>EF22</v>
      </c>
      <c r="AC1222" s="758" t="str">
        <f t="shared" si="208"/>
        <v>EF22</v>
      </c>
      <c r="AD1222" s="758" t="str">
        <f t="shared" si="211"/>
        <v>EF219</v>
      </c>
      <c r="AE1222" s="760"/>
      <c r="AF1222" s="760"/>
      <c r="AG1222" s="443"/>
      <c r="AH1222" s="443"/>
    </row>
    <row r="1223" spans="1:34" ht="38.25">
      <c r="A1223" s="728">
        <f t="shared" si="205"/>
        <v>1216</v>
      </c>
      <c r="B1223" s="765">
        <v>30</v>
      </c>
      <c r="C1223" s="694">
        <v>43608</v>
      </c>
      <c r="D1223" s="763" t="str">
        <f t="shared" si="217"/>
        <v>May</v>
      </c>
      <c r="E1223" s="763">
        <f t="shared" si="218"/>
        <v>23</v>
      </c>
      <c r="F1223" s="762">
        <f t="shared" si="219"/>
        <v>2019</v>
      </c>
      <c r="G1223" s="694" t="s">
        <v>101</v>
      </c>
      <c r="H1223" s="885" t="s">
        <v>160</v>
      </c>
      <c r="I1223" s="763">
        <v>1400</v>
      </c>
      <c r="J1223" s="763">
        <v>5.76</v>
      </c>
      <c r="K1223" s="778">
        <f t="shared" si="220"/>
        <v>4.5818181818181811</v>
      </c>
      <c r="L1223" s="968">
        <v>0</v>
      </c>
      <c r="M1223" s="736">
        <f t="shared" si="221"/>
        <v>19</v>
      </c>
      <c r="N1223" s="764">
        <v>0.8125</v>
      </c>
      <c r="O1223" s="738">
        <f t="shared" si="222"/>
        <v>0.8125</v>
      </c>
      <c r="P1223" s="739">
        <v>0.82430555555555562</v>
      </c>
      <c r="Q1223" s="739">
        <f t="shared" si="223"/>
        <v>1.1805555555555625E-2</v>
      </c>
      <c r="R1223" s="965" t="s">
        <v>1520</v>
      </c>
      <c r="S1223" s="766" t="s">
        <v>1485</v>
      </c>
      <c r="T1223" s="277"/>
      <c r="U1223" s="758" t="str">
        <f t="shared" ref="U1223:U1286" si="228">CONCATENATE(G1223,H1223)</f>
        <v>BeaverEF2</v>
      </c>
      <c r="V1223" s="758" t="str">
        <f t="shared" ref="V1223:V1286" si="229">CONCATENATE(F1223,H1223)</f>
        <v>2019EF2</v>
      </c>
      <c r="W1223" s="35">
        <v>1000</v>
      </c>
      <c r="X1223" s="251">
        <v>5</v>
      </c>
      <c r="Y1223" s="468">
        <v>2</v>
      </c>
      <c r="Z1223" s="758"/>
      <c r="AA1223" s="758" t="str">
        <f t="shared" si="206"/>
        <v>EF21000</v>
      </c>
      <c r="AB1223" s="758" t="str">
        <f t="shared" si="207"/>
        <v>EF25</v>
      </c>
      <c r="AC1223" s="758" t="str">
        <f t="shared" si="208"/>
        <v>EF22</v>
      </c>
      <c r="AD1223" s="758" t="str">
        <f t="shared" si="211"/>
        <v>EF219</v>
      </c>
      <c r="AE1223" s="760"/>
      <c r="AF1223" s="760"/>
      <c r="AG1223" s="443"/>
      <c r="AH1223" s="443"/>
    </row>
    <row r="1224" spans="1:34" ht="16.5">
      <c r="A1224" s="728">
        <f t="shared" si="205"/>
        <v>1217</v>
      </c>
      <c r="B1224" s="910">
        <v>31</v>
      </c>
      <c r="C1224" s="694">
        <v>43608</v>
      </c>
      <c r="D1224" s="763" t="str">
        <f t="shared" ref="D1224" si="230">TEXT(C1224,"mmmm")</f>
        <v>May</v>
      </c>
      <c r="E1224" s="763">
        <f t="shared" ref="E1224" si="231">DAY(C1224)</f>
        <v>23</v>
      </c>
      <c r="F1224" s="762">
        <f t="shared" ref="F1224" si="232">YEAR(C1224)</f>
        <v>2019</v>
      </c>
      <c r="G1224" s="911" t="s">
        <v>106</v>
      </c>
      <c r="H1224" s="913" t="s">
        <v>161</v>
      </c>
      <c r="I1224" s="912">
        <v>75</v>
      </c>
      <c r="J1224" s="912">
        <v>4.47</v>
      </c>
      <c r="K1224" s="914">
        <f t="shared" si="220"/>
        <v>0.19048295454545452</v>
      </c>
      <c r="L1224" s="968">
        <v>0</v>
      </c>
      <c r="M1224" s="736">
        <f t="shared" ref="M1224" si="233">HOUR(O1224)</f>
        <v>19</v>
      </c>
      <c r="N1224" s="764">
        <v>0.82152777777777775</v>
      </c>
      <c r="O1224" s="738">
        <f t="shared" ref="O1224" si="234">+N1224</f>
        <v>0.82152777777777775</v>
      </c>
      <c r="P1224" s="739">
        <v>0.82500000000000007</v>
      </c>
      <c r="Q1224" s="739">
        <f t="shared" ref="Q1224" si="235">+P1224-O1224</f>
        <v>3.4722222222223209E-3</v>
      </c>
      <c r="R1224" s="965" t="s">
        <v>1520</v>
      </c>
      <c r="S1224" s="915" t="s">
        <v>1483</v>
      </c>
      <c r="T1224" s="277"/>
      <c r="U1224" s="758" t="str">
        <f t="shared" si="228"/>
        <v>LipscombEF0</v>
      </c>
      <c r="V1224" s="758" t="str">
        <f t="shared" si="229"/>
        <v>2019EF0</v>
      </c>
      <c r="W1224" s="35">
        <v>50</v>
      </c>
      <c r="X1224" s="251">
        <v>2</v>
      </c>
      <c r="Y1224" s="468">
        <v>0.1</v>
      </c>
      <c r="Z1224" s="758"/>
      <c r="AA1224" s="758" t="str">
        <f t="shared" si="206"/>
        <v>EF050</v>
      </c>
      <c r="AB1224" s="758" t="str">
        <f t="shared" si="207"/>
        <v>EF02</v>
      </c>
      <c r="AC1224" s="758" t="str">
        <f t="shared" si="208"/>
        <v>EF00.1</v>
      </c>
      <c r="AD1224" s="758" t="str">
        <f t="shared" si="211"/>
        <v>EF019</v>
      </c>
      <c r="AE1224" s="760"/>
      <c r="AF1224" s="760"/>
      <c r="AG1224" s="443"/>
      <c r="AH1224" s="443"/>
    </row>
    <row r="1225" spans="1:34" ht="16.5">
      <c r="A1225" s="728">
        <f t="shared" si="205"/>
        <v>1218</v>
      </c>
      <c r="B1225" s="765">
        <v>32</v>
      </c>
      <c r="C1225" s="694">
        <v>43611</v>
      </c>
      <c r="D1225" s="763" t="str">
        <f t="shared" si="217"/>
        <v>May</v>
      </c>
      <c r="E1225" s="763">
        <f t="shared" si="218"/>
        <v>26</v>
      </c>
      <c r="F1225" s="762">
        <f t="shared" si="219"/>
        <v>2019</v>
      </c>
      <c r="G1225" s="694" t="s">
        <v>112</v>
      </c>
      <c r="H1225" s="885" t="s">
        <v>161</v>
      </c>
      <c r="I1225" s="763">
        <v>50</v>
      </c>
      <c r="J1225" s="763">
        <v>0.34</v>
      </c>
      <c r="K1225" s="778">
        <f t="shared" si="220"/>
        <v>9.6590909090909088E-3</v>
      </c>
      <c r="L1225" s="968">
        <v>0</v>
      </c>
      <c r="M1225" s="736">
        <f t="shared" si="221"/>
        <v>18</v>
      </c>
      <c r="N1225" s="764">
        <v>0.76736111111111116</v>
      </c>
      <c r="O1225" s="738">
        <f t="shared" si="222"/>
        <v>0.76736111111111116</v>
      </c>
      <c r="P1225" s="739">
        <v>0.7680555555555556</v>
      </c>
      <c r="Q1225" s="739">
        <f t="shared" si="223"/>
        <v>6.9444444444444198E-4</v>
      </c>
      <c r="R1225" s="965" t="s">
        <v>1520</v>
      </c>
      <c r="S1225" s="766" t="s">
        <v>1453</v>
      </c>
      <c r="T1225" s="277"/>
      <c r="U1225" s="758" t="str">
        <f t="shared" si="228"/>
        <v>OldhamEF0</v>
      </c>
      <c r="V1225" s="758" t="str">
        <f t="shared" si="229"/>
        <v>2019EF0</v>
      </c>
      <c r="W1225" s="35">
        <v>50</v>
      </c>
      <c r="X1225" s="251">
        <v>0.2</v>
      </c>
      <c r="Y1225" s="468">
        <v>5.0000000000000001E-3</v>
      </c>
      <c r="Z1225" s="758"/>
      <c r="AA1225" s="758" t="str">
        <f t="shared" si="206"/>
        <v>EF050</v>
      </c>
      <c r="AB1225" s="758" t="str">
        <f t="shared" si="207"/>
        <v>EF00.2</v>
      </c>
      <c r="AC1225" s="758" t="str">
        <f t="shared" si="208"/>
        <v>EF00.005</v>
      </c>
      <c r="AD1225" s="758" t="str">
        <f t="shared" si="211"/>
        <v>EF018</v>
      </c>
      <c r="AE1225" s="760"/>
      <c r="AF1225" s="760"/>
      <c r="AG1225" s="443"/>
      <c r="AH1225" s="443"/>
    </row>
    <row r="1226" spans="1:34" ht="16.5">
      <c r="A1226" s="728">
        <f t="shared" si="205"/>
        <v>1219</v>
      </c>
      <c r="B1226" s="765">
        <v>33</v>
      </c>
      <c r="C1226" s="694">
        <v>43611</v>
      </c>
      <c r="D1226" s="763" t="str">
        <f t="shared" si="217"/>
        <v>May</v>
      </c>
      <c r="E1226" s="763">
        <f t="shared" si="218"/>
        <v>26</v>
      </c>
      <c r="F1226" s="762">
        <f t="shared" si="219"/>
        <v>2019</v>
      </c>
      <c r="G1226" s="694" t="s">
        <v>107</v>
      </c>
      <c r="H1226" s="885" t="s">
        <v>161</v>
      </c>
      <c r="I1226" s="763">
        <v>50</v>
      </c>
      <c r="J1226" s="763">
        <v>2</v>
      </c>
      <c r="K1226" s="778">
        <f t="shared" si="220"/>
        <v>5.6818181818181816E-2</v>
      </c>
      <c r="L1226" s="968">
        <v>0</v>
      </c>
      <c r="M1226" s="736">
        <f t="shared" si="221"/>
        <v>19</v>
      </c>
      <c r="N1226" s="764">
        <v>0.79305555555555562</v>
      </c>
      <c r="O1226" s="738">
        <f t="shared" si="222"/>
        <v>0.79305555555555562</v>
      </c>
      <c r="P1226" s="739">
        <v>0.79513888888888884</v>
      </c>
      <c r="Q1226" s="739">
        <f t="shared" si="223"/>
        <v>2.0833333333332149E-3</v>
      </c>
      <c r="R1226" s="965" t="s">
        <v>1520</v>
      </c>
      <c r="S1226" s="766" t="s">
        <v>1454</v>
      </c>
      <c r="T1226" s="277"/>
      <c r="U1226" s="758" t="str">
        <f t="shared" si="228"/>
        <v>HartleyEF0</v>
      </c>
      <c r="V1226" s="758" t="str">
        <f t="shared" si="229"/>
        <v>2019EF0</v>
      </c>
      <c r="W1226" s="35">
        <v>50</v>
      </c>
      <c r="X1226" s="251">
        <v>2</v>
      </c>
      <c r="Y1226" s="468">
        <v>0.05</v>
      </c>
      <c r="Z1226" s="758"/>
      <c r="AA1226" s="758" t="str">
        <f t="shared" si="206"/>
        <v>EF050</v>
      </c>
      <c r="AB1226" s="758" t="str">
        <f t="shared" si="207"/>
        <v>EF02</v>
      </c>
      <c r="AC1226" s="758" t="str">
        <f t="shared" si="208"/>
        <v>EF00.05</v>
      </c>
      <c r="AD1226" s="758" t="str">
        <f t="shared" si="211"/>
        <v>EF019</v>
      </c>
      <c r="AE1226" s="760"/>
      <c r="AF1226" s="760"/>
      <c r="AG1226" s="443"/>
      <c r="AH1226" s="443"/>
    </row>
    <row r="1227" spans="1:34" ht="16.5">
      <c r="A1227" s="728">
        <f t="shared" ref="A1227:A1290" si="236">+A1226+1</f>
        <v>1220</v>
      </c>
      <c r="B1227" s="765">
        <v>34</v>
      </c>
      <c r="C1227" s="694">
        <v>43611</v>
      </c>
      <c r="D1227" s="763" t="str">
        <f t="shared" si="217"/>
        <v>May</v>
      </c>
      <c r="E1227" s="763">
        <f t="shared" si="218"/>
        <v>26</v>
      </c>
      <c r="F1227" s="762">
        <f t="shared" si="219"/>
        <v>2019</v>
      </c>
      <c r="G1227" s="694" t="s">
        <v>107</v>
      </c>
      <c r="H1227" s="885" t="s">
        <v>161</v>
      </c>
      <c r="I1227" s="763">
        <v>75</v>
      </c>
      <c r="J1227" s="763">
        <v>5.2</v>
      </c>
      <c r="K1227" s="778">
        <f t="shared" si="220"/>
        <v>0.22159090909090909</v>
      </c>
      <c r="L1227" s="968">
        <v>0</v>
      </c>
      <c r="M1227" s="736">
        <f t="shared" si="221"/>
        <v>19</v>
      </c>
      <c r="N1227" s="764">
        <v>0.80138888888888893</v>
      </c>
      <c r="O1227" s="738">
        <f t="shared" si="222"/>
        <v>0.80138888888888893</v>
      </c>
      <c r="P1227" s="739">
        <v>0.80555555555555547</v>
      </c>
      <c r="Q1227" s="739">
        <f t="shared" si="223"/>
        <v>4.1666666666665408E-3</v>
      </c>
      <c r="R1227" s="965" t="s">
        <v>1520</v>
      </c>
      <c r="S1227" s="766" t="s">
        <v>1455</v>
      </c>
      <c r="T1227" s="277"/>
      <c r="U1227" s="758" t="str">
        <f t="shared" si="228"/>
        <v>HartleyEF0</v>
      </c>
      <c r="V1227" s="758" t="str">
        <f t="shared" si="229"/>
        <v>2019EF0</v>
      </c>
      <c r="W1227" s="35">
        <v>50</v>
      </c>
      <c r="X1227" s="251">
        <v>5</v>
      </c>
      <c r="Y1227" s="468">
        <v>0.2</v>
      </c>
      <c r="Z1227" s="758"/>
      <c r="AA1227" s="758" t="str">
        <f t="shared" si="206"/>
        <v>EF050</v>
      </c>
      <c r="AB1227" s="758" t="str">
        <f t="shared" si="207"/>
        <v>EF05</v>
      </c>
      <c r="AC1227" s="758" t="str">
        <f t="shared" si="208"/>
        <v>EF00.2</v>
      </c>
      <c r="AD1227" s="758" t="str">
        <f t="shared" si="211"/>
        <v>EF019</v>
      </c>
      <c r="AE1227" s="760"/>
      <c r="AF1227" s="760"/>
      <c r="AG1227" s="443"/>
      <c r="AH1227" s="443"/>
    </row>
    <row r="1228" spans="1:34" ht="16.5">
      <c r="A1228" s="728">
        <f t="shared" si="236"/>
        <v>1221</v>
      </c>
      <c r="B1228" s="765">
        <v>35</v>
      </c>
      <c r="C1228" s="694">
        <v>43611</v>
      </c>
      <c r="D1228" s="763" t="str">
        <f t="shared" si="217"/>
        <v>May</v>
      </c>
      <c r="E1228" s="763">
        <f t="shared" si="218"/>
        <v>26</v>
      </c>
      <c r="F1228" s="762">
        <f t="shared" si="219"/>
        <v>2019</v>
      </c>
      <c r="G1228" s="694" t="s">
        <v>112</v>
      </c>
      <c r="H1228" s="885" t="s">
        <v>161</v>
      </c>
      <c r="I1228" s="763">
        <v>50</v>
      </c>
      <c r="J1228" s="763">
        <v>1.51</v>
      </c>
      <c r="K1228" s="778">
        <f t="shared" si="220"/>
        <v>4.2897727272727275E-2</v>
      </c>
      <c r="L1228" s="968">
        <v>0</v>
      </c>
      <c r="M1228" s="736">
        <f t="shared" si="221"/>
        <v>23</v>
      </c>
      <c r="N1228" s="764">
        <v>0.97569444444444453</v>
      </c>
      <c r="O1228" s="738">
        <f t="shared" si="222"/>
        <v>0.97569444444444453</v>
      </c>
      <c r="P1228" s="739">
        <v>0.97638888888888886</v>
      </c>
      <c r="Q1228" s="739">
        <f t="shared" si="223"/>
        <v>6.9444444444433095E-4</v>
      </c>
      <c r="R1228" s="965" t="s">
        <v>1520</v>
      </c>
      <c r="S1228" s="766" t="s">
        <v>1456</v>
      </c>
      <c r="T1228" s="277"/>
      <c r="U1228" s="758" t="str">
        <f t="shared" si="228"/>
        <v>OldhamEF0</v>
      </c>
      <c r="V1228" s="758" t="str">
        <f t="shared" si="229"/>
        <v>2019EF0</v>
      </c>
      <c r="W1228" s="35">
        <v>50</v>
      </c>
      <c r="X1228" s="251">
        <v>1</v>
      </c>
      <c r="Y1228" s="468">
        <v>0.02</v>
      </c>
      <c r="Z1228" s="758"/>
      <c r="AA1228" s="758" t="str">
        <f t="shared" si="206"/>
        <v>EF050</v>
      </c>
      <c r="AB1228" s="758" t="str">
        <f t="shared" si="207"/>
        <v>EF01</v>
      </c>
      <c r="AC1228" s="758" t="str">
        <f t="shared" si="208"/>
        <v>EF00.02</v>
      </c>
      <c r="AD1228" s="758" t="str">
        <f t="shared" si="211"/>
        <v>EF023</v>
      </c>
      <c r="AE1228" s="760"/>
      <c r="AF1228" s="760"/>
      <c r="AG1228" s="443"/>
      <c r="AH1228" s="443"/>
    </row>
    <row r="1229" spans="1:34" ht="16.5">
      <c r="A1229" s="728">
        <f t="shared" si="236"/>
        <v>1222</v>
      </c>
      <c r="B1229" s="765">
        <v>36</v>
      </c>
      <c r="C1229" s="694">
        <v>43612</v>
      </c>
      <c r="D1229" s="763" t="str">
        <f t="shared" si="217"/>
        <v>May</v>
      </c>
      <c r="E1229" s="763">
        <f t="shared" si="218"/>
        <v>27</v>
      </c>
      <c r="F1229" s="762">
        <f t="shared" si="219"/>
        <v>2019</v>
      </c>
      <c r="G1229" s="694" t="s">
        <v>113</v>
      </c>
      <c r="H1229" s="885" t="s">
        <v>161</v>
      </c>
      <c r="I1229" s="763">
        <v>50</v>
      </c>
      <c r="J1229" s="763">
        <v>1.58</v>
      </c>
      <c r="K1229" s="778">
        <f t="shared" si="220"/>
        <v>4.4886363636363634E-2</v>
      </c>
      <c r="L1229" s="968">
        <v>0</v>
      </c>
      <c r="M1229" s="736">
        <f t="shared" si="221"/>
        <v>0</v>
      </c>
      <c r="N1229" s="764">
        <v>6.9444444444444441E-3</v>
      </c>
      <c r="O1229" s="738">
        <f t="shared" si="222"/>
        <v>6.9444444444444441E-3</v>
      </c>
      <c r="P1229" s="739">
        <v>7.6388888888888886E-3</v>
      </c>
      <c r="Q1229" s="739">
        <f t="shared" si="223"/>
        <v>6.9444444444444458E-4</v>
      </c>
      <c r="R1229" s="965" t="s">
        <v>1520</v>
      </c>
      <c r="S1229" s="766" t="s">
        <v>1457</v>
      </c>
      <c r="T1229" s="277"/>
      <c r="U1229" s="758" t="str">
        <f t="shared" si="228"/>
        <v>PotterEF0</v>
      </c>
      <c r="V1229" s="758" t="str">
        <f t="shared" si="229"/>
        <v>2019EF0</v>
      </c>
      <c r="W1229" s="35">
        <v>50</v>
      </c>
      <c r="X1229" s="251">
        <v>1</v>
      </c>
      <c r="Y1229" s="468">
        <v>0.02</v>
      </c>
      <c r="Z1229" s="758"/>
      <c r="AA1229" s="758" t="str">
        <f t="shared" si="206"/>
        <v>EF050</v>
      </c>
      <c r="AB1229" s="758" t="str">
        <f t="shared" si="207"/>
        <v>EF01</v>
      </c>
      <c r="AC1229" s="758" t="str">
        <f t="shared" si="208"/>
        <v>EF00.02</v>
      </c>
      <c r="AD1229" s="758" t="str">
        <f t="shared" si="211"/>
        <v>EF00</v>
      </c>
      <c r="AE1229" s="760"/>
      <c r="AF1229" s="760"/>
      <c r="AG1229" s="443"/>
      <c r="AH1229" s="443"/>
    </row>
    <row r="1230" spans="1:34" ht="25.5">
      <c r="A1230" s="728">
        <f t="shared" si="236"/>
        <v>1223</v>
      </c>
      <c r="B1230" s="765">
        <v>37</v>
      </c>
      <c r="C1230" s="694">
        <v>43618</v>
      </c>
      <c r="D1230" s="763" t="str">
        <f t="shared" si="217"/>
        <v>June</v>
      </c>
      <c r="E1230" s="763">
        <f t="shared" si="218"/>
        <v>2</v>
      </c>
      <c r="F1230" s="762">
        <f t="shared" si="219"/>
        <v>2019</v>
      </c>
      <c r="G1230" s="694" t="s">
        <v>99</v>
      </c>
      <c r="H1230" s="885" t="s">
        <v>161</v>
      </c>
      <c r="I1230" s="763">
        <v>20</v>
      </c>
      <c r="J1230" s="763">
        <v>0.01</v>
      </c>
      <c r="K1230" s="778">
        <f t="shared" si="220"/>
        <v>1.1363636363636364E-4</v>
      </c>
      <c r="L1230" s="968">
        <v>0</v>
      </c>
      <c r="M1230" s="736">
        <f t="shared" si="221"/>
        <v>19</v>
      </c>
      <c r="N1230" s="764">
        <v>0.8041666666666667</v>
      </c>
      <c r="O1230" s="738">
        <f t="shared" si="222"/>
        <v>0.8041666666666667</v>
      </c>
      <c r="P1230" s="739">
        <v>0.8041666666666667</v>
      </c>
      <c r="Q1230" s="739">
        <f t="shared" si="223"/>
        <v>0</v>
      </c>
      <c r="R1230" s="965" t="s">
        <v>1520</v>
      </c>
      <c r="S1230" s="766" t="s">
        <v>1458</v>
      </c>
      <c r="T1230" s="277"/>
      <c r="U1230" s="758" t="str">
        <f t="shared" si="228"/>
        <v>CimarronEF0</v>
      </c>
      <c r="V1230" s="758" t="str">
        <f t="shared" si="229"/>
        <v>2019EF0</v>
      </c>
      <c r="W1230" s="35">
        <v>20</v>
      </c>
      <c r="X1230" s="251">
        <v>0.01</v>
      </c>
      <c r="Y1230" s="468">
        <v>1E-4</v>
      </c>
      <c r="Z1230" s="758"/>
      <c r="AA1230" s="758" t="str">
        <f t="shared" si="206"/>
        <v>EF020</v>
      </c>
      <c r="AB1230" s="758" t="str">
        <f t="shared" si="207"/>
        <v>EF00.01</v>
      </c>
      <c r="AC1230" s="758" t="str">
        <f t="shared" si="208"/>
        <v>EF00.0001</v>
      </c>
      <c r="AD1230" s="758" t="str">
        <f t="shared" si="211"/>
        <v>EF019</v>
      </c>
      <c r="AE1230" s="760"/>
      <c r="AF1230" s="760"/>
      <c r="AG1230" s="443"/>
      <c r="AH1230" s="443"/>
    </row>
    <row r="1231" spans="1:34" ht="16.5">
      <c r="A1231" s="728">
        <f t="shared" si="236"/>
        <v>1224</v>
      </c>
      <c r="B1231" s="765">
        <v>38</v>
      </c>
      <c r="C1231" s="694">
        <v>43634</v>
      </c>
      <c r="D1231" s="763" t="str">
        <f t="shared" si="217"/>
        <v>June</v>
      </c>
      <c r="E1231" s="763">
        <f t="shared" si="218"/>
        <v>18</v>
      </c>
      <c r="F1231" s="762">
        <f t="shared" si="219"/>
        <v>2019</v>
      </c>
      <c r="G1231" s="694" t="s">
        <v>115</v>
      </c>
      <c r="H1231" s="885" t="s">
        <v>161</v>
      </c>
      <c r="I1231" s="763">
        <v>20</v>
      </c>
      <c r="J1231" s="763">
        <v>0.96</v>
      </c>
      <c r="K1231" s="778">
        <f t="shared" si="220"/>
        <v>1.0909090909090908E-2</v>
      </c>
      <c r="L1231" s="968">
        <v>0</v>
      </c>
      <c r="M1231" s="736">
        <f t="shared" si="221"/>
        <v>19</v>
      </c>
      <c r="N1231" s="764">
        <v>0.79861111111111116</v>
      </c>
      <c r="O1231" s="738">
        <f t="shared" si="222"/>
        <v>0.79861111111111116</v>
      </c>
      <c r="P1231" s="739">
        <v>0.79999999999999993</v>
      </c>
      <c r="Q1231" s="739">
        <f t="shared" si="223"/>
        <v>1.3888888888887729E-3</v>
      </c>
      <c r="R1231" s="965" t="s">
        <v>1520</v>
      </c>
      <c r="S1231" s="766" t="s">
        <v>1459</v>
      </c>
      <c r="T1231" s="277"/>
      <c r="U1231" s="758" t="str">
        <f t="shared" si="228"/>
        <v>GrayEF0</v>
      </c>
      <c r="V1231" s="758" t="str">
        <f t="shared" si="229"/>
        <v>2019EF0</v>
      </c>
      <c r="W1231" s="35">
        <v>20</v>
      </c>
      <c r="X1231" s="251">
        <v>0.5</v>
      </c>
      <c r="Y1231" s="468">
        <v>0.01</v>
      </c>
      <c r="Z1231" s="758"/>
      <c r="AA1231" s="758" t="str">
        <f t="shared" si="206"/>
        <v>EF020</v>
      </c>
      <c r="AB1231" s="758" t="str">
        <f t="shared" si="207"/>
        <v>EF00.5</v>
      </c>
      <c r="AC1231" s="758" t="str">
        <f t="shared" si="208"/>
        <v>EF00.01</v>
      </c>
      <c r="AD1231" s="758" t="str">
        <f t="shared" si="211"/>
        <v>EF019</v>
      </c>
      <c r="AE1231" s="760"/>
      <c r="AF1231" s="760"/>
      <c r="AG1231" s="443"/>
      <c r="AH1231" s="443"/>
    </row>
    <row r="1232" spans="1:34" ht="16.5">
      <c r="A1232" s="728">
        <f t="shared" si="236"/>
        <v>1225</v>
      </c>
      <c r="B1232" s="765">
        <v>39</v>
      </c>
      <c r="C1232" s="694">
        <v>43638</v>
      </c>
      <c r="D1232" s="763" t="str">
        <f t="shared" si="217"/>
        <v>June</v>
      </c>
      <c r="E1232" s="763">
        <f t="shared" si="218"/>
        <v>22</v>
      </c>
      <c r="F1232" s="762">
        <f t="shared" si="219"/>
        <v>2019</v>
      </c>
      <c r="G1232" s="694" t="s">
        <v>119</v>
      </c>
      <c r="H1232" s="885" t="s">
        <v>161</v>
      </c>
      <c r="I1232" s="763">
        <v>50</v>
      </c>
      <c r="J1232" s="763">
        <v>2.4500000000000002</v>
      </c>
      <c r="K1232" s="778">
        <f t="shared" si="220"/>
        <v>6.9602272727272735E-2</v>
      </c>
      <c r="L1232" s="968">
        <v>0</v>
      </c>
      <c r="M1232" s="736">
        <f t="shared" si="221"/>
        <v>21</v>
      </c>
      <c r="N1232" s="764">
        <v>0.90486111111111101</v>
      </c>
      <c r="O1232" s="738">
        <f t="shared" si="222"/>
        <v>0.90486111111111101</v>
      </c>
      <c r="P1232" s="739">
        <v>0.90902777777777777</v>
      </c>
      <c r="Q1232" s="739">
        <f t="shared" si="223"/>
        <v>4.1666666666667629E-3</v>
      </c>
      <c r="R1232" s="965" t="s">
        <v>1520</v>
      </c>
      <c r="S1232" s="766" t="s">
        <v>1460</v>
      </c>
      <c r="T1232" s="277"/>
      <c r="U1232" s="758" t="str">
        <f t="shared" si="228"/>
        <v>ArmstrongEF0</v>
      </c>
      <c r="V1232" s="758" t="str">
        <f t="shared" si="229"/>
        <v>2019EF0</v>
      </c>
      <c r="W1232" s="35">
        <v>50</v>
      </c>
      <c r="X1232" s="251">
        <v>2</v>
      </c>
      <c r="Y1232" s="468">
        <v>0.05</v>
      </c>
      <c r="Z1232" s="758"/>
      <c r="AA1232" s="758" t="str">
        <f t="shared" ref="AA1232:AA1295" si="237">CONCATENATE(H1232,W1232)</f>
        <v>EF050</v>
      </c>
      <c r="AB1232" s="758" t="str">
        <f t="shared" ref="AB1232:AB1295" si="238">CONCATENATE(H1232,X1232)</f>
        <v>EF02</v>
      </c>
      <c r="AC1232" s="758" t="str">
        <f t="shared" ref="AC1232:AC1295" si="239">CONCATENATE(H1232,Y1232)</f>
        <v>EF00.05</v>
      </c>
      <c r="AD1232" s="758" t="str">
        <f t="shared" si="211"/>
        <v>EF021</v>
      </c>
      <c r="AE1232" s="760"/>
      <c r="AF1232" s="760"/>
      <c r="AG1232" s="443"/>
      <c r="AH1232" s="443"/>
    </row>
    <row r="1233" spans="1:34" ht="16.5">
      <c r="A1233" s="728">
        <f t="shared" si="236"/>
        <v>1226</v>
      </c>
      <c r="B1233" s="765">
        <v>40</v>
      </c>
      <c r="C1233" s="694">
        <v>43638</v>
      </c>
      <c r="D1233" s="763" t="str">
        <f t="shared" si="217"/>
        <v>June</v>
      </c>
      <c r="E1233" s="763">
        <f t="shared" si="218"/>
        <v>22</v>
      </c>
      <c r="F1233" s="762">
        <f t="shared" si="219"/>
        <v>2019</v>
      </c>
      <c r="G1233" s="694" t="s">
        <v>119</v>
      </c>
      <c r="H1233" s="885" t="s">
        <v>161</v>
      </c>
      <c r="I1233" s="763">
        <v>200</v>
      </c>
      <c r="J1233" s="763">
        <v>2.08</v>
      </c>
      <c r="K1233" s="778">
        <f t="shared" si="220"/>
        <v>0.23636363636363636</v>
      </c>
      <c r="L1233" s="968">
        <v>0</v>
      </c>
      <c r="M1233" s="736">
        <f t="shared" si="221"/>
        <v>21</v>
      </c>
      <c r="N1233" s="764">
        <v>0.91319444444444453</v>
      </c>
      <c r="O1233" s="738">
        <f t="shared" si="222"/>
        <v>0.91319444444444453</v>
      </c>
      <c r="P1233" s="739">
        <v>0.9194444444444444</v>
      </c>
      <c r="Q1233" s="739">
        <f t="shared" si="223"/>
        <v>6.2499999999998668E-3</v>
      </c>
      <c r="R1233" s="965" t="s">
        <v>1520</v>
      </c>
      <c r="S1233" s="766" t="s">
        <v>1461</v>
      </c>
      <c r="T1233" s="277"/>
      <c r="U1233" s="758" t="str">
        <f t="shared" si="228"/>
        <v>ArmstrongEF0</v>
      </c>
      <c r="V1233" s="758" t="str">
        <f t="shared" si="229"/>
        <v>2019EF0</v>
      </c>
      <c r="W1233" s="35">
        <v>200</v>
      </c>
      <c r="X1233" s="251">
        <v>2</v>
      </c>
      <c r="Y1233" s="468">
        <v>0.2</v>
      </c>
      <c r="Z1233" s="758"/>
      <c r="AA1233" s="758" t="str">
        <f t="shared" si="237"/>
        <v>EF0200</v>
      </c>
      <c r="AB1233" s="758" t="str">
        <f t="shared" si="238"/>
        <v>EF02</v>
      </c>
      <c r="AC1233" s="758" t="str">
        <f t="shared" si="239"/>
        <v>EF00.2</v>
      </c>
      <c r="AD1233" s="758" t="str">
        <f t="shared" si="211"/>
        <v>EF021</v>
      </c>
      <c r="AE1233" s="760"/>
      <c r="AF1233" s="760"/>
      <c r="AG1233" s="443"/>
      <c r="AH1233" s="443"/>
    </row>
    <row r="1234" spans="1:34" ht="16.5">
      <c r="A1234" s="728">
        <f t="shared" si="236"/>
        <v>1227</v>
      </c>
      <c r="B1234" s="765">
        <v>41</v>
      </c>
      <c r="C1234" s="694">
        <v>43700</v>
      </c>
      <c r="D1234" s="763" t="str">
        <f t="shared" si="217"/>
        <v>August</v>
      </c>
      <c r="E1234" s="763">
        <f t="shared" si="218"/>
        <v>23</v>
      </c>
      <c r="F1234" s="762">
        <f t="shared" si="219"/>
        <v>2019</v>
      </c>
      <c r="G1234" s="694" t="s">
        <v>101</v>
      </c>
      <c r="H1234" s="885" t="s">
        <v>161</v>
      </c>
      <c r="I1234" s="763">
        <v>50</v>
      </c>
      <c r="J1234" s="763">
        <v>1.93</v>
      </c>
      <c r="K1234" s="778">
        <f t="shared" si="220"/>
        <v>5.482954545454545E-2</v>
      </c>
      <c r="L1234" s="968">
        <v>0</v>
      </c>
      <c r="M1234" s="736">
        <f t="shared" si="221"/>
        <v>19</v>
      </c>
      <c r="N1234" s="764">
        <v>0.79861111111111116</v>
      </c>
      <c r="O1234" s="738">
        <f t="shared" si="222"/>
        <v>0.79861111111111116</v>
      </c>
      <c r="P1234" s="739">
        <v>0.80555555555555547</v>
      </c>
      <c r="Q1234" s="739">
        <f t="shared" si="223"/>
        <v>6.9444444444443088E-3</v>
      </c>
      <c r="R1234" s="965" t="s">
        <v>1520</v>
      </c>
      <c r="S1234" s="766" t="s">
        <v>1462</v>
      </c>
      <c r="T1234" s="277"/>
      <c r="U1234" s="758" t="str">
        <f t="shared" si="228"/>
        <v>BeaverEF0</v>
      </c>
      <c r="V1234" s="758" t="str">
        <f t="shared" si="229"/>
        <v>2019EF0</v>
      </c>
      <c r="W1234" s="35">
        <v>50</v>
      </c>
      <c r="X1234" s="251">
        <v>1</v>
      </c>
      <c r="Y1234" s="468">
        <v>0.05</v>
      </c>
      <c r="Z1234" s="758"/>
      <c r="AA1234" s="758" t="str">
        <f t="shared" si="237"/>
        <v>EF050</v>
      </c>
      <c r="AB1234" s="758" t="str">
        <f t="shared" si="238"/>
        <v>EF01</v>
      </c>
      <c r="AC1234" s="758" t="str">
        <f t="shared" si="239"/>
        <v>EF00.05</v>
      </c>
      <c r="AD1234" s="758" t="str">
        <f t="shared" si="211"/>
        <v>EF019</v>
      </c>
      <c r="AE1234" s="760"/>
      <c r="AF1234" s="760"/>
      <c r="AG1234" s="443"/>
      <c r="AH1234" s="443"/>
    </row>
    <row r="1235" spans="1:34" ht="25.5">
      <c r="A1235" s="728">
        <f t="shared" si="236"/>
        <v>1228</v>
      </c>
      <c r="B1235" s="923">
        <v>1</v>
      </c>
      <c r="C1235" s="662">
        <v>43920</v>
      </c>
      <c r="D1235" s="924" t="str">
        <f t="shared" si="217"/>
        <v>March</v>
      </c>
      <c r="E1235" s="924">
        <f t="shared" si="218"/>
        <v>30</v>
      </c>
      <c r="F1235" s="925">
        <f t="shared" si="219"/>
        <v>2020</v>
      </c>
      <c r="G1235" s="662" t="s">
        <v>114</v>
      </c>
      <c r="H1235" s="906" t="s">
        <v>161</v>
      </c>
      <c r="I1235" s="924">
        <v>50</v>
      </c>
      <c r="J1235" s="924">
        <v>3.55</v>
      </c>
      <c r="K1235" s="931">
        <f t="shared" si="220"/>
        <v>0.10085227272727272</v>
      </c>
      <c r="L1235" s="968">
        <v>0</v>
      </c>
      <c r="M1235" s="932">
        <f t="shared" si="221"/>
        <v>16</v>
      </c>
      <c r="N1235" s="926">
        <v>0.68194444444444446</v>
      </c>
      <c r="O1235" s="933">
        <f t="shared" si="222"/>
        <v>0.68194444444444446</v>
      </c>
      <c r="P1235" s="934">
        <v>0.68958333333333333</v>
      </c>
      <c r="Q1235" s="934">
        <f t="shared" si="223"/>
        <v>7.6388888888888618E-3</v>
      </c>
      <c r="R1235" s="965" t="s">
        <v>1520</v>
      </c>
      <c r="S1235" s="935" t="s">
        <v>1513</v>
      </c>
      <c r="T1235" s="277"/>
      <c r="U1235" s="758" t="str">
        <f t="shared" si="228"/>
        <v>CarsonEF0</v>
      </c>
      <c r="V1235" s="758" t="str">
        <f t="shared" si="229"/>
        <v>2020EF0</v>
      </c>
      <c r="W1235" s="936">
        <v>50</v>
      </c>
      <c r="X1235" s="937">
        <v>2</v>
      </c>
      <c r="Y1235" s="468">
        <v>0.1</v>
      </c>
      <c r="Z1235" s="758"/>
      <c r="AA1235" s="758" t="str">
        <f t="shared" si="237"/>
        <v>EF050</v>
      </c>
      <c r="AB1235" s="758" t="str">
        <f t="shared" si="238"/>
        <v>EF02</v>
      </c>
      <c r="AC1235" s="758" t="str">
        <f t="shared" si="239"/>
        <v>EF00.1</v>
      </c>
      <c r="AD1235" s="758" t="str">
        <f t="shared" si="211"/>
        <v>EF016</v>
      </c>
      <c r="AE1235" s="760"/>
      <c r="AF1235" s="760"/>
      <c r="AG1235" s="443"/>
      <c r="AH1235" s="443"/>
    </row>
    <row r="1236" spans="1:34" ht="16.5">
      <c r="A1236" s="728">
        <f t="shared" si="236"/>
        <v>1229</v>
      </c>
      <c r="B1236" s="923">
        <v>2</v>
      </c>
      <c r="C1236" s="662">
        <v>43920</v>
      </c>
      <c r="D1236" s="924" t="str">
        <f t="shared" si="217"/>
        <v>March</v>
      </c>
      <c r="E1236" s="924">
        <f t="shared" si="218"/>
        <v>30</v>
      </c>
      <c r="F1236" s="925">
        <f t="shared" si="219"/>
        <v>2020</v>
      </c>
      <c r="G1236" s="662" t="s">
        <v>103</v>
      </c>
      <c r="H1236" s="930" t="s">
        <v>161</v>
      </c>
      <c r="I1236" s="924">
        <v>20</v>
      </c>
      <c r="J1236" s="924">
        <v>0.21</v>
      </c>
      <c r="K1236" s="931">
        <f t="shared" si="220"/>
        <v>2.3863636363636366E-3</v>
      </c>
      <c r="L1236" s="968">
        <v>0</v>
      </c>
      <c r="M1236" s="932">
        <f t="shared" si="221"/>
        <v>16</v>
      </c>
      <c r="N1236" s="926">
        <v>0.70138888888888884</v>
      </c>
      <c r="O1236" s="933">
        <f t="shared" si="222"/>
        <v>0.70138888888888884</v>
      </c>
      <c r="P1236" s="934">
        <v>0.70694444444444438</v>
      </c>
      <c r="Q1236" s="934">
        <f t="shared" si="223"/>
        <v>5.5555555555555358E-3</v>
      </c>
      <c r="R1236" s="965" t="s">
        <v>1520</v>
      </c>
      <c r="S1236" s="935" t="s">
        <v>1487</v>
      </c>
      <c r="T1236" s="277"/>
      <c r="U1236" s="758" t="str">
        <f t="shared" si="228"/>
        <v>ShermanEF0</v>
      </c>
      <c r="V1236" s="758" t="str">
        <f t="shared" si="229"/>
        <v>2020EF0</v>
      </c>
      <c r="W1236" s="936">
        <v>20</v>
      </c>
      <c r="X1236" s="937">
        <v>0.2</v>
      </c>
      <c r="Y1236" s="468">
        <v>2E-3</v>
      </c>
      <c r="Z1236" s="758"/>
      <c r="AA1236" s="758" t="str">
        <f t="shared" si="237"/>
        <v>EF020</v>
      </c>
      <c r="AB1236" s="758" t="str">
        <f t="shared" si="238"/>
        <v>EF00.2</v>
      </c>
      <c r="AC1236" s="758" t="str">
        <f t="shared" si="239"/>
        <v>EF00.002</v>
      </c>
      <c r="AD1236" s="758" t="str">
        <f t="shared" si="211"/>
        <v>EF016</v>
      </c>
      <c r="AE1236" s="760"/>
      <c r="AF1236" s="760"/>
      <c r="AG1236" s="443"/>
      <c r="AH1236" s="443"/>
    </row>
    <row r="1237" spans="1:34" ht="16.5">
      <c r="A1237" s="728">
        <f t="shared" si="236"/>
        <v>1230</v>
      </c>
      <c r="B1237" s="923">
        <v>3</v>
      </c>
      <c r="C1237" s="662">
        <v>44001</v>
      </c>
      <c r="D1237" s="924" t="str">
        <f t="shared" si="217"/>
        <v>June</v>
      </c>
      <c r="E1237" s="924">
        <f t="shared" si="218"/>
        <v>19</v>
      </c>
      <c r="F1237" s="925">
        <f t="shared" si="219"/>
        <v>2020</v>
      </c>
      <c r="G1237" s="662" t="s">
        <v>114</v>
      </c>
      <c r="H1237" s="930" t="s">
        <v>161</v>
      </c>
      <c r="I1237" s="924">
        <v>50</v>
      </c>
      <c r="J1237" s="924">
        <v>0.71</v>
      </c>
      <c r="K1237" s="931">
        <f t="shared" si="220"/>
        <v>2.0170454545454543E-2</v>
      </c>
      <c r="L1237" s="968">
        <v>0</v>
      </c>
      <c r="M1237" s="932">
        <f t="shared" si="221"/>
        <v>16</v>
      </c>
      <c r="N1237" s="926">
        <v>0.69444444444444453</v>
      </c>
      <c r="O1237" s="933">
        <f t="shared" si="222"/>
        <v>0.69444444444444453</v>
      </c>
      <c r="P1237" s="934">
        <v>0.6958333333333333</v>
      </c>
      <c r="Q1237" s="934">
        <f t="shared" si="223"/>
        <v>1.3888888888887729E-3</v>
      </c>
      <c r="R1237" s="965" t="s">
        <v>1520</v>
      </c>
      <c r="S1237" s="935" t="s">
        <v>1486</v>
      </c>
      <c r="T1237" s="277"/>
      <c r="U1237" s="758" t="str">
        <f t="shared" si="228"/>
        <v>CarsonEF0</v>
      </c>
      <c r="V1237" s="758" t="str">
        <f t="shared" si="229"/>
        <v>2020EF0</v>
      </c>
      <c r="W1237" s="936">
        <v>50</v>
      </c>
      <c r="X1237" s="937">
        <v>0.5</v>
      </c>
      <c r="Y1237" s="468">
        <v>0.02</v>
      </c>
      <c r="Z1237" s="758"/>
      <c r="AA1237" s="758" t="str">
        <f t="shared" si="237"/>
        <v>EF050</v>
      </c>
      <c r="AB1237" s="758" t="str">
        <f t="shared" si="238"/>
        <v>EF00.5</v>
      </c>
      <c r="AC1237" s="758" t="str">
        <f t="shared" si="239"/>
        <v>EF00.02</v>
      </c>
      <c r="AD1237" s="758" t="str">
        <f t="shared" si="211"/>
        <v>EF016</v>
      </c>
      <c r="AE1237" s="760"/>
      <c r="AF1237" s="760"/>
      <c r="AG1237" s="443"/>
      <c r="AH1237" s="443"/>
    </row>
    <row r="1238" spans="1:34" ht="16.5">
      <c r="A1238" s="728">
        <f t="shared" si="236"/>
        <v>1231</v>
      </c>
      <c r="B1238" s="923">
        <v>4</v>
      </c>
      <c r="C1238" s="662">
        <v>44001</v>
      </c>
      <c r="D1238" s="924" t="str">
        <f t="shared" si="217"/>
        <v>June</v>
      </c>
      <c r="E1238" s="924">
        <f t="shared" si="218"/>
        <v>19</v>
      </c>
      <c r="F1238" s="925">
        <f t="shared" si="219"/>
        <v>2020</v>
      </c>
      <c r="G1238" s="662" t="s">
        <v>114</v>
      </c>
      <c r="H1238" s="930" t="s">
        <v>161</v>
      </c>
      <c r="I1238" s="924">
        <v>50</v>
      </c>
      <c r="J1238" s="924">
        <v>0.43</v>
      </c>
      <c r="K1238" s="931">
        <f t="shared" si="220"/>
        <v>1.221590909090909E-2</v>
      </c>
      <c r="L1238" s="968">
        <v>0</v>
      </c>
      <c r="M1238" s="932">
        <f t="shared" si="221"/>
        <v>16</v>
      </c>
      <c r="N1238" s="926">
        <v>0.6958333333333333</v>
      </c>
      <c r="O1238" s="933">
        <f t="shared" si="222"/>
        <v>0.6958333333333333</v>
      </c>
      <c r="P1238" s="934">
        <v>0.69652777777777775</v>
      </c>
      <c r="Q1238" s="934">
        <f t="shared" si="223"/>
        <v>6.9444444444444198E-4</v>
      </c>
      <c r="R1238" s="965" t="s">
        <v>1520</v>
      </c>
      <c r="S1238" s="935" t="s">
        <v>1488</v>
      </c>
      <c r="T1238" s="277"/>
      <c r="U1238" s="758" t="str">
        <f t="shared" si="228"/>
        <v>CarsonEF0</v>
      </c>
      <c r="V1238" s="758" t="str">
        <f t="shared" si="229"/>
        <v>2020EF0</v>
      </c>
      <c r="W1238" s="936">
        <v>50</v>
      </c>
      <c r="X1238" s="937">
        <v>0.2</v>
      </c>
      <c r="Y1238" s="468">
        <v>0.01</v>
      </c>
      <c r="Z1238" s="758"/>
      <c r="AA1238" s="758" t="str">
        <f t="shared" si="237"/>
        <v>EF050</v>
      </c>
      <c r="AB1238" s="758" t="str">
        <f t="shared" si="238"/>
        <v>EF00.2</v>
      </c>
      <c r="AC1238" s="758" t="str">
        <f t="shared" si="239"/>
        <v>EF00.01</v>
      </c>
      <c r="AD1238" s="758" t="str">
        <f t="shared" si="211"/>
        <v>EF016</v>
      </c>
      <c r="AE1238" s="760"/>
      <c r="AF1238" s="760"/>
      <c r="AG1238" s="443"/>
      <c r="AH1238" s="443"/>
    </row>
    <row r="1239" spans="1:34" ht="16.5">
      <c r="A1239" s="728">
        <f t="shared" si="236"/>
        <v>1232</v>
      </c>
      <c r="B1239" s="923">
        <v>5</v>
      </c>
      <c r="C1239" s="662">
        <v>44004</v>
      </c>
      <c r="D1239" s="924" t="str">
        <f t="shared" si="217"/>
        <v>June</v>
      </c>
      <c r="E1239" s="924">
        <f t="shared" si="218"/>
        <v>22</v>
      </c>
      <c r="F1239" s="925">
        <f t="shared" si="219"/>
        <v>2020</v>
      </c>
      <c r="G1239" s="662" t="s">
        <v>117</v>
      </c>
      <c r="H1239" s="930" t="s">
        <v>161</v>
      </c>
      <c r="I1239" s="924">
        <v>25</v>
      </c>
      <c r="J1239" s="924">
        <v>1.29</v>
      </c>
      <c r="K1239" s="931">
        <f t="shared" si="220"/>
        <v>1.8323863636363635E-2</v>
      </c>
      <c r="L1239" s="968">
        <v>0</v>
      </c>
      <c r="M1239" s="932">
        <f t="shared" si="221"/>
        <v>19</v>
      </c>
      <c r="N1239" s="926">
        <v>0.8125</v>
      </c>
      <c r="O1239" s="933">
        <f t="shared" si="222"/>
        <v>0.8125</v>
      </c>
      <c r="P1239" s="934">
        <v>0.81597222222222221</v>
      </c>
      <c r="Q1239" s="934">
        <f t="shared" si="223"/>
        <v>3.4722222222222099E-3</v>
      </c>
      <c r="R1239" s="965" t="s">
        <v>1520</v>
      </c>
      <c r="S1239" s="935" t="s">
        <v>1489</v>
      </c>
      <c r="T1239" s="277"/>
      <c r="U1239" s="758" t="str">
        <f t="shared" si="228"/>
        <v>Deaf SmithEF0</v>
      </c>
      <c r="V1239" s="758" t="str">
        <f t="shared" si="229"/>
        <v>2020EF0</v>
      </c>
      <c r="W1239" s="936">
        <v>20</v>
      </c>
      <c r="X1239" s="937">
        <v>1</v>
      </c>
      <c r="Y1239" s="468">
        <v>0.01</v>
      </c>
      <c r="Z1239" s="758"/>
      <c r="AA1239" s="758" t="str">
        <f t="shared" si="237"/>
        <v>EF020</v>
      </c>
      <c r="AB1239" s="758" t="str">
        <f t="shared" si="238"/>
        <v>EF01</v>
      </c>
      <c r="AC1239" s="758" t="str">
        <f t="shared" si="239"/>
        <v>EF00.01</v>
      </c>
      <c r="AD1239" s="758" t="str">
        <f t="shared" si="211"/>
        <v>EF019</v>
      </c>
      <c r="AE1239" s="760"/>
      <c r="AF1239" s="760"/>
      <c r="AG1239" s="443"/>
      <c r="AH1239" s="443"/>
    </row>
    <row r="1240" spans="1:34" ht="16.5">
      <c r="A1240" s="728">
        <f t="shared" si="236"/>
        <v>1233</v>
      </c>
      <c r="B1240" s="923">
        <v>6</v>
      </c>
      <c r="C1240" s="662">
        <v>44023</v>
      </c>
      <c r="D1240" s="924" t="str">
        <f t="shared" si="217"/>
        <v>July</v>
      </c>
      <c r="E1240" s="924">
        <f t="shared" si="218"/>
        <v>11</v>
      </c>
      <c r="F1240" s="925">
        <f t="shared" si="219"/>
        <v>2020</v>
      </c>
      <c r="G1240" s="662" t="s">
        <v>118</v>
      </c>
      <c r="H1240" s="930" t="s">
        <v>161</v>
      </c>
      <c r="I1240" s="924">
        <v>45</v>
      </c>
      <c r="J1240" s="924">
        <v>0.14000000000000001</v>
      </c>
      <c r="K1240" s="931">
        <f t="shared" si="220"/>
        <v>3.579545454545455E-3</v>
      </c>
      <c r="L1240" s="968">
        <v>0</v>
      </c>
      <c r="M1240" s="932">
        <f t="shared" si="221"/>
        <v>18</v>
      </c>
      <c r="N1240" s="926">
        <v>0.7909722222222223</v>
      </c>
      <c r="O1240" s="933">
        <f t="shared" si="222"/>
        <v>0.7909722222222223</v>
      </c>
      <c r="P1240" s="934">
        <v>0.79166666666666663</v>
      </c>
      <c r="Q1240" s="934">
        <f t="shared" si="223"/>
        <v>6.9444444444433095E-4</v>
      </c>
      <c r="R1240" s="965" t="s">
        <v>1520</v>
      </c>
      <c r="S1240" s="935" t="s">
        <v>1490</v>
      </c>
      <c r="T1240" s="277"/>
      <c r="U1240" s="758" t="str">
        <f t="shared" si="228"/>
        <v>RandallEF0</v>
      </c>
      <c r="V1240" s="758" t="str">
        <f t="shared" si="229"/>
        <v>2020EF0</v>
      </c>
      <c r="W1240" s="936">
        <v>20</v>
      </c>
      <c r="X1240" s="937">
        <v>0.1</v>
      </c>
      <c r="Y1240" s="468">
        <v>2E-3</v>
      </c>
      <c r="Z1240" s="758"/>
      <c r="AA1240" s="758" t="str">
        <f t="shared" si="237"/>
        <v>EF020</v>
      </c>
      <c r="AB1240" s="758" t="str">
        <f t="shared" si="238"/>
        <v>EF00.1</v>
      </c>
      <c r="AC1240" s="758" t="str">
        <f t="shared" si="239"/>
        <v>EF00.002</v>
      </c>
      <c r="AD1240" s="758" t="str">
        <f t="shared" si="211"/>
        <v>EF018</v>
      </c>
      <c r="AE1240" s="760"/>
      <c r="AF1240" s="760"/>
      <c r="AG1240" s="443"/>
      <c r="AH1240" s="443"/>
    </row>
    <row r="1241" spans="1:34" ht="25.5">
      <c r="A1241" s="728">
        <f t="shared" si="236"/>
        <v>1234</v>
      </c>
      <c r="B1241" s="923">
        <v>7</v>
      </c>
      <c r="C1241" s="662">
        <v>44026</v>
      </c>
      <c r="D1241" s="924" t="str">
        <f t="shared" si="217"/>
        <v>July</v>
      </c>
      <c r="E1241" s="924">
        <f t="shared" si="218"/>
        <v>14</v>
      </c>
      <c r="F1241" s="925">
        <f t="shared" si="219"/>
        <v>2020</v>
      </c>
      <c r="G1241" s="662" t="s">
        <v>104</v>
      </c>
      <c r="H1241" s="906" t="s">
        <v>161</v>
      </c>
      <c r="I1241" s="924">
        <v>50</v>
      </c>
      <c r="J1241" s="924">
        <v>1.34</v>
      </c>
      <c r="K1241" s="931">
        <f t="shared" si="220"/>
        <v>3.806818181818182E-2</v>
      </c>
      <c r="L1241" s="968">
        <v>0</v>
      </c>
      <c r="M1241" s="932">
        <f t="shared" si="221"/>
        <v>19</v>
      </c>
      <c r="N1241" s="926">
        <v>0.79305555555555562</v>
      </c>
      <c r="O1241" s="933">
        <f t="shared" si="222"/>
        <v>0.79305555555555562</v>
      </c>
      <c r="P1241" s="934">
        <v>0.79583333333333339</v>
      </c>
      <c r="Q1241" s="934">
        <f t="shared" si="223"/>
        <v>2.7777777777777679E-3</v>
      </c>
      <c r="R1241" s="965" t="s">
        <v>1520</v>
      </c>
      <c r="S1241" s="935" t="s">
        <v>1514</v>
      </c>
      <c r="T1241" s="277"/>
      <c r="U1241" s="758" t="str">
        <f t="shared" si="228"/>
        <v>HansfordEF0</v>
      </c>
      <c r="V1241" s="758" t="str">
        <f t="shared" si="229"/>
        <v>2020EF0</v>
      </c>
      <c r="W1241" s="936">
        <v>50</v>
      </c>
      <c r="X1241" s="937">
        <v>1</v>
      </c>
      <c r="Y1241" s="468">
        <v>0.02</v>
      </c>
      <c r="Z1241" s="758"/>
      <c r="AA1241" s="758" t="str">
        <f t="shared" si="237"/>
        <v>EF050</v>
      </c>
      <c r="AB1241" s="758" t="str">
        <f t="shared" si="238"/>
        <v>EF01</v>
      </c>
      <c r="AC1241" s="758" t="str">
        <f t="shared" si="239"/>
        <v>EF00.02</v>
      </c>
      <c r="AD1241" s="758" t="str">
        <f t="shared" ref="AD1241:AD1304" si="240">CONCATENATE(H1241,M1241)</f>
        <v>EF019</v>
      </c>
      <c r="AE1241" s="760"/>
      <c r="AF1241" s="760"/>
      <c r="AG1241" s="443"/>
      <c r="AH1241" s="443"/>
    </row>
    <row r="1242" spans="1:34" ht="16.5">
      <c r="A1242" s="728">
        <f t="shared" si="236"/>
        <v>1235</v>
      </c>
      <c r="B1242" s="923">
        <v>8</v>
      </c>
      <c r="C1242" s="662">
        <v>44059</v>
      </c>
      <c r="D1242" s="924" t="str">
        <f t="shared" si="217"/>
        <v>August</v>
      </c>
      <c r="E1242" s="924">
        <f t="shared" si="218"/>
        <v>16</v>
      </c>
      <c r="F1242" s="925">
        <f t="shared" si="219"/>
        <v>2020</v>
      </c>
      <c r="G1242" s="662" t="s">
        <v>115</v>
      </c>
      <c r="H1242" s="930" t="s">
        <v>162</v>
      </c>
      <c r="I1242" s="924">
        <v>200</v>
      </c>
      <c r="J1242" s="924">
        <v>1.83</v>
      </c>
      <c r="K1242" s="931">
        <f t="shared" si="220"/>
        <v>0.20795454545454545</v>
      </c>
      <c r="L1242" s="969">
        <v>90000</v>
      </c>
      <c r="M1242" s="932">
        <f t="shared" si="221"/>
        <v>13</v>
      </c>
      <c r="N1242" s="926">
        <v>0.57361111111111118</v>
      </c>
      <c r="O1242" s="933">
        <f t="shared" si="222"/>
        <v>0.57361111111111118</v>
      </c>
      <c r="P1242" s="934">
        <v>0.57777777777777783</v>
      </c>
      <c r="Q1242" s="934">
        <f t="shared" si="223"/>
        <v>4.1666666666666519E-3</v>
      </c>
      <c r="R1242" s="965" t="s">
        <v>1520</v>
      </c>
      <c r="S1242" s="935" t="s">
        <v>1491</v>
      </c>
      <c r="T1242" s="277"/>
      <c r="U1242" s="758" t="str">
        <f t="shared" si="228"/>
        <v>GrayEF1</v>
      </c>
      <c r="V1242" s="758" t="str">
        <f t="shared" si="229"/>
        <v>2020EF1</v>
      </c>
      <c r="W1242" s="936">
        <v>200</v>
      </c>
      <c r="X1242" s="937">
        <v>1</v>
      </c>
      <c r="Y1242" s="468">
        <v>0.2</v>
      </c>
      <c r="Z1242" s="758"/>
      <c r="AA1242" s="758" t="str">
        <f t="shared" si="237"/>
        <v>EF1200</v>
      </c>
      <c r="AB1242" s="758" t="str">
        <f t="shared" si="238"/>
        <v>EF11</v>
      </c>
      <c r="AC1242" s="758" t="str">
        <f t="shared" si="239"/>
        <v>EF10.2</v>
      </c>
      <c r="AD1242" s="758" t="str">
        <f t="shared" si="240"/>
        <v>EF113</v>
      </c>
      <c r="AE1242" s="760"/>
      <c r="AF1242" s="760"/>
      <c r="AG1242" s="443"/>
      <c r="AH1242" s="443"/>
    </row>
    <row r="1243" spans="1:34" ht="105" customHeight="1">
      <c r="A1243" s="728">
        <f t="shared" si="236"/>
        <v>1236</v>
      </c>
      <c r="B1243" s="765">
        <v>1</v>
      </c>
      <c r="C1243" s="694">
        <v>44268</v>
      </c>
      <c r="D1243" s="763" t="str">
        <f t="shared" si="217"/>
        <v>March</v>
      </c>
      <c r="E1243" s="763">
        <f t="shared" si="218"/>
        <v>13</v>
      </c>
      <c r="F1243" s="762">
        <f t="shared" si="219"/>
        <v>2021</v>
      </c>
      <c r="G1243" s="694" t="s">
        <v>118</v>
      </c>
      <c r="H1243" s="885" t="s">
        <v>160</v>
      </c>
      <c r="I1243" s="763">
        <v>1000</v>
      </c>
      <c r="J1243" s="763">
        <v>17.2</v>
      </c>
      <c r="K1243" s="778">
        <f t="shared" si="220"/>
        <v>9.7727272727272734</v>
      </c>
      <c r="L1243" s="978">
        <v>600000</v>
      </c>
      <c r="M1243" s="736">
        <f t="shared" si="221"/>
        <v>15</v>
      </c>
      <c r="N1243" s="764">
        <v>0.6430555555555556</v>
      </c>
      <c r="O1243" s="738">
        <f t="shared" si="222"/>
        <v>0.6430555555555556</v>
      </c>
      <c r="P1243" s="739">
        <v>0.66666666666666663</v>
      </c>
      <c r="Q1243" s="739">
        <f t="shared" si="223"/>
        <v>2.3611111111111027E-2</v>
      </c>
      <c r="R1243" s="965" t="s">
        <v>1520</v>
      </c>
      <c r="S1243" s="766" t="s">
        <v>1563</v>
      </c>
      <c r="T1243" s="277"/>
      <c r="U1243" s="758" t="str">
        <f t="shared" si="228"/>
        <v>RandallEF2</v>
      </c>
      <c r="V1243" s="758" t="str">
        <f t="shared" si="229"/>
        <v>2021EF2</v>
      </c>
      <c r="W1243" s="35">
        <v>1000</v>
      </c>
      <c r="X1243" s="251">
        <v>10</v>
      </c>
      <c r="Y1243" s="468">
        <v>5</v>
      </c>
      <c r="Z1243" s="758"/>
      <c r="AA1243" s="758" t="str">
        <f t="shared" si="237"/>
        <v>EF21000</v>
      </c>
      <c r="AB1243" s="758" t="str">
        <f t="shared" si="238"/>
        <v>EF210</v>
      </c>
      <c r="AC1243" s="758" t="str">
        <f t="shared" si="239"/>
        <v>EF25</v>
      </c>
      <c r="AD1243" s="758" t="str">
        <f t="shared" si="240"/>
        <v>EF215</v>
      </c>
      <c r="AE1243" s="760"/>
      <c r="AF1243" s="760"/>
      <c r="AG1243" s="443"/>
      <c r="AH1243" s="443"/>
    </row>
    <row r="1244" spans="1:34" ht="38.25">
      <c r="A1244" s="728">
        <f t="shared" si="236"/>
        <v>1237</v>
      </c>
      <c r="B1244" s="765">
        <v>2</v>
      </c>
      <c r="C1244" s="694">
        <v>44268</v>
      </c>
      <c r="D1244" s="763" t="str">
        <f t="shared" si="217"/>
        <v>March</v>
      </c>
      <c r="E1244" s="763">
        <f t="shared" si="218"/>
        <v>13</v>
      </c>
      <c r="F1244" s="762">
        <f t="shared" si="219"/>
        <v>2021</v>
      </c>
      <c r="G1244" s="694" t="s">
        <v>118</v>
      </c>
      <c r="H1244" s="886" t="s">
        <v>162</v>
      </c>
      <c r="I1244" s="763">
        <v>500</v>
      </c>
      <c r="J1244" s="763">
        <v>2.5</v>
      </c>
      <c r="K1244" s="778">
        <f t="shared" si="220"/>
        <v>0.71022727272727282</v>
      </c>
      <c r="L1244" s="978">
        <v>0</v>
      </c>
      <c r="M1244" s="736">
        <f t="shared" si="221"/>
        <v>15</v>
      </c>
      <c r="N1244" s="764">
        <v>0.64652777777777781</v>
      </c>
      <c r="O1244" s="738">
        <f t="shared" si="222"/>
        <v>0.64652777777777781</v>
      </c>
      <c r="P1244" s="739">
        <v>0.65</v>
      </c>
      <c r="Q1244" s="739">
        <f t="shared" si="223"/>
        <v>3.4722222222222099E-3</v>
      </c>
      <c r="R1244" s="965" t="s">
        <v>1520</v>
      </c>
      <c r="S1244" s="766" t="s">
        <v>1553</v>
      </c>
      <c r="T1244" s="277"/>
      <c r="U1244" s="758" t="str">
        <f t="shared" si="228"/>
        <v>RandallEF1</v>
      </c>
      <c r="V1244" s="758" t="str">
        <f t="shared" si="229"/>
        <v>2021EF1</v>
      </c>
      <c r="W1244" s="35">
        <v>500</v>
      </c>
      <c r="X1244" s="251">
        <v>2</v>
      </c>
      <c r="Y1244" s="468">
        <v>0.5</v>
      </c>
      <c r="Z1244" s="758"/>
      <c r="AA1244" s="758" t="str">
        <f t="shared" si="237"/>
        <v>EF1500</v>
      </c>
      <c r="AB1244" s="758" t="str">
        <f t="shared" si="238"/>
        <v>EF12</v>
      </c>
      <c r="AC1244" s="758" t="str">
        <f t="shared" si="239"/>
        <v>EF10.5</v>
      </c>
      <c r="AD1244" s="758" t="str">
        <f t="shared" si="240"/>
        <v>EF115</v>
      </c>
      <c r="AE1244" s="760"/>
      <c r="AF1244" s="760"/>
      <c r="AG1244" s="443"/>
      <c r="AH1244" s="443"/>
    </row>
    <row r="1245" spans="1:34" ht="16.5">
      <c r="A1245" s="728">
        <f t="shared" si="236"/>
        <v>1238</v>
      </c>
      <c r="B1245" s="765">
        <v>3</v>
      </c>
      <c r="C1245" s="694">
        <v>44268</v>
      </c>
      <c r="D1245" s="763" t="str">
        <f t="shared" si="217"/>
        <v>March</v>
      </c>
      <c r="E1245" s="763">
        <f t="shared" si="218"/>
        <v>13</v>
      </c>
      <c r="F1245" s="762">
        <f t="shared" si="219"/>
        <v>2021</v>
      </c>
      <c r="G1245" s="694" t="s">
        <v>118</v>
      </c>
      <c r="H1245" s="886" t="s">
        <v>162</v>
      </c>
      <c r="I1245" s="763">
        <v>100</v>
      </c>
      <c r="J1245" s="763">
        <v>3.54</v>
      </c>
      <c r="K1245" s="778">
        <f t="shared" si="220"/>
        <v>0.20113636363636364</v>
      </c>
      <c r="L1245" s="978">
        <v>30000</v>
      </c>
      <c r="M1245" s="736">
        <f t="shared" si="221"/>
        <v>15</v>
      </c>
      <c r="N1245" s="764">
        <v>0.65069444444444446</v>
      </c>
      <c r="O1245" s="738">
        <f t="shared" si="222"/>
        <v>0.65069444444444446</v>
      </c>
      <c r="P1245" s="739">
        <v>0.65416666666666667</v>
      </c>
      <c r="Q1245" s="739">
        <f t="shared" si="223"/>
        <v>3.4722222222222099E-3</v>
      </c>
      <c r="R1245" s="965" t="s">
        <v>1520</v>
      </c>
      <c r="S1245" s="766" t="s">
        <v>1582</v>
      </c>
      <c r="T1245" s="277"/>
      <c r="U1245" s="758" t="str">
        <f t="shared" si="228"/>
        <v>RandallEF1</v>
      </c>
      <c r="V1245" s="758" t="str">
        <f t="shared" si="229"/>
        <v>2021EF1</v>
      </c>
      <c r="W1245" s="35">
        <v>100</v>
      </c>
      <c r="X1245" s="251">
        <v>2</v>
      </c>
      <c r="Y1245" s="468">
        <v>0.2</v>
      </c>
      <c r="Z1245" s="758"/>
      <c r="AA1245" s="758" t="str">
        <f t="shared" si="237"/>
        <v>EF1100</v>
      </c>
      <c r="AB1245" s="758" t="str">
        <f t="shared" si="238"/>
        <v>EF12</v>
      </c>
      <c r="AC1245" s="758" t="str">
        <f t="shared" si="239"/>
        <v>EF10.2</v>
      </c>
      <c r="AD1245" s="758" t="str">
        <f t="shared" si="240"/>
        <v>EF115</v>
      </c>
      <c r="AE1245" s="760"/>
      <c r="AF1245" s="760"/>
      <c r="AG1245" s="443"/>
      <c r="AH1245" s="443"/>
    </row>
    <row r="1246" spans="1:34" ht="76.5">
      <c r="A1246" s="728">
        <f t="shared" si="236"/>
        <v>1239</v>
      </c>
      <c r="B1246" s="765">
        <v>4</v>
      </c>
      <c r="C1246" s="694">
        <v>44268</v>
      </c>
      <c r="D1246" s="763" t="str">
        <f t="shared" si="217"/>
        <v>March</v>
      </c>
      <c r="E1246" s="763">
        <f t="shared" si="218"/>
        <v>13</v>
      </c>
      <c r="F1246" s="762">
        <f t="shared" si="219"/>
        <v>2021</v>
      </c>
      <c r="G1246" s="694" t="s">
        <v>118</v>
      </c>
      <c r="H1246" s="886" t="s">
        <v>162</v>
      </c>
      <c r="I1246" s="763">
        <v>800</v>
      </c>
      <c r="J1246" s="763">
        <v>6.61</v>
      </c>
      <c r="K1246" s="778">
        <f t="shared" si="220"/>
        <v>3.0045454545454544</v>
      </c>
      <c r="L1246" s="978">
        <v>300000</v>
      </c>
      <c r="M1246" s="736">
        <f t="shared" si="221"/>
        <v>15</v>
      </c>
      <c r="N1246" s="764">
        <v>0.65694444444444444</v>
      </c>
      <c r="O1246" s="738">
        <f t="shared" si="222"/>
        <v>0.65694444444444444</v>
      </c>
      <c r="P1246" s="739">
        <v>0.6694444444444444</v>
      </c>
      <c r="Q1246" s="739">
        <f t="shared" si="223"/>
        <v>1.2499999999999956E-2</v>
      </c>
      <c r="R1246" s="965" t="s">
        <v>1520</v>
      </c>
      <c r="S1246" s="766" t="s">
        <v>1554</v>
      </c>
      <c r="T1246" s="277"/>
      <c r="U1246" s="758" t="str">
        <f t="shared" si="228"/>
        <v>RandallEF1</v>
      </c>
      <c r="V1246" s="758" t="str">
        <f t="shared" si="229"/>
        <v>2021EF1</v>
      </c>
      <c r="W1246" s="35">
        <v>500</v>
      </c>
      <c r="X1246" s="251">
        <v>5</v>
      </c>
      <c r="Y1246" s="468">
        <v>2</v>
      </c>
      <c r="Z1246" s="758"/>
      <c r="AA1246" s="758" t="str">
        <f t="shared" si="237"/>
        <v>EF1500</v>
      </c>
      <c r="AB1246" s="758" t="str">
        <f t="shared" si="238"/>
        <v>EF15</v>
      </c>
      <c r="AC1246" s="758" t="str">
        <f t="shared" si="239"/>
        <v>EF12</v>
      </c>
      <c r="AD1246" s="758" t="str">
        <f t="shared" si="240"/>
        <v>EF115</v>
      </c>
      <c r="AE1246" s="760"/>
      <c r="AF1246" s="760"/>
      <c r="AG1246" s="443"/>
      <c r="AH1246" s="443"/>
    </row>
    <row r="1247" spans="1:34" ht="25.5">
      <c r="A1247" s="728">
        <f t="shared" si="236"/>
        <v>1240</v>
      </c>
      <c r="B1247" s="765">
        <v>5</v>
      </c>
      <c r="C1247" s="694">
        <v>44268</v>
      </c>
      <c r="D1247" s="763" t="str">
        <f t="shared" si="217"/>
        <v>March</v>
      </c>
      <c r="E1247" s="763">
        <f t="shared" si="218"/>
        <v>13</v>
      </c>
      <c r="F1247" s="762">
        <f t="shared" si="219"/>
        <v>2021</v>
      </c>
      <c r="G1247" s="761" t="s">
        <v>119</v>
      </c>
      <c r="H1247" s="886" t="s">
        <v>162</v>
      </c>
      <c r="I1247" s="763">
        <v>800</v>
      </c>
      <c r="J1247" s="763">
        <v>1.55</v>
      </c>
      <c r="K1247" s="778">
        <f t="shared" si="220"/>
        <v>0.70454545454545459</v>
      </c>
      <c r="L1247" s="978">
        <v>20000</v>
      </c>
      <c r="M1247" s="736">
        <f t="shared" si="221"/>
        <v>16</v>
      </c>
      <c r="N1247" s="764">
        <v>0.6694444444444444</v>
      </c>
      <c r="O1247" s="738">
        <f t="shared" si="222"/>
        <v>0.6694444444444444</v>
      </c>
      <c r="P1247" s="739">
        <v>0.67638888888888893</v>
      </c>
      <c r="Q1247" s="739">
        <f t="shared" si="223"/>
        <v>6.9444444444445308E-3</v>
      </c>
      <c r="R1247" s="965" t="s">
        <v>1520</v>
      </c>
      <c r="S1247" s="766" t="s">
        <v>1555</v>
      </c>
      <c r="T1247" s="277"/>
      <c r="U1247" s="758" t="str">
        <f t="shared" si="228"/>
        <v>ArmstrongEF1</v>
      </c>
      <c r="V1247" s="758" t="str">
        <f t="shared" si="229"/>
        <v>2021EF1</v>
      </c>
      <c r="W1247" s="35">
        <v>500</v>
      </c>
      <c r="X1247" s="251">
        <v>1</v>
      </c>
      <c r="Y1247" s="468">
        <v>0.5</v>
      </c>
      <c r="Z1247" s="758"/>
      <c r="AA1247" s="758" t="str">
        <f t="shared" si="237"/>
        <v>EF1500</v>
      </c>
      <c r="AB1247" s="758" t="str">
        <f t="shared" si="238"/>
        <v>EF11</v>
      </c>
      <c r="AC1247" s="758" t="str">
        <f t="shared" si="239"/>
        <v>EF10.5</v>
      </c>
      <c r="AD1247" s="758" t="str">
        <f t="shared" si="240"/>
        <v>EF116</v>
      </c>
      <c r="AE1247" s="760"/>
      <c r="AF1247" s="760"/>
      <c r="AG1247" s="443"/>
      <c r="AH1247" s="443"/>
    </row>
    <row r="1248" spans="1:34" ht="25.5">
      <c r="A1248" s="728">
        <f t="shared" si="236"/>
        <v>1241</v>
      </c>
      <c r="B1248" s="765">
        <v>6</v>
      </c>
      <c r="C1248" s="694">
        <v>44268</v>
      </c>
      <c r="D1248" s="763" t="str">
        <f t="shared" si="217"/>
        <v>March</v>
      </c>
      <c r="E1248" s="763">
        <f t="shared" si="218"/>
        <v>13</v>
      </c>
      <c r="F1248" s="762">
        <f t="shared" si="219"/>
        <v>2021</v>
      </c>
      <c r="G1248" s="694" t="s">
        <v>118</v>
      </c>
      <c r="H1248" s="886" t="s">
        <v>161</v>
      </c>
      <c r="I1248" s="763">
        <v>1000</v>
      </c>
      <c r="J1248" s="763">
        <v>1.66</v>
      </c>
      <c r="K1248" s="778">
        <f t="shared" si="220"/>
        <v>0.94318181818181823</v>
      </c>
      <c r="L1248" s="978">
        <v>0</v>
      </c>
      <c r="M1248" s="736">
        <f t="shared" si="221"/>
        <v>16</v>
      </c>
      <c r="N1248" s="764">
        <v>0.67083333333333339</v>
      </c>
      <c r="O1248" s="738">
        <f t="shared" si="222"/>
        <v>0.67083333333333339</v>
      </c>
      <c r="P1248" s="739">
        <v>0.67499999999999993</v>
      </c>
      <c r="Q1248" s="739">
        <f t="shared" si="223"/>
        <v>4.1666666666665408E-3</v>
      </c>
      <c r="R1248" s="965" t="s">
        <v>1520</v>
      </c>
      <c r="S1248" s="766" t="s">
        <v>1558</v>
      </c>
      <c r="T1248" s="277"/>
      <c r="U1248" s="758" t="str">
        <f t="shared" si="228"/>
        <v>RandallEF0</v>
      </c>
      <c r="V1248" s="758" t="str">
        <f t="shared" si="229"/>
        <v>2021EF0</v>
      </c>
      <c r="W1248" s="35">
        <v>1000</v>
      </c>
      <c r="X1248" s="251">
        <v>1</v>
      </c>
      <c r="Y1248" s="468">
        <v>0.5</v>
      </c>
      <c r="Z1248" s="758"/>
      <c r="AA1248" s="758" t="str">
        <f t="shared" si="237"/>
        <v>EF01000</v>
      </c>
      <c r="AB1248" s="758" t="str">
        <f t="shared" si="238"/>
        <v>EF01</v>
      </c>
      <c r="AC1248" s="758" t="str">
        <f t="shared" si="239"/>
        <v>EF00.5</v>
      </c>
      <c r="AD1248" s="758" t="str">
        <f t="shared" si="240"/>
        <v>EF016</v>
      </c>
      <c r="AE1248" s="760"/>
      <c r="AF1248" s="760"/>
      <c r="AG1248" s="443"/>
      <c r="AH1248" s="443"/>
    </row>
    <row r="1249" spans="1:34" ht="16.5">
      <c r="A1249" s="728">
        <f t="shared" si="236"/>
        <v>1242</v>
      </c>
      <c r="B1249" s="765">
        <v>7</v>
      </c>
      <c r="C1249" s="694">
        <v>44268</v>
      </c>
      <c r="D1249" s="763" t="str">
        <f t="shared" si="217"/>
        <v>March</v>
      </c>
      <c r="E1249" s="763">
        <f t="shared" si="218"/>
        <v>13</v>
      </c>
      <c r="F1249" s="762">
        <f t="shared" si="219"/>
        <v>2021</v>
      </c>
      <c r="G1249" s="694" t="s">
        <v>118</v>
      </c>
      <c r="H1249" s="886" t="s">
        <v>161</v>
      </c>
      <c r="I1249" s="763">
        <v>50</v>
      </c>
      <c r="J1249" s="763">
        <v>1.66</v>
      </c>
      <c r="K1249" s="778">
        <f t="shared" si="220"/>
        <v>4.7159090909090907E-2</v>
      </c>
      <c r="L1249" s="978">
        <v>0</v>
      </c>
      <c r="M1249" s="736">
        <f t="shared" si="221"/>
        <v>16</v>
      </c>
      <c r="N1249" s="764">
        <v>0.67222222222222217</v>
      </c>
      <c r="O1249" s="738">
        <f t="shared" si="222"/>
        <v>0.67222222222222217</v>
      </c>
      <c r="P1249" s="739">
        <v>0.6743055555555556</v>
      </c>
      <c r="Q1249" s="739">
        <f t="shared" si="223"/>
        <v>2.083333333333437E-3</v>
      </c>
      <c r="R1249" s="965" t="s">
        <v>1520</v>
      </c>
      <c r="S1249" s="766" t="s">
        <v>1556</v>
      </c>
      <c r="T1249" s="277"/>
      <c r="U1249" s="758" t="str">
        <f t="shared" si="228"/>
        <v>RandallEF0</v>
      </c>
      <c r="V1249" s="758" t="str">
        <f t="shared" si="229"/>
        <v>2021EF0</v>
      </c>
      <c r="W1249" s="35">
        <v>50</v>
      </c>
      <c r="X1249" s="251">
        <v>1</v>
      </c>
      <c r="Y1249" s="468">
        <v>0.02</v>
      </c>
      <c r="Z1249" s="758"/>
      <c r="AA1249" s="758" t="str">
        <f t="shared" si="237"/>
        <v>EF050</v>
      </c>
      <c r="AB1249" s="758" t="str">
        <f t="shared" si="238"/>
        <v>EF01</v>
      </c>
      <c r="AC1249" s="758" t="str">
        <f t="shared" si="239"/>
        <v>EF00.02</v>
      </c>
      <c r="AD1249" s="758" t="str">
        <f t="shared" si="240"/>
        <v>EF016</v>
      </c>
      <c r="AE1249" s="760"/>
      <c r="AF1249" s="760"/>
      <c r="AG1249" s="443"/>
      <c r="AH1249" s="443"/>
    </row>
    <row r="1250" spans="1:34" ht="25.5">
      <c r="A1250" s="728">
        <f t="shared" si="236"/>
        <v>1243</v>
      </c>
      <c r="B1250" s="765">
        <v>8</v>
      </c>
      <c r="C1250" s="694">
        <v>44268</v>
      </c>
      <c r="D1250" s="763" t="str">
        <f t="shared" si="217"/>
        <v>March</v>
      </c>
      <c r="E1250" s="763">
        <f t="shared" si="218"/>
        <v>13</v>
      </c>
      <c r="F1250" s="762">
        <f t="shared" si="219"/>
        <v>2021</v>
      </c>
      <c r="G1250" s="761" t="s">
        <v>119</v>
      </c>
      <c r="H1250" s="886" t="s">
        <v>161</v>
      </c>
      <c r="I1250" s="763">
        <v>1000</v>
      </c>
      <c r="J1250" s="763">
        <v>11.3</v>
      </c>
      <c r="K1250" s="778">
        <f t="shared" si="220"/>
        <v>6.4204545454545467</v>
      </c>
      <c r="L1250" s="978">
        <v>30000</v>
      </c>
      <c r="M1250" s="736">
        <f t="shared" si="221"/>
        <v>16</v>
      </c>
      <c r="N1250" s="764">
        <v>0.67499999999999993</v>
      </c>
      <c r="O1250" s="738">
        <f t="shared" si="222"/>
        <v>0.67499999999999993</v>
      </c>
      <c r="P1250" s="739">
        <v>0.69027777777777777</v>
      </c>
      <c r="Q1250" s="739">
        <f t="shared" si="223"/>
        <v>1.5277777777777835E-2</v>
      </c>
      <c r="R1250" s="965" t="s">
        <v>1520</v>
      </c>
      <c r="S1250" s="766" t="s">
        <v>1557</v>
      </c>
      <c r="T1250" s="277"/>
      <c r="U1250" s="758" t="str">
        <f t="shared" si="228"/>
        <v>ArmstrongEF0</v>
      </c>
      <c r="V1250" s="758" t="str">
        <f t="shared" si="229"/>
        <v>2021EF0</v>
      </c>
      <c r="W1250" s="35">
        <v>1000</v>
      </c>
      <c r="X1250" s="251">
        <v>10</v>
      </c>
      <c r="Y1250" s="468">
        <v>5</v>
      </c>
      <c r="Z1250" s="758"/>
      <c r="AA1250" s="758" t="str">
        <f t="shared" si="237"/>
        <v>EF01000</v>
      </c>
      <c r="AB1250" s="758" t="str">
        <f t="shared" si="238"/>
        <v>EF010</v>
      </c>
      <c r="AC1250" s="758" t="str">
        <f t="shared" si="239"/>
        <v>EF05</v>
      </c>
      <c r="AD1250" s="758" t="str">
        <f t="shared" si="240"/>
        <v>EF016</v>
      </c>
      <c r="AE1250" s="760"/>
      <c r="AF1250" s="760"/>
      <c r="AG1250" s="443"/>
      <c r="AH1250" s="443"/>
    </row>
    <row r="1251" spans="1:34" ht="16.5">
      <c r="A1251" s="728">
        <f t="shared" si="236"/>
        <v>1244</v>
      </c>
      <c r="B1251" s="765">
        <v>9</v>
      </c>
      <c r="C1251" s="694">
        <v>44268</v>
      </c>
      <c r="D1251" s="763" t="str">
        <f t="shared" si="217"/>
        <v>March</v>
      </c>
      <c r="E1251" s="763">
        <f t="shared" si="218"/>
        <v>13</v>
      </c>
      <c r="F1251" s="762">
        <f t="shared" si="219"/>
        <v>2021</v>
      </c>
      <c r="G1251" s="761" t="s">
        <v>119</v>
      </c>
      <c r="H1251" s="906" t="s">
        <v>161</v>
      </c>
      <c r="I1251" s="763">
        <v>800</v>
      </c>
      <c r="J1251" s="763">
        <v>3.11</v>
      </c>
      <c r="K1251" s="778">
        <f t="shared" si="220"/>
        <v>1.4136363636363636</v>
      </c>
      <c r="L1251" s="978">
        <v>0</v>
      </c>
      <c r="M1251" s="736">
        <f t="shared" si="221"/>
        <v>17</v>
      </c>
      <c r="N1251" s="764">
        <v>0.70972222222222225</v>
      </c>
      <c r="O1251" s="738">
        <f t="shared" si="222"/>
        <v>0.70972222222222225</v>
      </c>
      <c r="P1251" s="739">
        <v>0.71597222222222223</v>
      </c>
      <c r="Q1251" s="739">
        <f t="shared" si="223"/>
        <v>6.2499999999999778E-3</v>
      </c>
      <c r="R1251" s="965" t="s">
        <v>1520</v>
      </c>
      <c r="S1251" s="766" t="s">
        <v>1559</v>
      </c>
      <c r="T1251" s="277"/>
      <c r="U1251" s="758" t="str">
        <f t="shared" si="228"/>
        <v>ArmstrongEF0</v>
      </c>
      <c r="V1251" s="758" t="str">
        <f t="shared" si="229"/>
        <v>2021EF0</v>
      </c>
      <c r="W1251" s="35">
        <v>500</v>
      </c>
      <c r="X1251" s="251">
        <v>2</v>
      </c>
      <c r="Y1251" s="468">
        <v>1</v>
      </c>
      <c r="Z1251" s="758"/>
      <c r="AA1251" s="758" t="str">
        <f t="shared" si="237"/>
        <v>EF0500</v>
      </c>
      <c r="AB1251" s="758" t="str">
        <f t="shared" si="238"/>
        <v>EF02</v>
      </c>
      <c r="AC1251" s="758" t="str">
        <f t="shared" si="239"/>
        <v>EF01</v>
      </c>
      <c r="AD1251" s="758" t="str">
        <f t="shared" si="240"/>
        <v>EF017</v>
      </c>
      <c r="AE1251" s="760"/>
      <c r="AF1251" s="760"/>
      <c r="AG1251" s="443"/>
      <c r="AH1251" s="443"/>
    </row>
    <row r="1252" spans="1:34" ht="16.5">
      <c r="A1252" s="728">
        <f t="shared" si="236"/>
        <v>1245</v>
      </c>
      <c r="B1252" s="765">
        <v>10</v>
      </c>
      <c r="C1252" s="694">
        <v>44268</v>
      </c>
      <c r="D1252" s="763" t="str">
        <f t="shared" si="217"/>
        <v>March</v>
      </c>
      <c r="E1252" s="763">
        <f t="shared" si="218"/>
        <v>13</v>
      </c>
      <c r="F1252" s="762">
        <f t="shared" si="219"/>
        <v>2021</v>
      </c>
      <c r="G1252" s="761" t="s">
        <v>120</v>
      </c>
      <c r="H1252" s="886" t="s">
        <v>160</v>
      </c>
      <c r="I1252" s="763">
        <v>1200</v>
      </c>
      <c r="J1252" s="763">
        <v>13.22</v>
      </c>
      <c r="K1252" s="778">
        <f t="shared" si="220"/>
        <v>9.0136363636363637</v>
      </c>
      <c r="L1252" s="978">
        <v>250000</v>
      </c>
      <c r="M1252" s="736">
        <f t="shared" si="221"/>
        <v>17</v>
      </c>
      <c r="N1252" s="764">
        <v>0.7416666666666667</v>
      </c>
      <c r="O1252" s="738">
        <f t="shared" si="222"/>
        <v>0.7416666666666667</v>
      </c>
      <c r="P1252" s="739">
        <v>0.7583333333333333</v>
      </c>
      <c r="Q1252" s="739">
        <f t="shared" si="223"/>
        <v>1.6666666666666607E-2</v>
      </c>
      <c r="R1252" s="965" t="s">
        <v>1520</v>
      </c>
      <c r="S1252" s="766" t="s">
        <v>1561</v>
      </c>
      <c r="T1252" s="277"/>
      <c r="U1252" s="758" t="str">
        <f t="shared" si="228"/>
        <v>DonleyEF2</v>
      </c>
      <c r="V1252" s="758" t="str">
        <f t="shared" si="229"/>
        <v>2021EF2</v>
      </c>
      <c r="W1252" s="35">
        <v>1000</v>
      </c>
      <c r="X1252" s="251">
        <v>10</v>
      </c>
      <c r="Y1252" s="468">
        <v>5</v>
      </c>
      <c r="Z1252" s="758"/>
      <c r="AA1252" s="758" t="str">
        <f t="shared" si="237"/>
        <v>EF21000</v>
      </c>
      <c r="AB1252" s="758" t="str">
        <f t="shared" si="238"/>
        <v>EF210</v>
      </c>
      <c r="AC1252" s="758" t="str">
        <f t="shared" si="239"/>
        <v>EF25</v>
      </c>
      <c r="AD1252" s="758" t="str">
        <f t="shared" si="240"/>
        <v>EF217</v>
      </c>
      <c r="AE1252" s="760"/>
      <c r="AF1252" s="760"/>
      <c r="AG1252" s="443"/>
      <c r="AH1252" s="443"/>
    </row>
    <row r="1253" spans="1:34" ht="16.5">
      <c r="A1253" s="728">
        <f t="shared" si="236"/>
        <v>1246</v>
      </c>
      <c r="B1253" s="765">
        <v>11</v>
      </c>
      <c r="C1253" s="694">
        <v>44268</v>
      </c>
      <c r="D1253" s="763" t="str">
        <f t="shared" si="217"/>
        <v>March</v>
      </c>
      <c r="E1253" s="763">
        <f t="shared" si="218"/>
        <v>13</v>
      </c>
      <c r="F1253" s="762">
        <f t="shared" si="219"/>
        <v>2021</v>
      </c>
      <c r="G1253" s="761" t="s">
        <v>120</v>
      </c>
      <c r="H1253" s="886" t="s">
        <v>161</v>
      </c>
      <c r="I1253" s="763">
        <v>40</v>
      </c>
      <c r="J1253" s="763">
        <v>0.95</v>
      </c>
      <c r="K1253" s="778">
        <f t="shared" si="220"/>
        <v>2.1590909090909091E-2</v>
      </c>
      <c r="L1253" s="978">
        <v>30000</v>
      </c>
      <c r="M1253" s="736">
        <f t="shared" si="221"/>
        <v>17</v>
      </c>
      <c r="N1253" s="764">
        <v>0.74375000000000002</v>
      </c>
      <c r="O1253" s="738">
        <f t="shared" si="222"/>
        <v>0.74375000000000002</v>
      </c>
      <c r="P1253" s="739">
        <v>0.74444444444444446</v>
      </c>
      <c r="Q1253" s="739">
        <f t="shared" si="223"/>
        <v>6.9444444444444198E-4</v>
      </c>
      <c r="R1253" s="965" t="s">
        <v>1520</v>
      </c>
      <c r="S1253" s="766" t="s">
        <v>1560</v>
      </c>
      <c r="T1253" s="277"/>
      <c r="U1253" s="758" t="str">
        <f t="shared" si="228"/>
        <v>DonleyEF0</v>
      </c>
      <c r="V1253" s="758" t="str">
        <f t="shared" si="229"/>
        <v>2021EF0</v>
      </c>
      <c r="W1253" s="35">
        <v>20</v>
      </c>
      <c r="X1253" s="251">
        <v>0.5</v>
      </c>
      <c r="Y1253" s="468">
        <v>0.02</v>
      </c>
      <c r="Z1253" s="758"/>
      <c r="AA1253" s="758" t="str">
        <f t="shared" si="237"/>
        <v>EF020</v>
      </c>
      <c r="AB1253" s="758" t="str">
        <f t="shared" si="238"/>
        <v>EF00.5</v>
      </c>
      <c r="AC1253" s="758" t="str">
        <f t="shared" si="239"/>
        <v>EF00.02</v>
      </c>
      <c r="AD1253" s="758" t="str">
        <f t="shared" si="240"/>
        <v>EF017</v>
      </c>
      <c r="AE1253" s="760"/>
      <c r="AF1253" s="760"/>
      <c r="AG1253" s="443"/>
      <c r="AH1253" s="443"/>
    </row>
    <row r="1254" spans="1:34" ht="63.75">
      <c r="A1254" s="728">
        <f t="shared" si="236"/>
        <v>1247</v>
      </c>
      <c r="B1254" s="765">
        <v>12</v>
      </c>
      <c r="C1254" s="694">
        <v>44323</v>
      </c>
      <c r="D1254" s="763" t="str">
        <f t="shared" si="217"/>
        <v>May</v>
      </c>
      <c r="E1254" s="763">
        <f t="shared" si="218"/>
        <v>7</v>
      </c>
      <c r="F1254" s="762">
        <f t="shared" si="219"/>
        <v>2021</v>
      </c>
      <c r="G1254" s="761" t="s">
        <v>115</v>
      </c>
      <c r="H1254" s="886" t="s">
        <v>161</v>
      </c>
      <c r="I1254" s="763">
        <v>25</v>
      </c>
      <c r="J1254" s="763">
        <v>3.28</v>
      </c>
      <c r="K1254" s="778">
        <f t="shared" si="220"/>
        <v>4.6590909090909086E-2</v>
      </c>
      <c r="L1254" s="978">
        <v>0</v>
      </c>
      <c r="M1254" s="736">
        <f t="shared" si="221"/>
        <v>17</v>
      </c>
      <c r="N1254" s="764">
        <v>0.73611111111111116</v>
      </c>
      <c r="O1254" s="738">
        <f t="shared" si="222"/>
        <v>0.73611111111111116</v>
      </c>
      <c r="P1254" s="739">
        <v>0.7402777777777777</v>
      </c>
      <c r="Q1254" s="739">
        <f t="shared" si="223"/>
        <v>4.1666666666665408E-3</v>
      </c>
      <c r="R1254" s="965" t="s">
        <v>1520</v>
      </c>
      <c r="S1254" s="766" t="s">
        <v>1562</v>
      </c>
      <c r="T1254" s="277"/>
      <c r="U1254" s="758" t="str">
        <f t="shared" si="228"/>
        <v>GrayEF0</v>
      </c>
      <c r="V1254" s="758" t="str">
        <f t="shared" si="229"/>
        <v>2021EF0</v>
      </c>
      <c r="W1254" s="35">
        <v>20</v>
      </c>
      <c r="X1254" s="251">
        <v>2</v>
      </c>
      <c r="Y1254" s="468">
        <v>0.02</v>
      </c>
      <c r="Z1254" s="758"/>
      <c r="AA1254" s="758" t="str">
        <f t="shared" si="237"/>
        <v>EF020</v>
      </c>
      <c r="AB1254" s="758" t="str">
        <f t="shared" si="238"/>
        <v>EF02</v>
      </c>
      <c r="AC1254" s="758" t="str">
        <f t="shared" si="239"/>
        <v>EF00.02</v>
      </c>
      <c r="AD1254" s="758" t="str">
        <f t="shared" si="240"/>
        <v>EF017</v>
      </c>
      <c r="AE1254" s="760"/>
      <c r="AF1254" s="760"/>
      <c r="AG1254" s="443"/>
      <c r="AH1254" s="443"/>
    </row>
    <row r="1255" spans="1:34" ht="63.75">
      <c r="A1255" s="728">
        <f t="shared" si="236"/>
        <v>1248</v>
      </c>
      <c r="B1255" s="765">
        <v>13</v>
      </c>
      <c r="C1255" s="694">
        <v>44333</v>
      </c>
      <c r="D1255" s="763" t="str">
        <f t="shared" si="217"/>
        <v>May</v>
      </c>
      <c r="E1255" s="763">
        <f t="shared" si="218"/>
        <v>17</v>
      </c>
      <c r="F1255" s="762">
        <f t="shared" si="219"/>
        <v>2021</v>
      </c>
      <c r="G1255" s="761" t="s">
        <v>112</v>
      </c>
      <c r="H1255" s="906" t="s">
        <v>161</v>
      </c>
      <c r="I1255" s="763">
        <v>20</v>
      </c>
      <c r="J1255" s="763">
        <v>0.86</v>
      </c>
      <c r="K1255" s="778">
        <f t="shared" si="220"/>
        <v>9.7727272727272732E-3</v>
      </c>
      <c r="L1255" s="978">
        <v>0</v>
      </c>
      <c r="M1255" s="736">
        <f t="shared" si="221"/>
        <v>17</v>
      </c>
      <c r="N1255" s="764">
        <v>0.73263888888888884</v>
      </c>
      <c r="O1255" s="738">
        <f t="shared" si="222"/>
        <v>0.73263888888888884</v>
      </c>
      <c r="P1255" s="739">
        <v>0.73541666666666661</v>
      </c>
      <c r="Q1255" s="739">
        <f t="shared" si="223"/>
        <v>2.7777777777777679E-3</v>
      </c>
      <c r="R1255" s="965" t="s">
        <v>1520</v>
      </c>
      <c r="S1255" s="766" t="s">
        <v>1564</v>
      </c>
      <c r="T1255" s="277"/>
      <c r="U1255" s="758" t="str">
        <f t="shared" si="228"/>
        <v>OldhamEF0</v>
      </c>
      <c r="V1255" s="758" t="str">
        <f t="shared" si="229"/>
        <v>2021EF0</v>
      </c>
      <c r="W1255" s="35">
        <v>20</v>
      </c>
      <c r="X1255" s="251">
        <v>0.5</v>
      </c>
      <c r="Y1255" s="468">
        <v>5.0000000000000001E-3</v>
      </c>
      <c r="Z1255" s="758"/>
      <c r="AA1255" s="758" t="str">
        <f t="shared" si="237"/>
        <v>EF020</v>
      </c>
      <c r="AB1255" s="758" t="str">
        <f t="shared" si="238"/>
        <v>EF00.5</v>
      </c>
      <c r="AC1255" s="758" t="str">
        <f t="shared" si="239"/>
        <v>EF00.005</v>
      </c>
      <c r="AD1255" s="758" t="str">
        <f t="shared" si="240"/>
        <v>EF017</v>
      </c>
      <c r="AE1255" s="760"/>
      <c r="AF1255" s="760"/>
      <c r="AG1255" s="443"/>
      <c r="AH1255" s="443"/>
    </row>
    <row r="1256" spans="1:34" ht="51">
      <c r="A1256" s="728">
        <f t="shared" si="236"/>
        <v>1249</v>
      </c>
      <c r="B1256" s="765">
        <v>14</v>
      </c>
      <c r="C1256" s="694">
        <v>44342</v>
      </c>
      <c r="D1256" s="763" t="str">
        <f t="shared" si="217"/>
        <v>May</v>
      </c>
      <c r="E1256" s="763">
        <f t="shared" si="218"/>
        <v>26</v>
      </c>
      <c r="F1256" s="762">
        <f t="shared" si="219"/>
        <v>2021</v>
      </c>
      <c r="G1256" s="761" t="s">
        <v>104</v>
      </c>
      <c r="H1256" s="906" t="s">
        <v>161</v>
      </c>
      <c r="I1256" s="763">
        <v>20</v>
      </c>
      <c r="J1256" s="763">
        <v>1.93</v>
      </c>
      <c r="K1256" s="778">
        <f t="shared" si="220"/>
        <v>2.1931818181818181E-2</v>
      </c>
      <c r="L1256" s="978">
        <v>0</v>
      </c>
      <c r="M1256" s="736">
        <f t="shared" si="221"/>
        <v>16</v>
      </c>
      <c r="N1256" s="764">
        <v>0.7055555555555556</v>
      </c>
      <c r="O1256" s="738">
        <f t="shared" si="222"/>
        <v>0.7055555555555556</v>
      </c>
      <c r="P1256" s="739">
        <v>0.70833333333333337</v>
      </c>
      <c r="Q1256" s="739">
        <f t="shared" si="223"/>
        <v>2.7777777777777679E-3</v>
      </c>
      <c r="R1256" s="965" t="s">
        <v>1520</v>
      </c>
      <c r="S1256" s="766" t="s">
        <v>1568</v>
      </c>
      <c r="T1256" s="277"/>
      <c r="U1256" s="758" t="str">
        <f t="shared" si="228"/>
        <v>HansfordEF0</v>
      </c>
      <c r="V1256" s="758" t="str">
        <f t="shared" si="229"/>
        <v>2021EF0</v>
      </c>
      <c r="W1256" s="35">
        <v>20</v>
      </c>
      <c r="X1256" s="251">
        <v>1</v>
      </c>
      <c r="Y1256" s="468">
        <v>0.02</v>
      </c>
      <c r="Z1256" s="758"/>
      <c r="AA1256" s="758" t="str">
        <f t="shared" si="237"/>
        <v>EF020</v>
      </c>
      <c r="AB1256" s="758" t="str">
        <f t="shared" si="238"/>
        <v>EF01</v>
      </c>
      <c r="AC1256" s="758" t="str">
        <f t="shared" si="239"/>
        <v>EF00.02</v>
      </c>
      <c r="AD1256" s="758" t="str">
        <f t="shared" si="240"/>
        <v>EF016</v>
      </c>
      <c r="AE1256" s="760"/>
      <c r="AF1256" s="760"/>
      <c r="AG1256" s="443"/>
      <c r="AH1256" s="443"/>
    </row>
    <row r="1257" spans="1:34" ht="16.5">
      <c r="A1257" s="728">
        <f t="shared" si="236"/>
        <v>1250</v>
      </c>
      <c r="B1257" s="765">
        <v>15</v>
      </c>
      <c r="C1257" s="694">
        <v>44342</v>
      </c>
      <c r="D1257" s="763" t="str">
        <f t="shared" si="217"/>
        <v>May</v>
      </c>
      <c r="E1257" s="763">
        <f t="shared" si="218"/>
        <v>26</v>
      </c>
      <c r="F1257" s="762">
        <f t="shared" si="219"/>
        <v>2021</v>
      </c>
      <c r="G1257" s="761" t="s">
        <v>104</v>
      </c>
      <c r="H1257" s="906" t="s">
        <v>161</v>
      </c>
      <c r="I1257" s="763">
        <v>20</v>
      </c>
      <c r="J1257" s="763">
        <v>0.83</v>
      </c>
      <c r="K1257" s="778">
        <f t="shared" si="220"/>
        <v>9.4318181818181818E-3</v>
      </c>
      <c r="L1257" s="978">
        <v>0</v>
      </c>
      <c r="M1257" s="736">
        <f t="shared" si="221"/>
        <v>17</v>
      </c>
      <c r="N1257" s="764">
        <v>0.71805555555555556</v>
      </c>
      <c r="O1257" s="738">
        <f t="shared" si="222"/>
        <v>0.71805555555555556</v>
      </c>
      <c r="P1257" s="739">
        <v>0.71875</v>
      </c>
      <c r="Q1257" s="739">
        <f t="shared" si="223"/>
        <v>6.9444444444444198E-4</v>
      </c>
      <c r="R1257" s="965" t="s">
        <v>1520</v>
      </c>
      <c r="S1257" s="766" t="s">
        <v>1565</v>
      </c>
      <c r="T1257" s="277"/>
      <c r="U1257" s="758" t="str">
        <f t="shared" si="228"/>
        <v>HansfordEF0</v>
      </c>
      <c r="V1257" s="758" t="str">
        <f t="shared" si="229"/>
        <v>2021EF0</v>
      </c>
      <c r="W1257" s="35">
        <v>20</v>
      </c>
      <c r="X1257" s="251">
        <v>0.5</v>
      </c>
      <c r="Y1257" s="468">
        <v>5.0000000000000001E-3</v>
      </c>
      <c r="Z1257" s="758"/>
      <c r="AA1257" s="758" t="str">
        <f t="shared" si="237"/>
        <v>EF020</v>
      </c>
      <c r="AB1257" s="758" t="str">
        <f t="shared" si="238"/>
        <v>EF00.5</v>
      </c>
      <c r="AC1257" s="758" t="str">
        <f t="shared" si="239"/>
        <v>EF00.005</v>
      </c>
      <c r="AD1257" s="758" t="str">
        <f t="shared" si="240"/>
        <v>EF017</v>
      </c>
      <c r="AE1257" s="760"/>
      <c r="AF1257" s="760"/>
      <c r="AG1257" s="443"/>
      <c r="AH1257" s="443"/>
    </row>
    <row r="1258" spans="1:34" ht="16.5">
      <c r="A1258" s="728">
        <f t="shared" si="236"/>
        <v>1251</v>
      </c>
      <c r="B1258" s="765">
        <v>16</v>
      </c>
      <c r="C1258" s="694">
        <v>44342</v>
      </c>
      <c r="D1258" s="763" t="str">
        <f t="shared" si="217"/>
        <v>May</v>
      </c>
      <c r="E1258" s="763">
        <f t="shared" si="218"/>
        <v>26</v>
      </c>
      <c r="F1258" s="762">
        <f t="shared" si="219"/>
        <v>2021</v>
      </c>
      <c r="G1258" s="761" t="s">
        <v>105</v>
      </c>
      <c r="H1258" s="906" t="s">
        <v>161</v>
      </c>
      <c r="I1258" s="763">
        <v>20</v>
      </c>
      <c r="J1258" s="763">
        <v>1.34</v>
      </c>
      <c r="K1258" s="778">
        <f t="shared" si="220"/>
        <v>1.5227272727272728E-2</v>
      </c>
      <c r="L1258" s="978">
        <v>0</v>
      </c>
      <c r="M1258" s="736">
        <f t="shared" si="221"/>
        <v>18</v>
      </c>
      <c r="N1258" s="764">
        <v>0.77361111111111114</v>
      </c>
      <c r="O1258" s="738">
        <f t="shared" si="222"/>
        <v>0.77361111111111114</v>
      </c>
      <c r="P1258" s="739">
        <v>0.77500000000000002</v>
      </c>
      <c r="Q1258" s="739">
        <f t="shared" si="223"/>
        <v>1.388888888888884E-3</v>
      </c>
      <c r="R1258" s="965" t="s">
        <v>1520</v>
      </c>
      <c r="S1258" s="766" t="s">
        <v>1566</v>
      </c>
      <c r="T1258" s="277"/>
      <c r="U1258" s="758" t="str">
        <f t="shared" si="228"/>
        <v>OchiltreeEF0</v>
      </c>
      <c r="V1258" s="758" t="str">
        <f t="shared" si="229"/>
        <v>2021EF0</v>
      </c>
      <c r="W1258" s="35">
        <v>20</v>
      </c>
      <c r="X1258" s="251">
        <v>1</v>
      </c>
      <c r="Y1258" s="468">
        <v>0.01</v>
      </c>
      <c r="Z1258" s="758"/>
      <c r="AA1258" s="758" t="str">
        <f t="shared" si="237"/>
        <v>EF020</v>
      </c>
      <c r="AB1258" s="758" t="str">
        <f t="shared" si="238"/>
        <v>EF01</v>
      </c>
      <c r="AC1258" s="758" t="str">
        <f t="shared" si="239"/>
        <v>EF00.01</v>
      </c>
      <c r="AD1258" s="758" t="str">
        <f t="shared" si="240"/>
        <v>EF018</v>
      </c>
      <c r="AE1258" s="760"/>
      <c r="AF1258" s="760"/>
      <c r="AG1258" s="443"/>
      <c r="AH1258" s="443"/>
    </row>
    <row r="1259" spans="1:34" ht="16.5">
      <c r="A1259" s="728">
        <f t="shared" si="236"/>
        <v>1252</v>
      </c>
      <c r="B1259" s="765">
        <v>17</v>
      </c>
      <c r="C1259" s="694">
        <v>44342</v>
      </c>
      <c r="D1259" s="763" t="str">
        <f t="shared" si="217"/>
        <v>May</v>
      </c>
      <c r="E1259" s="763">
        <f t="shared" si="218"/>
        <v>26</v>
      </c>
      <c r="F1259" s="762">
        <f t="shared" si="219"/>
        <v>2021</v>
      </c>
      <c r="G1259" s="761" t="s">
        <v>105</v>
      </c>
      <c r="H1259" s="885" t="s">
        <v>161</v>
      </c>
      <c r="I1259" s="763">
        <v>20</v>
      </c>
      <c r="J1259" s="763">
        <v>0.95</v>
      </c>
      <c r="K1259" s="778">
        <f t="shared" si="220"/>
        <v>1.0795454545454546E-2</v>
      </c>
      <c r="L1259" s="978">
        <v>0</v>
      </c>
      <c r="M1259" s="736">
        <f t="shared" si="221"/>
        <v>19</v>
      </c>
      <c r="N1259" s="764">
        <v>0.80138888888888893</v>
      </c>
      <c r="O1259" s="738">
        <f t="shared" si="222"/>
        <v>0.80138888888888893</v>
      </c>
      <c r="P1259" s="739">
        <v>0.8027777777777777</v>
      </c>
      <c r="Q1259" s="739">
        <f t="shared" si="223"/>
        <v>1.3888888888887729E-3</v>
      </c>
      <c r="R1259" s="965" t="s">
        <v>1520</v>
      </c>
      <c r="S1259" s="766" t="s">
        <v>1567</v>
      </c>
      <c r="T1259" s="277"/>
      <c r="U1259" s="758" t="str">
        <f t="shared" si="228"/>
        <v>OchiltreeEF0</v>
      </c>
      <c r="V1259" s="758" t="str">
        <f t="shared" si="229"/>
        <v>2021EF0</v>
      </c>
      <c r="W1259" s="35">
        <v>20</v>
      </c>
      <c r="X1259" s="251">
        <v>0.5</v>
      </c>
      <c r="Y1259" s="468">
        <v>0.01</v>
      </c>
      <c r="Z1259" s="758"/>
      <c r="AA1259" s="758" t="str">
        <f t="shared" si="237"/>
        <v>EF020</v>
      </c>
      <c r="AB1259" s="758" t="str">
        <f t="shared" si="238"/>
        <v>EF00.5</v>
      </c>
      <c r="AC1259" s="758" t="str">
        <f t="shared" si="239"/>
        <v>EF00.01</v>
      </c>
      <c r="AD1259" s="758" t="str">
        <f t="shared" si="240"/>
        <v>EF019</v>
      </c>
      <c r="AE1259" s="760"/>
      <c r="AF1259" s="760"/>
      <c r="AG1259" s="443"/>
      <c r="AH1259" s="443"/>
    </row>
    <row r="1260" spans="1:34" ht="25.5">
      <c r="A1260" s="728">
        <f t="shared" si="236"/>
        <v>1253</v>
      </c>
      <c r="B1260" s="765">
        <v>18</v>
      </c>
      <c r="C1260" s="694">
        <v>44346</v>
      </c>
      <c r="D1260" s="763" t="str">
        <f t="shared" si="217"/>
        <v>May</v>
      </c>
      <c r="E1260" s="763">
        <f t="shared" si="218"/>
        <v>30</v>
      </c>
      <c r="F1260" s="762">
        <f t="shared" si="219"/>
        <v>2021</v>
      </c>
      <c r="G1260" s="761" t="s">
        <v>99</v>
      </c>
      <c r="H1260" s="906" t="s">
        <v>161</v>
      </c>
      <c r="I1260" s="763">
        <v>20</v>
      </c>
      <c r="J1260" s="763">
        <v>0.12</v>
      </c>
      <c r="K1260" s="778">
        <f t="shared" si="220"/>
        <v>1.3636363636363635E-3</v>
      </c>
      <c r="L1260" s="978">
        <v>0</v>
      </c>
      <c r="M1260" s="736">
        <f t="shared" si="221"/>
        <v>16</v>
      </c>
      <c r="N1260" s="764">
        <v>0.69027777777777777</v>
      </c>
      <c r="O1260" s="738">
        <f t="shared" si="222"/>
        <v>0.69027777777777777</v>
      </c>
      <c r="P1260" s="739">
        <v>0.69097222222222221</v>
      </c>
      <c r="Q1260" s="739">
        <f t="shared" si="223"/>
        <v>6.9444444444444198E-4</v>
      </c>
      <c r="R1260" s="965" t="s">
        <v>1520</v>
      </c>
      <c r="S1260" s="766" t="s">
        <v>1569</v>
      </c>
      <c r="T1260" s="277"/>
      <c r="U1260" s="758" t="str">
        <f t="shared" si="228"/>
        <v>CimarronEF0</v>
      </c>
      <c r="V1260" s="758" t="str">
        <f t="shared" si="229"/>
        <v>2021EF0</v>
      </c>
      <c r="W1260" s="35">
        <v>10</v>
      </c>
      <c r="X1260" s="251">
        <v>0.1</v>
      </c>
      <c r="Y1260" s="468">
        <v>1E-3</v>
      </c>
      <c r="Z1260" s="758"/>
      <c r="AA1260" s="758" t="str">
        <f t="shared" si="237"/>
        <v>EF010</v>
      </c>
      <c r="AB1260" s="758" t="str">
        <f t="shared" si="238"/>
        <v>EF00.1</v>
      </c>
      <c r="AC1260" s="758" t="str">
        <f t="shared" si="239"/>
        <v>EF00.001</v>
      </c>
      <c r="AD1260" s="758" t="str">
        <f t="shared" si="240"/>
        <v>EF016</v>
      </c>
      <c r="AE1260" s="760"/>
      <c r="AF1260" s="760"/>
      <c r="AG1260" s="443"/>
      <c r="AH1260" s="443"/>
    </row>
    <row r="1261" spans="1:34" ht="16.5">
      <c r="A1261" s="728">
        <f t="shared" si="236"/>
        <v>1254</v>
      </c>
      <c r="B1261" s="765">
        <v>19</v>
      </c>
      <c r="C1261" s="694">
        <v>44346</v>
      </c>
      <c r="D1261" s="763" t="str">
        <f t="shared" si="217"/>
        <v>May</v>
      </c>
      <c r="E1261" s="763">
        <f t="shared" si="218"/>
        <v>30</v>
      </c>
      <c r="F1261" s="762">
        <f t="shared" si="219"/>
        <v>2021</v>
      </c>
      <c r="G1261" s="761" t="s">
        <v>99</v>
      </c>
      <c r="H1261" s="906" t="s">
        <v>161</v>
      </c>
      <c r="I1261" s="763">
        <v>10</v>
      </c>
      <c r="J1261" s="763">
        <v>0.11</v>
      </c>
      <c r="K1261" s="778">
        <f t="shared" si="220"/>
        <v>6.2500000000000001E-4</v>
      </c>
      <c r="L1261" s="978">
        <v>0</v>
      </c>
      <c r="M1261" s="736">
        <f t="shared" si="221"/>
        <v>16</v>
      </c>
      <c r="N1261" s="764">
        <v>0.69374999999999998</v>
      </c>
      <c r="O1261" s="738">
        <f t="shared" si="222"/>
        <v>0.69374999999999998</v>
      </c>
      <c r="P1261" s="739">
        <v>0.69444444444444453</v>
      </c>
      <c r="Q1261" s="739">
        <f t="shared" si="223"/>
        <v>6.94444444444553E-4</v>
      </c>
      <c r="R1261" s="965" t="s">
        <v>1520</v>
      </c>
      <c r="S1261" s="766" t="s">
        <v>1570</v>
      </c>
      <c r="T1261" s="277"/>
      <c r="U1261" s="758" t="str">
        <f t="shared" si="228"/>
        <v>CimarronEF0</v>
      </c>
      <c r="V1261" s="758" t="str">
        <f t="shared" si="229"/>
        <v>2021EF0</v>
      </c>
      <c r="W1261" s="35">
        <v>10</v>
      </c>
      <c r="X1261" s="251">
        <v>0.1</v>
      </c>
      <c r="Y1261" s="468">
        <v>5.0000000000000001E-4</v>
      </c>
      <c r="Z1261" s="758"/>
      <c r="AA1261" s="758" t="str">
        <f t="shared" si="237"/>
        <v>EF010</v>
      </c>
      <c r="AB1261" s="758" t="str">
        <f t="shared" si="238"/>
        <v>EF00.1</v>
      </c>
      <c r="AC1261" s="758" t="str">
        <f t="shared" si="239"/>
        <v>EF00.0005</v>
      </c>
      <c r="AD1261" s="758" t="str">
        <f t="shared" si="240"/>
        <v>EF016</v>
      </c>
      <c r="AE1261" s="760"/>
      <c r="AF1261" s="760"/>
      <c r="AG1261" s="443"/>
      <c r="AH1261" s="443"/>
    </row>
    <row r="1262" spans="1:34" ht="16.5">
      <c r="A1262" s="728">
        <f t="shared" si="236"/>
        <v>1255</v>
      </c>
      <c r="B1262" s="765">
        <v>20</v>
      </c>
      <c r="C1262" s="694">
        <v>44346</v>
      </c>
      <c r="D1262" s="763" t="str">
        <f t="shared" si="217"/>
        <v>May</v>
      </c>
      <c r="E1262" s="763">
        <f t="shared" si="218"/>
        <v>30</v>
      </c>
      <c r="F1262" s="762">
        <f t="shared" si="219"/>
        <v>2021</v>
      </c>
      <c r="G1262" s="761" t="s">
        <v>99</v>
      </c>
      <c r="H1262" s="906" t="s">
        <v>161</v>
      </c>
      <c r="I1262" s="763">
        <v>10</v>
      </c>
      <c r="J1262" s="763">
        <v>0.12</v>
      </c>
      <c r="K1262" s="778">
        <f t="shared" si="220"/>
        <v>6.8181818181818176E-4</v>
      </c>
      <c r="L1262" s="978">
        <v>0</v>
      </c>
      <c r="M1262" s="736">
        <f t="shared" si="221"/>
        <v>16</v>
      </c>
      <c r="N1262" s="764">
        <v>0.69652777777777775</v>
      </c>
      <c r="O1262" s="738">
        <f t="shared" si="222"/>
        <v>0.69652777777777775</v>
      </c>
      <c r="P1262" s="739">
        <v>0.6972222222222223</v>
      </c>
      <c r="Q1262" s="739">
        <f t="shared" si="223"/>
        <v>6.94444444444553E-4</v>
      </c>
      <c r="R1262" s="965" t="s">
        <v>1520</v>
      </c>
      <c r="S1262" s="766" t="s">
        <v>1570</v>
      </c>
      <c r="T1262" s="277"/>
      <c r="U1262" s="758" t="str">
        <f t="shared" si="228"/>
        <v>CimarronEF0</v>
      </c>
      <c r="V1262" s="758" t="str">
        <f t="shared" si="229"/>
        <v>2021EF0</v>
      </c>
      <c r="W1262" s="35">
        <v>10</v>
      </c>
      <c r="X1262" s="251">
        <v>0.1</v>
      </c>
      <c r="Y1262" s="468">
        <v>5.0000000000000001E-4</v>
      </c>
      <c r="Z1262" s="758"/>
      <c r="AA1262" s="758" t="str">
        <f t="shared" si="237"/>
        <v>EF010</v>
      </c>
      <c r="AB1262" s="758" t="str">
        <f t="shared" si="238"/>
        <v>EF00.1</v>
      </c>
      <c r="AC1262" s="758" t="str">
        <f t="shared" si="239"/>
        <v>EF00.0005</v>
      </c>
      <c r="AD1262" s="758" t="str">
        <f t="shared" si="240"/>
        <v>EF016</v>
      </c>
      <c r="AE1262" s="760"/>
      <c r="AF1262" s="760"/>
      <c r="AG1262" s="443"/>
      <c r="AH1262" s="443"/>
    </row>
    <row r="1263" spans="1:34" ht="16.5">
      <c r="A1263" s="728">
        <f t="shared" si="236"/>
        <v>1256</v>
      </c>
      <c r="B1263" s="765">
        <v>21</v>
      </c>
      <c r="C1263" s="694">
        <v>44346</v>
      </c>
      <c r="D1263" s="763" t="str">
        <f t="shared" si="217"/>
        <v>May</v>
      </c>
      <c r="E1263" s="763">
        <f t="shared" si="218"/>
        <v>30</v>
      </c>
      <c r="F1263" s="762">
        <f t="shared" si="219"/>
        <v>2021</v>
      </c>
      <c r="G1263" s="761" t="s">
        <v>99</v>
      </c>
      <c r="H1263" s="906" t="s">
        <v>161</v>
      </c>
      <c r="I1263" s="763">
        <v>10</v>
      </c>
      <c r="J1263" s="763">
        <v>0.44</v>
      </c>
      <c r="K1263" s="778">
        <f t="shared" si="220"/>
        <v>2.5000000000000001E-3</v>
      </c>
      <c r="L1263" s="978">
        <v>0</v>
      </c>
      <c r="M1263" s="736">
        <f t="shared" si="221"/>
        <v>16</v>
      </c>
      <c r="N1263" s="764">
        <v>0.7055555555555556</v>
      </c>
      <c r="O1263" s="738">
        <f t="shared" si="222"/>
        <v>0.7055555555555556</v>
      </c>
      <c r="P1263" s="739">
        <v>0.70694444444444438</v>
      </c>
      <c r="Q1263" s="739">
        <f t="shared" si="223"/>
        <v>1.3888888888887729E-3</v>
      </c>
      <c r="R1263" s="965" t="s">
        <v>1520</v>
      </c>
      <c r="S1263" s="766" t="s">
        <v>1571</v>
      </c>
      <c r="T1263" s="277"/>
      <c r="U1263" s="758" t="str">
        <f t="shared" si="228"/>
        <v>CimarronEF0</v>
      </c>
      <c r="V1263" s="758" t="str">
        <f t="shared" si="229"/>
        <v>2021EF0</v>
      </c>
      <c r="W1263" s="35">
        <v>10</v>
      </c>
      <c r="X1263" s="251">
        <v>0.2</v>
      </c>
      <c r="Y1263" s="468">
        <v>2E-3</v>
      </c>
      <c r="Z1263" s="758"/>
      <c r="AA1263" s="758" t="str">
        <f t="shared" si="237"/>
        <v>EF010</v>
      </c>
      <c r="AB1263" s="758" t="str">
        <f t="shared" si="238"/>
        <v>EF00.2</v>
      </c>
      <c r="AC1263" s="758" t="str">
        <f t="shared" si="239"/>
        <v>EF00.002</v>
      </c>
      <c r="AD1263" s="758" t="str">
        <f t="shared" si="240"/>
        <v>EF016</v>
      </c>
      <c r="AE1263" s="760"/>
      <c r="AF1263" s="760"/>
      <c r="AG1263" s="443"/>
      <c r="AH1263" s="443"/>
    </row>
    <row r="1264" spans="1:34" ht="16.5">
      <c r="A1264" s="728">
        <f t="shared" si="236"/>
        <v>1257</v>
      </c>
      <c r="B1264" s="765">
        <v>22</v>
      </c>
      <c r="C1264" s="694">
        <v>44346</v>
      </c>
      <c r="D1264" s="763" t="str">
        <f t="shared" si="217"/>
        <v>May</v>
      </c>
      <c r="E1264" s="763">
        <f t="shared" si="218"/>
        <v>30</v>
      </c>
      <c r="F1264" s="762">
        <f t="shared" si="219"/>
        <v>2021</v>
      </c>
      <c r="G1264" s="761" t="s">
        <v>99</v>
      </c>
      <c r="H1264" s="906" t="s">
        <v>161</v>
      </c>
      <c r="I1264" s="763">
        <v>10</v>
      </c>
      <c r="J1264" s="763">
        <v>0.31</v>
      </c>
      <c r="K1264" s="778">
        <f t="shared" si="220"/>
        <v>1.7613636363636364E-3</v>
      </c>
      <c r="L1264" s="978">
        <v>0</v>
      </c>
      <c r="M1264" s="736">
        <f t="shared" si="221"/>
        <v>17</v>
      </c>
      <c r="N1264" s="764">
        <v>0.70972222222222225</v>
      </c>
      <c r="O1264" s="738">
        <f t="shared" si="222"/>
        <v>0.70972222222222225</v>
      </c>
      <c r="P1264" s="739">
        <v>0.7104166666666667</v>
      </c>
      <c r="Q1264" s="739">
        <f t="shared" si="223"/>
        <v>6.9444444444444198E-4</v>
      </c>
      <c r="R1264" s="965" t="s">
        <v>1520</v>
      </c>
      <c r="S1264" s="766" t="s">
        <v>1572</v>
      </c>
      <c r="T1264" s="277"/>
      <c r="U1264" s="758" t="str">
        <f t="shared" si="228"/>
        <v>CimarronEF0</v>
      </c>
      <c r="V1264" s="758" t="str">
        <f t="shared" si="229"/>
        <v>2021EF0</v>
      </c>
      <c r="W1264" s="35">
        <v>10</v>
      </c>
      <c r="X1264" s="251">
        <v>0.2</v>
      </c>
      <c r="Y1264" s="468">
        <v>1E-3</v>
      </c>
      <c r="Z1264" s="758"/>
      <c r="AA1264" s="758" t="str">
        <f t="shared" si="237"/>
        <v>EF010</v>
      </c>
      <c r="AB1264" s="758" t="str">
        <f t="shared" si="238"/>
        <v>EF00.2</v>
      </c>
      <c r="AC1264" s="758" t="str">
        <f t="shared" si="239"/>
        <v>EF00.001</v>
      </c>
      <c r="AD1264" s="758" t="str">
        <f t="shared" si="240"/>
        <v>EF017</v>
      </c>
      <c r="AE1264" s="760"/>
      <c r="AF1264" s="760"/>
      <c r="AG1264" s="443"/>
      <c r="AH1264" s="443"/>
    </row>
    <row r="1265" spans="1:34" ht="16.5">
      <c r="A1265" s="728">
        <f t="shared" si="236"/>
        <v>1258</v>
      </c>
      <c r="B1265" s="765">
        <v>23</v>
      </c>
      <c r="C1265" s="694">
        <v>44346</v>
      </c>
      <c r="D1265" s="763" t="str">
        <f t="shared" si="217"/>
        <v>May</v>
      </c>
      <c r="E1265" s="763">
        <f t="shared" si="218"/>
        <v>30</v>
      </c>
      <c r="F1265" s="762">
        <f t="shared" si="219"/>
        <v>2021</v>
      </c>
      <c r="G1265" s="761" t="s">
        <v>99</v>
      </c>
      <c r="H1265" s="906" t="s">
        <v>161</v>
      </c>
      <c r="I1265" s="763">
        <v>50</v>
      </c>
      <c r="J1265" s="763">
        <v>2.87</v>
      </c>
      <c r="K1265" s="778">
        <f t="shared" si="220"/>
        <v>8.1534090909090903E-2</v>
      </c>
      <c r="L1265" s="978">
        <v>0</v>
      </c>
      <c r="M1265" s="736">
        <f t="shared" si="221"/>
        <v>17</v>
      </c>
      <c r="N1265" s="764">
        <v>0.70972222222222225</v>
      </c>
      <c r="O1265" s="738">
        <f t="shared" si="222"/>
        <v>0.70972222222222225</v>
      </c>
      <c r="P1265" s="739">
        <v>0.71875</v>
      </c>
      <c r="Q1265" s="739">
        <f t="shared" si="223"/>
        <v>9.0277777777777457E-3</v>
      </c>
      <c r="R1265" s="965" t="s">
        <v>1520</v>
      </c>
      <c r="S1265" s="766" t="s">
        <v>1573</v>
      </c>
      <c r="T1265" s="277"/>
      <c r="U1265" s="758" t="str">
        <f t="shared" si="228"/>
        <v>CimarronEF0</v>
      </c>
      <c r="V1265" s="758" t="str">
        <f t="shared" si="229"/>
        <v>2021EF0</v>
      </c>
      <c r="W1265" s="35">
        <v>50</v>
      </c>
      <c r="X1265" s="251">
        <v>2</v>
      </c>
      <c r="Y1265" s="468">
        <v>0.05</v>
      </c>
      <c r="Z1265" s="758"/>
      <c r="AA1265" s="758" t="str">
        <f t="shared" si="237"/>
        <v>EF050</v>
      </c>
      <c r="AB1265" s="758" t="str">
        <f t="shared" si="238"/>
        <v>EF02</v>
      </c>
      <c r="AC1265" s="758" t="str">
        <f t="shared" si="239"/>
        <v>EF00.05</v>
      </c>
      <c r="AD1265" s="758" t="str">
        <f t="shared" si="240"/>
        <v>EF017</v>
      </c>
      <c r="AE1265" s="760"/>
      <c r="AF1265" s="760"/>
      <c r="AG1265" s="443"/>
      <c r="AH1265" s="443"/>
    </row>
    <row r="1266" spans="1:34" ht="16.5">
      <c r="A1266" s="728">
        <f t="shared" si="236"/>
        <v>1259</v>
      </c>
      <c r="B1266" s="765">
        <v>24</v>
      </c>
      <c r="C1266" s="694">
        <v>44346</v>
      </c>
      <c r="D1266" s="763" t="str">
        <f t="shared" si="217"/>
        <v>May</v>
      </c>
      <c r="E1266" s="763">
        <f t="shared" si="218"/>
        <v>30</v>
      </c>
      <c r="F1266" s="762">
        <f t="shared" si="219"/>
        <v>2021</v>
      </c>
      <c r="G1266" s="761" t="s">
        <v>102</v>
      </c>
      <c r="H1266" s="906" t="s">
        <v>161</v>
      </c>
      <c r="I1266" s="763">
        <v>100</v>
      </c>
      <c r="J1266" s="763">
        <v>0.82</v>
      </c>
      <c r="K1266" s="778">
        <f t="shared" si="220"/>
        <v>4.6590909090909086E-2</v>
      </c>
      <c r="L1266" s="978">
        <v>0</v>
      </c>
      <c r="M1266" s="736">
        <f t="shared" si="221"/>
        <v>17</v>
      </c>
      <c r="N1266" s="764">
        <v>0.71736111111111101</v>
      </c>
      <c r="O1266" s="738">
        <f t="shared" si="222"/>
        <v>0.71736111111111101</v>
      </c>
      <c r="P1266" s="739">
        <v>0.71944444444444444</v>
      </c>
      <c r="Q1266" s="739">
        <f t="shared" si="223"/>
        <v>2.083333333333437E-3</v>
      </c>
      <c r="R1266" s="965" t="s">
        <v>1520</v>
      </c>
      <c r="S1266" s="766" t="s">
        <v>1574</v>
      </c>
      <c r="T1266" s="277"/>
      <c r="U1266" s="758" t="str">
        <f t="shared" si="228"/>
        <v>DallamEF0</v>
      </c>
      <c r="V1266" s="758" t="str">
        <f t="shared" si="229"/>
        <v>2021EF0</v>
      </c>
      <c r="W1266" s="35">
        <v>100</v>
      </c>
      <c r="X1266" s="251">
        <v>0.5</v>
      </c>
      <c r="Y1266" s="468">
        <v>0.02</v>
      </c>
      <c r="Z1266" s="758"/>
      <c r="AA1266" s="758" t="str">
        <f t="shared" si="237"/>
        <v>EF0100</v>
      </c>
      <c r="AB1266" s="758" t="str">
        <f t="shared" si="238"/>
        <v>EF00.5</v>
      </c>
      <c r="AC1266" s="758" t="str">
        <f t="shared" si="239"/>
        <v>EF00.02</v>
      </c>
      <c r="AD1266" s="758" t="str">
        <f t="shared" si="240"/>
        <v>EF017</v>
      </c>
      <c r="AE1266" s="760"/>
      <c r="AF1266" s="760"/>
      <c r="AG1266" s="443"/>
      <c r="AH1266" s="443"/>
    </row>
    <row r="1267" spans="1:34" ht="16.5">
      <c r="A1267" s="728">
        <f t="shared" si="236"/>
        <v>1260</v>
      </c>
      <c r="B1267" s="765">
        <v>25</v>
      </c>
      <c r="C1267" s="694">
        <v>44346</v>
      </c>
      <c r="D1267" s="763" t="str">
        <f t="shared" si="217"/>
        <v>May</v>
      </c>
      <c r="E1267" s="763">
        <f t="shared" si="218"/>
        <v>30</v>
      </c>
      <c r="F1267" s="762">
        <f t="shared" si="219"/>
        <v>2021</v>
      </c>
      <c r="G1267" s="761" t="s">
        <v>102</v>
      </c>
      <c r="H1267" s="906" t="s">
        <v>161</v>
      </c>
      <c r="I1267" s="763">
        <v>50</v>
      </c>
      <c r="J1267" s="763">
        <v>0.3</v>
      </c>
      <c r="K1267" s="778">
        <f t="shared" si="220"/>
        <v>8.5227272727272721E-3</v>
      </c>
      <c r="L1267" s="978">
        <v>0</v>
      </c>
      <c r="M1267" s="736">
        <f t="shared" si="221"/>
        <v>17</v>
      </c>
      <c r="N1267" s="764">
        <v>0.72152777777777777</v>
      </c>
      <c r="O1267" s="738">
        <f t="shared" si="222"/>
        <v>0.72152777777777777</v>
      </c>
      <c r="P1267" s="739">
        <v>0.72222222222222221</v>
      </c>
      <c r="Q1267" s="739">
        <f t="shared" si="223"/>
        <v>6.9444444444444198E-4</v>
      </c>
      <c r="R1267" s="965" t="s">
        <v>1520</v>
      </c>
      <c r="S1267" s="766" t="s">
        <v>1575</v>
      </c>
      <c r="T1267" s="277"/>
      <c r="U1267" s="758" t="str">
        <f t="shared" si="228"/>
        <v>DallamEF0</v>
      </c>
      <c r="V1267" s="758" t="str">
        <f t="shared" si="229"/>
        <v>2021EF0</v>
      </c>
      <c r="W1267" s="35">
        <v>50</v>
      </c>
      <c r="X1267" s="251">
        <v>0.2</v>
      </c>
      <c r="Y1267" s="468">
        <v>5.0000000000000001E-3</v>
      </c>
      <c r="Z1267" s="758"/>
      <c r="AA1267" s="758" t="str">
        <f t="shared" si="237"/>
        <v>EF050</v>
      </c>
      <c r="AB1267" s="758" t="str">
        <f t="shared" si="238"/>
        <v>EF00.2</v>
      </c>
      <c r="AC1267" s="758" t="str">
        <f t="shared" si="239"/>
        <v>EF00.005</v>
      </c>
      <c r="AD1267" s="758" t="str">
        <f t="shared" si="240"/>
        <v>EF017</v>
      </c>
      <c r="AE1267" s="760"/>
      <c r="AF1267" s="760"/>
      <c r="AG1267" s="443"/>
      <c r="AH1267" s="443"/>
    </row>
    <row r="1268" spans="1:34" ht="16.5">
      <c r="A1268" s="728">
        <f t="shared" si="236"/>
        <v>1261</v>
      </c>
      <c r="B1268" s="765">
        <v>26</v>
      </c>
      <c r="C1268" s="694">
        <v>44346</v>
      </c>
      <c r="D1268" s="763" t="str">
        <f t="shared" si="217"/>
        <v>May</v>
      </c>
      <c r="E1268" s="763">
        <f t="shared" si="218"/>
        <v>30</v>
      </c>
      <c r="F1268" s="762">
        <f t="shared" si="219"/>
        <v>2021</v>
      </c>
      <c r="G1268" s="761" t="s">
        <v>102</v>
      </c>
      <c r="H1268" s="906" t="s">
        <v>161</v>
      </c>
      <c r="I1268" s="763">
        <v>25</v>
      </c>
      <c r="J1268" s="763">
        <v>0.32</v>
      </c>
      <c r="K1268" s="778">
        <f t="shared" si="220"/>
        <v>4.5454545454545452E-3</v>
      </c>
      <c r="L1268" s="978">
        <v>0</v>
      </c>
      <c r="M1268" s="736">
        <f t="shared" si="221"/>
        <v>17</v>
      </c>
      <c r="N1268" s="764">
        <v>0.72291666666666676</v>
      </c>
      <c r="O1268" s="738">
        <f t="shared" si="222"/>
        <v>0.72291666666666676</v>
      </c>
      <c r="P1268" s="739">
        <v>0.72361111111111109</v>
      </c>
      <c r="Q1268" s="739">
        <f t="shared" si="223"/>
        <v>6.9444444444433095E-4</v>
      </c>
      <c r="R1268" s="965" t="s">
        <v>1520</v>
      </c>
      <c r="S1268" s="766" t="s">
        <v>1576</v>
      </c>
      <c r="T1268" s="277"/>
      <c r="U1268" s="758" t="str">
        <f t="shared" si="228"/>
        <v>DallamEF0</v>
      </c>
      <c r="V1268" s="758" t="str">
        <f t="shared" si="229"/>
        <v>2021EF0</v>
      </c>
      <c r="W1268" s="35">
        <v>20</v>
      </c>
      <c r="X1268" s="251">
        <v>0.2</v>
      </c>
      <c r="Y1268" s="468">
        <v>2E-3</v>
      </c>
      <c r="Z1268" s="758"/>
      <c r="AA1268" s="758" t="str">
        <f t="shared" si="237"/>
        <v>EF020</v>
      </c>
      <c r="AB1268" s="758" t="str">
        <f t="shared" si="238"/>
        <v>EF00.2</v>
      </c>
      <c r="AC1268" s="758" t="str">
        <f t="shared" si="239"/>
        <v>EF00.002</v>
      </c>
      <c r="AD1268" s="758" t="str">
        <f t="shared" si="240"/>
        <v>EF017</v>
      </c>
      <c r="AE1268" s="760"/>
      <c r="AF1268" s="760"/>
      <c r="AG1268" s="443"/>
      <c r="AH1268" s="443"/>
    </row>
    <row r="1269" spans="1:34" ht="16.5">
      <c r="A1269" s="728">
        <f t="shared" si="236"/>
        <v>1262</v>
      </c>
      <c r="B1269" s="765">
        <v>27</v>
      </c>
      <c r="C1269" s="694">
        <v>44346</v>
      </c>
      <c r="D1269" s="763" t="str">
        <f t="shared" si="217"/>
        <v>May</v>
      </c>
      <c r="E1269" s="763">
        <f t="shared" si="218"/>
        <v>30</v>
      </c>
      <c r="F1269" s="762">
        <f t="shared" si="219"/>
        <v>2021</v>
      </c>
      <c r="G1269" s="761" t="s">
        <v>99</v>
      </c>
      <c r="H1269" s="906" t="s">
        <v>161</v>
      </c>
      <c r="I1269" s="763">
        <v>30</v>
      </c>
      <c r="J1269" s="763">
        <v>0.47</v>
      </c>
      <c r="K1269" s="778">
        <f t="shared" si="220"/>
        <v>8.0113636363636359E-3</v>
      </c>
      <c r="L1269" s="978">
        <v>0</v>
      </c>
      <c r="M1269" s="736">
        <f t="shared" si="221"/>
        <v>17</v>
      </c>
      <c r="N1269" s="764">
        <v>0.73888888888888893</v>
      </c>
      <c r="O1269" s="738">
        <f t="shared" si="222"/>
        <v>0.73888888888888893</v>
      </c>
      <c r="P1269" s="739">
        <v>0.73958333333333337</v>
      </c>
      <c r="Q1269" s="739">
        <f t="shared" si="223"/>
        <v>6.9444444444444198E-4</v>
      </c>
      <c r="R1269" s="965" t="s">
        <v>1520</v>
      </c>
      <c r="S1269" s="766" t="s">
        <v>1577</v>
      </c>
      <c r="T1269" s="277"/>
      <c r="U1269" s="758" t="str">
        <f t="shared" si="228"/>
        <v>CimarronEF0</v>
      </c>
      <c r="V1269" s="758" t="str">
        <f t="shared" si="229"/>
        <v>2021EF0</v>
      </c>
      <c r="W1269" s="35">
        <v>20</v>
      </c>
      <c r="X1269" s="251">
        <v>0.2</v>
      </c>
      <c r="Y1269" s="468">
        <v>5.0000000000000001E-3</v>
      </c>
      <c r="Z1269" s="758"/>
      <c r="AA1269" s="758" t="str">
        <f t="shared" si="237"/>
        <v>EF020</v>
      </c>
      <c r="AB1269" s="758" t="str">
        <f t="shared" si="238"/>
        <v>EF00.2</v>
      </c>
      <c r="AC1269" s="758" t="str">
        <f t="shared" si="239"/>
        <v>EF00.005</v>
      </c>
      <c r="AD1269" s="758" t="str">
        <f t="shared" si="240"/>
        <v>EF017</v>
      </c>
      <c r="AE1269" s="760"/>
      <c r="AF1269" s="760"/>
      <c r="AG1269" s="443"/>
      <c r="AH1269" s="443"/>
    </row>
    <row r="1270" spans="1:34" ht="16.5">
      <c r="A1270" s="728">
        <f t="shared" si="236"/>
        <v>1263</v>
      </c>
      <c r="B1270" s="765">
        <v>28</v>
      </c>
      <c r="C1270" s="694">
        <v>44346</v>
      </c>
      <c r="D1270" s="763" t="str">
        <f t="shared" si="217"/>
        <v>May</v>
      </c>
      <c r="E1270" s="763">
        <f t="shared" si="218"/>
        <v>30</v>
      </c>
      <c r="F1270" s="762">
        <f t="shared" si="219"/>
        <v>2021</v>
      </c>
      <c r="G1270" s="761" t="s">
        <v>102</v>
      </c>
      <c r="H1270" s="906" t="s">
        <v>161</v>
      </c>
      <c r="I1270" s="763">
        <v>100</v>
      </c>
      <c r="J1270" s="763">
        <v>0.51</v>
      </c>
      <c r="K1270" s="778">
        <f t="shared" si="220"/>
        <v>2.8977272727272727E-2</v>
      </c>
      <c r="L1270" s="978">
        <v>0</v>
      </c>
      <c r="M1270" s="736">
        <f t="shared" si="221"/>
        <v>17</v>
      </c>
      <c r="N1270" s="764">
        <v>0.7402777777777777</v>
      </c>
      <c r="O1270" s="738">
        <f t="shared" si="222"/>
        <v>0.7402777777777777</v>
      </c>
      <c r="P1270" s="739">
        <v>0.7416666666666667</v>
      </c>
      <c r="Q1270" s="739">
        <f t="shared" si="223"/>
        <v>1.388888888888995E-3</v>
      </c>
      <c r="R1270" s="965" t="s">
        <v>1520</v>
      </c>
      <c r="S1270" s="766" t="s">
        <v>1578</v>
      </c>
      <c r="T1270" s="277"/>
      <c r="U1270" s="758" t="str">
        <f t="shared" si="228"/>
        <v>DallamEF0</v>
      </c>
      <c r="V1270" s="758" t="str">
        <f t="shared" si="229"/>
        <v>2021EF0</v>
      </c>
      <c r="W1270" s="35">
        <v>100</v>
      </c>
      <c r="X1270" s="251">
        <v>0.5</v>
      </c>
      <c r="Y1270" s="468">
        <v>0.02</v>
      </c>
      <c r="Z1270" s="758"/>
      <c r="AA1270" s="758" t="str">
        <f t="shared" si="237"/>
        <v>EF0100</v>
      </c>
      <c r="AB1270" s="758" t="str">
        <f t="shared" si="238"/>
        <v>EF00.5</v>
      </c>
      <c r="AC1270" s="758" t="str">
        <f t="shared" si="239"/>
        <v>EF00.02</v>
      </c>
      <c r="AD1270" s="758" t="str">
        <f t="shared" si="240"/>
        <v>EF017</v>
      </c>
      <c r="AE1270" s="760"/>
      <c r="AF1270" s="760"/>
      <c r="AG1270" s="443"/>
      <c r="AH1270" s="443"/>
    </row>
    <row r="1271" spans="1:34" ht="16.5">
      <c r="A1271" s="728">
        <f t="shared" si="236"/>
        <v>1264</v>
      </c>
      <c r="B1271" s="765">
        <v>29</v>
      </c>
      <c r="C1271" s="694">
        <v>44346</v>
      </c>
      <c r="D1271" s="763" t="str">
        <f t="shared" si="217"/>
        <v>May</v>
      </c>
      <c r="E1271" s="763">
        <f t="shared" si="218"/>
        <v>30</v>
      </c>
      <c r="F1271" s="762">
        <f t="shared" si="219"/>
        <v>2021</v>
      </c>
      <c r="G1271" s="761" t="s">
        <v>103</v>
      </c>
      <c r="H1271" s="906" t="s">
        <v>161</v>
      </c>
      <c r="I1271" s="763">
        <v>100</v>
      </c>
      <c r="J1271" s="763">
        <v>1.22</v>
      </c>
      <c r="K1271" s="778">
        <f t="shared" si="220"/>
        <v>6.931818181818182E-2</v>
      </c>
      <c r="L1271" s="978">
        <v>0</v>
      </c>
      <c r="M1271" s="736">
        <f t="shared" si="221"/>
        <v>18</v>
      </c>
      <c r="N1271" s="764">
        <v>0.77083333333333337</v>
      </c>
      <c r="O1271" s="738">
        <f t="shared" si="222"/>
        <v>0.77083333333333337</v>
      </c>
      <c r="P1271" s="739">
        <v>0.77361111111111114</v>
      </c>
      <c r="Q1271" s="739">
        <f t="shared" si="223"/>
        <v>2.7777777777777679E-3</v>
      </c>
      <c r="R1271" s="965" t="s">
        <v>1520</v>
      </c>
      <c r="S1271" s="766" t="s">
        <v>1579</v>
      </c>
      <c r="T1271" s="277"/>
      <c r="U1271" s="758" t="str">
        <f t="shared" si="228"/>
        <v>ShermanEF0</v>
      </c>
      <c r="V1271" s="758" t="str">
        <f t="shared" si="229"/>
        <v>2021EF0</v>
      </c>
      <c r="W1271" s="35">
        <v>100</v>
      </c>
      <c r="X1271" s="251">
        <v>1</v>
      </c>
      <c r="Y1271" s="468">
        <v>0.05</v>
      </c>
      <c r="Z1271" s="758"/>
      <c r="AA1271" s="758" t="str">
        <f t="shared" si="237"/>
        <v>EF0100</v>
      </c>
      <c r="AB1271" s="758" t="str">
        <f t="shared" si="238"/>
        <v>EF01</v>
      </c>
      <c r="AC1271" s="758" t="str">
        <f t="shared" si="239"/>
        <v>EF00.05</v>
      </c>
      <c r="AD1271" s="758" t="str">
        <f t="shared" si="240"/>
        <v>EF018</v>
      </c>
      <c r="AE1271" s="760"/>
      <c r="AF1271" s="760"/>
      <c r="AG1271" s="443"/>
      <c r="AH1271" s="443"/>
    </row>
    <row r="1272" spans="1:34" ht="16.5">
      <c r="A1272" s="728">
        <f t="shared" si="236"/>
        <v>1265</v>
      </c>
      <c r="B1272" s="765">
        <v>30</v>
      </c>
      <c r="C1272" s="694">
        <v>44346</v>
      </c>
      <c r="D1272" s="763" t="str">
        <f t="shared" si="217"/>
        <v>May</v>
      </c>
      <c r="E1272" s="763">
        <f t="shared" si="218"/>
        <v>30</v>
      </c>
      <c r="F1272" s="762">
        <f t="shared" si="219"/>
        <v>2021</v>
      </c>
      <c r="G1272" s="761" t="s">
        <v>103</v>
      </c>
      <c r="H1272" s="885" t="s">
        <v>161</v>
      </c>
      <c r="I1272" s="763">
        <v>150</v>
      </c>
      <c r="J1272" s="763">
        <v>4.6100000000000003</v>
      </c>
      <c r="K1272" s="778">
        <f t="shared" si="220"/>
        <v>0.39289772727272726</v>
      </c>
      <c r="L1272" s="978">
        <v>0</v>
      </c>
      <c r="M1272" s="736">
        <f t="shared" si="221"/>
        <v>18</v>
      </c>
      <c r="N1272" s="764">
        <v>0.77986111111111101</v>
      </c>
      <c r="O1272" s="738">
        <f t="shared" si="222"/>
        <v>0.77986111111111101</v>
      </c>
      <c r="P1272" s="739">
        <v>0.78680555555555554</v>
      </c>
      <c r="Q1272" s="739">
        <f t="shared" si="223"/>
        <v>6.9444444444445308E-3</v>
      </c>
      <c r="R1272" s="965" t="s">
        <v>1520</v>
      </c>
      <c r="S1272" s="766" t="s">
        <v>1580</v>
      </c>
      <c r="T1272" s="277"/>
      <c r="U1272" s="758" t="str">
        <f t="shared" si="228"/>
        <v>ShermanEF0</v>
      </c>
      <c r="V1272" s="758" t="str">
        <f t="shared" si="229"/>
        <v>2021EF0</v>
      </c>
      <c r="W1272" s="35">
        <v>100</v>
      </c>
      <c r="X1272" s="251">
        <v>2</v>
      </c>
      <c r="Y1272" s="468">
        <v>0.2</v>
      </c>
      <c r="Z1272" s="758"/>
      <c r="AA1272" s="758" t="str">
        <f t="shared" si="237"/>
        <v>EF0100</v>
      </c>
      <c r="AB1272" s="758" t="str">
        <f t="shared" si="238"/>
        <v>EF02</v>
      </c>
      <c r="AC1272" s="758" t="str">
        <f t="shared" si="239"/>
        <v>EF00.2</v>
      </c>
      <c r="AD1272" s="758" t="str">
        <f t="shared" si="240"/>
        <v>EF018</v>
      </c>
      <c r="AE1272" s="760"/>
      <c r="AF1272" s="760"/>
      <c r="AG1272" s="443"/>
      <c r="AH1272" s="443"/>
    </row>
    <row r="1273" spans="1:34" ht="51">
      <c r="A1273" s="728">
        <f t="shared" si="236"/>
        <v>1266</v>
      </c>
      <c r="B1273" s="765">
        <v>31</v>
      </c>
      <c r="C1273" s="694">
        <v>44372</v>
      </c>
      <c r="D1273" s="763" t="str">
        <f t="shared" ref="D1273:D1336" si="241">TEXT(C1273,"mmmm")</f>
        <v>June</v>
      </c>
      <c r="E1273" s="763">
        <f t="shared" ref="E1273:E1336" si="242">DAY(C1273)</f>
        <v>25</v>
      </c>
      <c r="F1273" s="762">
        <f t="shared" ref="F1273:F1336" si="243">YEAR(C1273)</f>
        <v>2021</v>
      </c>
      <c r="G1273" s="761" t="s">
        <v>115</v>
      </c>
      <c r="H1273" s="886" t="s">
        <v>162</v>
      </c>
      <c r="I1273" s="763">
        <v>40</v>
      </c>
      <c r="J1273" s="763">
        <v>2.2000000000000002</v>
      </c>
      <c r="K1273" s="778">
        <f t="shared" ref="K1273:K1336" si="244">+(I1273/1760)*J1273</f>
        <v>0.05</v>
      </c>
      <c r="L1273" s="978">
        <v>100000</v>
      </c>
      <c r="M1273" s="736">
        <f t="shared" ref="M1273:M1336" si="245">HOUR(O1273)</f>
        <v>18</v>
      </c>
      <c r="N1273" s="764">
        <v>0.75069444444444444</v>
      </c>
      <c r="O1273" s="738">
        <f t="shared" ref="O1273:O1336" si="246">+N1273</f>
        <v>0.75069444444444444</v>
      </c>
      <c r="P1273" s="739">
        <v>0.75416666666666676</v>
      </c>
      <c r="Q1273" s="739">
        <f t="shared" ref="Q1273:Q1336" si="247">+P1273-O1273</f>
        <v>3.4722222222223209E-3</v>
      </c>
      <c r="R1273" s="965" t="s">
        <v>1520</v>
      </c>
      <c r="S1273" s="766" t="s">
        <v>1581</v>
      </c>
      <c r="T1273" s="277"/>
      <c r="U1273" s="758" t="str">
        <f t="shared" si="228"/>
        <v>GrayEF1</v>
      </c>
      <c r="V1273" s="758" t="str">
        <f t="shared" si="229"/>
        <v>2021EF1</v>
      </c>
      <c r="W1273" s="35">
        <v>20</v>
      </c>
      <c r="X1273" s="251">
        <v>2</v>
      </c>
      <c r="Y1273" s="468">
        <v>0.05</v>
      </c>
      <c r="Z1273" s="758"/>
      <c r="AA1273" s="758" t="str">
        <f t="shared" si="237"/>
        <v>EF120</v>
      </c>
      <c r="AB1273" s="758" t="str">
        <f t="shared" si="238"/>
        <v>EF12</v>
      </c>
      <c r="AC1273" s="758" t="str">
        <f t="shared" si="239"/>
        <v>EF10.05</v>
      </c>
      <c r="AD1273" s="758" t="str">
        <f t="shared" si="240"/>
        <v>EF118</v>
      </c>
      <c r="AE1273" s="760"/>
      <c r="AF1273" s="760"/>
      <c r="AG1273" s="443"/>
      <c r="AH1273" s="443"/>
    </row>
    <row r="1274" spans="1:34" ht="16.5">
      <c r="A1274" s="728">
        <f t="shared" si="236"/>
        <v>1267</v>
      </c>
      <c r="B1274" s="765">
        <v>1</v>
      </c>
      <c r="C1274" s="694">
        <v>44682</v>
      </c>
      <c r="D1274" s="763" t="str">
        <f t="shared" si="241"/>
        <v>May</v>
      </c>
      <c r="E1274" s="763">
        <f t="shared" si="242"/>
        <v>1</v>
      </c>
      <c r="F1274" s="762">
        <f t="shared" si="243"/>
        <v>2022</v>
      </c>
      <c r="G1274" s="694" t="s">
        <v>109</v>
      </c>
      <c r="H1274" s="885" t="s">
        <v>161</v>
      </c>
      <c r="I1274" s="763">
        <v>25</v>
      </c>
      <c r="J1274" s="763">
        <v>0.02</v>
      </c>
      <c r="K1274" s="778">
        <f t="shared" si="244"/>
        <v>2.8409090909090908E-4</v>
      </c>
      <c r="L1274" s="978">
        <v>5000</v>
      </c>
      <c r="M1274" s="736">
        <f t="shared" si="245"/>
        <v>18</v>
      </c>
      <c r="N1274" s="764">
        <v>0.78819444444444453</v>
      </c>
      <c r="O1274" s="738">
        <f t="shared" si="246"/>
        <v>0.78819444444444453</v>
      </c>
      <c r="P1274" s="739">
        <v>0.78888888888888886</v>
      </c>
      <c r="Q1274" s="739">
        <f t="shared" si="247"/>
        <v>6.9444444444433095E-4</v>
      </c>
      <c r="R1274" s="965" t="s">
        <v>1520</v>
      </c>
      <c r="S1274" s="766" t="s">
        <v>1614</v>
      </c>
      <c r="T1274" s="277"/>
      <c r="U1274" s="758" t="str">
        <f t="shared" si="228"/>
        <v>HutchinsonEF0</v>
      </c>
      <c r="V1274" s="758" t="str">
        <f t="shared" si="229"/>
        <v>2022EF0</v>
      </c>
      <c r="W1274" s="35">
        <v>20</v>
      </c>
      <c r="X1274" s="251">
        <v>0.02</v>
      </c>
      <c r="Y1274" s="468">
        <v>2.0000000000000001E-4</v>
      </c>
      <c r="Z1274" s="758"/>
      <c r="AA1274" s="758" t="str">
        <f t="shared" si="237"/>
        <v>EF020</v>
      </c>
      <c r="AB1274" s="758" t="str">
        <f t="shared" si="238"/>
        <v>EF00.02</v>
      </c>
      <c r="AC1274" s="758" t="str">
        <f t="shared" si="239"/>
        <v>EF00.0002</v>
      </c>
      <c r="AD1274" s="758" t="str">
        <f t="shared" si="240"/>
        <v>EF018</v>
      </c>
      <c r="AE1274" s="760"/>
      <c r="AF1274" s="760"/>
      <c r="AG1274" s="443"/>
      <c r="AH1274" s="443"/>
    </row>
    <row r="1275" spans="1:34" ht="16.5">
      <c r="A1275" s="728">
        <f t="shared" si="236"/>
        <v>1268</v>
      </c>
      <c r="B1275" s="765">
        <v>2</v>
      </c>
      <c r="C1275" s="694">
        <v>44712</v>
      </c>
      <c r="D1275" s="763" t="str">
        <f t="shared" ref="D1275:D1277" si="248">TEXT(C1275,"mmmm")</f>
        <v>May</v>
      </c>
      <c r="E1275" s="763">
        <f t="shared" ref="E1275:E1277" si="249">DAY(C1275)</f>
        <v>31</v>
      </c>
      <c r="F1275" s="762">
        <f t="shared" ref="F1275:F1277" si="250">YEAR(C1275)</f>
        <v>2022</v>
      </c>
      <c r="G1275" s="694" t="s">
        <v>121</v>
      </c>
      <c r="H1275" s="885" t="s">
        <v>161</v>
      </c>
      <c r="I1275" s="763">
        <v>125</v>
      </c>
      <c r="J1275" s="763">
        <v>1.75</v>
      </c>
      <c r="K1275" s="778">
        <f t="shared" ref="K1275:K1277" si="251">+(I1275/1760)*J1275</f>
        <v>0.12428977272727273</v>
      </c>
      <c r="L1275" s="978">
        <v>0</v>
      </c>
      <c r="M1275" s="736">
        <f t="shared" ref="M1275:M1277" si="252">HOUR(O1275)</f>
        <v>16</v>
      </c>
      <c r="N1275" s="764">
        <v>0.6958333333333333</v>
      </c>
      <c r="O1275" s="738">
        <f t="shared" ref="O1275:O1277" si="253">+N1275</f>
        <v>0.6958333333333333</v>
      </c>
      <c r="P1275" s="739">
        <v>0.70000000000000007</v>
      </c>
      <c r="Q1275" s="739">
        <f t="shared" ref="Q1275:Q1277" si="254">+P1275-O1275</f>
        <v>4.1666666666667629E-3</v>
      </c>
      <c r="R1275" s="965" t="s">
        <v>1520</v>
      </c>
      <c r="S1275" s="766" t="s">
        <v>1604</v>
      </c>
      <c r="T1275" s="277"/>
      <c r="U1275" s="758" t="str">
        <f t="shared" ref="U1275:U1277" si="255">CONCATENATE(G1275,H1275)</f>
        <v>CollingsworthEF0</v>
      </c>
      <c r="V1275" s="758" t="str">
        <f t="shared" ref="V1275:V1277" si="256">CONCATENATE(F1275,H1275)</f>
        <v>2022EF0</v>
      </c>
      <c r="W1275" s="35">
        <v>100</v>
      </c>
      <c r="X1275" s="251">
        <v>1</v>
      </c>
      <c r="Y1275" s="468">
        <v>0.1</v>
      </c>
      <c r="Z1275" s="758"/>
      <c r="AA1275" s="758" t="str">
        <f t="shared" ref="AA1275:AA1277" si="257">CONCATENATE(H1275,W1275)</f>
        <v>EF0100</v>
      </c>
      <c r="AB1275" s="758" t="str">
        <f t="shared" ref="AB1275:AB1277" si="258">CONCATENATE(H1275,X1275)</f>
        <v>EF01</v>
      </c>
      <c r="AC1275" s="758" t="str">
        <f t="shared" ref="AC1275:AC1277" si="259">CONCATENATE(H1275,Y1275)</f>
        <v>EF00.1</v>
      </c>
      <c r="AD1275" s="758" t="str">
        <f t="shared" ref="AD1275:AD1277" si="260">CONCATENATE(H1275,M1275)</f>
        <v>EF016</v>
      </c>
      <c r="AE1275" s="760"/>
      <c r="AF1275" s="760"/>
      <c r="AG1275" s="443"/>
      <c r="AH1275" s="443"/>
    </row>
    <row r="1276" spans="1:34" ht="16.5">
      <c r="A1276" s="728">
        <f t="shared" si="236"/>
        <v>1269</v>
      </c>
      <c r="B1276" s="765">
        <v>3</v>
      </c>
      <c r="C1276" s="694">
        <v>44712</v>
      </c>
      <c r="D1276" s="763" t="str">
        <f t="shared" si="248"/>
        <v>May</v>
      </c>
      <c r="E1276" s="763">
        <f t="shared" si="249"/>
        <v>31</v>
      </c>
      <c r="F1276" s="762">
        <f t="shared" si="250"/>
        <v>2022</v>
      </c>
      <c r="G1276" s="694" t="s">
        <v>121</v>
      </c>
      <c r="H1276" s="885" t="s">
        <v>161</v>
      </c>
      <c r="I1276" s="763">
        <v>180</v>
      </c>
      <c r="J1276" s="763">
        <v>1.92</v>
      </c>
      <c r="K1276" s="778">
        <f t="shared" si="251"/>
        <v>0.19636363636363638</v>
      </c>
      <c r="L1276" s="978">
        <v>50000</v>
      </c>
      <c r="M1276" s="736">
        <f t="shared" si="252"/>
        <v>16</v>
      </c>
      <c r="N1276" s="764">
        <v>0.70416666666666661</v>
      </c>
      <c r="O1276" s="738">
        <f t="shared" si="253"/>
        <v>0.70416666666666661</v>
      </c>
      <c r="P1276" s="739">
        <v>0.7090277777777777</v>
      </c>
      <c r="Q1276" s="739">
        <f t="shared" si="254"/>
        <v>4.8611111111110938E-3</v>
      </c>
      <c r="R1276" s="965" t="s">
        <v>1520</v>
      </c>
      <c r="S1276" s="766" t="s">
        <v>1605</v>
      </c>
      <c r="T1276" s="277"/>
      <c r="U1276" s="758" t="str">
        <f t="shared" si="255"/>
        <v>CollingsworthEF0</v>
      </c>
      <c r="V1276" s="758" t="str">
        <f t="shared" si="256"/>
        <v>2022EF0</v>
      </c>
      <c r="W1276" s="35">
        <v>100</v>
      </c>
      <c r="X1276" s="251">
        <v>1</v>
      </c>
      <c r="Y1276" s="468">
        <v>0.1</v>
      </c>
      <c r="Z1276" s="758"/>
      <c r="AA1276" s="758" t="str">
        <f t="shared" si="257"/>
        <v>EF0100</v>
      </c>
      <c r="AB1276" s="758" t="str">
        <f t="shared" si="258"/>
        <v>EF01</v>
      </c>
      <c r="AC1276" s="758" t="str">
        <f t="shared" si="259"/>
        <v>EF00.1</v>
      </c>
      <c r="AD1276" s="758" t="str">
        <f t="shared" si="260"/>
        <v>EF016</v>
      </c>
      <c r="AE1276" s="760"/>
      <c r="AF1276" s="760"/>
      <c r="AG1276" s="443"/>
      <c r="AH1276" s="443"/>
    </row>
    <row r="1277" spans="1:34" ht="16.5">
      <c r="A1277" s="728">
        <f t="shared" si="236"/>
        <v>1270</v>
      </c>
      <c r="B1277" s="765">
        <v>4</v>
      </c>
      <c r="C1277" s="694">
        <v>44781</v>
      </c>
      <c r="D1277" s="763" t="str">
        <f t="shared" si="248"/>
        <v>August</v>
      </c>
      <c r="E1277" s="763">
        <f t="shared" si="249"/>
        <v>8</v>
      </c>
      <c r="F1277" s="762">
        <f t="shared" si="250"/>
        <v>2022</v>
      </c>
      <c r="G1277" s="694" t="s">
        <v>108</v>
      </c>
      <c r="H1277" s="885" t="s">
        <v>161</v>
      </c>
      <c r="I1277" s="763">
        <v>40</v>
      </c>
      <c r="J1277" s="763">
        <v>1.38</v>
      </c>
      <c r="K1277" s="778">
        <f t="shared" si="251"/>
        <v>3.1363636363636364E-2</v>
      </c>
      <c r="L1277" s="978">
        <v>0</v>
      </c>
      <c r="M1277" s="736">
        <f t="shared" si="252"/>
        <v>17</v>
      </c>
      <c r="N1277" s="764">
        <v>0.74236111111111114</v>
      </c>
      <c r="O1277" s="738">
        <f t="shared" si="253"/>
        <v>0.74236111111111114</v>
      </c>
      <c r="P1277" s="739">
        <v>0.74652777777777779</v>
      </c>
      <c r="Q1277" s="739">
        <f t="shared" si="254"/>
        <v>4.1666666666666519E-3</v>
      </c>
      <c r="R1277" s="965" t="s">
        <v>1520</v>
      </c>
      <c r="S1277" s="766" t="s">
        <v>1606</v>
      </c>
      <c r="T1277" s="277"/>
      <c r="U1277" s="758" t="str">
        <f t="shared" si="255"/>
        <v>MooreEF0</v>
      </c>
      <c r="V1277" s="758" t="str">
        <f t="shared" si="256"/>
        <v>2022EF0</v>
      </c>
      <c r="W1277" s="35">
        <v>20</v>
      </c>
      <c r="X1277" s="251">
        <v>1</v>
      </c>
      <c r="Y1277" s="468">
        <v>0.02</v>
      </c>
      <c r="Z1277" s="758"/>
      <c r="AA1277" s="758" t="str">
        <f t="shared" si="257"/>
        <v>EF020</v>
      </c>
      <c r="AB1277" s="758" t="str">
        <f t="shared" si="258"/>
        <v>EF01</v>
      </c>
      <c r="AC1277" s="758" t="str">
        <f t="shared" si="259"/>
        <v>EF00.02</v>
      </c>
      <c r="AD1277" s="758" t="str">
        <f t="shared" si="260"/>
        <v>EF017</v>
      </c>
      <c r="AE1277" s="760"/>
      <c r="AF1277" s="760"/>
      <c r="AG1277" s="443"/>
      <c r="AH1277" s="443"/>
    </row>
    <row r="1278" spans="1:34" s="1211" customFormat="1" ht="16.5">
      <c r="A1278" s="1191">
        <f t="shared" si="236"/>
        <v>1271</v>
      </c>
      <c r="B1278" s="1192">
        <v>5</v>
      </c>
      <c r="C1278" s="1193">
        <v>44907</v>
      </c>
      <c r="D1278" s="1194" t="str">
        <f t="shared" si="241"/>
        <v>December</v>
      </c>
      <c r="E1278" s="1194">
        <f t="shared" si="242"/>
        <v>12</v>
      </c>
      <c r="F1278" s="1195">
        <f t="shared" si="243"/>
        <v>2022</v>
      </c>
      <c r="G1278" s="1193" t="s">
        <v>101</v>
      </c>
      <c r="H1278" s="906" t="s">
        <v>161</v>
      </c>
      <c r="I1278" s="1194">
        <v>50</v>
      </c>
      <c r="J1278" s="1194">
        <v>1.2</v>
      </c>
      <c r="K1278" s="1197">
        <f t="shared" si="244"/>
        <v>3.4090909090909088E-2</v>
      </c>
      <c r="L1278" s="1198">
        <v>0</v>
      </c>
      <c r="M1278" s="1199">
        <f t="shared" si="245"/>
        <v>21</v>
      </c>
      <c r="N1278" s="1200">
        <v>0.88958333333333339</v>
      </c>
      <c r="O1278" s="1201">
        <f t="shared" si="246"/>
        <v>0.88958333333333339</v>
      </c>
      <c r="P1278" s="1202">
        <v>0.89097222222222217</v>
      </c>
      <c r="Q1278" s="1202">
        <f t="shared" si="247"/>
        <v>1.3888888888887729E-3</v>
      </c>
      <c r="R1278" s="965" t="s">
        <v>1520</v>
      </c>
      <c r="S1278" s="1203" t="s">
        <v>1615</v>
      </c>
      <c r="T1278" s="1204"/>
      <c r="U1278" s="1205" t="str">
        <f t="shared" si="228"/>
        <v>BeaverEF0</v>
      </c>
      <c r="V1278" s="1205" t="str">
        <f t="shared" si="229"/>
        <v>2022EF0</v>
      </c>
      <c r="W1278" s="1206">
        <v>50</v>
      </c>
      <c r="X1278" s="1207">
        <v>1</v>
      </c>
      <c r="Y1278" s="1208">
        <v>0.02</v>
      </c>
      <c r="Z1278" s="1205"/>
      <c r="AA1278" s="1205" t="str">
        <f t="shared" si="237"/>
        <v>EF050</v>
      </c>
      <c r="AB1278" s="1205" t="str">
        <f t="shared" si="238"/>
        <v>EF01</v>
      </c>
      <c r="AC1278" s="1205" t="str">
        <f t="shared" si="239"/>
        <v>EF00.02</v>
      </c>
      <c r="AD1278" s="1205" t="str">
        <f t="shared" si="240"/>
        <v>EF021</v>
      </c>
      <c r="AE1278" s="1209"/>
      <c r="AF1278" s="1209"/>
      <c r="AG1278" s="1210"/>
      <c r="AH1278" s="1210"/>
    </row>
    <row r="1279" spans="1:34" s="1211" customFormat="1" ht="16.5">
      <c r="A1279" s="1191">
        <f t="shared" si="236"/>
        <v>1272</v>
      </c>
      <c r="B1279" s="1192">
        <v>6</v>
      </c>
      <c r="C1279" s="1193">
        <v>44907</v>
      </c>
      <c r="D1279" s="1194" t="str">
        <f t="shared" si="241"/>
        <v>December</v>
      </c>
      <c r="E1279" s="1194">
        <f t="shared" si="242"/>
        <v>12</v>
      </c>
      <c r="F1279" s="1195">
        <f t="shared" si="243"/>
        <v>2022</v>
      </c>
      <c r="G1279" s="1193" t="s">
        <v>101</v>
      </c>
      <c r="H1279" s="1196" t="s">
        <v>161</v>
      </c>
      <c r="I1279" s="1194">
        <v>50</v>
      </c>
      <c r="J1279" s="1194">
        <v>0.7</v>
      </c>
      <c r="K1279" s="1197">
        <f t="shared" si="244"/>
        <v>1.9886363636363636E-2</v>
      </c>
      <c r="L1279" s="1198">
        <v>0</v>
      </c>
      <c r="M1279" s="1199">
        <f t="shared" si="245"/>
        <v>21</v>
      </c>
      <c r="N1279" s="1200">
        <v>0.90138888888888891</v>
      </c>
      <c r="O1279" s="1201">
        <f t="shared" si="246"/>
        <v>0.90138888888888891</v>
      </c>
      <c r="P1279" s="1202">
        <v>0.90208333333333324</v>
      </c>
      <c r="Q1279" s="1202">
        <f t="shared" si="247"/>
        <v>6.9444444444433095E-4</v>
      </c>
      <c r="R1279" s="965" t="s">
        <v>1520</v>
      </c>
      <c r="S1279" s="1203" t="s">
        <v>1616</v>
      </c>
      <c r="T1279" s="1204"/>
      <c r="U1279" s="1205" t="str">
        <f t="shared" si="228"/>
        <v>BeaverEF0</v>
      </c>
      <c r="V1279" s="1205" t="str">
        <f t="shared" si="229"/>
        <v>2022EF0</v>
      </c>
      <c r="W1279" s="1206">
        <v>50</v>
      </c>
      <c r="X1279" s="1207">
        <v>0.5</v>
      </c>
      <c r="Y1279" s="1208">
        <v>0.01</v>
      </c>
      <c r="Z1279" s="1205"/>
      <c r="AA1279" s="1205" t="str">
        <f t="shared" si="237"/>
        <v>EF050</v>
      </c>
      <c r="AB1279" s="1205" t="str">
        <f t="shared" si="238"/>
        <v>EF00.5</v>
      </c>
      <c r="AC1279" s="1205" t="str">
        <f t="shared" si="239"/>
        <v>EF00.01</v>
      </c>
      <c r="AD1279" s="1205" t="str">
        <f t="shared" si="240"/>
        <v>EF021</v>
      </c>
      <c r="AE1279" s="1209"/>
      <c r="AF1279" s="1209"/>
      <c r="AG1279" s="1210"/>
      <c r="AH1279" s="1210"/>
    </row>
    <row r="1280" spans="1:34">
      <c r="A1280" s="728">
        <f t="shared" si="236"/>
        <v>1273</v>
      </c>
      <c r="B1280" s="77"/>
      <c r="C1280" s="747"/>
      <c r="D1280" s="763" t="str">
        <f t="shared" si="241"/>
        <v>January</v>
      </c>
      <c r="E1280" s="763">
        <f t="shared" si="242"/>
        <v>0</v>
      </c>
      <c r="F1280" s="762">
        <f t="shared" si="243"/>
        <v>1900</v>
      </c>
      <c r="G1280" s="747"/>
      <c r="H1280" s="882"/>
      <c r="I1280" s="756"/>
      <c r="J1280" s="756"/>
      <c r="K1280" s="778">
        <f t="shared" si="244"/>
        <v>0</v>
      </c>
      <c r="L1280" s="976"/>
      <c r="M1280" s="736">
        <f t="shared" si="245"/>
        <v>0</v>
      </c>
      <c r="N1280" s="754"/>
      <c r="O1280" s="738">
        <f t="shared" si="246"/>
        <v>0</v>
      </c>
      <c r="P1280" s="757"/>
      <c r="Q1280" s="739">
        <f t="shared" si="247"/>
        <v>0</v>
      </c>
      <c r="R1280" s="757"/>
      <c r="S1280" s="755"/>
      <c r="T1280" s="277"/>
      <c r="U1280" s="758" t="str">
        <f t="shared" si="228"/>
        <v/>
      </c>
      <c r="V1280" s="758" t="str">
        <f t="shared" si="229"/>
        <v>1900</v>
      </c>
      <c r="W1280" s="759"/>
      <c r="X1280" s="771"/>
      <c r="Y1280" s="977"/>
      <c r="Z1280" s="758"/>
      <c r="AA1280" s="758" t="str">
        <f t="shared" si="237"/>
        <v/>
      </c>
      <c r="AB1280" s="758" t="str">
        <f t="shared" si="238"/>
        <v/>
      </c>
      <c r="AC1280" s="758" t="str">
        <f t="shared" si="239"/>
        <v/>
      </c>
      <c r="AD1280" s="758" t="str">
        <f t="shared" si="240"/>
        <v>0</v>
      </c>
      <c r="AE1280" s="760"/>
      <c r="AF1280" s="760"/>
      <c r="AG1280" s="443"/>
      <c r="AH1280" s="443"/>
    </row>
    <row r="1281" spans="1:34">
      <c r="A1281" s="728">
        <f t="shared" si="236"/>
        <v>1274</v>
      </c>
      <c r="B1281" s="77"/>
      <c r="C1281" s="747"/>
      <c r="D1281" s="763" t="str">
        <f t="shared" si="241"/>
        <v>January</v>
      </c>
      <c r="E1281" s="763">
        <f t="shared" si="242"/>
        <v>0</v>
      </c>
      <c r="F1281" s="762">
        <f t="shared" si="243"/>
        <v>1900</v>
      </c>
      <c r="G1281" s="747"/>
      <c r="H1281" s="882"/>
      <c r="I1281" s="756"/>
      <c r="J1281" s="756"/>
      <c r="K1281" s="778">
        <f t="shared" si="244"/>
        <v>0</v>
      </c>
      <c r="L1281" s="976"/>
      <c r="M1281" s="736">
        <f t="shared" si="245"/>
        <v>0</v>
      </c>
      <c r="N1281" s="754"/>
      <c r="O1281" s="738">
        <f t="shared" si="246"/>
        <v>0</v>
      </c>
      <c r="P1281" s="757"/>
      <c r="Q1281" s="739">
        <f t="shared" si="247"/>
        <v>0</v>
      </c>
      <c r="R1281" s="757"/>
      <c r="S1281" s="755"/>
      <c r="T1281" s="277"/>
      <c r="U1281" s="758" t="str">
        <f t="shared" si="228"/>
        <v/>
      </c>
      <c r="V1281" s="758" t="str">
        <f t="shared" si="229"/>
        <v>1900</v>
      </c>
      <c r="W1281" s="759"/>
      <c r="X1281" s="771"/>
      <c r="Y1281" s="977"/>
      <c r="Z1281" s="758"/>
      <c r="AA1281" s="758" t="str">
        <f t="shared" si="237"/>
        <v/>
      </c>
      <c r="AB1281" s="758" t="str">
        <f t="shared" si="238"/>
        <v/>
      </c>
      <c r="AC1281" s="758" t="str">
        <f t="shared" si="239"/>
        <v/>
      </c>
      <c r="AD1281" s="758" t="str">
        <f t="shared" si="240"/>
        <v>0</v>
      </c>
      <c r="AE1281" s="760"/>
      <c r="AF1281" s="760"/>
      <c r="AG1281" s="443"/>
      <c r="AH1281" s="443"/>
    </row>
    <row r="1282" spans="1:34">
      <c r="A1282" s="728">
        <f t="shared" si="236"/>
        <v>1275</v>
      </c>
      <c r="B1282" s="77"/>
      <c r="C1282" s="747"/>
      <c r="D1282" s="763" t="str">
        <f t="shared" si="241"/>
        <v>January</v>
      </c>
      <c r="E1282" s="763">
        <f t="shared" si="242"/>
        <v>0</v>
      </c>
      <c r="F1282" s="762">
        <f t="shared" si="243"/>
        <v>1900</v>
      </c>
      <c r="G1282" s="747"/>
      <c r="H1282" s="882"/>
      <c r="I1282" s="756"/>
      <c r="J1282" s="756"/>
      <c r="K1282" s="778">
        <f t="shared" si="244"/>
        <v>0</v>
      </c>
      <c r="L1282" s="976"/>
      <c r="M1282" s="736">
        <f t="shared" si="245"/>
        <v>0</v>
      </c>
      <c r="N1282" s="754"/>
      <c r="O1282" s="738">
        <f t="shared" si="246"/>
        <v>0</v>
      </c>
      <c r="P1282" s="757"/>
      <c r="Q1282" s="739">
        <f t="shared" si="247"/>
        <v>0</v>
      </c>
      <c r="R1282" s="757"/>
      <c r="S1282" s="755"/>
      <c r="T1282" s="277"/>
      <c r="U1282" s="758" t="str">
        <f t="shared" si="228"/>
        <v/>
      </c>
      <c r="V1282" s="758" t="str">
        <f t="shared" si="229"/>
        <v>1900</v>
      </c>
      <c r="W1282" s="759"/>
      <c r="X1282" s="771"/>
      <c r="Y1282" s="977"/>
      <c r="Z1282" s="758"/>
      <c r="AA1282" s="758" t="str">
        <f t="shared" si="237"/>
        <v/>
      </c>
      <c r="AB1282" s="758" t="str">
        <f t="shared" si="238"/>
        <v/>
      </c>
      <c r="AC1282" s="758" t="str">
        <f t="shared" si="239"/>
        <v/>
      </c>
      <c r="AD1282" s="758" t="str">
        <f t="shared" si="240"/>
        <v>0</v>
      </c>
      <c r="AE1282" s="760"/>
      <c r="AF1282" s="760"/>
      <c r="AG1282" s="443"/>
      <c r="AH1282" s="443"/>
    </row>
    <row r="1283" spans="1:34">
      <c r="A1283" s="728">
        <f t="shared" si="236"/>
        <v>1276</v>
      </c>
      <c r="B1283" s="77"/>
      <c r="C1283" s="747"/>
      <c r="D1283" s="763" t="str">
        <f t="shared" si="241"/>
        <v>January</v>
      </c>
      <c r="E1283" s="763">
        <f t="shared" si="242"/>
        <v>0</v>
      </c>
      <c r="F1283" s="762">
        <f t="shared" si="243"/>
        <v>1900</v>
      </c>
      <c r="G1283" s="747"/>
      <c r="H1283" s="882"/>
      <c r="I1283" s="756"/>
      <c r="J1283" s="756"/>
      <c r="K1283" s="778">
        <f t="shared" si="244"/>
        <v>0</v>
      </c>
      <c r="L1283" s="976"/>
      <c r="M1283" s="736">
        <f t="shared" si="245"/>
        <v>0</v>
      </c>
      <c r="N1283" s="754"/>
      <c r="O1283" s="738">
        <f t="shared" si="246"/>
        <v>0</v>
      </c>
      <c r="P1283" s="757"/>
      <c r="Q1283" s="739">
        <f t="shared" si="247"/>
        <v>0</v>
      </c>
      <c r="R1283" s="757"/>
      <c r="S1283" s="755"/>
      <c r="T1283" s="277"/>
      <c r="U1283" s="758" t="str">
        <f t="shared" si="228"/>
        <v/>
      </c>
      <c r="V1283" s="758" t="str">
        <f t="shared" si="229"/>
        <v>1900</v>
      </c>
      <c r="W1283" s="759"/>
      <c r="X1283" s="771"/>
      <c r="Y1283" s="977"/>
      <c r="Z1283" s="758"/>
      <c r="AA1283" s="758" t="str">
        <f t="shared" si="237"/>
        <v/>
      </c>
      <c r="AB1283" s="758" t="str">
        <f t="shared" si="238"/>
        <v/>
      </c>
      <c r="AC1283" s="758" t="str">
        <f t="shared" si="239"/>
        <v/>
      </c>
      <c r="AD1283" s="758" t="str">
        <f t="shared" si="240"/>
        <v>0</v>
      </c>
      <c r="AE1283" s="760"/>
      <c r="AF1283" s="760"/>
      <c r="AG1283" s="443"/>
      <c r="AH1283" s="443"/>
    </row>
    <row r="1284" spans="1:34">
      <c r="A1284" s="728">
        <f t="shared" si="236"/>
        <v>1277</v>
      </c>
      <c r="B1284" s="77"/>
      <c r="C1284" s="747"/>
      <c r="D1284" s="763" t="str">
        <f t="shared" si="241"/>
        <v>January</v>
      </c>
      <c r="E1284" s="763">
        <f t="shared" si="242"/>
        <v>0</v>
      </c>
      <c r="F1284" s="762">
        <f t="shared" si="243"/>
        <v>1900</v>
      </c>
      <c r="G1284" s="747"/>
      <c r="H1284" s="882"/>
      <c r="I1284" s="756"/>
      <c r="J1284" s="756"/>
      <c r="K1284" s="778">
        <f t="shared" si="244"/>
        <v>0</v>
      </c>
      <c r="L1284" s="976"/>
      <c r="M1284" s="736">
        <f t="shared" si="245"/>
        <v>0</v>
      </c>
      <c r="N1284" s="754"/>
      <c r="O1284" s="738">
        <f t="shared" si="246"/>
        <v>0</v>
      </c>
      <c r="P1284" s="757"/>
      <c r="Q1284" s="739">
        <f t="shared" si="247"/>
        <v>0</v>
      </c>
      <c r="R1284" s="757"/>
      <c r="S1284" s="755"/>
      <c r="T1284" s="277"/>
      <c r="U1284" s="758" t="str">
        <f t="shared" si="228"/>
        <v/>
      </c>
      <c r="V1284" s="758" t="str">
        <f t="shared" si="229"/>
        <v>1900</v>
      </c>
      <c r="W1284" s="759"/>
      <c r="X1284" s="771"/>
      <c r="Y1284" s="977"/>
      <c r="Z1284" s="758"/>
      <c r="AA1284" s="758" t="str">
        <f t="shared" si="237"/>
        <v/>
      </c>
      <c r="AB1284" s="758" t="str">
        <f t="shared" si="238"/>
        <v/>
      </c>
      <c r="AC1284" s="758" t="str">
        <f t="shared" si="239"/>
        <v/>
      </c>
      <c r="AD1284" s="758" t="str">
        <f t="shared" si="240"/>
        <v>0</v>
      </c>
      <c r="AE1284" s="760"/>
      <c r="AF1284" s="760"/>
      <c r="AG1284" s="443"/>
      <c r="AH1284" s="443"/>
    </row>
    <row r="1285" spans="1:34">
      <c r="A1285" s="728">
        <f t="shared" si="236"/>
        <v>1278</v>
      </c>
      <c r="B1285" s="77"/>
      <c r="C1285" s="747"/>
      <c r="D1285" s="763" t="str">
        <f t="shared" si="241"/>
        <v>January</v>
      </c>
      <c r="E1285" s="763">
        <f t="shared" si="242"/>
        <v>0</v>
      </c>
      <c r="F1285" s="762">
        <f t="shared" si="243"/>
        <v>1900</v>
      </c>
      <c r="G1285" s="747"/>
      <c r="H1285" s="882"/>
      <c r="I1285" s="756"/>
      <c r="J1285" s="756"/>
      <c r="K1285" s="778">
        <f t="shared" si="244"/>
        <v>0</v>
      </c>
      <c r="L1285" s="976"/>
      <c r="M1285" s="736">
        <f t="shared" si="245"/>
        <v>0</v>
      </c>
      <c r="N1285" s="754"/>
      <c r="O1285" s="738">
        <f t="shared" si="246"/>
        <v>0</v>
      </c>
      <c r="P1285" s="757"/>
      <c r="Q1285" s="739">
        <f t="shared" si="247"/>
        <v>0</v>
      </c>
      <c r="R1285" s="757"/>
      <c r="S1285" s="755"/>
      <c r="T1285" s="277"/>
      <c r="U1285" s="758" t="str">
        <f t="shared" si="228"/>
        <v/>
      </c>
      <c r="V1285" s="758" t="str">
        <f t="shared" si="229"/>
        <v>1900</v>
      </c>
      <c r="W1285" s="759"/>
      <c r="X1285" s="771"/>
      <c r="Y1285" s="977"/>
      <c r="Z1285" s="758"/>
      <c r="AA1285" s="758" t="str">
        <f t="shared" si="237"/>
        <v/>
      </c>
      <c r="AB1285" s="758" t="str">
        <f t="shared" si="238"/>
        <v/>
      </c>
      <c r="AC1285" s="758" t="str">
        <f t="shared" si="239"/>
        <v/>
      </c>
      <c r="AD1285" s="758" t="str">
        <f t="shared" si="240"/>
        <v>0</v>
      </c>
      <c r="AE1285" s="760"/>
      <c r="AF1285" s="760"/>
      <c r="AG1285" s="443"/>
      <c r="AH1285" s="443"/>
    </row>
    <row r="1286" spans="1:34">
      <c r="A1286" s="728">
        <f t="shared" si="236"/>
        <v>1279</v>
      </c>
      <c r="B1286" s="77"/>
      <c r="C1286" s="747"/>
      <c r="D1286" s="763" t="str">
        <f t="shared" si="241"/>
        <v>January</v>
      </c>
      <c r="E1286" s="763">
        <f t="shared" si="242"/>
        <v>0</v>
      </c>
      <c r="F1286" s="762">
        <f t="shared" si="243"/>
        <v>1900</v>
      </c>
      <c r="G1286" s="747"/>
      <c r="H1286" s="882"/>
      <c r="I1286" s="756"/>
      <c r="J1286" s="756"/>
      <c r="K1286" s="778">
        <f t="shared" si="244"/>
        <v>0</v>
      </c>
      <c r="L1286" s="976"/>
      <c r="M1286" s="736">
        <f t="shared" si="245"/>
        <v>0</v>
      </c>
      <c r="N1286" s="754"/>
      <c r="O1286" s="738">
        <f t="shared" si="246"/>
        <v>0</v>
      </c>
      <c r="P1286" s="757"/>
      <c r="Q1286" s="739">
        <f t="shared" si="247"/>
        <v>0</v>
      </c>
      <c r="R1286" s="757"/>
      <c r="S1286" s="755"/>
      <c r="T1286" s="277"/>
      <c r="U1286" s="758" t="str">
        <f t="shared" si="228"/>
        <v/>
      </c>
      <c r="V1286" s="758" t="str">
        <f t="shared" si="229"/>
        <v>1900</v>
      </c>
      <c r="W1286" s="759"/>
      <c r="X1286" s="771"/>
      <c r="Y1286" s="977"/>
      <c r="Z1286" s="758"/>
      <c r="AA1286" s="758" t="str">
        <f t="shared" si="237"/>
        <v/>
      </c>
      <c r="AB1286" s="758" t="str">
        <f t="shared" si="238"/>
        <v/>
      </c>
      <c r="AC1286" s="758" t="str">
        <f t="shared" si="239"/>
        <v/>
      </c>
      <c r="AD1286" s="758" t="str">
        <f t="shared" si="240"/>
        <v>0</v>
      </c>
      <c r="AE1286" s="760"/>
      <c r="AF1286" s="760"/>
      <c r="AG1286" s="443"/>
      <c r="AH1286" s="443"/>
    </row>
    <row r="1287" spans="1:34">
      <c r="A1287" s="728">
        <f t="shared" si="236"/>
        <v>1280</v>
      </c>
      <c r="B1287" s="77"/>
      <c r="C1287" s="747"/>
      <c r="D1287" s="763" t="str">
        <f t="shared" si="241"/>
        <v>January</v>
      </c>
      <c r="E1287" s="763">
        <f t="shared" si="242"/>
        <v>0</v>
      </c>
      <c r="F1287" s="762">
        <f t="shared" si="243"/>
        <v>1900</v>
      </c>
      <c r="G1287" s="747"/>
      <c r="H1287" s="882"/>
      <c r="I1287" s="756"/>
      <c r="J1287" s="756"/>
      <c r="K1287" s="778">
        <f t="shared" si="244"/>
        <v>0</v>
      </c>
      <c r="L1287" s="976"/>
      <c r="M1287" s="736">
        <f t="shared" si="245"/>
        <v>0</v>
      </c>
      <c r="N1287" s="754"/>
      <c r="O1287" s="738">
        <f t="shared" si="246"/>
        <v>0</v>
      </c>
      <c r="P1287" s="757"/>
      <c r="Q1287" s="739">
        <f t="shared" si="247"/>
        <v>0</v>
      </c>
      <c r="R1287" s="757"/>
      <c r="S1287" s="755"/>
      <c r="T1287" s="277"/>
      <c r="U1287" s="758" t="str">
        <f t="shared" ref="U1287:U1350" si="261">CONCATENATE(G1287,H1287)</f>
        <v/>
      </c>
      <c r="V1287" s="758" t="str">
        <f t="shared" ref="V1287:V1350" si="262">CONCATENATE(F1287,H1287)</f>
        <v>1900</v>
      </c>
      <c r="W1287" s="759"/>
      <c r="X1287" s="771"/>
      <c r="Y1287" s="977"/>
      <c r="Z1287" s="758"/>
      <c r="AA1287" s="758" t="str">
        <f t="shared" si="237"/>
        <v/>
      </c>
      <c r="AB1287" s="758" t="str">
        <f t="shared" si="238"/>
        <v/>
      </c>
      <c r="AC1287" s="758" t="str">
        <f t="shared" si="239"/>
        <v/>
      </c>
      <c r="AD1287" s="758" t="str">
        <f t="shared" si="240"/>
        <v>0</v>
      </c>
      <c r="AE1287" s="760"/>
      <c r="AF1287" s="760"/>
      <c r="AG1287" s="443"/>
      <c r="AH1287" s="443"/>
    </row>
    <row r="1288" spans="1:34">
      <c r="A1288" s="728">
        <f t="shared" si="236"/>
        <v>1281</v>
      </c>
      <c r="B1288" s="77"/>
      <c r="C1288" s="747"/>
      <c r="D1288" s="763" t="str">
        <f t="shared" si="241"/>
        <v>January</v>
      </c>
      <c r="E1288" s="763">
        <f t="shared" si="242"/>
        <v>0</v>
      </c>
      <c r="F1288" s="762">
        <f t="shared" si="243"/>
        <v>1900</v>
      </c>
      <c r="G1288" s="747"/>
      <c r="H1288" s="882"/>
      <c r="I1288" s="756"/>
      <c r="J1288" s="756"/>
      <c r="K1288" s="778">
        <f t="shared" si="244"/>
        <v>0</v>
      </c>
      <c r="L1288" s="976"/>
      <c r="M1288" s="736">
        <f t="shared" si="245"/>
        <v>0</v>
      </c>
      <c r="N1288" s="754"/>
      <c r="O1288" s="738">
        <f t="shared" si="246"/>
        <v>0</v>
      </c>
      <c r="P1288" s="757"/>
      <c r="Q1288" s="739">
        <f t="shared" si="247"/>
        <v>0</v>
      </c>
      <c r="R1288" s="757"/>
      <c r="S1288" s="755"/>
      <c r="T1288" s="277"/>
      <c r="U1288" s="758" t="str">
        <f t="shared" si="261"/>
        <v/>
      </c>
      <c r="V1288" s="758" t="str">
        <f t="shared" si="262"/>
        <v>1900</v>
      </c>
      <c r="W1288" s="759"/>
      <c r="X1288" s="771"/>
      <c r="Y1288" s="977"/>
      <c r="Z1288" s="758"/>
      <c r="AA1288" s="758" t="str">
        <f t="shared" si="237"/>
        <v/>
      </c>
      <c r="AB1288" s="758" t="str">
        <f t="shared" si="238"/>
        <v/>
      </c>
      <c r="AC1288" s="758" t="str">
        <f t="shared" si="239"/>
        <v/>
      </c>
      <c r="AD1288" s="758" t="str">
        <f t="shared" si="240"/>
        <v>0</v>
      </c>
      <c r="AE1288" s="760"/>
      <c r="AF1288" s="760"/>
      <c r="AG1288" s="443"/>
      <c r="AH1288" s="443"/>
    </row>
    <row r="1289" spans="1:34">
      <c r="A1289" s="728">
        <f t="shared" si="236"/>
        <v>1282</v>
      </c>
      <c r="B1289" s="77"/>
      <c r="C1289" s="747"/>
      <c r="D1289" s="763" t="str">
        <f t="shared" si="241"/>
        <v>January</v>
      </c>
      <c r="E1289" s="763">
        <f t="shared" si="242"/>
        <v>0</v>
      </c>
      <c r="F1289" s="762">
        <f t="shared" si="243"/>
        <v>1900</v>
      </c>
      <c r="G1289" s="747"/>
      <c r="H1289" s="882"/>
      <c r="I1289" s="756"/>
      <c r="J1289" s="756"/>
      <c r="K1289" s="778">
        <f t="shared" si="244"/>
        <v>0</v>
      </c>
      <c r="L1289" s="976"/>
      <c r="M1289" s="736">
        <f t="shared" si="245"/>
        <v>0</v>
      </c>
      <c r="N1289" s="754"/>
      <c r="O1289" s="738">
        <f t="shared" si="246"/>
        <v>0</v>
      </c>
      <c r="P1289" s="757"/>
      <c r="Q1289" s="739">
        <f t="shared" si="247"/>
        <v>0</v>
      </c>
      <c r="R1289" s="757"/>
      <c r="S1289" s="755"/>
      <c r="T1289" s="277"/>
      <c r="U1289" s="758" t="str">
        <f t="shared" si="261"/>
        <v/>
      </c>
      <c r="V1289" s="758" t="str">
        <f t="shared" si="262"/>
        <v>1900</v>
      </c>
      <c r="W1289" s="759"/>
      <c r="X1289" s="771"/>
      <c r="Y1289" s="977"/>
      <c r="Z1289" s="758"/>
      <c r="AA1289" s="758" t="str">
        <f t="shared" si="237"/>
        <v/>
      </c>
      <c r="AB1289" s="758" t="str">
        <f t="shared" si="238"/>
        <v/>
      </c>
      <c r="AC1289" s="758" t="str">
        <f t="shared" si="239"/>
        <v/>
      </c>
      <c r="AD1289" s="758" t="str">
        <f t="shared" si="240"/>
        <v>0</v>
      </c>
      <c r="AE1289" s="760"/>
      <c r="AF1289" s="760"/>
      <c r="AG1289" s="443"/>
      <c r="AH1289" s="443"/>
    </row>
    <row r="1290" spans="1:34">
      <c r="A1290" s="728">
        <f t="shared" si="236"/>
        <v>1283</v>
      </c>
      <c r="B1290" s="77"/>
      <c r="C1290" s="747"/>
      <c r="D1290" s="763" t="str">
        <f t="shared" si="241"/>
        <v>January</v>
      </c>
      <c r="E1290" s="763">
        <f t="shared" si="242"/>
        <v>0</v>
      </c>
      <c r="F1290" s="762">
        <f t="shared" si="243"/>
        <v>1900</v>
      </c>
      <c r="G1290" s="747"/>
      <c r="H1290" s="882"/>
      <c r="I1290" s="756"/>
      <c r="J1290" s="756"/>
      <c r="K1290" s="778">
        <f t="shared" si="244"/>
        <v>0</v>
      </c>
      <c r="L1290" s="976"/>
      <c r="M1290" s="736">
        <f t="shared" si="245"/>
        <v>0</v>
      </c>
      <c r="N1290" s="754"/>
      <c r="O1290" s="738">
        <f t="shared" si="246"/>
        <v>0</v>
      </c>
      <c r="P1290" s="757"/>
      <c r="Q1290" s="739">
        <f t="shared" si="247"/>
        <v>0</v>
      </c>
      <c r="R1290" s="757"/>
      <c r="S1290" s="755"/>
      <c r="T1290" s="277"/>
      <c r="U1290" s="758" t="str">
        <f t="shared" si="261"/>
        <v/>
      </c>
      <c r="V1290" s="758" t="str">
        <f t="shared" si="262"/>
        <v>1900</v>
      </c>
      <c r="W1290" s="759"/>
      <c r="X1290" s="771"/>
      <c r="Y1290" s="977"/>
      <c r="Z1290" s="758"/>
      <c r="AA1290" s="758" t="str">
        <f t="shared" si="237"/>
        <v/>
      </c>
      <c r="AB1290" s="758" t="str">
        <f t="shared" si="238"/>
        <v/>
      </c>
      <c r="AC1290" s="758" t="str">
        <f t="shared" si="239"/>
        <v/>
      </c>
      <c r="AD1290" s="758" t="str">
        <f t="shared" si="240"/>
        <v>0</v>
      </c>
      <c r="AE1290" s="760"/>
      <c r="AF1290" s="760"/>
      <c r="AG1290" s="443"/>
      <c r="AH1290" s="443"/>
    </row>
    <row r="1291" spans="1:34">
      <c r="A1291" s="728">
        <f t="shared" ref="A1291:A1354" si="263">+A1290+1</f>
        <v>1284</v>
      </c>
      <c r="B1291" s="77"/>
      <c r="C1291" s="747"/>
      <c r="D1291" s="763" t="str">
        <f t="shared" si="241"/>
        <v>January</v>
      </c>
      <c r="E1291" s="763">
        <f t="shared" si="242"/>
        <v>0</v>
      </c>
      <c r="F1291" s="762">
        <f t="shared" si="243"/>
        <v>1900</v>
      </c>
      <c r="G1291" s="747"/>
      <c r="H1291" s="882"/>
      <c r="I1291" s="756"/>
      <c r="J1291" s="756"/>
      <c r="K1291" s="778">
        <f t="shared" si="244"/>
        <v>0</v>
      </c>
      <c r="L1291" s="976"/>
      <c r="M1291" s="736">
        <f t="shared" si="245"/>
        <v>0</v>
      </c>
      <c r="N1291" s="754"/>
      <c r="O1291" s="738">
        <f t="shared" si="246"/>
        <v>0</v>
      </c>
      <c r="P1291" s="757"/>
      <c r="Q1291" s="739">
        <f t="shared" si="247"/>
        <v>0</v>
      </c>
      <c r="R1291" s="757"/>
      <c r="S1291" s="755"/>
      <c r="T1291" s="277"/>
      <c r="U1291" s="758" t="str">
        <f t="shared" si="261"/>
        <v/>
      </c>
      <c r="V1291" s="758" t="str">
        <f t="shared" si="262"/>
        <v>1900</v>
      </c>
      <c r="W1291" s="759"/>
      <c r="X1291" s="771"/>
      <c r="Y1291" s="977"/>
      <c r="Z1291" s="758"/>
      <c r="AA1291" s="758" t="str">
        <f t="shared" si="237"/>
        <v/>
      </c>
      <c r="AB1291" s="758" t="str">
        <f t="shared" si="238"/>
        <v/>
      </c>
      <c r="AC1291" s="758" t="str">
        <f t="shared" si="239"/>
        <v/>
      </c>
      <c r="AD1291" s="758" t="str">
        <f t="shared" si="240"/>
        <v>0</v>
      </c>
      <c r="AE1291" s="760"/>
      <c r="AF1291" s="760"/>
      <c r="AG1291" s="443"/>
      <c r="AH1291" s="443"/>
    </row>
    <row r="1292" spans="1:34">
      <c r="A1292" s="728">
        <f t="shared" si="263"/>
        <v>1285</v>
      </c>
      <c r="B1292" s="77"/>
      <c r="C1292" s="747"/>
      <c r="D1292" s="763" t="str">
        <f t="shared" si="241"/>
        <v>January</v>
      </c>
      <c r="E1292" s="763">
        <f t="shared" si="242"/>
        <v>0</v>
      </c>
      <c r="F1292" s="762">
        <f t="shared" si="243"/>
        <v>1900</v>
      </c>
      <c r="G1292" s="747"/>
      <c r="H1292" s="882"/>
      <c r="I1292" s="756"/>
      <c r="J1292" s="756"/>
      <c r="K1292" s="778">
        <f t="shared" si="244"/>
        <v>0</v>
      </c>
      <c r="L1292" s="976"/>
      <c r="M1292" s="736">
        <f t="shared" si="245"/>
        <v>0</v>
      </c>
      <c r="N1292" s="754"/>
      <c r="O1292" s="738">
        <f t="shared" si="246"/>
        <v>0</v>
      </c>
      <c r="P1292" s="757"/>
      <c r="Q1292" s="739">
        <f t="shared" si="247"/>
        <v>0</v>
      </c>
      <c r="R1292" s="757"/>
      <c r="S1292" s="755"/>
      <c r="T1292" s="277"/>
      <c r="U1292" s="758" t="str">
        <f t="shared" si="261"/>
        <v/>
      </c>
      <c r="V1292" s="758" t="str">
        <f t="shared" si="262"/>
        <v>1900</v>
      </c>
      <c r="W1292" s="759"/>
      <c r="X1292" s="771"/>
      <c r="Y1292" s="977"/>
      <c r="Z1292" s="758"/>
      <c r="AA1292" s="758" t="str">
        <f t="shared" si="237"/>
        <v/>
      </c>
      <c r="AB1292" s="758" t="str">
        <f t="shared" si="238"/>
        <v/>
      </c>
      <c r="AC1292" s="758" t="str">
        <f t="shared" si="239"/>
        <v/>
      </c>
      <c r="AD1292" s="758" t="str">
        <f t="shared" si="240"/>
        <v>0</v>
      </c>
      <c r="AE1292" s="760"/>
      <c r="AF1292" s="760"/>
      <c r="AG1292" s="443"/>
      <c r="AH1292" s="443"/>
    </row>
    <row r="1293" spans="1:34">
      <c r="A1293" s="728">
        <f t="shared" si="263"/>
        <v>1286</v>
      </c>
      <c r="B1293" s="77"/>
      <c r="C1293" s="747"/>
      <c r="D1293" s="763" t="str">
        <f t="shared" si="241"/>
        <v>January</v>
      </c>
      <c r="E1293" s="763">
        <f t="shared" si="242"/>
        <v>0</v>
      </c>
      <c r="F1293" s="762">
        <f t="shared" si="243"/>
        <v>1900</v>
      </c>
      <c r="G1293" s="747"/>
      <c r="H1293" s="882"/>
      <c r="I1293" s="756"/>
      <c r="J1293" s="756"/>
      <c r="K1293" s="778">
        <f t="shared" si="244"/>
        <v>0</v>
      </c>
      <c r="L1293" s="976"/>
      <c r="M1293" s="736">
        <f t="shared" si="245"/>
        <v>0</v>
      </c>
      <c r="N1293" s="754"/>
      <c r="O1293" s="738">
        <f t="shared" si="246"/>
        <v>0</v>
      </c>
      <c r="P1293" s="757"/>
      <c r="Q1293" s="739">
        <f t="shared" si="247"/>
        <v>0</v>
      </c>
      <c r="R1293" s="757"/>
      <c r="S1293" s="755"/>
      <c r="T1293" s="277"/>
      <c r="U1293" s="758" t="str">
        <f t="shared" si="261"/>
        <v/>
      </c>
      <c r="V1293" s="758" t="str">
        <f t="shared" si="262"/>
        <v>1900</v>
      </c>
      <c r="W1293" s="759"/>
      <c r="X1293" s="771"/>
      <c r="Y1293" s="977"/>
      <c r="Z1293" s="758"/>
      <c r="AA1293" s="758" t="str">
        <f t="shared" si="237"/>
        <v/>
      </c>
      <c r="AB1293" s="758" t="str">
        <f t="shared" si="238"/>
        <v/>
      </c>
      <c r="AC1293" s="758" t="str">
        <f t="shared" si="239"/>
        <v/>
      </c>
      <c r="AD1293" s="758" t="str">
        <f t="shared" si="240"/>
        <v>0</v>
      </c>
      <c r="AE1293" s="760"/>
      <c r="AF1293" s="760"/>
      <c r="AG1293" s="443"/>
      <c r="AH1293" s="443"/>
    </row>
    <row r="1294" spans="1:34">
      <c r="A1294" s="728">
        <f t="shared" si="263"/>
        <v>1287</v>
      </c>
      <c r="B1294" s="77"/>
      <c r="C1294" s="747"/>
      <c r="D1294" s="763" t="str">
        <f t="shared" si="241"/>
        <v>January</v>
      </c>
      <c r="E1294" s="763">
        <f t="shared" si="242"/>
        <v>0</v>
      </c>
      <c r="F1294" s="762">
        <f t="shared" si="243"/>
        <v>1900</v>
      </c>
      <c r="G1294" s="747"/>
      <c r="H1294" s="882"/>
      <c r="I1294" s="756"/>
      <c r="J1294" s="756"/>
      <c r="K1294" s="778">
        <f t="shared" si="244"/>
        <v>0</v>
      </c>
      <c r="L1294" s="976"/>
      <c r="M1294" s="736">
        <f t="shared" si="245"/>
        <v>0</v>
      </c>
      <c r="N1294" s="754"/>
      <c r="O1294" s="738">
        <f t="shared" si="246"/>
        <v>0</v>
      </c>
      <c r="P1294" s="757"/>
      <c r="Q1294" s="739">
        <f t="shared" si="247"/>
        <v>0</v>
      </c>
      <c r="R1294" s="757"/>
      <c r="S1294" s="755"/>
      <c r="T1294" s="277"/>
      <c r="U1294" s="758" t="str">
        <f t="shared" si="261"/>
        <v/>
      </c>
      <c r="V1294" s="758" t="str">
        <f t="shared" si="262"/>
        <v>1900</v>
      </c>
      <c r="W1294" s="759"/>
      <c r="X1294" s="771"/>
      <c r="Y1294" s="977"/>
      <c r="Z1294" s="758"/>
      <c r="AA1294" s="758" t="str">
        <f t="shared" si="237"/>
        <v/>
      </c>
      <c r="AB1294" s="758" t="str">
        <f t="shared" si="238"/>
        <v/>
      </c>
      <c r="AC1294" s="758" t="str">
        <f t="shared" si="239"/>
        <v/>
      </c>
      <c r="AD1294" s="758" t="str">
        <f t="shared" si="240"/>
        <v>0</v>
      </c>
      <c r="AE1294" s="760"/>
      <c r="AF1294" s="760"/>
      <c r="AG1294" s="443"/>
      <c r="AH1294" s="443"/>
    </row>
    <row r="1295" spans="1:34">
      <c r="A1295" s="728">
        <f t="shared" si="263"/>
        <v>1288</v>
      </c>
      <c r="B1295" s="77"/>
      <c r="C1295" s="747"/>
      <c r="D1295" s="763" t="str">
        <f t="shared" si="241"/>
        <v>January</v>
      </c>
      <c r="E1295" s="763">
        <f t="shared" si="242"/>
        <v>0</v>
      </c>
      <c r="F1295" s="762">
        <f t="shared" si="243"/>
        <v>1900</v>
      </c>
      <c r="G1295" s="747"/>
      <c r="H1295" s="882"/>
      <c r="I1295" s="756"/>
      <c r="J1295" s="756"/>
      <c r="K1295" s="778">
        <f t="shared" si="244"/>
        <v>0</v>
      </c>
      <c r="L1295" s="976"/>
      <c r="M1295" s="736">
        <f t="shared" si="245"/>
        <v>0</v>
      </c>
      <c r="N1295" s="754"/>
      <c r="O1295" s="738">
        <f t="shared" si="246"/>
        <v>0</v>
      </c>
      <c r="P1295" s="757"/>
      <c r="Q1295" s="739">
        <f t="shared" si="247"/>
        <v>0</v>
      </c>
      <c r="R1295" s="757"/>
      <c r="S1295" s="755"/>
      <c r="T1295" s="277"/>
      <c r="U1295" s="758" t="str">
        <f t="shared" si="261"/>
        <v/>
      </c>
      <c r="V1295" s="758" t="str">
        <f t="shared" si="262"/>
        <v>1900</v>
      </c>
      <c r="W1295" s="759"/>
      <c r="X1295" s="771"/>
      <c r="Y1295" s="977"/>
      <c r="Z1295" s="758"/>
      <c r="AA1295" s="758" t="str">
        <f t="shared" si="237"/>
        <v/>
      </c>
      <c r="AB1295" s="758" t="str">
        <f t="shared" si="238"/>
        <v/>
      </c>
      <c r="AC1295" s="758" t="str">
        <f t="shared" si="239"/>
        <v/>
      </c>
      <c r="AD1295" s="758" t="str">
        <f t="shared" si="240"/>
        <v>0</v>
      </c>
      <c r="AE1295" s="760"/>
      <c r="AF1295" s="760"/>
      <c r="AG1295" s="443"/>
      <c r="AH1295" s="443"/>
    </row>
    <row r="1296" spans="1:34">
      <c r="A1296" s="728">
        <f t="shared" si="263"/>
        <v>1289</v>
      </c>
      <c r="B1296" s="77"/>
      <c r="C1296" s="747"/>
      <c r="D1296" s="763" t="str">
        <f t="shared" si="241"/>
        <v>January</v>
      </c>
      <c r="E1296" s="763">
        <f t="shared" si="242"/>
        <v>0</v>
      </c>
      <c r="F1296" s="762">
        <f t="shared" si="243"/>
        <v>1900</v>
      </c>
      <c r="G1296" s="747"/>
      <c r="H1296" s="882"/>
      <c r="I1296" s="756"/>
      <c r="J1296" s="756"/>
      <c r="K1296" s="778">
        <f t="shared" si="244"/>
        <v>0</v>
      </c>
      <c r="L1296" s="976"/>
      <c r="M1296" s="736">
        <f t="shared" si="245"/>
        <v>0</v>
      </c>
      <c r="N1296" s="754"/>
      <c r="O1296" s="738">
        <f t="shared" si="246"/>
        <v>0</v>
      </c>
      <c r="P1296" s="757"/>
      <c r="Q1296" s="739">
        <f t="shared" si="247"/>
        <v>0</v>
      </c>
      <c r="R1296" s="757"/>
      <c r="S1296" s="755"/>
      <c r="T1296" s="277"/>
      <c r="U1296" s="758" t="str">
        <f t="shared" si="261"/>
        <v/>
      </c>
      <c r="V1296" s="758" t="str">
        <f t="shared" si="262"/>
        <v>1900</v>
      </c>
      <c r="W1296" s="759"/>
      <c r="X1296" s="771"/>
      <c r="Y1296" s="977"/>
      <c r="Z1296" s="758"/>
      <c r="AA1296" s="758" t="str">
        <f t="shared" ref="AA1296:AA1359" si="264">CONCATENATE(H1296,W1296)</f>
        <v/>
      </c>
      <c r="AB1296" s="758" t="str">
        <f t="shared" ref="AB1296:AB1359" si="265">CONCATENATE(H1296,X1296)</f>
        <v/>
      </c>
      <c r="AC1296" s="758" t="str">
        <f t="shared" ref="AC1296:AC1359" si="266">CONCATENATE(H1296,Y1296)</f>
        <v/>
      </c>
      <c r="AD1296" s="758" t="str">
        <f t="shared" si="240"/>
        <v>0</v>
      </c>
      <c r="AE1296" s="760"/>
      <c r="AF1296" s="760"/>
      <c r="AG1296" s="443"/>
      <c r="AH1296" s="443"/>
    </row>
    <row r="1297" spans="1:34">
      <c r="A1297" s="728">
        <f t="shared" si="263"/>
        <v>1290</v>
      </c>
      <c r="B1297" s="77"/>
      <c r="C1297" s="747"/>
      <c r="D1297" s="763" t="str">
        <f t="shared" si="241"/>
        <v>January</v>
      </c>
      <c r="E1297" s="763">
        <f t="shared" si="242"/>
        <v>0</v>
      </c>
      <c r="F1297" s="762">
        <f t="shared" si="243"/>
        <v>1900</v>
      </c>
      <c r="G1297" s="747"/>
      <c r="H1297" s="882"/>
      <c r="I1297" s="756"/>
      <c r="J1297" s="756"/>
      <c r="K1297" s="778">
        <f t="shared" si="244"/>
        <v>0</v>
      </c>
      <c r="L1297" s="976"/>
      <c r="M1297" s="736">
        <f t="shared" si="245"/>
        <v>0</v>
      </c>
      <c r="N1297" s="754"/>
      <c r="O1297" s="738">
        <f t="shared" si="246"/>
        <v>0</v>
      </c>
      <c r="P1297" s="757"/>
      <c r="Q1297" s="739">
        <f t="shared" si="247"/>
        <v>0</v>
      </c>
      <c r="R1297" s="757"/>
      <c r="S1297" s="755"/>
      <c r="T1297" s="277"/>
      <c r="U1297" s="758" t="str">
        <f t="shared" si="261"/>
        <v/>
      </c>
      <c r="V1297" s="758" t="str">
        <f t="shared" si="262"/>
        <v>1900</v>
      </c>
      <c r="W1297" s="759"/>
      <c r="X1297" s="771"/>
      <c r="Y1297" s="977"/>
      <c r="Z1297" s="758"/>
      <c r="AA1297" s="758" t="str">
        <f t="shared" si="264"/>
        <v/>
      </c>
      <c r="AB1297" s="758" t="str">
        <f t="shared" si="265"/>
        <v/>
      </c>
      <c r="AC1297" s="758" t="str">
        <f t="shared" si="266"/>
        <v/>
      </c>
      <c r="AD1297" s="758" t="str">
        <f t="shared" si="240"/>
        <v>0</v>
      </c>
      <c r="AE1297" s="760"/>
      <c r="AF1297" s="760"/>
      <c r="AG1297" s="443"/>
      <c r="AH1297" s="443"/>
    </row>
    <row r="1298" spans="1:34">
      <c r="A1298" s="728">
        <f t="shared" si="263"/>
        <v>1291</v>
      </c>
      <c r="B1298" s="77"/>
      <c r="C1298" s="747"/>
      <c r="D1298" s="763" t="str">
        <f t="shared" si="241"/>
        <v>January</v>
      </c>
      <c r="E1298" s="763">
        <f t="shared" si="242"/>
        <v>0</v>
      </c>
      <c r="F1298" s="762">
        <f t="shared" si="243"/>
        <v>1900</v>
      </c>
      <c r="G1298" s="747"/>
      <c r="H1298" s="882"/>
      <c r="I1298" s="756"/>
      <c r="J1298" s="756"/>
      <c r="K1298" s="778">
        <f t="shared" si="244"/>
        <v>0</v>
      </c>
      <c r="L1298" s="976"/>
      <c r="M1298" s="736">
        <f t="shared" si="245"/>
        <v>0</v>
      </c>
      <c r="N1298" s="754"/>
      <c r="O1298" s="738">
        <f t="shared" si="246"/>
        <v>0</v>
      </c>
      <c r="P1298" s="757"/>
      <c r="Q1298" s="739">
        <f t="shared" si="247"/>
        <v>0</v>
      </c>
      <c r="R1298" s="757"/>
      <c r="S1298" s="755"/>
      <c r="T1298" s="277"/>
      <c r="U1298" s="758" t="str">
        <f t="shared" si="261"/>
        <v/>
      </c>
      <c r="V1298" s="758" t="str">
        <f t="shared" si="262"/>
        <v>1900</v>
      </c>
      <c r="W1298" s="759"/>
      <c r="X1298" s="771"/>
      <c r="Y1298" s="977"/>
      <c r="Z1298" s="758"/>
      <c r="AA1298" s="758" t="str">
        <f t="shared" si="264"/>
        <v/>
      </c>
      <c r="AB1298" s="758" t="str">
        <f t="shared" si="265"/>
        <v/>
      </c>
      <c r="AC1298" s="758" t="str">
        <f t="shared" si="266"/>
        <v/>
      </c>
      <c r="AD1298" s="758" t="str">
        <f t="shared" si="240"/>
        <v>0</v>
      </c>
      <c r="AE1298" s="760"/>
      <c r="AF1298" s="760"/>
      <c r="AG1298" s="443"/>
      <c r="AH1298" s="443"/>
    </row>
    <row r="1299" spans="1:34">
      <c r="A1299" s="728">
        <f t="shared" si="263"/>
        <v>1292</v>
      </c>
      <c r="B1299" s="77"/>
      <c r="C1299" s="747"/>
      <c r="D1299" s="763" t="str">
        <f t="shared" si="241"/>
        <v>January</v>
      </c>
      <c r="E1299" s="763">
        <f t="shared" si="242"/>
        <v>0</v>
      </c>
      <c r="F1299" s="762">
        <f t="shared" si="243"/>
        <v>1900</v>
      </c>
      <c r="G1299" s="747"/>
      <c r="H1299" s="882"/>
      <c r="I1299" s="756"/>
      <c r="J1299" s="756"/>
      <c r="K1299" s="778">
        <f t="shared" si="244"/>
        <v>0</v>
      </c>
      <c r="L1299" s="976"/>
      <c r="M1299" s="736">
        <f t="shared" si="245"/>
        <v>0</v>
      </c>
      <c r="N1299" s="754"/>
      <c r="O1299" s="738">
        <f t="shared" si="246"/>
        <v>0</v>
      </c>
      <c r="P1299" s="757"/>
      <c r="Q1299" s="739">
        <f t="shared" si="247"/>
        <v>0</v>
      </c>
      <c r="R1299" s="757"/>
      <c r="S1299" s="755"/>
      <c r="T1299" s="277"/>
      <c r="U1299" s="758" t="str">
        <f t="shared" si="261"/>
        <v/>
      </c>
      <c r="V1299" s="758" t="str">
        <f t="shared" si="262"/>
        <v>1900</v>
      </c>
      <c r="W1299" s="759"/>
      <c r="X1299" s="771"/>
      <c r="Y1299" s="977"/>
      <c r="Z1299" s="758"/>
      <c r="AA1299" s="758" t="str">
        <f t="shared" si="264"/>
        <v/>
      </c>
      <c r="AB1299" s="758" t="str">
        <f t="shared" si="265"/>
        <v/>
      </c>
      <c r="AC1299" s="758" t="str">
        <f t="shared" si="266"/>
        <v/>
      </c>
      <c r="AD1299" s="758" t="str">
        <f t="shared" si="240"/>
        <v>0</v>
      </c>
      <c r="AE1299" s="760"/>
      <c r="AF1299" s="760"/>
      <c r="AG1299" s="443"/>
      <c r="AH1299" s="443"/>
    </row>
    <row r="1300" spans="1:34">
      <c r="A1300" s="728">
        <f t="shared" si="263"/>
        <v>1293</v>
      </c>
      <c r="B1300" s="77"/>
      <c r="C1300" s="747"/>
      <c r="D1300" s="763" t="str">
        <f t="shared" si="241"/>
        <v>January</v>
      </c>
      <c r="E1300" s="763">
        <f t="shared" si="242"/>
        <v>0</v>
      </c>
      <c r="F1300" s="762">
        <f t="shared" si="243"/>
        <v>1900</v>
      </c>
      <c r="G1300" s="747"/>
      <c r="H1300" s="882"/>
      <c r="I1300" s="756"/>
      <c r="J1300" s="756"/>
      <c r="K1300" s="778">
        <f t="shared" si="244"/>
        <v>0</v>
      </c>
      <c r="L1300" s="976"/>
      <c r="M1300" s="736">
        <f t="shared" si="245"/>
        <v>0</v>
      </c>
      <c r="N1300" s="754"/>
      <c r="O1300" s="738">
        <f t="shared" si="246"/>
        <v>0</v>
      </c>
      <c r="P1300" s="757"/>
      <c r="Q1300" s="739">
        <f t="shared" si="247"/>
        <v>0</v>
      </c>
      <c r="R1300" s="757"/>
      <c r="S1300" s="755"/>
      <c r="T1300" s="277"/>
      <c r="U1300" s="758" t="str">
        <f t="shared" si="261"/>
        <v/>
      </c>
      <c r="V1300" s="758" t="str">
        <f t="shared" si="262"/>
        <v>1900</v>
      </c>
      <c r="W1300" s="759"/>
      <c r="X1300" s="771"/>
      <c r="Y1300" s="977"/>
      <c r="Z1300" s="758"/>
      <c r="AA1300" s="758" t="str">
        <f t="shared" si="264"/>
        <v/>
      </c>
      <c r="AB1300" s="758" t="str">
        <f t="shared" si="265"/>
        <v/>
      </c>
      <c r="AC1300" s="758" t="str">
        <f t="shared" si="266"/>
        <v/>
      </c>
      <c r="AD1300" s="758" t="str">
        <f t="shared" si="240"/>
        <v>0</v>
      </c>
      <c r="AE1300" s="760"/>
      <c r="AF1300" s="760"/>
      <c r="AG1300" s="443"/>
      <c r="AH1300" s="443"/>
    </row>
    <row r="1301" spans="1:34">
      <c r="A1301" s="728">
        <f t="shared" si="263"/>
        <v>1294</v>
      </c>
      <c r="B1301" s="77"/>
      <c r="C1301" s="747"/>
      <c r="D1301" s="763" t="str">
        <f t="shared" si="241"/>
        <v>January</v>
      </c>
      <c r="E1301" s="763">
        <f t="shared" si="242"/>
        <v>0</v>
      </c>
      <c r="F1301" s="762">
        <f t="shared" si="243"/>
        <v>1900</v>
      </c>
      <c r="G1301" s="747"/>
      <c r="H1301" s="882"/>
      <c r="I1301" s="756"/>
      <c r="J1301" s="756"/>
      <c r="K1301" s="778">
        <f t="shared" si="244"/>
        <v>0</v>
      </c>
      <c r="L1301" s="976"/>
      <c r="M1301" s="736">
        <f t="shared" si="245"/>
        <v>0</v>
      </c>
      <c r="N1301" s="754"/>
      <c r="O1301" s="738">
        <f t="shared" si="246"/>
        <v>0</v>
      </c>
      <c r="P1301" s="757"/>
      <c r="Q1301" s="739">
        <f t="shared" si="247"/>
        <v>0</v>
      </c>
      <c r="R1301" s="757"/>
      <c r="S1301" s="755"/>
      <c r="T1301" s="277"/>
      <c r="U1301" s="758" t="str">
        <f t="shared" si="261"/>
        <v/>
      </c>
      <c r="V1301" s="758" t="str">
        <f t="shared" si="262"/>
        <v>1900</v>
      </c>
      <c r="W1301" s="759"/>
      <c r="X1301" s="771"/>
      <c r="Y1301" s="977"/>
      <c r="Z1301" s="758"/>
      <c r="AA1301" s="758" t="str">
        <f t="shared" si="264"/>
        <v/>
      </c>
      <c r="AB1301" s="758" t="str">
        <f t="shared" si="265"/>
        <v/>
      </c>
      <c r="AC1301" s="758" t="str">
        <f t="shared" si="266"/>
        <v/>
      </c>
      <c r="AD1301" s="758" t="str">
        <f t="shared" si="240"/>
        <v>0</v>
      </c>
      <c r="AE1301" s="760"/>
      <c r="AF1301" s="760"/>
      <c r="AG1301" s="443"/>
      <c r="AH1301" s="443"/>
    </row>
    <row r="1302" spans="1:34">
      <c r="A1302" s="728">
        <f t="shared" si="263"/>
        <v>1295</v>
      </c>
      <c r="B1302" s="77"/>
      <c r="C1302" s="747"/>
      <c r="D1302" s="763" t="str">
        <f t="shared" si="241"/>
        <v>January</v>
      </c>
      <c r="E1302" s="763">
        <f t="shared" si="242"/>
        <v>0</v>
      </c>
      <c r="F1302" s="762">
        <f t="shared" si="243"/>
        <v>1900</v>
      </c>
      <c r="G1302" s="747"/>
      <c r="H1302" s="882"/>
      <c r="I1302" s="756"/>
      <c r="J1302" s="756"/>
      <c r="K1302" s="778">
        <f t="shared" si="244"/>
        <v>0</v>
      </c>
      <c r="L1302" s="976"/>
      <c r="M1302" s="736">
        <f t="shared" si="245"/>
        <v>0</v>
      </c>
      <c r="N1302" s="754"/>
      <c r="O1302" s="738">
        <f t="shared" si="246"/>
        <v>0</v>
      </c>
      <c r="P1302" s="757"/>
      <c r="Q1302" s="739">
        <f t="shared" si="247"/>
        <v>0</v>
      </c>
      <c r="R1302" s="757"/>
      <c r="S1302" s="755"/>
      <c r="T1302" s="277"/>
      <c r="U1302" s="758" t="str">
        <f t="shared" si="261"/>
        <v/>
      </c>
      <c r="V1302" s="758" t="str">
        <f t="shared" si="262"/>
        <v>1900</v>
      </c>
      <c r="W1302" s="759"/>
      <c r="X1302" s="771"/>
      <c r="Y1302" s="977"/>
      <c r="Z1302" s="758"/>
      <c r="AA1302" s="758" t="str">
        <f t="shared" si="264"/>
        <v/>
      </c>
      <c r="AB1302" s="758" t="str">
        <f t="shared" si="265"/>
        <v/>
      </c>
      <c r="AC1302" s="758" t="str">
        <f t="shared" si="266"/>
        <v/>
      </c>
      <c r="AD1302" s="758" t="str">
        <f t="shared" si="240"/>
        <v>0</v>
      </c>
      <c r="AE1302" s="760"/>
      <c r="AF1302" s="760"/>
      <c r="AG1302" s="443"/>
      <c r="AH1302" s="443"/>
    </row>
    <row r="1303" spans="1:34">
      <c r="A1303" s="728">
        <f t="shared" si="263"/>
        <v>1296</v>
      </c>
      <c r="B1303" s="77"/>
      <c r="C1303" s="747"/>
      <c r="D1303" s="763" t="str">
        <f t="shared" si="241"/>
        <v>January</v>
      </c>
      <c r="E1303" s="763">
        <f t="shared" si="242"/>
        <v>0</v>
      </c>
      <c r="F1303" s="762">
        <f t="shared" si="243"/>
        <v>1900</v>
      </c>
      <c r="G1303" s="747"/>
      <c r="H1303" s="882"/>
      <c r="I1303" s="756"/>
      <c r="J1303" s="756"/>
      <c r="K1303" s="778">
        <f t="shared" si="244"/>
        <v>0</v>
      </c>
      <c r="L1303" s="976"/>
      <c r="M1303" s="736">
        <f t="shared" si="245"/>
        <v>0</v>
      </c>
      <c r="N1303" s="754"/>
      <c r="O1303" s="738">
        <f t="shared" si="246"/>
        <v>0</v>
      </c>
      <c r="P1303" s="757"/>
      <c r="Q1303" s="739">
        <f t="shared" si="247"/>
        <v>0</v>
      </c>
      <c r="R1303" s="757"/>
      <c r="S1303" s="755"/>
      <c r="T1303" s="277"/>
      <c r="U1303" s="758" t="str">
        <f t="shared" si="261"/>
        <v/>
      </c>
      <c r="V1303" s="758" t="str">
        <f t="shared" si="262"/>
        <v>1900</v>
      </c>
      <c r="W1303" s="759"/>
      <c r="X1303" s="771"/>
      <c r="Y1303" s="977"/>
      <c r="Z1303" s="758"/>
      <c r="AA1303" s="758" t="str">
        <f t="shared" si="264"/>
        <v/>
      </c>
      <c r="AB1303" s="758" t="str">
        <f t="shared" si="265"/>
        <v/>
      </c>
      <c r="AC1303" s="758" t="str">
        <f t="shared" si="266"/>
        <v/>
      </c>
      <c r="AD1303" s="758" t="str">
        <f t="shared" si="240"/>
        <v>0</v>
      </c>
      <c r="AE1303" s="760"/>
      <c r="AF1303" s="760"/>
      <c r="AG1303" s="443"/>
      <c r="AH1303" s="443"/>
    </row>
    <row r="1304" spans="1:34">
      <c r="A1304" s="728">
        <f t="shared" si="263"/>
        <v>1297</v>
      </c>
      <c r="B1304" s="77"/>
      <c r="C1304" s="747"/>
      <c r="D1304" s="763" t="str">
        <f t="shared" si="241"/>
        <v>January</v>
      </c>
      <c r="E1304" s="763">
        <f t="shared" si="242"/>
        <v>0</v>
      </c>
      <c r="F1304" s="762">
        <f t="shared" si="243"/>
        <v>1900</v>
      </c>
      <c r="G1304" s="747"/>
      <c r="H1304" s="882"/>
      <c r="I1304" s="756"/>
      <c r="J1304" s="756"/>
      <c r="K1304" s="778">
        <f t="shared" si="244"/>
        <v>0</v>
      </c>
      <c r="L1304" s="976"/>
      <c r="M1304" s="736">
        <f t="shared" si="245"/>
        <v>0</v>
      </c>
      <c r="N1304" s="754"/>
      <c r="O1304" s="738">
        <f t="shared" si="246"/>
        <v>0</v>
      </c>
      <c r="P1304" s="757"/>
      <c r="Q1304" s="739">
        <f t="shared" si="247"/>
        <v>0</v>
      </c>
      <c r="R1304" s="757"/>
      <c r="S1304" s="755"/>
      <c r="T1304" s="277"/>
      <c r="U1304" s="758" t="str">
        <f t="shared" si="261"/>
        <v/>
      </c>
      <c r="V1304" s="758" t="str">
        <f t="shared" si="262"/>
        <v>1900</v>
      </c>
      <c r="W1304" s="759"/>
      <c r="X1304" s="771"/>
      <c r="Y1304" s="977"/>
      <c r="Z1304" s="758"/>
      <c r="AA1304" s="758" t="str">
        <f t="shared" si="264"/>
        <v/>
      </c>
      <c r="AB1304" s="758" t="str">
        <f t="shared" si="265"/>
        <v/>
      </c>
      <c r="AC1304" s="758" t="str">
        <f t="shared" si="266"/>
        <v/>
      </c>
      <c r="AD1304" s="758" t="str">
        <f t="shared" si="240"/>
        <v>0</v>
      </c>
      <c r="AE1304" s="760"/>
      <c r="AF1304" s="760"/>
      <c r="AG1304" s="443"/>
      <c r="AH1304" s="443"/>
    </row>
    <row r="1305" spans="1:34">
      <c r="A1305" s="728">
        <f t="shared" si="263"/>
        <v>1298</v>
      </c>
      <c r="B1305" s="77"/>
      <c r="C1305" s="747"/>
      <c r="D1305" s="763" t="str">
        <f t="shared" si="241"/>
        <v>January</v>
      </c>
      <c r="E1305" s="763">
        <f t="shared" si="242"/>
        <v>0</v>
      </c>
      <c r="F1305" s="762">
        <f t="shared" si="243"/>
        <v>1900</v>
      </c>
      <c r="G1305" s="747"/>
      <c r="H1305" s="882"/>
      <c r="I1305" s="756"/>
      <c r="J1305" s="756"/>
      <c r="K1305" s="778">
        <f t="shared" si="244"/>
        <v>0</v>
      </c>
      <c r="L1305" s="976"/>
      <c r="M1305" s="736">
        <f t="shared" si="245"/>
        <v>0</v>
      </c>
      <c r="N1305" s="754"/>
      <c r="O1305" s="738">
        <f t="shared" si="246"/>
        <v>0</v>
      </c>
      <c r="P1305" s="757"/>
      <c r="Q1305" s="739">
        <f t="shared" si="247"/>
        <v>0</v>
      </c>
      <c r="R1305" s="757"/>
      <c r="S1305" s="755"/>
      <c r="T1305" s="277"/>
      <c r="U1305" s="758" t="str">
        <f t="shared" si="261"/>
        <v/>
      </c>
      <c r="V1305" s="758" t="str">
        <f t="shared" si="262"/>
        <v>1900</v>
      </c>
      <c r="W1305" s="759"/>
      <c r="X1305" s="771"/>
      <c r="Y1305" s="977"/>
      <c r="Z1305" s="758"/>
      <c r="AA1305" s="758" t="str">
        <f t="shared" si="264"/>
        <v/>
      </c>
      <c r="AB1305" s="758" t="str">
        <f t="shared" si="265"/>
        <v/>
      </c>
      <c r="AC1305" s="758" t="str">
        <f t="shared" si="266"/>
        <v/>
      </c>
      <c r="AD1305" s="758" t="str">
        <f t="shared" ref="AD1305:AD1368" si="267">CONCATENATE(H1305,M1305)</f>
        <v>0</v>
      </c>
      <c r="AE1305" s="760"/>
      <c r="AF1305" s="760"/>
      <c r="AG1305" s="443"/>
      <c r="AH1305" s="443"/>
    </row>
    <row r="1306" spans="1:34">
      <c r="A1306" s="728">
        <f t="shared" si="263"/>
        <v>1299</v>
      </c>
      <c r="B1306" s="77"/>
      <c r="C1306" s="747"/>
      <c r="D1306" s="763" t="str">
        <f t="shared" si="241"/>
        <v>January</v>
      </c>
      <c r="E1306" s="763">
        <f t="shared" si="242"/>
        <v>0</v>
      </c>
      <c r="F1306" s="762">
        <f t="shared" si="243"/>
        <v>1900</v>
      </c>
      <c r="G1306" s="747"/>
      <c r="H1306" s="882"/>
      <c r="I1306" s="756"/>
      <c r="J1306" s="756"/>
      <c r="K1306" s="778">
        <f t="shared" si="244"/>
        <v>0</v>
      </c>
      <c r="L1306" s="976"/>
      <c r="M1306" s="736">
        <f t="shared" si="245"/>
        <v>0</v>
      </c>
      <c r="N1306" s="754"/>
      <c r="O1306" s="738">
        <f t="shared" si="246"/>
        <v>0</v>
      </c>
      <c r="P1306" s="757"/>
      <c r="Q1306" s="739">
        <f t="shared" si="247"/>
        <v>0</v>
      </c>
      <c r="R1306" s="757"/>
      <c r="S1306" s="755"/>
      <c r="T1306" s="277"/>
      <c r="U1306" s="758" t="str">
        <f t="shared" si="261"/>
        <v/>
      </c>
      <c r="V1306" s="758" t="str">
        <f t="shared" si="262"/>
        <v>1900</v>
      </c>
      <c r="W1306" s="759"/>
      <c r="X1306" s="771"/>
      <c r="Y1306" s="977"/>
      <c r="Z1306" s="758"/>
      <c r="AA1306" s="758" t="str">
        <f t="shared" si="264"/>
        <v/>
      </c>
      <c r="AB1306" s="758" t="str">
        <f t="shared" si="265"/>
        <v/>
      </c>
      <c r="AC1306" s="758" t="str">
        <f t="shared" si="266"/>
        <v/>
      </c>
      <c r="AD1306" s="758" t="str">
        <f t="shared" si="267"/>
        <v>0</v>
      </c>
      <c r="AE1306" s="760"/>
      <c r="AF1306" s="760"/>
      <c r="AG1306" s="443"/>
      <c r="AH1306" s="443"/>
    </row>
    <row r="1307" spans="1:34">
      <c r="A1307" s="728">
        <f t="shared" si="263"/>
        <v>1300</v>
      </c>
      <c r="B1307" s="77"/>
      <c r="C1307" s="747"/>
      <c r="D1307" s="763" t="str">
        <f t="shared" si="241"/>
        <v>January</v>
      </c>
      <c r="E1307" s="763">
        <f t="shared" si="242"/>
        <v>0</v>
      </c>
      <c r="F1307" s="762">
        <f t="shared" si="243"/>
        <v>1900</v>
      </c>
      <c r="G1307" s="747"/>
      <c r="H1307" s="882"/>
      <c r="I1307" s="756"/>
      <c r="J1307" s="756"/>
      <c r="K1307" s="778">
        <f t="shared" si="244"/>
        <v>0</v>
      </c>
      <c r="L1307" s="976"/>
      <c r="M1307" s="736">
        <f t="shared" si="245"/>
        <v>0</v>
      </c>
      <c r="N1307" s="754"/>
      <c r="O1307" s="738">
        <f t="shared" si="246"/>
        <v>0</v>
      </c>
      <c r="P1307" s="757"/>
      <c r="Q1307" s="739">
        <f t="shared" si="247"/>
        <v>0</v>
      </c>
      <c r="R1307" s="757"/>
      <c r="S1307" s="755"/>
      <c r="T1307" s="277"/>
      <c r="U1307" s="758" t="str">
        <f t="shared" si="261"/>
        <v/>
      </c>
      <c r="V1307" s="758" t="str">
        <f t="shared" si="262"/>
        <v>1900</v>
      </c>
      <c r="W1307" s="759"/>
      <c r="X1307" s="771"/>
      <c r="Y1307" s="977"/>
      <c r="Z1307" s="758"/>
      <c r="AA1307" s="758" t="str">
        <f t="shared" si="264"/>
        <v/>
      </c>
      <c r="AB1307" s="758" t="str">
        <f t="shared" si="265"/>
        <v/>
      </c>
      <c r="AC1307" s="758" t="str">
        <f t="shared" si="266"/>
        <v/>
      </c>
      <c r="AD1307" s="758" t="str">
        <f t="shared" si="267"/>
        <v>0</v>
      </c>
      <c r="AE1307" s="760"/>
      <c r="AF1307" s="760"/>
      <c r="AG1307" s="443"/>
      <c r="AH1307" s="443"/>
    </row>
    <row r="1308" spans="1:34">
      <c r="A1308" s="728">
        <f t="shared" si="263"/>
        <v>1301</v>
      </c>
      <c r="B1308" s="77"/>
      <c r="C1308" s="747"/>
      <c r="D1308" s="763" t="str">
        <f t="shared" si="241"/>
        <v>January</v>
      </c>
      <c r="E1308" s="763">
        <f t="shared" si="242"/>
        <v>0</v>
      </c>
      <c r="F1308" s="762">
        <f t="shared" si="243"/>
        <v>1900</v>
      </c>
      <c r="G1308" s="747"/>
      <c r="H1308" s="882"/>
      <c r="I1308" s="756"/>
      <c r="J1308" s="756"/>
      <c r="K1308" s="778">
        <f t="shared" si="244"/>
        <v>0</v>
      </c>
      <c r="L1308" s="976"/>
      <c r="M1308" s="736">
        <f t="shared" si="245"/>
        <v>0</v>
      </c>
      <c r="N1308" s="754"/>
      <c r="O1308" s="738">
        <f t="shared" si="246"/>
        <v>0</v>
      </c>
      <c r="P1308" s="757"/>
      <c r="Q1308" s="739">
        <f t="shared" si="247"/>
        <v>0</v>
      </c>
      <c r="R1308" s="757"/>
      <c r="S1308" s="755"/>
      <c r="T1308" s="277"/>
      <c r="U1308" s="758" t="str">
        <f t="shared" si="261"/>
        <v/>
      </c>
      <c r="V1308" s="758" t="str">
        <f t="shared" si="262"/>
        <v>1900</v>
      </c>
      <c r="W1308" s="759"/>
      <c r="X1308" s="771"/>
      <c r="Y1308" s="977"/>
      <c r="Z1308" s="758"/>
      <c r="AA1308" s="758" t="str">
        <f t="shared" si="264"/>
        <v/>
      </c>
      <c r="AB1308" s="758" t="str">
        <f t="shared" si="265"/>
        <v/>
      </c>
      <c r="AC1308" s="758" t="str">
        <f t="shared" si="266"/>
        <v/>
      </c>
      <c r="AD1308" s="758" t="str">
        <f t="shared" si="267"/>
        <v>0</v>
      </c>
      <c r="AE1308" s="760"/>
      <c r="AF1308" s="760"/>
      <c r="AG1308" s="443"/>
      <c r="AH1308" s="443"/>
    </row>
    <row r="1309" spans="1:34">
      <c r="A1309" s="728">
        <f t="shared" si="263"/>
        <v>1302</v>
      </c>
      <c r="B1309" s="77"/>
      <c r="C1309" s="747"/>
      <c r="D1309" s="763" t="str">
        <f t="shared" si="241"/>
        <v>January</v>
      </c>
      <c r="E1309" s="763">
        <f t="shared" si="242"/>
        <v>0</v>
      </c>
      <c r="F1309" s="762">
        <f t="shared" si="243"/>
        <v>1900</v>
      </c>
      <c r="G1309" s="747"/>
      <c r="H1309" s="882"/>
      <c r="I1309" s="756"/>
      <c r="J1309" s="756"/>
      <c r="K1309" s="778">
        <f t="shared" si="244"/>
        <v>0</v>
      </c>
      <c r="L1309" s="976"/>
      <c r="M1309" s="736">
        <f t="shared" si="245"/>
        <v>0</v>
      </c>
      <c r="N1309" s="754"/>
      <c r="O1309" s="738">
        <f t="shared" si="246"/>
        <v>0</v>
      </c>
      <c r="P1309" s="757"/>
      <c r="Q1309" s="739">
        <f t="shared" si="247"/>
        <v>0</v>
      </c>
      <c r="R1309" s="757"/>
      <c r="S1309" s="755"/>
      <c r="T1309" s="277"/>
      <c r="U1309" s="758" t="str">
        <f t="shared" si="261"/>
        <v/>
      </c>
      <c r="V1309" s="758" t="str">
        <f t="shared" si="262"/>
        <v>1900</v>
      </c>
      <c r="W1309" s="759"/>
      <c r="X1309" s="771"/>
      <c r="Y1309" s="977"/>
      <c r="Z1309" s="758"/>
      <c r="AA1309" s="758" t="str">
        <f t="shared" si="264"/>
        <v/>
      </c>
      <c r="AB1309" s="758" t="str">
        <f t="shared" si="265"/>
        <v/>
      </c>
      <c r="AC1309" s="758" t="str">
        <f t="shared" si="266"/>
        <v/>
      </c>
      <c r="AD1309" s="758" t="str">
        <f t="shared" si="267"/>
        <v>0</v>
      </c>
      <c r="AE1309" s="760"/>
      <c r="AF1309" s="760"/>
      <c r="AG1309" s="443"/>
      <c r="AH1309" s="443"/>
    </row>
    <row r="1310" spans="1:34">
      <c r="A1310" s="728">
        <f t="shared" si="263"/>
        <v>1303</v>
      </c>
      <c r="B1310" s="77"/>
      <c r="C1310" s="747"/>
      <c r="D1310" s="763" t="str">
        <f t="shared" si="241"/>
        <v>January</v>
      </c>
      <c r="E1310" s="763">
        <f t="shared" si="242"/>
        <v>0</v>
      </c>
      <c r="F1310" s="762">
        <f t="shared" si="243"/>
        <v>1900</v>
      </c>
      <c r="G1310" s="747"/>
      <c r="H1310" s="882"/>
      <c r="I1310" s="756"/>
      <c r="J1310" s="756"/>
      <c r="K1310" s="778">
        <f t="shared" si="244"/>
        <v>0</v>
      </c>
      <c r="L1310" s="976"/>
      <c r="M1310" s="736">
        <f t="shared" si="245"/>
        <v>0</v>
      </c>
      <c r="N1310" s="754"/>
      <c r="O1310" s="738">
        <f t="shared" si="246"/>
        <v>0</v>
      </c>
      <c r="P1310" s="757"/>
      <c r="Q1310" s="739">
        <f t="shared" si="247"/>
        <v>0</v>
      </c>
      <c r="R1310" s="757"/>
      <c r="S1310" s="755"/>
      <c r="T1310" s="277"/>
      <c r="U1310" s="758" t="str">
        <f t="shared" si="261"/>
        <v/>
      </c>
      <c r="V1310" s="758" t="str">
        <f t="shared" si="262"/>
        <v>1900</v>
      </c>
      <c r="W1310" s="759"/>
      <c r="X1310" s="771"/>
      <c r="Y1310" s="977"/>
      <c r="Z1310" s="758"/>
      <c r="AA1310" s="758" t="str">
        <f t="shared" si="264"/>
        <v/>
      </c>
      <c r="AB1310" s="758" t="str">
        <f t="shared" si="265"/>
        <v/>
      </c>
      <c r="AC1310" s="758" t="str">
        <f t="shared" si="266"/>
        <v/>
      </c>
      <c r="AD1310" s="758" t="str">
        <f t="shared" si="267"/>
        <v>0</v>
      </c>
      <c r="AE1310" s="760"/>
      <c r="AF1310" s="760"/>
      <c r="AG1310" s="443"/>
      <c r="AH1310" s="443"/>
    </row>
    <row r="1311" spans="1:34">
      <c r="A1311" s="728">
        <f t="shared" si="263"/>
        <v>1304</v>
      </c>
      <c r="B1311" s="77"/>
      <c r="C1311" s="747"/>
      <c r="D1311" s="763" t="str">
        <f t="shared" si="241"/>
        <v>January</v>
      </c>
      <c r="E1311" s="763">
        <f t="shared" si="242"/>
        <v>0</v>
      </c>
      <c r="F1311" s="762">
        <f t="shared" si="243"/>
        <v>1900</v>
      </c>
      <c r="G1311" s="747"/>
      <c r="H1311" s="882"/>
      <c r="I1311" s="756"/>
      <c r="J1311" s="756"/>
      <c r="K1311" s="778">
        <f t="shared" si="244"/>
        <v>0</v>
      </c>
      <c r="L1311" s="976"/>
      <c r="M1311" s="736">
        <f t="shared" si="245"/>
        <v>0</v>
      </c>
      <c r="N1311" s="754"/>
      <c r="O1311" s="738">
        <f t="shared" si="246"/>
        <v>0</v>
      </c>
      <c r="P1311" s="757"/>
      <c r="Q1311" s="739">
        <f t="shared" si="247"/>
        <v>0</v>
      </c>
      <c r="R1311" s="757"/>
      <c r="S1311" s="755"/>
      <c r="T1311" s="277"/>
      <c r="U1311" s="758" t="str">
        <f t="shared" si="261"/>
        <v/>
      </c>
      <c r="V1311" s="758" t="str">
        <f t="shared" si="262"/>
        <v>1900</v>
      </c>
      <c r="W1311" s="759"/>
      <c r="X1311" s="771"/>
      <c r="Y1311" s="977"/>
      <c r="Z1311" s="758"/>
      <c r="AA1311" s="758" t="str">
        <f t="shared" si="264"/>
        <v/>
      </c>
      <c r="AB1311" s="758" t="str">
        <f t="shared" si="265"/>
        <v/>
      </c>
      <c r="AC1311" s="758" t="str">
        <f t="shared" si="266"/>
        <v/>
      </c>
      <c r="AD1311" s="758" t="str">
        <f t="shared" si="267"/>
        <v>0</v>
      </c>
      <c r="AE1311" s="760"/>
      <c r="AF1311" s="760"/>
      <c r="AG1311" s="443"/>
      <c r="AH1311" s="443"/>
    </row>
    <row r="1312" spans="1:34">
      <c r="A1312" s="728">
        <f t="shared" si="263"/>
        <v>1305</v>
      </c>
      <c r="B1312" s="77"/>
      <c r="C1312" s="747"/>
      <c r="D1312" s="763" t="str">
        <f t="shared" si="241"/>
        <v>January</v>
      </c>
      <c r="E1312" s="763">
        <f t="shared" si="242"/>
        <v>0</v>
      </c>
      <c r="F1312" s="762">
        <f t="shared" si="243"/>
        <v>1900</v>
      </c>
      <c r="G1312" s="747"/>
      <c r="H1312" s="882"/>
      <c r="I1312" s="756"/>
      <c r="J1312" s="756"/>
      <c r="K1312" s="778">
        <f t="shared" si="244"/>
        <v>0</v>
      </c>
      <c r="L1312" s="976"/>
      <c r="M1312" s="736">
        <f t="shared" si="245"/>
        <v>0</v>
      </c>
      <c r="N1312" s="754"/>
      <c r="O1312" s="738">
        <f t="shared" si="246"/>
        <v>0</v>
      </c>
      <c r="P1312" s="757"/>
      <c r="Q1312" s="739">
        <f t="shared" si="247"/>
        <v>0</v>
      </c>
      <c r="R1312" s="757"/>
      <c r="S1312" s="755"/>
      <c r="T1312" s="277"/>
      <c r="U1312" s="758" t="str">
        <f t="shared" si="261"/>
        <v/>
      </c>
      <c r="V1312" s="758" t="str">
        <f t="shared" si="262"/>
        <v>1900</v>
      </c>
      <c r="W1312" s="759"/>
      <c r="X1312" s="771"/>
      <c r="Y1312" s="977"/>
      <c r="Z1312" s="758"/>
      <c r="AA1312" s="758" t="str">
        <f t="shared" si="264"/>
        <v/>
      </c>
      <c r="AB1312" s="758" t="str">
        <f t="shared" si="265"/>
        <v/>
      </c>
      <c r="AC1312" s="758" t="str">
        <f t="shared" si="266"/>
        <v/>
      </c>
      <c r="AD1312" s="758" t="str">
        <f t="shared" si="267"/>
        <v>0</v>
      </c>
      <c r="AE1312" s="760"/>
      <c r="AF1312" s="760"/>
      <c r="AG1312" s="443"/>
      <c r="AH1312" s="443"/>
    </row>
    <row r="1313" spans="1:34">
      <c r="A1313" s="728">
        <f t="shared" si="263"/>
        <v>1306</v>
      </c>
      <c r="B1313" s="77"/>
      <c r="C1313" s="747"/>
      <c r="D1313" s="763" t="str">
        <f t="shared" si="241"/>
        <v>January</v>
      </c>
      <c r="E1313" s="763">
        <f t="shared" si="242"/>
        <v>0</v>
      </c>
      <c r="F1313" s="762">
        <f t="shared" si="243"/>
        <v>1900</v>
      </c>
      <c r="G1313" s="747"/>
      <c r="H1313" s="882"/>
      <c r="I1313" s="756"/>
      <c r="J1313" s="756"/>
      <c r="K1313" s="778">
        <f t="shared" si="244"/>
        <v>0</v>
      </c>
      <c r="L1313" s="976"/>
      <c r="M1313" s="736">
        <f t="shared" si="245"/>
        <v>0</v>
      </c>
      <c r="N1313" s="754"/>
      <c r="O1313" s="738">
        <f t="shared" si="246"/>
        <v>0</v>
      </c>
      <c r="P1313" s="757"/>
      <c r="Q1313" s="739">
        <f t="shared" si="247"/>
        <v>0</v>
      </c>
      <c r="R1313" s="757"/>
      <c r="S1313" s="755"/>
      <c r="T1313" s="277"/>
      <c r="U1313" s="758" t="str">
        <f t="shared" si="261"/>
        <v/>
      </c>
      <c r="V1313" s="758" t="str">
        <f t="shared" si="262"/>
        <v>1900</v>
      </c>
      <c r="W1313" s="759"/>
      <c r="X1313" s="771"/>
      <c r="Y1313" s="977"/>
      <c r="Z1313" s="758"/>
      <c r="AA1313" s="758" t="str">
        <f t="shared" si="264"/>
        <v/>
      </c>
      <c r="AB1313" s="758" t="str">
        <f t="shared" si="265"/>
        <v/>
      </c>
      <c r="AC1313" s="758" t="str">
        <f t="shared" si="266"/>
        <v/>
      </c>
      <c r="AD1313" s="758" t="str">
        <f t="shared" si="267"/>
        <v>0</v>
      </c>
      <c r="AE1313" s="760"/>
      <c r="AF1313" s="760"/>
      <c r="AG1313" s="443"/>
      <c r="AH1313" s="443"/>
    </row>
    <row r="1314" spans="1:34">
      <c r="A1314" s="728">
        <f t="shared" si="263"/>
        <v>1307</v>
      </c>
      <c r="B1314" s="77"/>
      <c r="C1314" s="747"/>
      <c r="D1314" s="763" t="str">
        <f t="shared" si="241"/>
        <v>January</v>
      </c>
      <c r="E1314" s="763">
        <f t="shared" si="242"/>
        <v>0</v>
      </c>
      <c r="F1314" s="762">
        <f t="shared" si="243"/>
        <v>1900</v>
      </c>
      <c r="G1314" s="747"/>
      <c r="H1314" s="882"/>
      <c r="I1314" s="756"/>
      <c r="J1314" s="756"/>
      <c r="K1314" s="778">
        <f t="shared" si="244"/>
        <v>0</v>
      </c>
      <c r="L1314" s="976"/>
      <c r="M1314" s="736">
        <f t="shared" si="245"/>
        <v>0</v>
      </c>
      <c r="N1314" s="754"/>
      <c r="O1314" s="738">
        <f t="shared" si="246"/>
        <v>0</v>
      </c>
      <c r="P1314" s="757"/>
      <c r="Q1314" s="739">
        <f t="shared" si="247"/>
        <v>0</v>
      </c>
      <c r="R1314" s="757"/>
      <c r="S1314" s="755"/>
      <c r="T1314" s="277"/>
      <c r="U1314" s="758" t="str">
        <f t="shared" si="261"/>
        <v/>
      </c>
      <c r="V1314" s="758" t="str">
        <f t="shared" si="262"/>
        <v>1900</v>
      </c>
      <c r="W1314" s="759"/>
      <c r="X1314" s="771"/>
      <c r="Y1314" s="977"/>
      <c r="Z1314" s="758"/>
      <c r="AA1314" s="758" t="str">
        <f t="shared" si="264"/>
        <v/>
      </c>
      <c r="AB1314" s="758" t="str">
        <f t="shared" si="265"/>
        <v/>
      </c>
      <c r="AC1314" s="758" t="str">
        <f t="shared" si="266"/>
        <v/>
      </c>
      <c r="AD1314" s="758" t="str">
        <f t="shared" si="267"/>
        <v>0</v>
      </c>
      <c r="AE1314" s="760"/>
      <c r="AF1314" s="760"/>
      <c r="AG1314" s="443"/>
      <c r="AH1314" s="443"/>
    </row>
    <row r="1315" spans="1:34">
      <c r="A1315" s="728">
        <f t="shared" si="263"/>
        <v>1308</v>
      </c>
      <c r="B1315" s="77"/>
      <c r="C1315" s="747"/>
      <c r="D1315" s="763" t="str">
        <f t="shared" si="241"/>
        <v>January</v>
      </c>
      <c r="E1315" s="763">
        <f t="shared" si="242"/>
        <v>0</v>
      </c>
      <c r="F1315" s="762">
        <f t="shared" si="243"/>
        <v>1900</v>
      </c>
      <c r="G1315" s="747"/>
      <c r="H1315" s="882"/>
      <c r="I1315" s="756"/>
      <c r="J1315" s="756"/>
      <c r="K1315" s="778">
        <f t="shared" si="244"/>
        <v>0</v>
      </c>
      <c r="L1315" s="976"/>
      <c r="M1315" s="736">
        <f t="shared" si="245"/>
        <v>0</v>
      </c>
      <c r="N1315" s="754"/>
      <c r="O1315" s="738">
        <f t="shared" si="246"/>
        <v>0</v>
      </c>
      <c r="P1315" s="757"/>
      <c r="Q1315" s="739">
        <f t="shared" si="247"/>
        <v>0</v>
      </c>
      <c r="R1315" s="757"/>
      <c r="S1315" s="755"/>
      <c r="T1315" s="277"/>
      <c r="U1315" s="758" t="str">
        <f t="shared" si="261"/>
        <v/>
      </c>
      <c r="V1315" s="758" t="str">
        <f t="shared" si="262"/>
        <v>1900</v>
      </c>
      <c r="W1315" s="759"/>
      <c r="X1315" s="771"/>
      <c r="Y1315" s="977"/>
      <c r="Z1315" s="758"/>
      <c r="AA1315" s="758" t="str">
        <f t="shared" si="264"/>
        <v/>
      </c>
      <c r="AB1315" s="758" t="str">
        <f t="shared" si="265"/>
        <v/>
      </c>
      <c r="AC1315" s="758" t="str">
        <f t="shared" si="266"/>
        <v/>
      </c>
      <c r="AD1315" s="758" t="str">
        <f t="shared" si="267"/>
        <v>0</v>
      </c>
      <c r="AE1315" s="760"/>
      <c r="AF1315" s="760"/>
      <c r="AG1315" s="443"/>
      <c r="AH1315" s="443"/>
    </row>
    <row r="1316" spans="1:34">
      <c r="A1316" s="728">
        <f t="shared" si="263"/>
        <v>1309</v>
      </c>
      <c r="B1316" s="77"/>
      <c r="C1316" s="747"/>
      <c r="D1316" s="763" t="str">
        <f t="shared" si="241"/>
        <v>January</v>
      </c>
      <c r="E1316" s="763">
        <f t="shared" si="242"/>
        <v>0</v>
      </c>
      <c r="F1316" s="762">
        <f t="shared" si="243"/>
        <v>1900</v>
      </c>
      <c r="G1316" s="747"/>
      <c r="H1316" s="882"/>
      <c r="I1316" s="756"/>
      <c r="J1316" s="756"/>
      <c r="K1316" s="778">
        <f t="shared" si="244"/>
        <v>0</v>
      </c>
      <c r="L1316" s="976"/>
      <c r="M1316" s="736">
        <f t="shared" si="245"/>
        <v>0</v>
      </c>
      <c r="N1316" s="754"/>
      <c r="O1316" s="738">
        <f t="shared" si="246"/>
        <v>0</v>
      </c>
      <c r="P1316" s="757"/>
      <c r="Q1316" s="739">
        <f t="shared" si="247"/>
        <v>0</v>
      </c>
      <c r="R1316" s="757"/>
      <c r="S1316" s="755"/>
      <c r="T1316" s="277"/>
      <c r="U1316" s="758" t="str">
        <f t="shared" si="261"/>
        <v/>
      </c>
      <c r="V1316" s="758" t="str">
        <f t="shared" si="262"/>
        <v>1900</v>
      </c>
      <c r="W1316" s="759"/>
      <c r="X1316" s="771"/>
      <c r="Y1316" s="977"/>
      <c r="Z1316" s="758"/>
      <c r="AA1316" s="758" t="str">
        <f t="shared" si="264"/>
        <v/>
      </c>
      <c r="AB1316" s="758" t="str">
        <f t="shared" si="265"/>
        <v/>
      </c>
      <c r="AC1316" s="758" t="str">
        <f t="shared" si="266"/>
        <v/>
      </c>
      <c r="AD1316" s="758" t="str">
        <f t="shared" si="267"/>
        <v>0</v>
      </c>
      <c r="AE1316" s="760"/>
      <c r="AF1316" s="760"/>
      <c r="AG1316" s="443"/>
      <c r="AH1316" s="443"/>
    </row>
    <row r="1317" spans="1:34">
      <c r="A1317" s="728">
        <f t="shared" si="263"/>
        <v>1310</v>
      </c>
      <c r="B1317" s="77"/>
      <c r="C1317" s="747"/>
      <c r="D1317" s="763" t="str">
        <f t="shared" si="241"/>
        <v>January</v>
      </c>
      <c r="E1317" s="763">
        <f t="shared" si="242"/>
        <v>0</v>
      </c>
      <c r="F1317" s="762">
        <f t="shared" si="243"/>
        <v>1900</v>
      </c>
      <c r="G1317" s="747"/>
      <c r="H1317" s="882"/>
      <c r="I1317" s="756"/>
      <c r="J1317" s="756"/>
      <c r="K1317" s="778">
        <f t="shared" si="244"/>
        <v>0</v>
      </c>
      <c r="L1317" s="976"/>
      <c r="M1317" s="736">
        <f t="shared" si="245"/>
        <v>0</v>
      </c>
      <c r="N1317" s="754"/>
      <c r="O1317" s="738">
        <f t="shared" si="246"/>
        <v>0</v>
      </c>
      <c r="P1317" s="757"/>
      <c r="Q1317" s="739">
        <f t="shared" si="247"/>
        <v>0</v>
      </c>
      <c r="R1317" s="757"/>
      <c r="S1317" s="755"/>
      <c r="T1317" s="277"/>
      <c r="U1317" s="758" t="str">
        <f t="shared" si="261"/>
        <v/>
      </c>
      <c r="V1317" s="758" t="str">
        <f t="shared" si="262"/>
        <v>1900</v>
      </c>
      <c r="W1317" s="759"/>
      <c r="X1317" s="771"/>
      <c r="Y1317" s="977"/>
      <c r="Z1317" s="758"/>
      <c r="AA1317" s="758" t="str">
        <f t="shared" si="264"/>
        <v/>
      </c>
      <c r="AB1317" s="758" t="str">
        <f t="shared" si="265"/>
        <v/>
      </c>
      <c r="AC1317" s="758" t="str">
        <f t="shared" si="266"/>
        <v/>
      </c>
      <c r="AD1317" s="758" t="str">
        <f t="shared" si="267"/>
        <v>0</v>
      </c>
      <c r="AE1317" s="760"/>
      <c r="AF1317" s="760"/>
      <c r="AG1317" s="443"/>
      <c r="AH1317" s="443"/>
    </row>
    <row r="1318" spans="1:34">
      <c r="A1318" s="728">
        <f t="shared" si="263"/>
        <v>1311</v>
      </c>
      <c r="B1318" s="77"/>
      <c r="C1318" s="747"/>
      <c r="D1318" s="763" t="str">
        <f t="shared" si="241"/>
        <v>January</v>
      </c>
      <c r="E1318" s="763">
        <f t="shared" si="242"/>
        <v>0</v>
      </c>
      <c r="F1318" s="762">
        <f t="shared" si="243"/>
        <v>1900</v>
      </c>
      <c r="G1318" s="747"/>
      <c r="H1318" s="882"/>
      <c r="I1318" s="756"/>
      <c r="J1318" s="756"/>
      <c r="K1318" s="778">
        <f t="shared" si="244"/>
        <v>0</v>
      </c>
      <c r="L1318" s="976"/>
      <c r="M1318" s="736">
        <f t="shared" si="245"/>
        <v>0</v>
      </c>
      <c r="N1318" s="754"/>
      <c r="O1318" s="738">
        <f t="shared" si="246"/>
        <v>0</v>
      </c>
      <c r="P1318" s="757"/>
      <c r="Q1318" s="739">
        <f t="shared" si="247"/>
        <v>0</v>
      </c>
      <c r="R1318" s="757"/>
      <c r="S1318" s="755"/>
      <c r="T1318" s="277"/>
      <c r="U1318" s="758" t="str">
        <f t="shared" si="261"/>
        <v/>
      </c>
      <c r="V1318" s="758" t="str">
        <f t="shared" si="262"/>
        <v>1900</v>
      </c>
      <c r="W1318" s="759"/>
      <c r="X1318" s="771"/>
      <c r="Y1318" s="977"/>
      <c r="Z1318" s="758"/>
      <c r="AA1318" s="758" t="str">
        <f t="shared" si="264"/>
        <v/>
      </c>
      <c r="AB1318" s="758" t="str">
        <f t="shared" si="265"/>
        <v/>
      </c>
      <c r="AC1318" s="758" t="str">
        <f t="shared" si="266"/>
        <v/>
      </c>
      <c r="AD1318" s="758" t="str">
        <f t="shared" si="267"/>
        <v>0</v>
      </c>
      <c r="AE1318" s="760"/>
      <c r="AF1318" s="760"/>
      <c r="AG1318" s="443"/>
      <c r="AH1318" s="443"/>
    </row>
    <row r="1319" spans="1:34">
      <c r="A1319" s="728">
        <f t="shared" si="263"/>
        <v>1312</v>
      </c>
      <c r="B1319" s="77"/>
      <c r="C1319" s="747"/>
      <c r="D1319" s="763" t="str">
        <f t="shared" si="241"/>
        <v>January</v>
      </c>
      <c r="E1319" s="763">
        <f t="shared" si="242"/>
        <v>0</v>
      </c>
      <c r="F1319" s="762">
        <f t="shared" si="243"/>
        <v>1900</v>
      </c>
      <c r="G1319" s="747"/>
      <c r="H1319" s="882"/>
      <c r="I1319" s="756"/>
      <c r="J1319" s="756"/>
      <c r="K1319" s="778">
        <f t="shared" si="244"/>
        <v>0</v>
      </c>
      <c r="L1319" s="976"/>
      <c r="M1319" s="736">
        <f t="shared" si="245"/>
        <v>0</v>
      </c>
      <c r="N1319" s="754"/>
      <c r="O1319" s="738">
        <f t="shared" si="246"/>
        <v>0</v>
      </c>
      <c r="P1319" s="757"/>
      <c r="Q1319" s="739">
        <f t="shared" si="247"/>
        <v>0</v>
      </c>
      <c r="R1319" s="757"/>
      <c r="S1319" s="755"/>
      <c r="T1319" s="277"/>
      <c r="U1319" s="758" t="str">
        <f t="shared" si="261"/>
        <v/>
      </c>
      <c r="V1319" s="758" t="str">
        <f t="shared" si="262"/>
        <v>1900</v>
      </c>
      <c r="W1319" s="759"/>
      <c r="X1319" s="771"/>
      <c r="Y1319" s="977"/>
      <c r="Z1319" s="758"/>
      <c r="AA1319" s="758" t="str">
        <f t="shared" si="264"/>
        <v/>
      </c>
      <c r="AB1319" s="758" t="str">
        <f t="shared" si="265"/>
        <v/>
      </c>
      <c r="AC1319" s="758" t="str">
        <f t="shared" si="266"/>
        <v/>
      </c>
      <c r="AD1319" s="758" t="str">
        <f t="shared" si="267"/>
        <v>0</v>
      </c>
      <c r="AE1319" s="760"/>
      <c r="AF1319" s="760"/>
      <c r="AG1319" s="443"/>
      <c r="AH1319" s="443"/>
    </row>
    <row r="1320" spans="1:34">
      <c r="A1320" s="728">
        <f t="shared" si="263"/>
        <v>1313</v>
      </c>
      <c r="B1320" s="77"/>
      <c r="C1320" s="747"/>
      <c r="D1320" s="763" t="str">
        <f t="shared" si="241"/>
        <v>January</v>
      </c>
      <c r="E1320" s="763">
        <f t="shared" si="242"/>
        <v>0</v>
      </c>
      <c r="F1320" s="762">
        <f t="shared" si="243"/>
        <v>1900</v>
      </c>
      <c r="G1320" s="747"/>
      <c r="H1320" s="882"/>
      <c r="I1320" s="756"/>
      <c r="J1320" s="756"/>
      <c r="K1320" s="778">
        <f t="shared" si="244"/>
        <v>0</v>
      </c>
      <c r="L1320" s="976"/>
      <c r="M1320" s="736">
        <f t="shared" si="245"/>
        <v>0</v>
      </c>
      <c r="N1320" s="754"/>
      <c r="O1320" s="738">
        <f t="shared" si="246"/>
        <v>0</v>
      </c>
      <c r="P1320" s="757"/>
      <c r="Q1320" s="739">
        <f t="shared" si="247"/>
        <v>0</v>
      </c>
      <c r="R1320" s="757"/>
      <c r="S1320" s="755"/>
      <c r="T1320" s="277"/>
      <c r="U1320" s="758" t="str">
        <f t="shared" si="261"/>
        <v/>
      </c>
      <c r="V1320" s="758" t="str">
        <f t="shared" si="262"/>
        <v>1900</v>
      </c>
      <c r="W1320" s="759"/>
      <c r="X1320" s="771"/>
      <c r="Y1320" s="977"/>
      <c r="Z1320" s="758"/>
      <c r="AA1320" s="758" t="str">
        <f t="shared" si="264"/>
        <v/>
      </c>
      <c r="AB1320" s="758" t="str">
        <f t="shared" si="265"/>
        <v/>
      </c>
      <c r="AC1320" s="758" t="str">
        <f t="shared" si="266"/>
        <v/>
      </c>
      <c r="AD1320" s="758" t="str">
        <f t="shared" si="267"/>
        <v>0</v>
      </c>
      <c r="AE1320" s="760"/>
      <c r="AF1320" s="760"/>
      <c r="AG1320" s="443"/>
      <c r="AH1320" s="443"/>
    </row>
    <row r="1321" spans="1:34">
      <c r="A1321" s="728">
        <f t="shared" si="263"/>
        <v>1314</v>
      </c>
      <c r="B1321" s="77"/>
      <c r="C1321" s="747"/>
      <c r="D1321" s="763" t="str">
        <f t="shared" si="241"/>
        <v>January</v>
      </c>
      <c r="E1321" s="763">
        <f t="shared" si="242"/>
        <v>0</v>
      </c>
      <c r="F1321" s="762">
        <f t="shared" si="243"/>
        <v>1900</v>
      </c>
      <c r="G1321" s="747"/>
      <c r="H1321" s="882"/>
      <c r="I1321" s="756"/>
      <c r="J1321" s="756"/>
      <c r="K1321" s="778">
        <f t="shared" si="244"/>
        <v>0</v>
      </c>
      <c r="L1321" s="976"/>
      <c r="M1321" s="736">
        <f t="shared" si="245"/>
        <v>0</v>
      </c>
      <c r="N1321" s="754"/>
      <c r="O1321" s="738">
        <f t="shared" si="246"/>
        <v>0</v>
      </c>
      <c r="P1321" s="757"/>
      <c r="Q1321" s="739">
        <f t="shared" si="247"/>
        <v>0</v>
      </c>
      <c r="R1321" s="757"/>
      <c r="S1321" s="755"/>
      <c r="T1321" s="277"/>
      <c r="U1321" s="758" t="str">
        <f t="shared" si="261"/>
        <v/>
      </c>
      <c r="V1321" s="758" t="str">
        <f t="shared" si="262"/>
        <v>1900</v>
      </c>
      <c r="W1321" s="759"/>
      <c r="X1321" s="771"/>
      <c r="Y1321" s="977"/>
      <c r="Z1321" s="758"/>
      <c r="AA1321" s="758" t="str">
        <f t="shared" si="264"/>
        <v/>
      </c>
      <c r="AB1321" s="758" t="str">
        <f t="shared" si="265"/>
        <v/>
      </c>
      <c r="AC1321" s="758" t="str">
        <f t="shared" si="266"/>
        <v/>
      </c>
      <c r="AD1321" s="758" t="str">
        <f t="shared" si="267"/>
        <v>0</v>
      </c>
      <c r="AE1321" s="760"/>
      <c r="AF1321" s="760"/>
      <c r="AG1321" s="443"/>
      <c r="AH1321" s="443"/>
    </row>
    <row r="1322" spans="1:34">
      <c r="A1322" s="728">
        <f t="shared" si="263"/>
        <v>1315</v>
      </c>
      <c r="B1322" s="77"/>
      <c r="C1322" s="747"/>
      <c r="D1322" s="763" t="str">
        <f t="shared" si="241"/>
        <v>January</v>
      </c>
      <c r="E1322" s="763">
        <f t="shared" si="242"/>
        <v>0</v>
      </c>
      <c r="F1322" s="762">
        <f t="shared" si="243"/>
        <v>1900</v>
      </c>
      <c r="G1322" s="747"/>
      <c r="H1322" s="882"/>
      <c r="I1322" s="756"/>
      <c r="J1322" s="756"/>
      <c r="K1322" s="778">
        <f t="shared" si="244"/>
        <v>0</v>
      </c>
      <c r="L1322" s="976"/>
      <c r="M1322" s="736">
        <f t="shared" si="245"/>
        <v>0</v>
      </c>
      <c r="N1322" s="754"/>
      <c r="O1322" s="738">
        <f t="shared" si="246"/>
        <v>0</v>
      </c>
      <c r="P1322" s="757"/>
      <c r="Q1322" s="739">
        <f t="shared" si="247"/>
        <v>0</v>
      </c>
      <c r="R1322" s="757"/>
      <c r="S1322" s="755"/>
      <c r="T1322" s="277"/>
      <c r="U1322" s="758" t="str">
        <f t="shared" si="261"/>
        <v/>
      </c>
      <c r="V1322" s="758" t="str">
        <f t="shared" si="262"/>
        <v>1900</v>
      </c>
      <c r="W1322" s="759"/>
      <c r="X1322" s="771"/>
      <c r="Y1322" s="977"/>
      <c r="Z1322" s="758"/>
      <c r="AA1322" s="758" t="str">
        <f t="shared" si="264"/>
        <v/>
      </c>
      <c r="AB1322" s="758" t="str">
        <f t="shared" si="265"/>
        <v/>
      </c>
      <c r="AC1322" s="758" t="str">
        <f t="shared" si="266"/>
        <v/>
      </c>
      <c r="AD1322" s="758" t="str">
        <f t="shared" si="267"/>
        <v>0</v>
      </c>
      <c r="AE1322" s="760"/>
      <c r="AF1322" s="760"/>
      <c r="AG1322" s="443"/>
      <c r="AH1322" s="443"/>
    </row>
    <row r="1323" spans="1:34">
      <c r="A1323" s="728">
        <f t="shared" si="263"/>
        <v>1316</v>
      </c>
      <c r="B1323" s="77"/>
      <c r="C1323" s="747"/>
      <c r="D1323" s="763" t="str">
        <f t="shared" si="241"/>
        <v>January</v>
      </c>
      <c r="E1323" s="763">
        <f t="shared" si="242"/>
        <v>0</v>
      </c>
      <c r="F1323" s="762">
        <f t="shared" si="243"/>
        <v>1900</v>
      </c>
      <c r="G1323" s="747"/>
      <c r="H1323" s="882"/>
      <c r="I1323" s="756"/>
      <c r="J1323" s="756"/>
      <c r="K1323" s="778">
        <f t="shared" si="244"/>
        <v>0</v>
      </c>
      <c r="L1323" s="976"/>
      <c r="M1323" s="736">
        <f t="shared" si="245"/>
        <v>0</v>
      </c>
      <c r="N1323" s="754"/>
      <c r="O1323" s="738">
        <f t="shared" si="246"/>
        <v>0</v>
      </c>
      <c r="P1323" s="757"/>
      <c r="Q1323" s="739">
        <f t="shared" si="247"/>
        <v>0</v>
      </c>
      <c r="R1323" s="757"/>
      <c r="S1323" s="755"/>
      <c r="T1323" s="277"/>
      <c r="U1323" s="758" t="str">
        <f t="shared" si="261"/>
        <v/>
      </c>
      <c r="V1323" s="758" t="str">
        <f t="shared" si="262"/>
        <v>1900</v>
      </c>
      <c r="W1323" s="759"/>
      <c r="X1323" s="771"/>
      <c r="Y1323" s="977"/>
      <c r="Z1323" s="758"/>
      <c r="AA1323" s="758" t="str">
        <f t="shared" si="264"/>
        <v/>
      </c>
      <c r="AB1323" s="758" t="str">
        <f t="shared" si="265"/>
        <v/>
      </c>
      <c r="AC1323" s="758" t="str">
        <f t="shared" si="266"/>
        <v/>
      </c>
      <c r="AD1323" s="758" t="str">
        <f t="shared" si="267"/>
        <v>0</v>
      </c>
      <c r="AE1323" s="760"/>
      <c r="AF1323" s="760"/>
      <c r="AG1323" s="443"/>
      <c r="AH1323" s="443"/>
    </row>
    <row r="1324" spans="1:34">
      <c r="A1324" s="728">
        <f t="shared" si="263"/>
        <v>1317</v>
      </c>
      <c r="B1324" s="77"/>
      <c r="C1324" s="747"/>
      <c r="D1324" s="763" t="str">
        <f t="shared" si="241"/>
        <v>January</v>
      </c>
      <c r="E1324" s="763">
        <f t="shared" si="242"/>
        <v>0</v>
      </c>
      <c r="F1324" s="762">
        <f t="shared" si="243"/>
        <v>1900</v>
      </c>
      <c r="G1324" s="747"/>
      <c r="H1324" s="882"/>
      <c r="I1324" s="756"/>
      <c r="J1324" s="756"/>
      <c r="K1324" s="778">
        <f t="shared" si="244"/>
        <v>0</v>
      </c>
      <c r="L1324" s="976"/>
      <c r="M1324" s="736">
        <f t="shared" si="245"/>
        <v>0</v>
      </c>
      <c r="N1324" s="754"/>
      <c r="O1324" s="738">
        <f t="shared" si="246"/>
        <v>0</v>
      </c>
      <c r="P1324" s="757"/>
      <c r="Q1324" s="739">
        <f t="shared" si="247"/>
        <v>0</v>
      </c>
      <c r="R1324" s="757"/>
      <c r="S1324" s="755"/>
      <c r="T1324" s="277"/>
      <c r="U1324" s="758" t="str">
        <f t="shared" si="261"/>
        <v/>
      </c>
      <c r="V1324" s="758" t="str">
        <f t="shared" si="262"/>
        <v>1900</v>
      </c>
      <c r="W1324" s="759"/>
      <c r="X1324" s="771"/>
      <c r="Y1324" s="977"/>
      <c r="Z1324" s="758"/>
      <c r="AA1324" s="758" t="str">
        <f t="shared" si="264"/>
        <v/>
      </c>
      <c r="AB1324" s="758" t="str">
        <f t="shared" si="265"/>
        <v/>
      </c>
      <c r="AC1324" s="758" t="str">
        <f t="shared" si="266"/>
        <v/>
      </c>
      <c r="AD1324" s="758" t="str">
        <f t="shared" si="267"/>
        <v>0</v>
      </c>
      <c r="AE1324" s="760"/>
      <c r="AF1324" s="760"/>
      <c r="AG1324" s="443"/>
      <c r="AH1324" s="443"/>
    </row>
    <row r="1325" spans="1:34">
      <c r="A1325" s="728">
        <f t="shared" si="263"/>
        <v>1318</v>
      </c>
      <c r="B1325" s="77"/>
      <c r="C1325" s="747"/>
      <c r="D1325" s="763" t="str">
        <f t="shared" si="241"/>
        <v>January</v>
      </c>
      <c r="E1325" s="763">
        <f t="shared" si="242"/>
        <v>0</v>
      </c>
      <c r="F1325" s="762">
        <f t="shared" si="243"/>
        <v>1900</v>
      </c>
      <c r="G1325" s="747"/>
      <c r="H1325" s="882"/>
      <c r="I1325" s="756"/>
      <c r="J1325" s="756"/>
      <c r="K1325" s="778">
        <f t="shared" si="244"/>
        <v>0</v>
      </c>
      <c r="L1325" s="976"/>
      <c r="M1325" s="736">
        <f t="shared" si="245"/>
        <v>0</v>
      </c>
      <c r="N1325" s="754"/>
      <c r="O1325" s="738">
        <f t="shared" si="246"/>
        <v>0</v>
      </c>
      <c r="P1325" s="757"/>
      <c r="Q1325" s="739">
        <f t="shared" si="247"/>
        <v>0</v>
      </c>
      <c r="R1325" s="757"/>
      <c r="S1325" s="755"/>
      <c r="T1325" s="277"/>
      <c r="U1325" s="758" t="str">
        <f t="shared" si="261"/>
        <v/>
      </c>
      <c r="V1325" s="758" t="str">
        <f t="shared" si="262"/>
        <v>1900</v>
      </c>
      <c r="W1325" s="759"/>
      <c r="X1325" s="771"/>
      <c r="Y1325" s="977"/>
      <c r="Z1325" s="758"/>
      <c r="AA1325" s="758" t="str">
        <f t="shared" si="264"/>
        <v/>
      </c>
      <c r="AB1325" s="758" t="str">
        <f t="shared" si="265"/>
        <v/>
      </c>
      <c r="AC1325" s="758" t="str">
        <f t="shared" si="266"/>
        <v/>
      </c>
      <c r="AD1325" s="758" t="str">
        <f t="shared" si="267"/>
        <v>0</v>
      </c>
      <c r="AE1325" s="760"/>
      <c r="AF1325" s="760"/>
      <c r="AG1325" s="443"/>
      <c r="AH1325" s="443"/>
    </row>
    <row r="1326" spans="1:34">
      <c r="A1326" s="728">
        <f t="shared" si="263"/>
        <v>1319</v>
      </c>
      <c r="B1326" s="77"/>
      <c r="C1326" s="747"/>
      <c r="D1326" s="763" t="str">
        <f t="shared" si="241"/>
        <v>January</v>
      </c>
      <c r="E1326" s="763">
        <f t="shared" si="242"/>
        <v>0</v>
      </c>
      <c r="F1326" s="762">
        <f t="shared" si="243"/>
        <v>1900</v>
      </c>
      <c r="G1326" s="747"/>
      <c r="H1326" s="882"/>
      <c r="I1326" s="756"/>
      <c r="J1326" s="756"/>
      <c r="K1326" s="778">
        <f t="shared" si="244"/>
        <v>0</v>
      </c>
      <c r="L1326" s="976"/>
      <c r="M1326" s="736">
        <f t="shared" si="245"/>
        <v>0</v>
      </c>
      <c r="N1326" s="754"/>
      <c r="O1326" s="738">
        <f t="shared" si="246"/>
        <v>0</v>
      </c>
      <c r="P1326" s="757"/>
      <c r="Q1326" s="739">
        <f t="shared" si="247"/>
        <v>0</v>
      </c>
      <c r="R1326" s="757"/>
      <c r="S1326" s="755"/>
      <c r="T1326" s="277"/>
      <c r="U1326" s="758" t="str">
        <f t="shared" si="261"/>
        <v/>
      </c>
      <c r="V1326" s="758" t="str">
        <f t="shared" si="262"/>
        <v>1900</v>
      </c>
      <c r="W1326" s="759"/>
      <c r="X1326" s="771"/>
      <c r="Y1326" s="977"/>
      <c r="Z1326" s="758"/>
      <c r="AA1326" s="758" t="str">
        <f t="shared" si="264"/>
        <v/>
      </c>
      <c r="AB1326" s="758" t="str">
        <f t="shared" si="265"/>
        <v/>
      </c>
      <c r="AC1326" s="758" t="str">
        <f t="shared" si="266"/>
        <v/>
      </c>
      <c r="AD1326" s="758" t="str">
        <f t="shared" si="267"/>
        <v>0</v>
      </c>
      <c r="AE1326" s="760"/>
      <c r="AF1326" s="760"/>
      <c r="AG1326" s="443"/>
      <c r="AH1326" s="443"/>
    </row>
    <row r="1327" spans="1:34">
      <c r="A1327" s="728">
        <f t="shared" si="263"/>
        <v>1320</v>
      </c>
      <c r="B1327" s="77"/>
      <c r="C1327" s="747"/>
      <c r="D1327" s="763" t="str">
        <f t="shared" si="241"/>
        <v>January</v>
      </c>
      <c r="E1327" s="763">
        <f t="shared" si="242"/>
        <v>0</v>
      </c>
      <c r="F1327" s="762">
        <f t="shared" si="243"/>
        <v>1900</v>
      </c>
      <c r="G1327" s="747"/>
      <c r="H1327" s="882"/>
      <c r="I1327" s="756"/>
      <c r="J1327" s="756"/>
      <c r="K1327" s="778">
        <f t="shared" si="244"/>
        <v>0</v>
      </c>
      <c r="L1327" s="976"/>
      <c r="M1327" s="736">
        <f t="shared" si="245"/>
        <v>0</v>
      </c>
      <c r="N1327" s="754"/>
      <c r="O1327" s="738">
        <f t="shared" si="246"/>
        <v>0</v>
      </c>
      <c r="P1327" s="757"/>
      <c r="Q1327" s="739">
        <f t="shared" si="247"/>
        <v>0</v>
      </c>
      <c r="R1327" s="757"/>
      <c r="S1327" s="755"/>
      <c r="T1327" s="277"/>
      <c r="U1327" s="758" t="str">
        <f t="shared" si="261"/>
        <v/>
      </c>
      <c r="V1327" s="758" t="str">
        <f t="shared" si="262"/>
        <v>1900</v>
      </c>
      <c r="W1327" s="759"/>
      <c r="X1327" s="771"/>
      <c r="Y1327" s="977"/>
      <c r="Z1327" s="758"/>
      <c r="AA1327" s="758" t="str">
        <f t="shared" si="264"/>
        <v/>
      </c>
      <c r="AB1327" s="758" t="str">
        <f t="shared" si="265"/>
        <v/>
      </c>
      <c r="AC1327" s="758" t="str">
        <f t="shared" si="266"/>
        <v/>
      </c>
      <c r="AD1327" s="758" t="str">
        <f t="shared" si="267"/>
        <v>0</v>
      </c>
      <c r="AE1327" s="760"/>
      <c r="AF1327" s="760"/>
      <c r="AG1327" s="443"/>
      <c r="AH1327" s="443"/>
    </row>
    <row r="1328" spans="1:34">
      <c r="A1328" s="728">
        <f t="shared" si="263"/>
        <v>1321</v>
      </c>
      <c r="B1328" s="77"/>
      <c r="C1328" s="747"/>
      <c r="D1328" s="763" t="str">
        <f t="shared" si="241"/>
        <v>January</v>
      </c>
      <c r="E1328" s="763">
        <f t="shared" si="242"/>
        <v>0</v>
      </c>
      <c r="F1328" s="762">
        <f t="shared" si="243"/>
        <v>1900</v>
      </c>
      <c r="G1328" s="747"/>
      <c r="H1328" s="882"/>
      <c r="I1328" s="756"/>
      <c r="J1328" s="756"/>
      <c r="K1328" s="778">
        <f t="shared" si="244"/>
        <v>0</v>
      </c>
      <c r="L1328" s="976"/>
      <c r="M1328" s="736">
        <f t="shared" si="245"/>
        <v>0</v>
      </c>
      <c r="N1328" s="754"/>
      <c r="O1328" s="738">
        <f t="shared" si="246"/>
        <v>0</v>
      </c>
      <c r="P1328" s="757"/>
      <c r="Q1328" s="739">
        <f t="shared" si="247"/>
        <v>0</v>
      </c>
      <c r="R1328" s="757"/>
      <c r="S1328" s="755"/>
      <c r="T1328" s="277"/>
      <c r="U1328" s="758" t="str">
        <f t="shared" si="261"/>
        <v/>
      </c>
      <c r="V1328" s="758" t="str">
        <f t="shared" si="262"/>
        <v>1900</v>
      </c>
      <c r="W1328" s="759"/>
      <c r="X1328" s="771"/>
      <c r="Y1328" s="977"/>
      <c r="Z1328" s="758"/>
      <c r="AA1328" s="758" t="str">
        <f t="shared" si="264"/>
        <v/>
      </c>
      <c r="AB1328" s="758" t="str">
        <f t="shared" si="265"/>
        <v/>
      </c>
      <c r="AC1328" s="758" t="str">
        <f t="shared" si="266"/>
        <v/>
      </c>
      <c r="AD1328" s="758" t="str">
        <f t="shared" si="267"/>
        <v>0</v>
      </c>
      <c r="AE1328" s="760"/>
      <c r="AF1328" s="760"/>
      <c r="AG1328" s="443"/>
      <c r="AH1328" s="443"/>
    </row>
    <row r="1329" spans="1:34">
      <c r="A1329" s="728">
        <f t="shared" si="263"/>
        <v>1322</v>
      </c>
      <c r="B1329" s="77"/>
      <c r="C1329" s="747"/>
      <c r="D1329" s="763" t="str">
        <f t="shared" si="241"/>
        <v>January</v>
      </c>
      <c r="E1329" s="763">
        <f t="shared" si="242"/>
        <v>0</v>
      </c>
      <c r="F1329" s="762">
        <f t="shared" si="243"/>
        <v>1900</v>
      </c>
      <c r="G1329" s="747"/>
      <c r="H1329" s="882"/>
      <c r="I1329" s="756"/>
      <c r="J1329" s="756"/>
      <c r="K1329" s="778">
        <f t="shared" si="244"/>
        <v>0</v>
      </c>
      <c r="L1329" s="976"/>
      <c r="M1329" s="736">
        <f t="shared" si="245"/>
        <v>0</v>
      </c>
      <c r="N1329" s="754"/>
      <c r="O1329" s="738">
        <f t="shared" si="246"/>
        <v>0</v>
      </c>
      <c r="P1329" s="757"/>
      <c r="Q1329" s="739">
        <f t="shared" si="247"/>
        <v>0</v>
      </c>
      <c r="R1329" s="757"/>
      <c r="S1329" s="755"/>
      <c r="T1329" s="277"/>
      <c r="U1329" s="758" t="str">
        <f t="shared" si="261"/>
        <v/>
      </c>
      <c r="V1329" s="758" t="str">
        <f t="shared" si="262"/>
        <v>1900</v>
      </c>
      <c r="W1329" s="759"/>
      <c r="X1329" s="771"/>
      <c r="Y1329" s="977"/>
      <c r="Z1329" s="758"/>
      <c r="AA1329" s="758" t="str">
        <f t="shared" si="264"/>
        <v/>
      </c>
      <c r="AB1329" s="758" t="str">
        <f t="shared" si="265"/>
        <v/>
      </c>
      <c r="AC1329" s="758" t="str">
        <f t="shared" si="266"/>
        <v/>
      </c>
      <c r="AD1329" s="758" t="str">
        <f t="shared" si="267"/>
        <v>0</v>
      </c>
      <c r="AE1329" s="760"/>
      <c r="AF1329" s="760"/>
      <c r="AG1329" s="443"/>
      <c r="AH1329" s="443"/>
    </row>
    <row r="1330" spans="1:34">
      <c r="A1330" s="728">
        <f t="shared" si="263"/>
        <v>1323</v>
      </c>
      <c r="B1330" s="77"/>
      <c r="C1330" s="747"/>
      <c r="D1330" s="763" t="str">
        <f t="shared" si="241"/>
        <v>January</v>
      </c>
      <c r="E1330" s="763">
        <f t="shared" si="242"/>
        <v>0</v>
      </c>
      <c r="F1330" s="762">
        <f t="shared" si="243"/>
        <v>1900</v>
      </c>
      <c r="G1330" s="747"/>
      <c r="H1330" s="882"/>
      <c r="I1330" s="756"/>
      <c r="J1330" s="756"/>
      <c r="K1330" s="778">
        <f t="shared" si="244"/>
        <v>0</v>
      </c>
      <c r="L1330" s="976"/>
      <c r="M1330" s="736">
        <f t="shared" si="245"/>
        <v>0</v>
      </c>
      <c r="N1330" s="754"/>
      <c r="O1330" s="738">
        <f t="shared" si="246"/>
        <v>0</v>
      </c>
      <c r="P1330" s="757"/>
      <c r="Q1330" s="739">
        <f t="shared" si="247"/>
        <v>0</v>
      </c>
      <c r="R1330" s="757"/>
      <c r="S1330" s="755"/>
      <c r="T1330" s="277"/>
      <c r="U1330" s="758" t="str">
        <f t="shared" si="261"/>
        <v/>
      </c>
      <c r="V1330" s="758" t="str">
        <f t="shared" si="262"/>
        <v>1900</v>
      </c>
      <c r="W1330" s="759"/>
      <c r="X1330" s="771"/>
      <c r="Y1330" s="977"/>
      <c r="Z1330" s="758"/>
      <c r="AA1330" s="758" t="str">
        <f t="shared" si="264"/>
        <v/>
      </c>
      <c r="AB1330" s="758" t="str">
        <f t="shared" si="265"/>
        <v/>
      </c>
      <c r="AC1330" s="758" t="str">
        <f t="shared" si="266"/>
        <v/>
      </c>
      <c r="AD1330" s="758" t="str">
        <f t="shared" si="267"/>
        <v>0</v>
      </c>
      <c r="AE1330" s="760"/>
      <c r="AF1330" s="760"/>
      <c r="AG1330" s="443"/>
      <c r="AH1330" s="443"/>
    </row>
    <row r="1331" spans="1:34">
      <c r="A1331" s="728">
        <f t="shared" si="263"/>
        <v>1324</v>
      </c>
      <c r="B1331" s="77"/>
      <c r="C1331" s="747"/>
      <c r="D1331" s="763" t="str">
        <f t="shared" si="241"/>
        <v>January</v>
      </c>
      <c r="E1331" s="763">
        <f t="shared" si="242"/>
        <v>0</v>
      </c>
      <c r="F1331" s="762">
        <f t="shared" si="243"/>
        <v>1900</v>
      </c>
      <c r="G1331" s="747"/>
      <c r="H1331" s="882"/>
      <c r="I1331" s="756"/>
      <c r="J1331" s="756"/>
      <c r="K1331" s="778">
        <f t="shared" si="244"/>
        <v>0</v>
      </c>
      <c r="L1331" s="976"/>
      <c r="M1331" s="736">
        <f t="shared" si="245"/>
        <v>0</v>
      </c>
      <c r="N1331" s="754"/>
      <c r="O1331" s="738">
        <f t="shared" si="246"/>
        <v>0</v>
      </c>
      <c r="P1331" s="757"/>
      <c r="Q1331" s="739">
        <f t="shared" si="247"/>
        <v>0</v>
      </c>
      <c r="R1331" s="757"/>
      <c r="S1331" s="755"/>
      <c r="T1331" s="277"/>
      <c r="U1331" s="758" t="str">
        <f t="shared" si="261"/>
        <v/>
      </c>
      <c r="V1331" s="758" t="str">
        <f t="shared" si="262"/>
        <v>1900</v>
      </c>
      <c r="W1331" s="759"/>
      <c r="X1331" s="771"/>
      <c r="Y1331" s="977"/>
      <c r="Z1331" s="758"/>
      <c r="AA1331" s="758" t="str">
        <f t="shared" si="264"/>
        <v/>
      </c>
      <c r="AB1331" s="758" t="str">
        <f t="shared" si="265"/>
        <v/>
      </c>
      <c r="AC1331" s="758" t="str">
        <f t="shared" si="266"/>
        <v/>
      </c>
      <c r="AD1331" s="758" t="str">
        <f t="shared" si="267"/>
        <v>0</v>
      </c>
      <c r="AE1331" s="760"/>
      <c r="AF1331" s="760"/>
      <c r="AG1331" s="443"/>
      <c r="AH1331" s="443"/>
    </row>
    <row r="1332" spans="1:34">
      <c r="A1332" s="728">
        <f t="shared" si="263"/>
        <v>1325</v>
      </c>
      <c r="B1332" s="77"/>
      <c r="C1332" s="747"/>
      <c r="D1332" s="763" t="str">
        <f t="shared" si="241"/>
        <v>January</v>
      </c>
      <c r="E1332" s="763">
        <f t="shared" si="242"/>
        <v>0</v>
      </c>
      <c r="F1332" s="762">
        <f t="shared" si="243"/>
        <v>1900</v>
      </c>
      <c r="G1332" s="747"/>
      <c r="H1332" s="882"/>
      <c r="I1332" s="756"/>
      <c r="J1332" s="756"/>
      <c r="K1332" s="778">
        <f t="shared" si="244"/>
        <v>0</v>
      </c>
      <c r="L1332" s="976"/>
      <c r="M1332" s="736">
        <f t="shared" si="245"/>
        <v>0</v>
      </c>
      <c r="N1332" s="754"/>
      <c r="O1332" s="738">
        <f t="shared" si="246"/>
        <v>0</v>
      </c>
      <c r="P1332" s="757"/>
      <c r="Q1332" s="739">
        <f t="shared" si="247"/>
        <v>0</v>
      </c>
      <c r="R1332" s="757"/>
      <c r="S1332" s="755"/>
      <c r="T1332" s="277"/>
      <c r="U1332" s="758" t="str">
        <f t="shared" si="261"/>
        <v/>
      </c>
      <c r="V1332" s="758" t="str">
        <f t="shared" si="262"/>
        <v>1900</v>
      </c>
      <c r="W1332" s="759"/>
      <c r="X1332" s="771"/>
      <c r="Y1332" s="977"/>
      <c r="Z1332" s="758"/>
      <c r="AA1332" s="758" t="str">
        <f t="shared" si="264"/>
        <v/>
      </c>
      <c r="AB1332" s="758" t="str">
        <f t="shared" si="265"/>
        <v/>
      </c>
      <c r="AC1332" s="758" t="str">
        <f t="shared" si="266"/>
        <v/>
      </c>
      <c r="AD1332" s="758" t="str">
        <f t="shared" si="267"/>
        <v>0</v>
      </c>
      <c r="AE1332" s="760"/>
      <c r="AF1332" s="760"/>
      <c r="AG1332" s="443"/>
      <c r="AH1332" s="443"/>
    </row>
    <row r="1333" spans="1:34">
      <c r="A1333" s="728">
        <f t="shared" si="263"/>
        <v>1326</v>
      </c>
      <c r="B1333" s="77"/>
      <c r="C1333" s="747"/>
      <c r="D1333" s="763" t="str">
        <f t="shared" si="241"/>
        <v>January</v>
      </c>
      <c r="E1333" s="763">
        <f t="shared" si="242"/>
        <v>0</v>
      </c>
      <c r="F1333" s="762">
        <f t="shared" si="243"/>
        <v>1900</v>
      </c>
      <c r="G1333" s="747"/>
      <c r="H1333" s="882"/>
      <c r="I1333" s="756"/>
      <c r="J1333" s="756"/>
      <c r="K1333" s="778">
        <f t="shared" si="244"/>
        <v>0</v>
      </c>
      <c r="L1333" s="976"/>
      <c r="M1333" s="736">
        <f t="shared" si="245"/>
        <v>0</v>
      </c>
      <c r="N1333" s="754"/>
      <c r="O1333" s="738">
        <f t="shared" si="246"/>
        <v>0</v>
      </c>
      <c r="P1333" s="757"/>
      <c r="Q1333" s="739">
        <f t="shared" si="247"/>
        <v>0</v>
      </c>
      <c r="R1333" s="757"/>
      <c r="S1333" s="755"/>
      <c r="T1333" s="277"/>
      <c r="U1333" s="758" t="str">
        <f t="shared" si="261"/>
        <v/>
      </c>
      <c r="V1333" s="758" t="str">
        <f t="shared" si="262"/>
        <v>1900</v>
      </c>
      <c r="W1333" s="759"/>
      <c r="X1333" s="771"/>
      <c r="Y1333" s="977"/>
      <c r="Z1333" s="758"/>
      <c r="AA1333" s="758" t="str">
        <f t="shared" si="264"/>
        <v/>
      </c>
      <c r="AB1333" s="758" t="str">
        <f t="shared" si="265"/>
        <v/>
      </c>
      <c r="AC1333" s="758" t="str">
        <f t="shared" si="266"/>
        <v/>
      </c>
      <c r="AD1333" s="758" t="str">
        <f t="shared" si="267"/>
        <v>0</v>
      </c>
      <c r="AE1333" s="760"/>
      <c r="AF1333" s="760"/>
      <c r="AG1333" s="443"/>
      <c r="AH1333" s="443"/>
    </row>
    <row r="1334" spans="1:34">
      <c r="A1334" s="728">
        <f t="shared" si="263"/>
        <v>1327</v>
      </c>
      <c r="B1334" s="77"/>
      <c r="C1334" s="747"/>
      <c r="D1334" s="763" t="str">
        <f t="shared" si="241"/>
        <v>January</v>
      </c>
      <c r="E1334" s="763">
        <f t="shared" si="242"/>
        <v>0</v>
      </c>
      <c r="F1334" s="762">
        <f t="shared" si="243"/>
        <v>1900</v>
      </c>
      <c r="G1334" s="747"/>
      <c r="H1334" s="882"/>
      <c r="I1334" s="756"/>
      <c r="J1334" s="756"/>
      <c r="K1334" s="778">
        <f t="shared" si="244"/>
        <v>0</v>
      </c>
      <c r="L1334" s="976"/>
      <c r="M1334" s="736">
        <f t="shared" si="245"/>
        <v>0</v>
      </c>
      <c r="N1334" s="754"/>
      <c r="O1334" s="738">
        <f t="shared" si="246"/>
        <v>0</v>
      </c>
      <c r="P1334" s="757"/>
      <c r="Q1334" s="739">
        <f t="shared" si="247"/>
        <v>0</v>
      </c>
      <c r="R1334" s="757"/>
      <c r="S1334" s="755"/>
      <c r="T1334" s="277"/>
      <c r="U1334" s="758" t="str">
        <f t="shared" si="261"/>
        <v/>
      </c>
      <c r="V1334" s="758" t="str">
        <f t="shared" si="262"/>
        <v>1900</v>
      </c>
      <c r="W1334" s="759"/>
      <c r="X1334" s="771"/>
      <c r="Y1334" s="977"/>
      <c r="Z1334" s="758"/>
      <c r="AA1334" s="758" t="str">
        <f t="shared" si="264"/>
        <v/>
      </c>
      <c r="AB1334" s="758" t="str">
        <f t="shared" si="265"/>
        <v/>
      </c>
      <c r="AC1334" s="758" t="str">
        <f t="shared" si="266"/>
        <v/>
      </c>
      <c r="AD1334" s="758" t="str">
        <f t="shared" si="267"/>
        <v>0</v>
      </c>
      <c r="AE1334" s="760"/>
      <c r="AF1334" s="760"/>
      <c r="AG1334" s="443"/>
      <c r="AH1334" s="443"/>
    </row>
    <row r="1335" spans="1:34">
      <c r="A1335" s="728">
        <f t="shared" si="263"/>
        <v>1328</v>
      </c>
      <c r="B1335" s="77"/>
      <c r="C1335" s="747"/>
      <c r="D1335" s="763" t="str">
        <f t="shared" si="241"/>
        <v>January</v>
      </c>
      <c r="E1335" s="763">
        <f t="shared" si="242"/>
        <v>0</v>
      </c>
      <c r="F1335" s="762">
        <f t="shared" si="243"/>
        <v>1900</v>
      </c>
      <c r="G1335" s="747"/>
      <c r="H1335" s="882"/>
      <c r="I1335" s="756"/>
      <c r="J1335" s="756"/>
      <c r="K1335" s="778">
        <f t="shared" si="244"/>
        <v>0</v>
      </c>
      <c r="L1335" s="976"/>
      <c r="M1335" s="736">
        <f t="shared" si="245"/>
        <v>0</v>
      </c>
      <c r="N1335" s="754"/>
      <c r="O1335" s="738">
        <f t="shared" si="246"/>
        <v>0</v>
      </c>
      <c r="P1335" s="757"/>
      <c r="Q1335" s="739">
        <f t="shared" si="247"/>
        <v>0</v>
      </c>
      <c r="R1335" s="757"/>
      <c r="S1335" s="755"/>
      <c r="T1335" s="277"/>
      <c r="U1335" s="758" t="str">
        <f t="shared" si="261"/>
        <v/>
      </c>
      <c r="V1335" s="758" t="str">
        <f t="shared" si="262"/>
        <v>1900</v>
      </c>
      <c r="W1335" s="759"/>
      <c r="X1335" s="771"/>
      <c r="Y1335" s="977"/>
      <c r="Z1335" s="758"/>
      <c r="AA1335" s="758" t="str">
        <f t="shared" si="264"/>
        <v/>
      </c>
      <c r="AB1335" s="758" t="str">
        <f t="shared" si="265"/>
        <v/>
      </c>
      <c r="AC1335" s="758" t="str">
        <f t="shared" si="266"/>
        <v/>
      </c>
      <c r="AD1335" s="758" t="str">
        <f t="shared" si="267"/>
        <v>0</v>
      </c>
      <c r="AE1335" s="760"/>
      <c r="AF1335" s="760"/>
      <c r="AG1335" s="443"/>
      <c r="AH1335" s="443"/>
    </row>
    <row r="1336" spans="1:34">
      <c r="A1336" s="728">
        <f t="shared" si="263"/>
        <v>1329</v>
      </c>
      <c r="B1336" s="77"/>
      <c r="C1336" s="747"/>
      <c r="D1336" s="763" t="str">
        <f t="shared" si="241"/>
        <v>January</v>
      </c>
      <c r="E1336" s="763">
        <f t="shared" si="242"/>
        <v>0</v>
      </c>
      <c r="F1336" s="762">
        <f t="shared" si="243"/>
        <v>1900</v>
      </c>
      <c r="G1336" s="747"/>
      <c r="H1336" s="882"/>
      <c r="I1336" s="756"/>
      <c r="J1336" s="756"/>
      <c r="K1336" s="778">
        <f t="shared" si="244"/>
        <v>0</v>
      </c>
      <c r="L1336" s="976"/>
      <c r="M1336" s="736">
        <f t="shared" si="245"/>
        <v>0</v>
      </c>
      <c r="N1336" s="754"/>
      <c r="O1336" s="738">
        <f t="shared" si="246"/>
        <v>0</v>
      </c>
      <c r="P1336" s="757"/>
      <c r="Q1336" s="739">
        <f t="shared" si="247"/>
        <v>0</v>
      </c>
      <c r="R1336" s="757"/>
      <c r="S1336" s="755"/>
      <c r="T1336" s="277"/>
      <c r="U1336" s="758" t="str">
        <f t="shared" si="261"/>
        <v/>
      </c>
      <c r="V1336" s="758" t="str">
        <f t="shared" si="262"/>
        <v>1900</v>
      </c>
      <c r="W1336" s="759"/>
      <c r="X1336" s="771"/>
      <c r="Y1336" s="977"/>
      <c r="Z1336" s="758"/>
      <c r="AA1336" s="758" t="str">
        <f t="shared" si="264"/>
        <v/>
      </c>
      <c r="AB1336" s="758" t="str">
        <f t="shared" si="265"/>
        <v/>
      </c>
      <c r="AC1336" s="758" t="str">
        <f t="shared" si="266"/>
        <v/>
      </c>
      <c r="AD1336" s="758" t="str">
        <f t="shared" si="267"/>
        <v>0</v>
      </c>
      <c r="AE1336" s="760"/>
      <c r="AF1336" s="760"/>
      <c r="AG1336" s="443"/>
      <c r="AH1336" s="443"/>
    </row>
    <row r="1337" spans="1:34">
      <c r="A1337" s="728">
        <f t="shared" si="263"/>
        <v>1330</v>
      </c>
      <c r="B1337" s="77"/>
      <c r="C1337" s="747"/>
      <c r="D1337" s="763" t="str">
        <f t="shared" ref="D1337:D1400" si="268">TEXT(C1337,"mmmm")</f>
        <v>January</v>
      </c>
      <c r="E1337" s="763">
        <f t="shared" ref="E1337:E1400" si="269">DAY(C1337)</f>
        <v>0</v>
      </c>
      <c r="F1337" s="762">
        <f t="shared" ref="F1337:F1400" si="270">YEAR(C1337)</f>
        <v>1900</v>
      </c>
      <c r="G1337" s="747"/>
      <c r="H1337" s="882"/>
      <c r="I1337" s="756"/>
      <c r="J1337" s="756"/>
      <c r="K1337" s="778">
        <f t="shared" ref="K1337:K1400" si="271">+(I1337/1760)*J1337</f>
        <v>0</v>
      </c>
      <c r="L1337" s="976"/>
      <c r="M1337" s="736">
        <f t="shared" ref="M1337:M1400" si="272">HOUR(O1337)</f>
        <v>0</v>
      </c>
      <c r="N1337" s="754"/>
      <c r="O1337" s="738">
        <f t="shared" ref="O1337:O1400" si="273">+N1337</f>
        <v>0</v>
      </c>
      <c r="P1337" s="757"/>
      <c r="Q1337" s="739">
        <f t="shared" ref="Q1337:Q1400" si="274">+P1337-O1337</f>
        <v>0</v>
      </c>
      <c r="R1337" s="757"/>
      <c r="S1337" s="755"/>
      <c r="T1337" s="277"/>
      <c r="U1337" s="758" t="str">
        <f t="shared" si="261"/>
        <v/>
      </c>
      <c r="V1337" s="758" t="str">
        <f t="shared" si="262"/>
        <v>1900</v>
      </c>
      <c r="W1337" s="759"/>
      <c r="X1337" s="771"/>
      <c r="Y1337" s="977"/>
      <c r="Z1337" s="758"/>
      <c r="AA1337" s="758" t="str">
        <f t="shared" si="264"/>
        <v/>
      </c>
      <c r="AB1337" s="758" t="str">
        <f t="shared" si="265"/>
        <v/>
      </c>
      <c r="AC1337" s="758" t="str">
        <f t="shared" si="266"/>
        <v/>
      </c>
      <c r="AD1337" s="758" t="str">
        <f t="shared" si="267"/>
        <v>0</v>
      </c>
      <c r="AE1337" s="760"/>
      <c r="AF1337" s="760"/>
      <c r="AG1337" s="443"/>
      <c r="AH1337" s="443"/>
    </row>
    <row r="1338" spans="1:34">
      <c r="A1338" s="728">
        <f t="shared" si="263"/>
        <v>1331</v>
      </c>
      <c r="B1338" s="77"/>
      <c r="C1338" s="747"/>
      <c r="D1338" s="763" t="str">
        <f t="shared" si="268"/>
        <v>January</v>
      </c>
      <c r="E1338" s="763">
        <f t="shared" si="269"/>
        <v>0</v>
      </c>
      <c r="F1338" s="762">
        <f t="shared" si="270"/>
        <v>1900</v>
      </c>
      <c r="G1338" s="747"/>
      <c r="H1338" s="882"/>
      <c r="I1338" s="756"/>
      <c r="J1338" s="756"/>
      <c r="K1338" s="778">
        <f t="shared" si="271"/>
        <v>0</v>
      </c>
      <c r="L1338" s="976"/>
      <c r="M1338" s="736">
        <f t="shared" si="272"/>
        <v>0</v>
      </c>
      <c r="N1338" s="754"/>
      <c r="O1338" s="738">
        <f t="shared" si="273"/>
        <v>0</v>
      </c>
      <c r="P1338" s="757"/>
      <c r="Q1338" s="739">
        <f t="shared" si="274"/>
        <v>0</v>
      </c>
      <c r="R1338" s="757"/>
      <c r="S1338" s="755"/>
      <c r="T1338" s="277"/>
      <c r="U1338" s="758" t="str">
        <f t="shared" si="261"/>
        <v/>
      </c>
      <c r="V1338" s="758" t="str">
        <f t="shared" si="262"/>
        <v>1900</v>
      </c>
      <c r="W1338" s="759"/>
      <c r="X1338" s="771"/>
      <c r="Y1338" s="977"/>
      <c r="Z1338" s="758"/>
      <c r="AA1338" s="758" t="str">
        <f t="shared" si="264"/>
        <v/>
      </c>
      <c r="AB1338" s="758" t="str">
        <f t="shared" si="265"/>
        <v/>
      </c>
      <c r="AC1338" s="758" t="str">
        <f t="shared" si="266"/>
        <v/>
      </c>
      <c r="AD1338" s="758" t="str">
        <f t="shared" si="267"/>
        <v>0</v>
      </c>
      <c r="AE1338" s="760"/>
      <c r="AF1338" s="760"/>
      <c r="AG1338" s="443"/>
      <c r="AH1338" s="443"/>
    </row>
    <row r="1339" spans="1:34">
      <c r="A1339" s="728">
        <f t="shared" si="263"/>
        <v>1332</v>
      </c>
      <c r="B1339" s="77"/>
      <c r="C1339" s="747"/>
      <c r="D1339" s="763" t="str">
        <f t="shared" si="268"/>
        <v>January</v>
      </c>
      <c r="E1339" s="763">
        <f t="shared" si="269"/>
        <v>0</v>
      </c>
      <c r="F1339" s="762">
        <f t="shared" si="270"/>
        <v>1900</v>
      </c>
      <c r="G1339" s="747"/>
      <c r="H1339" s="882"/>
      <c r="I1339" s="756"/>
      <c r="J1339" s="756"/>
      <c r="K1339" s="778">
        <f t="shared" si="271"/>
        <v>0</v>
      </c>
      <c r="L1339" s="976"/>
      <c r="M1339" s="736">
        <f t="shared" si="272"/>
        <v>0</v>
      </c>
      <c r="N1339" s="754"/>
      <c r="O1339" s="738">
        <f t="shared" si="273"/>
        <v>0</v>
      </c>
      <c r="P1339" s="757"/>
      <c r="Q1339" s="739">
        <f t="shared" si="274"/>
        <v>0</v>
      </c>
      <c r="R1339" s="757"/>
      <c r="S1339" s="755"/>
      <c r="T1339" s="277"/>
      <c r="U1339" s="758" t="str">
        <f t="shared" si="261"/>
        <v/>
      </c>
      <c r="V1339" s="758" t="str">
        <f t="shared" si="262"/>
        <v>1900</v>
      </c>
      <c r="W1339" s="759"/>
      <c r="X1339" s="771"/>
      <c r="Y1339" s="977"/>
      <c r="Z1339" s="758"/>
      <c r="AA1339" s="758" t="str">
        <f t="shared" si="264"/>
        <v/>
      </c>
      <c r="AB1339" s="758" t="str">
        <f t="shared" si="265"/>
        <v/>
      </c>
      <c r="AC1339" s="758" t="str">
        <f t="shared" si="266"/>
        <v/>
      </c>
      <c r="AD1339" s="758" t="str">
        <f t="shared" si="267"/>
        <v>0</v>
      </c>
      <c r="AE1339" s="760"/>
      <c r="AF1339" s="760"/>
      <c r="AG1339" s="443"/>
      <c r="AH1339" s="443"/>
    </row>
    <row r="1340" spans="1:34">
      <c r="A1340" s="728">
        <f t="shared" si="263"/>
        <v>1333</v>
      </c>
      <c r="B1340" s="77"/>
      <c r="C1340" s="747"/>
      <c r="D1340" s="763" t="str">
        <f t="shared" si="268"/>
        <v>January</v>
      </c>
      <c r="E1340" s="763">
        <f t="shared" si="269"/>
        <v>0</v>
      </c>
      <c r="F1340" s="762">
        <f t="shared" si="270"/>
        <v>1900</v>
      </c>
      <c r="G1340" s="747"/>
      <c r="H1340" s="882"/>
      <c r="I1340" s="756"/>
      <c r="J1340" s="756"/>
      <c r="K1340" s="778">
        <f t="shared" si="271"/>
        <v>0</v>
      </c>
      <c r="L1340" s="976"/>
      <c r="M1340" s="736">
        <f t="shared" si="272"/>
        <v>0</v>
      </c>
      <c r="N1340" s="754"/>
      <c r="O1340" s="738">
        <f t="shared" si="273"/>
        <v>0</v>
      </c>
      <c r="P1340" s="757"/>
      <c r="Q1340" s="739">
        <f t="shared" si="274"/>
        <v>0</v>
      </c>
      <c r="R1340" s="757"/>
      <c r="S1340" s="755"/>
      <c r="T1340" s="277"/>
      <c r="U1340" s="758" t="str">
        <f t="shared" si="261"/>
        <v/>
      </c>
      <c r="V1340" s="758" t="str">
        <f t="shared" si="262"/>
        <v>1900</v>
      </c>
      <c r="W1340" s="759"/>
      <c r="X1340" s="771"/>
      <c r="Y1340" s="977"/>
      <c r="Z1340" s="758"/>
      <c r="AA1340" s="758" t="str">
        <f t="shared" si="264"/>
        <v/>
      </c>
      <c r="AB1340" s="758" t="str">
        <f t="shared" si="265"/>
        <v/>
      </c>
      <c r="AC1340" s="758" t="str">
        <f t="shared" si="266"/>
        <v/>
      </c>
      <c r="AD1340" s="758" t="str">
        <f t="shared" si="267"/>
        <v>0</v>
      </c>
      <c r="AE1340" s="760"/>
      <c r="AF1340" s="760"/>
      <c r="AG1340" s="443"/>
      <c r="AH1340" s="443"/>
    </row>
    <row r="1341" spans="1:34">
      <c r="A1341" s="728">
        <f t="shared" si="263"/>
        <v>1334</v>
      </c>
      <c r="B1341" s="77"/>
      <c r="C1341" s="747"/>
      <c r="D1341" s="763" t="str">
        <f t="shared" si="268"/>
        <v>January</v>
      </c>
      <c r="E1341" s="763">
        <f t="shared" si="269"/>
        <v>0</v>
      </c>
      <c r="F1341" s="762">
        <f t="shared" si="270"/>
        <v>1900</v>
      </c>
      <c r="G1341" s="747"/>
      <c r="H1341" s="882"/>
      <c r="I1341" s="756"/>
      <c r="J1341" s="756"/>
      <c r="K1341" s="778">
        <f t="shared" si="271"/>
        <v>0</v>
      </c>
      <c r="L1341" s="976"/>
      <c r="M1341" s="736">
        <f t="shared" si="272"/>
        <v>0</v>
      </c>
      <c r="N1341" s="754"/>
      <c r="O1341" s="738">
        <f t="shared" si="273"/>
        <v>0</v>
      </c>
      <c r="P1341" s="757"/>
      <c r="Q1341" s="739">
        <f t="shared" si="274"/>
        <v>0</v>
      </c>
      <c r="R1341" s="757"/>
      <c r="S1341" s="755"/>
      <c r="T1341" s="277"/>
      <c r="U1341" s="758" t="str">
        <f t="shared" si="261"/>
        <v/>
      </c>
      <c r="V1341" s="758" t="str">
        <f t="shared" si="262"/>
        <v>1900</v>
      </c>
      <c r="W1341" s="759"/>
      <c r="X1341" s="771"/>
      <c r="Y1341" s="977"/>
      <c r="Z1341" s="758"/>
      <c r="AA1341" s="758" t="str">
        <f t="shared" si="264"/>
        <v/>
      </c>
      <c r="AB1341" s="758" t="str">
        <f t="shared" si="265"/>
        <v/>
      </c>
      <c r="AC1341" s="758" t="str">
        <f t="shared" si="266"/>
        <v/>
      </c>
      <c r="AD1341" s="758" t="str">
        <f t="shared" si="267"/>
        <v>0</v>
      </c>
      <c r="AE1341" s="760"/>
      <c r="AF1341" s="760"/>
      <c r="AG1341" s="443"/>
      <c r="AH1341" s="443"/>
    </row>
    <row r="1342" spans="1:34">
      <c r="A1342" s="728">
        <f t="shared" si="263"/>
        <v>1335</v>
      </c>
      <c r="B1342" s="77"/>
      <c r="C1342" s="747"/>
      <c r="D1342" s="763" t="str">
        <f t="shared" si="268"/>
        <v>January</v>
      </c>
      <c r="E1342" s="763">
        <f t="shared" si="269"/>
        <v>0</v>
      </c>
      <c r="F1342" s="762">
        <f t="shared" si="270"/>
        <v>1900</v>
      </c>
      <c r="G1342" s="747"/>
      <c r="H1342" s="882"/>
      <c r="I1342" s="756"/>
      <c r="J1342" s="756"/>
      <c r="K1342" s="778">
        <f t="shared" si="271"/>
        <v>0</v>
      </c>
      <c r="L1342" s="976"/>
      <c r="M1342" s="736">
        <f t="shared" si="272"/>
        <v>0</v>
      </c>
      <c r="N1342" s="754"/>
      <c r="O1342" s="738">
        <f t="shared" si="273"/>
        <v>0</v>
      </c>
      <c r="P1342" s="757"/>
      <c r="Q1342" s="739">
        <f t="shared" si="274"/>
        <v>0</v>
      </c>
      <c r="R1342" s="757"/>
      <c r="S1342" s="755"/>
      <c r="T1342" s="277"/>
      <c r="U1342" s="758" t="str">
        <f t="shared" si="261"/>
        <v/>
      </c>
      <c r="V1342" s="758" t="str">
        <f t="shared" si="262"/>
        <v>1900</v>
      </c>
      <c r="W1342" s="759"/>
      <c r="X1342" s="771"/>
      <c r="Y1342" s="977"/>
      <c r="Z1342" s="758"/>
      <c r="AA1342" s="758" t="str">
        <f t="shared" si="264"/>
        <v/>
      </c>
      <c r="AB1342" s="758" t="str">
        <f t="shared" si="265"/>
        <v/>
      </c>
      <c r="AC1342" s="758" t="str">
        <f t="shared" si="266"/>
        <v/>
      </c>
      <c r="AD1342" s="758" t="str">
        <f t="shared" si="267"/>
        <v>0</v>
      </c>
      <c r="AE1342" s="760"/>
      <c r="AF1342" s="760"/>
      <c r="AG1342" s="443"/>
      <c r="AH1342" s="443"/>
    </row>
    <row r="1343" spans="1:34">
      <c r="A1343" s="728">
        <f t="shared" si="263"/>
        <v>1336</v>
      </c>
      <c r="B1343" s="77"/>
      <c r="C1343" s="747"/>
      <c r="D1343" s="763" t="str">
        <f t="shared" si="268"/>
        <v>January</v>
      </c>
      <c r="E1343" s="763">
        <f t="shared" si="269"/>
        <v>0</v>
      </c>
      <c r="F1343" s="762">
        <f t="shared" si="270"/>
        <v>1900</v>
      </c>
      <c r="G1343" s="747"/>
      <c r="H1343" s="882"/>
      <c r="I1343" s="756"/>
      <c r="J1343" s="756"/>
      <c r="K1343" s="778">
        <f t="shared" si="271"/>
        <v>0</v>
      </c>
      <c r="L1343" s="976"/>
      <c r="M1343" s="736">
        <f t="shared" si="272"/>
        <v>0</v>
      </c>
      <c r="N1343" s="754"/>
      <c r="O1343" s="738">
        <f t="shared" si="273"/>
        <v>0</v>
      </c>
      <c r="P1343" s="757"/>
      <c r="Q1343" s="739">
        <f t="shared" si="274"/>
        <v>0</v>
      </c>
      <c r="R1343" s="757"/>
      <c r="S1343" s="755"/>
      <c r="T1343" s="277"/>
      <c r="U1343" s="758" t="str">
        <f t="shared" si="261"/>
        <v/>
      </c>
      <c r="V1343" s="758" t="str">
        <f t="shared" si="262"/>
        <v>1900</v>
      </c>
      <c r="W1343" s="759"/>
      <c r="X1343" s="771"/>
      <c r="Y1343" s="977"/>
      <c r="Z1343" s="758"/>
      <c r="AA1343" s="758" t="str">
        <f t="shared" si="264"/>
        <v/>
      </c>
      <c r="AB1343" s="758" t="str">
        <f t="shared" si="265"/>
        <v/>
      </c>
      <c r="AC1343" s="758" t="str">
        <f t="shared" si="266"/>
        <v/>
      </c>
      <c r="AD1343" s="758" t="str">
        <f t="shared" si="267"/>
        <v>0</v>
      </c>
      <c r="AE1343" s="760"/>
      <c r="AF1343" s="760"/>
      <c r="AG1343" s="443"/>
      <c r="AH1343" s="443"/>
    </row>
    <row r="1344" spans="1:34">
      <c r="A1344" s="728">
        <f t="shared" si="263"/>
        <v>1337</v>
      </c>
      <c r="B1344" s="77"/>
      <c r="C1344" s="747"/>
      <c r="D1344" s="763" t="str">
        <f t="shared" si="268"/>
        <v>January</v>
      </c>
      <c r="E1344" s="763">
        <f t="shared" si="269"/>
        <v>0</v>
      </c>
      <c r="F1344" s="762">
        <f t="shared" si="270"/>
        <v>1900</v>
      </c>
      <c r="G1344" s="747"/>
      <c r="H1344" s="882"/>
      <c r="I1344" s="756"/>
      <c r="J1344" s="756"/>
      <c r="K1344" s="778">
        <f t="shared" si="271"/>
        <v>0</v>
      </c>
      <c r="L1344" s="976"/>
      <c r="M1344" s="736">
        <f t="shared" si="272"/>
        <v>0</v>
      </c>
      <c r="N1344" s="754"/>
      <c r="O1344" s="738">
        <f t="shared" si="273"/>
        <v>0</v>
      </c>
      <c r="P1344" s="757"/>
      <c r="Q1344" s="739">
        <f t="shared" si="274"/>
        <v>0</v>
      </c>
      <c r="R1344" s="757"/>
      <c r="S1344" s="755"/>
      <c r="T1344" s="277"/>
      <c r="U1344" s="758" t="str">
        <f t="shared" si="261"/>
        <v/>
      </c>
      <c r="V1344" s="758" t="str">
        <f t="shared" si="262"/>
        <v>1900</v>
      </c>
      <c r="W1344" s="759"/>
      <c r="X1344" s="771"/>
      <c r="Y1344" s="977"/>
      <c r="Z1344" s="758"/>
      <c r="AA1344" s="758" t="str">
        <f t="shared" si="264"/>
        <v/>
      </c>
      <c r="AB1344" s="758" t="str">
        <f t="shared" si="265"/>
        <v/>
      </c>
      <c r="AC1344" s="758" t="str">
        <f t="shared" si="266"/>
        <v/>
      </c>
      <c r="AD1344" s="758" t="str">
        <f t="shared" si="267"/>
        <v>0</v>
      </c>
      <c r="AE1344" s="760"/>
      <c r="AF1344" s="760"/>
      <c r="AG1344" s="443"/>
      <c r="AH1344" s="443"/>
    </row>
    <row r="1345" spans="1:34">
      <c r="A1345" s="728">
        <f t="shared" si="263"/>
        <v>1338</v>
      </c>
      <c r="B1345" s="77"/>
      <c r="C1345" s="747"/>
      <c r="D1345" s="763" t="str">
        <f t="shared" si="268"/>
        <v>January</v>
      </c>
      <c r="E1345" s="763">
        <f t="shared" si="269"/>
        <v>0</v>
      </c>
      <c r="F1345" s="762">
        <f t="shared" si="270"/>
        <v>1900</v>
      </c>
      <c r="G1345" s="747"/>
      <c r="H1345" s="882"/>
      <c r="I1345" s="756"/>
      <c r="J1345" s="756"/>
      <c r="K1345" s="778">
        <f t="shared" si="271"/>
        <v>0</v>
      </c>
      <c r="L1345" s="976"/>
      <c r="M1345" s="736">
        <f t="shared" si="272"/>
        <v>0</v>
      </c>
      <c r="N1345" s="754"/>
      <c r="O1345" s="738">
        <f t="shared" si="273"/>
        <v>0</v>
      </c>
      <c r="P1345" s="757"/>
      <c r="Q1345" s="739">
        <f t="shared" si="274"/>
        <v>0</v>
      </c>
      <c r="R1345" s="757"/>
      <c r="S1345" s="755"/>
      <c r="T1345" s="277"/>
      <c r="U1345" s="758" t="str">
        <f t="shared" si="261"/>
        <v/>
      </c>
      <c r="V1345" s="758" t="str">
        <f t="shared" si="262"/>
        <v>1900</v>
      </c>
      <c r="W1345" s="759"/>
      <c r="X1345" s="771"/>
      <c r="Y1345" s="977"/>
      <c r="Z1345" s="758"/>
      <c r="AA1345" s="758" t="str">
        <f t="shared" si="264"/>
        <v/>
      </c>
      <c r="AB1345" s="758" t="str">
        <f t="shared" si="265"/>
        <v/>
      </c>
      <c r="AC1345" s="758" t="str">
        <f t="shared" si="266"/>
        <v/>
      </c>
      <c r="AD1345" s="758" t="str">
        <f t="shared" si="267"/>
        <v>0</v>
      </c>
      <c r="AE1345" s="760"/>
      <c r="AF1345" s="760"/>
      <c r="AG1345" s="443"/>
      <c r="AH1345" s="443"/>
    </row>
    <row r="1346" spans="1:34">
      <c r="A1346" s="728">
        <f t="shared" si="263"/>
        <v>1339</v>
      </c>
      <c r="B1346" s="77"/>
      <c r="C1346" s="747"/>
      <c r="D1346" s="763" t="str">
        <f t="shared" si="268"/>
        <v>January</v>
      </c>
      <c r="E1346" s="763">
        <f t="shared" si="269"/>
        <v>0</v>
      </c>
      <c r="F1346" s="762">
        <f t="shared" si="270"/>
        <v>1900</v>
      </c>
      <c r="G1346" s="747"/>
      <c r="H1346" s="882"/>
      <c r="I1346" s="756"/>
      <c r="J1346" s="756"/>
      <c r="K1346" s="778">
        <f t="shared" si="271"/>
        <v>0</v>
      </c>
      <c r="L1346" s="976"/>
      <c r="M1346" s="736">
        <f t="shared" si="272"/>
        <v>0</v>
      </c>
      <c r="N1346" s="754"/>
      <c r="O1346" s="738">
        <f t="shared" si="273"/>
        <v>0</v>
      </c>
      <c r="P1346" s="757"/>
      <c r="Q1346" s="739">
        <f t="shared" si="274"/>
        <v>0</v>
      </c>
      <c r="R1346" s="757"/>
      <c r="S1346" s="755"/>
      <c r="T1346" s="277"/>
      <c r="U1346" s="758" t="str">
        <f t="shared" si="261"/>
        <v/>
      </c>
      <c r="V1346" s="758" t="str">
        <f t="shared" si="262"/>
        <v>1900</v>
      </c>
      <c r="W1346" s="759"/>
      <c r="X1346" s="771"/>
      <c r="Y1346" s="977"/>
      <c r="Z1346" s="758"/>
      <c r="AA1346" s="758" t="str">
        <f t="shared" si="264"/>
        <v/>
      </c>
      <c r="AB1346" s="758" t="str">
        <f t="shared" si="265"/>
        <v/>
      </c>
      <c r="AC1346" s="758" t="str">
        <f t="shared" si="266"/>
        <v/>
      </c>
      <c r="AD1346" s="758" t="str">
        <f t="shared" si="267"/>
        <v>0</v>
      </c>
      <c r="AE1346" s="760"/>
      <c r="AF1346" s="760"/>
      <c r="AG1346" s="443"/>
      <c r="AH1346" s="443"/>
    </row>
    <row r="1347" spans="1:34">
      <c r="A1347" s="728">
        <f t="shared" si="263"/>
        <v>1340</v>
      </c>
      <c r="B1347" s="77"/>
      <c r="C1347" s="747"/>
      <c r="D1347" s="763" t="str">
        <f t="shared" si="268"/>
        <v>January</v>
      </c>
      <c r="E1347" s="763">
        <f t="shared" si="269"/>
        <v>0</v>
      </c>
      <c r="F1347" s="762">
        <f t="shared" si="270"/>
        <v>1900</v>
      </c>
      <c r="G1347" s="747"/>
      <c r="H1347" s="882"/>
      <c r="I1347" s="756"/>
      <c r="J1347" s="756"/>
      <c r="K1347" s="778">
        <f t="shared" si="271"/>
        <v>0</v>
      </c>
      <c r="L1347" s="976"/>
      <c r="M1347" s="736">
        <f t="shared" si="272"/>
        <v>0</v>
      </c>
      <c r="N1347" s="754"/>
      <c r="O1347" s="738">
        <f t="shared" si="273"/>
        <v>0</v>
      </c>
      <c r="P1347" s="757"/>
      <c r="Q1347" s="739">
        <f t="shared" si="274"/>
        <v>0</v>
      </c>
      <c r="R1347" s="757"/>
      <c r="S1347" s="755"/>
      <c r="T1347" s="277"/>
      <c r="U1347" s="758" t="str">
        <f t="shared" si="261"/>
        <v/>
      </c>
      <c r="V1347" s="758" t="str">
        <f t="shared" si="262"/>
        <v>1900</v>
      </c>
      <c r="W1347" s="759"/>
      <c r="X1347" s="771"/>
      <c r="Y1347" s="977"/>
      <c r="Z1347" s="758"/>
      <c r="AA1347" s="758" t="str">
        <f t="shared" si="264"/>
        <v/>
      </c>
      <c r="AB1347" s="758" t="str">
        <f t="shared" si="265"/>
        <v/>
      </c>
      <c r="AC1347" s="758" t="str">
        <f t="shared" si="266"/>
        <v/>
      </c>
      <c r="AD1347" s="758" t="str">
        <f t="shared" si="267"/>
        <v>0</v>
      </c>
      <c r="AE1347" s="760"/>
      <c r="AF1347" s="760"/>
      <c r="AG1347" s="443"/>
      <c r="AH1347" s="443"/>
    </row>
    <row r="1348" spans="1:34">
      <c r="A1348" s="728">
        <f t="shared" si="263"/>
        <v>1341</v>
      </c>
      <c r="B1348" s="77"/>
      <c r="C1348" s="747"/>
      <c r="D1348" s="763" t="str">
        <f t="shared" si="268"/>
        <v>January</v>
      </c>
      <c r="E1348" s="763">
        <f t="shared" si="269"/>
        <v>0</v>
      </c>
      <c r="F1348" s="762">
        <f t="shared" si="270"/>
        <v>1900</v>
      </c>
      <c r="G1348" s="747"/>
      <c r="H1348" s="882"/>
      <c r="I1348" s="756"/>
      <c r="J1348" s="756"/>
      <c r="K1348" s="778">
        <f t="shared" si="271"/>
        <v>0</v>
      </c>
      <c r="L1348" s="976"/>
      <c r="M1348" s="736">
        <f t="shared" si="272"/>
        <v>0</v>
      </c>
      <c r="N1348" s="754"/>
      <c r="O1348" s="738">
        <f t="shared" si="273"/>
        <v>0</v>
      </c>
      <c r="P1348" s="757"/>
      <c r="Q1348" s="739">
        <f t="shared" si="274"/>
        <v>0</v>
      </c>
      <c r="R1348" s="757"/>
      <c r="S1348" s="755"/>
      <c r="T1348" s="277"/>
      <c r="U1348" s="758" t="str">
        <f t="shared" si="261"/>
        <v/>
      </c>
      <c r="V1348" s="758" t="str">
        <f t="shared" si="262"/>
        <v>1900</v>
      </c>
      <c r="W1348" s="759"/>
      <c r="X1348" s="771"/>
      <c r="Y1348" s="977"/>
      <c r="Z1348" s="758"/>
      <c r="AA1348" s="758" t="str">
        <f t="shared" si="264"/>
        <v/>
      </c>
      <c r="AB1348" s="758" t="str">
        <f t="shared" si="265"/>
        <v/>
      </c>
      <c r="AC1348" s="758" t="str">
        <f t="shared" si="266"/>
        <v/>
      </c>
      <c r="AD1348" s="758" t="str">
        <f t="shared" si="267"/>
        <v>0</v>
      </c>
      <c r="AE1348" s="760"/>
      <c r="AF1348" s="760"/>
      <c r="AG1348" s="443"/>
      <c r="AH1348" s="443"/>
    </row>
    <row r="1349" spans="1:34">
      <c r="A1349" s="728">
        <f t="shared" si="263"/>
        <v>1342</v>
      </c>
      <c r="B1349" s="77"/>
      <c r="C1349" s="747"/>
      <c r="D1349" s="763" t="str">
        <f t="shared" si="268"/>
        <v>January</v>
      </c>
      <c r="E1349" s="763">
        <f t="shared" si="269"/>
        <v>0</v>
      </c>
      <c r="F1349" s="762">
        <f t="shared" si="270"/>
        <v>1900</v>
      </c>
      <c r="G1349" s="747"/>
      <c r="H1349" s="882"/>
      <c r="I1349" s="756"/>
      <c r="J1349" s="756"/>
      <c r="K1349" s="778">
        <f t="shared" si="271"/>
        <v>0</v>
      </c>
      <c r="L1349" s="976"/>
      <c r="M1349" s="736">
        <f t="shared" si="272"/>
        <v>0</v>
      </c>
      <c r="N1349" s="754"/>
      <c r="O1349" s="738">
        <f t="shared" si="273"/>
        <v>0</v>
      </c>
      <c r="P1349" s="757"/>
      <c r="Q1349" s="739">
        <f t="shared" si="274"/>
        <v>0</v>
      </c>
      <c r="R1349" s="757"/>
      <c r="S1349" s="755"/>
      <c r="T1349" s="277"/>
      <c r="U1349" s="758" t="str">
        <f t="shared" si="261"/>
        <v/>
      </c>
      <c r="V1349" s="758" t="str">
        <f t="shared" si="262"/>
        <v>1900</v>
      </c>
      <c r="W1349" s="759"/>
      <c r="X1349" s="771"/>
      <c r="Y1349" s="977"/>
      <c r="Z1349" s="758"/>
      <c r="AA1349" s="758" t="str">
        <f t="shared" si="264"/>
        <v/>
      </c>
      <c r="AB1349" s="758" t="str">
        <f t="shared" si="265"/>
        <v/>
      </c>
      <c r="AC1349" s="758" t="str">
        <f t="shared" si="266"/>
        <v/>
      </c>
      <c r="AD1349" s="758" t="str">
        <f t="shared" si="267"/>
        <v>0</v>
      </c>
      <c r="AE1349" s="760"/>
      <c r="AF1349" s="760"/>
      <c r="AG1349" s="443"/>
      <c r="AH1349" s="443"/>
    </row>
    <row r="1350" spans="1:34">
      <c r="A1350" s="728">
        <f t="shared" si="263"/>
        <v>1343</v>
      </c>
      <c r="B1350" s="77"/>
      <c r="C1350" s="747"/>
      <c r="D1350" s="763" t="str">
        <f t="shared" si="268"/>
        <v>January</v>
      </c>
      <c r="E1350" s="763">
        <f t="shared" si="269"/>
        <v>0</v>
      </c>
      <c r="F1350" s="762">
        <f t="shared" si="270"/>
        <v>1900</v>
      </c>
      <c r="G1350" s="747"/>
      <c r="H1350" s="882"/>
      <c r="I1350" s="756"/>
      <c r="J1350" s="756"/>
      <c r="K1350" s="778">
        <f t="shared" si="271"/>
        <v>0</v>
      </c>
      <c r="L1350" s="976"/>
      <c r="M1350" s="736">
        <f t="shared" si="272"/>
        <v>0</v>
      </c>
      <c r="N1350" s="754"/>
      <c r="O1350" s="738">
        <f t="shared" si="273"/>
        <v>0</v>
      </c>
      <c r="P1350" s="757"/>
      <c r="Q1350" s="739">
        <f t="shared" si="274"/>
        <v>0</v>
      </c>
      <c r="R1350" s="757"/>
      <c r="S1350" s="755"/>
      <c r="T1350" s="277"/>
      <c r="U1350" s="758" t="str">
        <f t="shared" si="261"/>
        <v/>
      </c>
      <c r="V1350" s="758" t="str">
        <f t="shared" si="262"/>
        <v>1900</v>
      </c>
      <c r="W1350" s="759"/>
      <c r="X1350" s="771"/>
      <c r="Y1350" s="977"/>
      <c r="Z1350" s="758"/>
      <c r="AA1350" s="758" t="str">
        <f t="shared" si="264"/>
        <v/>
      </c>
      <c r="AB1350" s="758" t="str">
        <f t="shared" si="265"/>
        <v/>
      </c>
      <c r="AC1350" s="758" t="str">
        <f t="shared" si="266"/>
        <v/>
      </c>
      <c r="AD1350" s="758" t="str">
        <f t="shared" si="267"/>
        <v>0</v>
      </c>
      <c r="AE1350" s="760"/>
      <c r="AF1350" s="760"/>
      <c r="AG1350" s="443"/>
      <c r="AH1350" s="443"/>
    </row>
    <row r="1351" spans="1:34">
      <c r="A1351" s="728">
        <f t="shared" si="263"/>
        <v>1344</v>
      </c>
      <c r="B1351" s="77"/>
      <c r="C1351" s="747"/>
      <c r="D1351" s="763" t="str">
        <f t="shared" si="268"/>
        <v>January</v>
      </c>
      <c r="E1351" s="763">
        <f t="shared" si="269"/>
        <v>0</v>
      </c>
      <c r="F1351" s="762">
        <f t="shared" si="270"/>
        <v>1900</v>
      </c>
      <c r="G1351" s="747"/>
      <c r="H1351" s="882"/>
      <c r="I1351" s="756"/>
      <c r="J1351" s="756"/>
      <c r="K1351" s="778">
        <f t="shared" si="271"/>
        <v>0</v>
      </c>
      <c r="L1351" s="976"/>
      <c r="M1351" s="736">
        <f t="shared" si="272"/>
        <v>0</v>
      </c>
      <c r="N1351" s="754"/>
      <c r="O1351" s="738">
        <f t="shared" si="273"/>
        <v>0</v>
      </c>
      <c r="P1351" s="757"/>
      <c r="Q1351" s="739">
        <f t="shared" si="274"/>
        <v>0</v>
      </c>
      <c r="R1351" s="757"/>
      <c r="S1351" s="755"/>
      <c r="T1351" s="277"/>
      <c r="U1351" s="758" t="str">
        <f t="shared" ref="U1351:U1414" si="275">CONCATENATE(G1351,H1351)</f>
        <v/>
      </c>
      <c r="V1351" s="758" t="str">
        <f t="shared" ref="V1351:V1414" si="276">CONCATENATE(F1351,H1351)</f>
        <v>1900</v>
      </c>
      <c r="W1351" s="759"/>
      <c r="X1351" s="771"/>
      <c r="Y1351" s="977"/>
      <c r="Z1351" s="758"/>
      <c r="AA1351" s="758" t="str">
        <f t="shared" si="264"/>
        <v/>
      </c>
      <c r="AB1351" s="758" t="str">
        <f t="shared" si="265"/>
        <v/>
      </c>
      <c r="AC1351" s="758" t="str">
        <f t="shared" si="266"/>
        <v/>
      </c>
      <c r="AD1351" s="758" t="str">
        <f t="shared" si="267"/>
        <v>0</v>
      </c>
      <c r="AE1351" s="760"/>
      <c r="AF1351" s="760"/>
      <c r="AG1351" s="443"/>
      <c r="AH1351" s="443"/>
    </row>
    <row r="1352" spans="1:34">
      <c r="A1352" s="728">
        <f t="shared" si="263"/>
        <v>1345</v>
      </c>
      <c r="B1352" s="77"/>
      <c r="C1352" s="747"/>
      <c r="D1352" s="763" t="str">
        <f t="shared" si="268"/>
        <v>January</v>
      </c>
      <c r="E1352" s="763">
        <f t="shared" si="269"/>
        <v>0</v>
      </c>
      <c r="F1352" s="762">
        <f t="shared" si="270"/>
        <v>1900</v>
      </c>
      <c r="G1352" s="747"/>
      <c r="H1352" s="882"/>
      <c r="I1352" s="756"/>
      <c r="J1352" s="756"/>
      <c r="K1352" s="778">
        <f t="shared" si="271"/>
        <v>0</v>
      </c>
      <c r="L1352" s="976"/>
      <c r="M1352" s="736">
        <f t="shared" si="272"/>
        <v>0</v>
      </c>
      <c r="N1352" s="754"/>
      <c r="O1352" s="738">
        <f t="shared" si="273"/>
        <v>0</v>
      </c>
      <c r="P1352" s="757"/>
      <c r="Q1352" s="739">
        <f t="shared" si="274"/>
        <v>0</v>
      </c>
      <c r="R1352" s="757"/>
      <c r="S1352" s="755"/>
      <c r="T1352" s="277"/>
      <c r="U1352" s="758" t="str">
        <f t="shared" si="275"/>
        <v/>
      </c>
      <c r="V1352" s="758" t="str">
        <f t="shared" si="276"/>
        <v>1900</v>
      </c>
      <c r="W1352" s="759"/>
      <c r="X1352" s="771"/>
      <c r="Y1352" s="977"/>
      <c r="Z1352" s="758"/>
      <c r="AA1352" s="758" t="str">
        <f t="shared" si="264"/>
        <v/>
      </c>
      <c r="AB1352" s="758" t="str">
        <f t="shared" si="265"/>
        <v/>
      </c>
      <c r="AC1352" s="758" t="str">
        <f t="shared" si="266"/>
        <v/>
      </c>
      <c r="AD1352" s="758" t="str">
        <f t="shared" si="267"/>
        <v>0</v>
      </c>
      <c r="AE1352" s="760"/>
      <c r="AF1352" s="760"/>
      <c r="AG1352" s="443"/>
      <c r="AH1352" s="443"/>
    </row>
    <row r="1353" spans="1:34">
      <c r="A1353" s="728">
        <f t="shared" si="263"/>
        <v>1346</v>
      </c>
      <c r="B1353" s="77"/>
      <c r="C1353" s="747"/>
      <c r="D1353" s="763" t="str">
        <f t="shared" si="268"/>
        <v>January</v>
      </c>
      <c r="E1353" s="763">
        <f t="shared" si="269"/>
        <v>0</v>
      </c>
      <c r="F1353" s="762">
        <f t="shared" si="270"/>
        <v>1900</v>
      </c>
      <c r="G1353" s="747"/>
      <c r="H1353" s="882"/>
      <c r="I1353" s="756"/>
      <c r="J1353" s="756"/>
      <c r="K1353" s="778">
        <f t="shared" si="271"/>
        <v>0</v>
      </c>
      <c r="L1353" s="976"/>
      <c r="M1353" s="736">
        <f t="shared" si="272"/>
        <v>0</v>
      </c>
      <c r="N1353" s="754"/>
      <c r="O1353" s="738">
        <f t="shared" si="273"/>
        <v>0</v>
      </c>
      <c r="P1353" s="757"/>
      <c r="Q1353" s="739">
        <f t="shared" si="274"/>
        <v>0</v>
      </c>
      <c r="R1353" s="757"/>
      <c r="S1353" s="755"/>
      <c r="T1353" s="277"/>
      <c r="U1353" s="758" t="str">
        <f t="shared" si="275"/>
        <v/>
      </c>
      <c r="V1353" s="758" t="str">
        <f t="shared" si="276"/>
        <v>1900</v>
      </c>
      <c r="W1353" s="759"/>
      <c r="X1353" s="771"/>
      <c r="Y1353" s="977"/>
      <c r="Z1353" s="758"/>
      <c r="AA1353" s="758" t="str">
        <f t="shared" si="264"/>
        <v/>
      </c>
      <c r="AB1353" s="758" t="str">
        <f t="shared" si="265"/>
        <v/>
      </c>
      <c r="AC1353" s="758" t="str">
        <f t="shared" si="266"/>
        <v/>
      </c>
      <c r="AD1353" s="758" t="str">
        <f t="shared" si="267"/>
        <v>0</v>
      </c>
      <c r="AE1353" s="760"/>
      <c r="AF1353" s="760"/>
      <c r="AG1353" s="443"/>
      <c r="AH1353" s="443"/>
    </row>
    <row r="1354" spans="1:34">
      <c r="A1354" s="728">
        <f t="shared" si="263"/>
        <v>1347</v>
      </c>
      <c r="B1354" s="77"/>
      <c r="C1354" s="747"/>
      <c r="D1354" s="763" t="str">
        <f t="shared" si="268"/>
        <v>January</v>
      </c>
      <c r="E1354" s="763">
        <f t="shared" si="269"/>
        <v>0</v>
      </c>
      <c r="F1354" s="762">
        <f t="shared" si="270"/>
        <v>1900</v>
      </c>
      <c r="G1354" s="747"/>
      <c r="H1354" s="882"/>
      <c r="I1354" s="756"/>
      <c r="J1354" s="756"/>
      <c r="K1354" s="778">
        <f t="shared" si="271"/>
        <v>0</v>
      </c>
      <c r="L1354" s="976"/>
      <c r="M1354" s="736">
        <f t="shared" si="272"/>
        <v>0</v>
      </c>
      <c r="N1354" s="754"/>
      <c r="O1354" s="738">
        <f t="shared" si="273"/>
        <v>0</v>
      </c>
      <c r="P1354" s="757"/>
      <c r="Q1354" s="739">
        <f t="shared" si="274"/>
        <v>0</v>
      </c>
      <c r="R1354" s="757"/>
      <c r="S1354" s="755"/>
      <c r="T1354" s="277"/>
      <c r="U1354" s="758" t="str">
        <f t="shared" si="275"/>
        <v/>
      </c>
      <c r="V1354" s="758" t="str">
        <f t="shared" si="276"/>
        <v>1900</v>
      </c>
      <c r="W1354" s="759"/>
      <c r="X1354" s="771"/>
      <c r="Y1354" s="977"/>
      <c r="Z1354" s="758"/>
      <c r="AA1354" s="758" t="str">
        <f t="shared" si="264"/>
        <v/>
      </c>
      <c r="AB1354" s="758" t="str">
        <f t="shared" si="265"/>
        <v/>
      </c>
      <c r="AC1354" s="758" t="str">
        <f t="shared" si="266"/>
        <v/>
      </c>
      <c r="AD1354" s="758" t="str">
        <f t="shared" si="267"/>
        <v>0</v>
      </c>
      <c r="AE1354" s="760"/>
      <c r="AF1354" s="760"/>
      <c r="AG1354" s="443"/>
      <c r="AH1354" s="443"/>
    </row>
    <row r="1355" spans="1:34">
      <c r="A1355" s="728">
        <f t="shared" ref="A1355:A1418" si="277">+A1354+1</f>
        <v>1348</v>
      </c>
      <c r="B1355" s="77"/>
      <c r="C1355" s="747"/>
      <c r="D1355" s="763" t="str">
        <f t="shared" si="268"/>
        <v>January</v>
      </c>
      <c r="E1355" s="763">
        <f t="shared" si="269"/>
        <v>0</v>
      </c>
      <c r="F1355" s="762">
        <f t="shared" si="270"/>
        <v>1900</v>
      </c>
      <c r="G1355" s="747"/>
      <c r="H1355" s="882"/>
      <c r="I1355" s="756"/>
      <c r="J1355" s="756"/>
      <c r="K1355" s="778">
        <f t="shared" si="271"/>
        <v>0</v>
      </c>
      <c r="L1355" s="976"/>
      <c r="M1355" s="736">
        <f t="shared" si="272"/>
        <v>0</v>
      </c>
      <c r="N1355" s="754"/>
      <c r="O1355" s="738">
        <f t="shared" si="273"/>
        <v>0</v>
      </c>
      <c r="P1355" s="757"/>
      <c r="Q1355" s="739">
        <f t="shared" si="274"/>
        <v>0</v>
      </c>
      <c r="R1355" s="757"/>
      <c r="S1355" s="755"/>
      <c r="T1355" s="277"/>
      <c r="U1355" s="758" t="str">
        <f t="shared" si="275"/>
        <v/>
      </c>
      <c r="V1355" s="758" t="str">
        <f t="shared" si="276"/>
        <v>1900</v>
      </c>
      <c r="W1355" s="759"/>
      <c r="X1355" s="771"/>
      <c r="Y1355" s="977"/>
      <c r="Z1355" s="758"/>
      <c r="AA1355" s="758" t="str">
        <f t="shared" si="264"/>
        <v/>
      </c>
      <c r="AB1355" s="758" t="str">
        <f t="shared" si="265"/>
        <v/>
      </c>
      <c r="AC1355" s="758" t="str">
        <f t="shared" si="266"/>
        <v/>
      </c>
      <c r="AD1355" s="758" t="str">
        <f t="shared" si="267"/>
        <v>0</v>
      </c>
      <c r="AE1355" s="760"/>
      <c r="AF1355" s="760"/>
      <c r="AG1355" s="443"/>
      <c r="AH1355" s="443"/>
    </row>
    <row r="1356" spans="1:34">
      <c r="A1356" s="728">
        <f t="shared" si="277"/>
        <v>1349</v>
      </c>
      <c r="B1356" s="77"/>
      <c r="C1356" s="747"/>
      <c r="D1356" s="763" t="str">
        <f t="shared" si="268"/>
        <v>January</v>
      </c>
      <c r="E1356" s="763">
        <f t="shared" si="269"/>
        <v>0</v>
      </c>
      <c r="F1356" s="762">
        <f t="shared" si="270"/>
        <v>1900</v>
      </c>
      <c r="G1356" s="747"/>
      <c r="H1356" s="882"/>
      <c r="I1356" s="756"/>
      <c r="J1356" s="756"/>
      <c r="K1356" s="778">
        <f t="shared" si="271"/>
        <v>0</v>
      </c>
      <c r="L1356" s="976"/>
      <c r="M1356" s="736">
        <f t="shared" si="272"/>
        <v>0</v>
      </c>
      <c r="N1356" s="754"/>
      <c r="O1356" s="738">
        <f t="shared" si="273"/>
        <v>0</v>
      </c>
      <c r="P1356" s="757"/>
      <c r="Q1356" s="739">
        <f t="shared" si="274"/>
        <v>0</v>
      </c>
      <c r="R1356" s="757"/>
      <c r="S1356" s="755"/>
      <c r="T1356" s="277"/>
      <c r="U1356" s="758" t="str">
        <f t="shared" si="275"/>
        <v/>
      </c>
      <c r="V1356" s="758" t="str">
        <f t="shared" si="276"/>
        <v>1900</v>
      </c>
      <c r="W1356" s="759"/>
      <c r="X1356" s="771"/>
      <c r="Y1356" s="977"/>
      <c r="Z1356" s="758"/>
      <c r="AA1356" s="758" t="str">
        <f t="shared" si="264"/>
        <v/>
      </c>
      <c r="AB1356" s="758" t="str">
        <f t="shared" si="265"/>
        <v/>
      </c>
      <c r="AC1356" s="758" t="str">
        <f t="shared" si="266"/>
        <v/>
      </c>
      <c r="AD1356" s="758" t="str">
        <f t="shared" si="267"/>
        <v>0</v>
      </c>
      <c r="AE1356" s="760"/>
      <c r="AF1356" s="760"/>
      <c r="AG1356" s="443"/>
      <c r="AH1356" s="443"/>
    </row>
    <row r="1357" spans="1:34">
      <c r="A1357" s="728">
        <f t="shared" si="277"/>
        <v>1350</v>
      </c>
      <c r="B1357" s="77"/>
      <c r="C1357" s="747"/>
      <c r="D1357" s="763" t="str">
        <f t="shared" si="268"/>
        <v>January</v>
      </c>
      <c r="E1357" s="763">
        <f t="shared" si="269"/>
        <v>0</v>
      </c>
      <c r="F1357" s="762">
        <f t="shared" si="270"/>
        <v>1900</v>
      </c>
      <c r="G1357" s="747"/>
      <c r="H1357" s="882"/>
      <c r="I1357" s="756"/>
      <c r="J1357" s="756"/>
      <c r="K1357" s="778">
        <f t="shared" si="271"/>
        <v>0</v>
      </c>
      <c r="L1357" s="976"/>
      <c r="M1357" s="736">
        <f t="shared" si="272"/>
        <v>0</v>
      </c>
      <c r="N1357" s="754"/>
      <c r="O1357" s="738">
        <f t="shared" si="273"/>
        <v>0</v>
      </c>
      <c r="P1357" s="757"/>
      <c r="Q1357" s="739">
        <f t="shared" si="274"/>
        <v>0</v>
      </c>
      <c r="R1357" s="757"/>
      <c r="S1357" s="755"/>
      <c r="T1357" s="277"/>
      <c r="U1357" s="758" t="str">
        <f t="shared" si="275"/>
        <v/>
      </c>
      <c r="V1357" s="758" t="str">
        <f t="shared" si="276"/>
        <v>1900</v>
      </c>
      <c r="W1357" s="759"/>
      <c r="X1357" s="771"/>
      <c r="Y1357" s="977"/>
      <c r="Z1357" s="758"/>
      <c r="AA1357" s="758" t="str">
        <f t="shared" si="264"/>
        <v/>
      </c>
      <c r="AB1357" s="758" t="str">
        <f t="shared" si="265"/>
        <v/>
      </c>
      <c r="AC1357" s="758" t="str">
        <f t="shared" si="266"/>
        <v/>
      </c>
      <c r="AD1357" s="758" t="str">
        <f t="shared" si="267"/>
        <v>0</v>
      </c>
      <c r="AE1357" s="760"/>
      <c r="AF1357" s="760"/>
      <c r="AG1357" s="443"/>
      <c r="AH1357" s="443"/>
    </row>
    <row r="1358" spans="1:34">
      <c r="A1358" s="728">
        <f t="shared" si="277"/>
        <v>1351</v>
      </c>
      <c r="B1358" s="77"/>
      <c r="C1358" s="747"/>
      <c r="D1358" s="763" t="str">
        <f t="shared" si="268"/>
        <v>January</v>
      </c>
      <c r="E1358" s="763">
        <f t="shared" si="269"/>
        <v>0</v>
      </c>
      <c r="F1358" s="762">
        <f t="shared" si="270"/>
        <v>1900</v>
      </c>
      <c r="G1358" s="747"/>
      <c r="H1358" s="882"/>
      <c r="I1358" s="756"/>
      <c r="J1358" s="756"/>
      <c r="K1358" s="778">
        <f t="shared" si="271"/>
        <v>0</v>
      </c>
      <c r="L1358" s="976"/>
      <c r="M1358" s="736">
        <f t="shared" si="272"/>
        <v>0</v>
      </c>
      <c r="N1358" s="754"/>
      <c r="O1358" s="738">
        <f t="shared" si="273"/>
        <v>0</v>
      </c>
      <c r="P1358" s="757"/>
      <c r="Q1358" s="739">
        <f t="shared" si="274"/>
        <v>0</v>
      </c>
      <c r="R1358" s="757"/>
      <c r="S1358" s="755"/>
      <c r="T1358" s="277"/>
      <c r="U1358" s="758" t="str">
        <f t="shared" si="275"/>
        <v/>
      </c>
      <c r="V1358" s="758" t="str">
        <f t="shared" si="276"/>
        <v>1900</v>
      </c>
      <c r="W1358" s="759"/>
      <c r="X1358" s="771"/>
      <c r="Y1358" s="977"/>
      <c r="Z1358" s="758"/>
      <c r="AA1358" s="758" t="str">
        <f t="shared" si="264"/>
        <v/>
      </c>
      <c r="AB1358" s="758" t="str">
        <f t="shared" si="265"/>
        <v/>
      </c>
      <c r="AC1358" s="758" t="str">
        <f t="shared" si="266"/>
        <v/>
      </c>
      <c r="AD1358" s="758" t="str">
        <f t="shared" si="267"/>
        <v>0</v>
      </c>
      <c r="AE1358" s="760"/>
      <c r="AF1358" s="760"/>
      <c r="AG1358" s="443"/>
      <c r="AH1358" s="443"/>
    </row>
    <row r="1359" spans="1:34">
      <c r="A1359" s="728">
        <f t="shared" si="277"/>
        <v>1352</v>
      </c>
      <c r="B1359" s="77"/>
      <c r="C1359" s="747"/>
      <c r="D1359" s="763" t="str">
        <f t="shared" si="268"/>
        <v>January</v>
      </c>
      <c r="E1359" s="763">
        <f t="shared" si="269"/>
        <v>0</v>
      </c>
      <c r="F1359" s="762">
        <f t="shared" si="270"/>
        <v>1900</v>
      </c>
      <c r="G1359" s="747"/>
      <c r="H1359" s="882"/>
      <c r="I1359" s="756"/>
      <c r="J1359" s="756"/>
      <c r="K1359" s="778">
        <f t="shared" si="271"/>
        <v>0</v>
      </c>
      <c r="L1359" s="976"/>
      <c r="M1359" s="736">
        <f t="shared" si="272"/>
        <v>0</v>
      </c>
      <c r="N1359" s="754"/>
      <c r="O1359" s="738">
        <f t="shared" si="273"/>
        <v>0</v>
      </c>
      <c r="P1359" s="757"/>
      <c r="Q1359" s="739">
        <f t="shared" si="274"/>
        <v>0</v>
      </c>
      <c r="R1359" s="757"/>
      <c r="S1359" s="755"/>
      <c r="T1359" s="277"/>
      <c r="U1359" s="758" t="str">
        <f t="shared" si="275"/>
        <v/>
      </c>
      <c r="V1359" s="758" t="str">
        <f t="shared" si="276"/>
        <v>1900</v>
      </c>
      <c r="W1359" s="759"/>
      <c r="X1359" s="771"/>
      <c r="Y1359" s="977"/>
      <c r="Z1359" s="758"/>
      <c r="AA1359" s="758" t="str">
        <f t="shared" si="264"/>
        <v/>
      </c>
      <c r="AB1359" s="758" t="str">
        <f t="shared" si="265"/>
        <v/>
      </c>
      <c r="AC1359" s="758" t="str">
        <f t="shared" si="266"/>
        <v/>
      </c>
      <c r="AD1359" s="758" t="str">
        <f t="shared" si="267"/>
        <v>0</v>
      </c>
      <c r="AE1359" s="760"/>
      <c r="AF1359" s="760"/>
      <c r="AG1359" s="443"/>
      <c r="AH1359" s="443"/>
    </row>
    <row r="1360" spans="1:34">
      <c r="A1360" s="728">
        <f t="shared" si="277"/>
        <v>1353</v>
      </c>
      <c r="B1360" s="77"/>
      <c r="C1360" s="747"/>
      <c r="D1360" s="763" t="str">
        <f t="shared" si="268"/>
        <v>January</v>
      </c>
      <c r="E1360" s="763">
        <f t="shared" si="269"/>
        <v>0</v>
      </c>
      <c r="F1360" s="762">
        <f t="shared" si="270"/>
        <v>1900</v>
      </c>
      <c r="G1360" s="747"/>
      <c r="H1360" s="882"/>
      <c r="I1360" s="756"/>
      <c r="J1360" s="756"/>
      <c r="K1360" s="778">
        <f t="shared" si="271"/>
        <v>0</v>
      </c>
      <c r="L1360" s="976"/>
      <c r="M1360" s="736">
        <f t="shared" si="272"/>
        <v>0</v>
      </c>
      <c r="N1360" s="754"/>
      <c r="O1360" s="738">
        <f t="shared" si="273"/>
        <v>0</v>
      </c>
      <c r="P1360" s="757"/>
      <c r="Q1360" s="739">
        <f t="shared" si="274"/>
        <v>0</v>
      </c>
      <c r="R1360" s="757"/>
      <c r="S1360" s="755"/>
      <c r="T1360" s="277"/>
      <c r="U1360" s="758" t="str">
        <f t="shared" si="275"/>
        <v/>
      </c>
      <c r="V1360" s="758" t="str">
        <f t="shared" si="276"/>
        <v>1900</v>
      </c>
      <c r="W1360" s="759"/>
      <c r="X1360" s="771"/>
      <c r="Y1360" s="977"/>
      <c r="Z1360" s="758"/>
      <c r="AA1360" s="758" t="str">
        <f t="shared" ref="AA1360:AA1423" si="278">CONCATENATE(H1360,W1360)</f>
        <v/>
      </c>
      <c r="AB1360" s="758" t="str">
        <f t="shared" ref="AB1360:AB1423" si="279">CONCATENATE(H1360,X1360)</f>
        <v/>
      </c>
      <c r="AC1360" s="758" t="str">
        <f t="shared" ref="AC1360:AC1423" si="280">CONCATENATE(H1360,Y1360)</f>
        <v/>
      </c>
      <c r="AD1360" s="758" t="str">
        <f t="shared" si="267"/>
        <v>0</v>
      </c>
      <c r="AE1360" s="760"/>
      <c r="AF1360" s="760"/>
      <c r="AG1360" s="443"/>
      <c r="AH1360" s="443"/>
    </row>
    <row r="1361" spans="1:34">
      <c r="A1361" s="728">
        <f t="shared" si="277"/>
        <v>1354</v>
      </c>
      <c r="B1361" s="77"/>
      <c r="C1361" s="747"/>
      <c r="D1361" s="763" t="str">
        <f t="shared" si="268"/>
        <v>January</v>
      </c>
      <c r="E1361" s="763">
        <f t="shared" si="269"/>
        <v>0</v>
      </c>
      <c r="F1361" s="762">
        <f t="shared" si="270"/>
        <v>1900</v>
      </c>
      <c r="G1361" s="747"/>
      <c r="H1361" s="882"/>
      <c r="I1361" s="756"/>
      <c r="J1361" s="756"/>
      <c r="K1361" s="778">
        <f t="shared" si="271"/>
        <v>0</v>
      </c>
      <c r="L1361" s="976"/>
      <c r="M1361" s="736">
        <f t="shared" si="272"/>
        <v>0</v>
      </c>
      <c r="N1361" s="754"/>
      <c r="O1361" s="738">
        <f t="shared" si="273"/>
        <v>0</v>
      </c>
      <c r="P1361" s="757"/>
      <c r="Q1361" s="739">
        <f t="shared" si="274"/>
        <v>0</v>
      </c>
      <c r="R1361" s="757"/>
      <c r="S1361" s="755"/>
      <c r="T1361" s="277"/>
      <c r="U1361" s="758" t="str">
        <f t="shared" si="275"/>
        <v/>
      </c>
      <c r="V1361" s="758" t="str">
        <f t="shared" si="276"/>
        <v>1900</v>
      </c>
      <c r="W1361" s="759"/>
      <c r="X1361" s="771"/>
      <c r="Y1361" s="977"/>
      <c r="Z1361" s="758"/>
      <c r="AA1361" s="758" t="str">
        <f t="shared" si="278"/>
        <v/>
      </c>
      <c r="AB1361" s="758" t="str">
        <f t="shared" si="279"/>
        <v/>
      </c>
      <c r="AC1361" s="758" t="str">
        <f t="shared" si="280"/>
        <v/>
      </c>
      <c r="AD1361" s="758" t="str">
        <f t="shared" si="267"/>
        <v>0</v>
      </c>
      <c r="AE1361" s="760"/>
      <c r="AF1361" s="760"/>
      <c r="AG1361" s="443"/>
      <c r="AH1361" s="443"/>
    </row>
    <row r="1362" spans="1:34">
      <c r="A1362" s="728">
        <f t="shared" si="277"/>
        <v>1355</v>
      </c>
      <c r="B1362" s="77"/>
      <c r="C1362" s="747"/>
      <c r="D1362" s="763" t="str">
        <f t="shared" si="268"/>
        <v>January</v>
      </c>
      <c r="E1362" s="763">
        <f t="shared" si="269"/>
        <v>0</v>
      </c>
      <c r="F1362" s="762">
        <f t="shared" si="270"/>
        <v>1900</v>
      </c>
      <c r="G1362" s="747"/>
      <c r="H1362" s="882"/>
      <c r="I1362" s="756"/>
      <c r="J1362" s="756"/>
      <c r="K1362" s="778">
        <f t="shared" si="271"/>
        <v>0</v>
      </c>
      <c r="L1362" s="976"/>
      <c r="M1362" s="736">
        <f t="shared" si="272"/>
        <v>0</v>
      </c>
      <c r="N1362" s="754"/>
      <c r="O1362" s="738">
        <f t="shared" si="273"/>
        <v>0</v>
      </c>
      <c r="P1362" s="757"/>
      <c r="Q1362" s="739">
        <f t="shared" si="274"/>
        <v>0</v>
      </c>
      <c r="R1362" s="757"/>
      <c r="S1362" s="755"/>
      <c r="T1362" s="277"/>
      <c r="U1362" s="758" t="str">
        <f t="shared" si="275"/>
        <v/>
      </c>
      <c r="V1362" s="758" t="str">
        <f t="shared" si="276"/>
        <v>1900</v>
      </c>
      <c r="W1362" s="759"/>
      <c r="X1362" s="771"/>
      <c r="Y1362" s="977"/>
      <c r="Z1362" s="758"/>
      <c r="AA1362" s="758" t="str">
        <f t="shared" si="278"/>
        <v/>
      </c>
      <c r="AB1362" s="758" t="str">
        <f t="shared" si="279"/>
        <v/>
      </c>
      <c r="AC1362" s="758" t="str">
        <f t="shared" si="280"/>
        <v/>
      </c>
      <c r="AD1362" s="758" t="str">
        <f t="shared" si="267"/>
        <v>0</v>
      </c>
      <c r="AE1362" s="760"/>
      <c r="AF1362" s="760"/>
      <c r="AG1362" s="443"/>
      <c r="AH1362" s="443"/>
    </row>
    <row r="1363" spans="1:34">
      <c r="A1363" s="728">
        <f t="shared" si="277"/>
        <v>1356</v>
      </c>
      <c r="B1363" s="77"/>
      <c r="C1363" s="747"/>
      <c r="D1363" s="763" t="str">
        <f t="shared" si="268"/>
        <v>January</v>
      </c>
      <c r="E1363" s="763">
        <f t="shared" si="269"/>
        <v>0</v>
      </c>
      <c r="F1363" s="762">
        <f t="shared" si="270"/>
        <v>1900</v>
      </c>
      <c r="G1363" s="747"/>
      <c r="H1363" s="882"/>
      <c r="I1363" s="756"/>
      <c r="J1363" s="756"/>
      <c r="K1363" s="778">
        <f t="shared" si="271"/>
        <v>0</v>
      </c>
      <c r="L1363" s="976"/>
      <c r="M1363" s="736">
        <f t="shared" si="272"/>
        <v>0</v>
      </c>
      <c r="N1363" s="754"/>
      <c r="O1363" s="738">
        <f t="shared" si="273"/>
        <v>0</v>
      </c>
      <c r="P1363" s="757"/>
      <c r="Q1363" s="739">
        <f t="shared" si="274"/>
        <v>0</v>
      </c>
      <c r="R1363" s="757"/>
      <c r="S1363" s="755"/>
      <c r="T1363" s="277"/>
      <c r="U1363" s="758" t="str">
        <f t="shared" si="275"/>
        <v/>
      </c>
      <c r="V1363" s="758" t="str">
        <f t="shared" si="276"/>
        <v>1900</v>
      </c>
      <c r="W1363" s="759"/>
      <c r="X1363" s="771"/>
      <c r="Y1363" s="977"/>
      <c r="Z1363" s="758"/>
      <c r="AA1363" s="758" t="str">
        <f t="shared" si="278"/>
        <v/>
      </c>
      <c r="AB1363" s="758" t="str">
        <f t="shared" si="279"/>
        <v/>
      </c>
      <c r="AC1363" s="758" t="str">
        <f t="shared" si="280"/>
        <v/>
      </c>
      <c r="AD1363" s="758" t="str">
        <f t="shared" si="267"/>
        <v>0</v>
      </c>
      <c r="AE1363" s="760"/>
      <c r="AF1363" s="760"/>
      <c r="AG1363" s="443"/>
      <c r="AH1363" s="443"/>
    </row>
    <row r="1364" spans="1:34">
      <c r="A1364" s="728">
        <f t="shared" si="277"/>
        <v>1357</v>
      </c>
      <c r="B1364" s="77"/>
      <c r="C1364" s="747"/>
      <c r="D1364" s="763" t="str">
        <f t="shared" si="268"/>
        <v>January</v>
      </c>
      <c r="E1364" s="763">
        <f t="shared" si="269"/>
        <v>0</v>
      </c>
      <c r="F1364" s="762">
        <f t="shared" si="270"/>
        <v>1900</v>
      </c>
      <c r="G1364" s="747"/>
      <c r="H1364" s="882"/>
      <c r="I1364" s="756"/>
      <c r="J1364" s="756"/>
      <c r="K1364" s="778">
        <f t="shared" si="271"/>
        <v>0</v>
      </c>
      <c r="L1364" s="976"/>
      <c r="M1364" s="736">
        <f t="shared" si="272"/>
        <v>0</v>
      </c>
      <c r="N1364" s="754"/>
      <c r="O1364" s="738">
        <f t="shared" si="273"/>
        <v>0</v>
      </c>
      <c r="P1364" s="757"/>
      <c r="Q1364" s="739">
        <f t="shared" si="274"/>
        <v>0</v>
      </c>
      <c r="R1364" s="757"/>
      <c r="S1364" s="755"/>
      <c r="T1364" s="277"/>
      <c r="U1364" s="758" t="str">
        <f t="shared" si="275"/>
        <v/>
      </c>
      <c r="V1364" s="758" t="str">
        <f t="shared" si="276"/>
        <v>1900</v>
      </c>
      <c r="W1364" s="759"/>
      <c r="X1364" s="771"/>
      <c r="Y1364" s="977"/>
      <c r="Z1364" s="758"/>
      <c r="AA1364" s="758" t="str">
        <f t="shared" si="278"/>
        <v/>
      </c>
      <c r="AB1364" s="758" t="str">
        <f t="shared" si="279"/>
        <v/>
      </c>
      <c r="AC1364" s="758" t="str">
        <f t="shared" si="280"/>
        <v/>
      </c>
      <c r="AD1364" s="758" t="str">
        <f t="shared" si="267"/>
        <v>0</v>
      </c>
      <c r="AE1364" s="760"/>
      <c r="AF1364" s="760"/>
      <c r="AG1364" s="443"/>
      <c r="AH1364" s="443"/>
    </row>
    <row r="1365" spans="1:34">
      <c r="A1365" s="728">
        <f t="shared" si="277"/>
        <v>1358</v>
      </c>
      <c r="B1365" s="77"/>
      <c r="C1365" s="747"/>
      <c r="D1365" s="763" t="str">
        <f t="shared" si="268"/>
        <v>January</v>
      </c>
      <c r="E1365" s="763">
        <f t="shared" si="269"/>
        <v>0</v>
      </c>
      <c r="F1365" s="762">
        <f t="shared" si="270"/>
        <v>1900</v>
      </c>
      <c r="G1365" s="747"/>
      <c r="H1365" s="882"/>
      <c r="I1365" s="756"/>
      <c r="J1365" s="756"/>
      <c r="K1365" s="778">
        <f t="shared" si="271"/>
        <v>0</v>
      </c>
      <c r="L1365" s="976"/>
      <c r="M1365" s="736">
        <f t="shared" si="272"/>
        <v>0</v>
      </c>
      <c r="N1365" s="754"/>
      <c r="O1365" s="738">
        <f t="shared" si="273"/>
        <v>0</v>
      </c>
      <c r="P1365" s="757"/>
      <c r="Q1365" s="739">
        <f t="shared" si="274"/>
        <v>0</v>
      </c>
      <c r="R1365" s="757"/>
      <c r="S1365" s="755"/>
      <c r="T1365" s="277"/>
      <c r="U1365" s="758" t="str">
        <f t="shared" si="275"/>
        <v/>
      </c>
      <c r="V1365" s="758" t="str">
        <f t="shared" si="276"/>
        <v>1900</v>
      </c>
      <c r="W1365" s="759"/>
      <c r="X1365" s="771"/>
      <c r="Y1365" s="977"/>
      <c r="Z1365" s="758"/>
      <c r="AA1365" s="758" t="str">
        <f t="shared" si="278"/>
        <v/>
      </c>
      <c r="AB1365" s="758" t="str">
        <f t="shared" si="279"/>
        <v/>
      </c>
      <c r="AC1365" s="758" t="str">
        <f t="shared" si="280"/>
        <v/>
      </c>
      <c r="AD1365" s="758" t="str">
        <f t="shared" si="267"/>
        <v>0</v>
      </c>
      <c r="AE1365" s="760"/>
      <c r="AF1365" s="760"/>
      <c r="AG1365" s="443"/>
      <c r="AH1365" s="443"/>
    </row>
    <row r="1366" spans="1:34">
      <c r="A1366" s="728">
        <f t="shared" si="277"/>
        <v>1359</v>
      </c>
      <c r="B1366" s="77"/>
      <c r="C1366" s="747"/>
      <c r="D1366" s="763" t="str">
        <f t="shared" si="268"/>
        <v>January</v>
      </c>
      <c r="E1366" s="763">
        <f t="shared" si="269"/>
        <v>0</v>
      </c>
      <c r="F1366" s="762">
        <f t="shared" si="270"/>
        <v>1900</v>
      </c>
      <c r="G1366" s="747"/>
      <c r="H1366" s="882"/>
      <c r="I1366" s="756"/>
      <c r="J1366" s="756"/>
      <c r="K1366" s="778">
        <f t="shared" si="271"/>
        <v>0</v>
      </c>
      <c r="L1366" s="976"/>
      <c r="M1366" s="736">
        <f t="shared" si="272"/>
        <v>0</v>
      </c>
      <c r="N1366" s="754"/>
      <c r="O1366" s="738">
        <f t="shared" si="273"/>
        <v>0</v>
      </c>
      <c r="P1366" s="757"/>
      <c r="Q1366" s="739">
        <f t="shared" si="274"/>
        <v>0</v>
      </c>
      <c r="R1366" s="757"/>
      <c r="S1366" s="755"/>
      <c r="T1366" s="277"/>
      <c r="U1366" s="758" t="str">
        <f t="shared" si="275"/>
        <v/>
      </c>
      <c r="V1366" s="758" t="str">
        <f t="shared" si="276"/>
        <v>1900</v>
      </c>
      <c r="W1366" s="759"/>
      <c r="X1366" s="771"/>
      <c r="Y1366" s="977"/>
      <c r="Z1366" s="758"/>
      <c r="AA1366" s="758" t="str">
        <f t="shared" si="278"/>
        <v/>
      </c>
      <c r="AB1366" s="758" t="str">
        <f t="shared" si="279"/>
        <v/>
      </c>
      <c r="AC1366" s="758" t="str">
        <f t="shared" si="280"/>
        <v/>
      </c>
      <c r="AD1366" s="758" t="str">
        <f t="shared" si="267"/>
        <v>0</v>
      </c>
      <c r="AE1366" s="760"/>
      <c r="AF1366" s="760"/>
      <c r="AG1366" s="443"/>
      <c r="AH1366" s="443"/>
    </row>
    <row r="1367" spans="1:34">
      <c r="A1367" s="728">
        <f t="shared" si="277"/>
        <v>1360</v>
      </c>
      <c r="B1367" s="77"/>
      <c r="C1367" s="747"/>
      <c r="D1367" s="763" t="str">
        <f t="shared" si="268"/>
        <v>January</v>
      </c>
      <c r="E1367" s="763">
        <f t="shared" si="269"/>
        <v>0</v>
      </c>
      <c r="F1367" s="762">
        <f t="shared" si="270"/>
        <v>1900</v>
      </c>
      <c r="G1367" s="747"/>
      <c r="H1367" s="882"/>
      <c r="I1367" s="756"/>
      <c r="J1367" s="756"/>
      <c r="K1367" s="778">
        <f t="shared" si="271"/>
        <v>0</v>
      </c>
      <c r="L1367" s="976"/>
      <c r="M1367" s="736">
        <f t="shared" si="272"/>
        <v>0</v>
      </c>
      <c r="N1367" s="754"/>
      <c r="O1367" s="738">
        <f t="shared" si="273"/>
        <v>0</v>
      </c>
      <c r="P1367" s="757"/>
      <c r="Q1367" s="739">
        <f t="shared" si="274"/>
        <v>0</v>
      </c>
      <c r="R1367" s="757"/>
      <c r="S1367" s="755"/>
      <c r="T1367" s="277"/>
      <c r="U1367" s="758" t="str">
        <f t="shared" si="275"/>
        <v/>
      </c>
      <c r="V1367" s="758" t="str">
        <f t="shared" si="276"/>
        <v>1900</v>
      </c>
      <c r="W1367" s="759"/>
      <c r="X1367" s="771"/>
      <c r="Y1367" s="977"/>
      <c r="Z1367" s="758"/>
      <c r="AA1367" s="758" t="str">
        <f t="shared" si="278"/>
        <v/>
      </c>
      <c r="AB1367" s="758" t="str">
        <f t="shared" si="279"/>
        <v/>
      </c>
      <c r="AC1367" s="758" t="str">
        <f t="shared" si="280"/>
        <v/>
      </c>
      <c r="AD1367" s="758" t="str">
        <f t="shared" si="267"/>
        <v>0</v>
      </c>
      <c r="AE1367" s="760"/>
      <c r="AF1367" s="760"/>
      <c r="AG1367" s="443"/>
      <c r="AH1367" s="443"/>
    </row>
    <row r="1368" spans="1:34">
      <c r="A1368" s="728">
        <f t="shared" si="277"/>
        <v>1361</v>
      </c>
      <c r="B1368" s="77"/>
      <c r="C1368" s="747"/>
      <c r="D1368" s="763" t="str">
        <f t="shared" si="268"/>
        <v>January</v>
      </c>
      <c r="E1368" s="763">
        <f t="shared" si="269"/>
        <v>0</v>
      </c>
      <c r="F1368" s="762">
        <f t="shared" si="270"/>
        <v>1900</v>
      </c>
      <c r="G1368" s="747"/>
      <c r="H1368" s="882"/>
      <c r="I1368" s="756"/>
      <c r="J1368" s="756"/>
      <c r="K1368" s="778">
        <f t="shared" si="271"/>
        <v>0</v>
      </c>
      <c r="L1368" s="976"/>
      <c r="M1368" s="736">
        <f t="shared" si="272"/>
        <v>0</v>
      </c>
      <c r="N1368" s="754"/>
      <c r="O1368" s="738">
        <f t="shared" si="273"/>
        <v>0</v>
      </c>
      <c r="P1368" s="757"/>
      <c r="Q1368" s="739">
        <f t="shared" si="274"/>
        <v>0</v>
      </c>
      <c r="R1368" s="757"/>
      <c r="S1368" s="755"/>
      <c r="T1368" s="277"/>
      <c r="U1368" s="758" t="str">
        <f t="shared" si="275"/>
        <v/>
      </c>
      <c r="V1368" s="758" t="str">
        <f t="shared" si="276"/>
        <v>1900</v>
      </c>
      <c r="W1368" s="759"/>
      <c r="X1368" s="771"/>
      <c r="Y1368" s="977"/>
      <c r="Z1368" s="758"/>
      <c r="AA1368" s="758" t="str">
        <f t="shared" si="278"/>
        <v/>
      </c>
      <c r="AB1368" s="758" t="str">
        <f t="shared" si="279"/>
        <v/>
      </c>
      <c r="AC1368" s="758" t="str">
        <f t="shared" si="280"/>
        <v/>
      </c>
      <c r="AD1368" s="758" t="str">
        <f t="shared" si="267"/>
        <v>0</v>
      </c>
      <c r="AE1368" s="760"/>
      <c r="AF1368" s="760"/>
      <c r="AG1368" s="443"/>
      <c r="AH1368" s="443"/>
    </row>
    <row r="1369" spans="1:34">
      <c r="A1369" s="728">
        <f t="shared" si="277"/>
        <v>1362</v>
      </c>
      <c r="B1369" s="77"/>
      <c r="C1369" s="747"/>
      <c r="D1369" s="763" t="str">
        <f t="shared" si="268"/>
        <v>January</v>
      </c>
      <c r="E1369" s="763">
        <f t="shared" si="269"/>
        <v>0</v>
      </c>
      <c r="F1369" s="762">
        <f t="shared" si="270"/>
        <v>1900</v>
      </c>
      <c r="G1369" s="747"/>
      <c r="H1369" s="882"/>
      <c r="I1369" s="756"/>
      <c r="J1369" s="756"/>
      <c r="K1369" s="778">
        <f t="shared" si="271"/>
        <v>0</v>
      </c>
      <c r="L1369" s="976"/>
      <c r="M1369" s="736">
        <f t="shared" si="272"/>
        <v>0</v>
      </c>
      <c r="N1369" s="754"/>
      <c r="O1369" s="738">
        <f t="shared" si="273"/>
        <v>0</v>
      </c>
      <c r="P1369" s="757"/>
      <c r="Q1369" s="739">
        <f t="shared" si="274"/>
        <v>0</v>
      </c>
      <c r="R1369" s="757"/>
      <c r="S1369" s="755"/>
      <c r="T1369" s="277"/>
      <c r="U1369" s="758" t="str">
        <f t="shared" si="275"/>
        <v/>
      </c>
      <c r="V1369" s="758" t="str">
        <f t="shared" si="276"/>
        <v>1900</v>
      </c>
      <c r="W1369" s="759"/>
      <c r="X1369" s="771"/>
      <c r="Y1369" s="977"/>
      <c r="Z1369" s="758"/>
      <c r="AA1369" s="758" t="str">
        <f t="shared" si="278"/>
        <v/>
      </c>
      <c r="AB1369" s="758" t="str">
        <f t="shared" si="279"/>
        <v/>
      </c>
      <c r="AC1369" s="758" t="str">
        <f t="shared" si="280"/>
        <v/>
      </c>
      <c r="AD1369" s="758" t="str">
        <f t="shared" ref="AD1369:AD1432" si="281">CONCATENATE(H1369,M1369)</f>
        <v>0</v>
      </c>
      <c r="AE1369" s="760"/>
      <c r="AF1369" s="760"/>
      <c r="AG1369" s="443"/>
      <c r="AH1369" s="443"/>
    </row>
    <row r="1370" spans="1:34">
      <c r="A1370" s="728">
        <f t="shared" si="277"/>
        <v>1363</v>
      </c>
      <c r="B1370" s="77"/>
      <c r="C1370" s="747"/>
      <c r="D1370" s="763" t="str">
        <f t="shared" si="268"/>
        <v>January</v>
      </c>
      <c r="E1370" s="763">
        <f t="shared" si="269"/>
        <v>0</v>
      </c>
      <c r="F1370" s="762">
        <f t="shared" si="270"/>
        <v>1900</v>
      </c>
      <c r="G1370" s="747"/>
      <c r="H1370" s="882"/>
      <c r="I1370" s="756"/>
      <c r="J1370" s="756"/>
      <c r="K1370" s="778">
        <f t="shared" si="271"/>
        <v>0</v>
      </c>
      <c r="L1370" s="976"/>
      <c r="M1370" s="736">
        <f t="shared" si="272"/>
        <v>0</v>
      </c>
      <c r="N1370" s="754"/>
      <c r="O1370" s="738">
        <f t="shared" si="273"/>
        <v>0</v>
      </c>
      <c r="P1370" s="757"/>
      <c r="Q1370" s="739">
        <f t="shared" si="274"/>
        <v>0</v>
      </c>
      <c r="R1370" s="757"/>
      <c r="S1370" s="755"/>
      <c r="T1370" s="277"/>
      <c r="U1370" s="758" t="str">
        <f t="shared" si="275"/>
        <v/>
      </c>
      <c r="V1370" s="758" t="str">
        <f t="shared" si="276"/>
        <v>1900</v>
      </c>
      <c r="W1370" s="759"/>
      <c r="X1370" s="771"/>
      <c r="Y1370" s="977"/>
      <c r="Z1370" s="758"/>
      <c r="AA1370" s="758" t="str">
        <f t="shared" si="278"/>
        <v/>
      </c>
      <c r="AB1370" s="758" t="str">
        <f t="shared" si="279"/>
        <v/>
      </c>
      <c r="AC1370" s="758" t="str">
        <f t="shared" si="280"/>
        <v/>
      </c>
      <c r="AD1370" s="758" t="str">
        <f t="shared" si="281"/>
        <v>0</v>
      </c>
      <c r="AE1370" s="760"/>
      <c r="AF1370" s="760"/>
      <c r="AG1370" s="443"/>
      <c r="AH1370" s="443"/>
    </row>
    <row r="1371" spans="1:34">
      <c r="A1371" s="728">
        <f t="shared" si="277"/>
        <v>1364</v>
      </c>
      <c r="B1371" s="77"/>
      <c r="C1371" s="747"/>
      <c r="D1371" s="763" t="str">
        <f t="shared" si="268"/>
        <v>January</v>
      </c>
      <c r="E1371" s="763">
        <f t="shared" si="269"/>
        <v>0</v>
      </c>
      <c r="F1371" s="762">
        <f t="shared" si="270"/>
        <v>1900</v>
      </c>
      <c r="G1371" s="747"/>
      <c r="H1371" s="882"/>
      <c r="I1371" s="756"/>
      <c r="J1371" s="756"/>
      <c r="K1371" s="778">
        <f t="shared" si="271"/>
        <v>0</v>
      </c>
      <c r="L1371" s="976"/>
      <c r="M1371" s="736">
        <f t="shared" si="272"/>
        <v>0</v>
      </c>
      <c r="N1371" s="754"/>
      <c r="O1371" s="738">
        <f t="shared" si="273"/>
        <v>0</v>
      </c>
      <c r="P1371" s="757"/>
      <c r="Q1371" s="739">
        <f t="shared" si="274"/>
        <v>0</v>
      </c>
      <c r="R1371" s="757"/>
      <c r="S1371" s="755"/>
      <c r="T1371" s="277"/>
      <c r="U1371" s="758" t="str">
        <f t="shared" si="275"/>
        <v/>
      </c>
      <c r="V1371" s="758" t="str">
        <f t="shared" si="276"/>
        <v>1900</v>
      </c>
      <c r="W1371" s="759"/>
      <c r="X1371" s="771"/>
      <c r="Y1371" s="977"/>
      <c r="Z1371" s="758"/>
      <c r="AA1371" s="758" t="str">
        <f t="shared" si="278"/>
        <v/>
      </c>
      <c r="AB1371" s="758" t="str">
        <f t="shared" si="279"/>
        <v/>
      </c>
      <c r="AC1371" s="758" t="str">
        <f t="shared" si="280"/>
        <v/>
      </c>
      <c r="AD1371" s="758" t="str">
        <f t="shared" si="281"/>
        <v>0</v>
      </c>
      <c r="AE1371" s="760"/>
      <c r="AF1371" s="760"/>
      <c r="AG1371" s="443"/>
      <c r="AH1371" s="443"/>
    </row>
    <row r="1372" spans="1:34">
      <c r="A1372" s="728">
        <f t="shared" si="277"/>
        <v>1365</v>
      </c>
      <c r="B1372" s="77"/>
      <c r="C1372" s="747"/>
      <c r="D1372" s="763" t="str">
        <f t="shared" si="268"/>
        <v>January</v>
      </c>
      <c r="E1372" s="763">
        <f t="shared" si="269"/>
        <v>0</v>
      </c>
      <c r="F1372" s="762">
        <f t="shared" si="270"/>
        <v>1900</v>
      </c>
      <c r="G1372" s="747"/>
      <c r="H1372" s="882"/>
      <c r="I1372" s="756"/>
      <c r="J1372" s="756"/>
      <c r="K1372" s="778">
        <f t="shared" si="271"/>
        <v>0</v>
      </c>
      <c r="L1372" s="976"/>
      <c r="M1372" s="736">
        <f t="shared" si="272"/>
        <v>0</v>
      </c>
      <c r="N1372" s="754"/>
      <c r="O1372" s="738">
        <f t="shared" si="273"/>
        <v>0</v>
      </c>
      <c r="P1372" s="757"/>
      <c r="Q1372" s="739">
        <f t="shared" si="274"/>
        <v>0</v>
      </c>
      <c r="R1372" s="757"/>
      <c r="S1372" s="755"/>
      <c r="T1372" s="277"/>
      <c r="U1372" s="758" t="str">
        <f t="shared" si="275"/>
        <v/>
      </c>
      <c r="V1372" s="758" t="str">
        <f t="shared" si="276"/>
        <v>1900</v>
      </c>
      <c r="W1372" s="759"/>
      <c r="X1372" s="771"/>
      <c r="Y1372" s="977"/>
      <c r="Z1372" s="758"/>
      <c r="AA1372" s="758" t="str">
        <f t="shared" si="278"/>
        <v/>
      </c>
      <c r="AB1372" s="758" t="str">
        <f t="shared" si="279"/>
        <v/>
      </c>
      <c r="AC1372" s="758" t="str">
        <f t="shared" si="280"/>
        <v/>
      </c>
      <c r="AD1372" s="758" t="str">
        <f t="shared" si="281"/>
        <v>0</v>
      </c>
      <c r="AE1372" s="760"/>
      <c r="AF1372" s="760"/>
      <c r="AG1372" s="443"/>
      <c r="AH1372" s="443"/>
    </row>
    <row r="1373" spans="1:34">
      <c r="A1373" s="728">
        <f t="shared" si="277"/>
        <v>1366</v>
      </c>
      <c r="B1373" s="77"/>
      <c r="C1373" s="747"/>
      <c r="D1373" s="763" t="str">
        <f t="shared" si="268"/>
        <v>January</v>
      </c>
      <c r="E1373" s="763">
        <f t="shared" si="269"/>
        <v>0</v>
      </c>
      <c r="F1373" s="762">
        <f t="shared" si="270"/>
        <v>1900</v>
      </c>
      <c r="G1373" s="747"/>
      <c r="H1373" s="882"/>
      <c r="I1373" s="756"/>
      <c r="J1373" s="756"/>
      <c r="K1373" s="778">
        <f t="shared" si="271"/>
        <v>0</v>
      </c>
      <c r="L1373" s="976"/>
      <c r="M1373" s="736">
        <f t="shared" si="272"/>
        <v>0</v>
      </c>
      <c r="N1373" s="754"/>
      <c r="O1373" s="738">
        <f t="shared" si="273"/>
        <v>0</v>
      </c>
      <c r="P1373" s="757"/>
      <c r="Q1373" s="739">
        <f t="shared" si="274"/>
        <v>0</v>
      </c>
      <c r="R1373" s="757"/>
      <c r="S1373" s="755"/>
      <c r="T1373" s="277"/>
      <c r="U1373" s="758" t="str">
        <f t="shared" si="275"/>
        <v/>
      </c>
      <c r="V1373" s="758" t="str">
        <f t="shared" si="276"/>
        <v>1900</v>
      </c>
      <c r="W1373" s="759"/>
      <c r="X1373" s="771"/>
      <c r="Y1373" s="977"/>
      <c r="Z1373" s="758"/>
      <c r="AA1373" s="758" t="str">
        <f t="shared" si="278"/>
        <v/>
      </c>
      <c r="AB1373" s="758" t="str">
        <f t="shared" si="279"/>
        <v/>
      </c>
      <c r="AC1373" s="758" t="str">
        <f t="shared" si="280"/>
        <v/>
      </c>
      <c r="AD1373" s="758" t="str">
        <f t="shared" si="281"/>
        <v>0</v>
      </c>
      <c r="AE1373" s="760"/>
      <c r="AF1373" s="760"/>
      <c r="AG1373" s="443"/>
      <c r="AH1373" s="443"/>
    </row>
    <row r="1374" spans="1:34">
      <c r="A1374" s="728">
        <f t="shared" si="277"/>
        <v>1367</v>
      </c>
      <c r="B1374" s="77"/>
      <c r="C1374" s="747"/>
      <c r="D1374" s="763" t="str">
        <f t="shared" si="268"/>
        <v>January</v>
      </c>
      <c r="E1374" s="763">
        <f t="shared" si="269"/>
        <v>0</v>
      </c>
      <c r="F1374" s="762">
        <f t="shared" si="270"/>
        <v>1900</v>
      </c>
      <c r="G1374" s="747"/>
      <c r="H1374" s="882"/>
      <c r="I1374" s="756"/>
      <c r="J1374" s="756"/>
      <c r="K1374" s="778">
        <f t="shared" si="271"/>
        <v>0</v>
      </c>
      <c r="L1374" s="976"/>
      <c r="M1374" s="736">
        <f t="shared" si="272"/>
        <v>0</v>
      </c>
      <c r="N1374" s="754"/>
      <c r="O1374" s="738">
        <f t="shared" si="273"/>
        <v>0</v>
      </c>
      <c r="P1374" s="757"/>
      <c r="Q1374" s="739">
        <f t="shared" si="274"/>
        <v>0</v>
      </c>
      <c r="R1374" s="757"/>
      <c r="S1374" s="755"/>
      <c r="T1374" s="277"/>
      <c r="U1374" s="758" t="str">
        <f t="shared" si="275"/>
        <v/>
      </c>
      <c r="V1374" s="758" t="str">
        <f t="shared" si="276"/>
        <v>1900</v>
      </c>
      <c r="W1374" s="759"/>
      <c r="X1374" s="771"/>
      <c r="Y1374" s="977"/>
      <c r="Z1374" s="758"/>
      <c r="AA1374" s="758" t="str">
        <f t="shared" si="278"/>
        <v/>
      </c>
      <c r="AB1374" s="758" t="str">
        <f t="shared" si="279"/>
        <v/>
      </c>
      <c r="AC1374" s="758" t="str">
        <f t="shared" si="280"/>
        <v/>
      </c>
      <c r="AD1374" s="758" t="str">
        <f t="shared" si="281"/>
        <v>0</v>
      </c>
      <c r="AE1374" s="760"/>
      <c r="AF1374" s="760"/>
      <c r="AG1374" s="443"/>
      <c r="AH1374" s="443"/>
    </row>
    <row r="1375" spans="1:34">
      <c r="A1375" s="728">
        <f t="shared" si="277"/>
        <v>1368</v>
      </c>
      <c r="B1375" s="77"/>
      <c r="C1375" s="747"/>
      <c r="D1375" s="763" t="str">
        <f t="shared" si="268"/>
        <v>January</v>
      </c>
      <c r="E1375" s="763">
        <f t="shared" si="269"/>
        <v>0</v>
      </c>
      <c r="F1375" s="762">
        <f t="shared" si="270"/>
        <v>1900</v>
      </c>
      <c r="G1375" s="747"/>
      <c r="H1375" s="882"/>
      <c r="I1375" s="756"/>
      <c r="J1375" s="756"/>
      <c r="K1375" s="778">
        <f t="shared" si="271"/>
        <v>0</v>
      </c>
      <c r="L1375" s="976"/>
      <c r="M1375" s="736">
        <f t="shared" si="272"/>
        <v>0</v>
      </c>
      <c r="N1375" s="754"/>
      <c r="O1375" s="738">
        <f t="shared" si="273"/>
        <v>0</v>
      </c>
      <c r="P1375" s="757"/>
      <c r="Q1375" s="739">
        <f t="shared" si="274"/>
        <v>0</v>
      </c>
      <c r="R1375" s="757"/>
      <c r="S1375" s="755"/>
      <c r="T1375" s="277"/>
      <c r="U1375" s="758" t="str">
        <f t="shared" si="275"/>
        <v/>
      </c>
      <c r="V1375" s="758" t="str">
        <f t="shared" si="276"/>
        <v>1900</v>
      </c>
      <c r="W1375" s="759"/>
      <c r="X1375" s="771"/>
      <c r="Y1375" s="977"/>
      <c r="Z1375" s="758"/>
      <c r="AA1375" s="758" t="str">
        <f t="shared" si="278"/>
        <v/>
      </c>
      <c r="AB1375" s="758" t="str">
        <f t="shared" si="279"/>
        <v/>
      </c>
      <c r="AC1375" s="758" t="str">
        <f t="shared" si="280"/>
        <v/>
      </c>
      <c r="AD1375" s="758" t="str">
        <f t="shared" si="281"/>
        <v>0</v>
      </c>
      <c r="AE1375" s="760"/>
      <c r="AF1375" s="760"/>
      <c r="AG1375" s="443"/>
      <c r="AH1375" s="443"/>
    </row>
    <row r="1376" spans="1:34">
      <c r="A1376" s="728">
        <f t="shared" si="277"/>
        <v>1369</v>
      </c>
      <c r="B1376" s="77"/>
      <c r="C1376" s="747"/>
      <c r="D1376" s="763" t="str">
        <f t="shared" si="268"/>
        <v>January</v>
      </c>
      <c r="E1376" s="763">
        <f t="shared" si="269"/>
        <v>0</v>
      </c>
      <c r="F1376" s="762">
        <f t="shared" si="270"/>
        <v>1900</v>
      </c>
      <c r="G1376" s="747"/>
      <c r="H1376" s="882"/>
      <c r="I1376" s="756"/>
      <c r="J1376" s="756"/>
      <c r="K1376" s="778">
        <f t="shared" si="271"/>
        <v>0</v>
      </c>
      <c r="L1376" s="976"/>
      <c r="M1376" s="736">
        <f t="shared" si="272"/>
        <v>0</v>
      </c>
      <c r="N1376" s="754"/>
      <c r="O1376" s="738">
        <f t="shared" si="273"/>
        <v>0</v>
      </c>
      <c r="P1376" s="757"/>
      <c r="Q1376" s="739">
        <f t="shared" si="274"/>
        <v>0</v>
      </c>
      <c r="R1376" s="757"/>
      <c r="S1376" s="755"/>
      <c r="T1376" s="277"/>
      <c r="U1376" s="758" t="str">
        <f t="shared" si="275"/>
        <v/>
      </c>
      <c r="V1376" s="758" t="str">
        <f t="shared" si="276"/>
        <v>1900</v>
      </c>
      <c r="W1376" s="759"/>
      <c r="X1376" s="771"/>
      <c r="Y1376" s="977"/>
      <c r="Z1376" s="758"/>
      <c r="AA1376" s="758" t="str">
        <f t="shared" si="278"/>
        <v/>
      </c>
      <c r="AB1376" s="758" t="str">
        <f t="shared" si="279"/>
        <v/>
      </c>
      <c r="AC1376" s="758" t="str">
        <f t="shared" si="280"/>
        <v/>
      </c>
      <c r="AD1376" s="758" t="str">
        <f t="shared" si="281"/>
        <v>0</v>
      </c>
      <c r="AE1376" s="760"/>
      <c r="AF1376" s="760"/>
      <c r="AG1376" s="443"/>
      <c r="AH1376" s="443"/>
    </row>
    <row r="1377" spans="1:34">
      <c r="A1377" s="728">
        <f t="shared" si="277"/>
        <v>1370</v>
      </c>
      <c r="B1377" s="77"/>
      <c r="C1377" s="747"/>
      <c r="D1377" s="763" t="str">
        <f t="shared" si="268"/>
        <v>January</v>
      </c>
      <c r="E1377" s="763">
        <f t="shared" si="269"/>
        <v>0</v>
      </c>
      <c r="F1377" s="762">
        <f t="shared" si="270"/>
        <v>1900</v>
      </c>
      <c r="G1377" s="747"/>
      <c r="H1377" s="882"/>
      <c r="I1377" s="756"/>
      <c r="J1377" s="756"/>
      <c r="K1377" s="778">
        <f t="shared" si="271"/>
        <v>0</v>
      </c>
      <c r="L1377" s="976"/>
      <c r="M1377" s="736">
        <f t="shared" si="272"/>
        <v>0</v>
      </c>
      <c r="N1377" s="754"/>
      <c r="O1377" s="738">
        <f t="shared" si="273"/>
        <v>0</v>
      </c>
      <c r="P1377" s="757"/>
      <c r="Q1377" s="739">
        <f t="shared" si="274"/>
        <v>0</v>
      </c>
      <c r="R1377" s="757"/>
      <c r="S1377" s="755"/>
      <c r="T1377" s="277"/>
      <c r="U1377" s="758" t="str">
        <f t="shared" si="275"/>
        <v/>
      </c>
      <c r="V1377" s="758" t="str">
        <f t="shared" si="276"/>
        <v>1900</v>
      </c>
      <c r="W1377" s="759"/>
      <c r="X1377" s="771"/>
      <c r="Y1377" s="977"/>
      <c r="Z1377" s="758"/>
      <c r="AA1377" s="758" t="str">
        <f t="shared" si="278"/>
        <v/>
      </c>
      <c r="AB1377" s="758" t="str">
        <f t="shared" si="279"/>
        <v/>
      </c>
      <c r="AC1377" s="758" t="str">
        <f t="shared" si="280"/>
        <v/>
      </c>
      <c r="AD1377" s="758" t="str">
        <f t="shared" si="281"/>
        <v>0</v>
      </c>
      <c r="AE1377" s="760"/>
      <c r="AF1377" s="760"/>
      <c r="AG1377" s="443"/>
      <c r="AH1377" s="443"/>
    </row>
    <row r="1378" spans="1:34">
      <c r="A1378" s="728">
        <f t="shared" si="277"/>
        <v>1371</v>
      </c>
      <c r="B1378" s="77"/>
      <c r="C1378" s="747"/>
      <c r="D1378" s="763" t="str">
        <f t="shared" si="268"/>
        <v>January</v>
      </c>
      <c r="E1378" s="763">
        <f t="shared" si="269"/>
        <v>0</v>
      </c>
      <c r="F1378" s="762">
        <f t="shared" si="270"/>
        <v>1900</v>
      </c>
      <c r="G1378" s="747"/>
      <c r="H1378" s="882"/>
      <c r="I1378" s="756"/>
      <c r="J1378" s="756"/>
      <c r="K1378" s="778">
        <f t="shared" si="271"/>
        <v>0</v>
      </c>
      <c r="L1378" s="976"/>
      <c r="M1378" s="736">
        <f t="shared" si="272"/>
        <v>0</v>
      </c>
      <c r="N1378" s="754"/>
      <c r="O1378" s="738">
        <f t="shared" si="273"/>
        <v>0</v>
      </c>
      <c r="P1378" s="757"/>
      <c r="Q1378" s="739">
        <f t="shared" si="274"/>
        <v>0</v>
      </c>
      <c r="R1378" s="757"/>
      <c r="S1378" s="755"/>
      <c r="T1378" s="277"/>
      <c r="U1378" s="758" t="str">
        <f t="shared" si="275"/>
        <v/>
      </c>
      <c r="V1378" s="758" t="str">
        <f t="shared" si="276"/>
        <v>1900</v>
      </c>
      <c r="W1378" s="759"/>
      <c r="X1378" s="771"/>
      <c r="Y1378" s="977"/>
      <c r="Z1378" s="758"/>
      <c r="AA1378" s="758" t="str">
        <f t="shared" si="278"/>
        <v/>
      </c>
      <c r="AB1378" s="758" t="str">
        <f t="shared" si="279"/>
        <v/>
      </c>
      <c r="AC1378" s="758" t="str">
        <f t="shared" si="280"/>
        <v/>
      </c>
      <c r="AD1378" s="758" t="str">
        <f t="shared" si="281"/>
        <v>0</v>
      </c>
      <c r="AE1378" s="760"/>
      <c r="AF1378" s="760"/>
      <c r="AG1378" s="443"/>
      <c r="AH1378" s="443"/>
    </row>
    <row r="1379" spans="1:34">
      <c r="A1379" s="728">
        <f t="shared" si="277"/>
        <v>1372</v>
      </c>
      <c r="B1379" s="77"/>
      <c r="C1379" s="747"/>
      <c r="D1379" s="763" t="str">
        <f t="shared" si="268"/>
        <v>January</v>
      </c>
      <c r="E1379" s="763">
        <f t="shared" si="269"/>
        <v>0</v>
      </c>
      <c r="F1379" s="762">
        <f t="shared" si="270"/>
        <v>1900</v>
      </c>
      <c r="G1379" s="747"/>
      <c r="H1379" s="882"/>
      <c r="I1379" s="756"/>
      <c r="J1379" s="756"/>
      <c r="K1379" s="778">
        <f t="shared" si="271"/>
        <v>0</v>
      </c>
      <c r="L1379" s="976"/>
      <c r="M1379" s="736">
        <f t="shared" si="272"/>
        <v>0</v>
      </c>
      <c r="N1379" s="754"/>
      <c r="O1379" s="738">
        <f t="shared" si="273"/>
        <v>0</v>
      </c>
      <c r="P1379" s="757"/>
      <c r="Q1379" s="739">
        <f t="shared" si="274"/>
        <v>0</v>
      </c>
      <c r="R1379" s="757"/>
      <c r="S1379" s="755"/>
      <c r="T1379" s="277"/>
      <c r="U1379" s="758" t="str">
        <f t="shared" si="275"/>
        <v/>
      </c>
      <c r="V1379" s="758" t="str">
        <f t="shared" si="276"/>
        <v>1900</v>
      </c>
      <c r="W1379" s="759"/>
      <c r="X1379" s="771"/>
      <c r="Y1379" s="977"/>
      <c r="Z1379" s="758"/>
      <c r="AA1379" s="758" t="str">
        <f t="shared" si="278"/>
        <v/>
      </c>
      <c r="AB1379" s="758" t="str">
        <f t="shared" si="279"/>
        <v/>
      </c>
      <c r="AC1379" s="758" t="str">
        <f t="shared" si="280"/>
        <v/>
      </c>
      <c r="AD1379" s="758" t="str">
        <f t="shared" si="281"/>
        <v>0</v>
      </c>
      <c r="AE1379" s="760"/>
      <c r="AF1379" s="760"/>
      <c r="AG1379" s="443"/>
      <c r="AH1379" s="443"/>
    </row>
    <row r="1380" spans="1:34">
      <c r="A1380" s="728">
        <f t="shared" si="277"/>
        <v>1373</v>
      </c>
      <c r="B1380" s="77"/>
      <c r="C1380" s="747"/>
      <c r="D1380" s="763" t="str">
        <f t="shared" si="268"/>
        <v>January</v>
      </c>
      <c r="E1380" s="763">
        <f t="shared" si="269"/>
        <v>0</v>
      </c>
      <c r="F1380" s="762">
        <f t="shared" si="270"/>
        <v>1900</v>
      </c>
      <c r="G1380" s="747"/>
      <c r="H1380" s="882"/>
      <c r="I1380" s="756"/>
      <c r="J1380" s="756"/>
      <c r="K1380" s="778">
        <f t="shared" si="271"/>
        <v>0</v>
      </c>
      <c r="L1380" s="976"/>
      <c r="M1380" s="736">
        <f t="shared" si="272"/>
        <v>0</v>
      </c>
      <c r="N1380" s="754"/>
      <c r="O1380" s="738">
        <f t="shared" si="273"/>
        <v>0</v>
      </c>
      <c r="P1380" s="757"/>
      <c r="Q1380" s="739">
        <f t="shared" si="274"/>
        <v>0</v>
      </c>
      <c r="R1380" s="757"/>
      <c r="S1380" s="755"/>
      <c r="T1380" s="277"/>
      <c r="U1380" s="758" t="str">
        <f t="shared" si="275"/>
        <v/>
      </c>
      <c r="V1380" s="758" t="str">
        <f t="shared" si="276"/>
        <v>1900</v>
      </c>
      <c r="W1380" s="759"/>
      <c r="X1380" s="771"/>
      <c r="Y1380" s="977"/>
      <c r="Z1380" s="758"/>
      <c r="AA1380" s="758" t="str">
        <f t="shared" si="278"/>
        <v/>
      </c>
      <c r="AB1380" s="758" t="str">
        <f t="shared" si="279"/>
        <v/>
      </c>
      <c r="AC1380" s="758" t="str">
        <f t="shared" si="280"/>
        <v/>
      </c>
      <c r="AD1380" s="758" t="str">
        <f t="shared" si="281"/>
        <v>0</v>
      </c>
      <c r="AE1380" s="760"/>
      <c r="AF1380" s="760"/>
      <c r="AG1380" s="443"/>
      <c r="AH1380" s="443"/>
    </row>
    <row r="1381" spans="1:34">
      <c r="A1381" s="728">
        <f t="shared" si="277"/>
        <v>1374</v>
      </c>
      <c r="B1381" s="77"/>
      <c r="C1381" s="747"/>
      <c r="D1381" s="763" t="str">
        <f t="shared" si="268"/>
        <v>January</v>
      </c>
      <c r="E1381" s="763">
        <f t="shared" si="269"/>
        <v>0</v>
      </c>
      <c r="F1381" s="762">
        <f t="shared" si="270"/>
        <v>1900</v>
      </c>
      <c r="G1381" s="747"/>
      <c r="H1381" s="882"/>
      <c r="I1381" s="756"/>
      <c r="J1381" s="756"/>
      <c r="K1381" s="778">
        <f t="shared" si="271"/>
        <v>0</v>
      </c>
      <c r="L1381" s="976"/>
      <c r="M1381" s="736">
        <f t="shared" si="272"/>
        <v>0</v>
      </c>
      <c r="N1381" s="754"/>
      <c r="O1381" s="738">
        <f t="shared" si="273"/>
        <v>0</v>
      </c>
      <c r="P1381" s="757"/>
      <c r="Q1381" s="739">
        <f t="shared" si="274"/>
        <v>0</v>
      </c>
      <c r="R1381" s="757"/>
      <c r="S1381" s="755"/>
      <c r="T1381" s="277"/>
      <c r="U1381" s="758" t="str">
        <f t="shared" si="275"/>
        <v/>
      </c>
      <c r="V1381" s="758" t="str">
        <f t="shared" si="276"/>
        <v>1900</v>
      </c>
      <c r="W1381" s="759"/>
      <c r="X1381" s="771"/>
      <c r="Y1381" s="977"/>
      <c r="Z1381" s="758"/>
      <c r="AA1381" s="758" t="str">
        <f t="shared" si="278"/>
        <v/>
      </c>
      <c r="AB1381" s="758" t="str">
        <f t="shared" si="279"/>
        <v/>
      </c>
      <c r="AC1381" s="758" t="str">
        <f t="shared" si="280"/>
        <v/>
      </c>
      <c r="AD1381" s="758" t="str">
        <f t="shared" si="281"/>
        <v>0</v>
      </c>
      <c r="AE1381" s="760"/>
      <c r="AF1381" s="760"/>
      <c r="AG1381" s="443"/>
      <c r="AH1381" s="443"/>
    </row>
    <row r="1382" spans="1:34">
      <c r="A1382" s="728">
        <f t="shared" si="277"/>
        <v>1375</v>
      </c>
      <c r="B1382" s="77"/>
      <c r="C1382" s="747"/>
      <c r="D1382" s="763" t="str">
        <f t="shared" si="268"/>
        <v>January</v>
      </c>
      <c r="E1382" s="763">
        <f t="shared" si="269"/>
        <v>0</v>
      </c>
      <c r="F1382" s="762">
        <f t="shared" si="270"/>
        <v>1900</v>
      </c>
      <c r="G1382" s="747"/>
      <c r="H1382" s="882"/>
      <c r="I1382" s="756"/>
      <c r="J1382" s="756"/>
      <c r="K1382" s="778">
        <f t="shared" si="271"/>
        <v>0</v>
      </c>
      <c r="L1382" s="976"/>
      <c r="M1382" s="736">
        <f t="shared" si="272"/>
        <v>0</v>
      </c>
      <c r="N1382" s="754"/>
      <c r="O1382" s="738">
        <f t="shared" si="273"/>
        <v>0</v>
      </c>
      <c r="P1382" s="757"/>
      <c r="Q1382" s="739">
        <f t="shared" si="274"/>
        <v>0</v>
      </c>
      <c r="R1382" s="757"/>
      <c r="S1382" s="755"/>
      <c r="T1382" s="277"/>
      <c r="U1382" s="758" t="str">
        <f t="shared" si="275"/>
        <v/>
      </c>
      <c r="V1382" s="758" t="str">
        <f t="shared" si="276"/>
        <v>1900</v>
      </c>
      <c r="W1382" s="759"/>
      <c r="X1382" s="771"/>
      <c r="Y1382" s="977"/>
      <c r="Z1382" s="758"/>
      <c r="AA1382" s="758" t="str">
        <f t="shared" si="278"/>
        <v/>
      </c>
      <c r="AB1382" s="758" t="str">
        <f t="shared" si="279"/>
        <v/>
      </c>
      <c r="AC1382" s="758" t="str">
        <f t="shared" si="280"/>
        <v/>
      </c>
      <c r="AD1382" s="758" t="str">
        <f t="shared" si="281"/>
        <v>0</v>
      </c>
      <c r="AE1382" s="760"/>
      <c r="AF1382" s="760"/>
      <c r="AG1382" s="443"/>
      <c r="AH1382" s="443"/>
    </row>
    <row r="1383" spans="1:34">
      <c r="A1383" s="728">
        <f t="shared" si="277"/>
        <v>1376</v>
      </c>
      <c r="B1383" s="77"/>
      <c r="C1383" s="747"/>
      <c r="D1383" s="763" t="str">
        <f t="shared" si="268"/>
        <v>January</v>
      </c>
      <c r="E1383" s="763">
        <f t="shared" si="269"/>
        <v>0</v>
      </c>
      <c r="F1383" s="762">
        <f t="shared" si="270"/>
        <v>1900</v>
      </c>
      <c r="G1383" s="747"/>
      <c r="H1383" s="882"/>
      <c r="I1383" s="756"/>
      <c r="J1383" s="756"/>
      <c r="K1383" s="778">
        <f t="shared" si="271"/>
        <v>0</v>
      </c>
      <c r="L1383" s="976"/>
      <c r="M1383" s="736">
        <f t="shared" si="272"/>
        <v>0</v>
      </c>
      <c r="N1383" s="754"/>
      <c r="O1383" s="738">
        <f t="shared" si="273"/>
        <v>0</v>
      </c>
      <c r="P1383" s="757"/>
      <c r="Q1383" s="739">
        <f t="shared" si="274"/>
        <v>0</v>
      </c>
      <c r="R1383" s="757"/>
      <c r="S1383" s="755"/>
      <c r="T1383" s="277"/>
      <c r="U1383" s="758" t="str">
        <f t="shared" si="275"/>
        <v/>
      </c>
      <c r="V1383" s="758" t="str">
        <f t="shared" si="276"/>
        <v>1900</v>
      </c>
      <c r="W1383" s="759"/>
      <c r="X1383" s="771"/>
      <c r="Y1383" s="977"/>
      <c r="Z1383" s="758"/>
      <c r="AA1383" s="758" t="str">
        <f t="shared" si="278"/>
        <v/>
      </c>
      <c r="AB1383" s="758" t="str">
        <f t="shared" si="279"/>
        <v/>
      </c>
      <c r="AC1383" s="758" t="str">
        <f t="shared" si="280"/>
        <v/>
      </c>
      <c r="AD1383" s="758" t="str">
        <f t="shared" si="281"/>
        <v>0</v>
      </c>
      <c r="AE1383" s="760"/>
      <c r="AF1383" s="760"/>
      <c r="AG1383" s="443"/>
      <c r="AH1383" s="443"/>
    </row>
    <row r="1384" spans="1:34">
      <c r="A1384" s="728">
        <f t="shared" si="277"/>
        <v>1377</v>
      </c>
      <c r="B1384" s="77"/>
      <c r="C1384" s="747"/>
      <c r="D1384" s="763" t="str">
        <f t="shared" si="268"/>
        <v>January</v>
      </c>
      <c r="E1384" s="763">
        <f t="shared" si="269"/>
        <v>0</v>
      </c>
      <c r="F1384" s="762">
        <f t="shared" si="270"/>
        <v>1900</v>
      </c>
      <c r="G1384" s="747"/>
      <c r="H1384" s="882"/>
      <c r="I1384" s="756"/>
      <c r="J1384" s="756"/>
      <c r="K1384" s="778">
        <f t="shared" si="271"/>
        <v>0</v>
      </c>
      <c r="L1384" s="976"/>
      <c r="M1384" s="736">
        <f t="shared" si="272"/>
        <v>0</v>
      </c>
      <c r="N1384" s="754"/>
      <c r="O1384" s="738">
        <f t="shared" si="273"/>
        <v>0</v>
      </c>
      <c r="P1384" s="757"/>
      <c r="Q1384" s="739">
        <f t="shared" si="274"/>
        <v>0</v>
      </c>
      <c r="R1384" s="757"/>
      <c r="S1384" s="755"/>
      <c r="T1384" s="277"/>
      <c r="U1384" s="758" t="str">
        <f t="shared" si="275"/>
        <v/>
      </c>
      <c r="V1384" s="758" t="str">
        <f t="shared" si="276"/>
        <v>1900</v>
      </c>
      <c r="W1384" s="759"/>
      <c r="X1384" s="771"/>
      <c r="Y1384" s="977"/>
      <c r="Z1384" s="758"/>
      <c r="AA1384" s="758" t="str">
        <f t="shared" si="278"/>
        <v/>
      </c>
      <c r="AB1384" s="758" t="str">
        <f t="shared" si="279"/>
        <v/>
      </c>
      <c r="AC1384" s="758" t="str">
        <f t="shared" si="280"/>
        <v/>
      </c>
      <c r="AD1384" s="758" t="str">
        <f t="shared" si="281"/>
        <v>0</v>
      </c>
      <c r="AE1384" s="760"/>
      <c r="AF1384" s="760"/>
      <c r="AG1384" s="443"/>
      <c r="AH1384" s="443"/>
    </row>
    <row r="1385" spans="1:34">
      <c r="A1385" s="728">
        <f t="shared" si="277"/>
        <v>1378</v>
      </c>
      <c r="B1385" s="77"/>
      <c r="C1385" s="747"/>
      <c r="D1385" s="763" t="str">
        <f t="shared" si="268"/>
        <v>January</v>
      </c>
      <c r="E1385" s="763">
        <f t="shared" si="269"/>
        <v>0</v>
      </c>
      <c r="F1385" s="762">
        <f t="shared" si="270"/>
        <v>1900</v>
      </c>
      <c r="G1385" s="747"/>
      <c r="H1385" s="882"/>
      <c r="I1385" s="756"/>
      <c r="J1385" s="756"/>
      <c r="K1385" s="778">
        <f t="shared" si="271"/>
        <v>0</v>
      </c>
      <c r="L1385" s="976"/>
      <c r="M1385" s="736">
        <f t="shared" si="272"/>
        <v>0</v>
      </c>
      <c r="N1385" s="754"/>
      <c r="O1385" s="738">
        <f t="shared" si="273"/>
        <v>0</v>
      </c>
      <c r="P1385" s="757"/>
      <c r="Q1385" s="739">
        <f t="shared" si="274"/>
        <v>0</v>
      </c>
      <c r="R1385" s="757"/>
      <c r="S1385" s="755"/>
      <c r="T1385" s="277"/>
      <c r="U1385" s="758" t="str">
        <f t="shared" si="275"/>
        <v/>
      </c>
      <c r="V1385" s="758" t="str">
        <f t="shared" si="276"/>
        <v>1900</v>
      </c>
      <c r="W1385" s="759"/>
      <c r="X1385" s="771"/>
      <c r="Y1385" s="977"/>
      <c r="Z1385" s="758"/>
      <c r="AA1385" s="758" t="str">
        <f t="shared" si="278"/>
        <v/>
      </c>
      <c r="AB1385" s="758" t="str">
        <f t="shared" si="279"/>
        <v/>
      </c>
      <c r="AC1385" s="758" t="str">
        <f t="shared" si="280"/>
        <v/>
      </c>
      <c r="AD1385" s="758" t="str">
        <f t="shared" si="281"/>
        <v>0</v>
      </c>
      <c r="AE1385" s="760"/>
      <c r="AF1385" s="760"/>
      <c r="AG1385" s="443"/>
      <c r="AH1385" s="443"/>
    </row>
    <row r="1386" spans="1:34">
      <c r="A1386" s="728">
        <f t="shared" si="277"/>
        <v>1379</v>
      </c>
      <c r="B1386" s="77"/>
      <c r="C1386" s="747"/>
      <c r="D1386" s="763" t="str">
        <f t="shared" si="268"/>
        <v>January</v>
      </c>
      <c r="E1386" s="763">
        <f t="shared" si="269"/>
        <v>0</v>
      </c>
      <c r="F1386" s="762">
        <f t="shared" si="270"/>
        <v>1900</v>
      </c>
      <c r="G1386" s="747"/>
      <c r="H1386" s="882"/>
      <c r="I1386" s="756"/>
      <c r="J1386" s="756"/>
      <c r="K1386" s="778">
        <f t="shared" si="271"/>
        <v>0</v>
      </c>
      <c r="L1386" s="976"/>
      <c r="M1386" s="736">
        <f t="shared" si="272"/>
        <v>0</v>
      </c>
      <c r="N1386" s="754"/>
      <c r="O1386" s="738">
        <f t="shared" si="273"/>
        <v>0</v>
      </c>
      <c r="P1386" s="757"/>
      <c r="Q1386" s="739">
        <f t="shared" si="274"/>
        <v>0</v>
      </c>
      <c r="R1386" s="757"/>
      <c r="S1386" s="755"/>
      <c r="T1386" s="277"/>
      <c r="U1386" s="758" t="str">
        <f t="shared" si="275"/>
        <v/>
      </c>
      <c r="V1386" s="758" t="str">
        <f t="shared" si="276"/>
        <v>1900</v>
      </c>
      <c r="W1386" s="759"/>
      <c r="X1386" s="771"/>
      <c r="Y1386" s="977"/>
      <c r="Z1386" s="758"/>
      <c r="AA1386" s="758" t="str">
        <f t="shared" si="278"/>
        <v/>
      </c>
      <c r="AB1386" s="758" t="str">
        <f t="shared" si="279"/>
        <v/>
      </c>
      <c r="AC1386" s="758" t="str">
        <f t="shared" si="280"/>
        <v/>
      </c>
      <c r="AD1386" s="758" t="str">
        <f t="shared" si="281"/>
        <v>0</v>
      </c>
      <c r="AE1386" s="760"/>
      <c r="AF1386" s="760"/>
      <c r="AG1386" s="443"/>
      <c r="AH1386" s="443"/>
    </row>
    <row r="1387" spans="1:34">
      <c r="A1387" s="728">
        <f t="shared" si="277"/>
        <v>1380</v>
      </c>
      <c r="B1387" s="77"/>
      <c r="C1387" s="747"/>
      <c r="D1387" s="763" t="str">
        <f t="shared" si="268"/>
        <v>January</v>
      </c>
      <c r="E1387" s="763">
        <f t="shared" si="269"/>
        <v>0</v>
      </c>
      <c r="F1387" s="762">
        <f t="shared" si="270"/>
        <v>1900</v>
      </c>
      <c r="G1387" s="747"/>
      <c r="H1387" s="882"/>
      <c r="I1387" s="756"/>
      <c r="J1387" s="756"/>
      <c r="K1387" s="778">
        <f t="shared" si="271"/>
        <v>0</v>
      </c>
      <c r="L1387" s="976"/>
      <c r="M1387" s="736">
        <f t="shared" si="272"/>
        <v>0</v>
      </c>
      <c r="N1387" s="754"/>
      <c r="O1387" s="738">
        <f t="shared" si="273"/>
        <v>0</v>
      </c>
      <c r="P1387" s="757"/>
      <c r="Q1387" s="739">
        <f t="shared" si="274"/>
        <v>0</v>
      </c>
      <c r="R1387" s="757"/>
      <c r="S1387" s="755"/>
      <c r="T1387" s="277"/>
      <c r="U1387" s="758" t="str">
        <f t="shared" si="275"/>
        <v/>
      </c>
      <c r="V1387" s="758" t="str">
        <f t="shared" si="276"/>
        <v>1900</v>
      </c>
      <c r="W1387" s="759"/>
      <c r="X1387" s="771"/>
      <c r="Y1387" s="977"/>
      <c r="Z1387" s="758"/>
      <c r="AA1387" s="758" t="str">
        <f t="shared" si="278"/>
        <v/>
      </c>
      <c r="AB1387" s="758" t="str">
        <f t="shared" si="279"/>
        <v/>
      </c>
      <c r="AC1387" s="758" t="str">
        <f t="shared" si="280"/>
        <v/>
      </c>
      <c r="AD1387" s="758" t="str">
        <f t="shared" si="281"/>
        <v>0</v>
      </c>
      <c r="AE1387" s="760"/>
      <c r="AF1387" s="760"/>
      <c r="AG1387" s="443"/>
      <c r="AH1387" s="443"/>
    </row>
    <row r="1388" spans="1:34">
      <c r="A1388" s="728">
        <f t="shared" si="277"/>
        <v>1381</v>
      </c>
      <c r="B1388" s="77"/>
      <c r="C1388" s="747"/>
      <c r="D1388" s="763" t="str">
        <f t="shared" si="268"/>
        <v>January</v>
      </c>
      <c r="E1388" s="763">
        <f t="shared" si="269"/>
        <v>0</v>
      </c>
      <c r="F1388" s="762">
        <f t="shared" si="270"/>
        <v>1900</v>
      </c>
      <c r="G1388" s="747"/>
      <c r="H1388" s="882"/>
      <c r="I1388" s="756"/>
      <c r="J1388" s="756"/>
      <c r="K1388" s="778">
        <f t="shared" si="271"/>
        <v>0</v>
      </c>
      <c r="L1388" s="976"/>
      <c r="M1388" s="736">
        <f t="shared" si="272"/>
        <v>0</v>
      </c>
      <c r="N1388" s="754"/>
      <c r="O1388" s="738">
        <f t="shared" si="273"/>
        <v>0</v>
      </c>
      <c r="P1388" s="757"/>
      <c r="Q1388" s="739">
        <f t="shared" si="274"/>
        <v>0</v>
      </c>
      <c r="R1388" s="757"/>
      <c r="S1388" s="755"/>
      <c r="T1388" s="277"/>
      <c r="U1388" s="758" t="str">
        <f t="shared" si="275"/>
        <v/>
      </c>
      <c r="V1388" s="758" t="str">
        <f t="shared" si="276"/>
        <v>1900</v>
      </c>
      <c r="W1388" s="759"/>
      <c r="X1388" s="771"/>
      <c r="Y1388" s="977"/>
      <c r="Z1388" s="758"/>
      <c r="AA1388" s="758" t="str">
        <f t="shared" si="278"/>
        <v/>
      </c>
      <c r="AB1388" s="758" t="str">
        <f t="shared" si="279"/>
        <v/>
      </c>
      <c r="AC1388" s="758" t="str">
        <f t="shared" si="280"/>
        <v/>
      </c>
      <c r="AD1388" s="758" t="str">
        <f t="shared" si="281"/>
        <v>0</v>
      </c>
      <c r="AE1388" s="760"/>
      <c r="AF1388" s="760"/>
      <c r="AG1388" s="443"/>
      <c r="AH1388" s="443"/>
    </row>
    <row r="1389" spans="1:34">
      <c r="A1389" s="728">
        <f t="shared" si="277"/>
        <v>1382</v>
      </c>
      <c r="B1389" s="77"/>
      <c r="C1389" s="747"/>
      <c r="D1389" s="763" t="str">
        <f t="shared" si="268"/>
        <v>January</v>
      </c>
      <c r="E1389" s="763">
        <f t="shared" si="269"/>
        <v>0</v>
      </c>
      <c r="F1389" s="762">
        <f t="shared" si="270"/>
        <v>1900</v>
      </c>
      <c r="G1389" s="747"/>
      <c r="H1389" s="882"/>
      <c r="I1389" s="756"/>
      <c r="J1389" s="756"/>
      <c r="K1389" s="778">
        <f t="shared" si="271"/>
        <v>0</v>
      </c>
      <c r="L1389" s="976"/>
      <c r="M1389" s="736">
        <f t="shared" si="272"/>
        <v>0</v>
      </c>
      <c r="N1389" s="754"/>
      <c r="O1389" s="738">
        <f t="shared" si="273"/>
        <v>0</v>
      </c>
      <c r="P1389" s="757"/>
      <c r="Q1389" s="739">
        <f t="shared" si="274"/>
        <v>0</v>
      </c>
      <c r="R1389" s="757"/>
      <c r="S1389" s="755"/>
      <c r="T1389" s="277"/>
      <c r="U1389" s="758" t="str">
        <f t="shared" si="275"/>
        <v/>
      </c>
      <c r="V1389" s="758" t="str">
        <f t="shared" si="276"/>
        <v>1900</v>
      </c>
      <c r="W1389" s="759"/>
      <c r="X1389" s="771"/>
      <c r="Y1389" s="977"/>
      <c r="Z1389" s="758"/>
      <c r="AA1389" s="758" t="str">
        <f t="shared" si="278"/>
        <v/>
      </c>
      <c r="AB1389" s="758" t="str">
        <f t="shared" si="279"/>
        <v/>
      </c>
      <c r="AC1389" s="758" t="str">
        <f t="shared" si="280"/>
        <v/>
      </c>
      <c r="AD1389" s="758" t="str">
        <f t="shared" si="281"/>
        <v>0</v>
      </c>
      <c r="AE1389" s="760"/>
      <c r="AF1389" s="760"/>
      <c r="AG1389" s="443"/>
      <c r="AH1389" s="443"/>
    </row>
    <row r="1390" spans="1:34">
      <c r="A1390" s="728">
        <f t="shared" si="277"/>
        <v>1383</v>
      </c>
      <c r="B1390" s="77"/>
      <c r="C1390" s="747"/>
      <c r="D1390" s="763" t="str">
        <f t="shared" si="268"/>
        <v>January</v>
      </c>
      <c r="E1390" s="763">
        <f t="shared" si="269"/>
        <v>0</v>
      </c>
      <c r="F1390" s="762">
        <f t="shared" si="270"/>
        <v>1900</v>
      </c>
      <c r="G1390" s="747"/>
      <c r="H1390" s="882"/>
      <c r="I1390" s="756"/>
      <c r="J1390" s="756"/>
      <c r="K1390" s="778">
        <f t="shared" si="271"/>
        <v>0</v>
      </c>
      <c r="L1390" s="976"/>
      <c r="M1390" s="736">
        <f t="shared" si="272"/>
        <v>0</v>
      </c>
      <c r="N1390" s="754"/>
      <c r="O1390" s="738">
        <f t="shared" si="273"/>
        <v>0</v>
      </c>
      <c r="P1390" s="757"/>
      <c r="Q1390" s="739">
        <f t="shared" si="274"/>
        <v>0</v>
      </c>
      <c r="R1390" s="757"/>
      <c r="S1390" s="755"/>
      <c r="T1390" s="277"/>
      <c r="U1390" s="758" t="str">
        <f t="shared" si="275"/>
        <v/>
      </c>
      <c r="V1390" s="758" t="str">
        <f t="shared" si="276"/>
        <v>1900</v>
      </c>
      <c r="W1390" s="759"/>
      <c r="X1390" s="771"/>
      <c r="Y1390" s="977"/>
      <c r="Z1390" s="758"/>
      <c r="AA1390" s="758" t="str">
        <f t="shared" si="278"/>
        <v/>
      </c>
      <c r="AB1390" s="758" t="str">
        <f t="shared" si="279"/>
        <v/>
      </c>
      <c r="AC1390" s="758" t="str">
        <f t="shared" si="280"/>
        <v/>
      </c>
      <c r="AD1390" s="758" t="str">
        <f t="shared" si="281"/>
        <v>0</v>
      </c>
      <c r="AE1390" s="760"/>
      <c r="AF1390" s="760"/>
      <c r="AG1390" s="443"/>
      <c r="AH1390" s="443"/>
    </row>
    <row r="1391" spans="1:34">
      <c r="A1391" s="728">
        <f t="shared" si="277"/>
        <v>1384</v>
      </c>
      <c r="B1391" s="77"/>
      <c r="C1391" s="747"/>
      <c r="D1391" s="763" t="str">
        <f t="shared" si="268"/>
        <v>January</v>
      </c>
      <c r="E1391" s="763">
        <f t="shared" si="269"/>
        <v>0</v>
      </c>
      <c r="F1391" s="762">
        <f t="shared" si="270"/>
        <v>1900</v>
      </c>
      <c r="G1391" s="747"/>
      <c r="H1391" s="882"/>
      <c r="I1391" s="756"/>
      <c r="J1391" s="756"/>
      <c r="K1391" s="778">
        <f t="shared" si="271"/>
        <v>0</v>
      </c>
      <c r="L1391" s="976"/>
      <c r="M1391" s="736">
        <f t="shared" si="272"/>
        <v>0</v>
      </c>
      <c r="N1391" s="754"/>
      <c r="O1391" s="738">
        <f t="shared" si="273"/>
        <v>0</v>
      </c>
      <c r="P1391" s="757"/>
      <c r="Q1391" s="739">
        <f t="shared" si="274"/>
        <v>0</v>
      </c>
      <c r="R1391" s="757"/>
      <c r="S1391" s="755"/>
      <c r="T1391" s="277"/>
      <c r="U1391" s="758" t="str">
        <f t="shared" si="275"/>
        <v/>
      </c>
      <c r="V1391" s="758" t="str">
        <f t="shared" si="276"/>
        <v>1900</v>
      </c>
      <c r="W1391" s="759"/>
      <c r="X1391" s="771"/>
      <c r="Y1391" s="977"/>
      <c r="Z1391" s="758"/>
      <c r="AA1391" s="758" t="str">
        <f t="shared" si="278"/>
        <v/>
      </c>
      <c r="AB1391" s="758" t="str">
        <f t="shared" si="279"/>
        <v/>
      </c>
      <c r="AC1391" s="758" t="str">
        <f t="shared" si="280"/>
        <v/>
      </c>
      <c r="AD1391" s="758" t="str">
        <f t="shared" si="281"/>
        <v>0</v>
      </c>
      <c r="AE1391" s="760"/>
      <c r="AF1391" s="760"/>
      <c r="AG1391" s="443"/>
      <c r="AH1391" s="443"/>
    </row>
    <row r="1392" spans="1:34">
      <c r="A1392" s="728">
        <f t="shared" si="277"/>
        <v>1385</v>
      </c>
      <c r="B1392" s="77"/>
      <c r="C1392" s="747"/>
      <c r="D1392" s="763" t="str">
        <f t="shared" si="268"/>
        <v>January</v>
      </c>
      <c r="E1392" s="763">
        <f t="shared" si="269"/>
        <v>0</v>
      </c>
      <c r="F1392" s="762">
        <f t="shared" si="270"/>
        <v>1900</v>
      </c>
      <c r="G1392" s="747"/>
      <c r="H1392" s="882"/>
      <c r="I1392" s="756"/>
      <c r="J1392" s="756"/>
      <c r="K1392" s="778">
        <f t="shared" si="271"/>
        <v>0</v>
      </c>
      <c r="L1392" s="976"/>
      <c r="M1392" s="736">
        <f t="shared" si="272"/>
        <v>0</v>
      </c>
      <c r="N1392" s="754"/>
      <c r="O1392" s="738">
        <f t="shared" si="273"/>
        <v>0</v>
      </c>
      <c r="P1392" s="757"/>
      <c r="Q1392" s="739">
        <f t="shared" si="274"/>
        <v>0</v>
      </c>
      <c r="R1392" s="757"/>
      <c r="S1392" s="755"/>
      <c r="T1392" s="277"/>
      <c r="U1392" s="758" t="str">
        <f t="shared" si="275"/>
        <v/>
      </c>
      <c r="V1392" s="758" t="str">
        <f t="shared" si="276"/>
        <v>1900</v>
      </c>
      <c r="W1392" s="759"/>
      <c r="X1392" s="771"/>
      <c r="Y1392" s="977"/>
      <c r="Z1392" s="758"/>
      <c r="AA1392" s="758" t="str">
        <f t="shared" si="278"/>
        <v/>
      </c>
      <c r="AB1392" s="758" t="str">
        <f t="shared" si="279"/>
        <v/>
      </c>
      <c r="AC1392" s="758" t="str">
        <f t="shared" si="280"/>
        <v/>
      </c>
      <c r="AD1392" s="758" t="str">
        <f t="shared" si="281"/>
        <v>0</v>
      </c>
      <c r="AE1392" s="760"/>
      <c r="AF1392" s="760"/>
      <c r="AG1392" s="443"/>
      <c r="AH1392" s="443"/>
    </row>
    <row r="1393" spans="1:34">
      <c r="A1393" s="728">
        <f t="shared" si="277"/>
        <v>1386</v>
      </c>
      <c r="B1393" s="77"/>
      <c r="C1393" s="747"/>
      <c r="D1393" s="763" t="str">
        <f t="shared" si="268"/>
        <v>January</v>
      </c>
      <c r="E1393" s="763">
        <f t="shared" si="269"/>
        <v>0</v>
      </c>
      <c r="F1393" s="762">
        <f t="shared" si="270"/>
        <v>1900</v>
      </c>
      <c r="G1393" s="747"/>
      <c r="H1393" s="882"/>
      <c r="I1393" s="756"/>
      <c r="J1393" s="756"/>
      <c r="K1393" s="778">
        <f t="shared" si="271"/>
        <v>0</v>
      </c>
      <c r="L1393" s="976"/>
      <c r="M1393" s="736">
        <f t="shared" si="272"/>
        <v>0</v>
      </c>
      <c r="N1393" s="754"/>
      <c r="O1393" s="738">
        <f t="shared" si="273"/>
        <v>0</v>
      </c>
      <c r="P1393" s="757"/>
      <c r="Q1393" s="739">
        <f t="shared" si="274"/>
        <v>0</v>
      </c>
      <c r="R1393" s="757"/>
      <c r="S1393" s="755"/>
      <c r="T1393" s="277"/>
      <c r="U1393" s="758" t="str">
        <f t="shared" si="275"/>
        <v/>
      </c>
      <c r="V1393" s="758" t="str">
        <f t="shared" si="276"/>
        <v>1900</v>
      </c>
      <c r="W1393" s="759"/>
      <c r="X1393" s="771"/>
      <c r="Y1393" s="977"/>
      <c r="Z1393" s="758"/>
      <c r="AA1393" s="758" t="str">
        <f t="shared" si="278"/>
        <v/>
      </c>
      <c r="AB1393" s="758" t="str">
        <f t="shared" si="279"/>
        <v/>
      </c>
      <c r="AC1393" s="758" t="str">
        <f t="shared" si="280"/>
        <v/>
      </c>
      <c r="AD1393" s="758" t="str">
        <f t="shared" si="281"/>
        <v>0</v>
      </c>
      <c r="AE1393" s="760"/>
      <c r="AF1393" s="760"/>
      <c r="AG1393" s="443"/>
      <c r="AH1393" s="443"/>
    </row>
    <row r="1394" spans="1:34">
      <c r="A1394" s="728">
        <f t="shared" si="277"/>
        <v>1387</v>
      </c>
      <c r="B1394" s="77"/>
      <c r="C1394" s="747"/>
      <c r="D1394" s="763" t="str">
        <f t="shared" si="268"/>
        <v>January</v>
      </c>
      <c r="E1394" s="763">
        <f t="shared" si="269"/>
        <v>0</v>
      </c>
      <c r="F1394" s="762">
        <f t="shared" si="270"/>
        <v>1900</v>
      </c>
      <c r="G1394" s="747"/>
      <c r="H1394" s="882"/>
      <c r="I1394" s="756"/>
      <c r="J1394" s="756"/>
      <c r="K1394" s="778">
        <f t="shared" si="271"/>
        <v>0</v>
      </c>
      <c r="L1394" s="976"/>
      <c r="M1394" s="736">
        <f t="shared" si="272"/>
        <v>0</v>
      </c>
      <c r="N1394" s="754"/>
      <c r="O1394" s="738">
        <f t="shared" si="273"/>
        <v>0</v>
      </c>
      <c r="P1394" s="757"/>
      <c r="Q1394" s="739">
        <f t="shared" si="274"/>
        <v>0</v>
      </c>
      <c r="R1394" s="757"/>
      <c r="S1394" s="755"/>
      <c r="T1394" s="277"/>
      <c r="U1394" s="758" t="str">
        <f t="shared" si="275"/>
        <v/>
      </c>
      <c r="V1394" s="758" t="str">
        <f t="shared" si="276"/>
        <v>1900</v>
      </c>
      <c r="W1394" s="759"/>
      <c r="X1394" s="771"/>
      <c r="Y1394" s="977"/>
      <c r="Z1394" s="758"/>
      <c r="AA1394" s="758" t="str">
        <f t="shared" si="278"/>
        <v/>
      </c>
      <c r="AB1394" s="758" t="str">
        <f t="shared" si="279"/>
        <v/>
      </c>
      <c r="AC1394" s="758" t="str">
        <f t="shared" si="280"/>
        <v/>
      </c>
      <c r="AD1394" s="758" t="str">
        <f t="shared" si="281"/>
        <v>0</v>
      </c>
      <c r="AE1394" s="760"/>
      <c r="AF1394" s="760"/>
      <c r="AG1394" s="443"/>
      <c r="AH1394" s="443"/>
    </row>
    <row r="1395" spans="1:34">
      <c r="A1395" s="728">
        <f t="shared" si="277"/>
        <v>1388</v>
      </c>
      <c r="B1395" s="77"/>
      <c r="C1395" s="747"/>
      <c r="D1395" s="763" t="str">
        <f t="shared" si="268"/>
        <v>January</v>
      </c>
      <c r="E1395" s="763">
        <f t="shared" si="269"/>
        <v>0</v>
      </c>
      <c r="F1395" s="762">
        <f t="shared" si="270"/>
        <v>1900</v>
      </c>
      <c r="G1395" s="747"/>
      <c r="H1395" s="882"/>
      <c r="I1395" s="756"/>
      <c r="J1395" s="756"/>
      <c r="K1395" s="778">
        <f t="shared" si="271"/>
        <v>0</v>
      </c>
      <c r="L1395" s="976"/>
      <c r="M1395" s="736">
        <f t="shared" si="272"/>
        <v>0</v>
      </c>
      <c r="N1395" s="754"/>
      <c r="O1395" s="738">
        <f t="shared" si="273"/>
        <v>0</v>
      </c>
      <c r="P1395" s="757"/>
      <c r="Q1395" s="739">
        <f t="shared" si="274"/>
        <v>0</v>
      </c>
      <c r="R1395" s="757"/>
      <c r="S1395" s="755"/>
      <c r="T1395" s="277"/>
      <c r="U1395" s="758" t="str">
        <f t="shared" si="275"/>
        <v/>
      </c>
      <c r="V1395" s="758" t="str">
        <f t="shared" si="276"/>
        <v>1900</v>
      </c>
      <c r="W1395" s="759"/>
      <c r="X1395" s="771"/>
      <c r="Y1395" s="977"/>
      <c r="Z1395" s="758"/>
      <c r="AA1395" s="758" t="str">
        <f t="shared" si="278"/>
        <v/>
      </c>
      <c r="AB1395" s="758" t="str">
        <f t="shared" si="279"/>
        <v/>
      </c>
      <c r="AC1395" s="758" t="str">
        <f t="shared" si="280"/>
        <v/>
      </c>
      <c r="AD1395" s="758" t="str">
        <f t="shared" si="281"/>
        <v>0</v>
      </c>
      <c r="AE1395" s="760"/>
      <c r="AF1395" s="760"/>
      <c r="AG1395" s="443"/>
      <c r="AH1395" s="443"/>
    </row>
    <row r="1396" spans="1:34">
      <c r="A1396" s="728">
        <f t="shared" si="277"/>
        <v>1389</v>
      </c>
      <c r="B1396" s="77"/>
      <c r="C1396" s="747"/>
      <c r="D1396" s="763" t="str">
        <f t="shared" si="268"/>
        <v>January</v>
      </c>
      <c r="E1396" s="763">
        <f t="shared" si="269"/>
        <v>0</v>
      </c>
      <c r="F1396" s="762">
        <f t="shared" si="270"/>
        <v>1900</v>
      </c>
      <c r="G1396" s="747"/>
      <c r="H1396" s="882"/>
      <c r="I1396" s="756"/>
      <c r="J1396" s="756"/>
      <c r="K1396" s="778">
        <f t="shared" si="271"/>
        <v>0</v>
      </c>
      <c r="L1396" s="976"/>
      <c r="M1396" s="736">
        <f t="shared" si="272"/>
        <v>0</v>
      </c>
      <c r="N1396" s="754"/>
      <c r="O1396" s="738">
        <f t="shared" si="273"/>
        <v>0</v>
      </c>
      <c r="P1396" s="757"/>
      <c r="Q1396" s="739">
        <f t="shared" si="274"/>
        <v>0</v>
      </c>
      <c r="R1396" s="757"/>
      <c r="S1396" s="755"/>
      <c r="T1396" s="277"/>
      <c r="U1396" s="758" t="str">
        <f t="shared" si="275"/>
        <v/>
      </c>
      <c r="V1396" s="758" t="str">
        <f t="shared" si="276"/>
        <v>1900</v>
      </c>
      <c r="W1396" s="759"/>
      <c r="X1396" s="771"/>
      <c r="Y1396" s="977"/>
      <c r="Z1396" s="758"/>
      <c r="AA1396" s="758" t="str">
        <f t="shared" si="278"/>
        <v/>
      </c>
      <c r="AB1396" s="758" t="str">
        <f t="shared" si="279"/>
        <v/>
      </c>
      <c r="AC1396" s="758" t="str">
        <f t="shared" si="280"/>
        <v/>
      </c>
      <c r="AD1396" s="758" t="str">
        <f t="shared" si="281"/>
        <v>0</v>
      </c>
      <c r="AE1396" s="760"/>
      <c r="AF1396" s="760"/>
      <c r="AG1396" s="443"/>
      <c r="AH1396" s="443"/>
    </row>
    <row r="1397" spans="1:34">
      <c r="A1397" s="728">
        <f t="shared" si="277"/>
        <v>1390</v>
      </c>
      <c r="B1397" s="77"/>
      <c r="C1397" s="747"/>
      <c r="D1397" s="763" t="str">
        <f t="shared" si="268"/>
        <v>January</v>
      </c>
      <c r="E1397" s="763">
        <f t="shared" si="269"/>
        <v>0</v>
      </c>
      <c r="F1397" s="762">
        <f t="shared" si="270"/>
        <v>1900</v>
      </c>
      <c r="G1397" s="747"/>
      <c r="H1397" s="882"/>
      <c r="I1397" s="756"/>
      <c r="J1397" s="756"/>
      <c r="K1397" s="778">
        <f t="shared" si="271"/>
        <v>0</v>
      </c>
      <c r="L1397" s="976"/>
      <c r="M1397" s="736">
        <f t="shared" si="272"/>
        <v>0</v>
      </c>
      <c r="N1397" s="754"/>
      <c r="O1397" s="738">
        <f t="shared" si="273"/>
        <v>0</v>
      </c>
      <c r="P1397" s="757"/>
      <c r="Q1397" s="739">
        <f t="shared" si="274"/>
        <v>0</v>
      </c>
      <c r="R1397" s="757"/>
      <c r="S1397" s="755"/>
      <c r="T1397" s="277"/>
      <c r="U1397" s="758" t="str">
        <f t="shared" si="275"/>
        <v/>
      </c>
      <c r="V1397" s="758" t="str">
        <f t="shared" si="276"/>
        <v>1900</v>
      </c>
      <c r="W1397" s="759"/>
      <c r="X1397" s="771"/>
      <c r="Y1397" s="977"/>
      <c r="Z1397" s="758"/>
      <c r="AA1397" s="758" t="str">
        <f t="shared" si="278"/>
        <v/>
      </c>
      <c r="AB1397" s="758" t="str">
        <f t="shared" si="279"/>
        <v/>
      </c>
      <c r="AC1397" s="758" t="str">
        <f t="shared" si="280"/>
        <v/>
      </c>
      <c r="AD1397" s="758" t="str">
        <f t="shared" si="281"/>
        <v>0</v>
      </c>
      <c r="AE1397" s="760"/>
      <c r="AF1397" s="760"/>
      <c r="AG1397" s="443"/>
      <c r="AH1397" s="443"/>
    </row>
    <row r="1398" spans="1:34">
      <c r="A1398" s="728">
        <f t="shared" si="277"/>
        <v>1391</v>
      </c>
      <c r="B1398" s="77"/>
      <c r="C1398" s="747"/>
      <c r="D1398" s="763" t="str">
        <f t="shared" si="268"/>
        <v>January</v>
      </c>
      <c r="E1398" s="763">
        <f t="shared" si="269"/>
        <v>0</v>
      </c>
      <c r="F1398" s="762">
        <f t="shared" si="270"/>
        <v>1900</v>
      </c>
      <c r="G1398" s="747"/>
      <c r="H1398" s="882"/>
      <c r="I1398" s="756"/>
      <c r="J1398" s="756"/>
      <c r="K1398" s="778">
        <f t="shared" si="271"/>
        <v>0</v>
      </c>
      <c r="L1398" s="976"/>
      <c r="M1398" s="736">
        <f t="shared" si="272"/>
        <v>0</v>
      </c>
      <c r="N1398" s="754"/>
      <c r="O1398" s="738">
        <f t="shared" si="273"/>
        <v>0</v>
      </c>
      <c r="P1398" s="757"/>
      <c r="Q1398" s="739">
        <f t="shared" si="274"/>
        <v>0</v>
      </c>
      <c r="R1398" s="757"/>
      <c r="S1398" s="755"/>
      <c r="T1398" s="277"/>
      <c r="U1398" s="758" t="str">
        <f t="shared" si="275"/>
        <v/>
      </c>
      <c r="V1398" s="758" t="str">
        <f t="shared" si="276"/>
        <v>1900</v>
      </c>
      <c r="W1398" s="759"/>
      <c r="X1398" s="771"/>
      <c r="Y1398" s="977"/>
      <c r="Z1398" s="758"/>
      <c r="AA1398" s="758" t="str">
        <f t="shared" si="278"/>
        <v/>
      </c>
      <c r="AB1398" s="758" t="str">
        <f t="shared" si="279"/>
        <v/>
      </c>
      <c r="AC1398" s="758" t="str">
        <f t="shared" si="280"/>
        <v/>
      </c>
      <c r="AD1398" s="758" t="str">
        <f t="shared" si="281"/>
        <v>0</v>
      </c>
      <c r="AE1398" s="760"/>
      <c r="AF1398" s="760"/>
      <c r="AG1398" s="443"/>
      <c r="AH1398" s="443"/>
    </row>
    <row r="1399" spans="1:34">
      <c r="A1399" s="728">
        <f t="shared" si="277"/>
        <v>1392</v>
      </c>
      <c r="B1399" s="77"/>
      <c r="C1399" s="747"/>
      <c r="D1399" s="763" t="str">
        <f t="shared" si="268"/>
        <v>January</v>
      </c>
      <c r="E1399" s="763">
        <f t="shared" si="269"/>
        <v>0</v>
      </c>
      <c r="F1399" s="762">
        <f t="shared" si="270"/>
        <v>1900</v>
      </c>
      <c r="G1399" s="747"/>
      <c r="H1399" s="882"/>
      <c r="I1399" s="756"/>
      <c r="J1399" s="756"/>
      <c r="K1399" s="778">
        <f t="shared" si="271"/>
        <v>0</v>
      </c>
      <c r="L1399" s="976"/>
      <c r="M1399" s="736">
        <f t="shared" si="272"/>
        <v>0</v>
      </c>
      <c r="N1399" s="754"/>
      <c r="O1399" s="738">
        <f t="shared" si="273"/>
        <v>0</v>
      </c>
      <c r="P1399" s="757"/>
      <c r="Q1399" s="739">
        <f t="shared" si="274"/>
        <v>0</v>
      </c>
      <c r="R1399" s="757"/>
      <c r="S1399" s="755"/>
      <c r="T1399" s="277"/>
      <c r="U1399" s="758" t="str">
        <f t="shared" si="275"/>
        <v/>
      </c>
      <c r="V1399" s="758" t="str">
        <f t="shared" si="276"/>
        <v>1900</v>
      </c>
      <c r="W1399" s="759"/>
      <c r="X1399" s="771"/>
      <c r="Y1399" s="977"/>
      <c r="Z1399" s="758"/>
      <c r="AA1399" s="758" t="str">
        <f t="shared" si="278"/>
        <v/>
      </c>
      <c r="AB1399" s="758" t="str">
        <f t="shared" si="279"/>
        <v/>
      </c>
      <c r="AC1399" s="758" t="str">
        <f t="shared" si="280"/>
        <v/>
      </c>
      <c r="AD1399" s="758" t="str">
        <f t="shared" si="281"/>
        <v>0</v>
      </c>
      <c r="AE1399" s="760"/>
      <c r="AF1399" s="760"/>
      <c r="AG1399" s="443"/>
      <c r="AH1399" s="443"/>
    </row>
    <row r="1400" spans="1:34">
      <c r="A1400" s="728">
        <f t="shared" si="277"/>
        <v>1393</v>
      </c>
      <c r="B1400" s="77"/>
      <c r="C1400" s="747"/>
      <c r="D1400" s="763" t="str">
        <f t="shared" si="268"/>
        <v>January</v>
      </c>
      <c r="E1400" s="763">
        <f t="shared" si="269"/>
        <v>0</v>
      </c>
      <c r="F1400" s="762">
        <f t="shared" si="270"/>
        <v>1900</v>
      </c>
      <c r="G1400" s="747"/>
      <c r="H1400" s="882"/>
      <c r="I1400" s="756"/>
      <c r="J1400" s="756"/>
      <c r="K1400" s="778">
        <f t="shared" si="271"/>
        <v>0</v>
      </c>
      <c r="L1400" s="976"/>
      <c r="M1400" s="736">
        <f t="shared" si="272"/>
        <v>0</v>
      </c>
      <c r="N1400" s="754"/>
      <c r="O1400" s="738">
        <f t="shared" si="273"/>
        <v>0</v>
      </c>
      <c r="P1400" s="757"/>
      <c r="Q1400" s="739">
        <f t="shared" si="274"/>
        <v>0</v>
      </c>
      <c r="R1400" s="757"/>
      <c r="S1400" s="755"/>
      <c r="T1400" s="277"/>
      <c r="U1400" s="758" t="str">
        <f t="shared" si="275"/>
        <v/>
      </c>
      <c r="V1400" s="758" t="str">
        <f t="shared" si="276"/>
        <v>1900</v>
      </c>
      <c r="W1400" s="759"/>
      <c r="X1400" s="771"/>
      <c r="Y1400" s="977"/>
      <c r="Z1400" s="758"/>
      <c r="AA1400" s="758" t="str">
        <f t="shared" si="278"/>
        <v/>
      </c>
      <c r="AB1400" s="758" t="str">
        <f t="shared" si="279"/>
        <v/>
      </c>
      <c r="AC1400" s="758" t="str">
        <f t="shared" si="280"/>
        <v/>
      </c>
      <c r="AD1400" s="758" t="str">
        <f t="shared" si="281"/>
        <v>0</v>
      </c>
      <c r="AE1400" s="760"/>
      <c r="AF1400" s="760"/>
      <c r="AG1400" s="443"/>
      <c r="AH1400" s="443"/>
    </row>
    <row r="1401" spans="1:34">
      <c r="A1401" s="728">
        <f t="shared" si="277"/>
        <v>1394</v>
      </c>
      <c r="B1401" s="77"/>
      <c r="C1401" s="747"/>
      <c r="D1401" s="763" t="str">
        <f t="shared" ref="D1401:D1464" si="282">TEXT(C1401,"mmmm")</f>
        <v>January</v>
      </c>
      <c r="E1401" s="763">
        <f t="shared" ref="E1401:E1464" si="283">DAY(C1401)</f>
        <v>0</v>
      </c>
      <c r="F1401" s="762">
        <f t="shared" ref="F1401:F1464" si="284">YEAR(C1401)</f>
        <v>1900</v>
      </c>
      <c r="G1401" s="747"/>
      <c r="H1401" s="882"/>
      <c r="I1401" s="756"/>
      <c r="J1401" s="756"/>
      <c r="K1401" s="778">
        <f t="shared" ref="K1401:K1464" si="285">+(I1401/1760)*J1401</f>
        <v>0</v>
      </c>
      <c r="L1401" s="976"/>
      <c r="M1401" s="736">
        <f t="shared" ref="M1401:M1464" si="286">HOUR(O1401)</f>
        <v>0</v>
      </c>
      <c r="N1401" s="754"/>
      <c r="O1401" s="738">
        <f t="shared" ref="O1401:O1464" si="287">+N1401</f>
        <v>0</v>
      </c>
      <c r="P1401" s="757"/>
      <c r="Q1401" s="739">
        <f t="shared" ref="Q1401:Q1464" si="288">+P1401-O1401</f>
        <v>0</v>
      </c>
      <c r="R1401" s="757"/>
      <c r="S1401" s="755"/>
      <c r="T1401" s="277"/>
      <c r="U1401" s="758" t="str">
        <f t="shared" si="275"/>
        <v/>
      </c>
      <c r="V1401" s="758" t="str">
        <f t="shared" si="276"/>
        <v>1900</v>
      </c>
      <c r="W1401" s="759"/>
      <c r="X1401" s="771"/>
      <c r="Y1401" s="977"/>
      <c r="Z1401" s="758"/>
      <c r="AA1401" s="758" t="str">
        <f t="shared" si="278"/>
        <v/>
      </c>
      <c r="AB1401" s="758" t="str">
        <f t="shared" si="279"/>
        <v/>
      </c>
      <c r="AC1401" s="758" t="str">
        <f t="shared" si="280"/>
        <v/>
      </c>
      <c r="AD1401" s="758" t="str">
        <f t="shared" si="281"/>
        <v>0</v>
      </c>
      <c r="AE1401" s="760"/>
      <c r="AF1401" s="760"/>
      <c r="AG1401" s="443"/>
      <c r="AH1401" s="443"/>
    </row>
    <row r="1402" spans="1:34">
      <c r="A1402" s="728">
        <f t="shared" si="277"/>
        <v>1395</v>
      </c>
      <c r="B1402" s="77"/>
      <c r="C1402" s="747"/>
      <c r="D1402" s="763" t="str">
        <f t="shared" si="282"/>
        <v>January</v>
      </c>
      <c r="E1402" s="763">
        <f t="shared" si="283"/>
        <v>0</v>
      </c>
      <c r="F1402" s="762">
        <f t="shared" si="284"/>
        <v>1900</v>
      </c>
      <c r="G1402" s="747"/>
      <c r="H1402" s="882"/>
      <c r="I1402" s="756"/>
      <c r="J1402" s="756"/>
      <c r="K1402" s="778">
        <f t="shared" si="285"/>
        <v>0</v>
      </c>
      <c r="L1402" s="976"/>
      <c r="M1402" s="736">
        <f t="shared" si="286"/>
        <v>0</v>
      </c>
      <c r="N1402" s="754"/>
      <c r="O1402" s="738">
        <f t="shared" si="287"/>
        <v>0</v>
      </c>
      <c r="P1402" s="757"/>
      <c r="Q1402" s="739">
        <f t="shared" si="288"/>
        <v>0</v>
      </c>
      <c r="R1402" s="757"/>
      <c r="S1402" s="755"/>
      <c r="T1402" s="277"/>
      <c r="U1402" s="758" t="str">
        <f t="shared" si="275"/>
        <v/>
      </c>
      <c r="V1402" s="758" t="str">
        <f t="shared" si="276"/>
        <v>1900</v>
      </c>
      <c r="W1402" s="759"/>
      <c r="X1402" s="771"/>
      <c r="Y1402" s="977"/>
      <c r="Z1402" s="758"/>
      <c r="AA1402" s="758" t="str">
        <f t="shared" si="278"/>
        <v/>
      </c>
      <c r="AB1402" s="758" t="str">
        <f t="shared" si="279"/>
        <v/>
      </c>
      <c r="AC1402" s="758" t="str">
        <f t="shared" si="280"/>
        <v/>
      </c>
      <c r="AD1402" s="758" t="str">
        <f t="shared" si="281"/>
        <v>0</v>
      </c>
      <c r="AE1402" s="760"/>
      <c r="AF1402" s="760"/>
      <c r="AG1402" s="443"/>
      <c r="AH1402" s="443"/>
    </row>
    <row r="1403" spans="1:34">
      <c r="A1403" s="728">
        <f t="shared" si="277"/>
        <v>1396</v>
      </c>
      <c r="B1403" s="77"/>
      <c r="C1403" s="747"/>
      <c r="D1403" s="763" t="str">
        <f t="shared" si="282"/>
        <v>January</v>
      </c>
      <c r="E1403" s="763">
        <f t="shared" si="283"/>
        <v>0</v>
      </c>
      <c r="F1403" s="762">
        <f t="shared" si="284"/>
        <v>1900</v>
      </c>
      <c r="G1403" s="747"/>
      <c r="H1403" s="882"/>
      <c r="I1403" s="756"/>
      <c r="J1403" s="756"/>
      <c r="K1403" s="778">
        <f t="shared" si="285"/>
        <v>0</v>
      </c>
      <c r="L1403" s="976"/>
      <c r="M1403" s="736">
        <f t="shared" si="286"/>
        <v>0</v>
      </c>
      <c r="N1403" s="754"/>
      <c r="O1403" s="738">
        <f t="shared" si="287"/>
        <v>0</v>
      </c>
      <c r="P1403" s="757"/>
      <c r="Q1403" s="739">
        <f t="shared" si="288"/>
        <v>0</v>
      </c>
      <c r="R1403" s="757"/>
      <c r="S1403" s="755"/>
      <c r="T1403" s="277"/>
      <c r="U1403" s="758" t="str">
        <f t="shared" si="275"/>
        <v/>
      </c>
      <c r="V1403" s="758" t="str">
        <f t="shared" si="276"/>
        <v>1900</v>
      </c>
      <c r="W1403" s="759"/>
      <c r="X1403" s="771"/>
      <c r="Y1403" s="977"/>
      <c r="Z1403" s="758"/>
      <c r="AA1403" s="758" t="str">
        <f t="shared" si="278"/>
        <v/>
      </c>
      <c r="AB1403" s="758" t="str">
        <f t="shared" si="279"/>
        <v/>
      </c>
      <c r="AC1403" s="758" t="str">
        <f t="shared" si="280"/>
        <v/>
      </c>
      <c r="AD1403" s="758" t="str">
        <f t="shared" si="281"/>
        <v>0</v>
      </c>
      <c r="AE1403" s="760"/>
      <c r="AF1403" s="760"/>
      <c r="AG1403" s="443"/>
      <c r="AH1403" s="443"/>
    </row>
    <row r="1404" spans="1:34">
      <c r="A1404" s="728">
        <f t="shared" si="277"/>
        <v>1397</v>
      </c>
      <c r="B1404" s="77"/>
      <c r="C1404" s="747"/>
      <c r="D1404" s="763" t="str">
        <f t="shared" si="282"/>
        <v>January</v>
      </c>
      <c r="E1404" s="763">
        <f t="shared" si="283"/>
        <v>0</v>
      </c>
      <c r="F1404" s="762">
        <f t="shared" si="284"/>
        <v>1900</v>
      </c>
      <c r="G1404" s="747"/>
      <c r="H1404" s="882"/>
      <c r="I1404" s="756"/>
      <c r="J1404" s="756"/>
      <c r="K1404" s="778">
        <f t="shared" si="285"/>
        <v>0</v>
      </c>
      <c r="L1404" s="976"/>
      <c r="M1404" s="736">
        <f t="shared" si="286"/>
        <v>0</v>
      </c>
      <c r="N1404" s="754"/>
      <c r="O1404" s="738">
        <f t="shared" si="287"/>
        <v>0</v>
      </c>
      <c r="P1404" s="757"/>
      <c r="Q1404" s="739">
        <f t="shared" si="288"/>
        <v>0</v>
      </c>
      <c r="R1404" s="757"/>
      <c r="S1404" s="755"/>
      <c r="T1404" s="277"/>
      <c r="U1404" s="758" t="str">
        <f t="shared" si="275"/>
        <v/>
      </c>
      <c r="V1404" s="758" t="str">
        <f t="shared" si="276"/>
        <v>1900</v>
      </c>
      <c r="W1404" s="759"/>
      <c r="X1404" s="771"/>
      <c r="Y1404" s="977"/>
      <c r="Z1404" s="758"/>
      <c r="AA1404" s="758" t="str">
        <f t="shared" si="278"/>
        <v/>
      </c>
      <c r="AB1404" s="758" t="str">
        <f t="shared" si="279"/>
        <v/>
      </c>
      <c r="AC1404" s="758" t="str">
        <f t="shared" si="280"/>
        <v/>
      </c>
      <c r="AD1404" s="758" t="str">
        <f t="shared" si="281"/>
        <v>0</v>
      </c>
      <c r="AE1404" s="760"/>
      <c r="AF1404" s="760"/>
      <c r="AG1404" s="443"/>
      <c r="AH1404" s="443"/>
    </row>
    <row r="1405" spans="1:34">
      <c r="A1405" s="728">
        <f t="shared" si="277"/>
        <v>1398</v>
      </c>
      <c r="B1405" s="77"/>
      <c r="C1405" s="747"/>
      <c r="D1405" s="763" t="str">
        <f t="shared" si="282"/>
        <v>January</v>
      </c>
      <c r="E1405" s="763">
        <f t="shared" si="283"/>
        <v>0</v>
      </c>
      <c r="F1405" s="762">
        <f t="shared" si="284"/>
        <v>1900</v>
      </c>
      <c r="G1405" s="747"/>
      <c r="H1405" s="882"/>
      <c r="I1405" s="756"/>
      <c r="J1405" s="756"/>
      <c r="K1405" s="778">
        <f t="shared" si="285"/>
        <v>0</v>
      </c>
      <c r="L1405" s="976"/>
      <c r="M1405" s="736">
        <f t="shared" si="286"/>
        <v>0</v>
      </c>
      <c r="N1405" s="754"/>
      <c r="O1405" s="738">
        <f t="shared" si="287"/>
        <v>0</v>
      </c>
      <c r="P1405" s="757"/>
      <c r="Q1405" s="739">
        <f t="shared" si="288"/>
        <v>0</v>
      </c>
      <c r="R1405" s="757"/>
      <c r="S1405" s="755"/>
      <c r="T1405" s="277"/>
      <c r="U1405" s="758" t="str">
        <f t="shared" si="275"/>
        <v/>
      </c>
      <c r="V1405" s="758" t="str">
        <f t="shared" si="276"/>
        <v>1900</v>
      </c>
      <c r="W1405" s="759"/>
      <c r="X1405" s="771"/>
      <c r="Y1405" s="977"/>
      <c r="Z1405" s="758"/>
      <c r="AA1405" s="758" t="str">
        <f t="shared" si="278"/>
        <v/>
      </c>
      <c r="AB1405" s="758" t="str">
        <f t="shared" si="279"/>
        <v/>
      </c>
      <c r="AC1405" s="758" t="str">
        <f t="shared" si="280"/>
        <v/>
      </c>
      <c r="AD1405" s="758" t="str">
        <f t="shared" si="281"/>
        <v>0</v>
      </c>
      <c r="AE1405" s="760"/>
      <c r="AF1405" s="760"/>
      <c r="AG1405" s="443"/>
      <c r="AH1405" s="443"/>
    </row>
    <row r="1406" spans="1:34">
      <c r="A1406" s="728">
        <f t="shared" si="277"/>
        <v>1399</v>
      </c>
      <c r="B1406" s="77"/>
      <c r="C1406" s="747"/>
      <c r="D1406" s="763" t="str">
        <f t="shared" si="282"/>
        <v>January</v>
      </c>
      <c r="E1406" s="763">
        <f t="shared" si="283"/>
        <v>0</v>
      </c>
      <c r="F1406" s="762">
        <f t="shared" si="284"/>
        <v>1900</v>
      </c>
      <c r="G1406" s="747"/>
      <c r="H1406" s="882"/>
      <c r="I1406" s="756"/>
      <c r="J1406" s="756"/>
      <c r="K1406" s="778">
        <f t="shared" si="285"/>
        <v>0</v>
      </c>
      <c r="L1406" s="976"/>
      <c r="M1406" s="736">
        <f t="shared" si="286"/>
        <v>0</v>
      </c>
      <c r="N1406" s="754"/>
      <c r="O1406" s="738">
        <f t="shared" si="287"/>
        <v>0</v>
      </c>
      <c r="P1406" s="757"/>
      <c r="Q1406" s="739">
        <f t="shared" si="288"/>
        <v>0</v>
      </c>
      <c r="R1406" s="757"/>
      <c r="S1406" s="755"/>
      <c r="T1406" s="277"/>
      <c r="U1406" s="758" t="str">
        <f t="shared" si="275"/>
        <v/>
      </c>
      <c r="V1406" s="758" t="str">
        <f t="shared" si="276"/>
        <v>1900</v>
      </c>
      <c r="W1406" s="759"/>
      <c r="X1406" s="771"/>
      <c r="Y1406" s="977"/>
      <c r="Z1406" s="758"/>
      <c r="AA1406" s="758" t="str">
        <f t="shared" si="278"/>
        <v/>
      </c>
      <c r="AB1406" s="758" t="str">
        <f t="shared" si="279"/>
        <v/>
      </c>
      <c r="AC1406" s="758" t="str">
        <f t="shared" si="280"/>
        <v/>
      </c>
      <c r="AD1406" s="758" t="str">
        <f t="shared" si="281"/>
        <v>0</v>
      </c>
      <c r="AE1406" s="760"/>
      <c r="AF1406" s="760"/>
      <c r="AG1406" s="443"/>
      <c r="AH1406" s="443"/>
    </row>
    <row r="1407" spans="1:34">
      <c r="A1407" s="728">
        <f t="shared" si="277"/>
        <v>1400</v>
      </c>
      <c r="B1407" s="77"/>
      <c r="C1407" s="747"/>
      <c r="D1407" s="763" t="str">
        <f t="shared" si="282"/>
        <v>January</v>
      </c>
      <c r="E1407" s="763">
        <f t="shared" si="283"/>
        <v>0</v>
      </c>
      <c r="F1407" s="762">
        <f t="shared" si="284"/>
        <v>1900</v>
      </c>
      <c r="G1407" s="747"/>
      <c r="H1407" s="882"/>
      <c r="I1407" s="756"/>
      <c r="J1407" s="756"/>
      <c r="K1407" s="778">
        <f t="shared" si="285"/>
        <v>0</v>
      </c>
      <c r="L1407" s="976"/>
      <c r="M1407" s="736">
        <f t="shared" si="286"/>
        <v>0</v>
      </c>
      <c r="N1407" s="754"/>
      <c r="O1407" s="738">
        <f t="shared" si="287"/>
        <v>0</v>
      </c>
      <c r="P1407" s="757"/>
      <c r="Q1407" s="739">
        <f t="shared" si="288"/>
        <v>0</v>
      </c>
      <c r="R1407" s="757"/>
      <c r="S1407" s="755"/>
      <c r="T1407" s="277"/>
      <c r="U1407" s="758" t="str">
        <f t="shared" si="275"/>
        <v/>
      </c>
      <c r="V1407" s="758" t="str">
        <f t="shared" si="276"/>
        <v>1900</v>
      </c>
      <c r="W1407" s="759"/>
      <c r="X1407" s="771"/>
      <c r="Y1407" s="977"/>
      <c r="Z1407" s="758"/>
      <c r="AA1407" s="758" t="str">
        <f t="shared" si="278"/>
        <v/>
      </c>
      <c r="AB1407" s="758" t="str">
        <f t="shared" si="279"/>
        <v/>
      </c>
      <c r="AC1407" s="758" t="str">
        <f t="shared" si="280"/>
        <v/>
      </c>
      <c r="AD1407" s="758" t="str">
        <f t="shared" si="281"/>
        <v>0</v>
      </c>
      <c r="AE1407" s="760"/>
      <c r="AF1407" s="760"/>
      <c r="AG1407" s="443"/>
      <c r="AH1407" s="443"/>
    </row>
    <row r="1408" spans="1:34">
      <c r="A1408" s="728">
        <f t="shared" si="277"/>
        <v>1401</v>
      </c>
      <c r="B1408" s="77"/>
      <c r="C1408" s="747"/>
      <c r="D1408" s="763" t="str">
        <f t="shared" si="282"/>
        <v>January</v>
      </c>
      <c r="E1408" s="763">
        <f t="shared" si="283"/>
        <v>0</v>
      </c>
      <c r="F1408" s="762">
        <f t="shared" si="284"/>
        <v>1900</v>
      </c>
      <c r="G1408" s="747"/>
      <c r="H1408" s="882"/>
      <c r="I1408" s="756"/>
      <c r="J1408" s="756"/>
      <c r="K1408" s="778">
        <f t="shared" si="285"/>
        <v>0</v>
      </c>
      <c r="L1408" s="976"/>
      <c r="M1408" s="736">
        <f t="shared" si="286"/>
        <v>0</v>
      </c>
      <c r="N1408" s="754"/>
      <c r="O1408" s="738">
        <f t="shared" si="287"/>
        <v>0</v>
      </c>
      <c r="P1408" s="757"/>
      <c r="Q1408" s="739">
        <f t="shared" si="288"/>
        <v>0</v>
      </c>
      <c r="R1408" s="757"/>
      <c r="S1408" s="755"/>
      <c r="T1408" s="277"/>
      <c r="U1408" s="758" t="str">
        <f t="shared" si="275"/>
        <v/>
      </c>
      <c r="V1408" s="758" t="str">
        <f t="shared" si="276"/>
        <v>1900</v>
      </c>
      <c r="W1408" s="759"/>
      <c r="X1408" s="771"/>
      <c r="Y1408" s="977"/>
      <c r="Z1408" s="758"/>
      <c r="AA1408" s="758" t="str">
        <f t="shared" si="278"/>
        <v/>
      </c>
      <c r="AB1408" s="758" t="str">
        <f t="shared" si="279"/>
        <v/>
      </c>
      <c r="AC1408" s="758" t="str">
        <f t="shared" si="280"/>
        <v/>
      </c>
      <c r="AD1408" s="758" t="str">
        <f t="shared" si="281"/>
        <v>0</v>
      </c>
      <c r="AE1408" s="760"/>
      <c r="AF1408" s="760"/>
      <c r="AG1408" s="443"/>
      <c r="AH1408" s="443"/>
    </row>
    <row r="1409" spans="1:34">
      <c r="A1409" s="728">
        <f t="shared" si="277"/>
        <v>1402</v>
      </c>
      <c r="B1409" s="77"/>
      <c r="C1409" s="747"/>
      <c r="D1409" s="763" t="str">
        <f t="shared" si="282"/>
        <v>January</v>
      </c>
      <c r="E1409" s="763">
        <f t="shared" si="283"/>
        <v>0</v>
      </c>
      <c r="F1409" s="762">
        <f t="shared" si="284"/>
        <v>1900</v>
      </c>
      <c r="G1409" s="747"/>
      <c r="H1409" s="882"/>
      <c r="I1409" s="756"/>
      <c r="J1409" s="756"/>
      <c r="K1409" s="778">
        <f t="shared" si="285"/>
        <v>0</v>
      </c>
      <c r="L1409" s="976"/>
      <c r="M1409" s="736">
        <f t="shared" si="286"/>
        <v>0</v>
      </c>
      <c r="N1409" s="754"/>
      <c r="O1409" s="738">
        <f t="shared" si="287"/>
        <v>0</v>
      </c>
      <c r="P1409" s="757"/>
      <c r="Q1409" s="739">
        <f t="shared" si="288"/>
        <v>0</v>
      </c>
      <c r="R1409" s="757"/>
      <c r="S1409" s="755"/>
      <c r="T1409" s="277"/>
      <c r="U1409" s="758" t="str">
        <f t="shared" si="275"/>
        <v/>
      </c>
      <c r="V1409" s="758" t="str">
        <f t="shared" si="276"/>
        <v>1900</v>
      </c>
      <c r="W1409" s="759"/>
      <c r="X1409" s="771"/>
      <c r="Y1409" s="977"/>
      <c r="Z1409" s="758"/>
      <c r="AA1409" s="758" t="str">
        <f t="shared" si="278"/>
        <v/>
      </c>
      <c r="AB1409" s="758" t="str">
        <f t="shared" si="279"/>
        <v/>
      </c>
      <c r="AC1409" s="758" t="str">
        <f t="shared" si="280"/>
        <v/>
      </c>
      <c r="AD1409" s="758" t="str">
        <f t="shared" si="281"/>
        <v>0</v>
      </c>
      <c r="AE1409" s="760"/>
      <c r="AF1409" s="760"/>
      <c r="AG1409" s="443"/>
      <c r="AH1409" s="443"/>
    </row>
    <row r="1410" spans="1:34">
      <c r="A1410" s="728">
        <f t="shared" si="277"/>
        <v>1403</v>
      </c>
      <c r="B1410" s="77"/>
      <c r="C1410" s="747"/>
      <c r="D1410" s="763" t="str">
        <f t="shared" si="282"/>
        <v>January</v>
      </c>
      <c r="E1410" s="763">
        <f t="shared" si="283"/>
        <v>0</v>
      </c>
      <c r="F1410" s="762">
        <f t="shared" si="284"/>
        <v>1900</v>
      </c>
      <c r="G1410" s="747"/>
      <c r="H1410" s="882"/>
      <c r="I1410" s="756"/>
      <c r="J1410" s="756"/>
      <c r="K1410" s="778">
        <f t="shared" si="285"/>
        <v>0</v>
      </c>
      <c r="L1410" s="976"/>
      <c r="M1410" s="736">
        <f t="shared" si="286"/>
        <v>0</v>
      </c>
      <c r="N1410" s="754"/>
      <c r="O1410" s="738">
        <f t="shared" si="287"/>
        <v>0</v>
      </c>
      <c r="P1410" s="757"/>
      <c r="Q1410" s="739">
        <f t="shared" si="288"/>
        <v>0</v>
      </c>
      <c r="R1410" s="757"/>
      <c r="S1410" s="755"/>
      <c r="T1410" s="277"/>
      <c r="U1410" s="758" t="str">
        <f t="shared" si="275"/>
        <v/>
      </c>
      <c r="V1410" s="758" t="str">
        <f t="shared" si="276"/>
        <v>1900</v>
      </c>
      <c r="W1410" s="759"/>
      <c r="X1410" s="771"/>
      <c r="Y1410" s="977"/>
      <c r="Z1410" s="758"/>
      <c r="AA1410" s="758" t="str">
        <f t="shared" si="278"/>
        <v/>
      </c>
      <c r="AB1410" s="758" t="str">
        <f t="shared" si="279"/>
        <v/>
      </c>
      <c r="AC1410" s="758" t="str">
        <f t="shared" si="280"/>
        <v/>
      </c>
      <c r="AD1410" s="758" t="str">
        <f t="shared" si="281"/>
        <v>0</v>
      </c>
      <c r="AE1410" s="760"/>
      <c r="AF1410" s="760"/>
      <c r="AG1410" s="443"/>
      <c r="AH1410" s="443"/>
    </row>
    <row r="1411" spans="1:34">
      <c r="A1411" s="728">
        <f t="shared" si="277"/>
        <v>1404</v>
      </c>
      <c r="B1411" s="77"/>
      <c r="C1411" s="747"/>
      <c r="D1411" s="763" t="str">
        <f t="shared" si="282"/>
        <v>January</v>
      </c>
      <c r="E1411" s="763">
        <f t="shared" si="283"/>
        <v>0</v>
      </c>
      <c r="F1411" s="762">
        <f t="shared" si="284"/>
        <v>1900</v>
      </c>
      <c r="G1411" s="747"/>
      <c r="H1411" s="882"/>
      <c r="I1411" s="756"/>
      <c r="J1411" s="756"/>
      <c r="K1411" s="778">
        <f t="shared" si="285"/>
        <v>0</v>
      </c>
      <c r="L1411" s="976"/>
      <c r="M1411" s="736">
        <f t="shared" si="286"/>
        <v>0</v>
      </c>
      <c r="N1411" s="754"/>
      <c r="O1411" s="738">
        <f t="shared" si="287"/>
        <v>0</v>
      </c>
      <c r="P1411" s="757"/>
      <c r="Q1411" s="739">
        <f t="shared" si="288"/>
        <v>0</v>
      </c>
      <c r="R1411" s="757"/>
      <c r="S1411" s="755"/>
      <c r="T1411" s="277"/>
      <c r="U1411" s="758" t="str">
        <f t="shared" si="275"/>
        <v/>
      </c>
      <c r="V1411" s="758" t="str">
        <f t="shared" si="276"/>
        <v>1900</v>
      </c>
      <c r="W1411" s="759"/>
      <c r="X1411" s="771"/>
      <c r="Y1411" s="977"/>
      <c r="Z1411" s="758"/>
      <c r="AA1411" s="758" t="str">
        <f t="shared" si="278"/>
        <v/>
      </c>
      <c r="AB1411" s="758" t="str">
        <f t="shared" si="279"/>
        <v/>
      </c>
      <c r="AC1411" s="758" t="str">
        <f t="shared" si="280"/>
        <v/>
      </c>
      <c r="AD1411" s="758" t="str">
        <f t="shared" si="281"/>
        <v>0</v>
      </c>
      <c r="AE1411" s="760"/>
      <c r="AF1411" s="760"/>
      <c r="AG1411" s="443"/>
      <c r="AH1411" s="443"/>
    </row>
    <row r="1412" spans="1:34">
      <c r="A1412" s="728">
        <f t="shared" si="277"/>
        <v>1405</v>
      </c>
      <c r="B1412" s="77"/>
      <c r="C1412" s="747"/>
      <c r="D1412" s="763" t="str">
        <f t="shared" si="282"/>
        <v>January</v>
      </c>
      <c r="E1412" s="763">
        <f t="shared" si="283"/>
        <v>0</v>
      </c>
      <c r="F1412" s="762">
        <f t="shared" si="284"/>
        <v>1900</v>
      </c>
      <c r="G1412" s="747"/>
      <c r="H1412" s="882"/>
      <c r="I1412" s="756"/>
      <c r="J1412" s="756"/>
      <c r="K1412" s="778">
        <f t="shared" si="285"/>
        <v>0</v>
      </c>
      <c r="L1412" s="976"/>
      <c r="M1412" s="736">
        <f t="shared" si="286"/>
        <v>0</v>
      </c>
      <c r="N1412" s="754"/>
      <c r="O1412" s="738">
        <f t="shared" si="287"/>
        <v>0</v>
      </c>
      <c r="P1412" s="757"/>
      <c r="Q1412" s="739">
        <f t="shared" si="288"/>
        <v>0</v>
      </c>
      <c r="R1412" s="757"/>
      <c r="S1412" s="755"/>
      <c r="T1412" s="277"/>
      <c r="U1412" s="758" t="str">
        <f t="shared" si="275"/>
        <v/>
      </c>
      <c r="V1412" s="758" t="str">
        <f t="shared" si="276"/>
        <v>1900</v>
      </c>
      <c r="W1412" s="759"/>
      <c r="X1412" s="771"/>
      <c r="Y1412" s="977"/>
      <c r="Z1412" s="758"/>
      <c r="AA1412" s="758" t="str">
        <f t="shared" si="278"/>
        <v/>
      </c>
      <c r="AB1412" s="758" t="str">
        <f t="shared" si="279"/>
        <v/>
      </c>
      <c r="AC1412" s="758" t="str">
        <f t="shared" si="280"/>
        <v/>
      </c>
      <c r="AD1412" s="758" t="str">
        <f t="shared" si="281"/>
        <v>0</v>
      </c>
      <c r="AE1412" s="760"/>
      <c r="AF1412" s="760"/>
      <c r="AG1412" s="443"/>
      <c r="AH1412" s="443"/>
    </row>
    <row r="1413" spans="1:34">
      <c r="A1413" s="728">
        <f t="shared" si="277"/>
        <v>1406</v>
      </c>
      <c r="B1413" s="77"/>
      <c r="C1413" s="747"/>
      <c r="D1413" s="763" t="str">
        <f t="shared" si="282"/>
        <v>January</v>
      </c>
      <c r="E1413" s="763">
        <f t="shared" si="283"/>
        <v>0</v>
      </c>
      <c r="F1413" s="762">
        <f t="shared" si="284"/>
        <v>1900</v>
      </c>
      <c r="G1413" s="747"/>
      <c r="H1413" s="882"/>
      <c r="I1413" s="756"/>
      <c r="J1413" s="756"/>
      <c r="K1413" s="778">
        <f t="shared" si="285"/>
        <v>0</v>
      </c>
      <c r="L1413" s="976"/>
      <c r="M1413" s="736">
        <f t="shared" si="286"/>
        <v>0</v>
      </c>
      <c r="N1413" s="754"/>
      <c r="O1413" s="738">
        <f t="shared" si="287"/>
        <v>0</v>
      </c>
      <c r="P1413" s="757"/>
      <c r="Q1413" s="739">
        <f t="shared" si="288"/>
        <v>0</v>
      </c>
      <c r="R1413" s="757"/>
      <c r="S1413" s="755"/>
      <c r="T1413" s="277"/>
      <c r="U1413" s="758" t="str">
        <f t="shared" si="275"/>
        <v/>
      </c>
      <c r="V1413" s="758" t="str">
        <f t="shared" si="276"/>
        <v>1900</v>
      </c>
      <c r="W1413" s="759"/>
      <c r="X1413" s="771"/>
      <c r="Y1413" s="977"/>
      <c r="Z1413" s="758"/>
      <c r="AA1413" s="758" t="str">
        <f t="shared" si="278"/>
        <v/>
      </c>
      <c r="AB1413" s="758" t="str">
        <f t="shared" si="279"/>
        <v/>
      </c>
      <c r="AC1413" s="758" t="str">
        <f t="shared" si="280"/>
        <v/>
      </c>
      <c r="AD1413" s="758" t="str">
        <f t="shared" si="281"/>
        <v>0</v>
      </c>
      <c r="AE1413" s="760"/>
      <c r="AF1413" s="760"/>
      <c r="AG1413" s="443"/>
      <c r="AH1413" s="443"/>
    </row>
    <row r="1414" spans="1:34">
      <c r="A1414" s="728">
        <f t="shared" si="277"/>
        <v>1407</v>
      </c>
      <c r="B1414" s="77"/>
      <c r="C1414" s="747"/>
      <c r="D1414" s="763" t="str">
        <f t="shared" si="282"/>
        <v>January</v>
      </c>
      <c r="E1414" s="763">
        <f t="shared" si="283"/>
        <v>0</v>
      </c>
      <c r="F1414" s="762">
        <f t="shared" si="284"/>
        <v>1900</v>
      </c>
      <c r="G1414" s="747"/>
      <c r="H1414" s="882"/>
      <c r="I1414" s="756"/>
      <c r="J1414" s="756"/>
      <c r="K1414" s="778">
        <f t="shared" si="285"/>
        <v>0</v>
      </c>
      <c r="L1414" s="976"/>
      <c r="M1414" s="736">
        <f t="shared" si="286"/>
        <v>0</v>
      </c>
      <c r="N1414" s="754"/>
      <c r="O1414" s="738">
        <f t="shared" si="287"/>
        <v>0</v>
      </c>
      <c r="P1414" s="757"/>
      <c r="Q1414" s="739">
        <f t="shared" si="288"/>
        <v>0</v>
      </c>
      <c r="R1414" s="757"/>
      <c r="S1414" s="755"/>
      <c r="T1414" s="277"/>
      <c r="U1414" s="758" t="str">
        <f t="shared" si="275"/>
        <v/>
      </c>
      <c r="V1414" s="758" t="str">
        <f t="shared" si="276"/>
        <v>1900</v>
      </c>
      <c r="W1414" s="759"/>
      <c r="X1414" s="771"/>
      <c r="Y1414" s="977"/>
      <c r="Z1414" s="758"/>
      <c r="AA1414" s="758" t="str">
        <f t="shared" si="278"/>
        <v/>
      </c>
      <c r="AB1414" s="758" t="str">
        <f t="shared" si="279"/>
        <v/>
      </c>
      <c r="AC1414" s="758" t="str">
        <f t="shared" si="280"/>
        <v/>
      </c>
      <c r="AD1414" s="758" t="str">
        <f t="shared" si="281"/>
        <v>0</v>
      </c>
      <c r="AE1414" s="760"/>
      <c r="AF1414" s="760"/>
      <c r="AG1414" s="443"/>
      <c r="AH1414" s="443"/>
    </row>
    <row r="1415" spans="1:34">
      <c r="A1415" s="728">
        <f t="shared" si="277"/>
        <v>1408</v>
      </c>
      <c r="B1415" s="77"/>
      <c r="C1415" s="747"/>
      <c r="D1415" s="763" t="str">
        <f t="shared" si="282"/>
        <v>January</v>
      </c>
      <c r="E1415" s="763">
        <f t="shared" si="283"/>
        <v>0</v>
      </c>
      <c r="F1415" s="762">
        <f t="shared" si="284"/>
        <v>1900</v>
      </c>
      <c r="G1415" s="747"/>
      <c r="H1415" s="882"/>
      <c r="I1415" s="756"/>
      <c r="J1415" s="756"/>
      <c r="K1415" s="778">
        <f t="shared" si="285"/>
        <v>0</v>
      </c>
      <c r="L1415" s="976"/>
      <c r="M1415" s="736">
        <f t="shared" si="286"/>
        <v>0</v>
      </c>
      <c r="N1415" s="754"/>
      <c r="O1415" s="738">
        <f t="shared" si="287"/>
        <v>0</v>
      </c>
      <c r="P1415" s="757"/>
      <c r="Q1415" s="739">
        <f t="shared" si="288"/>
        <v>0</v>
      </c>
      <c r="R1415" s="757"/>
      <c r="S1415" s="755"/>
      <c r="T1415" s="277"/>
      <c r="U1415" s="758" t="str">
        <f t="shared" ref="U1415:U1478" si="289">CONCATENATE(G1415,H1415)</f>
        <v/>
      </c>
      <c r="V1415" s="758" t="str">
        <f t="shared" ref="V1415:V1478" si="290">CONCATENATE(F1415,H1415)</f>
        <v>1900</v>
      </c>
      <c r="W1415" s="759"/>
      <c r="X1415" s="771"/>
      <c r="Y1415" s="977"/>
      <c r="Z1415" s="758"/>
      <c r="AA1415" s="758" t="str">
        <f t="shared" si="278"/>
        <v/>
      </c>
      <c r="AB1415" s="758" t="str">
        <f t="shared" si="279"/>
        <v/>
      </c>
      <c r="AC1415" s="758" t="str">
        <f t="shared" si="280"/>
        <v/>
      </c>
      <c r="AD1415" s="758" t="str">
        <f t="shared" si="281"/>
        <v>0</v>
      </c>
      <c r="AE1415" s="760"/>
      <c r="AF1415" s="760"/>
      <c r="AG1415" s="443"/>
      <c r="AH1415" s="443"/>
    </row>
    <row r="1416" spans="1:34">
      <c r="A1416" s="728">
        <f t="shared" si="277"/>
        <v>1409</v>
      </c>
      <c r="B1416" s="77"/>
      <c r="C1416" s="747"/>
      <c r="D1416" s="763" t="str">
        <f t="shared" si="282"/>
        <v>January</v>
      </c>
      <c r="E1416" s="763">
        <f t="shared" si="283"/>
        <v>0</v>
      </c>
      <c r="F1416" s="762">
        <f t="shared" si="284"/>
        <v>1900</v>
      </c>
      <c r="G1416" s="747"/>
      <c r="H1416" s="882"/>
      <c r="I1416" s="756"/>
      <c r="J1416" s="756"/>
      <c r="K1416" s="778">
        <f t="shared" si="285"/>
        <v>0</v>
      </c>
      <c r="L1416" s="976"/>
      <c r="M1416" s="736">
        <f t="shared" si="286"/>
        <v>0</v>
      </c>
      <c r="N1416" s="754"/>
      <c r="O1416" s="738">
        <f t="shared" si="287"/>
        <v>0</v>
      </c>
      <c r="P1416" s="757"/>
      <c r="Q1416" s="739">
        <f t="shared" si="288"/>
        <v>0</v>
      </c>
      <c r="R1416" s="757"/>
      <c r="S1416" s="755"/>
      <c r="T1416" s="277"/>
      <c r="U1416" s="758" t="str">
        <f t="shared" si="289"/>
        <v/>
      </c>
      <c r="V1416" s="758" t="str">
        <f t="shared" si="290"/>
        <v>1900</v>
      </c>
      <c r="W1416" s="759"/>
      <c r="X1416" s="771"/>
      <c r="Y1416" s="977"/>
      <c r="Z1416" s="758"/>
      <c r="AA1416" s="758" t="str">
        <f t="shared" si="278"/>
        <v/>
      </c>
      <c r="AB1416" s="758" t="str">
        <f t="shared" si="279"/>
        <v/>
      </c>
      <c r="AC1416" s="758" t="str">
        <f t="shared" si="280"/>
        <v/>
      </c>
      <c r="AD1416" s="758" t="str">
        <f t="shared" si="281"/>
        <v>0</v>
      </c>
      <c r="AE1416" s="760"/>
      <c r="AF1416" s="760"/>
      <c r="AG1416" s="443"/>
      <c r="AH1416" s="443"/>
    </row>
    <row r="1417" spans="1:34">
      <c r="A1417" s="728">
        <f t="shared" si="277"/>
        <v>1410</v>
      </c>
      <c r="B1417" s="77"/>
      <c r="C1417" s="747"/>
      <c r="D1417" s="763" t="str">
        <f t="shared" si="282"/>
        <v>January</v>
      </c>
      <c r="E1417" s="763">
        <f t="shared" si="283"/>
        <v>0</v>
      </c>
      <c r="F1417" s="762">
        <f t="shared" si="284"/>
        <v>1900</v>
      </c>
      <c r="G1417" s="747"/>
      <c r="H1417" s="882"/>
      <c r="I1417" s="756"/>
      <c r="J1417" s="756"/>
      <c r="K1417" s="778">
        <f t="shared" si="285"/>
        <v>0</v>
      </c>
      <c r="L1417" s="976"/>
      <c r="M1417" s="736">
        <f t="shared" si="286"/>
        <v>0</v>
      </c>
      <c r="N1417" s="754"/>
      <c r="O1417" s="738">
        <f t="shared" si="287"/>
        <v>0</v>
      </c>
      <c r="P1417" s="757"/>
      <c r="Q1417" s="739">
        <f t="shared" si="288"/>
        <v>0</v>
      </c>
      <c r="R1417" s="757"/>
      <c r="S1417" s="755"/>
      <c r="T1417" s="277"/>
      <c r="U1417" s="758" t="str">
        <f t="shared" si="289"/>
        <v/>
      </c>
      <c r="V1417" s="758" t="str">
        <f t="shared" si="290"/>
        <v>1900</v>
      </c>
      <c r="W1417" s="759"/>
      <c r="X1417" s="771"/>
      <c r="Y1417" s="977"/>
      <c r="Z1417" s="758"/>
      <c r="AA1417" s="758" t="str">
        <f t="shared" si="278"/>
        <v/>
      </c>
      <c r="AB1417" s="758" t="str">
        <f t="shared" si="279"/>
        <v/>
      </c>
      <c r="AC1417" s="758" t="str">
        <f t="shared" si="280"/>
        <v/>
      </c>
      <c r="AD1417" s="758" t="str">
        <f t="shared" si="281"/>
        <v>0</v>
      </c>
      <c r="AE1417" s="760"/>
      <c r="AF1417" s="760"/>
      <c r="AG1417" s="443"/>
      <c r="AH1417" s="443"/>
    </row>
    <row r="1418" spans="1:34">
      <c r="A1418" s="728">
        <f t="shared" si="277"/>
        <v>1411</v>
      </c>
      <c r="B1418" s="77"/>
      <c r="C1418" s="747"/>
      <c r="D1418" s="763" t="str">
        <f t="shared" si="282"/>
        <v>January</v>
      </c>
      <c r="E1418" s="763">
        <f t="shared" si="283"/>
        <v>0</v>
      </c>
      <c r="F1418" s="762">
        <f t="shared" si="284"/>
        <v>1900</v>
      </c>
      <c r="G1418" s="747"/>
      <c r="H1418" s="882"/>
      <c r="I1418" s="756"/>
      <c r="J1418" s="756"/>
      <c r="K1418" s="778">
        <f t="shared" si="285"/>
        <v>0</v>
      </c>
      <c r="L1418" s="976"/>
      <c r="M1418" s="736">
        <f t="shared" si="286"/>
        <v>0</v>
      </c>
      <c r="N1418" s="754"/>
      <c r="O1418" s="738">
        <f t="shared" si="287"/>
        <v>0</v>
      </c>
      <c r="P1418" s="757"/>
      <c r="Q1418" s="739">
        <f t="shared" si="288"/>
        <v>0</v>
      </c>
      <c r="R1418" s="757"/>
      <c r="S1418" s="755"/>
      <c r="T1418" s="277"/>
      <c r="U1418" s="758" t="str">
        <f t="shared" si="289"/>
        <v/>
      </c>
      <c r="V1418" s="758" t="str">
        <f t="shared" si="290"/>
        <v>1900</v>
      </c>
      <c r="W1418" s="759"/>
      <c r="X1418" s="771"/>
      <c r="Y1418" s="977"/>
      <c r="Z1418" s="758"/>
      <c r="AA1418" s="758" t="str">
        <f t="shared" si="278"/>
        <v/>
      </c>
      <c r="AB1418" s="758" t="str">
        <f t="shared" si="279"/>
        <v/>
      </c>
      <c r="AC1418" s="758" t="str">
        <f t="shared" si="280"/>
        <v/>
      </c>
      <c r="AD1418" s="758" t="str">
        <f t="shared" si="281"/>
        <v>0</v>
      </c>
      <c r="AE1418" s="760"/>
      <c r="AF1418" s="760"/>
      <c r="AG1418" s="443"/>
      <c r="AH1418" s="443"/>
    </row>
    <row r="1419" spans="1:34">
      <c r="A1419" s="728">
        <f t="shared" ref="A1419:A1482" si="291">+A1418+1</f>
        <v>1412</v>
      </c>
      <c r="B1419" s="77"/>
      <c r="C1419" s="747"/>
      <c r="D1419" s="763" t="str">
        <f t="shared" si="282"/>
        <v>January</v>
      </c>
      <c r="E1419" s="763">
        <f t="shared" si="283"/>
        <v>0</v>
      </c>
      <c r="F1419" s="762">
        <f t="shared" si="284"/>
        <v>1900</v>
      </c>
      <c r="G1419" s="747"/>
      <c r="H1419" s="882"/>
      <c r="I1419" s="756"/>
      <c r="J1419" s="756"/>
      <c r="K1419" s="778">
        <f t="shared" si="285"/>
        <v>0</v>
      </c>
      <c r="L1419" s="976"/>
      <c r="M1419" s="736">
        <f t="shared" si="286"/>
        <v>0</v>
      </c>
      <c r="N1419" s="754"/>
      <c r="O1419" s="738">
        <f t="shared" si="287"/>
        <v>0</v>
      </c>
      <c r="P1419" s="757"/>
      <c r="Q1419" s="739">
        <f t="shared" si="288"/>
        <v>0</v>
      </c>
      <c r="R1419" s="757"/>
      <c r="S1419" s="755"/>
      <c r="T1419" s="277"/>
      <c r="U1419" s="758" t="str">
        <f t="shared" si="289"/>
        <v/>
      </c>
      <c r="V1419" s="758" t="str">
        <f t="shared" si="290"/>
        <v>1900</v>
      </c>
      <c r="W1419" s="759"/>
      <c r="X1419" s="771"/>
      <c r="Y1419" s="977"/>
      <c r="Z1419" s="758"/>
      <c r="AA1419" s="758" t="str">
        <f t="shared" si="278"/>
        <v/>
      </c>
      <c r="AB1419" s="758" t="str">
        <f t="shared" si="279"/>
        <v/>
      </c>
      <c r="AC1419" s="758" t="str">
        <f t="shared" si="280"/>
        <v/>
      </c>
      <c r="AD1419" s="758" t="str">
        <f t="shared" si="281"/>
        <v>0</v>
      </c>
      <c r="AE1419" s="760"/>
      <c r="AF1419" s="760"/>
      <c r="AG1419" s="443"/>
      <c r="AH1419" s="443"/>
    </row>
    <row r="1420" spans="1:34">
      <c r="A1420" s="728">
        <f t="shared" si="291"/>
        <v>1413</v>
      </c>
      <c r="B1420" s="77"/>
      <c r="C1420" s="747"/>
      <c r="D1420" s="763" t="str">
        <f t="shared" si="282"/>
        <v>January</v>
      </c>
      <c r="E1420" s="763">
        <f t="shared" si="283"/>
        <v>0</v>
      </c>
      <c r="F1420" s="762">
        <f t="shared" si="284"/>
        <v>1900</v>
      </c>
      <c r="G1420" s="747"/>
      <c r="H1420" s="882"/>
      <c r="I1420" s="756"/>
      <c r="J1420" s="756"/>
      <c r="K1420" s="778">
        <f t="shared" si="285"/>
        <v>0</v>
      </c>
      <c r="L1420" s="976"/>
      <c r="M1420" s="736">
        <f t="shared" si="286"/>
        <v>0</v>
      </c>
      <c r="N1420" s="754"/>
      <c r="O1420" s="738">
        <f t="shared" si="287"/>
        <v>0</v>
      </c>
      <c r="P1420" s="757"/>
      <c r="Q1420" s="739">
        <f t="shared" si="288"/>
        <v>0</v>
      </c>
      <c r="R1420" s="757"/>
      <c r="S1420" s="755"/>
      <c r="T1420" s="277"/>
      <c r="U1420" s="758" t="str">
        <f t="shared" si="289"/>
        <v/>
      </c>
      <c r="V1420" s="758" t="str">
        <f t="shared" si="290"/>
        <v>1900</v>
      </c>
      <c r="W1420" s="759"/>
      <c r="X1420" s="771"/>
      <c r="Y1420" s="977"/>
      <c r="Z1420" s="758"/>
      <c r="AA1420" s="758" t="str">
        <f t="shared" si="278"/>
        <v/>
      </c>
      <c r="AB1420" s="758" t="str">
        <f t="shared" si="279"/>
        <v/>
      </c>
      <c r="AC1420" s="758" t="str">
        <f t="shared" si="280"/>
        <v/>
      </c>
      <c r="AD1420" s="758" t="str">
        <f t="shared" si="281"/>
        <v>0</v>
      </c>
      <c r="AE1420" s="760"/>
      <c r="AF1420" s="760"/>
      <c r="AG1420" s="443"/>
      <c r="AH1420" s="443"/>
    </row>
    <row r="1421" spans="1:34">
      <c r="A1421" s="728">
        <f t="shared" si="291"/>
        <v>1414</v>
      </c>
      <c r="B1421" s="77"/>
      <c r="C1421" s="747"/>
      <c r="D1421" s="763" t="str">
        <f t="shared" si="282"/>
        <v>January</v>
      </c>
      <c r="E1421" s="763">
        <f t="shared" si="283"/>
        <v>0</v>
      </c>
      <c r="F1421" s="762">
        <f t="shared" si="284"/>
        <v>1900</v>
      </c>
      <c r="G1421" s="747"/>
      <c r="H1421" s="882"/>
      <c r="I1421" s="756"/>
      <c r="J1421" s="756"/>
      <c r="K1421" s="778">
        <f t="shared" si="285"/>
        <v>0</v>
      </c>
      <c r="L1421" s="976"/>
      <c r="M1421" s="736">
        <f t="shared" si="286"/>
        <v>0</v>
      </c>
      <c r="N1421" s="754"/>
      <c r="O1421" s="738">
        <f t="shared" si="287"/>
        <v>0</v>
      </c>
      <c r="P1421" s="757"/>
      <c r="Q1421" s="739">
        <f t="shared" si="288"/>
        <v>0</v>
      </c>
      <c r="R1421" s="757"/>
      <c r="S1421" s="755"/>
      <c r="T1421" s="277"/>
      <c r="U1421" s="758" t="str">
        <f t="shared" si="289"/>
        <v/>
      </c>
      <c r="V1421" s="758" t="str">
        <f t="shared" si="290"/>
        <v>1900</v>
      </c>
      <c r="W1421" s="759"/>
      <c r="X1421" s="771"/>
      <c r="Y1421" s="977"/>
      <c r="Z1421" s="758"/>
      <c r="AA1421" s="758" t="str">
        <f t="shared" si="278"/>
        <v/>
      </c>
      <c r="AB1421" s="758" t="str">
        <f t="shared" si="279"/>
        <v/>
      </c>
      <c r="AC1421" s="758" t="str">
        <f t="shared" si="280"/>
        <v/>
      </c>
      <c r="AD1421" s="758" t="str">
        <f t="shared" si="281"/>
        <v>0</v>
      </c>
      <c r="AE1421" s="760"/>
      <c r="AF1421" s="760"/>
      <c r="AG1421" s="443"/>
      <c r="AH1421" s="443"/>
    </row>
    <row r="1422" spans="1:34">
      <c r="A1422" s="728">
        <f t="shared" si="291"/>
        <v>1415</v>
      </c>
      <c r="B1422" s="77"/>
      <c r="C1422" s="747"/>
      <c r="D1422" s="763" t="str">
        <f t="shared" si="282"/>
        <v>January</v>
      </c>
      <c r="E1422" s="763">
        <f t="shared" si="283"/>
        <v>0</v>
      </c>
      <c r="F1422" s="762">
        <f t="shared" si="284"/>
        <v>1900</v>
      </c>
      <c r="G1422" s="747"/>
      <c r="H1422" s="882"/>
      <c r="I1422" s="756"/>
      <c r="J1422" s="756"/>
      <c r="K1422" s="778">
        <f t="shared" si="285"/>
        <v>0</v>
      </c>
      <c r="L1422" s="976"/>
      <c r="M1422" s="736">
        <f t="shared" si="286"/>
        <v>0</v>
      </c>
      <c r="N1422" s="754"/>
      <c r="O1422" s="738">
        <f t="shared" si="287"/>
        <v>0</v>
      </c>
      <c r="P1422" s="757"/>
      <c r="Q1422" s="739">
        <f t="shared" si="288"/>
        <v>0</v>
      </c>
      <c r="R1422" s="757"/>
      <c r="S1422" s="755"/>
      <c r="T1422" s="277"/>
      <c r="U1422" s="758" t="str">
        <f t="shared" si="289"/>
        <v/>
      </c>
      <c r="V1422" s="758" t="str">
        <f t="shared" si="290"/>
        <v>1900</v>
      </c>
      <c r="W1422" s="759"/>
      <c r="X1422" s="771"/>
      <c r="Y1422" s="977"/>
      <c r="Z1422" s="758"/>
      <c r="AA1422" s="758" t="str">
        <f t="shared" si="278"/>
        <v/>
      </c>
      <c r="AB1422" s="758" t="str">
        <f t="shared" si="279"/>
        <v/>
      </c>
      <c r="AC1422" s="758" t="str">
        <f t="shared" si="280"/>
        <v/>
      </c>
      <c r="AD1422" s="758" t="str">
        <f t="shared" si="281"/>
        <v>0</v>
      </c>
      <c r="AE1422" s="760"/>
      <c r="AF1422" s="760"/>
      <c r="AG1422" s="443"/>
      <c r="AH1422" s="443"/>
    </row>
    <row r="1423" spans="1:34">
      <c r="A1423" s="728">
        <f t="shared" si="291"/>
        <v>1416</v>
      </c>
      <c r="B1423" s="77"/>
      <c r="C1423" s="747"/>
      <c r="D1423" s="763" t="str">
        <f t="shared" si="282"/>
        <v>January</v>
      </c>
      <c r="E1423" s="763">
        <f t="shared" si="283"/>
        <v>0</v>
      </c>
      <c r="F1423" s="762">
        <f t="shared" si="284"/>
        <v>1900</v>
      </c>
      <c r="G1423" s="747"/>
      <c r="H1423" s="882"/>
      <c r="I1423" s="756"/>
      <c r="J1423" s="756"/>
      <c r="K1423" s="778">
        <f t="shared" si="285"/>
        <v>0</v>
      </c>
      <c r="L1423" s="976"/>
      <c r="M1423" s="736">
        <f t="shared" si="286"/>
        <v>0</v>
      </c>
      <c r="N1423" s="754"/>
      <c r="O1423" s="738">
        <f t="shared" si="287"/>
        <v>0</v>
      </c>
      <c r="P1423" s="757"/>
      <c r="Q1423" s="739">
        <f t="shared" si="288"/>
        <v>0</v>
      </c>
      <c r="R1423" s="757"/>
      <c r="S1423" s="755"/>
      <c r="T1423" s="277"/>
      <c r="U1423" s="758" t="str">
        <f t="shared" si="289"/>
        <v/>
      </c>
      <c r="V1423" s="758" t="str">
        <f t="shared" si="290"/>
        <v>1900</v>
      </c>
      <c r="W1423" s="759"/>
      <c r="X1423" s="771"/>
      <c r="Y1423" s="977"/>
      <c r="Z1423" s="758"/>
      <c r="AA1423" s="758" t="str">
        <f t="shared" si="278"/>
        <v/>
      </c>
      <c r="AB1423" s="758" t="str">
        <f t="shared" si="279"/>
        <v/>
      </c>
      <c r="AC1423" s="758" t="str">
        <f t="shared" si="280"/>
        <v/>
      </c>
      <c r="AD1423" s="758" t="str">
        <f t="shared" si="281"/>
        <v>0</v>
      </c>
      <c r="AE1423" s="760"/>
      <c r="AF1423" s="760"/>
      <c r="AG1423" s="443"/>
      <c r="AH1423" s="443"/>
    </row>
    <row r="1424" spans="1:34">
      <c r="A1424" s="728">
        <f t="shared" si="291"/>
        <v>1417</v>
      </c>
      <c r="B1424" s="77"/>
      <c r="C1424" s="747"/>
      <c r="D1424" s="763" t="str">
        <f t="shared" si="282"/>
        <v>January</v>
      </c>
      <c r="E1424" s="763">
        <f t="shared" si="283"/>
        <v>0</v>
      </c>
      <c r="F1424" s="762">
        <f t="shared" si="284"/>
        <v>1900</v>
      </c>
      <c r="G1424" s="747"/>
      <c r="H1424" s="882"/>
      <c r="I1424" s="756"/>
      <c r="J1424" s="756"/>
      <c r="K1424" s="778">
        <f t="shared" si="285"/>
        <v>0</v>
      </c>
      <c r="L1424" s="976"/>
      <c r="M1424" s="736">
        <f t="shared" si="286"/>
        <v>0</v>
      </c>
      <c r="N1424" s="754"/>
      <c r="O1424" s="738">
        <f t="shared" si="287"/>
        <v>0</v>
      </c>
      <c r="P1424" s="757"/>
      <c r="Q1424" s="739">
        <f t="shared" si="288"/>
        <v>0</v>
      </c>
      <c r="R1424" s="757"/>
      <c r="S1424" s="755"/>
      <c r="T1424" s="277"/>
      <c r="U1424" s="758" t="str">
        <f t="shared" si="289"/>
        <v/>
      </c>
      <c r="V1424" s="758" t="str">
        <f t="shared" si="290"/>
        <v>1900</v>
      </c>
      <c r="W1424" s="759"/>
      <c r="X1424" s="771"/>
      <c r="Y1424" s="977"/>
      <c r="Z1424" s="758"/>
      <c r="AA1424" s="758" t="str">
        <f t="shared" ref="AA1424:AA1487" si="292">CONCATENATE(H1424,W1424)</f>
        <v/>
      </c>
      <c r="AB1424" s="758" t="str">
        <f t="shared" ref="AB1424:AB1487" si="293">CONCATENATE(H1424,X1424)</f>
        <v/>
      </c>
      <c r="AC1424" s="758" t="str">
        <f t="shared" ref="AC1424:AC1487" si="294">CONCATENATE(H1424,Y1424)</f>
        <v/>
      </c>
      <c r="AD1424" s="758" t="str">
        <f t="shared" si="281"/>
        <v>0</v>
      </c>
      <c r="AE1424" s="760"/>
      <c r="AF1424" s="760"/>
      <c r="AG1424" s="443"/>
      <c r="AH1424" s="443"/>
    </row>
    <row r="1425" spans="1:34">
      <c r="A1425" s="728">
        <f t="shared" si="291"/>
        <v>1418</v>
      </c>
      <c r="B1425" s="77"/>
      <c r="C1425" s="747"/>
      <c r="D1425" s="763" t="str">
        <f t="shared" si="282"/>
        <v>January</v>
      </c>
      <c r="E1425" s="763">
        <f t="shared" si="283"/>
        <v>0</v>
      </c>
      <c r="F1425" s="762">
        <f t="shared" si="284"/>
        <v>1900</v>
      </c>
      <c r="G1425" s="747"/>
      <c r="H1425" s="882"/>
      <c r="I1425" s="756"/>
      <c r="J1425" s="756"/>
      <c r="K1425" s="778">
        <f t="shared" si="285"/>
        <v>0</v>
      </c>
      <c r="L1425" s="976"/>
      <c r="M1425" s="736">
        <f t="shared" si="286"/>
        <v>0</v>
      </c>
      <c r="N1425" s="754"/>
      <c r="O1425" s="738">
        <f t="shared" si="287"/>
        <v>0</v>
      </c>
      <c r="P1425" s="757"/>
      <c r="Q1425" s="739">
        <f t="shared" si="288"/>
        <v>0</v>
      </c>
      <c r="R1425" s="757"/>
      <c r="S1425" s="755"/>
      <c r="T1425" s="277"/>
      <c r="U1425" s="758" t="str">
        <f t="shared" si="289"/>
        <v/>
      </c>
      <c r="V1425" s="758" t="str">
        <f t="shared" si="290"/>
        <v>1900</v>
      </c>
      <c r="W1425" s="759"/>
      <c r="X1425" s="771"/>
      <c r="Y1425" s="977"/>
      <c r="Z1425" s="758"/>
      <c r="AA1425" s="758" t="str">
        <f t="shared" si="292"/>
        <v/>
      </c>
      <c r="AB1425" s="758" t="str">
        <f t="shared" si="293"/>
        <v/>
      </c>
      <c r="AC1425" s="758" t="str">
        <f t="shared" si="294"/>
        <v/>
      </c>
      <c r="AD1425" s="758" t="str">
        <f t="shared" si="281"/>
        <v>0</v>
      </c>
      <c r="AE1425" s="760"/>
      <c r="AF1425" s="760"/>
      <c r="AG1425" s="443"/>
      <c r="AH1425" s="443"/>
    </row>
    <row r="1426" spans="1:34">
      <c r="A1426" s="728">
        <f t="shared" si="291"/>
        <v>1419</v>
      </c>
      <c r="B1426" s="77"/>
      <c r="C1426" s="747"/>
      <c r="D1426" s="763" t="str">
        <f t="shared" si="282"/>
        <v>January</v>
      </c>
      <c r="E1426" s="763">
        <f t="shared" si="283"/>
        <v>0</v>
      </c>
      <c r="F1426" s="762">
        <f t="shared" si="284"/>
        <v>1900</v>
      </c>
      <c r="G1426" s="747"/>
      <c r="H1426" s="882"/>
      <c r="I1426" s="756"/>
      <c r="J1426" s="756"/>
      <c r="K1426" s="778">
        <f t="shared" si="285"/>
        <v>0</v>
      </c>
      <c r="L1426" s="976"/>
      <c r="M1426" s="736">
        <f t="shared" si="286"/>
        <v>0</v>
      </c>
      <c r="N1426" s="754"/>
      <c r="O1426" s="738">
        <f t="shared" si="287"/>
        <v>0</v>
      </c>
      <c r="P1426" s="757"/>
      <c r="Q1426" s="739">
        <f t="shared" si="288"/>
        <v>0</v>
      </c>
      <c r="R1426" s="757"/>
      <c r="S1426" s="755"/>
      <c r="T1426" s="277"/>
      <c r="U1426" s="758" t="str">
        <f t="shared" si="289"/>
        <v/>
      </c>
      <c r="V1426" s="758" t="str">
        <f t="shared" si="290"/>
        <v>1900</v>
      </c>
      <c r="W1426" s="759"/>
      <c r="X1426" s="771"/>
      <c r="Y1426" s="977"/>
      <c r="Z1426" s="758"/>
      <c r="AA1426" s="758" t="str">
        <f t="shared" si="292"/>
        <v/>
      </c>
      <c r="AB1426" s="758" t="str">
        <f t="shared" si="293"/>
        <v/>
      </c>
      <c r="AC1426" s="758" t="str">
        <f t="shared" si="294"/>
        <v/>
      </c>
      <c r="AD1426" s="758" t="str">
        <f t="shared" si="281"/>
        <v>0</v>
      </c>
      <c r="AE1426" s="760"/>
      <c r="AF1426" s="760"/>
      <c r="AG1426" s="443"/>
      <c r="AH1426" s="443"/>
    </row>
    <row r="1427" spans="1:34">
      <c r="A1427" s="728">
        <f t="shared" si="291"/>
        <v>1420</v>
      </c>
      <c r="B1427" s="77"/>
      <c r="C1427" s="747"/>
      <c r="D1427" s="763" t="str">
        <f t="shared" si="282"/>
        <v>January</v>
      </c>
      <c r="E1427" s="763">
        <f t="shared" si="283"/>
        <v>0</v>
      </c>
      <c r="F1427" s="762">
        <f t="shared" si="284"/>
        <v>1900</v>
      </c>
      <c r="G1427" s="747"/>
      <c r="H1427" s="882"/>
      <c r="I1427" s="756"/>
      <c r="J1427" s="756"/>
      <c r="K1427" s="778">
        <f t="shared" si="285"/>
        <v>0</v>
      </c>
      <c r="L1427" s="976"/>
      <c r="M1427" s="736">
        <f t="shared" si="286"/>
        <v>0</v>
      </c>
      <c r="N1427" s="754"/>
      <c r="O1427" s="738">
        <f t="shared" si="287"/>
        <v>0</v>
      </c>
      <c r="P1427" s="757"/>
      <c r="Q1427" s="739">
        <f t="shared" si="288"/>
        <v>0</v>
      </c>
      <c r="R1427" s="757"/>
      <c r="S1427" s="755"/>
      <c r="T1427" s="277"/>
      <c r="U1427" s="758" t="str">
        <f t="shared" si="289"/>
        <v/>
      </c>
      <c r="V1427" s="758" t="str">
        <f t="shared" si="290"/>
        <v>1900</v>
      </c>
      <c r="W1427" s="759"/>
      <c r="X1427" s="771"/>
      <c r="Y1427" s="977"/>
      <c r="Z1427" s="758"/>
      <c r="AA1427" s="758" t="str">
        <f t="shared" si="292"/>
        <v/>
      </c>
      <c r="AB1427" s="758" t="str">
        <f t="shared" si="293"/>
        <v/>
      </c>
      <c r="AC1427" s="758" t="str">
        <f t="shared" si="294"/>
        <v/>
      </c>
      <c r="AD1427" s="758" t="str">
        <f t="shared" si="281"/>
        <v>0</v>
      </c>
      <c r="AE1427" s="760"/>
      <c r="AF1427" s="760"/>
      <c r="AG1427" s="443"/>
      <c r="AH1427" s="443"/>
    </row>
    <row r="1428" spans="1:34">
      <c r="A1428" s="728">
        <f t="shared" si="291"/>
        <v>1421</v>
      </c>
      <c r="B1428" s="77"/>
      <c r="C1428" s="747"/>
      <c r="D1428" s="763" t="str">
        <f t="shared" si="282"/>
        <v>January</v>
      </c>
      <c r="E1428" s="763">
        <f t="shared" si="283"/>
        <v>0</v>
      </c>
      <c r="F1428" s="762">
        <f t="shared" si="284"/>
        <v>1900</v>
      </c>
      <c r="G1428" s="747"/>
      <c r="H1428" s="882"/>
      <c r="I1428" s="756"/>
      <c r="J1428" s="756"/>
      <c r="K1428" s="778">
        <f t="shared" si="285"/>
        <v>0</v>
      </c>
      <c r="L1428" s="976"/>
      <c r="M1428" s="736">
        <f t="shared" si="286"/>
        <v>0</v>
      </c>
      <c r="N1428" s="754"/>
      <c r="O1428" s="738">
        <f t="shared" si="287"/>
        <v>0</v>
      </c>
      <c r="P1428" s="757"/>
      <c r="Q1428" s="739">
        <f t="shared" si="288"/>
        <v>0</v>
      </c>
      <c r="R1428" s="757"/>
      <c r="S1428" s="755"/>
      <c r="T1428" s="277"/>
      <c r="U1428" s="758" t="str">
        <f t="shared" si="289"/>
        <v/>
      </c>
      <c r="V1428" s="758" t="str">
        <f t="shared" si="290"/>
        <v>1900</v>
      </c>
      <c r="W1428" s="759"/>
      <c r="X1428" s="771"/>
      <c r="Y1428" s="977"/>
      <c r="Z1428" s="758"/>
      <c r="AA1428" s="758" t="str">
        <f t="shared" si="292"/>
        <v/>
      </c>
      <c r="AB1428" s="758" t="str">
        <f t="shared" si="293"/>
        <v/>
      </c>
      <c r="AC1428" s="758" t="str">
        <f t="shared" si="294"/>
        <v/>
      </c>
      <c r="AD1428" s="758" t="str">
        <f t="shared" si="281"/>
        <v>0</v>
      </c>
      <c r="AE1428" s="760"/>
      <c r="AF1428" s="760"/>
      <c r="AG1428" s="443"/>
      <c r="AH1428" s="443"/>
    </row>
    <row r="1429" spans="1:34">
      <c r="A1429" s="728">
        <f t="shared" si="291"/>
        <v>1422</v>
      </c>
      <c r="B1429" s="77"/>
      <c r="C1429" s="747"/>
      <c r="D1429" s="763" t="str">
        <f t="shared" si="282"/>
        <v>January</v>
      </c>
      <c r="E1429" s="763">
        <f t="shared" si="283"/>
        <v>0</v>
      </c>
      <c r="F1429" s="762">
        <f t="shared" si="284"/>
        <v>1900</v>
      </c>
      <c r="G1429" s="747"/>
      <c r="H1429" s="882"/>
      <c r="I1429" s="756"/>
      <c r="J1429" s="756"/>
      <c r="K1429" s="778">
        <f t="shared" si="285"/>
        <v>0</v>
      </c>
      <c r="L1429" s="976"/>
      <c r="M1429" s="736">
        <f t="shared" si="286"/>
        <v>0</v>
      </c>
      <c r="N1429" s="754"/>
      <c r="O1429" s="738">
        <f t="shared" si="287"/>
        <v>0</v>
      </c>
      <c r="P1429" s="757"/>
      <c r="Q1429" s="739">
        <f t="shared" si="288"/>
        <v>0</v>
      </c>
      <c r="R1429" s="757"/>
      <c r="S1429" s="755"/>
      <c r="T1429" s="277"/>
      <c r="U1429" s="758" t="str">
        <f t="shared" si="289"/>
        <v/>
      </c>
      <c r="V1429" s="758" t="str">
        <f t="shared" si="290"/>
        <v>1900</v>
      </c>
      <c r="W1429" s="759"/>
      <c r="X1429" s="771"/>
      <c r="Y1429" s="977"/>
      <c r="Z1429" s="758"/>
      <c r="AA1429" s="758" t="str">
        <f t="shared" si="292"/>
        <v/>
      </c>
      <c r="AB1429" s="758" t="str">
        <f t="shared" si="293"/>
        <v/>
      </c>
      <c r="AC1429" s="758" t="str">
        <f t="shared" si="294"/>
        <v/>
      </c>
      <c r="AD1429" s="758" t="str">
        <f t="shared" si="281"/>
        <v>0</v>
      </c>
      <c r="AE1429" s="760"/>
      <c r="AF1429" s="760"/>
      <c r="AG1429" s="443"/>
      <c r="AH1429" s="443"/>
    </row>
    <row r="1430" spans="1:34">
      <c r="A1430" s="728">
        <f t="shared" si="291"/>
        <v>1423</v>
      </c>
      <c r="B1430" s="77"/>
      <c r="C1430" s="747"/>
      <c r="D1430" s="763" t="str">
        <f t="shared" si="282"/>
        <v>January</v>
      </c>
      <c r="E1430" s="763">
        <f t="shared" si="283"/>
        <v>0</v>
      </c>
      <c r="F1430" s="762">
        <f t="shared" si="284"/>
        <v>1900</v>
      </c>
      <c r="G1430" s="747"/>
      <c r="H1430" s="882"/>
      <c r="I1430" s="756"/>
      <c r="J1430" s="756"/>
      <c r="K1430" s="778">
        <f t="shared" si="285"/>
        <v>0</v>
      </c>
      <c r="L1430" s="976"/>
      <c r="M1430" s="736">
        <f t="shared" si="286"/>
        <v>0</v>
      </c>
      <c r="N1430" s="754"/>
      <c r="O1430" s="738">
        <f t="shared" si="287"/>
        <v>0</v>
      </c>
      <c r="P1430" s="757"/>
      <c r="Q1430" s="739">
        <f t="shared" si="288"/>
        <v>0</v>
      </c>
      <c r="R1430" s="757"/>
      <c r="S1430" s="755"/>
      <c r="T1430" s="277"/>
      <c r="U1430" s="758" t="str">
        <f t="shared" si="289"/>
        <v/>
      </c>
      <c r="V1430" s="758" t="str">
        <f t="shared" si="290"/>
        <v>1900</v>
      </c>
      <c r="W1430" s="759"/>
      <c r="X1430" s="771"/>
      <c r="Y1430" s="977"/>
      <c r="Z1430" s="758"/>
      <c r="AA1430" s="758" t="str">
        <f t="shared" si="292"/>
        <v/>
      </c>
      <c r="AB1430" s="758" t="str">
        <f t="shared" si="293"/>
        <v/>
      </c>
      <c r="AC1430" s="758" t="str">
        <f t="shared" si="294"/>
        <v/>
      </c>
      <c r="AD1430" s="758" t="str">
        <f t="shared" si="281"/>
        <v>0</v>
      </c>
      <c r="AE1430" s="760"/>
      <c r="AF1430" s="760"/>
      <c r="AG1430" s="443"/>
      <c r="AH1430" s="443"/>
    </row>
    <row r="1431" spans="1:34">
      <c r="A1431" s="728">
        <f t="shared" si="291"/>
        <v>1424</v>
      </c>
      <c r="B1431" s="77"/>
      <c r="C1431" s="747"/>
      <c r="D1431" s="763" t="str">
        <f t="shared" si="282"/>
        <v>January</v>
      </c>
      <c r="E1431" s="763">
        <f t="shared" si="283"/>
        <v>0</v>
      </c>
      <c r="F1431" s="762">
        <f t="shared" si="284"/>
        <v>1900</v>
      </c>
      <c r="G1431" s="747"/>
      <c r="H1431" s="882"/>
      <c r="I1431" s="756"/>
      <c r="J1431" s="756"/>
      <c r="K1431" s="778">
        <f t="shared" si="285"/>
        <v>0</v>
      </c>
      <c r="L1431" s="976"/>
      <c r="M1431" s="736">
        <f t="shared" si="286"/>
        <v>0</v>
      </c>
      <c r="N1431" s="754"/>
      <c r="O1431" s="738">
        <f t="shared" si="287"/>
        <v>0</v>
      </c>
      <c r="P1431" s="757"/>
      <c r="Q1431" s="739">
        <f t="shared" si="288"/>
        <v>0</v>
      </c>
      <c r="R1431" s="757"/>
      <c r="S1431" s="755"/>
      <c r="T1431" s="277"/>
      <c r="U1431" s="758" t="str">
        <f t="shared" si="289"/>
        <v/>
      </c>
      <c r="V1431" s="758" t="str">
        <f t="shared" si="290"/>
        <v>1900</v>
      </c>
      <c r="W1431" s="759"/>
      <c r="X1431" s="771"/>
      <c r="Y1431" s="977"/>
      <c r="Z1431" s="758"/>
      <c r="AA1431" s="758" t="str">
        <f t="shared" si="292"/>
        <v/>
      </c>
      <c r="AB1431" s="758" t="str">
        <f t="shared" si="293"/>
        <v/>
      </c>
      <c r="AC1431" s="758" t="str">
        <f t="shared" si="294"/>
        <v/>
      </c>
      <c r="AD1431" s="758" t="str">
        <f t="shared" si="281"/>
        <v>0</v>
      </c>
      <c r="AE1431" s="760"/>
      <c r="AF1431" s="760"/>
      <c r="AG1431" s="443"/>
      <c r="AH1431" s="443"/>
    </row>
    <row r="1432" spans="1:34">
      <c r="A1432" s="728">
        <f t="shared" si="291"/>
        <v>1425</v>
      </c>
      <c r="B1432" s="77"/>
      <c r="C1432" s="747"/>
      <c r="D1432" s="763" t="str">
        <f t="shared" si="282"/>
        <v>January</v>
      </c>
      <c r="E1432" s="763">
        <f t="shared" si="283"/>
        <v>0</v>
      </c>
      <c r="F1432" s="762">
        <f t="shared" si="284"/>
        <v>1900</v>
      </c>
      <c r="G1432" s="747"/>
      <c r="H1432" s="882"/>
      <c r="I1432" s="756"/>
      <c r="J1432" s="756"/>
      <c r="K1432" s="778">
        <f t="shared" si="285"/>
        <v>0</v>
      </c>
      <c r="L1432" s="976"/>
      <c r="M1432" s="736">
        <f t="shared" si="286"/>
        <v>0</v>
      </c>
      <c r="N1432" s="754"/>
      <c r="O1432" s="738">
        <f t="shared" si="287"/>
        <v>0</v>
      </c>
      <c r="P1432" s="757"/>
      <c r="Q1432" s="739">
        <f t="shared" si="288"/>
        <v>0</v>
      </c>
      <c r="R1432" s="757"/>
      <c r="S1432" s="755"/>
      <c r="T1432" s="277"/>
      <c r="U1432" s="758" t="str">
        <f t="shared" si="289"/>
        <v/>
      </c>
      <c r="V1432" s="758" t="str">
        <f t="shared" si="290"/>
        <v>1900</v>
      </c>
      <c r="W1432" s="759"/>
      <c r="X1432" s="771"/>
      <c r="Y1432" s="977"/>
      <c r="Z1432" s="758"/>
      <c r="AA1432" s="758" t="str">
        <f t="shared" si="292"/>
        <v/>
      </c>
      <c r="AB1432" s="758" t="str">
        <f t="shared" si="293"/>
        <v/>
      </c>
      <c r="AC1432" s="758" t="str">
        <f t="shared" si="294"/>
        <v/>
      </c>
      <c r="AD1432" s="758" t="str">
        <f t="shared" si="281"/>
        <v>0</v>
      </c>
      <c r="AE1432" s="760"/>
      <c r="AF1432" s="760"/>
      <c r="AG1432" s="443"/>
      <c r="AH1432" s="443"/>
    </row>
    <row r="1433" spans="1:34">
      <c r="A1433" s="728">
        <f t="shared" si="291"/>
        <v>1426</v>
      </c>
      <c r="B1433" s="77"/>
      <c r="C1433" s="747"/>
      <c r="D1433" s="763" t="str">
        <f t="shared" si="282"/>
        <v>January</v>
      </c>
      <c r="E1433" s="763">
        <f t="shared" si="283"/>
        <v>0</v>
      </c>
      <c r="F1433" s="762">
        <f t="shared" si="284"/>
        <v>1900</v>
      </c>
      <c r="G1433" s="747"/>
      <c r="H1433" s="882"/>
      <c r="I1433" s="756"/>
      <c r="J1433" s="756"/>
      <c r="K1433" s="778">
        <f t="shared" si="285"/>
        <v>0</v>
      </c>
      <c r="L1433" s="976"/>
      <c r="M1433" s="736">
        <f t="shared" si="286"/>
        <v>0</v>
      </c>
      <c r="N1433" s="754"/>
      <c r="O1433" s="738">
        <f t="shared" si="287"/>
        <v>0</v>
      </c>
      <c r="P1433" s="757"/>
      <c r="Q1433" s="739">
        <f t="shared" si="288"/>
        <v>0</v>
      </c>
      <c r="R1433" s="757"/>
      <c r="S1433" s="755"/>
      <c r="T1433" s="277"/>
      <c r="U1433" s="758" t="str">
        <f t="shared" si="289"/>
        <v/>
      </c>
      <c r="V1433" s="758" t="str">
        <f t="shared" si="290"/>
        <v>1900</v>
      </c>
      <c r="W1433" s="759"/>
      <c r="X1433" s="771"/>
      <c r="Y1433" s="977"/>
      <c r="Z1433" s="758"/>
      <c r="AA1433" s="758" t="str">
        <f t="shared" si="292"/>
        <v/>
      </c>
      <c r="AB1433" s="758" t="str">
        <f t="shared" si="293"/>
        <v/>
      </c>
      <c r="AC1433" s="758" t="str">
        <f t="shared" si="294"/>
        <v/>
      </c>
      <c r="AD1433" s="758" t="str">
        <f t="shared" ref="AD1433:AD1496" si="295">CONCATENATE(H1433,M1433)</f>
        <v>0</v>
      </c>
      <c r="AE1433" s="760"/>
      <c r="AF1433" s="760"/>
      <c r="AG1433" s="443"/>
      <c r="AH1433" s="443"/>
    </row>
    <row r="1434" spans="1:34">
      <c r="A1434" s="728">
        <f t="shared" si="291"/>
        <v>1427</v>
      </c>
      <c r="B1434" s="77"/>
      <c r="C1434" s="747"/>
      <c r="D1434" s="763" t="str">
        <f t="shared" si="282"/>
        <v>January</v>
      </c>
      <c r="E1434" s="763">
        <f t="shared" si="283"/>
        <v>0</v>
      </c>
      <c r="F1434" s="762">
        <f t="shared" si="284"/>
        <v>1900</v>
      </c>
      <c r="G1434" s="747"/>
      <c r="H1434" s="882"/>
      <c r="I1434" s="756"/>
      <c r="J1434" s="756"/>
      <c r="K1434" s="778">
        <f t="shared" si="285"/>
        <v>0</v>
      </c>
      <c r="L1434" s="976"/>
      <c r="M1434" s="736">
        <f t="shared" si="286"/>
        <v>0</v>
      </c>
      <c r="N1434" s="754"/>
      <c r="O1434" s="738">
        <f t="shared" si="287"/>
        <v>0</v>
      </c>
      <c r="P1434" s="757"/>
      <c r="Q1434" s="739">
        <f t="shared" si="288"/>
        <v>0</v>
      </c>
      <c r="R1434" s="757"/>
      <c r="S1434" s="755"/>
      <c r="T1434" s="277"/>
      <c r="U1434" s="758" t="str">
        <f t="shared" si="289"/>
        <v/>
      </c>
      <c r="V1434" s="758" t="str">
        <f t="shared" si="290"/>
        <v>1900</v>
      </c>
      <c r="W1434" s="759"/>
      <c r="X1434" s="771"/>
      <c r="Y1434" s="977"/>
      <c r="Z1434" s="758"/>
      <c r="AA1434" s="758" t="str">
        <f t="shared" si="292"/>
        <v/>
      </c>
      <c r="AB1434" s="758" t="str">
        <f t="shared" si="293"/>
        <v/>
      </c>
      <c r="AC1434" s="758" t="str">
        <f t="shared" si="294"/>
        <v/>
      </c>
      <c r="AD1434" s="758" t="str">
        <f t="shared" si="295"/>
        <v>0</v>
      </c>
      <c r="AE1434" s="760"/>
      <c r="AF1434" s="760"/>
      <c r="AG1434" s="443"/>
      <c r="AH1434" s="443"/>
    </row>
    <row r="1435" spans="1:34">
      <c r="A1435" s="728">
        <f t="shared" si="291"/>
        <v>1428</v>
      </c>
      <c r="B1435" s="77"/>
      <c r="C1435" s="747"/>
      <c r="D1435" s="763" t="str">
        <f t="shared" si="282"/>
        <v>January</v>
      </c>
      <c r="E1435" s="763">
        <f t="shared" si="283"/>
        <v>0</v>
      </c>
      <c r="F1435" s="762">
        <f t="shared" si="284"/>
        <v>1900</v>
      </c>
      <c r="G1435" s="747"/>
      <c r="H1435" s="882"/>
      <c r="I1435" s="756"/>
      <c r="J1435" s="756"/>
      <c r="K1435" s="778">
        <f t="shared" si="285"/>
        <v>0</v>
      </c>
      <c r="L1435" s="976"/>
      <c r="M1435" s="736">
        <f t="shared" si="286"/>
        <v>0</v>
      </c>
      <c r="N1435" s="754"/>
      <c r="O1435" s="738">
        <f t="shared" si="287"/>
        <v>0</v>
      </c>
      <c r="P1435" s="757"/>
      <c r="Q1435" s="739">
        <f t="shared" si="288"/>
        <v>0</v>
      </c>
      <c r="R1435" s="757"/>
      <c r="S1435" s="755"/>
      <c r="T1435" s="277"/>
      <c r="U1435" s="758" t="str">
        <f t="shared" si="289"/>
        <v/>
      </c>
      <c r="V1435" s="758" t="str">
        <f t="shared" si="290"/>
        <v>1900</v>
      </c>
      <c r="W1435" s="759"/>
      <c r="X1435" s="771"/>
      <c r="Y1435" s="977"/>
      <c r="Z1435" s="758"/>
      <c r="AA1435" s="758" t="str">
        <f t="shared" si="292"/>
        <v/>
      </c>
      <c r="AB1435" s="758" t="str">
        <f t="shared" si="293"/>
        <v/>
      </c>
      <c r="AC1435" s="758" t="str">
        <f t="shared" si="294"/>
        <v/>
      </c>
      <c r="AD1435" s="758" t="str">
        <f t="shared" si="295"/>
        <v>0</v>
      </c>
      <c r="AE1435" s="760"/>
      <c r="AF1435" s="760"/>
      <c r="AG1435" s="443"/>
      <c r="AH1435" s="443"/>
    </row>
    <row r="1436" spans="1:34">
      <c r="A1436" s="728">
        <f t="shared" si="291"/>
        <v>1429</v>
      </c>
      <c r="B1436" s="77"/>
      <c r="C1436" s="747"/>
      <c r="D1436" s="763" t="str">
        <f t="shared" si="282"/>
        <v>January</v>
      </c>
      <c r="E1436" s="763">
        <f t="shared" si="283"/>
        <v>0</v>
      </c>
      <c r="F1436" s="762">
        <f t="shared" si="284"/>
        <v>1900</v>
      </c>
      <c r="G1436" s="747"/>
      <c r="H1436" s="882"/>
      <c r="I1436" s="756"/>
      <c r="J1436" s="756"/>
      <c r="K1436" s="778">
        <f t="shared" si="285"/>
        <v>0</v>
      </c>
      <c r="L1436" s="976"/>
      <c r="M1436" s="736">
        <f t="shared" si="286"/>
        <v>0</v>
      </c>
      <c r="N1436" s="754"/>
      <c r="O1436" s="738">
        <f t="shared" si="287"/>
        <v>0</v>
      </c>
      <c r="P1436" s="757"/>
      <c r="Q1436" s="739">
        <f t="shared" si="288"/>
        <v>0</v>
      </c>
      <c r="R1436" s="757"/>
      <c r="S1436" s="755"/>
      <c r="T1436" s="277"/>
      <c r="U1436" s="758" t="str">
        <f t="shared" si="289"/>
        <v/>
      </c>
      <c r="V1436" s="758" t="str">
        <f t="shared" si="290"/>
        <v>1900</v>
      </c>
      <c r="W1436" s="759"/>
      <c r="X1436" s="771"/>
      <c r="Y1436" s="977"/>
      <c r="Z1436" s="758"/>
      <c r="AA1436" s="758" t="str">
        <f t="shared" si="292"/>
        <v/>
      </c>
      <c r="AB1436" s="758" t="str">
        <f t="shared" si="293"/>
        <v/>
      </c>
      <c r="AC1436" s="758" t="str">
        <f t="shared" si="294"/>
        <v/>
      </c>
      <c r="AD1436" s="758" t="str">
        <f t="shared" si="295"/>
        <v>0</v>
      </c>
      <c r="AE1436" s="760"/>
      <c r="AF1436" s="760"/>
      <c r="AG1436" s="443"/>
      <c r="AH1436" s="443"/>
    </row>
    <row r="1437" spans="1:34">
      <c r="A1437" s="728">
        <f t="shared" si="291"/>
        <v>1430</v>
      </c>
      <c r="B1437" s="77"/>
      <c r="C1437" s="747"/>
      <c r="D1437" s="763" t="str">
        <f t="shared" si="282"/>
        <v>January</v>
      </c>
      <c r="E1437" s="763">
        <f t="shared" si="283"/>
        <v>0</v>
      </c>
      <c r="F1437" s="762">
        <f t="shared" si="284"/>
        <v>1900</v>
      </c>
      <c r="G1437" s="747"/>
      <c r="H1437" s="882"/>
      <c r="I1437" s="756"/>
      <c r="J1437" s="756"/>
      <c r="K1437" s="778">
        <f t="shared" si="285"/>
        <v>0</v>
      </c>
      <c r="L1437" s="976"/>
      <c r="M1437" s="736">
        <f t="shared" si="286"/>
        <v>0</v>
      </c>
      <c r="N1437" s="754"/>
      <c r="O1437" s="738">
        <f t="shared" si="287"/>
        <v>0</v>
      </c>
      <c r="P1437" s="757"/>
      <c r="Q1437" s="739">
        <f t="shared" si="288"/>
        <v>0</v>
      </c>
      <c r="R1437" s="757"/>
      <c r="S1437" s="755"/>
      <c r="T1437" s="277"/>
      <c r="U1437" s="758" t="str">
        <f t="shared" si="289"/>
        <v/>
      </c>
      <c r="V1437" s="758" t="str">
        <f t="shared" si="290"/>
        <v>1900</v>
      </c>
      <c r="W1437" s="759"/>
      <c r="X1437" s="771"/>
      <c r="Y1437" s="977"/>
      <c r="Z1437" s="758"/>
      <c r="AA1437" s="758" t="str">
        <f t="shared" si="292"/>
        <v/>
      </c>
      <c r="AB1437" s="758" t="str">
        <f t="shared" si="293"/>
        <v/>
      </c>
      <c r="AC1437" s="758" t="str">
        <f t="shared" si="294"/>
        <v/>
      </c>
      <c r="AD1437" s="758" t="str">
        <f t="shared" si="295"/>
        <v>0</v>
      </c>
      <c r="AE1437" s="760"/>
      <c r="AF1437" s="760"/>
      <c r="AG1437" s="443"/>
      <c r="AH1437" s="443"/>
    </row>
    <row r="1438" spans="1:34">
      <c r="A1438" s="728">
        <f t="shared" si="291"/>
        <v>1431</v>
      </c>
      <c r="B1438" s="77"/>
      <c r="C1438" s="747"/>
      <c r="D1438" s="763" t="str">
        <f t="shared" si="282"/>
        <v>January</v>
      </c>
      <c r="E1438" s="763">
        <f t="shared" si="283"/>
        <v>0</v>
      </c>
      <c r="F1438" s="762">
        <f t="shared" si="284"/>
        <v>1900</v>
      </c>
      <c r="G1438" s="747"/>
      <c r="H1438" s="882"/>
      <c r="I1438" s="756"/>
      <c r="J1438" s="756"/>
      <c r="K1438" s="778">
        <f t="shared" si="285"/>
        <v>0</v>
      </c>
      <c r="L1438" s="976"/>
      <c r="M1438" s="736">
        <f t="shared" si="286"/>
        <v>0</v>
      </c>
      <c r="N1438" s="754"/>
      <c r="O1438" s="738">
        <f t="shared" si="287"/>
        <v>0</v>
      </c>
      <c r="P1438" s="757"/>
      <c r="Q1438" s="739">
        <f t="shared" si="288"/>
        <v>0</v>
      </c>
      <c r="R1438" s="757"/>
      <c r="S1438" s="755"/>
      <c r="T1438" s="277"/>
      <c r="U1438" s="758" t="str">
        <f t="shared" si="289"/>
        <v/>
      </c>
      <c r="V1438" s="758" t="str">
        <f t="shared" si="290"/>
        <v>1900</v>
      </c>
      <c r="W1438" s="759"/>
      <c r="X1438" s="771"/>
      <c r="Y1438" s="977"/>
      <c r="Z1438" s="758"/>
      <c r="AA1438" s="758" t="str">
        <f t="shared" si="292"/>
        <v/>
      </c>
      <c r="AB1438" s="758" t="str">
        <f t="shared" si="293"/>
        <v/>
      </c>
      <c r="AC1438" s="758" t="str">
        <f t="shared" si="294"/>
        <v/>
      </c>
      <c r="AD1438" s="758" t="str">
        <f t="shared" si="295"/>
        <v>0</v>
      </c>
      <c r="AE1438" s="760"/>
      <c r="AF1438" s="760"/>
      <c r="AG1438" s="443"/>
      <c r="AH1438" s="443"/>
    </row>
    <row r="1439" spans="1:34">
      <c r="A1439" s="728">
        <f t="shared" si="291"/>
        <v>1432</v>
      </c>
      <c r="B1439" s="77"/>
      <c r="C1439" s="747"/>
      <c r="D1439" s="763" t="str">
        <f t="shared" si="282"/>
        <v>January</v>
      </c>
      <c r="E1439" s="763">
        <f t="shared" si="283"/>
        <v>0</v>
      </c>
      <c r="F1439" s="762">
        <f t="shared" si="284"/>
        <v>1900</v>
      </c>
      <c r="G1439" s="747"/>
      <c r="H1439" s="882"/>
      <c r="I1439" s="756"/>
      <c r="J1439" s="756"/>
      <c r="K1439" s="778">
        <f t="shared" si="285"/>
        <v>0</v>
      </c>
      <c r="L1439" s="976"/>
      <c r="M1439" s="736">
        <f t="shared" si="286"/>
        <v>0</v>
      </c>
      <c r="N1439" s="754"/>
      <c r="O1439" s="738">
        <f t="shared" si="287"/>
        <v>0</v>
      </c>
      <c r="P1439" s="757"/>
      <c r="Q1439" s="739">
        <f t="shared" si="288"/>
        <v>0</v>
      </c>
      <c r="R1439" s="757"/>
      <c r="S1439" s="755"/>
      <c r="T1439" s="277"/>
      <c r="U1439" s="758" t="str">
        <f t="shared" si="289"/>
        <v/>
      </c>
      <c r="V1439" s="758" t="str">
        <f t="shared" si="290"/>
        <v>1900</v>
      </c>
      <c r="W1439" s="759"/>
      <c r="X1439" s="771"/>
      <c r="Y1439" s="977"/>
      <c r="Z1439" s="758"/>
      <c r="AA1439" s="758" t="str">
        <f t="shared" si="292"/>
        <v/>
      </c>
      <c r="AB1439" s="758" t="str">
        <f t="shared" si="293"/>
        <v/>
      </c>
      <c r="AC1439" s="758" t="str">
        <f t="shared" si="294"/>
        <v/>
      </c>
      <c r="AD1439" s="758" t="str">
        <f t="shared" si="295"/>
        <v>0</v>
      </c>
      <c r="AE1439" s="760"/>
      <c r="AF1439" s="760"/>
      <c r="AG1439" s="443"/>
      <c r="AH1439" s="443"/>
    </row>
    <row r="1440" spans="1:34">
      <c r="A1440" s="728">
        <f t="shared" si="291"/>
        <v>1433</v>
      </c>
      <c r="B1440" s="77"/>
      <c r="C1440" s="747"/>
      <c r="D1440" s="763" t="str">
        <f t="shared" si="282"/>
        <v>January</v>
      </c>
      <c r="E1440" s="763">
        <f t="shared" si="283"/>
        <v>0</v>
      </c>
      <c r="F1440" s="762">
        <f t="shared" si="284"/>
        <v>1900</v>
      </c>
      <c r="G1440" s="747"/>
      <c r="H1440" s="882"/>
      <c r="I1440" s="756"/>
      <c r="J1440" s="756"/>
      <c r="K1440" s="778">
        <f t="shared" si="285"/>
        <v>0</v>
      </c>
      <c r="L1440" s="976"/>
      <c r="M1440" s="736">
        <f t="shared" si="286"/>
        <v>0</v>
      </c>
      <c r="N1440" s="754"/>
      <c r="O1440" s="738">
        <f t="shared" si="287"/>
        <v>0</v>
      </c>
      <c r="P1440" s="757"/>
      <c r="Q1440" s="739">
        <f t="shared" si="288"/>
        <v>0</v>
      </c>
      <c r="R1440" s="757"/>
      <c r="S1440" s="755"/>
      <c r="T1440" s="277"/>
      <c r="U1440" s="758" t="str">
        <f t="shared" si="289"/>
        <v/>
      </c>
      <c r="V1440" s="758" t="str">
        <f t="shared" si="290"/>
        <v>1900</v>
      </c>
      <c r="W1440" s="759"/>
      <c r="X1440" s="771"/>
      <c r="Y1440" s="977"/>
      <c r="Z1440" s="758"/>
      <c r="AA1440" s="758" t="str">
        <f t="shared" si="292"/>
        <v/>
      </c>
      <c r="AB1440" s="758" t="str">
        <f t="shared" si="293"/>
        <v/>
      </c>
      <c r="AC1440" s="758" t="str">
        <f t="shared" si="294"/>
        <v/>
      </c>
      <c r="AD1440" s="758" t="str">
        <f t="shared" si="295"/>
        <v>0</v>
      </c>
      <c r="AE1440" s="760"/>
      <c r="AF1440" s="760"/>
      <c r="AG1440" s="443"/>
      <c r="AH1440" s="443"/>
    </row>
    <row r="1441" spans="1:34">
      <c r="A1441" s="728">
        <f t="shared" si="291"/>
        <v>1434</v>
      </c>
      <c r="B1441" s="77"/>
      <c r="C1441" s="747"/>
      <c r="D1441" s="763" t="str">
        <f t="shared" si="282"/>
        <v>January</v>
      </c>
      <c r="E1441" s="763">
        <f t="shared" si="283"/>
        <v>0</v>
      </c>
      <c r="F1441" s="762">
        <f t="shared" si="284"/>
        <v>1900</v>
      </c>
      <c r="G1441" s="747"/>
      <c r="H1441" s="882"/>
      <c r="I1441" s="756"/>
      <c r="J1441" s="756"/>
      <c r="K1441" s="778">
        <f t="shared" si="285"/>
        <v>0</v>
      </c>
      <c r="L1441" s="976"/>
      <c r="M1441" s="736">
        <f t="shared" si="286"/>
        <v>0</v>
      </c>
      <c r="N1441" s="754"/>
      <c r="O1441" s="738">
        <f t="shared" si="287"/>
        <v>0</v>
      </c>
      <c r="P1441" s="757"/>
      <c r="Q1441" s="739">
        <f t="shared" si="288"/>
        <v>0</v>
      </c>
      <c r="R1441" s="757"/>
      <c r="S1441" s="755"/>
      <c r="T1441" s="277"/>
      <c r="U1441" s="758" t="str">
        <f t="shared" si="289"/>
        <v/>
      </c>
      <c r="V1441" s="758" t="str">
        <f t="shared" si="290"/>
        <v>1900</v>
      </c>
      <c r="W1441" s="759"/>
      <c r="X1441" s="771"/>
      <c r="Y1441" s="977"/>
      <c r="Z1441" s="758"/>
      <c r="AA1441" s="758" t="str">
        <f t="shared" si="292"/>
        <v/>
      </c>
      <c r="AB1441" s="758" t="str">
        <f t="shared" si="293"/>
        <v/>
      </c>
      <c r="AC1441" s="758" t="str">
        <f t="shared" si="294"/>
        <v/>
      </c>
      <c r="AD1441" s="758" t="str">
        <f t="shared" si="295"/>
        <v>0</v>
      </c>
      <c r="AE1441" s="760"/>
      <c r="AF1441" s="760"/>
      <c r="AG1441" s="443"/>
      <c r="AH1441" s="443"/>
    </row>
    <row r="1442" spans="1:34">
      <c r="A1442" s="728">
        <f t="shared" si="291"/>
        <v>1435</v>
      </c>
      <c r="B1442" s="77"/>
      <c r="C1442" s="747"/>
      <c r="D1442" s="763" t="str">
        <f t="shared" si="282"/>
        <v>January</v>
      </c>
      <c r="E1442" s="763">
        <f t="shared" si="283"/>
        <v>0</v>
      </c>
      <c r="F1442" s="762">
        <f t="shared" si="284"/>
        <v>1900</v>
      </c>
      <c r="G1442" s="747"/>
      <c r="H1442" s="882"/>
      <c r="I1442" s="756"/>
      <c r="J1442" s="756"/>
      <c r="K1442" s="778">
        <f t="shared" si="285"/>
        <v>0</v>
      </c>
      <c r="L1442" s="976"/>
      <c r="M1442" s="736">
        <f t="shared" si="286"/>
        <v>0</v>
      </c>
      <c r="N1442" s="754"/>
      <c r="O1442" s="738">
        <f t="shared" si="287"/>
        <v>0</v>
      </c>
      <c r="P1442" s="757"/>
      <c r="Q1442" s="739">
        <f t="shared" si="288"/>
        <v>0</v>
      </c>
      <c r="R1442" s="757"/>
      <c r="S1442" s="755"/>
      <c r="T1442" s="277"/>
      <c r="U1442" s="758" t="str">
        <f t="shared" si="289"/>
        <v/>
      </c>
      <c r="V1442" s="758" t="str">
        <f t="shared" si="290"/>
        <v>1900</v>
      </c>
      <c r="W1442" s="759"/>
      <c r="X1442" s="771"/>
      <c r="Y1442" s="977"/>
      <c r="Z1442" s="758"/>
      <c r="AA1442" s="758" t="str">
        <f t="shared" si="292"/>
        <v/>
      </c>
      <c r="AB1442" s="758" t="str">
        <f t="shared" si="293"/>
        <v/>
      </c>
      <c r="AC1442" s="758" t="str">
        <f t="shared" si="294"/>
        <v/>
      </c>
      <c r="AD1442" s="758" t="str">
        <f t="shared" si="295"/>
        <v>0</v>
      </c>
      <c r="AE1442" s="760"/>
      <c r="AF1442" s="760"/>
      <c r="AG1442" s="443"/>
      <c r="AH1442" s="443"/>
    </row>
    <row r="1443" spans="1:34">
      <c r="A1443" s="728">
        <f t="shared" si="291"/>
        <v>1436</v>
      </c>
      <c r="B1443" s="77"/>
      <c r="C1443" s="747"/>
      <c r="D1443" s="763" t="str">
        <f t="shared" si="282"/>
        <v>January</v>
      </c>
      <c r="E1443" s="763">
        <f t="shared" si="283"/>
        <v>0</v>
      </c>
      <c r="F1443" s="762">
        <f t="shared" si="284"/>
        <v>1900</v>
      </c>
      <c r="G1443" s="747"/>
      <c r="H1443" s="882"/>
      <c r="I1443" s="756"/>
      <c r="J1443" s="756"/>
      <c r="K1443" s="778">
        <f t="shared" si="285"/>
        <v>0</v>
      </c>
      <c r="L1443" s="976"/>
      <c r="M1443" s="736">
        <f t="shared" si="286"/>
        <v>0</v>
      </c>
      <c r="N1443" s="754"/>
      <c r="O1443" s="738">
        <f t="shared" si="287"/>
        <v>0</v>
      </c>
      <c r="P1443" s="757"/>
      <c r="Q1443" s="739">
        <f t="shared" si="288"/>
        <v>0</v>
      </c>
      <c r="R1443" s="757"/>
      <c r="S1443" s="755"/>
      <c r="T1443" s="277"/>
      <c r="U1443" s="758" t="str">
        <f t="shared" si="289"/>
        <v/>
      </c>
      <c r="V1443" s="758" t="str">
        <f t="shared" si="290"/>
        <v>1900</v>
      </c>
      <c r="W1443" s="759"/>
      <c r="X1443" s="771"/>
      <c r="Y1443" s="977"/>
      <c r="Z1443" s="758"/>
      <c r="AA1443" s="758" t="str">
        <f t="shared" si="292"/>
        <v/>
      </c>
      <c r="AB1443" s="758" t="str">
        <f t="shared" si="293"/>
        <v/>
      </c>
      <c r="AC1443" s="758" t="str">
        <f t="shared" si="294"/>
        <v/>
      </c>
      <c r="AD1443" s="758" t="str">
        <f t="shared" si="295"/>
        <v>0</v>
      </c>
      <c r="AE1443" s="760"/>
      <c r="AF1443" s="760"/>
      <c r="AG1443" s="443"/>
      <c r="AH1443" s="443"/>
    </row>
    <row r="1444" spans="1:34">
      <c r="A1444" s="728">
        <f t="shared" si="291"/>
        <v>1437</v>
      </c>
      <c r="B1444" s="77"/>
      <c r="C1444" s="747"/>
      <c r="D1444" s="763" t="str">
        <f t="shared" si="282"/>
        <v>January</v>
      </c>
      <c r="E1444" s="763">
        <f t="shared" si="283"/>
        <v>0</v>
      </c>
      <c r="F1444" s="762">
        <f t="shared" si="284"/>
        <v>1900</v>
      </c>
      <c r="G1444" s="747"/>
      <c r="H1444" s="882"/>
      <c r="I1444" s="756"/>
      <c r="J1444" s="756"/>
      <c r="K1444" s="778">
        <f t="shared" si="285"/>
        <v>0</v>
      </c>
      <c r="L1444" s="976"/>
      <c r="M1444" s="736">
        <f t="shared" si="286"/>
        <v>0</v>
      </c>
      <c r="N1444" s="754"/>
      <c r="O1444" s="738">
        <f t="shared" si="287"/>
        <v>0</v>
      </c>
      <c r="P1444" s="757"/>
      <c r="Q1444" s="739">
        <f t="shared" si="288"/>
        <v>0</v>
      </c>
      <c r="R1444" s="757"/>
      <c r="S1444" s="755"/>
      <c r="T1444" s="277"/>
      <c r="U1444" s="758" t="str">
        <f t="shared" si="289"/>
        <v/>
      </c>
      <c r="V1444" s="758" t="str">
        <f t="shared" si="290"/>
        <v>1900</v>
      </c>
      <c r="W1444" s="759"/>
      <c r="X1444" s="771"/>
      <c r="Y1444" s="977"/>
      <c r="Z1444" s="758"/>
      <c r="AA1444" s="758" t="str">
        <f t="shared" si="292"/>
        <v/>
      </c>
      <c r="AB1444" s="758" t="str">
        <f t="shared" si="293"/>
        <v/>
      </c>
      <c r="AC1444" s="758" t="str">
        <f t="shared" si="294"/>
        <v/>
      </c>
      <c r="AD1444" s="758" t="str">
        <f t="shared" si="295"/>
        <v>0</v>
      </c>
      <c r="AE1444" s="760"/>
      <c r="AF1444" s="760"/>
      <c r="AG1444" s="443"/>
      <c r="AH1444" s="443"/>
    </row>
    <row r="1445" spans="1:34">
      <c r="A1445" s="728">
        <f t="shared" si="291"/>
        <v>1438</v>
      </c>
      <c r="B1445" s="77"/>
      <c r="C1445" s="747"/>
      <c r="D1445" s="763" t="str">
        <f t="shared" si="282"/>
        <v>January</v>
      </c>
      <c r="E1445" s="763">
        <f t="shared" si="283"/>
        <v>0</v>
      </c>
      <c r="F1445" s="762">
        <f t="shared" si="284"/>
        <v>1900</v>
      </c>
      <c r="G1445" s="747"/>
      <c r="H1445" s="882"/>
      <c r="I1445" s="756"/>
      <c r="J1445" s="756"/>
      <c r="K1445" s="778">
        <f t="shared" si="285"/>
        <v>0</v>
      </c>
      <c r="L1445" s="976"/>
      <c r="M1445" s="736">
        <f t="shared" si="286"/>
        <v>0</v>
      </c>
      <c r="N1445" s="754"/>
      <c r="O1445" s="738">
        <f t="shared" si="287"/>
        <v>0</v>
      </c>
      <c r="P1445" s="757"/>
      <c r="Q1445" s="739">
        <f t="shared" si="288"/>
        <v>0</v>
      </c>
      <c r="R1445" s="757"/>
      <c r="S1445" s="755"/>
      <c r="T1445" s="277"/>
      <c r="U1445" s="758" t="str">
        <f t="shared" si="289"/>
        <v/>
      </c>
      <c r="V1445" s="758" t="str">
        <f t="shared" si="290"/>
        <v>1900</v>
      </c>
      <c r="W1445" s="759"/>
      <c r="X1445" s="771"/>
      <c r="Y1445" s="977"/>
      <c r="Z1445" s="758"/>
      <c r="AA1445" s="758" t="str">
        <f t="shared" si="292"/>
        <v/>
      </c>
      <c r="AB1445" s="758" t="str">
        <f t="shared" si="293"/>
        <v/>
      </c>
      <c r="AC1445" s="758" t="str">
        <f t="shared" si="294"/>
        <v/>
      </c>
      <c r="AD1445" s="758" t="str">
        <f t="shared" si="295"/>
        <v>0</v>
      </c>
      <c r="AE1445" s="760"/>
      <c r="AF1445" s="760"/>
      <c r="AG1445" s="443"/>
      <c r="AH1445" s="443"/>
    </row>
    <row r="1446" spans="1:34">
      <c r="A1446" s="728">
        <f t="shared" si="291"/>
        <v>1439</v>
      </c>
      <c r="B1446" s="77"/>
      <c r="C1446" s="747"/>
      <c r="D1446" s="763" t="str">
        <f t="shared" si="282"/>
        <v>January</v>
      </c>
      <c r="E1446" s="763">
        <f t="shared" si="283"/>
        <v>0</v>
      </c>
      <c r="F1446" s="762">
        <f t="shared" si="284"/>
        <v>1900</v>
      </c>
      <c r="G1446" s="747"/>
      <c r="H1446" s="882"/>
      <c r="I1446" s="756"/>
      <c r="J1446" s="756"/>
      <c r="K1446" s="778">
        <f t="shared" si="285"/>
        <v>0</v>
      </c>
      <c r="L1446" s="976"/>
      <c r="M1446" s="736">
        <f t="shared" si="286"/>
        <v>0</v>
      </c>
      <c r="N1446" s="754"/>
      <c r="O1446" s="738">
        <f t="shared" si="287"/>
        <v>0</v>
      </c>
      <c r="P1446" s="757"/>
      <c r="Q1446" s="739">
        <f t="shared" si="288"/>
        <v>0</v>
      </c>
      <c r="R1446" s="757"/>
      <c r="S1446" s="755"/>
      <c r="T1446" s="277"/>
      <c r="U1446" s="758" t="str">
        <f t="shared" si="289"/>
        <v/>
      </c>
      <c r="V1446" s="758" t="str">
        <f t="shared" si="290"/>
        <v>1900</v>
      </c>
      <c r="W1446" s="759"/>
      <c r="X1446" s="771"/>
      <c r="Y1446" s="977"/>
      <c r="Z1446" s="758"/>
      <c r="AA1446" s="758" t="str">
        <f t="shared" si="292"/>
        <v/>
      </c>
      <c r="AB1446" s="758" t="str">
        <f t="shared" si="293"/>
        <v/>
      </c>
      <c r="AC1446" s="758" t="str">
        <f t="shared" si="294"/>
        <v/>
      </c>
      <c r="AD1446" s="758" t="str">
        <f t="shared" si="295"/>
        <v>0</v>
      </c>
      <c r="AE1446" s="760"/>
      <c r="AF1446" s="760"/>
      <c r="AG1446" s="443"/>
      <c r="AH1446" s="443"/>
    </row>
    <row r="1447" spans="1:34">
      <c r="A1447" s="728">
        <f t="shared" si="291"/>
        <v>1440</v>
      </c>
      <c r="B1447" s="77"/>
      <c r="C1447" s="747"/>
      <c r="D1447" s="763" t="str">
        <f t="shared" si="282"/>
        <v>January</v>
      </c>
      <c r="E1447" s="763">
        <f t="shared" si="283"/>
        <v>0</v>
      </c>
      <c r="F1447" s="762">
        <f t="shared" si="284"/>
        <v>1900</v>
      </c>
      <c r="G1447" s="747"/>
      <c r="H1447" s="882"/>
      <c r="I1447" s="756"/>
      <c r="J1447" s="756"/>
      <c r="K1447" s="778">
        <f t="shared" si="285"/>
        <v>0</v>
      </c>
      <c r="L1447" s="976"/>
      <c r="M1447" s="736">
        <f t="shared" si="286"/>
        <v>0</v>
      </c>
      <c r="N1447" s="754"/>
      <c r="O1447" s="738">
        <f t="shared" si="287"/>
        <v>0</v>
      </c>
      <c r="P1447" s="757"/>
      <c r="Q1447" s="739">
        <f t="shared" si="288"/>
        <v>0</v>
      </c>
      <c r="R1447" s="757"/>
      <c r="S1447" s="755"/>
      <c r="T1447" s="277"/>
      <c r="U1447" s="758" t="str">
        <f t="shared" si="289"/>
        <v/>
      </c>
      <c r="V1447" s="758" t="str">
        <f t="shared" si="290"/>
        <v>1900</v>
      </c>
      <c r="W1447" s="759"/>
      <c r="X1447" s="771"/>
      <c r="Y1447" s="977"/>
      <c r="Z1447" s="758"/>
      <c r="AA1447" s="758" t="str">
        <f t="shared" si="292"/>
        <v/>
      </c>
      <c r="AB1447" s="758" t="str">
        <f t="shared" si="293"/>
        <v/>
      </c>
      <c r="AC1447" s="758" t="str">
        <f t="shared" si="294"/>
        <v/>
      </c>
      <c r="AD1447" s="758" t="str">
        <f t="shared" si="295"/>
        <v>0</v>
      </c>
      <c r="AE1447" s="760"/>
      <c r="AF1447" s="760"/>
      <c r="AG1447" s="443"/>
      <c r="AH1447" s="443"/>
    </row>
    <row r="1448" spans="1:34">
      <c r="A1448" s="728">
        <f t="shared" si="291"/>
        <v>1441</v>
      </c>
      <c r="B1448" s="77"/>
      <c r="C1448" s="747"/>
      <c r="D1448" s="763" t="str">
        <f t="shared" si="282"/>
        <v>January</v>
      </c>
      <c r="E1448" s="763">
        <f t="shared" si="283"/>
        <v>0</v>
      </c>
      <c r="F1448" s="762">
        <f t="shared" si="284"/>
        <v>1900</v>
      </c>
      <c r="G1448" s="747"/>
      <c r="H1448" s="882"/>
      <c r="I1448" s="756"/>
      <c r="J1448" s="756"/>
      <c r="K1448" s="778">
        <f t="shared" si="285"/>
        <v>0</v>
      </c>
      <c r="L1448" s="976"/>
      <c r="M1448" s="736">
        <f t="shared" si="286"/>
        <v>0</v>
      </c>
      <c r="N1448" s="754"/>
      <c r="O1448" s="738">
        <f t="shared" si="287"/>
        <v>0</v>
      </c>
      <c r="P1448" s="757"/>
      <c r="Q1448" s="739">
        <f t="shared" si="288"/>
        <v>0</v>
      </c>
      <c r="R1448" s="757"/>
      <c r="S1448" s="755"/>
      <c r="T1448" s="277"/>
      <c r="U1448" s="758" t="str">
        <f t="shared" si="289"/>
        <v/>
      </c>
      <c r="V1448" s="758" t="str">
        <f t="shared" si="290"/>
        <v>1900</v>
      </c>
      <c r="W1448" s="759"/>
      <c r="X1448" s="771"/>
      <c r="Y1448" s="977"/>
      <c r="Z1448" s="758"/>
      <c r="AA1448" s="758" t="str">
        <f t="shared" si="292"/>
        <v/>
      </c>
      <c r="AB1448" s="758" t="str">
        <f t="shared" si="293"/>
        <v/>
      </c>
      <c r="AC1448" s="758" t="str">
        <f t="shared" si="294"/>
        <v/>
      </c>
      <c r="AD1448" s="758" t="str">
        <f t="shared" si="295"/>
        <v>0</v>
      </c>
      <c r="AE1448" s="760"/>
      <c r="AF1448" s="760"/>
      <c r="AG1448" s="443"/>
      <c r="AH1448" s="443"/>
    </row>
    <row r="1449" spans="1:34">
      <c r="A1449" s="728">
        <f t="shared" si="291"/>
        <v>1442</v>
      </c>
      <c r="B1449" s="77"/>
      <c r="C1449" s="747"/>
      <c r="D1449" s="763" t="str">
        <f t="shared" si="282"/>
        <v>January</v>
      </c>
      <c r="E1449" s="763">
        <f t="shared" si="283"/>
        <v>0</v>
      </c>
      <c r="F1449" s="762">
        <f t="shared" si="284"/>
        <v>1900</v>
      </c>
      <c r="G1449" s="747"/>
      <c r="H1449" s="882"/>
      <c r="I1449" s="756"/>
      <c r="J1449" s="756"/>
      <c r="K1449" s="778">
        <f t="shared" si="285"/>
        <v>0</v>
      </c>
      <c r="L1449" s="976"/>
      <c r="M1449" s="736">
        <f t="shared" si="286"/>
        <v>0</v>
      </c>
      <c r="N1449" s="754"/>
      <c r="O1449" s="738">
        <f t="shared" si="287"/>
        <v>0</v>
      </c>
      <c r="P1449" s="757"/>
      <c r="Q1449" s="739">
        <f t="shared" si="288"/>
        <v>0</v>
      </c>
      <c r="R1449" s="757"/>
      <c r="S1449" s="755"/>
      <c r="T1449" s="277"/>
      <c r="U1449" s="758" t="str">
        <f t="shared" si="289"/>
        <v/>
      </c>
      <c r="V1449" s="758" t="str">
        <f t="shared" si="290"/>
        <v>1900</v>
      </c>
      <c r="W1449" s="759"/>
      <c r="X1449" s="771"/>
      <c r="Y1449" s="977"/>
      <c r="Z1449" s="758"/>
      <c r="AA1449" s="758" t="str">
        <f t="shared" si="292"/>
        <v/>
      </c>
      <c r="AB1449" s="758" t="str">
        <f t="shared" si="293"/>
        <v/>
      </c>
      <c r="AC1449" s="758" t="str">
        <f t="shared" si="294"/>
        <v/>
      </c>
      <c r="AD1449" s="758" t="str">
        <f t="shared" si="295"/>
        <v>0</v>
      </c>
      <c r="AE1449" s="760"/>
      <c r="AF1449" s="760"/>
      <c r="AG1449" s="443"/>
      <c r="AH1449" s="443"/>
    </row>
    <row r="1450" spans="1:34">
      <c r="A1450" s="728">
        <f t="shared" si="291"/>
        <v>1443</v>
      </c>
      <c r="B1450" s="77"/>
      <c r="C1450" s="747"/>
      <c r="D1450" s="763" t="str">
        <f t="shared" si="282"/>
        <v>January</v>
      </c>
      <c r="E1450" s="763">
        <f t="shared" si="283"/>
        <v>0</v>
      </c>
      <c r="F1450" s="762">
        <f t="shared" si="284"/>
        <v>1900</v>
      </c>
      <c r="G1450" s="747"/>
      <c r="H1450" s="882"/>
      <c r="I1450" s="756"/>
      <c r="J1450" s="756"/>
      <c r="K1450" s="778">
        <f t="shared" si="285"/>
        <v>0</v>
      </c>
      <c r="L1450" s="976"/>
      <c r="M1450" s="736">
        <f t="shared" si="286"/>
        <v>0</v>
      </c>
      <c r="N1450" s="754"/>
      <c r="O1450" s="738">
        <f t="shared" si="287"/>
        <v>0</v>
      </c>
      <c r="P1450" s="757"/>
      <c r="Q1450" s="739">
        <f t="shared" si="288"/>
        <v>0</v>
      </c>
      <c r="R1450" s="757"/>
      <c r="S1450" s="755"/>
      <c r="T1450" s="277"/>
      <c r="U1450" s="758" t="str">
        <f t="shared" si="289"/>
        <v/>
      </c>
      <c r="V1450" s="758" t="str">
        <f t="shared" si="290"/>
        <v>1900</v>
      </c>
      <c r="W1450" s="759"/>
      <c r="X1450" s="771"/>
      <c r="Y1450" s="977"/>
      <c r="Z1450" s="758"/>
      <c r="AA1450" s="758" t="str">
        <f t="shared" si="292"/>
        <v/>
      </c>
      <c r="AB1450" s="758" t="str">
        <f t="shared" si="293"/>
        <v/>
      </c>
      <c r="AC1450" s="758" t="str">
        <f t="shared" si="294"/>
        <v/>
      </c>
      <c r="AD1450" s="758" t="str">
        <f t="shared" si="295"/>
        <v>0</v>
      </c>
      <c r="AE1450" s="760"/>
      <c r="AF1450" s="760"/>
      <c r="AG1450" s="443"/>
      <c r="AH1450" s="443"/>
    </row>
    <row r="1451" spans="1:34">
      <c r="A1451" s="728">
        <f t="shared" si="291"/>
        <v>1444</v>
      </c>
      <c r="B1451" s="77"/>
      <c r="C1451" s="747"/>
      <c r="D1451" s="763" t="str">
        <f t="shared" si="282"/>
        <v>January</v>
      </c>
      <c r="E1451" s="763">
        <f t="shared" si="283"/>
        <v>0</v>
      </c>
      <c r="F1451" s="762">
        <f t="shared" si="284"/>
        <v>1900</v>
      </c>
      <c r="G1451" s="747"/>
      <c r="H1451" s="882"/>
      <c r="I1451" s="756"/>
      <c r="J1451" s="756"/>
      <c r="K1451" s="778">
        <f t="shared" si="285"/>
        <v>0</v>
      </c>
      <c r="L1451" s="976"/>
      <c r="M1451" s="736">
        <f t="shared" si="286"/>
        <v>0</v>
      </c>
      <c r="N1451" s="754"/>
      <c r="O1451" s="738">
        <f t="shared" si="287"/>
        <v>0</v>
      </c>
      <c r="P1451" s="757"/>
      <c r="Q1451" s="739">
        <f t="shared" si="288"/>
        <v>0</v>
      </c>
      <c r="R1451" s="757"/>
      <c r="S1451" s="755"/>
      <c r="T1451" s="277"/>
      <c r="U1451" s="758" t="str">
        <f t="shared" si="289"/>
        <v/>
      </c>
      <c r="V1451" s="758" t="str">
        <f t="shared" si="290"/>
        <v>1900</v>
      </c>
      <c r="W1451" s="759"/>
      <c r="X1451" s="771"/>
      <c r="Y1451" s="977"/>
      <c r="Z1451" s="758"/>
      <c r="AA1451" s="758" t="str">
        <f t="shared" si="292"/>
        <v/>
      </c>
      <c r="AB1451" s="758" t="str">
        <f t="shared" si="293"/>
        <v/>
      </c>
      <c r="AC1451" s="758" t="str">
        <f t="shared" si="294"/>
        <v/>
      </c>
      <c r="AD1451" s="758" t="str">
        <f t="shared" si="295"/>
        <v>0</v>
      </c>
      <c r="AE1451" s="760"/>
      <c r="AF1451" s="760"/>
      <c r="AG1451" s="443"/>
      <c r="AH1451" s="443"/>
    </row>
    <row r="1452" spans="1:34">
      <c r="A1452" s="728">
        <f t="shared" si="291"/>
        <v>1445</v>
      </c>
      <c r="B1452" s="77"/>
      <c r="C1452" s="747"/>
      <c r="D1452" s="763" t="str">
        <f t="shared" si="282"/>
        <v>January</v>
      </c>
      <c r="E1452" s="763">
        <f t="shared" si="283"/>
        <v>0</v>
      </c>
      <c r="F1452" s="762">
        <f t="shared" si="284"/>
        <v>1900</v>
      </c>
      <c r="G1452" s="747"/>
      <c r="H1452" s="882"/>
      <c r="I1452" s="756"/>
      <c r="J1452" s="756"/>
      <c r="K1452" s="778">
        <f t="shared" si="285"/>
        <v>0</v>
      </c>
      <c r="L1452" s="976"/>
      <c r="M1452" s="736">
        <f t="shared" si="286"/>
        <v>0</v>
      </c>
      <c r="N1452" s="754"/>
      <c r="O1452" s="738">
        <f t="shared" si="287"/>
        <v>0</v>
      </c>
      <c r="P1452" s="757"/>
      <c r="Q1452" s="739">
        <f t="shared" si="288"/>
        <v>0</v>
      </c>
      <c r="R1452" s="757"/>
      <c r="S1452" s="755"/>
      <c r="T1452" s="277"/>
      <c r="U1452" s="758" t="str">
        <f t="shared" si="289"/>
        <v/>
      </c>
      <c r="V1452" s="758" t="str">
        <f t="shared" si="290"/>
        <v>1900</v>
      </c>
      <c r="W1452" s="759"/>
      <c r="X1452" s="771"/>
      <c r="Y1452" s="977"/>
      <c r="Z1452" s="758"/>
      <c r="AA1452" s="758" t="str">
        <f t="shared" si="292"/>
        <v/>
      </c>
      <c r="AB1452" s="758" t="str">
        <f t="shared" si="293"/>
        <v/>
      </c>
      <c r="AC1452" s="758" t="str">
        <f t="shared" si="294"/>
        <v/>
      </c>
      <c r="AD1452" s="758" t="str">
        <f t="shared" si="295"/>
        <v>0</v>
      </c>
      <c r="AE1452" s="760"/>
      <c r="AF1452" s="760"/>
      <c r="AG1452" s="443"/>
      <c r="AH1452" s="443"/>
    </row>
    <row r="1453" spans="1:34">
      <c r="A1453" s="728">
        <f t="shared" si="291"/>
        <v>1446</v>
      </c>
      <c r="B1453" s="77"/>
      <c r="C1453" s="747"/>
      <c r="D1453" s="763" t="str">
        <f t="shared" si="282"/>
        <v>January</v>
      </c>
      <c r="E1453" s="763">
        <f t="shared" si="283"/>
        <v>0</v>
      </c>
      <c r="F1453" s="762">
        <f t="shared" si="284"/>
        <v>1900</v>
      </c>
      <c r="G1453" s="747"/>
      <c r="H1453" s="882"/>
      <c r="I1453" s="756"/>
      <c r="J1453" s="756"/>
      <c r="K1453" s="778">
        <f t="shared" si="285"/>
        <v>0</v>
      </c>
      <c r="L1453" s="976"/>
      <c r="M1453" s="736">
        <f t="shared" si="286"/>
        <v>0</v>
      </c>
      <c r="N1453" s="754"/>
      <c r="O1453" s="738">
        <f t="shared" si="287"/>
        <v>0</v>
      </c>
      <c r="P1453" s="757"/>
      <c r="Q1453" s="739">
        <f t="shared" si="288"/>
        <v>0</v>
      </c>
      <c r="R1453" s="757"/>
      <c r="S1453" s="755"/>
      <c r="T1453" s="277"/>
      <c r="U1453" s="758" t="str">
        <f t="shared" si="289"/>
        <v/>
      </c>
      <c r="V1453" s="758" t="str">
        <f t="shared" si="290"/>
        <v>1900</v>
      </c>
      <c r="W1453" s="759"/>
      <c r="X1453" s="771"/>
      <c r="Y1453" s="977"/>
      <c r="Z1453" s="758"/>
      <c r="AA1453" s="758" t="str">
        <f t="shared" si="292"/>
        <v/>
      </c>
      <c r="AB1453" s="758" t="str">
        <f t="shared" si="293"/>
        <v/>
      </c>
      <c r="AC1453" s="758" t="str">
        <f t="shared" si="294"/>
        <v/>
      </c>
      <c r="AD1453" s="758" t="str">
        <f t="shared" si="295"/>
        <v>0</v>
      </c>
      <c r="AE1453" s="760"/>
      <c r="AF1453" s="760"/>
      <c r="AG1453" s="443"/>
      <c r="AH1453" s="443"/>
    </row>
    <row r="1454" spans="1:34">
      <c r="A1454" s="728">
        <f t="shared" si="291"/>
        <v>1447</v>
      </c>
      <c r="B1454" s="77"/>
      <c r="C1454" s="747"/>
      <c r="D1454" s="763" t="str">
        <f t="shared" si="282"/>
        <v>January</v>
      </c>
      <c r="E1454" s="763">
        <f t="shared" si="283"/>
        <v>0</v>
      </c>
      <c r="F1454" s="762">
        <f t="shared" si="284"/>
        <v>1900</v>
      </c>
      <c r="G1454" s="747"/>
      <c r="H1454" s="882"/>
      <c r="I1454" s="756"/>
      <c r="J1454" s="756"/>
      <c r="K1454" s="778">
        <f t="shared" si="285"/>
        <v>0</v>
      </c>
      <c r="L1454" s="976"/>
      <c r="M1454" s="736">
        <f t="shared" si="286"/>
        <v>0</v>
      </c>
      <c r="N1454" s="754"/>
      <c r="O1454" s="738">
        <f t="shared" si="287"/>
        <v>0</v>
      </c>
      <c r="P1454" s="757"/>
      <c r="Q1454" s="739">
        <f t="shared" si="288"/>
        <v>0</v>
      </c>
      <c r="R1454" s="757"/>
      <c r="S1454" s="755"/>
      <c r="T1454" s="277"/>
      <c r="U1454" s="758" t="str">
        <f t="shared" si="289"/>
        <v/>
      </c>
      <c r="V1454" s="758" t="str">
        <f t="shared" si="290"/>
        <v>1900</v>
      </c>
      <c r="W1454" s="759"/>
      <c r="X1454" s="771"/>
      <c r="Y1454" s="977"/>
      <c r="Z1454" s="758"/>
      <c r="AA1454" s="758" t="str">
        <f t="shared" si="292"/>
        <v/>
      </c>
      <c r="AB1454" s="758" t="str">
        <f t="shared" si="293"/>
        <v/>
      </c>
      <c r="AC1454" s="758" t="str">
        <f t="shared" si="294"/>
        <v/>
      </c>
      <c r="AD1454" s="758" t="str">
        <f t="shared" si="295"/>
        <v>0</v>
      </c>
      <c r="AE1454" s="760"/>
      <c r="AF1454" s="760"/>
      <c r="AG1454" s="443"/>
      <c r="AH1454" s="443"/>
    </row>
    <row r="1455" spans="1:34">
      <c r="A1455" s="728">
        <f t="shared" si="291"/>
        <v>1448</v>
      </c>
      <c r="B1455" s="77"/>
      <c r="C1455" s="747"/>
      <c r="D1455" s="763" t="str">
        <f t="shared" si="282"/>
        <v>January</v>
      </c>
      <c r="E1455" s="763">
        <f t="shared" si="283"/>
        <v>0</v>
      </c>
      <c r="F1455" s="762">
        <f t="shared" si="284"/>
        <v>1900</v>
      </c>
      <c r="G1455" s="747"/>
      <c r="H1455" s="882"/>
      <c r="I1455" s="756"/>
      <c r="J1455" s="756"/>
      <c r="K1455" s="778">
        <f t="shared" si="285"/>
        <v>0</v>
      </c>
      <c r="L1455" s="976"/>
      <c r="M1455" s="736">
        <f t="shared" si="286"/>
        <v>0</v>
      </c>
      <c r="N1455" s="754"/>
      <c r="O1455" s="738">
        <f t="shared" si="287"/>
        <v>0</v>
      </c>
      <c r="P1455" s="757"/>
      <c r="Q1455" s="739">
        <f t="shared" si="288"/>
        <v>0</v>
      </c>
      <c r="R1455" s="757"/>
      <c r="S1455" s="755"/>
      <c r="T1455" s="277"/>
      <c r="U1455" s="758" t="str">
        <f t="shared" si="289"/>
        <v/>
      </c>
      <c r="V1455" s="758" t="str">
        <f t="shared" si="290"/>
        <v>1900</v>
      </c>
      <c r="W1455" s="759"/>
      <c r="X1455" s="771"/>
      <c r="Y1455" s="977"/>
      <c r="Z1455" s="758"/>
      <c r="AA1455" s="758" t="str">
        <f t="shared" si="292"/>
        <v/>
      </c>
      <c r="AB1455" s="758" t="str">
        <f t="shared" si="293"/>
        <v/>
      </c>
      <c r="AC1455" s="758" t="str">
        <f t="shared" si="294"/>
        <v/>
      </c>
      <c r="AD1455" s="758" t="str">
        <f t="shared" si="295"/>
        <v>0</v>
      </c>
      <c r="AE1455" s="760"/>
      <c r="AF1455" s="760"/>
      <c r="AG1455" s="443"/>
      <c r="AH1455" s="443"/>
    </row>
    <row r="1456" spans="1:34">
      <c r="A1456" s="728">
        <f t="shared" si="291"/>
        <v>1449</v>
      </c>
      <c r="B1456" s="77"/>
      <c r="C1456" s="747"/>
      <c r="D1456" s="763" t="str">
        <f t="shared" si="282"/>
        <v>January</v>
      </c>
      <c r="E1456" s="763">
        <f t="shared" si="283"/>
        <v>0</v>
      </c>
      <c r="F1456" s="762">
        <f t="shared" si="284"/>
        <v>1900</v>
      </c>
      <c r="G1456" s="747"/>
      <c r="H1456" s="882"/>
      <c r="I1456" s="756"/>
      <c r="J1456" s="756"/>
      <c r="K1456" s="778">
        <f t="shared" si="285"/>
        <v>0</v>
      </c>
      <c r="L1456" s="976"/>
      <c r="M1456" s="736">
        <f t="shared" si="286"/>
        <v>0</v>
      </c>
      <c r="N1456" s="754"/>
      <c r="O1456" s="738">
        <f t="shared" si="287"/>
        <v>0</v>
      </c>
      <c r="P1456" s="757"/>
      <c r="Q1456" s="739">
        <f t="shared" si="288"/>
        <v>0</v>
      </c>
      <c r="R1456" s="757"/>
      <c r="S1456" s="755"/>
      <c r="T1456" s="277"/>
      <c r="U1456" s="758" t="str">
        <f t="shared" si="289"/>
        <v/>
      </c>
      <c r="V1456" s="758" t="str">
        <f t="shared" si="290"/>
        <v>1900</v>
      </c>
      <c r="W1456" s="759"/>
      <c r="X1456" s="771"/>
      <c r="Y1456" s="977"/>
      <c r="Z1456" s="758"/>
      <c r="AA1456" s="758" t="str">
        <f t="shared" si="292"/>
        <v/>
      </c>
      <c r="AB1456" s="758" t="str">
        <f t="shared" si="293"/>
        <v/>
      </c>
      <c r="AC1456" s="758" t="str">
        <f t="shared" si="294"/>
        <v/>
      </c>
      <c r="AD1456" s="758" t="str">
        <f t="shared" si="295"/>
        <v>0</v>
      </c>
      <c r="AE1456" s="760"/>
      <c r="AF1456" s="760"/>
      <c r="AG1456" s="443"/>
      <c r="AH1456" s="443"/>
    </row>
    <row r="1457" spans="1:34">
      <c r="A1457" s="728">
        <f t="shared" si="291"/>
        <v>1450</v>
      </c>
      <c r="B1457" s="77"/>
      <c r="C1457" s="747"/>
      <c r="D1457" s="763" t="str">
        <f t="shared" si="282"/>
        <v>January</v>
      </c>
      <c r="E1457" s="763">
        <f t="shared" si="283"/>
        <v>0</v>
      </c>
      <c r="F1457" s="762">
        <f t="shared" si="284"/>
        <v>1900</v>
      </c>
      <c r="G1457" s="747"/>
      <c r="H1457" s="882"/>
      <c r="I1457" s="756"/>
      <c r="J1457" s="756"/>
      <c r="K1457" s="778">
        <f t="shared" si="285"/>
        <v>0</v>
      </c>
      <c r="L1457" s="976"/>
      <c r="M1457" s="736">
        <f t="shared" si="286"/>
        <v>0</v>
      </c>
      <c r="N1457" s="754"/>
      <c r="O1457" s="738">
        <f t="shared" si="287"/>
        <v>0</v>
      </c>
      <c r="P1457" s="757"/>
      <c r="Q1457" s="739">
        <f t="shared" si="288"/>
        <v>0</v>
      </c>
      <c r="R1457" s="757"/>
      <c r="S1457" s="755"/>
      <c r="T1457" s="277"/>
      <c r="U1457" s="758" t="str">
        <f t="shared" si="289"/>
        <v/>
      </c>
      <c r="V1457" s="758" t="str">
        <f t="shared" si="290"/>
        <v>1900</v>
      </c>
      <c r="W1457" s="759"/>
      <c r="X1457" s="771"/>
      <c r="Y1457" s="977"/>
      <c r="Z1457" s="758"/>
      <c r="AA1457" s="758" t="str">
        <f t="shared" si="292"/>
        <v/>
      </c>
      <c r="AB1457" s="758" t="str">
        <f t="shared" si="293"/>
        <v/>
      </c>
      <c r="AC1457" s="758" t="str">
        <f t="shared" si="294"/>
        <v/>
      </c>
      <c r="AD1457" s="758" t="str">
        <f t="shared" si="295"/>
        <v>0</v>
      </c>
      <c r="AE1457" s="760"/>
      <c r="AF1457" s="760"/>
      <c r="AG1457" s="443"/>
      <c r="AH1457" s="443"/>
    </row>
    <row r="1458" spans="1:34">
      <c r="A1458" s="728">
        <f t="shared" si="291"/>
        <v>1451</v>
      </c>
      <c r="B1458" s="77"/>
      <c r="C1458" s="747"/>
      <c r="D1458" s="763" t="str">
        <f t="shared" si="282"/>
        <v>January</v>
      </c>
      <c r="E1458" s="763">
        <f t="shared" si="283"/>
        <v>0</v>
      </c>
      <c r="F1458" s="762">
        <f t="shared" si="284"/>
        <v>1900</v>
      </c>
      <c r="G1458" s="747"/>
      <c r="H1458" s="882"/>
      <c r="I1458" s="756"/>
      <c r="J1458" s="756"/>
      <c r="K1458" s="778">
        <f t="shared" si="285"/>
        <v>0</v>
      </c>
      <c r="L1458" s="976"/>
      <c r="M1458" s="736">
        <f t="shared" si="286"/>
        <v>0</v>
      </c>
      <c r="N1458" s="754"/>
      <c r="O1458" s="738">
        <f t="shared" si="287"/>
        <v>0</v>
      </c>
      <c r="P1458" s="757"/>
      <c r="Q1458" s="739">
        <f t="shared" si="288"/>
        <v>0</v>
      </c>
      <c r="R1458" s="757"/>
      <c r="S1458" s="755"/>
      <c r="T1458" s="277"/>
      <c r="U1458" s="758" t="str">
        <f t="shared" si="289"/>
        <v/>
      </c>
      <c r="V1458" s="758" t="str">
        <f t="shared" si="290"/>
        <v>1900</v>
      </c>
      <c r="W1458" s="759"/>
      <c r="X1458" s="771"/>
      <c r="Y1458" s="977"/>
      <c r="Z1458" s="758"/>
      <c r="AA1458" s="758" t="str">
        <f t="shared" si="292"/>
        <v/>
      </c>
      <c r="AB1458" s="758" t="str">
        <f t="shared" si="293"/>
        <v/>
      </c>
      <c r="AC1458" s="758" t="str">
        <f t="shared" si="294"/>
        <v/>
      </c>
      <c r="AD1458" s="758" t="str">
        <f t="shared" si="295"/>
        <v>0</v>
      </c>
      <c r="AE1458" s="760"/>
      <c r="AF1458" s="760"/>
      <c r="AG1458" s="443"/>
      <c r="AH1458" s="443"/>
    </row>
    <row r="1459" spans="1:34">
      <c r="A1459" s="728">
        <f t="shared" si="291"/>
        <v>1452</v>
      </c>
      <c r="B1459" s="77"/>
      <c r="C1459" s="747"/>
      <c r="D1459" s="763" t="str">
        <f t="shared" si="282"/>
        <v>January</v>
      </c>
      <c r="E1459" s="763">
        <f t="shared" si="283"/>
        <v>0</v>
      </c>
      <c r="F1459" s="762">
        <f t="shared" si="284"/>
        <v>1900</v>
      </c>
      <c r="G1459" s="747"/>
      <c r="H1459" s="882"/>
      <c r="I1459" s="756"/>
      <c r="J1459" s="756"/>
      <c r="K1459" s="778">
        <f t="shared" si="285"/>
        <v>0</v>
      </c>
      <c r="L1459" s="976"/>
      <c r="M1459" s="736">
        <f t="shared" si="286"/>
        <v>0</v>
      </c>
      <c r="N1459" s="754"/>
      <c r="O1459" s="738">
        <f t="shared" si="287"/>
        <v>0</v>
      </c>
      <c r="P1459" s="757"/>
      <c r="Q1459" s="739">
        <f t="shared" si="288"/>
        <v>0</v>
      </c>
      <c r="R1459" s="757"/>
      <c r="S1459" s="755"/>
      <c r="T1459" s="277"/>
      <c r="U1459" s="758" t="str">
        <f t="shared" si="289"/>
        <v/>
      </c>
      <c r="V1459" s="758" t="str">
        <f t="shared" si="290"/>
        <v>1900</v>
      </c>
      <c r="W1459" s="759"/>
      <c r="X1459" s="771"/>
      <c r="Y1459" s="977"/>
      <c r="Z1459" s="758"/>
      <c r="AA1459" s="758" t="str">
        <f t="shared" si="292"/>
        <v/>
      </c>
      <c r="AB1459" s="758" t="str">
        <f t="shared" si="293"/>
        <v/>
      </c>
      <c r="AC1459" s="758" t="str">
        <f t="shared" si="294"/>
        <v/>
      </c>
      <c r="AD1459" s="758" t="str">
        <f t="shared" si="295"/>
        <v>0</v>
      </c>
      <c r="AE1459" s="760"/>
      <c r="AF1459" s="760"/>
      <c r="AG1459" s="443"/>
      <c r="AH1459" s="443"/>
    </row>
    <row r="1460" spans="1:34">
      <c r="A1460" s="728">
        <f t="shared" si="291"/>
        <v>1453</v>
      </c>
      <c r="B1460" s="77"/>
      <c r="C1460" s="747"/>
      <c r="D1460" s="763" t="str">
        <f t="shared" si="282"/>
        <v>January</v>
      </c>
      <c r="E1460" s="763">
        <f t="shared" si="283"/>
        <v>0</v>
      </c>
      <c r="F1460" s="762">
        <f t="shared" si="284"/>
        <v>1900</v>
      </c>
      <c r="G1460" s="747"/>
      <c r="H1460" s="882"/>
      <c r="I1460" s="756"/>
      <c r="J1460" s="756"/>
      <c r="K1460" s="778">
        <f t="shared" si="285"/>
        <v>0</v>
      </c>
      <c r="L1460" s="976"/>
      <c r="M1460" s="736">
        <f t="shared" si="286"/>
        <v>0</v>
      </c>
      <c r="N1460" s="754"/>
      <c r="O1460" s="738">
        <f t="shared" si="287"/>
        <v>0</v>
      </c>
      <c r="P1460" s="757"/>
      <c r="Q1460" s="739">
        <f t="shared" si="288"/>
        <v>0</v>
      </c>
      <c r="R1460" s="757"/>
      <c r="S1460" s="755"/>
      <c r="T1460" s="277"/>
      <c r="U1460" s="758" t="str">
        <f t="shared" si="289"/>
        <v/>
      </c>
      <c r="V1460" s="758" t="str">
        <f t="shared" si="290"/>
        <v>1900</v>
      </c>
      <c r="W1460" s="759"/>
      <c r="X1460" s="771"/>
      <c r="Y1460" s="977"/>
      <c r="Z1460" s="758"/>
      <c r="AA1460" s="758" t="str">
        <f t="shared" si="292"/>
        <v/>
      </c>
      <c r="AB1460" s="758" t="str">
        <f t="shared" si="293"/>
        <v/>
      </c>
      <c r="AC1460" s="758" t="str">
        <f t="shared" si="294"/>
        <v/>
      </c>
      <c r="AD1460" s="758" t="str">
        <f t="shared" si="295"/>
        <v>0</v>
      </c>
      <c r="AE1460" s="760"/>
      <c r="AF1460" s="760"/>
      <c r="AG1460" s="443"/>
      <c r="AH1460" s="443"/>
    </row>
    <row r="1461" spans="1:34">
      <c r="A1461" s="728">
        <f t="shared" si="291"/>
        <v>1454</v>
      </c>
      <c r="B1461" s="77"/>
      <c r="C1461" s="747"/>
      <c r="D1461" s="763" t="str">
        <f t="shared" si="282"/>
        <v>January</v>
      </c>
      <c r="E1461" s="763">
        <f t="shared" si="283"/>
        <v>0</v>
      </c>
      <c r="F1461" s="762">
        <f t="shared" si="284"/>
        <v>1900</v>
      </c>
      <c r="G1461" s="747"/>
      <c r="H1461" s="882"/>
      <c r="I1461" s="756"/>
      <c r="J1461" s="756"/>
      <c r="K1461" s="778">
        <f t="shared" si="285"/>
        <v>0</v>
      </c>
      <c r="L1461" s="976"/>
      <c r="M1461" s="736">
        <f t="shared" si="286"/>
        <v>0</v>
      </c>
      <c r="N1461" s="754"/>
      <c r="O1461" s="738">
        <f t="shared" si="287"/>
        <v>0</v>
      </c>
      <c r="P1461" s="757"/>
      <c r="Q1461" s="739">
        <f t="shared" si="288"/>
        <v>0</v>
      </c>
      <c r="R1461" s="757"/>
      <c r="S1461" s="755"/>
      <c r="T1461" s="277"/>
      <c r="U1461" s="758" t="str">
        <f t="shared" si="289"/>
        <v/>
      </c>
      <c r="V1461" s="758" t="str">
        <f t="shared" si="290"/>
        <v>1900</v>
      </c>
      <c r="W1461" s="759"/>
      <c r="X1461" s="771"/>
      <c r="Y1461" s="977"/>
      <c r="Z1461" s="758"/>
      <c r="AA1461" s="758" t="str">
        <f t="shared" si="292"/>
        <v/>
      </c>
      <c r="AB1461" s="758" t="str">
        <f t="shared" si="293"/>
        <v/>
      </c>
      <c r="AC1461" s="758" t="str">
        <f t="shared" si="294"/>
        <v/>
      </c>
      <c r="AD1461" s="758" t="str">
        <f t="shared" si="295"/>
        <v>0</v>
      </c>
      <c r="AE1461" s="760"/>
      <c r="AF1461" s="760"/>
      <c r="AG1461" s="443"/>
      <c r="AH1461" s="443"/>
    </row>
    <row r="1462" spans="1:34">
      <c r="A1462" s="728">
        <f t="shared" si="291"/>
        <v>1455</v>
      </c>
      <c r="B1462" s="77"/>
      <c r="C1462" s="747"/>
      <c r="D1462" s="763" t="str">
        <f t="shared" si="282"/>
        <v>January</v>
      </c>
      <c r="E1462" s="763">
        <f t="shared" si="283"/>
        <v>0</v>
      </c>
      <c r="F1462" s="762">
        <f t="shared" si="284"/>
        <v>1900</v>
      </c>
      <c r="G1462" s="747"/>
      <c r="H1462" s="882"/>
      <c r="I1462" s="756"/>
      <c r="J1462" s="756"/>
      <c r="K1462" s="778">
        <f t="shared" si="285"/>
        <v>0</v>
      </c>
      <c r="L1462" s="976"/>
      <c r="M1462" s="736">
        <f t="shared" si="286"/>
        <v>0</v>
      </c>
      <c r="N1462" s="754"/>
      <c r="O1462" s="738">
        <f t="shared" si="287"/>
        <v>0</v>
      </c>
      <c r="P1462" s="757"/>
      <c r="Q1462" s="739">
        <f t="shared" si="288"/>
        <v>0</v>
      </c>
      <c r="R1462" s="757"/>
      <c r="S1462" s="755"/>
      <c r="T1462" s="277"/>
      <c r="U1462" s="758" t="str">
        <f t="shared" si="289"/>
        <v/>
      </c>
      <c r="V1462" s="758" t="str">
        <f t="shared" si="290"/>
        <v>1900</v>
      </c>
      <c r="W1462" s="759"/>
      <c r="X1462" s="771"/>
      <c r="Y1462" s="977"/>
      <c r="Z1462" s="758"/>
      <c r="AA1462" s="758" t="str">
        <f t="shared" si="292"/>
        <v/>
      </c>
      <c r="AB1462" s="758" t="str">
        <f t="shared" si="293"/>
        <v/>
      </c>
      <c r="AC1462" s="758" t="str">
        <f t="shared" si="294"/>
        <v/>
      </c>
      <c r="AD1462" s="758" t="str">
        <f t="shared" si="295"/>
        <v>0</v>
      </c>
      <c r="AE1462" s="760"/>
      <c r="AF1462" s="760"/>
      <c r="AG1462" s="443"/>
      <c r="AH1462" s="443"/>
    </row>
    <row r="1463" spans="1:34">
      <c r="A1463" s="728">
        <f t="shared" si="291"/>
        <v>1456</v>
      </c>
      <c r="B1463" s="77"/>
      <c r="C1463" s="747"/>
      <c r="D1463" s="763" t="str">
        <f t="shared" si="282"/>
        <v>January</v>
      </c>
      <c r="E1463" s="763">
        <f t="shared" si="283"/>
        <v>0</v>
      </c>
      <c r="F1463" s="762">
        <f t="shared" si="284"/>
        <v>1900</v>
      </c>
      <c r="G1463" s="747"/>
      <c r="H1463" s="882"/>
      <c r="I1463" s="756"/>
      <c r="J1463" s="756"/>
      <c r="K1463" s="778">
        <f t="shared" si="285"/>
        <v>0</v>
      </c>
      <c r="L1463" s="976"/>
      <c r="M1463" s="736">
        <f t="shared" si="286"/>
        <v>0</v>
      </c>
      <c r="N1463" s="754"/>
      <c r="O1463" s="738">
        <f t="shared" si="287"/>
        <v>0</v>
      </c>
      <c r="P1463" s="757"/>
      <c r="Q1463" s="739">
        <f t="shared" si="288"/>
        <v>0</v>
      </c>
      <c r="R1463" s="757"/>
      <c r="S1463" s="755"/>
      <c r="T1463" s="277"/>
      <c r="U1463" s="758" t="str">
        <f t="shared" si="289"/>
        <v/>
      </c>
      <c r="V1463" s="758" t="str">
        <f t="shared" si="290"/>
        <v>1900</v>
      </c>
      <c r="W1463" s="759"/>
      <c r="X1463" s="771"/>
      <c r="Y1463" s="977"/>
      <c r="Z1463" s="758"/>
      <c r="AA1463" s="758" t="str">
        <f t="shared" si="292"/>
        <v/>
      </c>
      <c r="AB1463" s="758" t="str">
        <f t="shared" si="293"/>
        <v/>
      </c>
      <c r="AC1463" s="758" t="str">
        <f t="shared" si="294"/>
        <v/>
      </c>
      <c r="AD1463" s="758" t="str">
        <f t="shared" si="295"/>
        <v>0</v>
      </c>
      <c r="AE1463" s="760"/>
      <c r="AF1463" s="760"/>
      <c r="AG1463" s="443"/>
      <c r="AH1463" s="443"/>
    </row>
    <row r="1464" spans="1:34">
      <c r="A1464" s="728">
        <f t="shared" si="291"/>
        <v>1457</v>
      </c>
      <c r="B1464" s="77"/>
      <c r="C1464" s="747"/>
      <c r="D1464" s="763" t="str">
        <f t="shared" si="282"/>
        <v>January</v>
      </c>
      <c r="E1464" s="763">
        <f t="shared" si="283"/>
        <v>0</v>
      </c>
      <c r="F1464" s="762">
        <f t="shared" si="284"/>
        <v>1900</v>
      </c>
      <c r="G1464" s="747"/>
      <c r="H1464" s="882"/>
      <c r="I1464" s="756"/>
      <c r="J1464" s="756"/>
      <c r="K1464" s="778">
        <f t="shared" si="285"/>
        <v>0</v>
      </c>
      <c r="L1464" s="976"/>
      <c r="M1464" s="736">
        <f t="shared" si="286"/>
        <v>0</v>
      </c>
      <c r="N1464" s="754"/>
      <c r="O1464" s="738">
        <f t="shared" si="287"/>
        <v>0</v>
      </c>
      <c r="P1464" s="757"/>
      <c r="Q1464" s="739">
        <f t="shared" si="288"/>
        <v>0</v>
      </c>
      <c r="R1464" s="757"/>
      <c r="S1464" s="755"/>
      <c r="T1464" s="277"/>
      <c r="U1464" s="758" t="str">
        <f t="shared" si="289"/>
        <v/>
      </c>
      <c r="V1464" s="758" t="str">
        <f t="shared" si="290"/>
        <v>1900</v>
      </c>
      <c r="W1464" s="759"/>
      <c r="X1464" s="771"/>
      <c r="Y1464" s="977"/>
      <c r="Z1464" s="758"/>
      <c r="AA1464" s="758" t="str">
        <f t="shared" si="292"/>
        <v/>
      </c>
      <c r="AB1464" s="758" t="str">
        <f t="shared" si="293"/>
        <v/>
      </c>
      <c r="AC1464" s="758" t="str">
        <f t="shared" si="294"/>
        <v/>
      </c>
      <c r="AD1464" s="758" t="str">
        <f t="shared" si="295"/>
        <v>0</v>
      </c>
      <c r="AE1464" s="760"/>
      <c r="AF1464" s="760"/>
      <c r="AG1464" s="443"/>
      <c r="AH1464" s="443"/>
    </row>
    <row r="1465" spans="1:34">
      <c r="A1465" s="728">
        <f t="shared" si="291"/>
        <v>1458</v>
      </c>
      <c r="B1465" s="77"/>
      <c r="C1465" s="747"/>
      <c r="D1465" s="763" t="str">
        <f t="shared" ref="D1465:D1528" si="296">TEXT(C1465,"mmmm")</f>
        <v>January</v>
      </c>
      <c r="E1465" s="763">
        <f t="shared" ref="E1465:E1528" si="297">DAY(C1465)</f>
        <v>0</v>
      </c>
      <c r="F1465" s="762">
        <f t="shared" ref="F1465:F1528" si="298">YEAR(C1465)</f>
        <v>1900</v>
      </c>
      <c r="G1465" s="747"/>
      <c r="H1465" s="882"/>
      <c r="I1465" s="756"/>
      <c r="J1465" s="756"/>
      <c r="K1465" s="778">
        <f t="shared" ref="K1465:K1528" si="299">+(I1465/1760)*J1465</f>
        <v>0</v>
      </c>
      <c r="L1465" s="976"/>
      <c r="M1465" s="736">
        <f t="shared" ref="M1465:M1528" si="300">HOUR(O1465)</f>
        <v>0</v>
      </c>
      <c r="N1465" s="754"/>
      <c r="O1465" s="738">
        <f t="shared" ref="O1465:O1528" si="301">+N1465</f>
        <v>0</v>
      </c>
      <c r="P1465" s="757"/>
      <c r="Q1465" s="739">
        <f t="shared" ref="Q1465:Q1528" si="302">+P1465-O1465</f>
        <v>0</v>
      </c>
      <c r="R1465" s="757"/>
      <c r="S1465" s="755"/>
      <c r="T1465" s="277"/>
      <c r="U1465" s="758" t="str">
        <f t="shared" si="289"/>
        <v/>
      </c>
      <c r="V1465" s="758" t="str">
        <f t="shared" si="290"/>
        <v>1900</v>
      </c>
      <c r="W1465" s="759"/>
      <c r="X1465" s="771"/>
      <c r="Y1465" s="977"/>
      <c r="Z1465" s="758"/>
      <c r="AA1465" s="758" t="str">
        <f t="shared" si="292"/>
        <v/>
      </c>
      <c r="AB1465" s="758" t="str">
        <f t="shared" si="293"/>
        <v/>
      </c>
      <c r="AC1465" s="758" t="str">
        <f t="shared" si="294"/>
        <v/>
      </c>
      <c r="AD1465" s="758" t="str">
        <f t="shared" si="295"/>
        <v>0</v>
      </c>
      <c r="AE1465" s="760"/>
      <c r="AF1465" s="760"/>
      <c r="AG1465" s="443"/>
      <c r="AH1465" s="443"/>
    </row>
    <row r="1466" spans="1:34">
      <c r="A1466" s="728">
        <f t="shared" si="291"/>
        <v>1459</v>
      </c>
      <c r="B1466" s="77"/>
      <c r="C1466" s="747"/>
      <c r="D1466" s="763" t="str">
        <f t="shared" si="296"/>
        <v>January</v>
      </c>
      <c r="E1466" s="763">
        <f t="shared" si="297"/>
        <v>0</v>
      </c>
      <c r="F1466" s="762">
        <f t="shared" si="298"/>
        <v>1900</v>
      </c>
      <c r="G1466" s="747"/>
      <c r="H1466" s="882"/>
      <c r="I1466" s="756"/>
      <c r="J1466" s="756"/>
      <c r="K1466" s="778">
        <f t="shared" si="299"/>
        <v>0</v>
      </c>
      <c r="L1466" s="976"/>
      <c r="M1466" s="736">
        <f t="shared" si="300"/>
        <v>0</v>
      </c>
      <c r="N1466" s="754"/>
      <c r="O1466" s="738">
        <f t="shared" si="301"/>
        <v>0</v>
      </c>
      <c r="P1466" s="757"/>
      <c r="Q1466" s="739">
        <f t="shared" si="302"/>
        <v>0</v>
      </c>
      <c r="R1466" s="757"/>
      <c r="S1466" s="755"/>
      <c r="T1466" s="277"/>
      <c r="U1466" s="758" t="str">
        <f t="shared" si="289"/>
        <v/>
      </c>
      <c r="V1466" s="758" t="str">
        <f t="shared" si="290"/>
        <v>1900</v>
      </c>
      <c r="W1466" s="759"/>
      <c r="X1466" s="771"/>
      <c r="Y1466" s="977"/>
      <c r="Z1466" s="758"/>
      <c r="AA1466" s="758" t="str">
        <f t="shared" si="292"/>
        <v/>
      </c>
      <c r="AB1466" s="758" t="str">
        <f t="shared" si="293"/>
        <v/>
      </c>
      <c r="AC1466" s="758" t="str">
        <f t="shared" si="294"/>
        <v/>
      </c>
      <c r="AD1466" s="758" t="str">
        <f t="shared" si="295"/>
        <v>0</v>
      </c>
      <c r="AE1466" s="760"/>
      <c r="AF1466" s="760"/>
      <c r="AG1466" s="443"/>
      <c r="AH1466" s="443"/>
    </row>
    <row r="1467" spans="1:34">
      <c r="A1467" s="728">
        <f t="shared" si="291"/>
        <v>1460</v>
      </c>
      <c r="B1467" s="77"/>
      <c r="C1467" s="747"/>
      <c r="D1467" s="763" t="str">
        <f t="shared" si="296"/>
        <v>January</v>
      </c>
      <c r="E1467" s="763">
        <f t="shared" si="297"/>
        <v>0</v>
      </c>
      <c r="F1467" s="762">
        <f t="shared" si="298"/>
        <v>1900</v>
      </c>
      <c r="G1467" s="747"/>
      <c r="H1467" s="882"/>
      <c r="I1467" s="756"/>
      <c r="J1467" s="756"/>
      <c r="K1467" s="778">
        <f t="shared" si="299"/>
        <v>0</v>
      </c>
      <c r="L1467" s="976"/>
      <c r="M1467" s="736">
        <f t="shared" si="300"/>
        <v>0</v>
      </c>
      <c r="N1467" s="754"/>
      <c r="O1467" s="738">
        <f t="shared" si="301"/>
        <v>0</v>
      </c>
      <c r="P1467" s="757"/>
      <c r="Q1467" s="739">
        <f t="shared" si="302"/>
        <v>0</v>
      </c>
      <c r="R1467" s="757"/>
      <c r="S1467" s="755"/>
      <c r="T1467" s="277"/>
      <c r="U1467" s="758" t="str">
        <f t="shared" si="289"/>
        <v/>
      </c>
      <c r="V1467" s="758" t="str">
        <f t="shared" si="290"/>
        <v>1900</v>
      </c>
      <c r="W1467" s="759"/>
      <c r="X1467" s="771"/>
      <c r="Y1467" s="977"/>
      <c r="Z1467" s="758"/>
      <c r="AA1467" s="758" t="str">
        <f t="shared" si="292"/>
        <v/>
      </c>
      <c r="AB1467" s="758" t="str">
        <f t="shared" si="293"/>
        <v/>
      </c>
      <c r="AC1467" s="758" t="str">
        <f t="shared" si="294"/>
        <v/>
      </c>
      <c r="AD1467" s="758" t="str">
        <f t="shared" si="295"/>
        <v>0</v>
      </c>
      <c r="AE1467" s="760"/>
      <c r="AF1467" s="760"/>
      <c r="AG1467" s="443"/>
      <c r="AH1467" s="443"/>
    </row>
    <row r="1468" spans="1:34">
      <c r="A1468" s="728">
        <f t="shared" si="291"/>
        <v>1461</v>
      </c>
      <c r="B1468" s="77"/>
      <c r="C1468" s="747"/>
      <c r="D1468" s="763" t="str">
        <f t="shared" si="296"/>
        <v>January</v>
      </c>
      <c r="E1468" s="763">
        <f t="shared" si="297"/>
        <v>0</v>
      </c>
      <c r="F1468" s="762">
        <f t="shared" si="298"/>
        <v>1900</v>
      </c>
      <c r="G1468" s="747"/>
      <c r="H1468" s="882"/>
      <c r="I1468" s="756"/>
      <c r="J1468" s="756"/>
      <c r="K1468" s="778">
        <f t="shared" si="299"/>
        <v>0</v>
      </c>
      <c r="L1468" s="976"/>
      <c r="M1468" s="736">
        <f t="shared" si="300"/>
        <v>0</v>
      </c>
      <c r="N1468" s="754"/>
      <c r="O1468" s="738">
        <f t="shared" si="301"/>
        <v>0</v>
      </c>
      <c r="P1468" s="757"/>
      <c r="Q1468" s="739">
        <f t="shared" si="302"/>
        <v>0</v>
      </c>
      <c r="R1468" s="757"/>
      <c r="S1468" s="755"/>
      <c r="T1468" s="277"/>
      <c r="U1468" s="758" t="str">
        <f t="shared" si="289"/>
        <v/>
      </c>
      <c r="V1468" s="758" t="str">
        <f t="shared" si="290"/>
        <v>1900</v>
      </c>
      <c r="W1468" s="759"/>
      <c r="X1468" s="771"/>
      <c r="Y1468" s="977"/>
      <c r="Z1468" s="758"/>
      <c r="AA1468" s="758" t="str">
        <f t="shared" si="292"/>
        <v/>
      </c>
      <c r="AB1468" s="758" t="str">
        <f t="shared" si="293"/>
        <v/>
      </c>
      <c r="AC1468" s="758" t="str">
        <f t="shared" si="294"/>
        <v/>
      </c>
      <c r="AD1468" s="758" t="str">
        <f t="shared" si="295"/>
        <v>0</v>
      </c>
      <c r="AE1468" s="760"/>
      <c r="AF1468" s="760"/>
      <c r="AG1468" s="443"/>
      <c r="AH1468" s="443"/>
    </row>
    <row r="1469" spans="1:34">
      <c r="A1469" s="728">
        <f t="shared" si="291"/>
        <v>1462</v>
      </c>
      <c r="B1469" s="77"/>
      <c r="C1469" s="747"/>
      <c r="D1469" s="763" t="str">
        <f t="shared" si="296"/>
        <v>January</v>
      </c>
      <c r="E1469" s="763">
        <f t="shared" si="297"/>
        <v>0</v>
      </c>
      <c r="F1469" s="762">
        <f t="shared" si="298"/>
        <v>1900</v>
      </c>
      <c r="G1469" s="747"/>
      <c r="H1469" s="882"/>
      <c r="I1469" s="756"/>
      <c r="J1469" s="756"/>
      <c r="K1469" s="778">
        <f t="shared" si="299"/>
        <v>0</v>
      </c>
      <c r="L1469" s="976"/>
      <c r="M1469" s="736">
        <f t="shared" si="300"/>
        <v>0</v>
      </c>
      <c r="N1469" s="754"/>
      <c r="O1469" s="738">
        <f t="shared" si="301"/>
        <v>0</v>
      </c>
      <c r="P1469" s="757"/>
      <c r="Q1469" s="739">
        <f t="shared" si="302"/>
        <v>0</v>
      </c>
      <c r="R1469" s="757"/>
      <c r="S1469" s="755"/>
      <c r="T1469" s="277"/>
      <c r="U1469" s="758" t="str">
        <f t="shared" si="289"/>
        <v/>
      </c>
      <c r="V1469" s="758" t="str">
        <f t="shared" si="290"/>
        <v>1900</v>
      </c>
      <c r="W1469" s="759"/>
      <c r="X1469" s="771"/>
      <c r="Y1469" s="977"/>
      <c r="Z1469" s="758"/>
      <c r="AA1469" s="758" t="str">
        <f t="shared" si="292"/>
        <v/>
      </c>
      <c r="AB1469" s="758" t="str">
        <f t="shared" si="293"/>
        <v/>
      </c>
      <c r="AC1469" s="758" t="str">
        <f t="shared" si="294"/>
        <v/>
      </c>
      <c r="AD1469" s="758" t="str">
        <f t="shared" si="295"/>
        <v>0</v>
      </c>
      <c r="AE1469" s="760"/>
      <c r="AF1469" s="760"/>
      <c r="AG1469" s="443"/>
      <c r="AH1469" s="443"/>
    </row>
    <row r="1470" spans="1:34">
      <c r="A1470" s="728">
        <f t="shared" si="291"/>
        <v>1463</v>
      </c>
      <c r="B1470" s="77"/>
      <c r="C1470" s="747"/>
      <c r="D1470" s="763" t="str">
        <f t="shared" si="296"/>
        <v>January</v>
      </c>
      <c r="E1470" s="763">
        <f t="shared" si="297"/>
        <v>0</v>
      </c>
      <c r="F1470" s="762">
        <f t="shared" si="298"/>
        <v>1900</v>
      </c>
      <c r="G1470" s="747"/>
      <c r="H1470" s="882"/>
      <c r="I1470" s="756"/>
      <c r="J1470" s="756"/>
      <c r="K1470" s="778">
        <f t="shared" si="299"/>
        <v>0</v>
      </c>
      <c r="L1470" s="976"/>
      <c r="M1470" s="736">
        <f t="shared" si="300"/>
        <v>0</v>
      </c>
      <c r="N1470" s="754"/>
      <c r="O1470" s="738">
        <f t="shared" si="301"/>
        <v>0</v>
      </c>
      <c r="P1470" s="757"/>
      <c r="Q1470" s="739">
        <f t="shared" si="302"/>
        <v>0</v>
      </c>
      <c r="R1470" s="757"/>
      <c r="S1470" s="755"/>
      <c r="T1470" s="277"/>
      <c r="U1470" s="758" t="str">
        <f t="shared" si="289"/>
        <v/>
      </c>
      <c r="V1470" s="758" t="str">
        <f t="shared" si="290"/>
        <v>1900</v>
      </c>
      <c r="W1470" s="759"/>
      <c r="X1470" s="771"/>
      <c r="Y1470" s="977"/>
      <c r="Z1470" s="758"/>
      <c r="AA1470" s="758" t="str">
        <f t="shared" si="292"/>
        <v/>
      </c>
      <c r="AB1470" s="758" t="str">
        <f t="shared" si="293"/>
        <v/>
      </c>
      <c r="AC1470" s="758" t="str">
        <f t="shared" si="294"/>
        <v/>
      </c>
      <c r="AD1470" s="758" t="str">
        <f t="shared" si="295"/>
        <v>0</v>
      </c>
      <c r="AE1470" s="760"/>
      <c r="AF1470" s="760"/>
      <c r="AG1470" s="443"/>
      <c r="AH1470" s="443"/>
    </row>
    <row r="1471" spans="1:34">
      <c r="A1471" s="728">
        <f t="shared" si="291"/>
        <v>1464</v>
      </c>
      <c r="B1471" s="77"/>
      <c r="C1471" s="747"/>
      <c r="D1471" s="763" t="str">
        <f t="shared" si="296"/>
        <v>January</v>
      </c>
      <c r="E1471" s="763">
        <f t="shared" si="297"/>
        <v>0</v>
      </c>
      <c r="F1471" s="762">
        <f t="shared" si="298"/>
        <v>1900</v>
      </c>
      <c r="G1471" s="747"/>
      <c r="H1471" s="882"/>
      <c r="I1471" s="756"/>
      <c r="J1471" s="756"/>
      <c r="K1471" s="778">
        <f t="shared" si="299"/>
        <v>0</v>
      </c>
      <c r="L1471" s="976"/>
      <c r="M1471" s="736">
        <f t="shared" si="300"/>
        <v>0</v>
      </c>
      <c r="N1471" s="754"/>
      <c r="O1471" s="738">
        <f t="shared" si="301"/>
        <v>0</v>
      </c>
      <c r="P1471" s="757"/>
      <c r="Q1471" s="739">
        <f t="shared" si="302"/>
        <v>0</v>
      </c>
      <c r="R1471" s="757"/>
      <c r="S1471" s="755"/>
      <c r="T1471" s="277"/>
      <c r="U1471" s="758" t="str">
        <f t="shared" si="289"/>
        <v/>
      </c>
      <c r="V1471" s="758" t="str">
        <f t="shared" si="290"/>
        <v>1900</v>
      </c>
      <c r="W1471" s="759"/>
      <c r="X1471" s="771"/>
      <c r="Y1471" s="977"/>
      <c r="Z1471" s="758"/>
      <c r="AA1471" s="758" t="str">
        <f t="shared" si="292"/>
        <v/>
      </c>
      <c r="AB1471" s="758" t="str">
        <f t="shared" si="293"/>
        <v/>
      </c>
      <c r="AC1471" s="758" t="str">
        <f t="shared" si="294"/>
        <v/>
      </c>
      <c r="AD1471" s="758" t="str">
        <f t="shared" si="295"/>
        <v>0</v>
      </c>
      <c r="AE1471" s="760"/>
      <c r="AF1471" s="760"/>
      <c r="AG1471" s="443"/>
      <c r="AH1471" s="443"/>
    </row>
    <row r="1472" spans="1:34">
      <c r="A1472" s="728">
        <f t="shared" si="291"/>
        <v>1465</v>
      </c>
      <c r="B1472" s="77"/>
      <c r="C1472" s="747"/>
      <c r="D1472" s="763" t="str">
        <f t="shared" si="296"/>
        <v>January</v>
      </c>
      <c r="E1472" s="763">
        <f t="shared" si="297"/>
        <v>0</v>
      </c>
      <c r="F1472" s="762">
        <f t="shared" si="298"/>
        <v>1900</v>
      </c>
      <c r="G1472" s="747"/>
      <c r="H1472" s="882"/>
      <c r="I1472" s="756"/>
      <c r="J1472" s="756"/>
      <c r="K1472" s="778">
        <f t="shared" si="299"/>
        <v>0</v>
      </c>
      <c r="L1472" s="976"/>
      <c r="M1472" s="736">
        <f t="shared" si="300"/>
        <v>0</v>
      </c>
      <c r="N1472" s="754"/>
      <c r="O1472" s="738">
        <f t="shared" si="301"/>
        <v>0</v>
      </c>
      <c r="P1472" s="757"/>
      <c r="Q1472" s="739">
        <f t="shared" si="302"/>
        <v>0</v>
      </c>
      <c r="R1472" s="757"/>
      <c r="S1472" s="755"/>
      <c r="T1472" s="277"/>
      <c r="U1472" s="758" t="str">
        <f t="shared" si="289"/>
        <v/>
      </c>
      <c r="V1472" s="758" t="str">
        <f t="shared" si="290"/>
        <v>1900</v>
      </c>
      <c r="W1472" s="759"/>
      <c r="X1472" s="771"/>
      <c r="Y1472" s="977"/>
      <c r="Z1472" s="758"/>
      <c r="AA1472" s="758" t="str">
        <f t="shared" si="292"/>
        <v/>
      </c>
      <c r="AB1472" s="758" t="str">
        <f t="shared" si="293"/>
        <v/>
      </c>
      <c r="AC1472" s="758" t="str">
        <f t="shared" si="294"/>
        <v/>
      </c>
      <c r="AD1472" s="758" t="str">
        <f t="shared" si="295"/>
        <v>0</v>
      </c>
      <c r="AE1472" s="760"/>
      <c r="AF1472" s="760"/>
      <c r="AG1472" s="443"/>
      <c r="AH1472" s="443"/>
    </row>
    <row r="1473" spans="1:34">
      <c r="A1473" s="728">
        <f t="shared" si="291"/>
        <v>1466</v>
      </c>
      <c r="B1473" s="77"/>
      <c r="C1473" s="747"/>
      <c r="D1473" s="763" t="str">
        <f t="shared" si="296"/>
        <v>January</v>
      </c>
      <c r="E1473" s="763">
        <f t="shared" si="297"/>
        <v>0</v>
      </c>
      <c r="F1473" s="762">
        <f t="shared" si="298"/>
        <v>1900</v>
      </c>
      <c r="G1473" s="747"/>
      <c r="H1473" s="882"/>
      <c r="I1473" s="756"/>
      <c r="J1473" s="756"/>
      <c r="K1473" s="778">
        <f t="shared" si="299"/>
        <v>0</v>
      </c>
      <c r="L1473" s="976"/>
      <c r="M1473" s="736">
        <f t="shared" si="300"/>
        <v>0</v>
      </c>
      <c r="N1473" s="754"/>
      <c r="O1473" s="738">
        <f t="shared" si="301"/>
        <v>0</v>
      </c>
      <c r="P1473" s="757"/>
      <c r="Q1473" s="739">
        <f t="shared" si="302"/>
        <v>0</v>
      </c>
      <c r="R1473" s="757"/>
      <c r="S1473" s="755"/>
      <c r="T1473" s="277"/>
      <c r="U1473" s="758" t="str">
        <f t="shared" si="289"/>
        <v/>
      </c>
      <c r="V1473" s="758" t="str">
        <f t="shared" si="290"/>
        <v>1900</v>
      </c>
      <c r="W1473" s="759"/>
      <c r="X1473" s="771"/>
      <c r="Y1473" s="977"/>
      <c r="Z1473" s="758"/>
      <c r="AA1473" s="758" t="str">
        <f t="shared" si="292"/>
        <v/>
      </c>
      <c r="AB1473" s="758" t="str">
        <f t="shared" si="293"/>
        <v/>
      </c>
      <c r="AC1473" s="758" t="str">
        <f t="shared" si="294"/>
        <v/>
      </c>
      <c r="AD1473" s="758" t="str">
        <f t="shared" si="295"/>
        <v>0</v>
      </c>
      <c r="AE1473" s="760"/>
      <c r="AF1473" s="760"/>
      <c r="AG1473" s="443"/>
      <c r="AH1473" s="443"/>
    </row>
    <row r="1474" spans="1:34">
      <c r="A1474" s="728">
        <f t="shared" si="291"/>
        <v>1467</v>
      </c>
      <c r="B1474" s="77"/>
      <c r="C1474" s="747"/>
      <c r="D1474" s="763" t="str">
        <f t="shared" si="296"/>
        <v>January</v>
      </c>
      <c r="E1474" s="763">
        <f t="shared" si="297"/>
        <v>0</v>
      </c>
      <c r="F1474" s="762">
        <f t="shared" si="298"/>
        <v>1900</v>
      </c>
      <c r="G1474" s="747"/>
      <c r="H1474" s="882"/>
      <c r="I1474" s="756"/>
      <c r="J1474" s="756"/>
      <c r="K1474" s="778">
        <f t="shared" si="299"/>
        <v>0</v>
      </c>
      <c r="L1474" s="976"/>
      <c r="M1474" s="736">
        <f t="shared" si="300"/>
        <v>0</v>
      </c>
      <c r="N1474" s="754"/>
      <c r="O1474" s="738">
        <f t="shared" si="301"/>
        <v>0</v>
      </c>
      <c r="P1474" s="757"/>
      <c r="Q1474" s="739">
        <f t="shared" si="302"/>
        <v>0</v>
      </c>
      <c r="R1474" s="757"/>
      <c r="S1474" s="755"/>
      <c r="T1474" s="277"/>
      <c r="U1474" s="758" t="str">
        <f t="shared" si="289"/>
        <v/>
      </c>
      <c r="V1474" s="758" t="str">
        <f t="shared" si="290"/>
        <v>1900</v>
      </c>
      <c r="W1474" s="759"/>
      <c r="X1474" s="771"/>
      <c r="Y1474" s="977"/>
      <c r="Z1474" s="758"/>
      <c r="AA1474" s="758" t="str">
        <f t="shared" si="292"/>
        <v/>
      </c>
      <c r="AB1474" s="758" t="str">
        <f t="shared" si="293"/>
        <v/>
      </c>
      <c r="AC1474" s="758" t="str">
        <f t="shared" si="294"/>
        <v/>
      </c>
      <c r="AD1474" s="758" t="str">
        <f t="shared" si="295"/>
        <v>0</v>
      </c>
      <c r="AE1474" s="760"/>
      <c r="AF1474" s="760"/>
      <c r="AG1474" s="443"/>
      <c r="AH1474" s="443"/>
    </row>
    <row r="1475" spans="1:34">
      <c r="A1475" s="728">
        <f t="shared" si="291"/>
        <v>1468</v>
      </c>
      <c r="B1475" s="77"/>
      <c r="C1475" s="747"/>
      <c r="D1475" s="763" t="str">
        <f t="shared" si="296"/>
        <v>January</v>
      </c>
      <c r="E1475" s="763">
        <f t="shared" si="297"/>
        <v>0</v>
      </c>
      <c r="F1475" s="762">
        <f t="shared" si="298"/>
        <v>1900</v>
      </c>
      <c r="G1475" s="747"/>
      <c r="H1475" s="882"/>
      <c r="I1475" s="756"/>
      <c r="J1475" s="756"/>
      <c r="K1475" s="778">
        <f t="shared" si="299"/>
        <v>0</v>
      </c>
      <c r="L1475" s="976"/>
      <c r="M1475" s="736">
        <f t="shared" si="300"/>
        <v>0</v>
      </c>
      <c r="N1475" s="754"/>
      <c r="O1475" s="738">
        <f t="shared" si="301"/>
        <v>0</v>
      </c>
      <c r="P1475" s="757"/>
      <c r="Q1475" s="739">
        <f t="shared" si="302"/>
        <v>0</v>
      </c>
      <c r="R1475" s="757"/>
      <c r="S1475" s="755"/>
      <c r="T1475" s="277"/>
      <c r="U1475" s="758" t="str">
        <f t="shared" si="289"/>
        <v/>
      </c>
      <c r="V1475" s="758" t="str">
        <f t="shared" si="290"/>
        <v>1900</v>
      </c>
      <c r="W1475" s="759"/>
      <c r="X1475" s="771"/>
      <c r="Y1475" s="977"/>
      <c r="Z1475" s="758"/>
      <c r="AA1475" s="758" t="str">
        <f t="shared" si="292"/>
        <v/>
      </c>
      <c r="AB1475" s="758" t="str">
        <f t="shared" si="293"/>
        <v/>
      </c>
      <c r="AC1475" s="758" t="str">
        <f t="shared" si="294"/>
        <v/>
      </c>
      <c r="AD1475" s="758" t="str">
        <f t="shared" si="295"/>
        <v>0</v>
      </c>
      <c r="AE1475" s="760"/>
      <c r="AF1475" s="760"/>
      <c r="AG1475" s="443"/>
      <c r="AH1475" s="443"/>
    </row>
    <row r="1476" spans="1:34">
      <c r="A1476" s="728">
        <f t="shared" si="291"/>
        <v>1469</v>
      </c>
      <c r="B1476" s="77"/>
      <c r="C1476" s="747"/>
      <c r="D1476" s="763" t="str">
        <f t="shared" si="296"/>
        <v>January</v>
      </c>
      <c r="E1476" s="763">
        <f t="shared" si="297"/>
        <v>0</v>
      </c>
      <c r="F1476" s="762">
        <f t="shared" si="298"/>
        <v>1900</v>
      </c>
      <c r="G1476" s="747"/>
      <c r="H1476" s="882"/>
      <c r="I1476" s="756"/>
      <c r="J1476" s="756"/>
      <c r="K1476" s="778">
        <f t="shared" si="299"/>
        <v>0</v>
      </c>
      <c r="L1476" s="976"/>
      <c r="M1476" s="736">
        <f t="shared" si="300"/>
        <v>0</v>
      </c>
      <c r="N1476" s="754"/>
      <c r="O1476" s="738">
        <f t="shared" si="301"/>
        <v>0</v>
      </c>
      <c r="P1476" s="757"/>
      <c r="Q1476" s="739">
        <f t="shared" si="302"/>
        <v>0</v>
      </c>
      <c r="R1476" s="757"/>
      <c r="S1476" s="755"/>
      <c r="T1476" s="277"/>
      <c r="U1476" s="758" t="str">
        <f t="shared" si="289"/>
        <v/>
      </c>
      <c r="V1476" s="758" t="str">
        <f t="shared" si="290"/>
        <v>1900</v>
      </c>
      <c r="W1476" s="759"/>
      <c r="X1476" s="771"/>
      <c r="Y1476" s="977"/>
      <c r="Z1476" s="758"/>
      <c r="AA1476" s="758" t="str">
        <f t="shared" si="292"/>
        <v/>
      </c>
      <c r="AB1476" s="758" t="str">
        <f t="shared" si="293"/>
        <v/>
      </c>
      <c r="AC1476" s="758" t="str">
        <f t="shared" si="294"/>
        <v/>
      </c>
      <c r="AD1476" s="758" t="str">
        <f t="shared" si="295"/>
        <v>0</v>
      </c>
      <c r="AE1476" s="760"/>
      <c r="AF1476" s="760"/>
      <c r="AG1476" s="443"/>
      <c r="AH1476" s="443"/>
    </row>
    <row r="1477" spans="1:34">
      <c r="A1477" s="728">
        <f t="shared" si="291"/>
        <v>1470</v>
      </c>
      <c r="B1477" s="77"/>
      <c r="C1477" s="747"/>
      <c r="D1477" s="763" t="str">
        <f t="shared" si="296"/>
        <v>January</v>
      </c>
      <c r="E1477" s="763">
        <f t="shared" si="297"/>
        <v>0</v>
      </c>
      <c r="F1477" s="762">
        <f t="shared" si="298"/>
        <v>1900</v>
      </c>
      <c r="G1477" s="747"/>
      <c r="H1477" s="882"/>
      <c r="I1477" s="756"/>
      <c r="J1477" s="756"/>
      <c r="K1477" s="778">
        <f t="shared" si="299"/>
        <v>0</v>
      </c>
      <c r="L1477" s="976"/>
      <c r="M1477" s="736">
        <f t="shared" si="300"/>
        <v>0</v>
      </c>
      <c r="N1477" s="754"/>
      <c r="O1477" s="738">
        <f t="shared" si="301"/>
        <v>0</v>
      </c>
      <c r="P1477" s="757"/>
      <c r="Q1477" s="739">
        <f t="shared" si="302"/>
        <v>0</v>
      </c>
      <c r="R1477" s="757"/>
      <c r="S1477" s="755"/>
      <c r="T1477" s="277"/>
      <c r="U1477" s="758" t="str">
        <f t="shared" si="289"/>
        <v/>
      </c>
      <c r="V1477" s="758" t="str">
        <f t="shared" si="290"/>
        <v>1900</v>
      </c>
      <c r="W1477" s="759"/>
      <c r="X1477" s="771"/>
      <c r="Y1477" s="977"/>
      <c r="Z1477" s="758"/>
      <c r="AA1477" s="758" t="str">
        <f t="shared" si="292"/>
        <v/>
      </c>
      <c r="AB1477" s="758" t="str">
        <f t="shared" si="293"/>
        <v/>
      </c>
      <c r="AC1477" s="758" t="str">
        <f t="shared" si="294"/>
        <v/>
      </c>
      <c r="AD1477" s="758" t="str">
        <f t="shared" si="295"/>
        <v>0</v>
      </c>
      <c r="AE1477" s="760"/>
      <c r="AF1477" s="760"/>
      <c r="AG1477" s="443"/>
      <c r="AH1477" s="443"/>
    </row>
    <row r="1478" spans="1:34">
      <c r="A1478" s="728">
        <f t="shared" si="291"/>
        <v>1471</v>
      </c>
      <c r="B1478" s="77"/>
      <c r="C1478" s="747"/>
      <c r="D1478" s="763" t="str">
        <f t="shared" si="296"/>
        <v>January</v>
      </c>
      <c r="E1478" s="763">
        <f t="shared" si="297"/>
        <v>0</v>
      </c>
      <c r="F1478" s="762">
        <f t="shared" si="298"/>
        <v>1900</v>
      </c>
      <c r="G1478" s="747"/>
      <c r="H1478" s="882"/>
      <c r="I1478" s="756"/>
      <c r="J1478" s="756"/>
      <c r="K1478" s="778">
        <f t="shared" si="299"/>
        <v>0</v>
      </c>
      <c r="L1478" s="976"/>
      <c r="M1478" s="736">
        <f t="shared" si="300"/>
        <v>0</v>
      </c>
      <c r="N1478" s="754"/>
      <c r="O1478" s="738">
        <f t="shared" si="301"/>
        <v>0</v>
      </c>
      <c r="P1478" s="757"/>
      <c r="Q1478" s="739">
        <f t="shared" si="302"/>
        <v>0</v>
      </c>
      <c r="R1478" s="757"/>
      <c r="S1478" s="755"/>
      <c r="T1478" s="277"/>
      <c r="U1478" s="758" t="str">
        <f t="shared" si="289"/>
        <v/>
      </c>
      <c r="V1478" s="758" t="str">
        <f t="shared" si="290"/>
        <v>1900</v>
      </c>
      <c r="W1478" s="759"/>
      <c r="X1478" s="771"/>
      <c r="Y1478" s="977"/>
      <c r="Z1478" s="758"/>
      <c r="AA1478" s="758" t="str">
        <f t="shared" si="292"/>
        <v/>
      </c>
      <c r="AB1478" s="758" t="str">
        <f t="shared" si="293"/>
        <v/>
      </c>
      <c r="AC1478" s="758" t="str">
        <f t="shared" si="294"/>
        <v/>
      </c>
      <c r="AD1478" s="758" t="str">
        <f t="shared" si="295"/>
        <v>0</v>
      </c>
      <c r="AE1478" s="760"/>
      <c r="AF1478" s="760"/>
      <c r="AG1478" s="443"/>
      <c r="AH1478" s="443"/>
    </row>
    <row r="1479" spans="1:34">
      <c r="A1479" s="728">
        <f t="shared" si="291"/>
        <v>1472</v>
      </c>
      <c r="B1479" s="77"/>
      <c r="C1479" s="747"/>
      <c r="D1479" s="763" t="str">
        <f t="shared" si="296"/>
        <v>January</v>
      </c>
      <c r="E1479" s="763">
        <f t="shared" si="297"/>
        <v>0</v>
      </c>
      <c r="F1479" s="762">
        <f t="shared" si="298"/>
        <v>1900</v>
      </c>
      <c r="G1479" s="747"/>
      <c r="H1479" s="882"/>
      <c r="I1479" s="756"/>
      <c r="J1479" s="756"/>
      <c r="K1479" s="778">
        <f t="shared" si="299"/>
        <v>0</v>
      </c>
      <c r="L1479" s="976"/>
      <c r="M1479" s="736">
        <f t="shared" si="300"/>
        <v>0</v>
      </c>
      <c r="N1479" s="754"/>
      <c r="O1479" s="738">
        <f t="shared" si="301"/>
        <v>0</v>
      </c>
      <c r="P1479" s="757"/>
      <c r="Q1479" s="739">
        <f t="shared" si="302"/>
        <v>0</v>
      </c>
      <c r="R1479" s="757"/>
      <c r="S1479" s="755"/>
      <c r="T1479" s="277"/>
      <c r="U1479" s="758" t="str">
        <f t="shared" ref="U1479:U1542" si="303">CONCATENATE(G1479,H1479)</f>
        <v/>
      </c>
      <c r="V1479" s="758" t="str">
        <f t="shared" ref="V1479:V1542" si="304">CONCATENATE(F1479,H1479)</f>
        <v>1900</v>
      </c>
      <c r="W1479" s="759"/>
      <c r="X1479" s="771"/>
      <c r="Y1479" s="977"/>
      <c r="Z1479" s="758"/>
      <c r="AA1479" s="758" t="str">
        <f t="shared" si="292"/>
        <v/>
      </c>
      <c r="AB1479" s="758" t="str">
        <f t="shared" si="293"/>
        <v/>
      </c>
      <c r="AC1479" s="758" t="str">
        <f t="shared" si="294"/>
        <v/>
      </c>
      <c r="AD1479" s="758" t="str">
        <f t="shared" si="295"/>
        <v>0</v>
      </c>
      <c r="AE1479" s="760"/>
      <c r="AF1479" s="760"/>
      <c r="AG1479" s="443"/>
      <c r="AH1479" s="443"/>
    </row>
    <row r="1480" spans="1:34">
      <c r="A1480" s="728">
        <f t="shared" si="291"/>
        <v>1473</v>
      </c>
      <c r="B1480" s="77"/>
      <c r="C1480" s="747"/>
      <c r="D1480" s="763" t="str">
        <f t="shared" si="296"/>
        <v>January</v>
      </c>
      <c r="E1480" s="763">
        <f t="shared" si="297"/>
        <v>0</v>
      </c>
      <c r="F1480" s="762">
        <f t="shared" si="298"/>
        <v>1900</v>
      </c>
      <c r="G1480" s="747"/>
      <c r="H1480" s="882"/>
      <c r="I1480" s="756"/>
      <c r="J1480" s="756"/>
      <c r="K1480" s="778">
        <f t="shared" si="299"/>
        <v>0</v>
      </c>
      <c r="L1480" s="976"/>
      <c r="M1480" s="736">
        <f t="shared" si="300"/>
        <v>0</v>
      </c>
      <c r="N1480" s="754"/>
      <c r="O1480" s="738">
        <f t="shared" si="301"/>
        <v>0</v>
      </c>
      <c r="P1480" s="757"/>
      <c r="Q1480" s="739">
        <f t="shared" si="302"/>
        <v>0</v>
      </c>
      <c r="R1480" s="757"/>
      <c r="S1480" s="755"/>
      <c r="T1480" s="277"/>
      <c r="U1480" s="758" t="str">
        <f t="shared" si="303"/>
        <v/>
      </c>
      <c r="V1480" s="758" t="str">
        <f t="shared" si="304"/>
        <v>1900</v>
      </c>
      <c r="W1480" s="759"/>
      <c r="X1480" s="771"/>
      <c r="Y1480" s="977"/>
      <c r="Z1480" s="758"/>
      <c r="AA1480" s="758" t="str">
        <f t="shared" si="292"/>
        <v/>
      </c>
      <c r="AB1480" s="758" t="str">
        <f t="shared" si="293"/>
        <v/>
      </c>
      <c r="AC1480" s="758" t="str">
        <f t="shared" si="294"/>
        <v/>
      </c>
      <c r="AD1480" s="758" t="str">
        <f t="shared" si="295"/>
        <v>0</v>
      </c>
      <c r="AE1480" s="760"/>
      <c r="AF1480" s="760"/>
      <c r="AG1480" s="443"/>
      <c r="AH1480" s="443"/>
    </row>
    <row r="1481" spans="1:34">
      <c r="A1481" s="728">
        <f t="shared" si="291"/>
        <v>1474</v>
      </c>
      <c r="B1481" s="77"/>
      <c r="C1481" s="747"/>
      <c r="D1481" s="763" t="str">
        <f t="shared" si="296"/>
        <v>January</v>
      </c>
      <c r="E1481" s="763">
        <f t="shared" si="297"/>
        <v>0</v>
      </c>
      <c r="F1481" s="762">
        <f t="shared" si="298"/>
        <v>1900</v>
      </c>
      <c r="G1481" s="747"/>
      <c r="H1481" s="882"/>
      <c r="I1481" s="756"/>
      <c r="J1481" s="756"/>
      <c r="K1481" s="778">
        <f t="shared" si="299"/>
        <v>0</v>
      </c>
      <c r="L1481" s="976"/>
      <c r="M1481" s="736">
        <f t="shared" si="300"/>
        <v>0</v>
      </c>
      <c r="N1481" s="754"/>
      <c r="O1481" s="738">
        <f t="shared" si="301"/>
        <v>0</v>
      </c>
      <c r="P1481" s="757"/>
      <c r="Q1481" s="739">
        <f t="shared" si="302"/>
        <v>0</v>
      </c>
      <c r="R1481" s="757"/>
      <c r="S1481" s="755"/>
      <c r="T1481" s="277"/>
      <c r="U1481" s="758" t="str">
        <f t="shared" si="303"/>
        <v/>
      </c>
      <c r="V1481" s="758" t="str">
        <f t="shared" si="304"/>
        <v>1900</v>
      </c>
      <c r="W1481" s="759"/>
      <c r="X1481" s="771"/>
      <c r="Y1481" s="977"/>
      <c r="Z1481" s="758"/>
      <c r="AA1481" s="758" t="str">
        <f t="shared" si="292"/>
        <v/>
      </c>
      <c r="AB1481" s="758" t="str">
        <f t="shared" si="293"/>
        <v/>
      </c>
      <c r="AC1481" s="758" t="str">
        <f t="shared" si="294"/>
        <v/>
      </c>
      <c r="AD1481" s="758" t="str">
        <f t="shared" si="295"/>
        <v>0</v>
      </c>
      <c r="AE1481" s="760"/>
      <c r="AF1481" s="760"/>
      <c r="AG1481" s="443"/>
      <c r="AH1481" s="443"/>
    </row>
    <row r="1482" spans="1:34">
      <c r="A1482" s="728">
        <f t="shared" si="291"/>
        <v>1475</v>
      </c>
      <c r="B1482" s="77"/>
      <c r="C1482" s="747"/>
      <c r="D1482" s="763" t="str">
        <f t="shared" si="296"/>
        <v>January</v>
      </c>
      <c r="E1482" s="763">
        <f t="shared" si="297"/>
        <v>0</v>
      </c>
      <c r="F1482" s="762">
        <f t="shared" si="298"/>
        <v>1900</v>
      </c>
      <c r="G1482" s="747"/>
      <c r="H1482" s="882"/>
      <c r="I1482" s="756"/>
      <c r="J1482" s="756"/>
      <c r="K1482" s="778">
        <f t="shared" si="299"/>
        <v>0</v>
      </c>
      <c r="L1482" s="976"/>
      <c r="M1482" s="736">
        <f t="shared" si="300"/>
        <v>0</v>
      </c>
      <c r="N1482" s="754"/>
      <c r="O1482" s="738">
        <f t="shared" si="301"/>
        <v>0</v>
      </c>
      <c r="P1482" s="757"/>
      <c r="Q1482" s="739">
        <f t="shared" si="302"/>
        <v>0</v>
      </c>
      <c r="R1482" s="757"/>
      <c r="S1482" s="755"/>
      <c r="T1482" s="277"/>
      <c r="U1482" s="758" t="str">
        <f t="shared" si="303"/>
        <v/>
      </c>
      <c r="V1482" s="758" t="str">
        <f t="shared" si="304"/>
        <v>1900</v>
      </c>
      <c r="W1482" s="759"/>
      <c r="X1482" s="771"/>
      <c r="Y1482" s="977"/>
      <c r="Z1482" s="758"/>
      <c r="AA1482" s="758" t="str">
        <f t="shared" si="292"/>
        <v/>
      </c>
      <c r="AB1482" s="758" t="str">
        <f t="shared" si="293"/>
        <v/>
      </c>
      <c r="AC1482" s="758" t="str">
        <f t="shared" si="294"/>
        <v/>
      </c>
      <c r="AD1482" s="758" t="str">
        <f t="shared" si="295"/>
        <v>0</v>
      </c>
      <c r="AE1482" s="760"/>
      <c r="AF1482" s="760"/>
      <c r="AG1482" s="443"/>
      <c r="AH1482" s="443"/>
    </row>
    <row r="1483" spans="1:34">
      <c r="A1483" s="728">
        <f t="shared" ref="A1483:A1546" si="305">+A1482+1</f>
        <v>1476</v>
      </c>
      <c r="B1483" s="77"/>
      <c r="C1483" s="747"/>
      <c r="D1483" s="763" t="str">
        <f t="shared" si="296"/>
        <v>January</v>
      </c>
      <c r="E1483" s="763">
        <f t="shared" si="297"/>
        <v>0</v>
      </c>
      <c r="F1483" s="762">
        <f t="shared" si="298"/>
        <v>1900</v>
      </c>
      <c r="G1483" s="747"/>
      <c r="H1483" s="882"/>
      <c r="I1483" s="756"/>
      <c r="J1483" s="756"/>
      <c r="K1483" s="778">
        <f t="shared" si="299"/>
        <v>0</v>
      </c>
      <c r="L1483" s="976"/>
      <c r="M1483" s="736">
        <f t="shared" si="300"/>
        <v>0</v>
      </c>
      <c r="N1483" s="754"/>
      <c r="O1483" s="738">
        <f t="shared" si="301"/>
        <v>0</v>
      </c>
      <c r="P1483" s="757"/>
      <c r="Q1483" s="739">
        <f t="shared" si="302"/>
        <v>0</v>
      </c>
      <c r="R1483" s="757"/>
      <c r="S1483" s="755"/>
      <c r="T1483" s="277"/>
      <c r="U1483" s="758" t="str">
        <f t="shared" si="303"/>
        <v/>
      </c>
      <c r="V1483" s="758" t="str">
        <f t="shared" si="304"/>
        <v>1900</v>
      </c>
      <c r="W1483" s="759"/>
      <c r="X1483" s="771"/>
      <c r="Y1483" s="977"/>
      <c r="Z1483" s="758"/>
      <c r="AA1483" s="758" t="str">
        <f t="shared" si="292"/>
        <v/>
      </c>
      <c r="AB1483" s="758" t="str">
        <f t="shared" si="293"/>
        <v/>
      </c>
      <c r="AC1483" s="758" t="str">
        <f t="shared" si="294"/>
        <v/>
      </c>
      <c r="AD1483" s="758" t="str">
        <f t="shared" si="295"/>
        <v>0</v>
      </c>
      <c r="AE1483" s="760"/>
      <c r="AF1483" s="760"/>
      <c r="AG1483" s="443"/>
      <c r="AH1483" s="443"/>
    </row>
    <row r="1484" spans="1:34">
      <c r="A1484" s="728">
        <f t="shared" si="305"/>
        <v>1477</v>
      </c>
      <c r="B1484" s="77"/>
      <c r="C1484" s="747"/>
      <c r="D1484" s="763" t="str">
        <f t="shared" si="296"/>
        <v>January</v>
      </c>
      <c r="E1484" s="763">
        <f t="shared" si="297"/>
        <v>0</v>
      </c>
      <c r="F1484" s="762">
        <f t="shared" si="298"/>
        <v>1900</v>
      </c>
      <c r="G1484" s="747"/>
      <c r="H1484" s="882"/>
      <c r="I1484" s="756"/>
      <c r="J1484" s="756"/>
      <c r="K1484" s="778">
        <f t="shared" si="299"/>
        <v>0</v>
      </c>
      <c r="L1484" s="976"/>
      <c r="M1484" s="736">
        <f t="shared" si="300"/>
        <v>0</v>
      </c>
      <c r="N1484" s="754"/>
      <c r="O1484" s="738">
        <f t="shared" si="301"/>
        <v>0</v>
      </c>
      <c r="P1484" s="757"/>
      <c r="Q1484" s="739">
        <f t="shared" si="302"/>
        <v>0</v>
      </c>
      <c r="R1484" s="757"/>
      <c r="S1484" s="755"/>
      <c r="T1484" s="277"/>
      <c r="U1484" s="758" t="str">
        <f t="shared" si="303"/>
        <v/>
      </c>
      <c r="V1484" s="758" t="str">
        <f t="shared" si="304"/>
        <v>1900</v>
      </c>
      <c r="W1484" s="759"/>
      <c r="X1484" s="771"/>
      <c r="Y1484" s="977"/>
      <c r="Z1484" s="758"/>
      <c r="AA1484" s="758" t="str">
        <f t="shared" si="292"/>
        <v/>
      </c>
      <c r="AB1484" s="758" t="str">
        <f t="shared" si="293"/>
        <v/>
      </c>
      <c r="AC1484" s="758" t="str">
        <f t="shared" si="294"/>
        <v/>
      </c>
      <c r="AD1484" s="758" t="str">
        <f t="shared" si="295"/>
        <v>0</v>
      </c>
      <c r="AE1484" s="760"/>
      <c r="AF1484" s="760"/>
      <c r="AG1484" s="443"/>
      <c r="AH1484" s="443"/>
    </row>
    <row r="1485" spans="1:34">
      <c r="A1485" s="728">
        <f t="shared" si="305"/>
        <v>1478</v>
      </c>
      <c r="B1485" s="77"/>
      <c r="C1485" s="747"/>
      <c r="D1485" s="763" t="str">
        <f t="shared" si="296"/>
        <v>January</v>
      </c>
      <c r="E1485" s="763">
        <f t="shared" si="297"/>
        <v>0</v>
      </c>
      <c r="F1485" s="762">
        <f t="shared" si="298"/>
        <v>1900</v>
      </c>
      <c r="G1485" s="747"/>
      <c r="H1485" s="882"/>
      <c r="I1485" s="756"/>
      <c r="J1485" s="756"/>
      <c r="K1485" s="778">
        <f t="shared" si="299"/>
        <v>0</v>
      </c>
      <c r="L1485" s="976"/>
      <c r="M1485" s="736">
        <f t="shared" si="300"/>
        <v>0</v>
      </c>
      <c r="N1485" s="754"/>
      <c r="O1485" s="738">
        <f t="shared" si="301"/>
        <v>0</v>
      </c>
      <c r="P1485" s="757"/>
      <c r="Q1485" s="739">
        <f t="shared" si="302"/>
        <v>0</v>
      </c>
      <c r="R1485" s="757"/>
      <c r="S1485" s="755"/>
      <c r="T1485" s="277"/>
      <c r="U1485" s="758" t="str">
        <f t="shared" si="303"/>
        <v/>
      </c>
      <c r="V1485" s="758" t="str">
        <f t="shared" si="304"/>
        <v>1900</v>
      </c>
      <c r="W1485" s="759"/>
      <c r="X1485" s="771"/>
      <c r="Y1485" s="977"/>
      <c r="Z1485" s="758"/>
      <c r="AA1485" s="758" t="str">
        <f t="shared" si="292"/>
        <v/>
      </c>
      <c r="AB1485" s="758" t="str">
        <f t="shared" si="293"/>
        <v/>
      </c>
      <c r="AC1485" s="758" t="str">
        <f t="shared" si="294"/>
        <v/>
      </c>
      <c r="AD1485" s="758" t="str">
        <f t="shared" si="295"/>
        <v>0</v>
      </c>
      <c r="AE1485" s="760"/>
      <c r="AF1485" s="760"/>
      <c r="AG1485" s="443"/>
      <c r="AH1485" s="443"/>
    </row>
    <row r="1486" spans="1:34">
      <c r="A1486" s="728">
        <f t="shared" si="305"/>
        <v>1479</v>
      </c>
      <c r="B1486" s="77"/>
      <c r="C1486" s="747"/>
      <c r="D1486" s="763" t="str">
        <f t="shared" si="296"/>
        <v>January</v>
      </c>
      <c r="E1486" s="763">
        <f t="shared" si="297"/>
        <v>0</v>
      </c>
      <c r="F1486" s="762">
        <f t="shared" si="298"/>
        <v>1900</v>
      </c>
      <c r="G1486" s="747"/>
      <c r="H1486" s="882"/>
      <c r="I1486" s="756"/>
      <c r="J1486" s="756"/>
      <c r="K1486" s="778">
        <f t="shared" si="299"/>
        <v>0</v>
      </c>
      <c r="L1486" s="976"/>
      <c r="M1486" s="736">
        <f t="shared" si="300"/>
        <v>0</v>
      </c>
      <c r="N1486" s="754"/>
      <c r="O1486" s="738">
        <f t="shared" si="301"/>
        <v>0</v>
      </c>
      <c r="P1486" s="757"/>
      <c r="Q1486" s="739">
        <f t="shared" si="302"/>
        <v>0</v>
      </c>
      <c r="R1486" s="757"/>
      <c r="S1486" s="755"/>
      <c r="T1486" s="277"/>
      <c r="U1486" s="758" t="str">
        <f t="shared" si="303"/>
        <v/>
      </c>
      <c r="V1486" s="758" t="str">
        <f t="shared" si="304"/>
        <v>1900</v>
      </c>
      <c r="W1486" s="759"/>
      <c r="X1486" s="771"/>
      <c r="Y1486" s="977"/>
      <c r="Z1486" s="758"/>
      <c r="AA1486" s="758" t="str">
        <f t="shared" si="292"/>
        <v/>
      </c>
      <c r="AB1486" s="758" t="str">
        <f t="shared" si="293"/>
        <v/>
      </c>
      <c r="AC1486" s="758" t="str">
        <f t="shared" si="294"/>
        <v/>
      </c>
      <c r="AD1486" s="758" t="str">
        <f t="shared" si="295"/>
        <v>0</v>
      </c>
      <c r="AE1486" s="760"/>
      <c r="AF1486" s="760"/>
      <c r="AG1486" s="443"/>
      <c r="AH1486" s="443"/>
    </row>
    <row r="1487" spans="1:34">
      <c r="A1487" s="728">
        <f t="shared" si="305"/>
        <v>1480</v>
      </c>
      <c r="B1487" s="77"/>
      <c r="C1487" s="747"/>
      <c r="D1487" s="763" t="str">
        <f t="shared" si="296"/>
        <v>January</v>
      </c>
      <c r="E1487" s="763">
        <f t="shared" si="297"/>
        <v>0</v>
      </c>
      <c r="F1487" s="762">
        <f t="shared" si="298"/>
        <v>1900</v>
      </c>
      <c r="G1487" s="747"/>
      <c r="H1487" s="882"/>
      <c r="I1487" s="756"/>
      <c r="J1487" s="756"/>
      <c r="K1487" s="778">
        <f t="shared" si="299"/>
        <v>0</v>
      </c>
      <c r="L1487" s="976"/>
      <c r="M1487" s="736">
        <f t="shared" si="300"/>
        <v>0</v>
      </c>
      <c r="N1487" s="754"/>
      <c r="O1487" s="738">
        <f t="shared" si="301"/>
        <v>0</v>
      </c>
      <c r="P1487" s="757"/>
      <c r="Q1487" s="739">
        <f t="shared" si="302"/>
        <v>0</v>
      </c>
      <c r="R1487" s="757"/>
      <c r="S1487" s="755"/>
      <c r="T1487" s="277"/>
      <c r="U1487" s="758" t="str">
        <f t="shared" si="303"/>
        <v/>
      </c>
      <c r="V1487" s="758" t="str">
        <f t="shared" si="304"/>
        <v>1900</v>
      </c>
      <c r="W1487" s="759"/>
      <c r="X1487" s="771"/>
      <c r="Y1487" s="977"/>
      <c r="Z1487" s="758"/>
      <c r="AA1487" s="758" t="str">
        <f t="shared" si="292"/>
        <v/>
      </c>
      <c r="AB1487" s="758" t="str">
        <f t="shared" si="293"/>
        <v/>
      </c>
      <c r="AC1487" s="758" t="str">
        <f t="shared" si="294"/>
        <v/>
      </c>
      <c r="AD1487" s="758" t="str">
        <f t="shared" si="295"/>
        <v>0</v>
      </c>
      <c r="AE1487" s="760"/>
      <c r="AF1487" s="760"/>
      <c r="AG1487" s="443"/>
      <c r="AH1487" s="443"/>
    </row>
    <row r="1488" spans="1:34">
      <c r="A1488" s="728">
        <f t="shared" si="305"/>
        <v>1481</v>
      </c>
      <c r="B1488" s="77"/>
      <c r="C1488" s="747"/>
      <c r="D1488" s="763" t="str">
        <f t="shared" si="296"/>
        <v>January</v>
      </c>
      <c r="E1488" s="763">
        <f t="shared" si="297"/>
        <v>0</v>
      </c>
      <c r="F1488" s="762">
        <f t="shared" si="298"/>
        <v>1900</v>
      </c>
      <c r="G1488" s="747"/>
      <c r="H1488" s="882"/>
      <c r="I1488" s="756"/>
      <c r="J1488" s="756"/>
      <c r="K1488" s="778">
        <f t="shared" si="299"/>
        <v>0</v>
      </c>
      <c r="L1488" s="976"/>
      <c r="M1488" s="736">
        <f t="shared" si="300"/>
        <v>0</v>
      </c>
      <c r="N1488" s="754"/>
      <c r="O1488" s="738">
        <f t="shared" si="301"/>
        <v>0</v>
      </c>
      <c r="P1488" s="757"/>
      <c r="Q1488" s="739">
        <f t="shared" si="302"/>
        <v>0</v>
      </c>
      <c r="R1488" s="757"/>
      <c r="S1488" s="755"/>
      <c r="T1488" s="277"/>
      <c r="U1488" s="758" t="str">
        <f t="shared" si="303"/>
        <v/>
      </c>
      <c r="V1488" s="758" t="str">
        <f t="shared" si="304"/>
        <v>1900</v>
      </c>
      <c r="W1488" s="759"/>
      <c r="X1488" s="771"/>
      <c r="Y1488" s="977"/>
      <c r="Z1488" s="758"/>
      <c r="AA1488" s="758" t="str">
        <f t="shared" ref="AA1488:AA1551" si="306">CONCATENATE(H1488,W1488)</f>
        <v/>
      </c>
      <c r="AB1488" s="758" t="str">
        <f t="shared" ref="AB1488:AB1551" si="307">CONCATENATE(H1488,X1488)</f>
        <v/>
      </c>
      <c r="AC1488" s="758" t="str">
        <f t="shared" ref="AC1488:AC1551" si="308">CONCATENATE(H1488,Y1488)</f>
        <v/>
      </c>
      <c r="AD1488" s="758" t="str">
        <f t="shared" si="295"/>
        <v>0</v>
      </c>
      <c r="AE1488" s="760"/>
      <c r="AF1488" s="760"/>
      <c r="AG1488" s="443"/>
      <c r="AH1488" s="443"/>
    </row>
    <row r="1489" spans="1:34">
      <c r="A1489" s="728">
        <f t="shared" si="305"/>
        <v>1482</v>
      </c>
      <c r="B1489" s="77"/>
      <c r="C1489" s="747"/>
      <c r="D1489" s="763" t="str">
        <f t="shared" si="296"/>
        <v>January</v>
      </c>
      <c r="E1489" s="763">
        <f t="shared" si="297"/>
        <v>0</v>
      </c>
      <c r="F1489" s="762">
        <f t="shared" si="298"/>
        <v>1900</v>
      </c>
      <c r="G1489" s="747"/>
      <c r="H1489" s="882"/>
      <c r="I1489" s="756"/>
      <c r="J1489" s="756"/>
      <c r="K1489" s="778">
        <f t="shared" si="299"/>
        <v>0</v>
      </c>
      <c r="L1489" s="976"/>
      <c r="M1489" s="736">
        <f t="shared" si="300"/>
        <v>0</v>
      </c>
      <c r="N1489" s="754"/>
      <c r="O1489" s="738">
        <f t="shared" si="301"/>
        <v>0</v>
      </c>
      <c r="P1489" s="757"/>
      <c r="Q1489" s="739">
        <f t="shared" si="302"/>
        <v>0</v>
      </c>
      <c r="R1489" s="757"/>
      <c r="S1489" s="755"/>
      <c r="T1489" s="277"/>
      <c r="U1489" s="758" t="str">
        <f t="shared" si="303"/>
        <v/>
      </c>
      <c r="V1489" s="758" t="str">
        <f t="shared" si="304"/>
        <v>1900</v>
      </c>
      <c r="W1489" s="759"/>
      <c r="X1489" s="771"/>
      <c r="Y1489" s="977"/>
      <c r="Z1489" s="758"/>
      <c r="AA1489" s="758" t="str">
        <f t="shared" si="306"/>
        <v/>
      </c>
      <c r="AB1489" s="758" t="str">
        <f t="shared" si="307"/>
        <v/>
      </c>
      <c r="AC1489" s="758" t="str">
        <f t="shared" si="308"/>
        <v/>
      </c>
      <c r="AD1489" s="758" t="str">
        <f t="shared" si="295"/>
        <v>0</v>
      </c>
      <c r="AE1489" s="760"/>
      <c r="AF1489" s="760"/>
      <c r="AG1489" s="443"/>
      <c r="AH1489" s="443"/>
    </row>
    <row r="1490" spans="1:34">
      <c r="A1490" s="728">
        <f t="shared" si="305"/>
        <v>1483</v>
      </c>
      <c r="B1490" s="77"/>
      <c r="C1490" s="747"/>
      <c r="D1490" s="763" t="str">
        <f t="shared" si="296"/>
        <v>January</v>
      </c>
      <c r="E1490" s="763">
        <f t="shared" si="297"/>
        <v>0</v>
      </c>
      <c r="F1490" s="762">
        <f t="shared" si="298"/>
        <v>1900</v>
      </c>
      <c r="G1490" s="747"/>
      <c r="H1490" s="882"/>
      <c r="I1490" s="756"/>
      <c r="J1490" s="756"/>
      <c r="K1490" s="778">
        <f t="shared" si="299"/>
        <v>0</v>
      </c>
      <c r="L1490" s="976"/>
      <c r="M1490" s="736">
        <f t="shared" si="300"/>
        <v>0</v>
      </c>
      <c r="N1490" s="754"/>
      <c r="O1490" s="738">
        <f t="shared" si="301"/>
        <v>0</v>
      </c>
      <c r="P1490" s="757"/>
      <c r="Q1490" s="739">
        <f t="shared" si="302"/>
        <v>0</v>
      </c>
      <c r="R1490" s="757"/>
      <c r="S1490" s="755"/>
      <c r="T1490" s="277"/>
      <c r="U1490" s="758" t="str">
        <f t="shared" si="303"/>
        <v/>
      </c>
      <c r="V1490" s="758" t="str">
        <f t="shared" si="304"/>
        <v>1900</v>
      </c>
      <c r="W1490" s="759"/>
      <c r="X1490" s="771"/>
      <c r="Y1490" s="977"/>
      <c r="Z1490" s="758"/>
      <c r="AA1490" s="758" t="str">
        <f t="shared" si="306"/>
        <v/>
      </c>
      <c r="AB1490" s="758" t="str">
        <f t="shared" si="307"/>
        <v/>
      </c>
      <c r="AC1490" s="758" t="str">
        <f t="shared" si="308"/>
        <v/>
      </c>
      <c r="AD1490" s="758" t="str">
        <f t="shared" si="295"/>
        <v>0</v>
      </c>
      <c r="AE1490" s="760"/>
      <c r="AF1490" s="760"/>
      <c r="AG1490" s="443"/>
      <c r="AH1490" s="443"/>
    </row>
    <row r="1491" spans="1:34">
      <c r="A1491" s="728">
        <f t="shared" si="305"/>
        <v>1484</v>
      </c>
      <c r="B1491" s="77"/>
      <c r="C1491" s="747"/>
      <c r="D1491" s="763" t="str">
        <f t="shared" si="296"/>
        <v>January</v>
      </c>
      <c r="E1491" s="763">
        <f t="shared" si="297"/>
        <v>0</v>
      </c>
      <c r="F1491" s="762">
        <f t="shared" si="298"/>
        <v>1900</v>
      </c>
      <c r="G1491" s="747"/>
      <c r="H1491" s="882"/>
      <c r="I1491" s="756"/>
      <c r="J1491" s="756"/>
      <c r="K1491" s="778">
        <f t="shared" si="299"/>
        <v>0</v>
      </c>
      <c r="L1491" s="976"/>
      <c r="M1491" s="736">
        <f t="shared" si="300"/>
        <v>0</v>
      </c>
      <c r="N1491" s="754"/>
      <c r="O1491" s="738">
        <f t="shared" si="301"/>
        <v>0</v>
      </c>
      <c r="P1491" s="757"/>
      <c r="Q1491" s="739">
        <f t="shared" si="302"/>
        <v>0</v>
      </c>
      <c r="R1491" s="757"/>
      <c r="S1491" s="755"/>
      <c r="T1491" s="277"/>
      <c r="U1491" s="758" t="str">
        <f t="shared" si="303"/>
        <v/>
      </c>
      <c r="V1491" s="758" t="str">
        <f t="shared" si="304"/>
        <v>1900</v>
      </c>
      <c r="W1491" s="759"/>
      <c r="X1491" s="771"/>
      <c r="Y1491" s="977"/>
      <c r="Z1491" s="758"/>
      <c r="AA1491" s="758" t="str">
        <f t="shared" si="306"/>
        <v/>
      </c>
      <c r="AB1491" s="758" t="str">
        <f t="shared" si="307"/>
        <v/>
      </c>
      <c r="AC1491" s="758" t="str">
        <f t="shared" si="308"/>
        <v/>
      </c>
      <c r="AD1491" s="758" t="str">
        <f t="shared" si="295"/>
        <v>0</v>
      </c>
      <c r="AE1491" s="760"/>
      <c r="AF1491" s="760"/>
      <c r="AG1491" s="443"/>
      <c r="AH1491" s="443"/>
    </row>
    <row r="1492" spans="1:34">
      <c r="A1492" s="728">
        <f t="shared" si="305"/>
        <v>1485</v>
      </c>
      <c r="B1492" s="77"/>
      <c r="C1492" s="747"/>
      <c r="D1492" s="763" t="str">
        <f t="shared" si="296"/>
        <v>January</v>
      </c>
      <c r="E1492" s="763">
        <f t="shared" si="297"/>
        <v>0</v>
      </c>
      <c r="F1492" s="762">
        <f t="shared" si="298"/>
        <v>1900</v>
      </c>
      <c r="G1492" s="747"/>
      <c r="H1492" s="882"/>
      <c r="I1492" s="756"/>
      <c r="J1492" s="756"/>
      <c r="K1492" s="778">
        <f t="shared" si="299"/>
        <v>0</v>
      </c>
      <c r="L1492" s="976"/>
      <c r="M1492" s="736">
        <f t="shared" si="300"/>
        <v>0</v>
      </c>
      <c r="N1492" s="754"/>
      <c r="O1492" s="738">
        <f t="shared" si="301"/>
        <v>0</v>
      </c>
      <c r="P1492" s="757"/>
      <c r="Q1492" s="739">
        <f t="shared" si="302"/>
        <v>0</v>
      </c>
      <c r="R1492" s="757"/>
      <c r="S1492" s="755"/>
      <c r="T1492" s="277"/>
      <c r="U1492" s="758" t="str">
        <f t="shared" si="303"/>
        <v/>
      </c>
      <c r="V1492" s="758" t="str">
        <f t="shared" si="304"/>
        <v>1900</v>
      </c>
      <c r="W1492" s="759"/>
      <c r="X1492" s="771"/>
      <c r="Y1492" s="977"/>
      <c r="Z1492" s="758"/>
      <c r="AA1492" s="758" t="str">
        <f t="shared" si="306"/>
        <v/>
      </c>
      <c r="AB1492" s="758" t="str">
        <f t="shared" si="307"/>
        <v/>
      </c>
      <c r="AC1492" s="758" t="str">
        <f t="shared" si="308"/>
        <v/>
      </c>
      <c r="AD1492" s="758" t="str">
        <f t="shared" si="295"/>
        <v>0</v>
      </c>
      <c r="AE1492" s="760"/>
      <c r="AF1492" s="760"/>
      <c r="AG1492" s="443"/>
      <c r="AH1492" s="443"/>
    </row>
    <row r="1493" spans="1:34">
      <c r="A1493" s="728">
        <f t="shared" si="305"/>
        <v>1486</v>
      </c>
      <c r="B1493" s="77"/>
      <c r="C1493" s="747"/>
      <c r="D1493" s="763" t="str">
        <f t="shared" si="296"/>
        <v>January</v>
      </c>
      <c r="E1493" s="763">
        <f t="shared" si="297"/>
        <v>0</v>
      </c>
      <c r="F1493" s="762">
        <f t="shared" si="298"/>
        <v>1900</v>
      </c>
      <c r="G1493" s="747"/>
      <c r="H1493" s="882"/>
      <c r="I1493" s="756"/>
      <c r="J1493" s="756"/>
      <c r="K1493" s="778">
        <f t="shared" si="299"/>
        <v>0</v>
      </c>
      <c r="L1493" s="976"/>
      <c r="M1493" s="736">
        <f t="shared" si="300"/>
        <v>0</v>
      </c>
      <c r="N1493" s="754"/>
      <c r="O1493" s="738">
        <f t="shared" si="301"/>
        <v>0</v>
      </c>
      <c r="P1493" s="757"/>
      <c r="Q1493" s="739">
        <f t="shared" si="302"/>
        <v>0</v>
      </c>
      <c r="R1493" s="757"/>
      <c r="S1493" s="755"/>
      <c r="T1493" s="277"/>
      <c r="U1493" s="758" t="str">
        <f t="shared" si="303"/>
        <v/>
      </c>
      <c r="V1493" s="758" t="str">
        <f t="shared" si="304"/>
        <v>1900</v>
      </c>
      <c r="W1493" s="759"/>
      <c r="X1493" s="771"/>
      <c r="Y1493" s="977"/>
      <c r="Z1493" s="758"/>
      <c r="AA1493" s="758" t="str">
        <f t="shared" si="306"/>
        <v/>
      </c>
      <c r="AB1493" s="758" t="str">
        <f t="shared" si="307"/>
        <v/>
      </c>
      <c r="AC1493" s="758" t="str">
        <f t="shared" si="308"/>
        <v/>
      </c>
      <c r="AD1493" s="758" t="str">
        <f t="shared" si="295"/>
        <v>0</v>
      </c>
      <c r="AE1493" s="760"/>
      <c r="AF1493" s="760"/>
      <c r="AG1493" s="443"/>
      <c r="AH1493" s="443"/>
    </row>
    <row r="1494" spans="1:34">
      <c r="A1494" s="728">
        <f t="shared" si="305"/>
        <v>1487</v>
      </c>
      <c r="B1494" s="77"/>
      <c r="C1494" s="747"/>
      <c r="D1494" s="763" t="str">
        <f t="shared" si="296"/>
        <v>January</v>
      </c>
      <c r="E1494" s="763">
        <f t="shared" si="297"/>
        <v>0</v>
      </c>
      <c r="F1494" s="762">
        <f t="shared" si="298"/>
        <v>1900</v>
      </c>
      <c r="G1494" s="747"/>
      <c r="H1494" s="882"/>
      <c r="I1494" s="756"/>
      <c r="J1494" s="756"/>
      <c r="K1494" s="778">
        <f t="shared" si="299"/>
        <v>0</v>
      </c>
      <c r="L1494" s="976"/>
      <c r="M1494" s="736">
        <f t="shared" si="300"/>
        <v>0</v>
      </c>
      <c r="N1494" s="754"/>
      <c r="O1494" s="738">
        <f t="shared" si="301"/>
        <v>0</v>
      </c>
      <c r="P1494" s="757"/>
      <c r="Q1494" s="739">
        <f t="shared" si="302"/>
        <v>0</v>
      </c>
      <c r="R1494" s="757"/>
      <c r="S1494" s="755"/>
      <c r="T1494" s="277"/>
      <c r="U1494" s="758" t="str">
        <f t="shared" si="303"/>
        <v/>
      </c>
      <c r="V1494" s="758" t="str">
        <f t="shared" si="304"/>
        <v>1900</v>
      </c>
      <c r="W1494" s="759"/>
      <c r="X1494" s="771"/>
      <c r="Y1494" s="977"/>
      <c r="Z1494" s="758"/>
      <c r="AA1494" s="758" t="str">
        <f t="shared" si="306"/>
        <v/>
      </c>
      <c r="AB1494" s="758" t="str">
        <f t="shared" si="307"/>
        <v/>
      </c>
      <c r="AC1494" s="758" t="str">
        <f t="shared" si="308"/>
        <v/>
      </c>
      <c r="AD1494" s="758" t="str">
        <f t="shared" si="295"/>
        <v>0</v>
      </c>
      <c r="AE1494" s="760"/>
      <c r="AF1494" s="760"/>
      <c r="AG1494" s="443"/>
      <c r="AH1494" s="443"/>
    </row>
    <row r="1495" spans="1:34">
      <c r="A1495" s="728">
        <f t="shared" si="305"/>
        <v>1488</v>
      </c>
      <c r="B1495" s="77"/>
      <c r="C1495" s="747"/>
      <c r="D1495" s="763" t="str">
        <f t="shared" si="296"/>
        <v>January</v>
      </c>
      <c r="E1495" s="763">
        <f t="shared" si="297"/>
        <v>0</v>
      </c>
      <c r="F1495" s="762">
        <f t="shared" si="298"/>
        <v>1900</v>
      </c>
      <c r="G1495" s="747"/>
      <c r="H1495" s="882"/>
      <c r="I1495" s="756"/>
      <c r="J1495" s="756"/>
      <c r="K1495" s="778">
        <f t="shared" si="299"/>
        <v>0</v>
      </c>
      <c r="L1495" s="976"/>
      <c r="M1495" s="736">
        <f t="shared" si="300"/>
        <v>0</v>
      </c>
      <c r="N1495" s="754"/>
      <c r="O1495" s="738">
        <f t="shared" si="301"/>
        <v>0</v>
      </c>
      <c r="P1495" s="757"/>
      <c r="Q1495" s="739">
        <f t="shared" si="302"/>
        <v>0</v>
      </c>
      <c r="R1495" s="757"/>
      <c r="S1495" s="755"/>
      <c r="T1495" s="277"/>
      <c r="U1495" s="758" t="str">
        <f t="shared" si="303"/>
        <v/>
      </c>
      <c r="V1495" s="758" t="str">
        <f t="shared" si="304"/>
        <v>1900</v>
      </c>
      <c r="W1495" s="759"/>
      <c r="X1495" s="771"/>
      <c r="Y1495" s="977"/>
      <c r="Z1495" s="758"/>
      <c r="AA1495" s="758" t="str">
        <f t="shared" si="306"/>
        <v/>
      </c>
      <c r="AB1495" s="758" t="str">
        <f t="shared" si="307"/>
        <v/>
      </c>
      <c r="AC1495" s="758" t="str">
        <f t="shared" si="308"/>
        <v/>
      </c>
      <c r="AD1495" s="758" t="str">
        <f t="shared" si="295"/>
        <v>0</v>
      </c>
      <c r="AE1495" s="760"/>
      <c r="AF1495" s="760"/>
      <c r="AG1495" s="443"/>
      <c r="AH1495" s="443"/>
    </row>
    <row r="1496" spans="1:34">
      <c r="A1496" s="728">
        <f t="shared" si="305"/>
        <v>1489</v>
      </c>
      <c r="B1496" s="77"/>
      <c r="C1496" s="747"/>
      <c r="D1496" s="763" t="str">
        <f t="shared" si="296"/>
        <v>January</v>
      </c>
      <c r="E1496" s="763">
        <f t="shared" si="297"/>
        <v>0</v>
      </c>
      <c r="F1496" s="762">
        <f t="shared" si="298"/>
        <v>1900</v>
      </c>
      <c r="G1496" s="747"/>
      <c r="H1496" s="882"/>
      <c r="I1496" s="756"/>
      <c r="J1496" s="756"/>
      <c r="K1496" s="778">
        <f t="shared" si="299"/>
        <v>0</v>
      </c>
      <c r="L1496" s="976"/>
      <c r="M1496" s="736">
        <f t="shared" si="300"/>
        <v>0</v>
      </c>
      <c r="N1496" s="754"/>
      <c r="O1496" s="738">
        <f t="shared" si="301"/>
        <v>0</v>
      </c>
      <c r="P1496" s="757"/>
      <c r="Q1496" s="739">
        <f t="shared" si="302"/>
        <v>0</v>
      </c>
      <c r="R1496" s="757"/>
      <c r="S1496" s="755"/>
      <c r="T1496" s="277"/>
      <c r="U1496" s="758" t="str">
        <f t="shared" si="303"/>
        <v/>
      </c>
      <c r="V1496" s="758" t="str">
        <f t="shared" si="304"/>
        <v>1900</v>
      </c>
      <c r="W1496" s="759"/>
      <c r="X1496" s="771"/>
      <c r="Y1496" s="977"/>
      <c r="Z1496" s="758"/>
      <c r="AA1496" s="758" t="str">
        <f t="shared" si="306"/>
        <v/>
      </c>
      <c r="AB1496" s="758" t="str">
        <f t="shared" si="307"/>
        <v/>
      </c>
      <c r="AC1496" s="758" t="str">
        <f t="shared" si="308"/>
        <v/>
      </c>
      <c r="AD1496" s="758" t="str">
        <f t="shared" si="295"/>
        <v>0</v>
      </c>
      <c r="AE1496" s="760"/>
      <c r="AF1496" s="760"/>
      <c r="AG1496" s="443"/>
      <c r="AH1496" s="443"/>
    </row>
    <row r="1497" spans="1:34">
      <c r="A1497" s="728">
        <f t="shared" si="305"/>
        <v>1490</v>
      </c>
      <c r="B1497" s="77"/>
      <c r="C1497" s="747"/>
      <c r="D1497" s="763" t="str">
        <f t="shared" si="296"/>
        <v>January</v>
      </c>
      <c r="E1497" s="763">
        <f t="shared" si="297"/>
        <v>0</v>
      </c>
      <c r="F1497" s="762">
        <f t="shared" si="298"/>
        <v>1900</v>
      </c>
      <c r="G1497" s="747"/>
      <c r="H1497" s="882"/>
      <c r="I1497" s="756"/>
      <c r="J1497" s="756"/>
      <c r="K1497" s="778">
        <f t="shared" si="299"/>
        <v>0</v>
      </c>
      <c r="L1497" s="976"/>
      <c r="M1497" s="736">
        <f t="shared" si="300"/>
        <v>0</v>
      </c>
      <c r="N1497" s="754"/>
      <c r="O1497" s="738">
        <f t="shared" si="301"/>
        <v>0</v>
      </c>
      <c r="P1497" s="757"/>
      <c r="Q1497" s="739">
        <f t="shared" si="302"/>
        <v>0</v>
      </c>
      <c r="R1497" s="757"/>
      <c r="S1497" s="755"/>
      <c r="T1497" s="277"/>
      <c r="U1497" s="758" t="str">
        <f t="shared" si="303"/>
        <v/>
      </c>
      <c r="V1497" s="758" t="str">
        <f t="shared" si="304"/>
        <v>1900</v>
      </c>
      <c r="W1497" s="759"/>
      <c r="X1497" s="771"/>
      <c r="Y1497" s="977"/>
      <c r="Z1497" s="758"/>
      <c r="AA1497" s="758" t="str">
        <f t="shared" si="306"/>
        <v/>
      </c>
      <c r="AB1497" s="758" t="str">
        <f t="shared" si="307"/>
        <v/>
      </c>
      <c r="AC1497" s="758" t="str">
        <f t="shared" si="308"/>
        <v/>
      </c>
      <c r="AD1497" s="758" t="str">
        <f t="shared" ref="AD1497:AD1560" si="309">CONCATENATE(H1497,M1497)</f>
        <v>0</v>
      </c>
      <c r="AE1497" s="760"/>
      <c r="AF1497" s="760"/>
      <c r="AG1497" s="443"/>
      <c r="AH1497" s="443"/>
    </row>
    <row r="1498" spans="1:34">
      <c r="A1498" s="728">
        <f t="shared" si="305"/>
        <v>1491</v>
      </c>
      <c r="B1498" s="77"/>
      <c r="C1498" s="747"/>
      <c r="D1498" s="763" t="str">
        <f t="shared" si="296"/>
        <v>January</v>
      </c>
      <c r="E1498" s="763">
        <f t="shared" si="297"/>
        <v>0</v>
      </c>
      <c r="F1498" s="762">
        <f t="shared" si="298"/>
        <v>1900</v>
      </c>
      <c r="G1498" s="747"/>
      <c r="H1498" s="882"/>
      <c r="I1498" s="756"/>
      <c r="J1498" s="756"/>
      <c r="K1498" s="778">
        <f t="shared" si="299"/>
        <v>0</v>
      </c>
      <c r="L1498" s="976"/>
      <c r="M1498" s="736">
        <f t="shared" si="300"/>
        <v>0</v>
      </c>
      <c r="N1498" s="754"/>
      <c r="O1498" s="738">
        <f t="shared" si="301"/>
        <v>0</v>
      </c>
      <c r="P1498" s="757"/>
      <c r="Q1498" s="739">
        <f t="shared" si="302"/>
        <v>0</v>
      </c>
      <c r="R1498" s="757"/>
      <c r="S1498" s="755"/>
      <c r="T1498" s="277"/>
      <c r="U1498" s="758" t="str">
        <f t="shared" si="303"/>
        <v/>
      </c>
      <c r="V1498" s="758" t="str">
        <f t="shared" si="304"/>
        <v>1900</v>
      </c>
      <c r="W1498" s="759"/>
      <c r="X1498" s="771"/>
      <c r="Y1498" s="977"/>
      <c r="Z1498" s="758"/>
      <c r="AA1498" s="758" t="str">
        <f t="shared" si="306"/>
        <v/>
      </c>
      <c r="AB1498" s="758" t="str">
        <f t="shared" si="307"/>
        <v/>
      </c>
      <c r="AC1498" s="758" t="str">
        <f t="shared" si="308"/>
        <v/>
      </c>
      <c r="AD1498" s="758" t="str">
        <f t="shared" si="309"/>
        <v>0</v>
      </c>
      <c r="AE1498" s="760"/>
      <c r="AF1498" s="760"/>
      <c r="AG1498" s="443"/>
      <c r="AH1498" s="443"/>
    </row>
    <row r="1499" spans="1:34">
      <c r="A1499" s="728">
        <f t="shared" si="305"/>
        <v>1492</v>
      </c>
      <c r="B1499" s="77"/>
      <c r="C1499" s="747"/>
      <c r="D1499" s="763" t="str">
        <f t="shared" si="296"/>
        <v>January</v>
      </c>
      <c r="E1499" s="763">
        <f t="shared" si="297"/>
        <v>0</v>
      </c>
      <c r="F1499" s="762">
        <f t="shared" si="298"/>
        <v>1900</v>
      </c>
      <c r="G1499" s="747"/>
      <c r="H1499" s="882"/>
      <c r="I1499" s="756"/>
      <c r="J1499" s="756"/>
      <c r="K1499" s="778">
        <f t="shared" si="299"/>
        <v>0</v>
      </c>
      <c r="L1499" s="976"/>
      <c r="M1499" s="736">
        <f t="shared" si="300"/>
        <v>0</v>
      </c>
      <c r="N1499" s="754"/>
      <c r="O1499" s="738">
        <f t="shared" si="301"/>
        <v>0</v>
      </c>
      <c r="P1499" s="757"/>
      <c r="Q1499" s="739">
        <f t="shared" si="302"/>
        <v>0</v>
      </c>
      <c r="R1499" s="757"/>
      <c r="S1499" s="755"/>
      <c r="T1499" s="277"/>
      <c r="U1499" s="758" t="str">
        <f t="shared" si="303"/>
        <v/>
      </c>
      <c r="V1499" s="758" t="str">
        <f t="shared" si="304"/>
        <v>1900</v>
      </c>
      <c r="W1499" s="759"/>
      <c r="X1499" s="771"/>
      <c r="Y1499" s="977"/>
      <c r="Z1499" s="758"/>
      <c r="AA1499" s="758" t="str">
        <f t="shared" si="306"/>
        <v/>
      </c>
      <c r="AB1499" s="758" t="str">
        <f t="shared" si="307"/>
        <v/>
      </c>
      <c r="AC1499" s="758" t="str">
        <f t="shared" si="308"/>
        <v/>
      </c>
      <c r="AD1499" s="758" t="str">
        <f t="shared" si="309"/>
        <v>0</v>
      </c>
      <c r="AE1499" s="760"/>
      <c r="AF1499" s="760"/>
      <c r="AG1499" s="443"/>
      <c r="AH1499" s="443"/>
    </row>
    <row r="1500" spans="1:34">
      <c r="A1500" s="728">
        <f t="shared" si="305"/>
        <v>1493</v>
      </c>
      <c r="B1500" s="77"/>
      <c r="C1500" s="747"/>
      <c r="D1500" s="763" t="str">
        <f t="shared" si="296"/>
        <v>January</v>
      </c>
      <c r="E1500" s="763">
        <f t="shared" si="297"/>
        <v>0</v>
      </c>
      <c r="F1500" s="762">
        <f t="shared" si="298"/>
        <v>1900</v>
      </c>
      <c r="G1500" s="747"/>
      <c r="H1500" s="882"/>
      <c r="I1500" s="756"/>
      <c r="J1500" s="756"/>
      <c r="K1500" s="778">
        <f t="shared" si="299"/>
        <v>0</v>
      </c>
      <c r="L1500" s="976"/>
      <c r="M1500" s="736">
        <f t="shared" si="300"/>
        <v>0</v>
      </c>
      <c r="N1500" s="754"/>
      <c r="O1500" s="738">
        <f t="shared" si="301"/>
        <v>0</v>
      </c>
      <c r="P1500" s="757"/>
      <c r="Q1500" s="739">
        <f t="shared" si="302"/>
        <v>0</v>
      </c>
      <c r="R1500" s="757"/>
      <c r="S1500" s="755"/>
      <c r="T1500" s="277"/>
      <c r="U1500" s="758" t="str">
        <f t="shared" si="303"/>
        <v/>
      </c>
      <c r="V1500" s="758" t="str">
        <f t="shared" si="304"/>
        <v>1900</v>
      </c>
      <c r="W1500" s="759"/>
      <c r="X1500" s="771"/>
      <c r="Y1500" s="977"/>
      <c r="Z1500" s="758"/>
      <c r="AA1500" s="758" t="str">
        <f t="shared" si="306"/>
        <v/>
      </c>
      <c r="AB1500" s="758" t="str">
        <f t="shared" si="307"/>
        <v/>
      </c>
      <c r="AC1500" s="758" t="str">
        <f t="shared" si="308"/>
        <v/>
      </c>
      <c r="AD1500" s="758" t="str">
        <f t="shared" si="309"/>
        <v>0</v>
      </c>
      <c r="AE1500" s="760"/>
      <c r="AF1500" s="760"/>
      <c r="AG1500" s="443"/>
      <c r="AH1500" s="443"/>
    </row>
    <row r="1501" spans="1:34">
      <c r="A1501" s="728">
        <f t="shared" si="305"/>
        <v>1494</v>
      </c>
      <c r="B1501" s="77"/>
      <c r="C1501" s="747"/>
      <c r="D1501" s="763" t="str">
        <f t="shared" si="296"/>
        <v>January</v>
      </c>
      <c r="E1501" s="763">
        <f t="shared" si="297"/>
        <v>0</v>
      </c>
      <c r="F1501" s="762">
        <f t="shared" si="298"/>
        <v>1900</v>
      </c>
      <c r="G1501" s="747"/>
      <c r="H1501" s="882"/>
      <c r="I1501" s="756"/>
      <c r="J1501" s="756"/>
      <c r="K1501" s="778">
        <f t="shared" si="299"/>
        <v>0</v>
      </c>
      <c r="L1501" s="976"/>
      <c r="M1501" s="736">
        <f t="shared" si="300"/>
        <v>0</v>
      </c>
      <c r="N1501" s="754"/>
      <c r="O1501" s="738">
        <f t="shared" si="301"/>
        <v>0</v>
      </c>
      <c r="P1501" s="757"/>
      <c r="Q1501" s="739">
        <f t="shared" si="302"/>
        <v>0</v>
      </c>
      <c r="R1501" s="757"/>
      <c r="S1501" s="755"/>
      <c r="T1501" s="277"/>
      <c r="U1501" s="758" t="str">
        <f t="shared" si="303"/>
        <v/>
      </c>
      <c r="V1501" s="758" t="str">
        <f t="shared" si="304"/>
        <v>1900</v>
      </c>
      <c r="W1501" s="759"/>
      <c r="X1501" s="771"/>
      <c r="Y1501" s="977"/>
      <c r="Z1501" s="758"/>
      <c r="AA1501" s="758" t="str">
        <f t="shared" si="306"/>
        <v/>
      </c>
      <c r="AB1501" s="758" t="str">
        <f t="shared" si="307"/>
        <v/>
      </c>
      <c r="AC1501" s="758" t="str">
        <f t="shared" si="308"/>
        <v/>
      </c>
      <c r="AD1501" s="758" t="str">
        <f t="shared" si="309"/>
        <v>0</v>
      </c>
      <c r="AE1501" s="760"/>
      <c r="AF1501" s="760"/>
      <c r="AG1501" s="443"/>
      <c r="AH1501" s="443"/>
    </row>
    <row r="1502" spans="1:34">
      <c r="A1502" s="728">
        <f t="shared" si="305"/>
        <v>1495</v>
      </c>
      <c r="B1502" s="77"/>
      <c r="C1502" s="747"/>
      <c r="D1502" s="763" t="str">
        <f t="shared" si="296"/>
        <v>January</v>
      </c>
      <c r="E1502" s="763">
        <f t="shared" si="297"/>
        <v>0</v>
      </c>
      <c r="F1502" s="762">
        <f t="shared" si="298"/>
        <v>1900</v>
      </c>
      <c r="G1502" s="747"/>
      <c r="H1502" s="882"/>
      <c r="I1502" s="756"/>
      <c r="J1502" s="756"/>
      <c r="K1502" s="778">
        <f t="shared" si="299"/>
        <v>0</v>
      </c>
      <c r="L1502" s="976"/>
      <c r="M1502" s="736">
        <f t="shared" si="300"/>
        <v>0</v>
      </c>
      <c r="N1502" s="754"/>
      <c r="O1502" s="738">
        <f t="shared" si="301"/>
        <v>0</v>
      </c>
      <c r="P1502" s="757"/>
      <c r="Q1502" s="739">
        <f t="shared" si="302"/>
        <v>0</v>
      </c>
      <c r="R1502" s="757"/>
      <c r="S1502" s="755"/>
      <c r="T1502" s="277"/>
      <c r="U1502" s="758" t="str">
        <f t="shared" si="303"/>
        <v/>
      </c>
      <c r="V1502" s="758" t="str">
        <f t="shared" si="304"/>
        <v>1900</v>
      </c>
      <c r="W1502" s="759"/>
      <c r="X1502" s="771"/>
      <c r="Y1502" s="977"/>
      <c r="Z1502" s="758"/>
      <c r="AA1502" s="758" t="str">
        <f t="shared" si="306"/>
        <v/>
      </c>
      <c r="AB1502" s="758" t="str">
        <f t="shared" si="307"/>
        <v/>
      </c>
      <c r="AC1502" s="758" t="str">
        <f t="shared" si="308"/>
        <v/>
      </c>
      <c r="AD1502" s="758" t="str">
        <f t="shared" si="309"/>
        <v>0</v>
      </c>
      <c r="AE1502" s="760"/>
      <c r="AF1502" s="760"/>
      <c r="AG1502" s="443"/>
      <c r="AH1502" s="443"/>
    </row>
    <row r="1503" spans="1:34">
      <c r="A1503" s="728">
        <f t="shared" si="305"/>
        <v>1496</v>
      </c>
      <c r="B1503" s="77"/>
      <c r="C1503" s="747"/>
      <c r="D1503" s="763" t="str">
        <f t="shared" si="296"/>
        <v>January</v>
      </c>
      <c r="E1503" s="763">
        <f t="shared" si="297"/>
        <v>0</v>
      </c>
      <c r="F1503" s="762">
        <f t="shared" si="298"/>
        <v>1900</v>
      </c>
      <c r="G1503" s="747"/>
      <c r="H1503" s="882"/>
      <c r="I1503" s="756"/>
      <c r="J1503" s="756"/>
      <c r="K1503" s="778">
        <f t="shared" si="299"/>
        <v>0</v>
      </c>
      <c r="L1503" s="976"/>
      <c r="M1503" s="736">
        <f t="shared" si="300"/>
        <v>0</v>
      </c>
      <c r="N1503" s="754"/>
      <c r="O1503" s="738">
        <f t="shared" si="301"/>
        <v>0</v>
      </c>
      <c r="P1503" s="757"/>
      <c r="Q1503" s="739">
        <f t="shared" si="302"/>
        <v>0</v>
      </c>
      <c r="R1503" s="757"/>
      <c r="S1503" s="755"/>
      <c r="T1503" s="277"/>
      <c r="U1503" s="758" t="str">
        <f t="shared" si="303"/>
        <v/>
      </c>
      <c r="V1503" s="758" t="str">
        <f t="shared" si="304"/>
        <v>1900</v>
      </c>
      <c r="W1503" s="759"/>
      <c r="X1503" s="771"/>
      <c r="Y1503" s="977"/>
      <c r="Z1503" s="758"/>
      <c r="AA1503" s="758" t="str">
        <f t="shared" si="306"/>
        <v/>
      </c>
      <c r="AB1503" s="758" t="str">
        <f t="shared" si="307"/>
        <v/>
      </c>
      <c r="AC1503" s="758" t="str">
        <f t="shared" si="308"/>
        <v/>
      </c>
      <c r="AD1503" s="758" t="str">
        <f t="shared" si="309"/>
        <v>0</v>
      </c>
      <c r="AE1503" s="760"/>
      <c r="AF1503" s="760"/>
      <c r="AG1503" s="443"/>
      <c r="AH1503" s="443"/>
    </row>
    <row r="1504" spans="1:34">
      <c r="A1504" s="728">
        <f t="shared" si="305"/>
        <v>1497</v>
      </c>
      <c r="B1504" s="77"/>
      <c r="C1504" s="747"/>
      <c r="D1504" s="763" t="str">
        <f t="shared" si="296"/>
        <v>January</v>
      </c>
      <c r="E1504" s="763">
        <f t="shared" si="297"/>
        <v>0</v>
      </c>
      <c r="F1504" s="762">
        <f t="shared" si="298"/>
        <v>1900</v>
      </c>
      <c r="G1504" s="747"/>
      <c r="H1504" s="882"/>
      <c r="I1504" s="756"/>
      <c r="J1504" s="756"/>
      <c r="K1504" s="778">
        <f t="shared" si="299"/>
        <v>0</v>
      </c>
      <c r="L1504" s="976"/>
      <c r="M1504" s="736">
        <f t="shared" si="300"/>
        <v>0</v>
      </c>
      <c r="N1504" s="754"/>
      <c r="O1504" s="738">
        <f t="shared" si="301"/>
        <v>0</v>
      </c>
      <c r="P1504" s="757"/>
      <c r="Q1504" s="739">
        <f t="shared" si="302"/>
        <v>0</v>
      </c>
      <c r="R1504" s="757"/>
      <c r="S1504" s="755"/>
      <c r="T1504" s="277"/>
      <c r="U1504" s="758" t="str">
        <f t="shared" si="303"/>
        <v/>
      </c>
      <c r="V1504" s="758" t="str">
        <f t="shared" si="304"/>
        <v>1900</v>
      </c>
      <c r="W1504" s="759"/>
      <c r="X1504" s="771"/>
      <c r="Y1504" s="977"/>
      <c r="Z1504" s="758"/>
      <c r="AA1504" s="758" t="str">
        <f t="shared" si="306"/>
        <v/>
      </c>
      <c r="AB1504" s="758" t="str">
        <f t="shared" si="307"/>
        <v/>
      </c>
      <c r="AC1504" s="758" t="str">
        <f t="shared" si="308"/>
        <v/>
      </c>
      <c r="AD1504" s="758" t="str">
        <f t="shared" si="309"/>
        <v>0</v>
      </c>
      <c r="AE1504" s="760"/>
      <c r="AF1504" s="760"/>
      <c r="AG1504" s="443"/>
      <c r="AH1504" s="443"/>
    </row>
    <row r="1505" spans="1:34">
      <c r="A1505" s="728">
        <f t="shared" si="305"/>
        <v>1498</v>
      </c>
      <c r="B1505" s="77"/>
      <c r="C1505" s="747"/>
      <c r="D1505" s="763" t="str">
        <f t="shared" si="296"/>
        <v>January</v>
      </c>
      <c r="E1505" s="763">
        <f t="shared" si="297"/>
        <v>0</v>
      </c>
      <c r="F1505" s="762">
        <f t="shared" si="298"/>
        <v>1900</v>
      </c>
      <c r="G1505" s="747"/>
      <c r="H1505" s="882"/>
      <c r="I1505" s="756"/>
      <c r="J1505" s="756"/>
      <c r="K1505" s="778">
        <f t="shared" si="299"/>
        <v>0</v>
      </c>
      <c r="L1505" s="976"/>
      <c r="M1505" s="736">
        <f t="shared" si="300"/>
        <v>0</v>
      </c>
      <c r="N1505" s="754"/>
      <c r="O1505" s="738">
        <f t="shared" si="301"/>
        <v>0</v>
      </c>
      <c r="P1505" s="757"/>
      <c r="Q1505" s="739">
        <f t="shared" si="302"/>
        <v>0</v>
      </c>
      <c r="R1505" s="757"/>
      <c r="S1505" s="755"/>
      <c r="T1505" s="277"/>
      <c r="U1505" s="758" t="str">
        <f t="shared" si="303"/>
        <v/>
      </c>
      <c r="V1505" s="758" t="str">
        <f t="shared" si="304"/>
        <v>1900</v>
      </c>
      <c r="W1505" s="759"/>
      <c r="X1505" s="771"/>
      <c r="Y1505" s="977"/>
      <c r="Z1505" s="758"/>
      <c r="AA1505" s="758" t="str">
        <f t="shared" si="306"/>
        <v/>
      </c>
      <c r="AB1505" s="758" t="str">
        <f t="shared" si="307"/>
        <v/>
      </c>
      <c r="AC1505" s="758" t="str">
        <f t="shared" si="308"/>
        <v/>
      </c>
      <c r="AD1505" s="758" t="str">
        <f t="shared" si="309"/>
        <v>0</v>
      </c>
      <c r="AE1505" s="760"/>
      <c r="AF1505" s="760"/>
      <c r="AG1505" s="443"/>
      <c r="AH1505" s="443"/>
    </row>
    <row r="1506" spans="1:34">
      <c r="A1506" s="728">
        <f t="shared" si="305"/>
        <v>1499</v>
      </c>
      <c r="B1506" s="77"/>
      <c r="C1506" s="747"/>
      <c r="D1506" s="763" t="str">
        <f t="shared" si="296"/>
        <v>January</v>
      </c>
      <c r="E1506" s="763">
        <f t="shared" si="297"/>
        <v>0</v>
      </c>
      <c r="F1506" s="762">
        <f t="shared" si="298"/>
        <v>1900</v>
      </c>
      <c r="G1506" s="747"/>
      <c r="H1506" s="882"/>
      <c r="I1506" s="756"/>
      <c r="J1506" s="756"/>
      <c r="K1506" s="778">
        <f t="shared" si="299"/>
        <v>0</v>
      </c>
      <c r="L1506" s="976"/>
      <c r="M1506" s="736">
        <f t="shared" si="300"/>
        <v>0</v>
      </c>
      <c r="N1506" s="754"/>
      <c r="O1506" s="738">
        <f t="shared" si="301"/>
        <v>0</v>
      </c>
      <c r="P1506" s="757"/>
      <c r="Q1506" s="739">
        <f t="shared" si="302"/>
        <v>0</v>
      </c>
      <c r="R1506" s="757"/>
      <c r="S1506" s="755"/>
      <c r="T1506" s="277"/>
      <c r="U1506" s="758" t="str">
        <f t="shared" si="303"/>
        <v/>
      </c>
      <c r="V1506" s="758" t="str">
        <f t="shared" si="304"/>
        <v>1900</v>
      </c>
      <c r="W1506" s="759"/>
      <c r="X1506" s="771"/>
      <c r="Y1506" s="977"/>
      <c r="Z1506" s="758"/>
      <c r="AA1506" s="758" t="str">
        <f t="shared" si="306"/>
        <v/>
      </c>
      <c r="AB1506" s="758" t="str">
        <f t="shared" si="307"/>
        <v/>
      </c>
      <c r="AC1506" s="758" t="str">
        <f t="shared" si="308"/>
        <v/>
      </c>
      <c r="AD1506" s="758" t="str">
        <f t="shared" si="309"/>
        <v>0</v>
      </c>
      <c r="AE1506" s="760"/>
      <c r="AF1506" s="760"/>
      <c r="AG1506" s="443"/>
      <c r="AH1506" s="443"/>
    </row>
    <row r="1507" spans="1:34">
      <c r="A1507" s="728">
        <f t="shared" si="305"/>
        <v>1500</v>
      </c>
      <c r="B1507" s="77"/>
      <c r="C1507" s="747"/>
      <c r="D1507" s="763" t="str">
        <f t="shared" si="296"/>
        <v>January</v>
      </c>
      <c r="E1507" s="763">
        <f t="shared" si="297"/>
        <v>0</v>
      </c>
      <c r="F1507" s="762">
        <f t="shared" si="298"/>
        <v>1900</v>
      </c>
      <c r="G1507" s="747"/>
      <c r="H1507" s="882"/>
      <c r="I1507" s="756"/>
      <c r="J1507" s="756"/>
      <c r="K1507" s="778">
        <f t="shared" si="299"/>
        <v>0</v>
      </c>
      <c r="L1507" s="976"/>
      <c r="M1507" s="736">
        <f t="shared" si="300"/>
        <v>0</v>
      </c>
      <c r="N1507" s="754"/>
      <c r="O1507" s="738">
        <f t="shared" si="301"/>
        <v>0</v>
      </c>
      <c r="P1507" s="757"/>
      <c r="Q1507" s="739">
        <f t="shared" si="302"/>
        <v>0</v>
      </c>
      <c r="R1507" s="757"/>
      <c r="S1507" s="755"/>
      <c r="T1507" s="277"/>
      <c r="U1507" s="758" t="str">
        <f t="shared" si="303"/>
        <v/>
      </c>
      <c r="V1507" s="758" t="str">
        <f t="shared" si="304"/>
        <v>1900</v>
      </c>
      <c r="W1507" s="759"/>
      <c r="X1507" s="771"/>
      <c r="Y1507" s="977"/>
      <c r="Z1507" s="758"/>
      <c r="AA1507" s="758" t="str">
        <f t="shared" si="306"/>
        <v/>
      </c>
      <c r="AB1507" s="758" t="str">
        <f t="shared" si="307"/>
        <v/>
      </c>
      <c r="AC1507" s="758" t="str">
        <f t="shared" si="308"/>
        <v/>
      </c>
      <c r="AD1507" s="758" t="str">
        <f t="shared" si="309"/>
        <v>0</v>
      </c>
      <c r="AE1507" s="760"/>
      <c r="AF1507" s="760"/>
      <c r="AG1507" s="443"/>
      <c r="AH1507" s="443"/>
    </row>
    <row r="1508" spans="1:34">
      <c r="A1508" s="728">
        <f t="shared" si="305"/>
        <v>1501</v>
      </c>
      <c r="B1508" s="77"/>
      <c r="C1508" s="747"/>
      <c r="D1508" s="763" t="str">
        <f t="shared" si="296"/>
        <v>January</v>
      </c>
      <c r="E1508" s="763">
        <f t="shared" si="297"/>
        <v>0</v>
      </c>
      <c r="F1508" s="762">
        <f t="shared" si="298"/>
        <v>1900</v>
      </c>
      <c r="G1508" s="747"/>
      <c r="H1508" s="882"/>
      <c r="I1508" s="756"/>
      <c r="J1508" s="756"/>
      <c r="K1508" s="778">
        <f t="shared" si="299"/>
        <v>0</v>
      </c>
      <c r="L1508" s="976"/>
      <c r="M1508" s="736">
        <f t="shared" si="300"/>
        <v>0</v>
      </c>
      <c r="N1508" s="754"/>
      <c r="O1508" s="738">
        <f t="shared" si="301"/>
        <v>0</v>
      </c>
      <c r="P1508" s="757"/>
      <c r="Q1508" s="739">
        <f t="shared" si="302"/>
        <v>0</v>
      </c>
      <c r="R1508" s="757"/>
      <c r="S1508" s="755"/>
      <c r="T1508" s="277"/>
      <c r="U1508" s="758" t="str">
        <f t="shared" si="303"/>
        <v/>
      </c>
      <c r="V1508" s="758" t="str">
        <f t="shared" si="304"/>
        <v>1900</v>
      </c>
      <c r="W1508" s="759"/>
      <c r="X1508" s="771"/>
      <c r="Y1508" s="977"/>
      <c r="Z1508" s="758"/>
      <c r="AA1508" s="758" t="str">
        <f t="shared" si="306"/>
        <v/>
      </c>
      <c r="AB1508" s="758" t="str">
        <f t="shared" si="307"/>
        <v/>
      </c>
      <c r="AC1508" s="758" t="str">
        <f t="shared" si="308"/>
        <v/>
      </c>
      <c r="AD1508" s="758" t="str">
        <f t="shared" si="309"/>
        <v>0</v>
      </c>
      <c r="AE1508" s="760"/>
      <c r="AF1508" s="760"/>
      <c r="AG1508" s="443"/>
      <c r="AH1508" s="443"/>
    </row>
    <row r="1509" spans="1:34">
      <c r="A1509" s="728">
        <f t="shared" si="305"/>
        <v>1502</v>
      </c>
      <c r="B1509" s="77"/>
      <c r="C1509" s="747"/>
      <c r="D1509" s="763" t="str">
        <f t="shared" si="296"/>
        <v>January</v>
      </c>
      <c r="E1509" s="763">
        <f t="shared" si="297"/>
        <v>0</v>
      </c>
      <c r="F1509" s="762">
        <f t="shared" si="298"/>
        <v>1900</v>
      </c>
      <c r="G1509" s="747"/>
      <c r="H1509" s="882"/>
      <c r="I1509" s="756"/>
      <c r="J1509" s="756"/>
      <c r="K1509" s="778">
        <f t="shared" si="299"/>
        <v>0</v>
      </c>
      <c r="L1509" s="976"/>
      <c r="M1509" s="736">
        <f t="shared" si="300"/>
        <v>0</v>
      </c>
      <c r="N1509" s="754"/>
      <c r="O1509" s="738">
        <f t="shared" si="301"/>
        <v>0</v>
      </c>
      <c r="P1509" s="757"/>
      <c r="Q1509" s="739">
        <f t="shared" si="302"/>
        <v>0</v>
      </c>
      <c r="R1509" s="757"/>
      <c r="S1509" s="755"/>
      <c r="T1509" s="277"/>
      <c r="U1509" s="758" t="str">
        <f t="shared" si="303"/>
        <v/>
      </c>
      <c r="V1509" s="758" t="str">
        <f t="shared" si="304"/>
        <v>1900</v>
      </c>
      <c r="W1509" s="759"/>
      <c r="X1509" s="771"/>
      <c r="Y1509" s="977"/>
      <c r="Z1509" s="758"/>
      <c r="AA1509" s="758" t="str">
        <f t="shared" si="306"/>
        <v/>
      </c>
      <c r="AB1509" s="758" t="str">
        <f t="shared" si="307"/>
        <v/>
      </c>
      <c r="AC1509" s="758" t="str">
        <f t="shared" si="308"/>
        <v/>
      </c>
      <c r="AD1509" s="758" t="str">
        <f t="shared" si="309"/>
        <v>0</v>
      </c>
      <c r="AE1509" s="760"/>
      <c r="AF1509" s="760"/>
      <c r="AG1509" s="443"/>
      <c r="AH1509" s="443"/>
    </row>
    <row r="1510" spans="1:34">
      <c r="A1510" s="728">
        <f t="shared" si="305"/>
        <v>1503</v>
      </c>
      <c r="B1510" s="77"/>
      <c r="C1510" s="747"/>
      <c r="D1510" s="763" t="str">
        <f t="shared" si="296"/>
        <v>January</v>
      </c>
      <c r="E1510" s="763">
        <f t="shared" si="297"/>
        <v>0</v>
      </c>
      <c r="F1510" s="762">
        <f t="shared" si="298"/>
        <v>1900</v>
      </c>
      <c r="G1510" s="747"/>
      <c r="H1510" s="882"/>
      <c r="I1510" s="756"/>
      <c r="J1510" s="756"/>
      <c r="K1510" s="778">
        <f t="shared" si="299"/>
        <v>0</v>
      </c>
      <c r="L1510" s="976"/>
      <c r="M1510" s="736">
        <f t="shared" si="300"/>
        <v>0</v>
      </c>
      <c r="N1510" s="754"/>
      <c r="O1510" s="738">
        <f t="shared" si="301"/>
        <v>0</v>
      </c>
      <c r="P1510" s="757"/>
      <c r="Q1510" s="739">
        <f t="shared" si="302"/>
        <v>0</v>
      </c>
      <c r="R1510" s="757"/>
      <c r="S1510" s="755"/>
      <c r="T1510" s="277"/>
      <c r="U1510" s="758" t="str">
        <f t="shared" si="303"/>
        <v/>
      </c>
      <c r="V1510" s="758" t="str">
        <f t="shared" si="304"/>
        <v>1900</v>
      </c>
      <c r="W1510" s="759"/>
      <c r="X1510" s="771"/>
      <c r="Y1510" s="977"/>
      <c r="Z1510" s="758"/>
      <c r="AA1510" s="758" t="str">
        <f t="shared" si="306"/>
        <v/>
      </c>
      <c r="AB1510" s="758" t="str">
        <f t="shared" si="307"/>
        <v/>
      </c>
      <c r="AC1510" s="758" t="str">
        <f t="shared" si="308"/>
        <v/>
      </c>
      <c r="AD1510" s="758" t="str">
        <f t="shared" si="309"/>
        <v>0</v>
      </c>
      <c r="AE1510" s="760"/>
      <c r="AF1510" s="760"/>
      <c r="AG1510" s="443"/>
      <c r="AH1510" s="443"/>
    </row>
    <row r="1511" spans="1:34">
      <c r="A1511" s="728">
        <f t="shared" si="305"/>
        <v>1504</v>
      </c>
      <c r="B1511" s="77"/>
      <c r="C1511" s="747"/>
      <c r="D1511" s="763" t="str">
        <f t="shared" si="296"/>
        <v>January</v>
      </c>
      <c r="E1511" s="763">
        <f t="shared" si="297"/>
        <v>0</v>
      </c>
      <c r="F1511" s="762">
        <f t="shared" si="298"/>
        <v>1900</v>
      </c>
      <c r="G1511" s="747"/>
      <c r="H1511" s="882"/>
      <c r="I1511" s="756"/>
      <c r="J1511" s="756"/>
      <c r="K1511" s="778">
        <f t="shared" si="299"/>
        <v>0</v>
      </c>
      <c r="L1511" s="976"/>
      <c r="M1511" s="736">
        <f t="shared" si="300"/>
        <v>0</v>
      </c>
      <c r="N1511" s="754"/>
      <c r="O1511" s="738">
        <f t="shared" si="301"/>
        <v>0</v>
      </c>
      <c r="P1511" s="757"/>
      <c r="Q1511" s="739">
        <f t="shared" si="302"/>
        <v>0</v>
      </c>
      <c r="R1511" s="757"/>
      <c r="S1511" s="755"/>
      <c r="T1511" s="277"/>
      <c r="U1511" s="758" t="str">
        <f t="shared" si="303"/>
        <v/>
      </c>
      <c r="V1511" s="758" t="str">
        <f t="shared" si="304"/>
        <v>1900</v>
      </c>
      <c r="W1511" s="759"/>
      <c r="X1511" s="771"/>
      <c r="Y1511" s="977"/>
      <c r="Z1511" s="758"/>
      <c r="AA1511" s="758" t="str">
        <f t="shared" si="306"/>
        <v/>
      </c>
      <c r="AB1511" s="758" t="str">
        <f t="shared" si="307"/>
        <v/>
      </c>
      <c r="AC1511" s="758" t="str">
        <f t="shared" si="308"/>
        <v/>
      </c>
      <c r="AD1511" s="758" t="str">
        <f t="shared" si="309"/>
        <v>0</v>
      </c>
      <c r="AE1511" s="760"/>
      <c r="AF1511" s="760"/>
      <c r="AG1511" s="443"/>
      <c r="AH1511" s="443"/>
    </row>
    <row r="1512" spans="1:34">
      <c r="A1512" s="728">
        <f t="shared" si="305"/>
        <v>1505</v>
      </c>
      <c r="B1512" s="77"/>
      <c r="C1512" s="747"/>
      <c r="D1512" s="763" t="str">
        <f t="shared" si="296"/>
        <v>January</v>
      </c>
      <c r="E1512" s="763">
        <f t="shared" si="297"/>
        <v>0</v>
      </c>
      <c r="F1512" s="762">
        <f t="shared" si="298"/>
        <v>1900</v>
      </c>
      <c r="G1512" s="747"/>
      <c r="H1512" s="882"/>
      <c r="I1512" s="756"/>
      <c r="J1512" s="756"/>
      <c r="K1512" s="778">
        <f t="shared" si="299"/>
        <v>0</v>
      </c>
      <c r="L1512" s="976"/>
      <c r="M1512" s="736">
        <f t="shared" si="300"/>
        <v>0</v>
      </c>
      <c r="N1512" s="754"/>
      <c r="O1512" s="738">
        <f t="shared" si="301"/>
        <v>0</v>
      </c>
      <c r="P1512" s="757"/>
      <c r="Q1512" s="739">
        <f t="shared" si="302"/>
        <v>0</v>
      </c>
      <c r="R1512" s="757"/>
      <c r="S1512" s="755"/>
      <c r="T1512" s="277"/>
      <c r="U1512" s="758" t="str">
        <f t="shared" si="303"/>
        <v/>
      </c>
      <c r="V1512" s="758" t="str">
        <f t="shared" si="304"/>
        <v>1900</v>
      </c>
      <c r="W1512" s="759"/>
      <c r="X1512" s="771"/>
      <c r="Y1512" s="977"/>
      <c r="Z1512" s="758"/>
      <c r="AA1512" s="758" t="str">
        <f t="shared" si="306"/>
        <v/>
      </c>
      <c r="AB1512" s="758" t="str">
        <f t="shared" si="307"/>
        <v/>
      </c>
      <c r="AC1512" s="758" t="str">
        <f t="shared" si="308"/>
        <v/>
      </c>
      <c r="AD1512" s="758" t="str">
        <f t="shared" si="309"/>
        <v>0</v>
      </c>
      <c r="AE1512" s="760"/>
      <c r="AF1512" s="760"/>
      <c r="AG1512" s="443"/>
      <c r="AH1512" s="443"/>
    </row>
    <row r="1513" spans="1:34">
      <c r="A1513" s="728">
        <f t="shared" si="305"/>
        <v>1506</v>
      </c>
      <c r="B1513" s="77"/>
      <c r="C1513" s="747"/>
      <c r="D1513" s="763" t="str">
        <f t="shared" si="296"/>
        <v>January</v>
      </c>
      <c r="E1513" s="763">
        <f t="shared" si="297"/>
        <v>0</v>
      </c>
      <c r="F1513" s="762">
        <f t="shared" si="298"/>
        <v>1900</v>
      </c>
      <c r="G1513" s="747"/>
      <c r="H1513" s="882"/>
      <c r="I1513" s="756"/>
      <c r="J1513" s="756"/>
      <c r="K1513" s="778">
        <f t="shared" si="299"/>
        <v>0</v>
      </c>
      <c r="L1513" s="976"/>
      <c r="M1513" s="736">
        <f t="shared" si="300"/>
        <v>0</v>
      </c>
      <c r="N1513" s="754"/>
      <c r="O1513" s="738">
        <f t="shared" si="301"/>
        <v>0</v>
      </c>
      <c r="P1513" s="757"/>
      <c r="Q1513" s="739">
        <f t="shared" si="302"/>
        <v>0</v>
      </c>
      <c r="R1513" s="757"/>
      <c r="S1513" s="755"/>
      <c r="T1513" s="277"/>
      <c r="U1513" s="758" t="str">
        <f t="shared" si="303"/>
        <v/>
      </c>
      <c r="V1513" s="758" t="str">
        <f t="shared" si="304"/>
        <v>1900</v>
      </c>
      <c r="W1513" s="759"/>
      <c r="X1513" s="771"/>
      <c r="Y1513" s="977"/>
      <c r="Z1513" s="758"/>
      <c r="AA1513" s="758" t="str">
        <f t="shared" si="306"/>
        <v/>
      </c>
      <c r="AB1513" s="758" t="str">
        <f t="shared" si="307"/>
        <v/>
      </c>
      <c r="AC1513" s="758" t="str">
        <f t="shared" si="308"/>
        <v/>
      </c>
      <c r="AD1513" s="758" t="str">
        <f t="shared" si="309"/>
        <v>0</v>
      </c>
      <c r="AE1513" s="760"/>
      <c r="AF1513" s="760"/>
      <c r="AG1513" s="443"/>
      <c r="AH1513" s="443"/>
    </row>
    <row r="1514" spans="1:34">
      <c r="A1514" s="728">
        <f t="shared" si="305"/>
        <v>1507</v>
      </c>
      <c r="B1514" s="77"/>
      <c r="C1514" s="747"/>
      <c r="D1514" s="763" t="str">
        <f t="shared" si="296"/>
        <v>January</v>
      </c>
      <c r="E1514" s="763">
        <f t="shared" si="297"/>
        <v>0</v>
      </c>
      <c r="F1514" s="762">
        <f t="shared" si="298"/>
        <v>1900</v>
      </c>
      <c r="G1514" s="747"/>
      <c r="H1514" s="882"/>
      <c r="I1514" s="756"/>
      <c r="J1514" s="756"/>
      <c r="K1514" s="778">
        <f t="shared" si="299"/>
        <v>0</v>
      </c>
      <c r="L1514" s="976"/>
      <c r="M1514" s="736">
        <f t="shared" si="300"/>
        <v>0</v>
      </c>
      <c r="N1514" s="754"/>
      <c r="O1514" s="738">
        <f t="shared" si="301"/>
        <v>0</v>
      </c>
      <c r="P1514" s="757"/>
      <c r="Q1514" s="739">
        <f t="shared" si="302"/>
        <v>0</v>
      </c>
      <c r="R1514" s="757"/>
      <c r="S1514" s="755"/>
      <c r="T1514" s="277"/>
      <c r="U1514" s="758" t="str">
        <f t="shared" si="303"/>
        <v/>
      </c>
      <c r="V1514" s="758" t="str">
        <f t="shared" si="304"/>
        <v>1900</v>
      </c>
      <c r="W1514" s="759"/>
      <c r="X1514" s="771"/>
      <c r="Y1514" s="977"/>
      <c r="Z1514" s="758"/>
      <c r="AA1514" s="758" t="str">
        <f t="shared" si="306"/>
        <v/>
      </c>
      <c r="AB1514" s="758" t="str">
        <f t="shared" si="307"/>
        <v/>
      </c>
      <c r="AC1514" s="758" t="str">
        <f t="shared" si="308"/>
        <v/>
      </c>
      <c r="AD1514" s="758" t="str">
        <f t="shared" si="309"/>
        <v>0</v>
      </c>
      <c r="AE1514" s="760"/>
      <c r="AF1514" s="760"/>
      <c r="AG1514" s="443"/>
      <c r="AH1514" s="443"/>
    </row>
    <row r="1515" spans="1:34">
      <c r="A1515" s="728">
        <f t="shared" si="305"/>
        <v>1508</v>
      </c>
      <c r="B1515" s="77"/>
      <c r="C1515" s="747"/>
      <c r="D1515" s="763" t="str">
        <f t="shared" si="296"/>
        <v>January</v>
      </c>
      <c r="E1515" s="763">
        <f t="shared" si="297"/>
        <v>0</v>
      </c>
      <c r="F1515" s="762">
        <f t="shared" si="298"/>
        <v>1900</v>
      </c>
      <c r="G1515" s="747"/>
      <c r="H1515" s="882"/>
      <c r="I1515" s="756"/>
      <c r="J1515" s="756"/>
      <c r="K1515" s="778">
        <f t="shared" si="299"/>
        <v>0</v>
      </c>
      <c r="L1515" s="976"/>
      <c r="M1515" s="736">
        <f t="shared" si="300"/>
        <v>0</v>
      </c>
      <c r="N1515" s="754"/>
      <c r="O1515" s="738">
        <f t="shared" si="301"/>
        <v>0</v>
      </c>
      <c r="P1515" s="757"/>
      <c r="Q1515" s="739">
        <f t="shared" si="302"/>
        <v>0</v>
      </c>
      <c r="R1515" s="757"/>
      <c r="S1515" s="755"/>
      <c r="T1515" s="277"/>
      <c r="U1515" s="758" t="str">
        <f t="shared" si="303"/>
        <v/>
      </c>
      <c r="V1515" s="758" t="str">
        <f t="shared" si="304"/>
        <v>1900</v>
      </c>
      <c r="W1515" s="759"/>
      <c r="X1515" s="771"/>
      <c r="Y1515" s="977"/>
      <c r="Z1515" s="758"/>
      <c r="AA1515" s="758" t="str">
        <f t="shared" si="306"/>
        <v/>
      </c>
      <c r="AB1515" s="758" t="str">
        <f t="shared" si="307"/>
        <v/>
      </c>
      <c r="AC1515" s="758" t="str">
        <f t="shared" si="308"/>
        <v/>
      </c>
      <c r="AD1515" s="758" t="str">
        <f t="shared" si="309"/>
        <v>0</v>
      </c>
      <c r="AE1515" s="760"/>
      <c r="AF1515" s="760"/>
      <c r="AG1515" s="443"/>
      <c r="AH1515" s="443"/>
    </row>
    <row r="1516" spans="1:34">
      <c r="A1516" s="728">
        <f t="shared" si="305"/>
        <v>1509</v>
      </c>
      <c r="B1516" s="77"/>
      <c r="C1516" s="747"/>
      <c r="D1516" s="763" t="str">
        <f t="shared" si="296"/>
        <v>January</v>
      </c>
      <c r="E1516" s="763">
        <f t="shared" si="297"/>
        <v>0</v>
      </c>
      <c r="F1516" s="762">
        <f t="shared" si="298"/>
        <v>1900</v>
      </c>
      <c r="G1516" s="747"/>
      <c r="H1516" s="882"/>
      <c r="I1516" s="756"/>
      <c r="J1516" s="756"/>
      <c r="K1516" s="778">
        <f t="shared" si="299"/>
        <v>0</v>
      </c>
      <c r="L1516" s="976"/>
      <c r="M1516" s="736">
        <f t="shared" si="300"/>
        <v>0</v>
      </c>
      <c r="N1516" s="754"/>
      <c r="O1516" s="738">
        <f t="shared" si="301"/>
        <v>0</v>
      </c>
      <c r="P1516" s="757"/>
      <c r="Q1516" s="739">
        <f t="shared" si="302"/>
        <v>0</v>
      </c>
      <c r="R1516" s="757"/>
      <c r="S1516" s="755"/>
      <c r="T1516" s="277"/>
      <c r="U1516" s="758" t="str">
        <f t="shared" si="303"/>
        <v/>
      </c>
      <c r="V1516" s="758" t="str">
        <f t="shared" si="304"/>
        <v>1900</v>
      </c>
      <c r="W1516" s="759"/>
      <c r="X1516" s="771"/>
      <c r="Y1516" s="977"/>
      <c r="Z1516" s="758"/>
      <c r="AA1516" s="758" t="str">
        <f t="shared" si="306"/>
        <v/>
      </c>
      <c r="AB1516" s="758" t="str">
        <f t="shared" si="307"/>
        <v/>
      </c>
      <c r="AC1516" s="758" t="str">
        <f t="shared" si="308"/>
        <v/>
      </c>
      <c r="AD1516" s="758" t="str">
        <f t="shared" si="309"/>
        <v>0</v>
      </c>
      <c r="AE1516" s="760"/>
      <c r="AF1516" s="760"/>
      <c r="AG1516" s="443"/>
      <c r="AH1516" s="443"/>
    </row>
    <row r="1517" spans="1:34">
      <c r="A1517" s="728">
        <f t="shared" si="305"/>
        <v>1510</v>
      </c>
      <c r="B1517" s="77"/>
      <c r="C1517" s="747"/>
      <c r="D1517" s="763" t="str">
        <f t="shared" si="296"/>
        <v>January</v>
      </c>
      <c r="E1517" s="763">
        <f t="shared" si="297"/>
        <v>0</v>
      </c>
      <c r="F1517" s="762">
        <f t="shared" si="298"/>
        <v>1900</v>
      </c>
      <c r="G1517" s="747"/>
      <c r="H1517" s="882"/>
      <c r="I1517" s="756"/>
      <c r="J1517" s="756"/>
      <c r="K1517" s="778">
        <f t="shared" si="299"/>
        <v>0</v>
      </c>
      <c r="L1517" s="976"/>
      <c r="M1517" s="736">
        <f t="shared" si="300"/>
        <v>0</v>
      </c>
      <c r="N1517" s="754"/>
      <c r="O1517" s="738">
        <f t="shared" si="301"/>
        <v>0</v>
      </c>
      <c r="P1517" s="757"/>
      <c r="Q1517" s="739">
        <f t="shared" si="302"/>
        <v>0</v>
      </c>
      <c r="R1517" s="757"/>
      <c r="S1517" s="755"/>
      <c r="T1517" s="277"/>
      <c r="U1517" s="758" t="str">
        <f t="shared" si="303"/>
        <v/>
      </c>
      <c r="V1517" s="758" t="str">
        <f t="shared" si="304"/>
        <v>1900</v>
      </c>
      <c r="W1517" s="759"/>
      <c r="X1517" s="771"/>
      <c r="Y1517" s="977"/>
      <c r="Z1517" s="758"/>
      <c r="AA1517" s="758" t="str">
        <f t="shared" si="306"/>
        <v/>
      </c>
      <c r="AB1517" s="758" t="str">
        <f t="shared" si="307"/>
        <v/>
      </c>
      <c r="AC1517" s="758" t="str">
        <f t="shared" si="308"/>
        <v/>
      </c>
      <c r="AD1517" s="758" t="str">
        <f t="shared" si="309"/>
        <v>0</v>
      </c>
      <c r="AE1517" s="760"/>
      <c r="AF1517" s="760"/>
      <c r="AG1517" s="443"/>
      <c r="AH1517" s="443"/>
    </row>
    <row r="1518" spans="1:34">
      <c r="A1518" s="728">
        <f t="shared" si="305"/>
        <v>1511</v>
      </c>
      <c r="B1518" s="77"/>
      <c r="C1518" s="747"/>
      <c r="D1518" s="763" t="str">
        <f t="shared" si="296"/>
        <v>January</v>
      </c>
      <c r="E1518" s="763">
        <f t="shared" si="297"/>
        <v>0</v>
      </c>
      <c r="F1518" s="762">
        <f t="shared" si="298"/>
        <v>1900</v>
      </c>
      <c r="G1518" s="747"/>
      <c r="H1518" s="882"/>
      <c r="I1518" s="756"/>
      <c r="J1518" s="756"/>
      <c r="K1518" s="778">
        <f t="shared" si="299"/>
        <v>0</v>
      </c>
      <c r="L1518" s="976"/>
      <c r="M1518" s="736">
        <f t="shared" si="300"/>
        <v>0</v>
      </c>
      <c r="N1518" s="754"/>
      <c r="O1518" s="738">
        <f t="shared" si="301"/>
        <v>0</v>
      </c>
      <c r="P1518" s="757"/>
      <c r="Q1518" s="739">
        <f t="shared" si="302"/>
        <v>0</v>
      </c>
      <c r="R1518" s="757"/>
      <c r="S1518" s="755"/>
      <c r="T1518" s="277"/>
      <c r="U1518" s="758" t="str">
        <f t="shared" si="303"/>
        <v/>
      </c>
      <c r="V1518" s="758" t="str">
        <f t="shared" si="304"/>
        <v>1900</v>
      </c>
      <c r="W1518" s="759"/>
      <c r="X1518" s="771"/>
      <c r="Y1518" s="977"/>
      <c r="Z1518" s="758"/>
      <c r="AA1518" s="758" t="str">
        <f t="shared" si="306"/>
        <v/>
      </c>
      <c r="AB1518" s="758" t="str">
        <f t="shared" si="307"/>
        <v/>
      </c>
      <c r="AC1518" s="758" t="str">
        <f t="shared" si="308"/>
        <v/>
      </c>
      <c r="AD1518" s="758" t="str">
        <f t="shared" si="309"/>
        <v>0</v>
      </c>
      <c r="AE1518" s="760"/>
      <c r="AF1518" s="760"/>
      <c r="AG1518" s="443"/>
      <c r="AH1518" s="443"/>
    </row>
    <row r="1519" spans="1:34">
      <c r="A1519" s="728">
        <f t="shared" si="305"/>
        <v>1512</v>
      </c>
      <c r="B1519" s="77"/>
      <c r="C1519" s="747"/>
      <c r="D1519" s="763" t="str">
        <f t="shared" si="296"/>
        <v>January</v>
      </c>
      <c r="E1519" s="763">
        <f t="shared" si="297"/>
        <v>0</v>
      </c>
      <c r="F1519" s="762">
        <f t="shared" si="298"/>
        <v>1900</v>
      </c>
      <c r="G1519" s="747"/>
      <c r="H1519" s="882"/>
      <c r="I1519" s="756"/>
      <c r="J1519" s="756"/>
      <c r="K1519" s="778">
        <f t="shared" si="299"/>
        <v>0</v>
      </c>
      <c r="L1519" s="976"/>
      <c r="M1519" s="736">
        <f t="shared" si="300"/>
        <v>0</v>
      </c>
      <c r="N1519" s="754"/>
      <c r="O1519" s="738">
        <f t="shared" si="301"/>
        <v>0</v>
      </c>
      <c r="P1519" s="757"/>
      <c r="Q1519" s="739">
        <f t="shared" si="302"/>
        <v>0</v>
      </c>
      <c r="R1519" s="757"/>
      <c r="S1519" s="755"/>
      <c r="T1519" s="277"/>
      <c r="U1519" s="758" t="str">
        <f t="shared" si="303"/>
        <v/>
      </c>
      <c r="V1519" s="758" t="str">
        <f t="shared" si="304"/>
        <v>1900</v>
      </c>
      <c r="W1519" s="759"/>
      <c r="X1519" s="771"/>
      <c r="Y1519" s="977"/>
      <c r="Z1519" s="758"/>
      <c r="AA1519" s="758" t="str">
        <f t="shared" si="306"/>
        <v/>
      </c>
      <c r="AB1519" s="758" t="str">
        <f t="shared" si="307"/>
        <v/>
      </c>
      <c r="AC1519" s="758" t="str">
        <f t="shared" si="308"/>
        <v/>
      </c>
      <c r="AD1519" s="758" t="str">
        <f t="shared" si="309"/>
        <v>0</v>
      </c>
      <c r="AE1519" s="760"/>
      <c r="AF1519" s="760"/>
      <c r="AG1519" s="443"/>
      <c r="AH1519" s="443"/>
    </row>
    <row r="1520" spans="1:34">
      <c r="A1520" s="728">
        <f t="shared" si="305"/>
        <v>1513</v>
      </c>
      <c r="B1520" s="77"/>
      <c r="C1520" s="747"/>
      <c r="D1520" s="763" t="str">
        <f t="shared" si="296"/>
        <v>January</v>
      </c>
      <c r="E1520" s="763">
        <f t="shared" si="297"/>
        <v>0</v>
      </c>
      <c r="F1520" s="762">
        <f t="shared" si="298"/>
        <v>1900</v>
      </c>
      <c r="G1520" s="747"/>
      <c r="H1520" s="882"/>
      <c r="I1520" s="756"/>
      <c r="J1520" s="756"/>
      <c r="K1520" s="778">
        <f t="shared" si="299"/>
        <v>0</v>
      </c>
      <c r="L1520" s="976"/>
      <c r="M1520" s="736">
        <f t="shared" si="300"/>
        <v>0</v>
      </c>
      <c r="N1520" s="754"/>
      <c r="O1520" s="738">
        <f t="shared" si="301"/>
        <v>0</v>
      </c>
      <c r="P1520" s="757"/>
      <c r="Q1520" s="739">
        <f t="shared" si="302"/>
        <v>0</v>
      </c>
      <c r="R1520" s="757"/>
      <c r="S1520" s="755"/>
      <c r="T1520" s="277"/>
      <c r="U1520" s="758" t="str">
        <f t="shared" si="303"/>
        <v/>
      </c>
      <c r="V1520" s="758" t="str">
        <f t="shared" si="304"/>
        <v>1900</v>
      </c>
      <c r="W1520" s="759"/>
      <c r="X1520" s="771"/>
      <c r="Y1520" s="977"/>
      <c r="Z1520" s="758"/>
      <c r="AA1520" s="758" t="str">
        <f t="shared" si="306"/>
        <v/>
      </c>
      <c r="AB1520" s="758" t="str">
        <f t="shared" si="307"/>
        <v/>
      </c>
      <c r="AC1520" s="758" t="str">
        <f t="shared" si="308"/>
        <v/>
      </c>
      <c r="AD1520" s="758" t="str">
        <f t="shared" si="309"/>
        <v>0</v>
      </c>
      <c r="AE1520" s="760"/>
      <c r="AF1520" s="760"/>
      <c r="AG1520" s="443"/>
      <c r="AH1520" s="443"/>
    </row>
    <row r="1521" spans="1:34">
      <c r="A1521" s="728">
        <f t="shared" si="305"/>
        <v>1514</v>
      </c>
      <c r="B1521" s="77"/>
      <c r="C1521" s="747"/>
      <c r="D1521" s="763" t="str">
        <f t="shared" si="296"/>
        <v>January</v>
      </c>
      <c r="E1521" s="763">
        <f t="shared" si="297"/>
        <v>0</v>
      </c>
      <c r="F1521" s="762">
        <f t="shared" si="298"/>
        <v>1900</v>
      </c>
      <c r="G1521" s="747"/>
      <c r="H1521" s="882"/>
      <c r="I1521" s="756"/>
      <c r="J1521" s="756"/>
      <c r="K1521" s="778">
        <f t="shared" si="299"/>
        <v>0</v>
      </c>
      <c r="L1521" s="976"/>
      <c r="M1521" s="736">
        <f t="shared" si="300"/>
        <v>0</v>
      </c>
      <c r="N1521" s="754"/>
      <c r="O1521" s="738">
        <f t="shared" si="301"/>
        <v>0</v>
      </c>
      <c r="P1521" s="757"/>
      <c r="Q1521" s="739">
        <f t="shared" si="302"/>
        <v>0</v>
      </c>
      <c r="R1521" s="757"/>
      <c r="S1521" s="755"/>
      <c r="T1521" s="277"/>
      <c r="U1521" s="758" t="str">
        <f t="shared" si="303"/>
        <v/>
      </c>
      <c r="V1521" s="758" t="str">
        <f t="shared" si="304"/>
        <v>1900</v>
      </c>
      <c r="W1521" s="759"/>
      <c r="X1521" s="771"/>
      <c r="Y1521" s="977"/>
      <c r="Z1521" s="758"/>
      <c r="AA1521" s="758" t="str">
        <f t="shared" si="306"/>
        <v/>
      </c>
      <c r="AB1521" s="758" t="str">
        <f t="shared" si="307"/>
        <v/>
      </c>
      <c r="AC1521" s="758" t="str">
        <f t="shared" si="308"/>
        <v/>
      </c>
      <c r="AD1521" s="758" t="str">
        <f t="shared" si="309"/>
        <v>0</v>
      </c>
      <c r="AE1521" s="760"/>
      <c r="AF1521" s="760"/>
      <c r="AG1521" s="443"/>
      <c r="AH1521" s="443"/>
    </row>
    <row r="1522" spans="1:34">
      <c r="A1522" s="728">
        <f t="shared" si="305"/>
        <v>1515</v>
      </c>
      <c r="B1522" s="77"/>
      <c r="C1522" s="747"/>
      <c r="D1522" s="763" t="str">
        <f t="shared" si="296"/>
        <v>January</v>
      </c>
      <c r="E1522" s="763">
        <f t="shared" si="297"/>
        <v>0</v>
      </c>
      <c r="F1522" s="762">
        <f t="shared" si="298"/>
        <v>1900</v>
      </c>
      <c r="G1522" s="747"/>
      <c r="H1522" s="882"/>
      <c r="I1522" s="756"/>
      <c r="J1522" s="756"/>
      <c r="K1522" s="778">
        <f t="shared" si="299"/>
        <v>0</v>
      </c>
      <c r="L1522" s="976"/>
      <c r="M1522" s="736">
        <f t="shared" si="300"/>
        <v>0</v>
      </c>
      <c r="N1522" s="754"/>
      <c r="O1522" s="738">
        <f t="shared" si="301"/>
        <v>0</v>
      </c>
      <c r="P1522" s="757"/>
      <c r="Q1522" s="739">
        <f t="shared" si="302"/>
        <v>0</v>
      </c>
      <c r="R1522" s="757"/>
      <c r="S1522" s="755"/>
      <c r="T1522" s="277"/>
      <c r="U1522" s="758" t="str">
        <f t="shared" si="303"/>
        <v/>
      </c>
      <c r="V1522" s="758" t="str">
        <f t="shared" si="304"/>
        <v>1900</v>
      </c>
      <c r="W1522" s="759"/>
      <c r="X1522" s="771"/>
      <c r="Y1522" s="977"/>
      <c r="Z1522" s="758"/>
      <c r="AA1522" s="758" t="str">
        <f t="shared" si="306"/>
        <v/>
      </c>
      <c r="AB1522" s="758" t="str">
        <f t="shared" si="307"/>
        <v/>
      </c>
      <c r="AC1522" s="758" t="str">
        <f t="shared" si="308"/>
        <v/>
      </c>
      <c r="AD1522" s="758" t="str">
        <f t="shared" si="309"/>
        <v>0</v>
      </c>
      <c r="AE1522" s="760"/>
      <c r="AF1522" s="760"/>
      <c r="AG1522" s="443"/>
      <c r="AH1522" s="443"/>
    </row>
    <row r="1523" spans="1:34">
      <c r="A1523" s="728">
        <f t="shared" si="305"/>
        <v>1516</v>
      </c>
      <c r="B1523" s="77"/>
      <c r="C1523" s="747"/>
      <c r="D1523" s="763" t="str">
        <f t="shared" si="296"/>
        <v>January</v>
      </c>
      <c r="E1523" s="763">
        <f t="shared" si="297"/>
        <v>0</v>
      </c>
      <c r="F1523" s="762">
        <f t="shared" si="298"/>
        <v>1900</v>
      </c>
      <c r="G1523" s="747"/>
      <c r="H1523" s="882"/>
      <c r="I1523" s="756"/>
      <c r="J1523" s="756"/>
      <c r="K1523" s="778">
        <f t="shared" si="299"/>
        <v>0</v>
      </c>
      <c r="L1523" s="976"/>
      <c r="M1523" s="736">
        <f t="shared" si="300"/>
        <v>0</v>
      </c>
      <c r="N1523" s="754"/>
      <c r="O1523" s="738">
        <f t="shared" si="301"/>
        <v>0</v>
      </c>
      <c r="P1523" s="757"/>
      <c r="Q1523" s="739">
        <f t="shared" si="302"/>
        <v>0</v>
      </c>
      <c r="R1523" s="757"/>
      <c r="S1523" s="755"/>
      <c r="T1523" s="277"/>
      <c r="U1523" s="758" t="str">
        <f t="shared" si="303"/>
        <v/>
      </c>
      <c r="V1523" s="758" t="str">
        <f t="shared" si="304"/>
        <v>1900</v>
      </c>
      <c r="W1523" s="759"/>
      <c r="X1523" s="771"/>
      <c r="Y1523" s="977"/>
      <c r="Z1523" s="758"/>
      <c r="AA1523" s="758" t="str">
        <f t="shared" si="306"/>
        <v/>
      </c>
      <c r="AB1523" s="758" t="str">
        <f t="shared" si="307"/>
        <v/>
      </c>
      <c r="AC1523" s="758" t="str">
        <f t="shared" si="308"/>
        <v/>
      </c>
      <c r="AD1523" s="758" t="str">
        <f t="shared" si="309"/>
        <v>0</v>
      </c>
      <c r="AE1523" s="760"/>
      <c r="AF1523" s="760"/>
      <c r="AG1523" s="443"/>
      <c r="AH1523" s="443"/>
    </row>
    <row r="1524" spans="1:34">
      <c r="A1524" s="728">
        <f t="shared" si="305"/>
        <v>1517</v>
      </c>
      <c r="B1524" s="77"/>
      <c r="C1524" s="747"/>
      <c r="D1524" s="763" t="str">
        <f t="shared" si="296"/>
        <v>January</v>
      </c>
      <c r="E1524" s="763">
        <f t="shared" si="297"/>
        <v>0</v>
      </c>
      <c r="F1524" s="762">
        <f t="shared" si="298"/>
        <v>1900</v>
      </c>
      <c r="G1524" s="747"/>
      <c r="H1524" s="882"/>
      <c r="I1524" s="756"/>
      <c r="J1524" s="756"/>
      <c r="K1524" s="778">
        <f t="shared" si="299"/>
        <v>0</v>
      </c>
      <c r="L1524" s="976"/>
      <c r="M1524" s="736">
        <f t="shared" si="300"/>
        <v>0</v>
      </c>
      <c r="N1524" s="754"/>
      <c r="O1524" s="738">
        <f t="shared" si="301"/>
        <v>0</v>
      </c>
      <c r="P1524" s="757"/>
      <c r="Q1524" s="739">
        <f t="shared" si="302"/>
        <v>0</v>
      </c>
      <c r="R1524" s="757"/>
      <c r="S1524" s="755"/>
      <c r="T1524" s="277"/>
      <c r="U1524" s="758" t="str">
        <f t="shared" si="303"/>
        <v/>
      </c>
      <c r="V1524" s="758" t="str">
        <f t="shared" si="304"/>
        <v>1900</v>
      </c>
      <c r="W1524" s="759"/>
      <c r="X1524" s="771"/>
      <c r="Y1524" s="977"/>
      <c r="Z1524" s="758"/>
      <c r="AA1524" s="758" t="str">
        <f t="shared" si="306"/>
        <v/>
      </c>
      <c r="AB1524" s="758" t="str">
        <f t="shared" si="307"/>
        <v/>
      </c>
      <c r="AC1524" s="758" t="str">
        <f t="shared" si="308"/>
        <v/>
      </c>
      <c r="AD1524" s="758" t="str">
        <f t="shared" si="309"/>
        <v>0</v>
      </c>
      <c r="AE1524" s="760"/>
      <c r="AF1524" s="760"/>
      <c r="AG1524" s="443"/>
      <c r="AH1524" s="443"/>
    </row>
    <row r="1525" spans="1:34">
      <c r="A1525" s="728">
        <f t="shared" si="305"/>
        <v>1518</v>
      </c>
      <c r="B1525" s="77"/>
      <c r="C1525" s="747"/>
      <c r="D1525" s="763" t="str">
        <f t="shared" si="296"/>
        <v>January</v>
      </c>
      <c r="E1525" s="763">
        <f t="shared" si="297"/>
        <v>0</v>
      </c>
      <c r="F1525" s="762">
        <f t="shared" si="298"/>
        <v>1900</v>
      </c>
      <c r="G1525" s="747"/>
      <c r="H1525" s="882"/>
      <c r="I1525" s="756"/>
      <c r="J1525" s="756"/>
      <c r="K1525" s="778">
        <f t="shared" si="299"/>
        <v>0</v>
      </c>
      <c r="L1525" s="976"/>
      <c r="M1525" s="736">
        <f t="shared" si="300"/>
        <v>0</v>
      </c>
      <c r="N1525" s="754"/>
      <c r="O1525" s="738">
        <f t="shared" si="301"/>
        <v>0</v>
      </c>
      <c r="P1525" s="757"/>
      <c r="Q1525" s="739">
        <f t="shared" si="302"/>
        <v>0</v>
      </c>
      <c r="R1525" s="757"/>
      <c r="S1525" s="755"/>
      <c r="T1525" s="277"/>
      <c r="U1525" s="758" t="str">
        <f t="shared" si="303"/>
        <v/>
      </c>
      <c r="V1525" s="758" t="str">
        <f t="shared" si="304"/>
        <v>1900</v>
      </c>
      <c r="W1525" s="759"/>
      <c r="X1525" s="771"/>
      <c r="Y1525" s="977"/>
      <c r="Z1525" s="758"/>
      <c r="AA1525" s="758" t="str">
        <f t="shared" si="306"/>
        <v/>
      </c>
      <c r="AB1525" s="758" t="str">
        <f t="shared" si="307"/>
        <v/>
      </c>
      <c r="AC1525" s="758" t="str">
        <f t="shared" si="308"/>
        <v/>
      </c>
      <c r="AD1525" s="758" t="str">
        <f t="shared" si="309"/>
        <v>0</v>
      </c>
      <c r="AE1525" s="760"/>
      <c r="AF1525" s="760"/>
      <c r="AG1525" s="443"/>
      <c r="AH1525" s="443"/>
    </row>
    <row r="1526" spans="1:34">
      <c r="A1526" s="728">
        <f t="shared" si="305"/>
        <v>1519</v>
      </c>
      <c r="B1526" s="77"/>
      <c r="C1526" s="747"/>
      <c r="D1526" s="763" t="str">
        <f t="shared" si="296"/>
        <v>January</v>
      </c>
      <c r="E1526" s="763">
        <f t="shared" si="297"/>
        <v>0</v>
      </c>
      <c r="F1526" s="762">
        <f t="shared" si="298"/>
        <v>1900</v>
      </c>
      <c r="G1526" s="747"/>
      <c r="H1526" s="882"/>
      <c r="I1526" s="756"/>
      <c r="J1526" s="756"/>
      <c r="K1526" s="778">
        <f t="shared" si="299"/>
        <v>0</v>
      </c>
      <c r="L1526" s="976"/>
      <c r="M1526" s="736">
        <f t="shared" si="300"/>
        <v>0</v>
      </c>
      <c r="N1526" s="754"/>
      <c r="O1526" s="738">
        <f t="shared" si="301"/>
        <v>0</v>
      </c>
      <c r="P1526" s="757"/>
      <c r="Q1526" s="739">
        <f t="shared" si="302"/>
        <v>0</v>
      </c>
      <c r="R1526" s="757"/>
      <c r="S1526" s="755"/>
      <c r="T1526" s="277"/>
      <c r="U1526" s="758" t="str">
        <f t="shared" si="303"/>
        <v/>
      </c>
      <c r="V1526" s="758" t="str">
        <f t="shared" si="304"/>
        <v>1900</v>
      </c>
      <c r="W1526" s="759"/>
      <c r="X1526" s="771"/>
      <c r="Y1526" s="977"/>
      <c r="Z1526" s="758"/>
      <c r="AA1526" s="758" t="str">
        <f t="shared" si="306"/>
        <v/>
      </c>
      <c r="AB1526" s="758" t="str">
        <f t="shared" si="307"/>
        <v/>
      </c>
      <c r="AC1526" s="758" t="str">
        <f t="shared" si="308"/>
        <v/>
      </c>
      <c r="AD1526" s="758" t="str">
        <f t="shared" si="309"/>
        <v>0</v>
      </c>
      <c r="AE1526" s="760"/>
      <c r="AF1526" s="760"/>
      <c r="AG1526" s="443"/>
      <c r="AH1526" s="443"/>
    </row>
    <row r="1527" spans="1:34">
      <c r="A1527" s="728">
        <f t="shared" si="305"/>
        <v>1520</v>
      </c>
      <c r="B1527" s="77"/>
      <c r="C1527" s="747"/>
      <c r="D1527" s="763" t="str">
        <f t="shared" si="296"/>
        <v>January</v>
      </c>
      <c r="E1527" s="763">
        <f t="shared" si="297"/>
        <v>0</v>
      </c>
      <c r="F1527" s="762">
        <f t="shared" si="298"/>
        <v>1900</v>
      </c>
      <c r="G1527" s="747"/>
      <c r="H1527" s="882"/>
      <c r="I1527" s="756"/>
      <c r="J1527" s="756"/>
      <c r="K1527" s="778">
        <f t="shared" si="299"/>
        <v>0</v>
      </c>
      <c r="L1527" s="976"/>
      <c r="M1527" s="736">
        <f t="shared" si="300"/>
        <v>0</v>
      </c>
      <c r="N1527" s="754"/>
      <c r="O1527" s="738">
        <f t="shared" si="301"/>
        <v>0</v>
      </c>
      <c r="P1527" s="757"/>
      <c r="Q1527" s="739">
        <f t="shared" si="302"/>
        <v>0</v>
      </c>
      <c r="R1527" s="757"/>
      <c r="S1527" s="755"/>
      <c r="T1527" s="277"/>
      <c r="U1527" s="758" t="str">
        <f t="shared" si="303"/>
        <v/>
      </c>
      <c r="V1527" s="758" t="str">
        <f t="shared" si="304"/>
        <v>1900</v>
      </c>
      <c r="W1527" s="759"/>
      <c r="X1527" s="771"/>
      <c r="Y1527" s="977"/>
      <c r="Z1527" s="758"/>
      <c r="AA1527" s="758" t="str">
        <f t="shared" si="306"/>
        <v/>
      </c>
      <c r="AB1527" s="758" t="str">
        <f t="shared" si="307"/>
        <v/>
      </c>
      <c r="AC1527" s="758" t="str">
        <f t="shared" si="308"/>
        <v/>
      </c>
      <c r="AD1527" s="758" t="str">
        <f t="shared" si="309"/>
        <v>0</v>
      </c>
      <c r="AE1527" s="760"/>
      <c r="AF1527" s="760"/>
      <c r="AG1527" s="443"/>
      <c r="AH1527" s="443"/>
    </row>
    <row r="1528" spans="1:34">
      <c r="A1528" s="728">
        <f t="shared" si="305"/>
        <v>1521</v>
      </c>
      <c r="B1528" s="77"/>
      <c r="C1528" s="747"/>
      <c r="D1528" s="763" t="str">
        <f t="shared" si="296"/>
        <v>January</v>
      </c>
      <c r="E1528" s="763">
        <f t="shared" si="297"/>
        <v>0</v>
      </c>
      <c r="F1528" s="762">
        <f t="shared" si="298"/>
        <v>1900</v>
      </c>
      <c r="G1528" s="747"/>
      <c r="H1528" s="882"/>
      <c r="I1528" s="756"/>
      <c r="J1528" s="756"/>
      <c r="K1528" s="778">
        <f t="shared" si="299"/>
        <v>0</v>
      </c>
      <c r="L1528" s="976"/>
      <c r="M1528" s="736">
        <f t="shared" si="300"/>
        <v>0</v>
      </c>
      <c r="N1528" s="754"/>
      <c r="O1528" s="738">
        <f t="shared" si="301"/>
        <v>0</v>
      </c>
      <c r="P1528" s="757"/>
      <c r="Q1528" s="739">
        <f t="shared" si="302"/>
        <v>0</v>
      </c>
      <c r="R1528" s="757"/>
      <c r="S1528" s="755"/>
      <c r="T1528" s="277"/>
      <c r="U1528" s="758" t="str">
        <f t="shared" si="303"/>
        <v/>
      </c>
      <c r="V1528" s="758" t="str">
        <f t="shared" si="304"/>
        <v>1900</v>
      </c>
      <c r="W1528" s="759"/>
      <c r="X1528" s="771"/>
      <c r="Y1528" s="977"/>
      <c r="Z1528" s="758"/>
      <c r="AA1528" s="758" t="str">
        <f t="shared" si="306"/>
        <v/>
      </c>
      <c r="AB1528" s="758" t="str">
        <f t="shared" si="307"/>
        <v/>
      </c>
      <c r="AC1528" s="758" t="str">
        <f t="shared" si="308"/>
        <v/>
      </c>
      <c r="AD1528" s="758" t="str">
        <f t="shared" si="309"/>
        <v>0</v>
      </c>
      <c r="AE1528" s="760"/>
      <c r="AF1528" s="760"/>
      <c r="AG1528" s="443"/>
      <c r="AH1528" s="443"/>
    </row>
    <row r="1529" spans="1:34">
      <c r="A1529" s="728">
        <f t="shared" si="305"/>
        <v>1522</v>
      </c>
      <c r="B1529" s="77"/>
      <c r="C1529" s="747"/>
      <c r="D1529" s="763" t="str">
        <f t="shared" ref="D1529:D1592" si="310">TEXT(C1529,"mmmm")</f>
        <v>January</v>
      </c>
      <c r="E1529" s="763">
        <f t="shared" ref="E1529:E1592" si="311">DAY(C1529)</f>
        <v>0</v>
      </c>
      <c r="F1529" s="762">
        <f t="shared" ref="F1529:F1592" si="312">YEAR(C1529)</f>
        <v>1900</v>
      </c>
      <c r="G1529" s="747"/>
      <c r="H1529" s="882"/>
      <c r="I1529" s="756"/>
      <c r="J1529" s="756"/>
      <c r="K1529" s="778">
        <f t="shared" ref="K1529:K1592" si="313">+(I1529/1760)*J1529</f>
        <v>0</v>
      </c>
      <c r="L1529" s="976"/>
      <c r="M1529" s="736">
        <f t="shared" ref="M1529:M1592" si="314">HOUR(O1529)</f>
        <v>0</v>
      </c>
      <c r="N1529" s="754"/>
      <c r="O1529" s="738">
        <f t="shared" ref="O1529:O1592" si="315">+N1529</f>
        <v>0</v>
      </c>
      <c r="P1529" s="757"/>
      <c r="Q1529" s="739">
        <f t="shared" ref="Q1529:Q1592" si="316">+P1529-O1529</f>
        <v>0</v>
      </c>
      <c r="R1529" s="757"/>
      <c r="S1529" s="755"/>
      <c r="T1529" s="277"/>
      <c r="U1529" s="758" t="str">
        <f t="shared" si="303"/>
        <v/>
      </c>
      <c r="V1529" s="758" t="str">
        <f t="shared" si="304"/>
        <v>1900</v>
      </c>
      <c r="W1529" s="759"/>
      <c r="X1529" s="771"/>
      <c r="Y1529" s="977"/>
      <c r="Z1529" s="758"/>
      <c r="AA1529" s="758" t="str">
        <f t="shared" si="306"/>
        <v/>
      </c>
      <c r="AB1529" s="758" t="str">
        <f t="shared" si="307"/>
        <v/>
      </c>
      <c r="AC1529" s="758" t="str">
        <f t="shared" si="308"/>
        <v/>
      </c>
      <c r="AD1529" s="758" t="str">
        <f t="shared" si="309"/>
        <v>0</v>
      </c>
      <c r="AE1529" s="760"/>
      <c r="AF1529" s="760"/>
      <c r="AG1529" s="443"/>
      <c r="AH1529" s="443"/>
    </row>
    <row r="1530" spans="1:34">
      <c r="A1530" s="728">
        <f t="shared" si="305"/>
        <v>1523</v>
      </c>
      <c r="B1530" s="77"/>
      <c r="C1530" s="747"/>
      <c r="D1530" s="763" t="str">
        <f t="shared" si="310"/>
        <v>January</v>
      </c>
      <c r="E1530" s="763">
        <f t="shared" si="311"/>
        <v>0</v>
      </c>
      <c r="F1530" s="762">
        <f t="shared" si="312"/>
        <v>1900</v>
      </c>
      <c r="G1530" s="747"/>
      <c r="H1530" s="882"/>
      <c r="I1530" s="756"/>
      <c r="J1530" s="756"/>
      <c r="K1530" s="778">
        <f t="shared" si="313"/>
        <v>0</v>
      </c>
      <c r="L1530" s="976"/>
      <c r="M1530" s="736">
        <f t="shared" si="314"/>
        <v>0</v>
      </c>
      <c r="N1530" s="754"/>
      <c r="O1530" s="738">
        <f t="shared" si="315"/>
        <v>0</v>
      </c>
      <c r="P1530" s="757"/>
      <c r="Q1530" s="739">
        <f t="shared" si="316"/>
        <v>0</v>
      </c>
      <c r="R1530" s="757"/>
      <c r="S1530" s="755"/>
      <c r="T1530" s="277"/>
      <c r="U1530" s="758" t="str">
        <f t="shared" si="303"/>
        <v/>
      </c>
      <c r="V1530" s="758" t="str">
        <f t="shared" si="304"/>
        <v>1900</v>
      </c>
      <c r="W1530" s="759"/>
      <c r="X1530" s="771"/>
      <c r="Y1530" s="977"/>
      <c r="Z1530" s="758"/>
      <c r="AA1530" s="758" t="str">
        <f t="shared" si="306"/>
        <v/>
      </c>
      <c r="AB1530" s="758" t="str">
        <f t="shared" si="307"/>
        <v/>
      </c>
      <c r="AC1530" s="758" t="str">
        <f t="shared" si="308"/>
        <v/>
      </c>
      <c r="AD1530" s="758" t="str">
        <f t="shared" si="309"/>
        <v>0</v>
      </c>
      <c r="AE1530" s="760"/>
      <c r="AF1530" s="760"/>
      <c r="AG1530" s="443"/>
      <c r="AH1530" s="443"/>
    </row>
    <row r="1531" spans="1:34">
      <c r="A1531" s="728">
        <f t="shared" si="305"/>
        <v>1524</v>
      </c>
      <c r="B1531" s="77"/>
      <c r="C1531" s="747"/>
      <c r="D1531" s="763" t="str">
        <f t="shared" si="310"/>
        <v>January</v>
      </c>
      <c r="E1531" s="763">
        <f t="shared" si="311"/>
        <v>0</v>
      </c>
      <c r="F1531" s="762">
        <f t="shared" si="312"/>
        <v>1900</v>
      </c>
      <c r="G1531" s="747"/>
      <c r="H1531" s="882"/>
      <c r="I1531" s="756"/>
      <c r="J1531" s="756"/>
      <c r="K1531" s="778">
        <f t="shared" si="313"/>
        <v>0</v>
      </c>
      <c r="L1531" s="976"/>
      <c r="M1531" s="736">
        <f t="shared" si="314"/>
        <v>0</v>
      </c>
      <c r="N1531" s="754"/>
      <c r="O1531" s="738">
        <f t="shared" si="315"/>
        <v>0</v>
      </c>
      <c r="P1531" s="757"/>
      <c r="Q1531" s="739">
        <f t="shared" si="316"/>
        <v>0</v>
      </c>
      <c r="R1531" s="757"/>
      <c r="S1531" s="755"/>
      <c r="T1531" s="277"/>
      <c r="U1531" s="758" t="str">
        <f t="shared" si="303"/>
        <v/>
      </c>
      <c r="V1531" s="758" t="str">
        <f t="shared" si="304"/>
        <v>1900</v>
      </c>
      <c r="W1531" s="759"/>
      <c r="X1531" s="771"/>
      <c r="Y1531" s="977"/>
      <c r="Z1531" s="758"/>
      <c r="AA1531" s="758" t="str">
        <f t="shared" si="306"/>
        <v/>
      </c>
      <c r="AB1531" s="758" t="str">
        <f t="shared" si="307"/>
        <v/>
      </c>
      <c r="AC1531" s="758" t="str">
        <f t="shared" si="308"/>
        <v/>
      </c>
      <c r="AD1531" s="758" t="str">
        <f t="shared" si="309"/>
        <v>0</v>
      </c>
      <c r="AE1531" s="760"/>
      <c r="AF1531" s="760"/>
      <c r="AG1531" s="443"/>
      <c r="AH1531" s="443"/>
    </row>
    <row r="1532" spans="1:34">
      <c r="A1532" s="728">
        <f t="shared" si="305"/>
        <v>1525</v>
      </c>
      <c r="B1532" s="77"/>
      <c r="C1532" s="747"/>
      <c r="D1532" s="763" t="str">
        <f t="shared" si="310"/>
        <v>January</v>
      </c>
      <c r="E1532" s="763">
        <f t="shared" si="311"/>
        <v>0</v>
      </c>
      <c r="F1532" s="762">
        <f t="shared" si="312"/>
        <v>1900</v>
      </c>
      <c r="G1532" s="747"/>
      <c r="H1532" s="882"/>
      <c r="I1532" s="756"/>
      <c r="J1532" s="756"/>
      <c r="K1532" s="778">
        <f t="shared" si="313"/>
        <v>0</v>
      </c>
      <c r="L1532" s="976"/>
      <c r="M1532" s="736">
        <f t="shared" si="314"/>
        <v>0</v>
      </c>
      <c r="N1532" s="754"/>
      <c r="O1532" s="738">
        <f t="shared" si="315"/>
        <v>0</v>
      </c>
      <c r="P1532" s="757"/>
      <c r="Q1532" s="739">
        <f t="shared" si="316"/>
        <v>0</v>
      </c>
      <c r="R1532" s="757"/>
      <c r="S1532" s="755"/>
      <c r="T1532" s="277"/>
      <c r="U1532" s="758" t="str">
        <f t="shared" si="303"/>
        <v/>
      </c>
      <c r="V1532" s="758" t="str">
        <f t="shared" si="304"/>
        <v>1900</v>
      </c>
      <c r="W1532" s="759"/>
      <c r="X1532" s="771"/>
      <c r="Y1532" s="977"/>
      <c r="Z1532" s="758"/>
      <c r="AA1532" s="758" t="str">
        <f t="shared" si="306"/>
        <v/>
      </c>
      <c r="AB1532" s="758" t="str">
        <f t="shared" si="307"/>
        <v/>
      </c>
      <c r="AC1532" s="758" t="str">
        <f t="shared" si="308"/>
        <v/>
      </c>
      <c r="AD1532" s="758" t="str">
        <f t="shared" si="309"/>
        <v>0</v>
      </c>
      <c r="AE1532" s="760"/>
      <c r="AF1532" s="760"/>
      <c r="AG1532" s="443"/>
      <c r="AH1532" s="443"/>
    </row>
    <row r="1533" spans="1:34">
      <c r="A1533" s="728">
        <f t="shared" si="305"/>
        <v>1526</v>
      </c>
      <c r="B1533" s="77"/>
      <c r="C1533" s="747"/>
      <c r="D1533" s="763" t="str">
        <f t="shared" si="310"/>
        <v>January</v>
      </c>
      <c r="E1533" s="763">
        <f t="shared" si="311"/>
        <v>0</v>
      </c>
      <c r="F1533" s="762">
        <f t="shared" si="312"/>
        <v>1900</v>
      </c>
      <c r="G1533" s="747"/>
      <c r="H1533" s="882"/>
      <c r="I1533" s="756"/>
      <c r="J1533" s="756"/>
      <c r="K1533" s="778">
        <f t="shared" si="313"/>
        <v>0</v>
      </c>
      <c r="L1533" s="976"/>
      <c r="M1533" s="736">
        <f t="shared" si="314"/>
        <v>0</v>
      </c>
      <c r="N1533" s="754"/>
      <c r="O1533" s="738">
        <f t="shared" si="315"/>
        <v>0</v>
      </c>
      <c r="P1533" s="757"/>
      <c r="Q1533" s="739">
        <f t="shared" si="316"/>
        <v>0</v>
      </c>
      <c r="R1533" s="757"/>
      <c r="S1533" s="755"/>
      <c r="T1533" s="277"/>
      <c r="U1533" s="758" t="str">
        <f t="shared" si="303"/>
        <v/>
      </c>
      <c r="V1533" s="758" t="str">
        <f t="shared" si="304"/>
        <v>1900</v>
      </c>
      <c r="W1533" s="759"/>
      <c r="X1533" s="771"/>
      <c r="Y1533" s="977"/>
      <c r="Z1533" s="758"/>
      <c r="AA1533" s="758" t="str">
        <f t="shared" si="306"/>
        <v/>
      </c>
      <c r="AB1533" s="758" t="str">
        <f t="shared" si="307"/>
        <v/>
      </c>
      <c r="AC1533" s="758" t="str">
        <f t="shared" si="308"/>
        <v/>
      </c>
      <c r="AD1533" s="758" t="str">
        <f t="shared" si="309"/>
        <v>0</v>
      </c>
      <c r="AE1533" s="760"/>
      <c r="AF1533" s="760"/>
      <c r="AG1533" s="443"/>
      <c r="AH1533" s="443"/>
    </row>
    <row r="1534" spans="1:34">
      <c r="A1534" s="728">
        <f t="shared" si="305"/>
        <v>1527</v>
      </c>
      <c r="B1534" s="77"/>
      <c r="C1534" s="747"/>
      <c r="D1534" s="763" t="str">
        <f t="shared" si="310"/>
        <v>January</v>
      </c>
      <c r="E1534" s="763">
        <f t="shared" si="311"/>
        <v>0</v>
      </c>
      <c r="F1534" s="762">
        <f t="shared" si="312"/>
        <v>1900</v>
      </c>
      <c r="G1534" s="747"/>
      <c r="H1534" s="882"/>
      <c r="I1534" s="756"/>
      <c r="J1534" s="756"/>
      <c r="K1534" s="778">
        <f t="shared" si="313"/>
        <v>0</v>
      </c>
      <c r="L1534" s="976"/>
      <c r="M1534" s="736">
        <f t="shared" si="314"/>
        <v>0</v>
      </c>
      <c r="N1534" s="754"/>
      <c r="O1534" s="738">
        <f t="shared" si="315"/>
        <v>0</v>
      </c>
      <c r="P1534" s="757"/>
      <c r="Q1534" s="739">
        <f t="shared" si="316"/>
        <v>0</v>
      </c>
      <c r="R1534" s="757"/>
      <c r="S1534" s="755"/>
      <c r="T1534" s="277"/>
      <c r="U1534" s="758" t="str">
        <f t="shared" si="303"/>
        <v/>
      </c>
      <c r="V1534" s="758" t="str">
        <f t="shared" si="304"/>
        <v>1900</v>
      </c>
      <c r="W1534" s="759"/>
      <c r="X1534" s="771"/>
      <c r="Y1534" s="977"/>
      <c r="Z1534" s="758"/>
      <c r="AA1534" s="758" t="str">
        <f t="shared" si="306"/>
        <v/>
      </c>
      <c r="AB1534" s="758" t="str">
        <f t="shared" si="307"/>
        <v/>
      </c>
      <c r="AC1534" s="758" t="str">
        <f t="shared" si="308"/>
        <v/>
      </c>
      <c r="AD1534" s="758" t="str">
        <f t="shared" si="309"/>
        <v>0</v>
      </c>
      <c r="AE1534" s="760"/>
      <c r="AF1534" s="760"/>
      <c r="AG1534" s="443"/>
      <c r="AH1534" s="443"/>
    </row>
    <row r="1535" spans="1:34">
      <c r="A1535" s="728">
        <f t="shared" si="305"/>
        <v>1528</v>
      </c>
      <c r="B1535" s="77"/>
      <c r="C1535" s="747"/>
      <c r="D1535" s="763" t="str">
        <f t="shared" si="310"/>
        <v>January</v>
      </c>
      <c r="E1535" s="763">
        <f t="shared" si="311"/>
        <v>0</v>
      </c>
      <c r="F1535" s="762">
        <f t="shared" si="312"/>
        <v>1900</v>
      </c>
      <c r="G1535" s="747"/>
      <c r="H1535" s="882"/>
      <c r="I1535" s="756"/>
      <c r="J1535" s="756"/>
      <c r="K1535" s="778">
        <f t="shared" si="313"/>
        <v>0</v>
      </c>
      <c r="L1535" s="976"/>
      <c r="M1535" s="736">
        <f t="shared" si="314"/>
        <v>0</v>
      </c>
      <c r="N1535" s="754"/>
      <c r="O1535" s="738">
        <f t="shared" si="315"/>
        <v>0</v>
      </c>
      <c r="P1535" s="757"/>
      <c r="Q1535" s="739">
        <f t="shared" si="316"/>
        <v>0</v>
      </c>
      <c r="R1535" s="757"/>
      <c r="S1535" s="755"/>
      <c r="T1535" s="277"/>
      <c r="U1535" s="758" t="str">
        <f t="shared" si="303"/>
        <v/>
      </c>
      <c r="V1535" s="758" t="str">
        <f t="shared" si="304"/>
        <v>1900</v>
      </c>
      <c r="W1535" s="759"/>
      <c r="X1535" s="771"/>
      <c r="Y1535" s="977"/>
      <c r="Z1535" s="758"/>
      <c r="AA1535" s="758" t="str">
        <f t="shared" si="306"/>
        <v/>
      </c>
      <c r="AB1535" s="758" t="str">
        <f t="shared" si="307"/>
        <v/>
      </c>
      <c r="AC1535" s="758" t="str">
        <f t="shared" si="308"/>
        <v/>
      </c>
      <c r="AD1535" s="758" t="str">
        <f t="shared" si="309"/>
        <v>0</v>
      </c>
      <c r="AE1535" s="760"/>
      <c r="AF1535" s="760"/>
      <c r="AG1535" s="443"/>
      <c r="AH1535" s="443"/>
    </row>
    <row r="1536" spans="1:34">
      <c r="A1536" s="728">
        <f t="shared" si="305"/>
        <v>1529</v>
      </c>
      <c r="B1536" s="77"/>
      <c r="C1536" s="747"/>
      <c r="D1536" s="763" t="str">
        <f t="shared" si="310"/>
        <v>January</v>
      </c>
      <c r="E1536" s="763">
        <f t="shared" si="311"/>
        <v>0</v>
      </c>
      <c r="F1536" s="762">
        <f t="shared" si="312"/>
        <v>1900</v>
      </c>
      <c r="G1536" s="747"/>
      <c r="H1536" s="882"/>
      <c r="I1536" s="756"/>
      <c r="J1536" s="756"/>
      <c r="K1536" s="778">
        <f t="shared" si="313"/>
        <v>0</v>
      </c>
      <c r="L1536" s="976"/>
      <c r="M1536" s="736">
        <f t="shared" si="314"/>
        <v>0</v>
      </c>
      <c r="N1536" s="754"/>
      <c r="O1536" s="738">
        <f t="shared" si="315"/>
        <v>0</v>
      </c>
      <c r="P1536" s="757"/>
      <c r="Q1536" s="739">
        <f t="shared" si="316"/>
        <v>0</v>
      </c>
      <c r="R1536" s="757"/>
      <c r="S1536" s="755"/>
      <c r="T1536" s="277"/>
      <c r="U1536" s="758" t="str">
        <f t="shared" si="303"/>
        <v/>
      </c>
      <c r="V1536" s="758" t="str">
        <f t="shared" si="304"/>
        <v>1900</v>
      </c>
      <c r="W1536" s="759"/>
      <c r="X1536" s="771"/>
      <c r="Y1536" s="977"/>
      <c r="Z1536" s="758"/>
      <c r="AA1536" s="758" t="str">
        <f t="shared" si="306"/>
        <v/>
      </c>
      <c r="AB1536" s="758" t="str">
        <f t="shared" si="307"/>
        <v/>
      </c>
      <c r="AC1536" s="758" t="str">
        <f t="shared" si="308"/>
        <v/>
      </c>
      <c r="AD1536" s="758" t="str">
        <f t="shared" si="309"/>
        <v>0</v>
      </c>
      <c r="AE1536" s="760"/>
      <c r="AF1536" s="760"/>
      <c r="AG1536" s="443"/>
      <c r="AH1536" s="443"/>
    </row>
    <row r="1537" spans="1:34">
      <c r="A1537" s="728">
        <f t="shared" si="305"/>
        <v>1530</v>
      </c>
      <c r="B1537" s="77"/>
      <c r="C1537" s="747"/>
      <c r="D1537" s="763" t="str">
        <f t="shared" si="310"/>
        <v>January</v>
      </c>
      <c r="E1537" s="763">
        <f t="shared" si="311"/>
        <v>0</v>
      </c>
      <c r="F1537" s="762">
        <f t="shared" si="312"/>
        <v>1900</v>
      </c>
      <c r="G1537" s="747"/>
      <c r="H1537" s="882"/>
      <c r="I1537" s="756"/>
      <c r="J1537" s="756"/>
      <c r="K1537" s="778">
        <f t="shared" si="313"/>
        <v>0</v>
      </c>
      <c r="L1537" s="976"/>
      <c r="M1537" s="736">
        <f t="shared" si="314"/>
        <v>0</v>
      </c>
      <c r="N1537" s="754"/>
      <c r="O1537" s="738">
        <f t="shared" si="315"/>
        <v>0</v>
      </c>
      <c r="P1537" s="757"/>
      <c r="Q1537" s="739">
        <f t="shared" si="316"/>
        <v>0</v>
      </c>
      <c r="R1537" s="757"/>
      <c r="S1537" s="755"/>
      <c r="T1537" s="277"/>
      <c r="U1537" s="758" t="str">
        <f t="shared" si="303"/>
        <v/>
      </c>
      <c r="V1537" s="758" t="str">
        <f t="shared" si="304"/>
        <v>1900</v>
      </c>
      <c r="W1537" s="759"/>
      <c r="X1537" s="771"/>
      <c r="Y1537" s="977"/>
      <c r="Z1537" s="758"/>
      <c r="AA1537" s="758" t="str">
        <f t="shared" si="306"/>
        <v/>
      </c>
      <c r="AB1537" s="758" t="str">
        <f t="shared" si="307"/>
        <v/>
      </c>
      <c r="AC1537" s="758" t="str">
        <f t="shared" si="308"/>
        <v/>
      </c>
      <c r="AD1537" s="758" t="str">
        <f t="shared" si="309"/>
        <v>0</v>
      </c>
      <c r="AE1537" s="760"/>
      <c r="AF1537" s="760"/>
      <c r="AG1537" s="443"/>
      <c r="AH1537" s="443"/>
    </row>
    <row r="1538" spans="1:34">
      <c r="A1538" s="728">
        <f t="shared" si="305"/>
        <v>1531</v>
      </c>
      <c r="B1538" s="77"/>
      <c r="C1538" s="747"/>
      <c r="D1538" s="763" t="str">
        <f t="shared" si="310"/>
        <v>January</v>
      </c>
      <c r="E1538" s="763">
        <f t="shared" si="311"/>
        <v>0</v>
      </c>
      <c r="F1538" s="762">
        <f t="shared" si="312"/>
        <v>1900</v>
      </c>
      <c r="G1538" s="747"/>
      <c r="H1538" s="882"/>
      <c r="I1538" s="756"/>
      <c r="J1538" s="756"/>
      <c r="K1538" s="778">
        <f t="shared" si="313"/>
        <v>0</v>
      </c>
      <c r="L1538" s="976"/>
      <c r="M1538" s="736">
        <f t="shared" si="314"/>
        <v>0</v>
      </c>
      <c r="N1538" s="754"/>
      <c r="O1538" s="738">
        <f t="shared" si="315"/>
        <v>0</v>
      </c>
      <c r="P1538" s="757"/>
      <c r="Q1538" s="739">
        <f t="shared" si="316"/>
        <v>0</v>
      </c>
      <c r="R1538" s="757"/>
      <c r="S1538" s="755"/>
      <c r="T1538" s="277"/>
      <c r="U1538" s="758" t="str">
        <f t="shared" si="303"/>
        <v/>
      </c>
      <c r="V1538" s="758" t="str">
        <f t="shared" si="304"/>
        <v>1900</v>
      </c>
      <c r="W1538" s="759"/>
      <c r="X1538" s="771"/>
      <c r="Y1538" s="977"/>
      <c r="Z1538" s="758"/>
      <c r="AA1538" s="758" t="str">
        <f t="shared" si="306"/>
        <v/>
      </c>
      <c r="AB1538" s="758" t="str">
        <f t="shared" si="307"/>
        <v/>
      </c>
      <c r="AC1538" s="758" t="str">
        <f t="shared" si="308"/>
        <v/>
      </c>
      <c r="AD1538" s="758" t="str">
        <f t="shared" si="309"/>
        <v>0</v>
      </c>
      <c r="AE1538" s="760"/>
      <c r="AF1538" s="760"/>
      <c r="AG1538" s="443"/>
      <c r="AH1538" s="443"/>
    </row>
    <row r="1539" spans="1:34">
      <c r="A1539" s="728">
        <f t="shared" si="305"/>
        <v>1532</v>
      </c>
      <c r="B1539" s="77"/>
      <c r="C1539" s="747"/>
      <c r="D1539" s="763" t="str">
        <f t="shared" si="310"/>
        <v>January</v>
      </c>
      <c r="E1539" s="763">
        <f t="shared" si="311"/>
        <v>0</v>
      </c>
      <c r="F1539" s="762">
        <f t="shared" si="312"/>
        <v>1900</v>
      </c>
      <c r="G1539" s="747"/>
      <c r="H1539" s="882"/>
      <c r="I1539" s="756"/>
      <c r="J1539" s="756"/>
      <c r="K1539" s="778">
        <f t="shared" si="313"/>
        <v>0</v>
      </c>
      <c r="L1539" s="976"/>
      <c r="M1539" s="736">
        <f t="shared" si="314"/>
        <v>0</v>
      </c>
      <c r="N1539" s="754"/>
      <c r="O1539" s="738">
        <f t="shared" si="315"/>
        <v>0</v>
      </c>
      <c r="P1539" s="757"/>
      <c r="Q1539" s="739">
        <f t="shared" si="316"/>
        <v>0</v>
      </c>
      <c r="R1539" s="757"/>
      <c r="S1539" s="755"/>
      <c r="T1539" s="277"/>
      <c r="U1539" s="758" t="str">
        <f t="shared" si="303"/>
        <v/>
      </c>
      <c r="V1539" s="758" t="str">
        <f t="shared" si="304"/>
        <v>1900</v>
      </c>
      <c r="W1539" s="759"/>
      <c r="X1539" s="771"/>
      <c r="Y1539" s="977"/>
      <c r="Z1539" s="758"/>
      <c r="AA1539" s="758" t="str">
        <f t="shared" si="306"/>
        <v/>
      </c>
      <c r="AB1539" s="758" t="str">
        <f t="shared" si="307"/>
        <v/>
      </c>
      <c r="AC1539" s="758" t="str">
        <f t="shared" si="308"/>
        <v/>
      </c>
      <c r="AD1539" s="758" t="str">
        <f t="shared" si="309"/>
        <v>0</v>
      </c>
      <c r="AE1539" s="760"/>
      <c r="AF1539" s="760"/>
      <c r="AG1539" s="443"/>
      <c r="AH1539" s="443"/>
    </row>
    <row r="1540" spans="1:34">
      <c r="A1540" s="728">
        <f t="shared" si="305"/>
        <v>1533</v>
      </c>
      <c r="B1540" s="77"/>
      <c r="C1540" s="747"/>
      <c r="D1540" s="763" t="str">
        <f t="shared" si="310"/>
        <v>January</v>
      </c>
      <c r="E1540" s="763">
        <f t="shared" si="311"/>
        <v>0</v>
      </c>
      <c r="F1540" s="762">
        <f t="shared" si="312"/>
        <v>1900</v>
      </c>
      <c r="G1540" s="747"/>
      <c r="H1540" s="882"/>
      <c r="I1540" s="756"/>
      <c r="J1540" s="756"/>
      <c r="K1540" s="778">
        <f t="shared" si="313"/>
        <v>0</v>
      </c>
      <c r="L1540" s="976"/>
      <c r="M1540" s="736">
        <f t="shared" si="314"/>
        <v>0</v>
      </c>
      <c r="N1540" s="754"/>
      <c r="O1540" s="738">
        <f t="shared" si="315"/>
        <v>0</v>
      </c>
      <c r="P1540" s="757"/>
      <c r="Q1540" s="739">
        <f t="shared" si="316"/>
        <v>0</v>
      </c>
      <c r="R1540" s="757"/>
      <c r="S1540" s="755"/>
      <c r="T1540" s="277"/>
      <c r="U1540" s="758" t="str">
        <f t="shared" si="303"/>
        <v/>
      </c>
      <c r="V1540" s="758" t="str">
        <f t="shared" si="304"/>
        <v>1900</v>
      </c>
      <c r="W1540" s="759"/>
      <c r="X1540" s="771"/>
      <c r="Y1540" s="977"/>
      <c r="Z1540" s="758"/>
      <c r="AA1540" s="758" t="str">
        <f t="shared" si="306"/>
        <v/>
      </c>
      <c r="AB1540" s="758" t="str">
        <f t="shared" si="307"/>
        <v/>
      </c>
      <c r="AC1540" s="758" t="str">
        <f t="shared" si="308"/>
        <v/>
      </c>
      <c r="AD1540" s="758" t="str">
        <f t="shared" si="309"/>
        <v>0</v>
      </c>
      <c r="AE1540" s="760"/>
      <c r="AF1540" s="760"/>
      <c r="AG1540" s="443"/>
      <c r="AH1540" s="443"/>
    </row>
    <row r="1541" spans="1:34">
      <c r="A1541" s="728">
        <f t="shared" si="305"/>
        <v>1534</v>
      </c>
      <c r="B1541" s="77"/>
      <c r="C1541" s="747"/>
      <c r="D1541" s="763" t="str">
        <f t="shared" si="310"/>
        <v>January</v>
      </c>
      <c r="E1541" s="763">
        <f t="shared" si="311"/>
        <v>0</v>
      </c>
      <c r="F1541" s="762">
        <f t="shared" si="312"/>
        <v>1900</v>
      </c>
      <c r="G1541" s="747"/>
      <c r="H1541" s="882"/>
      <c r="I1541" s="756"/>
      <c r="J1541" s="756"/>
      <c r="K1541" s="778">
        <f t="shared" si="313"/>
        <v>0</v>
      </c>
      <c r="L1541" s="976"/>
      <c r="M1541" s="736">
        <f t="shared" si="314"/>
        <v>0</v>
      </c>
      <c r="N1541" s="754"/>
      <c r="O1541" s="738">
        <f t="shared" si="315"/>
        <v>0</v>
      </c>
      <c r="P1541" s="757"/>
      <c r="Q1541" s="739">
        <f t="shared" si="316"/>
        <v>0</v>
      </c>
      <c r="R1541" s="757"/>
      <c r="S1541" s="755"/>
      <c r="T1541" s="277"/>
      <c r="U1541" s="758" t="str">
        <f t="shared" si="303"/>
        <v/>
      </c>
      <c r="V1541" s="758" t="str">
        <f t="shared" si="304"/>
        <v>1900</v>
      </c>
      <c r="W1541" s="759"/>
      <c r="X1541" s="771"/>
      <c r="Y1541" s="977"/>
      <c r="Z1541" s="758"/>
      <c r="AA1541" s="758" t="str">
        <f t="shared" si="306"/>
        <v/>
      </c>
      <c r="AB1541" s="758" t="str">
        <f t="shared" si="307"/>
        <v/>
      </c>
      <c r="AC1541" s="758" t="str">
        <f t="shared" si="308"/>
        <v/>
      </c>
      <c r="AD1541" s="758" t="str">
        <f t="shared" si="309"/>
        <v>0</v>
      </c>
      <c r="AE1541" s="760"/>
      <c r="AF1541" s="760"/>
      <c r="AG1541" s="443"/>
      <c r="AH1541" s="443"/>
    </row>
    <row r="1542" spans="1:34">
      <c r="A1542" s="728">
        <f t="shared" si="305"/>
        <v>1535</v>
      </c>
      <c r="B1542" s="77"/>
      <c r="C1542" s="747"/>
      <c r="D1542" s="763" t="str">
        <f t="shared" si="310"/>
        <v>January</v>
      </c>
      <c r="E1542" s="763">
        <f t="shared" si="311"/>
        <v>0</v>
      </c>
      <c r="F1542" s="762">
        <f t="shared" si="312"/>
        <v>1900</v>
      </c>
      <c r="G1542" s="747"/>
      <c r="H1542" s="882"/>
      <c r="I1542" s="756"/>
      <c r="J1542" s="756"/>
      <c r="K1542" s="778">
        <f t="shared" si="313"/>
        <v>0</v>
      </c>
      <c r="L1542" s="976"/>
      <c r="M1542" s="736">
        <f t="shared" si="314"/>
        <v>0</v>
      </c>
      <c r="N1542" s="754"/>
      <c r="O1542" s="738">
        <f t="shared" si="315"/>
        <v>0</v>
      </c>
      <c r="P1542" s="757"/>
      <c r="Q1542" s="739">
        <f t="shared" si="316"/>
        <v>0</v>
      </c>
      <c r="R1542" s="757"/>
      <c r="S1542" s="755"/>
      <c r="T1542" s="277"/>
      <c r="U1542" s="758" t="str">
        <f t="shared" si="303"/>
        <v/>
      </c>
      <c r="V1542" s="758" t="str">
        <f t="shared" si="304"/>
        <v>1900</v>
      </c>
      <c r="W1542" s="759"/>
      <c r="X1542" s="771"/>
      <c r="Y1542" s="977"/>
      <c r="Z1542" s="758"/>
      <c r="AA1542" s="758" t="str">
        <f t="shared" si="306"/>
        <v/>
      </c>
      <c r="AB1542" s="758" t="str">
        <f t="shared" si="307"/>
        <v/>
      </c>
      <c r="AC1542" s="758" t="str">
        <f t="shared" si="308"/>
        <v/>
      </c>
      <c r="AD1542" s="758" t="str">
        <f t="shared" si="309"/>
        <v>0</v>
      </c>
      <c r="AE1542" s="760"/>
      <c r="AF1542" s="760"/>
      <c r="AG1542" s="443"/>
      <c r="AH1542" s="443"/>
    </row>
    <row r="1543" spans="1:34">
      <c r="A1543" s="728">
        <f t="shared" si="305"/>
        <v>1536</v>
      </c>
      <c r="B1543" s="77"/>
      <c r="C1543" s="747"/>
      <c r="D1543" s="763" t="str">
        <f t="shared" si="310"/>
        <v>January</v>
      </c>
      <c r="E1543" s="763">
        <f t="shared" si="311"/>
        <v>0</v>
      </c>
      <c r="F1543" s="762">
        <f t="shared" si="312"/>
        <v>1900</v>
      </c>
      <c r="G1543" s="747"/>
      <c r="H1543" s="882"/>
      <c r="I1543" s="756"/>
      <c r="J1543" s="756"/>
      <c r="K1543" s="778">
        <f t="shared" si="313"/>
        <v>0</v>
      </c>
      <c r="L1543" s="976"/>
      <c r="M1543" s="736">
        <f t="shared" si="314"/>
        <v>0</v>
      </c>
      <c r="N1543" s="754"/>
      <c r="O1543" s="738">
        <f t="shared" si="315"/>
        <v>0</v>
      </c>
      <c r="P1543" s="757"/>
      <c r="Q1543" s="739">
        <f t="shared" si="316"/>
        <v>0</v>
      </c>
      <c r="R1543" s="757"/>
      <c r="S1543" s="755"/>
      <c r="T1543" s="277"/>
      <c r="U1543" s="758" t="str">
        <f t="shared" ref="U1543:U1606" si="317">CONCATENATE(G1543,H1543)</f>
        <v/>
      </c>
      <c r="V1543" s="758" t="str">
        <f t="shared" ref="V1543:V1606" si="318">CONCATENATE(F1543,H1543)</f>
        <v>1900</v>
      </c>
      <c r="W1543" s="759"/>
      <c r="X1543" s="771"/>
      <c r="Y1543" s="977"/>
      <c r="Z1543" s="758"/>
      <c r="AA1543" s="758" t="str">
        <f t="shared" si="306"/>
        <v/>
      </c>
      <c r="AB1543" s="758" t="str">
        <f t="shared" si="307"/>
        <v/>
      </c>
      <c r="AC1543" s="758" t="str">
        <f t="shared" si="308"/>
        <v/>
      </c>
      <c r="AD1543" s="758" t="str">
        <f t="shared" si="309"/>
        <v>0</v>
      </c>
      <c r="AE1543" s="760"/>
      <c r="AF1543" s="760"/>
      <c r="AG1543" s="443"/>
      <c r="AH1543" s="443"/>
    </row>
    <row r="1544" spans="1:34">
      <c r="A1544" s="728">
        <f t="shared" si="305"/>
        <v>1537</v>
      </c>
      <c r="B1544" s="77"/>
      <c r="C1544" s="747"/>
      <c r="D1544" s="763" t="str">
        <f t="shared" si="310"/>
        <v>January</v>
      </c>
      <c r="E1544" s="763">
        <f t="shared" si="311"/>
        <v>0</v>
      </c>
      <c r="F1544" s="762">
        <f t="shared" si="312"/>
        <v>1900</v>
      </c>
      <c r="G1544" s="747"/>
      <c r="H1544" s="882"/>
      <c r="I1544" s="756"/>
      <c r="J1544" s="756"/>
      <c r="K1544" s="778">
        <f t="shared" si="313"/>
        <v>0</v>
      </c>
      <c r="L1544" s="976"/>
      <c r="M1544" s="736">
        <f t="shared" si="314"/>
        <v>0</v>
      </c>
      <c r="N1544" s="754"/>
      <c r="O1544" s="738">
        <f t="shared" si="315"/>
        <v>0</v>
      </c>
      <c r="P1544" s="757"/>
      <c r="Q1544" s="739">
        <f t="shared" si="316"/>
        <v>0</v>
      </c>
      <c r="R1544" s="757"/>
      <c r="S1544" s="755"/>
      <c r="T1544" s="277"/>
      <c r="U1544" s="758" t="str">
        <f t="shared" si="317"/>
        <v/>
      </c>
      <c r="V1544" s="758" t="str">
        <f t="shared" si="318"/>
        <v>1900</v>
      </c>
      <c r="W1544" s="759"/>
      <c r="X1544" s="771"/>
      <c r="Y1544" s="977"/>
      <c r="Z1544" s="758"/>
      <c r="AA1544" s="758" t="str">
        <f t="shared" si="306"/>
        <v/>
      </c>
      <c r="AB1544" s="758" t="str">
        <f t="shared" si="307"/>
        <v/>
      </c>
      <c r="AC1544" s="758" t="str">
        <f t="shared" si="308"/>
        <v/>
      </c>
      <c r="AD1544" s="758" t="str">
        <f t="shared" si="309"/>
        <v>0</v>
      </c>
      <c r="AE1544" s="760"/>
      <c r="AF1544" s="760"/>
      <c r="AG1544" s="443"/>
      <c r="AH1544" s="443"/>
    </row>
    <row r="1545" spans="1:34">
      <c r="A1545" s="728">
        <f t="shared" si="305"/>
        <v>1538</v>
      </c>
      <c r="B1545" s="77"/>
      <c r="C1545" s="747"/>
      <c r="D1545" s="763" t="str">
        <f t="shared" si="310"/>
        <v>January</v>
      </c>
      <c r="E1545" s="763">
        <f t="shared" si="311"/>
        <v>0</v>
      </c>
      <c r="F1545" s="762">
        <f t="shared" si="312"/>
        <v>1900</v>
      </c>
      <c r="G1545" s="747"/>
      <c r="H1545" s="882"/>
      <c r="I1545" s="756"/>
      <c r="J1545" s="756"/>
      <c r="K1545" s="778">
        <f t="shared" si="313"/>
        <v>0</v>
      </c>
      <c r="L1545" s="976"/>
      <c r="M1545" s="736">
        <f t="shared" si="314"/>
        <v>0</v>
      </c>
      <c r="N1545" s="754"/>
      <c r="O1545" s="738">
        <f t="shared" si="315"/>
        <v>0</v>
      </c>
      <c r="P1545" s="757"/>
      <c r="Q1545" s="739">
        <f t="shared" si="316"/>
        <v>0</v>
      </c>
      <c r="R1545" s="757"/>
      <c r="S1545" s="755"/>
      <c r="T1545" s="277"/>
      <c r="U1545" s="758" t="str">
        <f t="shared" si="317"/>
        <v/>
      </c>
      <c r="V1545" s="758" t="str">
        <f t="shared" si="318"/>
        <v>1900</v>
      </c>
      <c r="W1545" s="759"/>
      <c r="X1545" s="771"/>
      <c r="Y1545" s="977"/>
      <c r="Z1545" s="758"/>
      <c r="AA1545" s="758" t="str">
        <f t="shared" si="306"/>
        <v/>
      </c>
      <c r="AB1545" s="758" t="str">
        <f t="shared" si="307"/>
        <v/>
      </c>
      <c r="AC1545" s="758" t="str">
        <f t="shared" si="308"/>
        <v/>
      </c>
      <c r="AD1545" s="758" t="str">
        <f t="shared" si="309"/>
        <v>0</v>
      </c>
      <c r="AE1545" s="760"/>
      <c r="AF1545" s="760"/>
      <c r="AG1545" s="443"/>
      <c r="AH1545" s="443"/>
    </row>
    <row r="1546" spans="1:34">
      <c r="A1546" s="728">
        <f t="shared" si="305"/>
        <v>1539</v>
      </c>
      <c r="B1546" s="77"/>
      <c r="C1546" s="747"/>
      <c r="D1546" s="763" t="str">
        <f t="shared" si="310"/>
        <v>January</v>
      </c>
      <c r="E1546" s="763">
        <f t="shared" si="311"/>
        <v>0</v>
      </c>
      <c r="F1546" s="762">
        <f t="shared" si="312"/>
        <v>1900</v>
      </c>
      <c r="G1546" s="747"/>
      <c r="H1546" s="882"/>
      <c r="I1546" s="756"/>
      <c r="J1546" s="756"/>
      <c r="K1546" s="778">
        <f t="shared" si="313"/>
        <v>0</v>
      </c>
      <c r="L1546" s="976"/>
      <c r="M1546" s="736">
        <f t="shared" si="314"/>
        <v>0</v>
      </c>
      <c r="N1546" s="754"/>
      <c r="O1546" s="738">
        <f t="shared" si="315"/>
        <v>0</v>
      </c>
      <c r="P1546" s="757"/>
      <c r="Q1546" s="739">
        <f t="shared" si="316"/>
        <v>0</v>
      </c>
      <c r="R1546" s="757"/>
      <c r="S1546" s="755"/>
      <c r="T1546" s="277"/>
      <c r="U1546" s="758" t="str">
        <f t="shared" si="317"/>
        <v/>
      </c>
      <c r="V1546" s="758" t="str">
        <f t="shared" si="318"/>
        <v>1900</v>
      </c>
      <c r="W1546" s="759"/>
      <c r="X1546" s="771"/>
      <c r="Y1546" s="977"/>
      <c r="Z1546" s="758"/>
      <c r="AA1546" s="758" t="str">
        <f t="shared" si="306"/>
        <v/>
      </c>
      <c r="AB1546" s="758" t="str">
        <f t="shared" si="307"/>
        <v/>
      </c>
      <c r="AC1546" s="758" t="str">
        <f t="shared" si="308"/>
        <v/>
      </c>
      <c r="AD1546" s="758" t="str">
        <f t="shared" si="309"/>
        <v>0</v>
      </c>
      <c r="AE1546" s="760"/>
      <c r="AF1546" s="760"/>
      <c r="AG1546" s="443"/>
      <c r="AH1546" s="443"/>
    </row>
    <row r="1547" spans="1:34">
      <c r="A1547" s="728">
        <f t="shared" ref="A1547:A1610" si="319">+A1546+1</f>
        <v>1540</v>
      </c>
      <c r="B1547" s="77"/>
      <c r="C1547" s="747"/>
      <c r="D1547" s="763" t="str">
        <f t="shared" si="310"/>
        <v>January</v>
      </c>
      <c r="E1547" s="763">
        <f t="shared" si="311"/>
        <v>0</v>
      </c>
      <c r="F1547" s="762">
        <f t="shared" si="312"/>
        <v>1900</v>
      </c>
      <c r="G1547" s="747"/>
      <c r="H1547" s="882"/>
      <c r="I1547" s="756"/>
      <c r="J1547" s="756"/>
      <c r="K1547" s="778">
        <f t="shared" si="313"/>
        <v>0</v>
      </c>
      <c r="L1547" s="976"/>
      <c r="M1547" s="736">
        <f t="shared" si="314"/>
        <v>0</v>
      </c>
      <c r="N1547" s="754"/>
      <c r="O1547" s="738">
        <f t="shared" si="315"/>
        <v>0</v>
      </c>
      <c r="P1547" s="757"/>
      <c r="Q1547" s="739">
        <f t="shared" si="316"/>
        <v>0</v>
      </c>
      <c r="R1547" s="757"/>
      <c r="S1547" s="755"/>
      <c r="T1547" s="277"/>
      <c r="U1547" s="758" t="str">
        <f t="shared" si="317"/>
        <v/>
      </c>
      <c r="V1547" s="758" t="str">
        <f t="shared" si="318"/>
        <v>1900</v>
      </c>
      <c r="W1547" s="759"/>
      <c r="X1547" s="771"/>
      <c r="Y1547" s="977"/>
      <c r="Z1547" s="758"/>
      <c r="AA1547" s="758" t="str">
        <f t="shared" si="306"/>
        <v/>
      </c>
      <c r="AB1547" s="758" t="str">
        <f t="shared" si="307"/>
        <v/>
      </c>
      <c r="AC1547" s="758" t="str">
        <f t="shared" si="308"/>
        <v/>
      </c>
      <c r="AD1547" s="758" t="str">
        <f t="shared" si="309"/>
        <v>0</v>
      </c>
      <c r="AE1547" s="760"/>
      <c r="AF1547" s="760"/>
      <c r="AG1547" s="443"/>
      <c r="AH1547" s="443"/>
    </row>
    <row r="1548" spans="1:34">
      <c r="A1548" s="728">
        <f t="shared" si="319"/>
        <v>1541</v>
      </c>
      <c r="B1548" s="77"/>
      <c r="C1548" s="747"/>
      <c r="D1548" s="763" t="str">
        <f t="shared" si="310"/>
        <v>January</v>
      </c>
      <c r="E1548" s="763">
        <f t="shared" si="311"/>
        <v>0</v>
      </c>
      <c r="F1548" s="762">
        <f t="shared" si="312"/>
        <v>1900</v>
      </c>
      <c r="G1548" s="747"/>
      <c r="H1548" s="882"/>
      <c r="I1548" s="756"/>
      <c r="J1548" s="756"/>
      <c r="K1548" s="778">
        <f t="shared" si="313"/>
        <v>0</v>
      </c>
      <c r="L1548" s="976"/>
      <c r="M1548" s="736">
        <f t="shared" si="314"/>
        <v>0</v>
      </c>
      <c r="N1548" s="754"/>
      <c r="O1548" s="738">
        <f t="shared" si="315"/>
        <v>0</v>
      </c>
      <c r="P1548" s="757"/>
      <c r="Q1548" s="739">
        <f t="shared" si="316"/>
        <v>0</v>
      </c>
      <c r="R1548" s="757"/>
      <c r="S1548" s="755"/>
      <c r="T1548" s="277"/>
      <c r="U1548" s="758" t="str">
        <f t="shared" si="317"/>
        <v/>
      </c>
      <c r="V1548" s="758" t="str">
        <f t="shared" si="318"/>
        <v>1900</v>
      </c>
      <c r="W1548" s="759"/>
      <c r="X1548" s="771"/>
      <c r="Y1548" s="977"/>
      <c r="Z1548" s="758"/>
      <c r="AA1548" s="758" t="str">
        <f t="shared" si="306"/>
        <v/>
      </c>
      <c r="AB1548" s="758" t="str">
        <f t="shared" si="307"/>
        <v/>
      </c>
      <c r="AC1548" s="758" t="str">
        <f t="shared" si="308"/>
        <v/>
      </c>
      <c r="AD1548" s="758" t="str">
        <f t="shared" si="309"/>
        <v>0</v>
      </c>
      <c r="AE1548" s="760"/>
      <c r="AF1548" s="760"/>
      <c r="AG1548" s="443"/>
      <c r="AH1548" s="443"/>
    </row>
    <row r="1549" spans="1:34">
      <c r="A1549" s="728">
        <f t="shared" si="319"/>
        <v>1542</v>
      </c>
      <c r="B1549" s="77"/>
      <c r="C1549" s="747"/>
      <c r="D1549" s="763" t="str">
        <f t="shared" si="310"/>
        <v>January</v>
      </c>
      <c r="E1549" s="763">
        <f t="shared" si="311"/>
        <v>0</v>
      </c>
      <c r="F1549" s="762">
        <f t="shared" si="312"/>
        <v>1900</v>
      </c>
      <c r="G1549" s="747"/>
      <c r="H1549" s="882"/>
      <c r="I1549" s="756"/>
      <c r="J1549" s="756"/>
      <c r="K1549" s="778">
        <f t="shared" si="313"/>
        <v>0</v>
      </c>
      <c r="L1549" s="976"/>
      <c r="M1549" s="736">
        <f t="shared" si="314"/>
        <v>0</v>
      </c>
      <c r="N1549" s="754"/>
      <c r="O1549" s="738">
        <f t="shared" si="315"/>
        <v>0</v>
      </c>
      <c r="P1549" s="757"/>
      <c r="Q1549" s="739">
        <f t="shared" si="316"/>
        <v>0</v>
      </c>
      <c r="R1549" s="757"/>
      <c r="S1549" s="755"/>
      <c r="T1549" s="277"/>
      <c r="U1549" s="758" t="str">
        <f t="shared" si="317"/>
        <v/>
      </c>
      <c r="V1549" s="758" t="str">
        <f t="shared" si="318"/>
        <v>1900</v>
      </c>
      <c r="W1549" s="759"/>
      <c r="X1549" s="771"/>
      <c r="Y1549" s="977"/>
      <c r="Z1549" s="758"/>
      <c r="AA1549" s="758" t="str">
        <f t="shared" si="306"/>
        <v/>
      </c>
      <c r="AB1549" s="758" t="str">
        <f t="shared" si="307"/>
        <v/>
      </c>
      <c r="AC1549" s="758" t="str">
        <f t="shared" si="308"/>
        <v/>
      </c>
      <c r="AD1549" s="758" t="str">
        <f t="shared" si="309"/>
        <v>0</v>
      </c>
      <c r="AE1549" s="760"/>
      <c r="AF1549" s="760"/>
      <c r="AG1549" s="443"/>
      <c r="AH1549" s="443"/>
    </row>
    <row r="1550" spans="1:34">
      <c r="A1550" s="728">
        <f t="shared" si="319"/>
        <v>1543</v>
      </c>
      <c r="B1550" s="77"/>
      <c r="C1550" s="747"/>
      <c r="D1550" s="763" t="str">
        <f t="shared" si="310"/>
        <v>January</v>
      </c>
      <c r="E1550" s="763">
        <f t="shared" si="311"/>
        <v>0</v>
      </c>
      <c r="F1550" s="762">
        <f t="shared" si="312"/>
        <v>1900</v>
      </c>
      <c r="G1550" s="747"/>
      <c r="H1550" s="882"/>
      <c r="I1550" s="756"/>
      <c r="J1550" s="756"/>
      <c r="K1550" s="778">
        <f t="shared" si="313"/>
        <v>0</v>
      </c>
      <c r="L1550" s="976"/>
      <c r="M1550" s="736">
        <f t="shared" si="314"/>
        <v>0</v>
      </c>
      <c r="N1550" s="754"/>
      <c r="O1550" s="738">
        <f t="shared" si="315"/>
        <v>0</v>
      </c>
      <c r="P1550" s="757"/>
      <c r="Q1550" s="739">
        <f t="shared" si="316"/>
        <v>0</v>
      </c>
      <c r="R1550" s="757"/>
      <c r="S1550" s="755"/>
      <c r="T1550" s="277"/>
      <c r="U1550" s="758" t="str">
        <f t="shared" si="317"/>
        <v/>
      </c>
      <c r="V1550" s="758" t="str">
        <f t="shared" si="318"/>
        <v>1900</v>
      </c>
      <c r="W1550" s="759"/>
      <c r="X1550" s="771"/>
      <c r="Y1550" s="977"/>
      <c r="Z1550" s="758"/>
      <c r="AA1550" s="758" t="str">
        <f t="shared" si="306"/>
        <v/>
      </c>
      <c r="AB1550" s="758" t="str">
        <f t="shared" si="307"/>
        <v/>
      </c>
      <c r="AC1550" s="758" t="str">
        <f t="shared" si="308"/>
        <v/>
      </c>
      <c r="AD1550" s="758" t="str">
        <f t="shared" si="309"/>
        <v>0</v>
      </c>
      <c r="AE1550" s="760"/>
      <c r="AF1550" s="760"/>
      <c r="AG1550" s="443"/>
      <c r="AH1550" s="443"/>
    </row>
    <row r="1551" spans="1:34">
      <c r="A1551" s="728">
        <f t="shared" si="319"/>
        <v>1544</v>
      </c>
      <c r="B1551" s="77"/>
      <c r="C1551" s="747"/>
      <c r="D1551" s="763" t="str">
        <f t="shared" si="310"/>
        <v>January</v>
      </c>
      <c r="E1551" s="763">
        <f t="shared" si="311"/>
        <v>0</v>
      </c>
      <c r="F1551" s="762">
        <f t="shared" si="312"/>
        <v>1900</v>
      </c>
      <c r="G1551" s="747"/>
      <c r="H1551" s="882"/>
      <c r="I1551" s="756"/>
      <c r="J1551" s="756"/>
      <c r="K1551" s="778">
        <f t="shared" si="313"/>
        <v>0</v>
      </c>
      <c r="L1551" s="976"/>
      <c r="M1551" s="736">
        <f t="shared" si="314"/>
        <v>0</v>
      </c>
      <c r="N1551" s="754"/>
      <c r="O1551" s="738">
        <f t="shared" si="315"/>
        <v>0</v>
      </c>
      <c r="P1551" s="757"/>
      <c r="Q1551" s="739">
        <f t="shared" si="316"/>
        <v>0</v>
      </c>
      <c r="R1551" s="757"/>
      <c r="S1551" s="755"/>
      <c r="T1551" s="277"/>
      <c r="U1551" s="758" t="str">
        <f t="shared" si="317"/>
        <v/>
      </c>
      <c r="V1551" s="758" t="str">
        <f t="shared" si="318"/>
        <v>1900</v>
      </c>
      <c r="W1551" s="759"/>
      <c r="X1551" s="771"/>
      <c r="Y1551" s="977"/>
      <c r="Z1551" s="758"/>
      <c r="AA1551" s="758" t="str">
        <f t="shared" si="306"/>
        <v/>
      </c>
      <c r="AB1551" s="758" t="str">
        <f t="shared" si="307"/>
        <v/>
      </c>
      <c r="AC1551" s="758" t="str">
        <f t="shared" si="308"/>
        <v/>
      </c>
      <c r="AD1551" s="758" t="str">
        <f t="shared" si="309"/>
        <v>0</v>
      </c>
      <c r="AE1551" s="760"/>
      <c r="AF1551" s="760"/>
      <c r="AG1551" s="443"/>
      <c r="AH1551" s="443"/>
    </row>
    <row r="1552" spans="1:34">
      <c r="A1552" s="728">
        <f t="shared" si="319"/>
        <v>1545</v>
      </c>
      <c r="B1552" s="77"/>
      <c r="C1552" s="747"/>
      <c r="D1552" s="763" t="str">
        <f t="shared" si="310"/>
        <v>January</v>
      </c>
      <c r="E1552" s="763">
        <f t="shared" si="311"/>
        <v>0</v>
      </c>
      <c r="F1552" s="762">
        <f t="shared" si="312"/>
        <v>1900</v>
      </c>
      <c r="G1552" s="747"/>
      <c r="H1552" s="882"/>
      <c r="I1552" s="756"/>
      <c r="J1552" s="756"/>
      <c r="K1552" s="778">
        <f t="shared" si="313"/>
        <v>0</v>
      </c>
      <c r="L1552" s="976"/>
      <c r="M1552" s="736">
        <f t="shared" si="314"/>
        <v>0</v>
      </c>
      <c r="N1552" s="754"/>
      <c r="O1552" s="738">
        <f t="shared" si="315"/>
        <v>0</v>
      </c>
      <c r="P1552" s="757"/>
      <c r="Q1552" s="739">
        <f t="shared" si="316"/>
        <v>0</v>
      </c>
      <c r="R1552" s="757"/>
      <c r="S1552" s="755"/>
      <c r="T1552" s="277"/>
      <c r="U1552" s="758" t="str">
        <f t="shared" si="317"/>
        <v/>
      </c>
      <c r="V1552" s="758" t="str">
        <f t="shared" si="318"/>
        <v>1900</v>
      </c>
      <c r="W1552" s="759"/>
      <c r="X1552" s="771"/>
      <c r="Y1552" s="977"/>
      <c r="Z1552" s="758"/>
      <c r="AA1552" s="758" t="str">
        <f t="shared" ref="AA1552:AA1615" si="320">CONCATENATE(H1552,W1552)</f>
        <v/>
      </c>
      <c r="AB1552" s="758" t="str">
        <f t="shared" ref="AB1552:AB1615" si="321">CONCATENATE(H1552,X1552)</f>
        <v/>
      </c>
      <c r="AC1552" s="758" t="str">
        <f t="shared" ref="AC1552:AC1615" si="322">CONCATENATE(H1552,Y1552)</f>
        <v/>
      </c>
      <c r="AD1552" s="758" t="str">
        <f t="shared" si="309"/>
        <v>0</v>
      </c>
      <c r="AE1552" s="760"/>
      <c r="AF1552" s="760"/>
      <c r="AG1552" s="443"/>
      <c r="AH1552" s="443"/>
    </row>
    <row r="1553" spans="1:34">
      <c r="A1553" s="728">
        <f t="shared" si="319"/>
        <v>1546</v>
      </c>
      <c r="B1553" s="77"/>
      <c r="C1553" s="747"/>
      <c r="D1553" s="763" t="str">
        <f t="shared" si="310"/>
        <v>January</v>
      </c>
      <c r="E1553" s="763">
        <f t="shared" si="311"/>
        <v>0</v>
      </c>
      <c r="F1553" s="762">
        <f t="shared" si="312"/>
        <v>1900</v>
      </c>
      <c r="G1553" s="747"/>
      <c r="H1553" s="882"/>
      <c r="I1553" s="756"/>
      <c r="J1553" s="756"/>
      <c r="K1553" s="778">
        <f t="shared" si="313"/>
        <v>0</v>
      </c>
      <c r="L1553" s="976"/>
      <c r="M1553" s="736">
        <f t="shared" si="314"/>
        <v>0</v>
      </c>
      <c r="N1553" s="754"/>
      <c r="O1553" s="738">
        <f t="shared" si="315"/>
        <v>0</v>
      </c>
      <c r="P1553" s="757"/>
      <c r="Q1553" s="739">
        <f t="shared" si="316"/>
        <v>0</v>
      </c>
      <c r="R1553" s="757"/>
      <c r="S1553" s="755"/>
      <c r="T1553" s="277"/>
      <c r="U1553" s="758" t="str">
        <f t="shared" si="317"/>
        <v/>
      </c>
      <c r="V1553" s="758" t="str">
        <f t="shared" si="318"/>
        <v>1900</v>
      </c>
      <c r="W1553" s="759"/>
      <c r="X1553" s="771"/>
      <c r="Y1553" s="977"/>
      <c r="Z1553" s="758"/>
      <c r="AA1553" s="758" t="str">
        <f t="shared" si="320"/>
        <v/>
      </c>
      <c r="AB1553" s="758" t="str">
        <f t="shared" si="321"/>
        <v/>
      </c>
      <c r="AC1553" s="758" t="str">
        <f t="shared" si="322"/>
        <v/>
      </c>
      <c r="AD1553" s="758" t="str">
        <f t="shared" si="309"/>
        <v>0</v>
      </c>
      <c r="AE1553" s="760"/>
      <c r="AF1553" s="760"/>
      <c r="AG1553" s="443"/>
      <c r="AH1553" s="443"/>
    </row>
    <row r="1554" spans="1:34">
      <c r="A1554" s="728">
        <f t="shared" si="319"/>
        <v>1547</v>
      </c>
      <c r="B1554" s="77"/>
      <c r="C1554" s="747"/>
      <c r="D1554" s="763" t="str">
        <f t="shared" si="310"/>
        <v>January</v>
      </c>
      <c r="E1554" s="763">
        <f t="shared" si="311"/>
        <v>0</v>
      </c>
      <c r="F1554" s="762">
        <f t="shared" si="312"/>
        <v>1900</v>
      </c>
      <c r="G1554" s="747"/>
      <c r="H1554" s="882"/>
      <c r="I1554" s="756"/>
      <c r="J1554" s="756"/>
      <c r="K1554" s="778">
        <f t="shared" si="313"/>
        <v>0</v>
      </c>
      <c r="L1554" s="976"/>
      <c r="M1554" s="736">
        <f t="shared" si="314"/>
        <v>0</v>
      </c>
      <c r="N1554" s="754"/>
      <c r="O1554" s="738">
        <f t="shared" si="315"/>
        <v>0</v>
      </c>
      <c r="P1554" s="757"/>
      <c r="Q1554" s="739">
        <f t="shared" si="316"/>
        <v>0</v>
      </c>
      <c r="R1554" s="757"/>
      <c r="S1554" s="755"/>
      <c r="T1554" s="277"/>
      <c r="U1554" s="758" t="str">
        <f t="shared" si="317"/>
        <v/>
      </c>
      <c r="V1554" s="758" t="str">
        <f t="shared" si="318"/>
        <v>1900</v>
      </c>
      <c r="W1554" s="759"/>
      <c r="X1554" s="771"/>
      <c r="Y1554" s="977"/>
      <c r="Z1554" s="758"/>
      <c r="AA1554" s="758" t="str">
        <f t="shared" si="320"/>
        <v/>
      </c>
      <c r="AB1554" s="758" t="str">
        <f t="shared" si="321"/>
        <v/>
      </c>
      <c r="AC1554" s="758" t="str">
        <f t="shared" si="322"/>
        <v/>
      </c>
      <c r="AD1554" s="758" t="str">
        <f t="shared" si="309"/>
        <v>0</v>
      </c>
      <c r="AE1554" s="760"/>
      <c r="AF1554" s="760"/>
      <c r="AG1554" s="443"/>
      <c r="AH1554" s="443"/>
    </row>
    <row r="1555" spans="1:34">
      <c r="A1555" s="728">
        <f t="shared" si="319"/>
        <v>1548</v>
      </c>
      <c r="B1555" s="77"/>
      <c r="C1555" s="747"/>
      <c r="D1555" s="763" t="str">
        <f t="shared" si="310"/>
        <v>January</v>
      </c>
      <c r="E1555" s="763">
        <f t="shared" si="311"/>
        <v>0</v>
      </c>
      <c r="F1555" s="762">
        <f t="shared" si="312"/>
        <v>1900</v>
      </c>
      <c r="G1555" s="747"/>
      <c r="H1555" s="882"/>
      <c r="I1555" s="756"/>
      <c r="J1555" s="756"/>
      <c r="K1555" s="778">
        <f t="shared" si="313"/>
        <v>0</v>
      </c>
      <c r="L1555" s="976"/>
      <c r="M1555" s="736">
        <f t="shared" si="314"/>
        <v>0</v>
      </c>
      <c r="N1555" s="754"/>
      <c r="O1555" s="738">
        <f t="shared" si="315"/>
        <v>0</v>
      </c>
      <c r="P1555" s="757"/>
      <c r="Q1555" s="739">
        <f t="shared" si="316"/>
        <v>0</v>
      </c>
      <c r="R1555" s="757"/>
      <c r="S1555" s="755"/>
      <c r="T1555" s="277"/>
      <c r="U1555" s="758" t="str">
        <f t="shared" si="317"/>
        <v/>
      </c>
      <c r="V1555" s="758" t="str">
        <f t="shared" si="318"/>
        <v>1900</v>
      </c>
      <c r="W1555" s="759"/>
      <c r="X1555" s="771"/>
      <c r="Y1555" s="977"/>
      <c r="Z1555" s="758"/>
      <c r="AA1555" s="758" t="str">
        <f t="shared" si="320"/>
        <v/>
      </c>
      <c r="AB1555" s="758" t="str">
        <f t="shared" si="321"/>
        <v/>
      </c>
      <c r="AC1555" s="758" t="str">
        <f t="shared" si="322"/>
        <v/>
      </c>
      <c r="AD1555" s="758" t="str">
        <f t="shared" si="309"/>
        <v>0</v>
      </c>
      <c r="AE1555" s="760"/>
      <c r="AF1555" s="760"/>
      <c r="AG1555" s="443"/>
      <c r="AH1555" s="443"/>
    </row>
    <row r="1556" spans="1:34">
      <c r="A1556" s="728">
        <f t="shared" si="319"/>
        <v>1549</v>
      </c>
      <c r="B1556" s="77"/>
      <c r="C1556" s="747"/>
      <c r="D1556" s="763" t="str">
        <f t="shared" si="310"/>
        <v>January</v>
      </c>
      <c r="E1556" s="763">
        <f t="shared" si="311"/>
        <v>0</v>
      </c>
      <c r="F1556" s="762">
        <f t="shared" si="312"/>
        <v>1900</v>
      </c>
      <c r="G1556" s="747"/>
      <c r="H1556" s="882"/>
      <c r="I1556" s="756"/>
      <c r="J1556" s="756"/>
      <c r="K1556" s="778">
        <f t="shared" si="313"/>
        <v>0</v>
      </c>
      <c r="L1556" s="976"/>
      <c r="M1556" s="736">
        <f t="shared" si="314"/>
        <v>0</v>
      </c>
      <c r="N1556" s="754"/>
      <c r="O1556" s="738">
        <f t="shared" si="315"/>
        <v>0</v>
      </c>
      <c r="P1556" s="757"/>
      <c r="Q1556" s="739">
        <f t="shared" si="316"/>
        <v>0</v>
      </c>
      <c r="R1556" s="757"/>
      <c r="S1556" s="755"/>
      <c r="T1556" s="277"/>
      <c r="U1556" s="758" t="str">
        <f t="shared" si="317"/>
        <v/>
      </c>
      <c r="V1556" s="758" t="str">
        <f t="shared" si="318"/>
        <v>1900</v>
      </c>
      <c r="W1556" s="759"/>
      <c r="X1556" s="771"/>
      <c r="Y1556" s="977"/>
      <c r="Z1556" s="758"/>
      <c r="AA1556" s="758" t="str">
        <f t="shared" si="320"/>
        <v/>
      </c>
      <c r="AB1556" s="758" t="str">
        <f t="shared" si="321"/>
        <v/>
      </c>
      <c r="AC1556" s="758" t="str">
        <f t="shared" si="322"/>
        <v/>
      </c>
      <c r="AD1556" s="758" t="str">
        <f t="shared" si="309"/>
        <v>0</v>
      </c>
      <c r="AE1556" s="760"/>
      <c r="AF1556" s="760"/>
      <c r="AG1556" s="443"/>
      <c r="AH1556" s="443"/>
    </row>
    <row r="1557" spans="1:34">
      <c r="A1557" s="728">
        <f t="shared" si="319"/>
        <v>1550</v>
      </c>
      <c r="B1557" s="77"/>
      <c r="C1557" s="747"/>
      <c r="D1557" s="763" t="str">
        <f t="shared" si="310"/>
        <v>January</v>
      </c>
      <c r="E1557" s="763">
        <f t="shared" si="311"/>
        <v>0</v>
      </c>
      <c r="F1557" s="762">
        <f t="shared" si="312"/>
        <v>1900</v>
      </c>
      <c r="G1557" s="747"/>
      <c r="H1557" s="882"/>
      <c r="I1557" s="756"/>
      <c r="J1557" s="756"/>
      <c r="K1557" s="778">
        <f t="shared" si="313"/>
        <v>0</v>
      </c>
      <c r="L1557" s="976"/>
      <c r="M1557" s="736">
        <f t="shared" si="314"/>
        <v>0</v>
      </c>
      <c r="N1557" s="754"/>
      <c r="O1557" s="738">
        <f t="shared" si="315"/>
        <v>0</v>
      </c>
      <c r="P1557" s="757"/>
      <c r="Q1557" s="739">
        <f t="shared" si="316"/>
        <v>0</v>
      </c>
      <c r="R1557" s="757"/>
      <c r="S1557" s="755"/>
      <c r="T1557" s="277"/>
      <c r="U1557" s="758" t="str">
        <f t="shared" si="317"/>
        <v/>
      </c>
      <c r="V1557" s="758" t="str">
        <f t="shared" si="318"/>
        <v>1900</v>
      </c>
      <c r="W1557" s="759"/>
      <c r="X1557" s="771"/>
      <c r="Y1557" s="977"/>
      <c r="Z1557" s="758"/>
      <c r="AA1557" s="758" t="str">
        <f t="shared" si="320"/>
        <v/>
      </c>
      <c r="AB1557" s="758" t="str">
        <f t="shared" si="321"/>
        <v/>
      </c>
      <c r="AC1557" s="758" t="str">
        <f t="shared" si="322"/>
        <v/>
      </c>
      <c r="AD1557" s="758" t="str">
        <f t="shared" si="309"/>
        <v>0</v>
      </c>
      <c r="AE1557" s="760"/>
      <c r="AF1557" s="760"/>
      <c r="AG1557" s="443"/>
      <c r="AH1557" s="443"/>
    </row>
    <row r="1558" spans="1:34">
      <c r="A1558" s="728">
        <f t="shared" si="319"/>
        <v>1551</v>
      </c>
      <c r="B1558" s="77"/>
      <c r="C1558" s="747"/>
      <c r="D1558" s="763" t="str">
        <f t="shared" si="310"/>
        <v>January</v>
      </c>
      <c r="E1558" s="763">
        <f t="shared" si="311"/>
        <v>0</v>
      </c>
      <c r="F1558" s="762">
        <f t="shared" si="312"/>
        <v>1900</v>
      </c>
      <c r="G1558" s="747"/>
      <c r="H1558" s="882"/>
      <c r="I1558" s="756"/>
      <c r="J1558" s="756"/>
      <c r="K1558" s="778">
        <f t="shared" si="313"/>
        <v>0</v>
      </c>
      <c r="L1558" s="976"/>
      <c r="M1558" s="736">
        <f t="shared" si="314"/>
        <v>0</v>
      </c>
      <c r="N1558" s="754"/>
      <c r="O1558" s="738">
        <f t="shared" si="315"/>
        <v>0</v>
      </c>
      <c r="P1558" s="757"/>
      <c r="Q1558" s="739">
        <f t="shared" si="316"/>
        <v>0</v>
      </c>
      <c r="R1558" s="757"/>
      <c r="S1558" s="755"/>
      <c r="T1558" s="277"/>
      <c r="U1558" s="758" t="str">
        <f t="shared" si="317"/>
        <v/>
      </c>
      <c r="V1558" s="758" t="str">
        <f t="shared" si="318"/>
        <v>1900</v>
      </c>
      <c r="W1558" s="759"/>
      <c r="X1558" s="771"/>
      <c r="Y1558" s="977"/>
      <c r="Z1558" s="758"/>
      <c r="AA1558" s="758" t="str">
        <f t="shared" si="320"/>
        <v/>
      </c>
      <c r="AB1558" s="758" t="str">
        <f t="shared" si="321"/>
        <v/>
      </c>
      <c r="AC1558" s="758" t="str">
        <f t="shared" si="322"/>
        <v/>
      </c>
      <c r="AD1558" s="758" t="str">
        <f t="shared" si="309"/>
        <v>0</v>
      </c>
      <c r="AE1558" s="760"/>
      <c r="AF1558" s="760"/>
      <c r="AG1558" s="443"/>
      <c r="AH1558" s="443"/>
    </row>
    <row r="1559" spans="1:34">
      <c r="A1559" s="728">
        <f t="shared" si="319"/>
        <v>1552</v>
      </c>
      <c r="B1559" s="77"/>
      <c r="C1559" s="747"/>
      <c r="D1559" s="763" t="str">
        <f t="shared" si="310"/>
        <v>January</v>
      </c>
      <c r="E1559" s="763">
        <f t="shared" si="311"/>
        <v>0</v>
      </c>
      <c r="F1559" s="762">
        <f t="shared" si="312"/>
        <v>1900</v>
      </c>
      <c r="G1559" s="747"/>
      <c r="H1559" s="882"/>
      <c r="I1559" s="756"/>
      <c r="J1559" s="756"/>
      <c r="K1559" s="778">
        <f t="shared" si="313"/>
        <v>0</v>
      </c>
      <c r="L1559" s="976"/>
      <c r="M1559" s="736">
        <f t="shared" si="314"/>
        <v>0</v>
      </c>
      <c r="N1559" s="754"/>
      <c r="O1559" s="738">
        <f t="shared" si="315"/>
        <v>0</v>
      </c>
      <c r="P1559" s="757"/>
      <c r="Q1559" s="739">
        <f t="shared" si="316"/>
        <v>0</v>
      </c>
      <c r="R1559" s="757"/>
      <c r="S1559" s="755"/>
      <c r="T1559" s="277"/>
      <c r="U1559" s="758" t="str">
        <f t="shared" si="317"/>
        <v/>
      </c>
      <c r="V1559" s="758" t="str">
        <f t="shared" si="318"/>
        <v>1900</v>
      </c>
      <c r="W1559" s="759"/>
      <c r="X1559" s="771"/>
      <c r="Y1559" s="977"/>
      <c r="Z1559" s="758"/>
      <c r="AA1559" s="758" t="str">
        <f t="shared" si="320"/>
        <v/>
      </c>
      <c r="AB1559" s="758" t="str">
        <f t="shared" si="321"/>
        <v/>
      </c>
      <c r="AC1559" s="758" t="str">
        <f t="shared" si="322"/>
        <v/>
      </c>
      <c r="AD1559" s="758" t="str">
        <f t="shared" si="309"/>
        <v>0</v>
      </c>
      <c r="AE1559" s="760"/>
      <c r="AF1559" s="760"/>
      <c r="AG1559" s="443"/>
      <c r="AH1559" s="443"/>
    </row>
    <row r="1560" spans="1:34">
      <c r="A1560" s="728">
        <f t="shared" si="319"/>
        <v>1553</v>
      </c>
      <c r="B1560" s="77"/>
      <c r="C1560" s="747"/>
      <c r="D1560" s="763" t="str">
        <f t="shared" si="310"/>
        <v>January</v>
      </c>
      <c r="E1560" s="763">
        <f t="shared" si="311"/>
        <v>0</v>
      </c>
      <c r="F1560" s="762">
        <f t="shared" si="312"/>
        <v>1900</v>
      </c>
      <c r="G1560" s="747"/>
      <c r="H1560" s="882"/>
      <c r="I1560" s="756"/>
      <c r="J1560" s="756"/>
      <c r="K1560" s="778">
        <f t="shared" si="313"/>
        <v>0</v>
      </c>
      <c r="L1560" s="976"/>
      <c r="M1560" s="736">
        <f t="shared" si="314"/>
        <v>0</v>
      </c>
      <c r="N1560" s="754"/>
      <c r="O1560" s="738">
        <f t="shared" si="315"/>
        <v>0</v>
      </c>
      <c r="P1560" s="757"/>
      <c r="Q1560" s="739">
        <f t="shared" si="316"/>
        <v>0</v>
      </c>
      <c r="R1560" s="757"/>
      <c r="S1560" s="755"/>
      <c r="T1560" s="277"/>
      <c r="U1560" s="758" t="str">
        <f t="shared" si="317"/>
        <v/>
      </c>
      <c r="V1560" s="758" t="str">
        <f t="shared" si="318"/>
        <v>1900</v>
      </c>
      <c r="W1560" s="759"/>
      <c r="X1560" s="771"/>
      <c r="Y1560" s="977"/>
      <c r="Z1560" s="758"/>
      <c r="AA1560" s="758" t="str">
        <f t="shared" si="320"/>
        <v/>
      </c>
      <c r="AB1560" s="758" t="str">
        <f t="shared" si="321"/>
        <v/>
      </c>
      <c r="AC1560" s="758" t="str">
        <f t="shared" si="322"/>
        <v/>
      </c>
      <c r="AD1560" s="758" t="str">
        <f t="shared" si="309"/>
        <v>0</v>
      </c>
      <c r="AE1560" s="760"/>
      <c r="AF1560" s="760"/>
      <c r="AG1560" s="443"/>
      <c r="AH1560" s="443"/>
    </row>
    <row r="1561" spans="1:34">
      <c r="A1561" s="728">
        <f t="shared" si="319"/>
        <v>1554</v>
      </c>
      <c r="B1561" s="77"/>
      <c r="C1561" s="747"/>
      <c r="D1561" s="763" t="str">
        <f t="shared" si="310"/>
        <v>January</v>
      </c>
      <c r="E1561" s="763">
        <f t="shared" si="311"/>
        <v>0</v>
      </c>
      <c r="F1561" s="762">
        <f t="shared" si="312"/>
        <v>1900</v>
      </c>
      <c r="G1561" s="747"/>
      <c r="H1561" s="882"/>
      <c r="I1561" s="756"/>
      <c r="J1561" s="756"/>
      <c r="K1561" s="778">
        <f t="shared" si="313"/>
        <v>0</v>
      </c>
      <c r="L1561" s="976"/>
      <c r="M1561" s="736">
        <f t="shared" si="314"/>
        <v>0</v>
      </c>
      <c r="N1561" s="754"/>
      <c r="O1561" s="738">
        <f t="shared" si="315"/>
        <v>0</v>
      </c>
      <c r="P1561" s="757"/>
      <c r="Q1561" s="739">
        <f t="shared" si="316"/>
        <v>0</v>
      </c>
      <c r="R1561" s="757"/>
      <c r="S1561" s="755"/>
      <c r="T1561" s="277"/>
      <c r="U1561" s="758" t="str">
        <f t="shared" si="317"/>
        <v/>
      </c>
      <c r="V1561" s="758" t="str">
        <f t="shared" si="318"/>
        <v>1900</v>
      </c>
      <c r="W1561" s="759"/>
      <c r="X1561" s="771"/>
      <c r="Y1561" s="977"/>
      <c r="Z1561" s="758"/>
      <c r="AA1561" s="758" t="str">
        <f t="shared" si="320"/>
        <v/>
      </c>
      <c r="AB1561" s="758" t="str">
        <f t="shared" si="321"/>
        <v/>
      </c>
      <c r="AC1561" s="758" t="str">
        <f t="shared" si="322"/>
        <v/>
      </c>
      <c r="AD1561" s="758" t="str">
        <f t="shared" ref="AD1561:AD1624" si="323">CONCATENATE(H1561,M1561)</f>
        <v>0</v>
      </c>
      <c r="AE1561" s="760"/>
      <c r="AF1561" s="760"/>
      <c r="AG1561" s="443"/>
      <c r="AH1561" s="443"/>
    </row>
    <row r="1562" spans="1:34">
      <c r="A1562" s="728">
        <f t="shared" si="319"/>
        <v>1555</v>
      </c>
      <c r="B1562" s="77"/>
      <c r="C1562" s="747"/>
      <c r="D1562" s="763" t="str">
        <f t="shared" si="310"/>
        <v>January</v>
      </c>
      <c r="E1562" s="763">
        <f t="shared" si="311"/>
        <v>0</v>
      </c>
      <c r="F1562" s="762">
        <f t="shared" si="312"/>
        <v>1900</v>
      </c>
      <c r="G1562" s="747"/>
      <c r="H1562" s="882"/>
      <c r="I1562" s="756"/>
      <c r="J1562" s="756"/>
      <c r="K1562" s="778">
        <f t="shared" si="313"/>
        <v>0</v>
      </c>
      <c r="L1562" s="976"/>
      <c r="M1562" s="736">
        <f t="shared" si="314"/>
        <v>0</v>
      </c>
      <c r="N1562" s="754"/>
      <c r="O1562" s="738">
        <f t="shared" si="315"/>
        <v>0</v>
      </c>
      <c r="P1562" s="757"/>
      <c r="Q1562" s="739">
        <f t="shared" si="316"/>
        <v>0</v>
      </c>
      <c r="R1562" s="757"/>
      <c r="S1562" s="755"/>
      <c r="T1562" s="277"/>
      <c r="U1562" s="758" t="str">
        <f t="shared" si="317"/>
        <v/>
      </c>
      <c r="V1562" s="758" t="str">
        <f t="shared" si="318"/>
        <v>1900</v>
      </c>
      <c r="W1562" s="759"/>
      <c r="X1562" s="771"/>
      <c r="Y1562" s="977"/>
      <c r="Z1562" s="758"/>
      <c r="AA1562" s="758" t="str">
        <f t="shared" si="320"/>
        <v/>
      </c>
      <c r="AB1562" s="758" t="str">
        <f t="shared" si="321"/>
        <v/>
      </c>
      <c r="AC1562" s="758" t="str">
        <f t="shared" si="322"/>
        <v/>
      </c>
      <c r="AD1562" s="758" t="str">
        <f t="shared" si="323"/>
        <v>0</v>
      </c>
      <c r="AE1562" s="760"/>
      <c r="AF1562" s="760"/>
      <c r="AG1562" s="443"/>
      <c r="AH1562" s="443"/>
    </row>
    <row r="1563" spans="1:34">
      <c r="A1563" s="728">
        <f t="shared" si="319"/>
        <v>1556</v>
      </c>
      <c r="B1563" s="77"/>
      <c r="C1563" s="747"/>
      <c r="D1563" s="763" t="str">
        <f t="shared" si="310"/>
        <v>January</v>
      </c>
      <c r="E1563" s="763">
        <f t="shared" si="311"/>
        <v>0</v>
      </c>
      <c r="F1563" s="762">
        <f t="shared" si="312"/>
        <v>1900</v>
      </c>
      <c r="G1563" s="747"/>
      <c r="H1563" s="882"/>
      <c r="I1563" s="756"/>
      <c r="J1563" s="756"/>
      <c r="K1563" s="778">
        <f t="shared" si="313"/>
        <v>0</v>
      </c>
      <c r="L1563" s="976"/>
      <c r="M1563" s="736">
        <f t="shared" si="314"/>
        <v>0</v>
      </c>
      <c r="N1563" s="754"/>
      <c r="O1563" s="738">
        <f t="shared" si="315"/>
        <v>0</v>
      </c>
      <c r="P1563" s="757"/>
      <c r="Q1563" s="739">
        <f t="shared" si="316"/>
        <v>0</v>
      </c>
      <c r="R1563" s="757"/>
      <c r="S1563" s="755"/>
      <c r="T1563" s="277"/>
      <c r="U1563" s="758" t="str">
        <f t="shared" si="317"/>
        <v/>
      </c>
      <c r="V1563" s="758" t="str">
        <f t="shared" si="318"/>
        <v>1900</v>
      </c>
      <c r="W1563" s="759"/>
      <c r="X1563" s="771"/>
      <c r="Y1563" s="977"/>
      <c r="Z1563" s="758"/>
      <c r="AA1563" s="758" t="str">
        <f t="shared" si="320"/>
        <v/>
      </c>
      <c r="AB1563" s="758" t="str">
        <f t="shared" si="321"/>
        <v/>
      </c>
      <c r="AC1563" s="758" t="str">
        <f t="shared" si="322"/>
        <v/>
      </c>
      <c r="AD1563" s="758" t="str">
        <f t="shared" si="323"/>
        <v>0</v>
      </c>
      <c r="AE1563" s="760"/>
      <c r="AF1563" s="760"/>
      <c r="AG1563" s="443"/>
      <c r="AH1563" s="443"/>
    </row>
    <row r="1564" spans="1:34">
      <c r="A1564" s="728">
        <f t="shared" si="319"/>
        <v>1557</v>
      </c>
      <c r="B1564" s="77"/>
      <c r="C1564" s="747"/>
      <c r="D1564" s="763" t="str">
        <f t="shared" si="310"/>
        <v>January</v>
      </c>
      <c r="E1564" s="763">
        <f t="shared" si="311"/>
        <v>0</v>
      </c>
      <c r="F1564" s="762">
        <f t="shared" si="312"/>
        <v>1900</v>
      </c>
      <c r="G1564" s="747"/>
      <c r="H1564" s="882"/>
      <c r="I1564" s="756"/>
      <c r="J1564" s="756"/>
      <c r="K1564" s="778">
        <f t="shared" si="313"/>
        <v>0</v>
      </c>
      <c r="L1564" s="976"/>
      <c r="M1564" s="736">
        <f t="shared" si="314"/>
        <v>0</v>
      </c>
      <c r="N1564" s="754"/>
      <c r="O1564" s="738">
        <f t="shared" si="315"/>
        <v>0</v>
      </c>
      <c r="P1564" s="757"/>
      <c r="Q1564" s="739">
        <f t="shared" si="316"/>
        <v>0</v>
      </c>
      <c r="R1564" s="757"/>
      <c r="S1564" s="755"/>
      <c r="T1564" s="277"/>
      <c r="U1564" s="758" t="str">
        <f t="shared" si="317"/>
        <v/>
      </c>
      <c r="V1564" s="758" t="str">
        <f t="shared" si="318"/>
        <v>1900</v>
      </c>
      <c r="W1564" s="759"/>
      <c r="X1564" s="771"/>
      <c r="Y1564" s="977"/>
      <c r="Z1564" s="758"/>
      <c r="AA1564" s="758" t="str">
        <f t="shared" si="320"/>
        <v/>
      </c>
      <c r="AB1564" s="758" t="str">
        <f t="shared" si="321"/>
        <v/>
      </c>
      <c r="AC1564" s="758" t="str">
        <f t="shared" si="322"/>
        <v/>
      </c>
      <c r="AD1564" s="758" t="str">
        <f t="shared" si="323"/>
        <v>0</v>
      </c>
      <c r="AE1564" s="760"/>
      <c r="AF1564" s="760"/>
      <c r="AG1564" s="443"/>
      <c r="AH1564" s="443"/>
    </row>
    <row r="1565" spans="1:34">
      <c r="A1565" s="728">
        <f t="shared" si="319"/>
        <v>1558</v>
      </c>
      <c r="B1565" s="77"/>
      <c r="C1565" s="747"/>
      <c r="D1565" s="763" t="str">
        <f t="shared" si="310"/>
        <v>January</v>
      </c>
      <c r="E1565" s="763">
        <f t="shared" si="311"/>
        <v>0</v>
      </c>
      <c r="F1565" s="762">
        <f t="shared" si="312"/>
        <v>1900</v>
      </c>
      <c r="G1565" s="747"/>
      <c r="H1565" s="882"/>
      <c r="I1565" s="756"/>
      <c r="J1565" s="756"/>
      <c r="K1565" s="778">
        <f t="shared" si="313"/>
        <v>0</v>
      </c>
      <c r="L1565" s="976"/>
      <c r="M1565" s="736">
        <f t="shared" si="314"/>
        <v>0</v>
      </c>
      <c r="N1565" s="754"/>
      <c r="O1565" s="738">
        <f t="shared" si="315"/>
        <v>0</v>
      </c>
      <c r="P1565" s="757"/>
      <c r="Q1565" s="739">
        <f t="shared" si="316"/>
        <v>0</v>
      </c>
      <c r="R1565" s="757"/>
      <c r="S1565" s="755"/>
      <c r="T1565" s="277"/>
      <c r="U1565" s="758" t="str">
        <f t="shared" si="317"/>
        <v/>
      </c>
      <c r="V1565" s="758" t="str">
        <f t="shared" si="318"/>
        <v>1900</v>
      </c>
      <c r="W1565" s="759"/>
      <c r="X1565" s="771"/>
      <c r="Y1565" s="977"/>
      <c r="Z1565" s="758"/>
      <c r="AA1565" s="758" t="str">
        <f t="shared" si="320"/>
        <v/>
      </c>
      <c r="AB1565" s="758" t="str">
        <f t="shared" si="321"/>
        <v/>
      </c>
      <c r="AC1565" s="758" t="str">
        <f t="shared" si="322"/>
        <v/>
      </c>
      <c r="AD1565" s="758" t="str">
        <f t="shared" si="323"/>
        <v>0</v>
      </c>
      <c r="AE1565" s="760"/>
      <c r="AF1565" s="760"/>
      <c r="AG1565" s="443"/>
      <c r="AH1565" s="443"/>
    </row>
    <row r="1566" spans="1:34">
      <c r="A1566" s="728">
        <f t="shared" si="319"/>
        <v>1559</v>
      </c>
      <c r="B1566" s="77"/>
      <c r="C1566" s="747"/>
      <c r="D1566" s="763" t="str">
        <f t="shared" si="310"/>
        <v>January</v>
      </c>
      <c r="E1566" s="763">
        <f t="shared" si="311"/>
        <v>0</v>
      </c>
      <c r="F1566" s="762">
        <f t="shared" si="312"/>
        <v>1900</v>
      </c>
      <c r="G1566" s="747"/>
      <c r="H1566" s="882"/>
      <c r="I1566" s="756"/>
      <c r="J1566" s="756"/>
      <c r="K1566" s="778">
        <f t="shared" si="313"/>
        <v>0</v>
      </c>
      <c r="L1566" s="976"/>
      <c r="M1566" s="736">
        <f t="shared" si="314"/>
        <v>0</v>
      </c>
      <c r="N1566" s="754"/>
      <c r="O1566" s="738">
        <f t="shared" si="315"/>
        <v>0</v>
      </c>
      <c r="P1566" s="757"/>
      <c r="Q1566" s="739">
        <f t="shared" si="316"/>
        <v>0</v>
      </c>
      <c r="R1566" s="757"/>
      <c r="S1566" s="755"/>
      <c r="T1566" s="277"/>
      <c r="U1566" s="758" t="str">
        <f t="shared" si="317"/>
        <v/>
      </c>
      <c r="V1566" s="758" t="str">
        <f t="shared" si="318"/>
        <v>1900</v>
      </c>
      <c r="W1566" s="759"/>
      <c r="X1566" s="771"/>
      <c r="Y1566" s="977"/>
      <c r="Z1566" s="758"/>
      <c r="AA1566" s="758" t="str">
        <f t="shared" si="320"/>
        <v/>
      </c>
      <c r="AB1566" s="758" t="str">
        <f t="shared" si="321"/>
        <v/>
      </c>
      <c r="AC1566" s="758" t="str">
        <f t="shared" si="322"/>
        <v/>
      </c>
      <c r="AD1566" s="758" t="str">
        <f t="shared" si="323"/>
        <v>0</v>
      </c>
      <c r="AE1566" s="760"/>
      <c r="AF1566" s="760"/>
      <c r="AG1566" s="443"/>
      <c r="AH1566" s="443"/>
    </row>
    <row r="1567" spans="1:34">
      <c r="A1567" s="728">
        <f t="shared" si="319"/>
        <v>1560</v>
      </c>
      <c r="B1567" s="77"/>
      <c r="C1567" s="747"/>
      <c r="D1567" s="763" t="str">
        <f t="shared" si="310"/>
        <v>January</v>
      </c>
      <c r="E1567" s="763">
        <f t="shared" si="311"/>
        <v>0</v>
      </c>
      <c r="F1567" s="762">
        <f t="shared" si="312"/>
        <v>1900</v>
      </c>
      <c r="G1567" s="747"/>
      <c r="H1567" s="882"/>
      <c r="I1567" s="756"/>
      <c r="J1567" s="756"/>
      <c r="K1567" s="778">
        <f t="shared" si="313"/>
        <v>0</v>
      </c>
      <c r="L1567" s="976"/>
      <c r="M1567" s="736">
        <f t="shared" si="314"/>
        <v>0</v>
      </c>
      <c r="N1567" s="754"/>
      <c r="O1567" s="738">
        <f t="shared" si="315"/>
        <v>0</v>
      </c>
      <c r="P1567" s="757"/>
      <c r="Q1567" s="739">
        <f t="shared" si="316"/>
        <v>0</v>
      </c>
      <c r="R1567" s="757"/>
      <c r="S1567" s="755"/>
      <c r="T1567" s="277"/>
      <c r="U1567" s="758" t="str">
        <f t="shared" si="317"/>
        <v/>
      </c>
      <c r="V1567" s="758" t="str">
        <f t="shared" si="318"/>
        <v>1900</v>
      </c>
      <c r="W1567" s="759"/>
      <c r="X1567" s="771"/>
      <c r="Y1567" s="977"/>
      <c r="Z1567" s="758"/>
      <c r="AA1567" s="758" t="str">
        <f t="shared" si="320"/>
        <v/>
      </c>
      <c r="AB1567" s="758" t="str">
        <f t="shared" si="321"/>
        <v/>
      </c>
      <c r="AC1567" s="758" t="str">
        <f t="shared" si="322"/>
        <v/>
      </c>
      <c r="AD1567" s="758" t="str">
        <f t="shared" si="323"/>
        <v>0</v>
      </c>
      <c r="AE1567" s="760"/>
      <c r="AF1567" s="760"/>
      <c r="AG1567" s="443"/>
      <c r="AH1567" s="443"/>
    </row>
    <row r="1568" spans="1:34">
      <c r="A1568" s="728">
        <f t="shared" si="319"/>
        <v>1561</v>
      </c>
      <c r="B1568" s="77"/>
      <c r="C1568" s="747"/>
      <c r="D1568" s="763" t="str">
        <f t="shared" si="310"/>
        <v>January</v>
      </c>
      <c r="E1568" s="763">
        <f t="shared" si="311"/>
        <v>0</v>
      </c>
      <c r="F1568" s="762">
        <f t="shared" si="312"/>
        <v>1900</v>
      </c>
      <c r="G1568" s="747"/>
      <c r="H1568" s="882"/>
      <c r="I1568" s="756"/>
      <c r="J1568" s="756"/>
      <c r="K1568" s="778">
        <f t="shared" si="313"/>
        <v>0</v>
      </c>
      <c r="L1568" s="976"/>
      <c r="M1568" s="736">
        <f t="shared" si="314"/>
        <v>0</v>
      </c>
      <c r="N1568" s="754"/>
      <c r="O1568" s="738">
        <f t="shared" si="315"/>
        <v>0</v>
      </c>
      <c r="P1568" s="757"/>
      <c r="Q1568" s="739">
        <f t="shared" si="316"/>
        <v>0</v>
      </c>
      <c r="R1568" s="757"/>
      <c r="S1568" s="755"/>
      <c r="T1568" s="277"/>
      <c r="U1568" s="758" t="str">
        <f t="shared" si="317"/>
        <v/>
      </c>
      <c r="V1568" s="758" t="str">
        <f t="shared" si="318"/>
        <v>1900</v>
      </c>
      <c r="W1568" s="759"/>
      <c r="X1568" s="771"/>
      <c r="Y1568" s="977"/>
      <c r="Z1568" s="758"/>
      <c r="AA1568" s="758" t="str">
        <f t="shared" si="320"/>
        <v/>
      </c>
      <c r="AB1568" s="758" t="str">
        <f t="shared" si="321"/>
        <v/>
      </c>
      <c r="AC1568" s="758" t="str">
        <f t="shared" si="322"/>
        <v/>
      </c>
      <c r="AD1568" s="758" t="str">
        <f t="shared" si="323"/>
        <v>0</v>
      </c>
      <c r="AE1568" s="760"/>
      <c r="AF1568" s="760"/>
      <c r="AG1568" s="443"/>
      <c r="AH1568" s="443"/>
    </row>
    <row r="1569" spans="1:34">
      <c r="A1569" s="728">
        <f t="shared" si="319"/>
        <v>1562</v>
      </c>
      <c r="B1569" s="77"/>
      <c r="C1569" s="747"/>
      <c r="D1569" s="763" t="str">
        <f t="shared" si="310"/>
        <v>January</v>
      </c>
      <c r="E1569" s="763">
        <f t="shared" si="311"/>
        <v>0</v>
      </c>
      <c r="F1569" s="762">
        <f t="shared" si="312"/>
        <v>1900</v>
      </c>
      <c r="G1569" s="747"/>
      <c r="H1569" s="882"/>
      <c r="I1569" s="756"/>
      <c r="J1569" s="756"/>
      <c r="K1569" s="778">
        <f t="shared" si="313"/>
        <v>0</v>
      </c>
      <c r="L1569" s="976"/>
      <c r="M1569" s="736">
        <f t="shared" si="314"/>
        <v>0</v>
      </c>
      <c r="N1569" s="754"/>
      <c r="O1569" s="738">
        <f t="shared" si="315"/>
        <v>0</v>
      </c>
      <c r="P1569" s="757"/>
      <c r="Q1569" s="739">
        <f t="shared" si="316"/>
        <v>0</v>
      </c>
      <c r="R1569" s="757"/>
      <c r="S1569" s="755"/>
      <c r="T1569" s="277"/>
      <c r="U1569" s="758" t="str">
        <f t="shared" si="317"/>
        <v/>
      </c>
      <c r="V1569" s="758" t="str">
        <f t="shared" si="318"/>
        <v>1900</v>
      </c>
      <c r="W1569" s="759"/>
      <c r="X1569" s="771"/>
      <c r="Y1569" s="977"/>
      <c r="Z1569" s="758"/>
      <c r="AA1569" s="758" t="str">
        <f t="shared" si="320"/>
        <v/>
      </c>
      <c r="AB1569" s="758" t="str">
        <f t="shared" si="321"/>
        <v/>
      </c>
      <c r="AC1569" s="758" t="str">
        <f t="shared" si="322"/>
        <v/>
      </c>
      <c r="AD1569" s="758" t="str">
        <f t="shared" si="323"/>
        <v>0</v>
      </c>
      <c r="AE1569" s="760"/>
      <c r="AF1569" s="760"/>
      <c r="AG1569" s="443"/>
      <c r="AH1569" s="443"/>
    </row>
    <row r="1570" spans="1:34">
      <c r="A1570" s="728">
        <f t="shared" si="319"/>
        <v>1563</v>
      </c>
      <c r="B1570" s="77"/>
      <c r="C1570" s="747"/>
      <c r="D1570" s="763" t="str">
        <f t="shared" si="310"/>
        <v>January</v>
      </c>
      <c r="E1570" s="763">
        <f t="shared" si="311"/>
        <v>0</v>
      </c>
      <c r="F1570" s="762">
        <f t="shared" si="312"/>
        <v>1900</v>
      </c>
      <c r="G1570" s="747"/>
      <c r="H1570" s="882"/>
      <c r="I1570" s="756"/>
      <c r="J1570" s="756"/>
      <c r="K1570" s="778">
        <f t="shared" si="313"/>
        <v>0</v>
      </c>
      <c r="L1570" s="976"/>
      <c r="M1570" s="736">
        <f t="shared" si="314"/>
        <v>0</v>
      </c>
      <c r="N1570" s="754"/>
      <c r="O1570" s="738">
        <f t="shared" si="315"/>
        <v>0</v>
      </c>
      <c r="P1570" s="757"/>
      <c r="Q1570" s="739">
        <f t="shared" si="316"/>
        <v>0</v>
      </c>
      <c r="R1570" s="757"/>
      <c r="S1570" s="755"/>
      <c r="T1570" s="277"/>
      <c r="U1570" s="758" t="str">
        <f t="shared" si="317"/>
        <v/>
      </c>
      <c r="V1570" s="758" t="str">
        <f t="shared" si="318"/>
        <v>1900</v>
      </c>
      <c r="W1570" s="759"/>
      <c r="X1570" s="771"/>
      <c r="Y1570" s="977"/>
      <c r="Z1570" s="758"/>
      <c r="AA1570" s="758" t="str">
        <f t="shared" si="320"/>
        <v/>
      </c>
      <c r="AB1570" s="758" t="str">
        <f t="shared" si="321"/>
        <v/>
      </c>
      <c r="AC1570" s="758" t="str">
        <f t="shared" si="322"/>
        <v/>
      </c>
      <c r="AD1570" s="758" t="str">
        <f t="shared" si="323"/>
        <v>0</v>
      </c>
      <c r="AE1570" s="760"/>
      <c r="AF1570" s="760"/>
      <c r="AG1570" s="443"/>
      <c r="AH1570" s="443"/>
    </row>
    <row r="1571" spans="1:34">
      <c r="A1571" s="728">
        <f t="shared" si="319"/>
        <v>1564</v>
      </c>
      <c r="B1571" s="77"/>
      <c r="C1571" s="747"/>
      <c r="D1571" s="763" t="str">
        <f t="shared" si="310"/>
        <v>January</v>
      </c>
      <c r="E1571" s="763">
        <f t="shared" si="311"/>
        <v>0</v>
      </c>
      <c r="F1571" s="762">
        <f t="shared" si="312"/>
        <v>1900</v>
      </c>
      <c r="G1571" s="747"/>
      <c r="H1571" s="882"/>
      <c r="I1571" s="756"/>
      <c r="J1571" s="756"/>
      <c r="K1571" s="778">
        <f t="shared" si="313"/>
        <v>0</v>
      </c>
      <c r="L1571" s="976"/>
      <c r="M1571" s="736">
        <f t="shared" si="314"/>
        <v>0</v>
      </c>
      <c r="N1571" s="754"/>
      <c r="O1571" s="738">
        <f t="shared" si="315"/>
        <v>0</v>
      </c>
      <c r="P1571" s="757"/>
      <c r="Q1571" s="739">
        <f t="shared" si="316"/>
        <v>0</v>
      </c>
      <c r="R1571" s="757"/>
      <c r="S1571" s="755"/>
      <c r="T1571" s="277"/>
      <c r="U1571" s="758" t="str">
        <f t="shared" si="317"/>
        <v/>
      </c>
      <c r="V1571" s="758" t="str">
        <f t="shared" si="318"/>
        <v>1900</v>
      </c>
      <c r="W1571" s="759"/>
      <c r="X1571" s="771"/>
      <c r="Y1571" s="977"/>
      <c r="Z1571" s="758"/>
      <c r="AA1571" s="758" t="str">
        <f t="shared" si="320"/>
        <v/>
      </c>
      <c r="AB1571" s="758" t="str">
        <f t="shared" si="321"/>
        <v/>
      </c>
      <c r="AC1571" s="758" t="str">
        <f t="shared" si="322"/>
        <v/>
      </c>
      <c r="AD1571" s="758" t="str">
        <f t="shared" si="323"/>
        <v>0</v>
      </c>
      <c r="AE1571" s="760"/>
      <c r="AF1571" s="760"/>
      <c r="AG1571" s="443"/>
      <c r="AH1571" s="443"/>
    </row>
    <row r="1572" spans="1:34">
      <c r="A1572" s="728">
        <f t="shared" si="319"/>
        <v>1565</v>
      </c>
      <c r="B1572" s="77"/>
      <c r="C1572" s="747"/>
      <c r="D1572" s="763" t="str">
        <f t="shared" si="310"/>
        <v>January</v>
      </c>
      <c r="E1572" s="763">
        <f t="shared" si="311"/>
        <v>0</v>
      </c>
      <c r="F1572" s="762">
        <f t="shared" si="312"/>
        <v>1900</v>
      </c>
      <c r="G1572" s="747"/>
      <c r="H1572" s="882"/>
      <c r="I1572" s="756"/>
      <c r="J1572" s="756"/>
      <c r="K1572" s="778">
        <f t="shared" si="313"/>
        <v>0</v>
      </c>
      <c r="L1572" s="976"/>
      <c r="M1572" s="736">
        <f t="shared" si="314"/>
        <v>0</v>
      </c>
      <c r="N1572" s="754"/>
      <c r="O1572" s="738">
        <f t="shared" si="315"/>
        <v>0</v>
      </c>
      <c r="P1572" s="757"/>
      <c r="Q1572" s="739">
        <f t="shared" si="316"/>
        <v>0</v>
      </c>
      <c r="R1572" s="757"/>
      <c r="S1572" s="755"/>
      <c r="T1572" s="277"/>
      <c r="U1572" s="758" t="str">
        <f t="shared" si="317"/>
        <v/>
      </c>
      <c r="V1572" s="758" t="str">
        <f t="shared" si="318"/>
        <v>1900</v>
      </c>
      <c r="W1572" s="759"/>
      <c r="X1572" s="771"/>
      <c r="Y1572" s="977"/>
      <c r="Z1572" s="758"/>
      <c r="AA1572" s="758" t="str">
        <f t="shared" si="320"/>
        <v/>
      </c>
      <c r="AB1572" s="758" t="str">
        <f t="shared" si="321"/>
        <v/>
      </c>
      <c r="AC1572" s="758" t="str">
        <f t="shared" si="322"/>
        <v/>
      </c>
      <c r="AD1572" s="758" t="str">
        <f t="shared" si="323"/>
        <v>0</v>
      </c>
      <c r="AE1572" s="760"/>
      <c r="AF1572" s="760"/>
      <c r="AG1572" s="443"/>
      <c r="AH1572" s="443"/>
    </row>
    <row r="1573" spans="1:34">
      <c r="A1573" s="728">
        <f t="shared" si="319"/>
        <v>1566</v>
      </c>
      <c r="B1573" s="77"/>
      <c r="C1573" s="747"/>
      <c r="D1573" s="763" t="str">
        <f t="shared" si="310"/>
        <v>January</v>
      </c>
      <c r="E1573" s="763">
        <f t="shared" si="311"/>
        <v>0</v>
      </c>
      <c r="F1573" s="762">
        <f t="shared" si="312"/>
        <v>1900</v>
      </c>
      <c r="G1573" s="747"/>
      <c r="H1573" s="882"/>
      <c r="I1573" s="756"/>
      <c r="J1573" s="756"/>
      <c r="K1573" s="778">
        <f t="shared" si="313"/>
        <v>0</v>
      </c>
      <c r="L1573" s="976"/>
      <c r="M1573" s="736">
        <f t="shared" si="314"/>
        <v>0</v>
      </c>
      <c r="N1573" s="754"/>
      <c r="O1573" s="738">
        <f t="shared" si="315"/>
        <v>0</v>
      </c>
      <c r="P1573" s="757"/>
      <c r="Q1573" s="739">
        <f t="shared" si="316"/>
        <v>0</v>
      </c>
      <c r="R1573" s="757"/>
      <c r="S1573" s="755"/>
      <c r="T1573" s="277"/>
      <c r="U1573" s="758" t="str">
        <f t="shared" si="317"/>
        <v/>
      </c>
      <c r="V1573" s="758" t="str">
        <f t="shared" si="318"/>
        <v>1900</v>
      </c>
      <c r="W1573" s="759"/>
      <c r="X1573" s="771"/>
      <c r="Y1573" s="977"/>
      <c r="Z1573" s="758"/>
      <c r="AA1573" s="758" t="str">
        <f t="shared" si="320"/>
        <v/>
      </c>
      <c r="AB1573" s="758" t="str">
        <f t="shared" si="321"/>
        <v/>
      </c>
      <c r="AC1573" s="758" t="str">
        <f t="shared" si="322"/>
        <v/>
      </c>
      <c r="AD1573" s="758" t="str">
        <f t="shared" si="323"/>
        <v>0</v>
      </c>
      <c r="AE1573" s="760"/>
      <c r="AF1573" s="760"/>
      <c r="AG1573" s="443"/>
      <c r="AH1573" s="443"/>
    </row>
    <row r="1574" spans="1:34">
      <c r="A1574" s="728">
        <f t="shared" si="319"/>
        <v>1567</v>
      </c>
      <c r="B1574" s="77"/>
      <c r="C1574" s="747"/>
      <c r="D1574" s="763" t="str">
        <f t="shared" si="310"/>
        <v>January</v>
      </c>
      <c r="E1574" s="763">
        <f t="shared" si="311"/>
        <v>0</v>
      </c>
      <c r="F1574" s="762">
        <f t="shared" si="312"/>
        <v>1900</v>
      </c>
      <c r="G1574" s="747"/>
      <c r="H1574" s="882"/>
      <c r="I1574" s="756"/>
      <c r="J1574" s="756"/>
      <c r="K1574" s="778">
        <f t="shared" si="313"/>
        <v>0</v>
      </c>
      <c r="L1574" s="976"/>
      <c r="M1574" s="736">
        <f t="shared" si="314"/>
        <v>0</v>
      </c>
      <c r="N1574" s="754"/>
      <c r="O1574" s="738">
        <f t="shared" si="315"/>
        <v>0</v>
      </c>
      <c r="P1574" s="757"/>
      <c r="Q1574" s="739">
        <f t="shared" si="316"/>
        <v>0</v>
      </c>
      <c r="R1574" s="757"/>
      <c r="S1574" s="755"/>
      <c r="T1574" s="277"/>
      <c r="U1574" s="758" t="str">
        <f t="shared" si="317"/>
        <v/>
      </c>
      <c r="V1574" s="758" t="str">
        <f t="shared" si="318"/>
        <v>1900</v>
      </c>
      <c r="W1574" s="759"/>
      <c r="X1574" s="771"/>
      <c r="Y1574" s="977"/>
      <c r="Z1574" s="758"/>
      <c r="AA1574" s="758" t="str">
        <f t="shared" si="320"/>
        <v/>
      </c>
      <c r="AB1574" s="758" t="str">
        <f t="shared" si="321"/>
        <v/>
      </c>
      <c r="AC1574" s="758" t="str">
        <f t="shared" si="322"/>
        <v/>
      </c>
      <c r="AD1574" s="758" t="str">
        <f t="shared" si="323"/>
        <v>0</v>
      </c>
      <c r="AE1574" s="760"/>
      <c r="AF1574" s="760"/>
      <c r="AG1574" s="443"/>
      <c r="AH1574" s="443"/>
    </row>
    <row r="1575" spans="1:34">
      <c r="A1575" s="728">
        <f t="shared" si="319"/>
        <v>1568</v>
      </c>
      <c r="B1575" s="77"/>
      <c r="C1575" s="747"/>
      <c r="D1575" s="763" t="str">
        <f t="shared" si="310"/>
        <v>January</v>
      </c>
      <c r="E1575" s="763">
        <f t="shared" si="311"/>
        <v>0</v>
      </c>
      <c r="F1575" s="762">
        <f t="shared" si="312"/>
        <v>1900</v>
      </c>
      <c r="G1575" s="747"/>
      <c r="H1575" s="882"/>
      <c r="I1575" s="756"/>
      <c r="J1575" s="756"/>
      <c r="K1575" s="778">
        <f t="shared" si="313"/>
        <v>0</v>
      </c>
      <c r="L1575" s="976"/>
      <c r="M1575" s="736">
        <f t="shared" si="314"/>
        <v>0</v>
      </c>
      <c r="N1575" s="754"/>
      <c r="O1575" s="738">
        <f t="shared" si="315"/>
        <v>0</v>
      </c>
      <c r="P1575" s="757"/>
      <c r="Q1575" s="739">
        <f t="shared" si="316"/>
        <v>0</v>
      </c>
      <c r="R1575" s="757"/>
      <c r="S1575" s="755"/>
      <c r="T1575" s="277"/>
      <c r="U1575" s="758" t="str">
        <f t="shared" si="317"/>
        <v/>
      </c>
      <c r="V1575" s="758" t="str">
        <f t="shared" si="318"/>
        <v>1900</v>
      </c>
      <c r="W1575" s="759"/>
      <c r="X1575" s="771"/>
      <c r="Y1575" s="977"/>
      <c r="Z1575" s="758"/>
      <c r="AA1575" s="758" t="str">
        <f t="shared" si="320"/>
        <v/>
      </c>
      <c r="AB1575" s="758" t="str">
        <f t="shared" si="321"/>
        <v/>
      </c>
      <c r="AC1575" s="758" t="str">
        <f t="shared" si="322"/>
        <v/>
      </c>
      <c r="AD1575" s="758" t="str">
        <f t="shared" si="323"/>
        <v>0</v>
      </c>
      <c r="AE1575" s="760"/>
      <c r="AF1575" s="760"/>
      <c r="AG1575" s="443"/>
      <c r="AH1575" s="443"/>
    </row>
    <row r="1576" spans="1:34">
      <c r="A1576" s="728">
        <f t="shared" si="319"/>
        <v>1569</v>
      </c>
      <c r="B1576" s="77"/>
      <c r="C1576" s="747"/>
      <c r="D1576" s="763" t="str">
        <f t="shared" si="310"/>
        <v>January</v>
      </c>
      <c r="E1576" s="763">
        <f t="shared" si="311"/>
        <v>0</v>
      </c>
      <c r="F1576" s="762">
        <f t="shared" si="312"/>
        <v>1900</v>
      </c>
      <c r="G1576" s="747"/>
      <c r="H1576" s="882"/>
      <c r="I1576" s="756"/>
      <c r="J1576" s="756"/>
      <c r="K1576" s="778">
        <f t="shared" si="313"/>
        <v>0</v>
      </c>
      <c r="L1576" s="976"/>
      <c r="M1576" s="736">
        <f t="shared" si="314"/>
        <v>0</v>
      </c>
      <c r="N1576" s="754"/>
      <c r="O1576" s="738">
        <f t="shared" si="315"/>
        <v>0</v>
      </c>
      <c r="P1576" s="757"/>
      <c r="Q1576" s="739">
        <f t="shared" si="316"/>
        <v>0</v>
      </c>
      <c r="R1576" s="757"/>
      <c r="S1576" s="755"/>
      <c r="T1576" s="277"/>
      <c r="U1576" s="758" t="str">
        <f t="shared" si="317"/>
        <v/>
      </c>
      <c r="V1576" s="758" t="str">
        <f t="shared" si="318"/>
        <v>1900</v>
      </c>
      <c r="W1576" s="759"/>
      <c r="X1576" s="771"/>
      <c r="Y1576" s="977"/>
      <c r="Z1576" s="758"/>
      <c r="AA1576" s="758" t="str">
        <f t="shared" si="320"/>
        <v/>
      </c>
      <c r="AB1576" s="758" t="str">
        <f t="shared" si="321"/>
        <v/>
      </c>
      <c r="AC1576" s="758" t="str">
        <f t="shared" si="322"/>
        <v/>
      </c>
      <c r="AD1576" s="758" t="str">
        <f t="shared" si="323"/>
        <v>0</v>
      </c>
      <c r="AE1576" s="760"/>
      <c r="AF1576" s="760"/>
      <c r="AG1576" s="443"/>
      <c r="AH1576" s="443"/>
    </row>
    <row r="1577" spans="1:34">
      <c r="A1577" s="728">
        <f t="shared" si="319"/>
        <v>1570</v>
      </c>
      <c r="B1577" s="77"/>
      <c r="C1577" s="747"/>
      <c r="D1577" s="763" t="str">
        <f t="shared" si="310"/>
        <v>January</v>
      </c>
      <c r="E1577" s="763">
        <f t="shared" si="311"/>
        <v>0</v>
      </c>
      <c r="F1577" s="762">
        <f t="shared" si="312"/>
        <v>1900</v>
      </c>
      <c r="G1577" s="747"/>
      <c r="H1577" s="882"/>
      <c r="I1577" s="756"/>
      <c r="J1577" s="756"/>
      <c r="K1577" s="778">
        <f t="shared" si="313"/>
        <v>0</v>
      </c>
      <c r="L1577" s="976"/>
      <c r="M1577" s="736">
        <f t="shared" si="314"/>
        <v>0</v>
      </c>
      <c r="N1577" s="754"/>
      <c r="O1577" s="738">
        <f t="shared" si="315"/>
        <v>0</v>
      </c>
      <c r="P1577" s="757"/>
      <c r="Q1577" s="739">
        <f t="shared" si="316"/>
        <v>0</v>
      </c>
      <c r="R1577" s="757"/>
      <c r="S1577" s="755"/>
      <c r="T1577" s="277"/>
      <c r="U1577" s="758" t="str">
        <f t="shared" si="317"/>
        <v/>
      </c>
      <c r="V1577" s="758" t="str">
        <f t="shared" si="318"/>
        <v>1900</v>
      </c>
      <c r="W1577" s="759"/>
      <c r="X1577" s="771"/>
      <c r="Y1577" s="977"/>
      <c r="Z1577" s="758"/>
      <c r="AA1577" s="758" t="str">
        <f t="shared" si="320"/>
        <v/>
      </c>
      <c r="AB1577" s="758" t="str">
        <f t="shared" si="321"/>
        <v/>
      </c>
      <c r="AC1577" s="758" t="str">
        <f t="shared" si="322"/>
        <v/>
      </c>
      <c r="AD1577" s="758" t="str">
        <f t="shared" si="323"/>
        <v>0</v>
      </c>
      <c r="AE1577" s="760"/>
      <c r="AF1577" s="760"/>
      <c r="AG1577" s="443"/>
      <c r="AH1577" s="443"/>
    </row>
    <row r="1578" spans="1:34">
      <c r="A1578" s="728">
        <f t="shared" si="319"/>
        <v>1571</v>
      </c>
      <c r="B1578" s="77"/>
      <c r="C1578" s="747"/>
      <c r="D1578" s="763" t="str">
        <f t="shared" si="310"/>
        <v>January</v>
      </c>
      <c r="E1578" s="763">
        <f t="shared" si="311"/>
        <v>0</v>
      </c>
      <c r="F1578" s="762">
        <f t="shared" si="312"/>
        <v>1900</v>
      </c>
      <c r="G1578" s="747"/>
      <c r="H1578" s="882"/>
      <c r="I1578" s="756"/>
      <c r="J1578" s="756"/>
      <c r="K1578" s="778">
        <f t="shared" si="313"/>
        <v>0</v>
      </c>
      <c r="L1578" s="976"/>
      <c r="M1578" s="736">
        <f t="shared" si="314"/>
        <v>0</v>
      </c>
      <c r="N1578" s="754"/>
      <c r="O1578" s="738">
        <f t="shared" si="315"/>
        <v>0</v>
      </c>
      <c r="P1578" s="757"/>
      <c r="Q1578" s="739">
        <f t="shared" si="316"/>
        <v>0</v>
      </c>
      <c r="R1578" s="757"/>
      <c r="S1578" s="755"/>
      <c r="T1578" s="277"/>
      <c r="U1578" s="758" t="str">
        <f t="shared" si="317"/>
        <v/>
      </c>
      <c r="V1578" s="758" t="str">
        <f t="shared" si="318"/>
        <v>1900</v>
      </c>
      <c r="W1578" s="759"/>
      <c r="X1578" s="771"/>
      <c r="Y1578" s="977"/>
      <c r="Z1578" s="758"/>
      <c r="AA1578" s="758" t="str">
        <f t="shared" si="320"/>
        <v/>
      </c>
      <c r="AB1578" s="758" t="str">
        <f t="shared" si="321"/>
        <v/>
      </c>
      <c r="AC1578" s="758" t="str">
        <f t="shared" si="322"/>
        <v/>
      </c>
      <c r="AD1578" s="758" t="str">
        <f t="shared" si="323"/>
        <v>0</v>
      </c>
      <c r="AE1578" s="760"/>
      <c r="AF1578" s="760"/>
      <c r="AG1578" s="443"/>
      <c r="AH1578" s="443"/>
    </row>
    <row r="1579" spans="1:34">
      <c r="A1579" s="728">
        <f t="shared" si="319"/>
        <v>1572</v>
      </c>
      <c r="B1579" s="77"/>
      <c r="C1579" s="747"/>
      <c r="D1579" s="763" t="str">
        <f t="shared" si="310"/>
        <v>January</v>
      </c>
      <c r="E1579" s="763">
        <f t="shared" si="311"/>
        <v>0</v>
      </c>
      <c r="F1579" s="762">
        <f t="shared" si="312"/>
        <v>1900</v>
      </c>
      <c r="G1579" s="747"/>
      <c r="H1579" s="882"/>
      <c r="I1579" s="756"/>
      <c r="J1579" s="756"/>
      <c r="K1579" s="778">
        <f t="shared" si="313"/>
        <v>0</v>
      </c>
      <c r="L1579" s="976"/>
      <c r="M1579" s="736">
        <f t="shared" si="314"/>
        <v>0</v>
      </c>
      <c r="N1579" s="754"/>
      <c r="O1579" s="738">
        <f t="shared" si="315"/>
        <v>0</v>
      </c>
      <c r="P1579" s="757"/>
      <c r="Q1579" s="739">
        <f t="shared" si="316"/>
        <v>0</v>
      </c>
      <c r="R1579" s="757"/>
      <c r="S1579" s="755"/>
      <c r="T1579" s="277"/>
      <c r="U1579" s="758" t="str">
        <f t="shared" si="317"/>
        <v/>
      </c>
      <c r="V1579" s="758" t="str">
        <f t="shared" si="318"/>
        <v>1900</v>
      </c>
      <c r="W1579" s="759"/>
      <c r="X1579" s="771"/>
      <c r="Y1579" s="977"/>
      <c r="Z1579" s="758"/>
      <c r="AA1579" s="758" t="str">
        <f t="shared" si="320"/>
        <v/>
      </c>
      <c r="AB1579" s="758" t="str">
        <f t="shared" si="321"/>
        <v/>
      </c>
      <c r="AC1579" s="758" t="str">
        <f t="shared" si="322"/>
        <v/>
      </c>
      <c r="AD1579" s="758" t="str">
        <f t="shared" si="323"/>
        <v>0</v>
      </c>
      <c r="AE1579" s="760"/>
      <c r="AF1579" s="760"/>
      <c r="AG1579" s="443"/>
      <c r="AH1579" s="443"/>
    </row>
    <row r="1580" spans="1:34">
      <c r="A1580" s="728">
        <f t="shared" si="319"/>
        <v>1573</v>
      </c>
      <c r="B1580" s="77"/>
      <c r="C1580" s="747"/>
      <c r="D1580" s="763" t="str">
        <f t="shared" si="310"/>
        <v>January</v>
      </c>
      <c r="E1580" s="763">
        <f t="shared" si="311"/>
        <v>0</v>
      </c>
      <c r="F1580" s="762">
        <f t="shared" si="312"/>
        <v>1900</v>
      </c>
      <c r="G1580" s="747"/>
      <c r="H1580" s="882"/>
      <c r="I1580" s="756"/>
      <c r="J1580" s="756"/>
      <c r="K1580" s="778">
        <f t="shared" si="313"/>
        <v>0</v>
      </c>
      <c r="L1580" s="976"/>
      <c r="M1580" s="736">
        <f t="shared" si="314"/>
        <v>0</v>
      </c>
      <c r="N1580" s="754"/>
      <c r="O1580" s="738">
        <f t="shared" si="315"/>
        <v>0</v>
      </c>
      <c r="P1580" s="757"/>
      <c r="Q1580" s="739">
        <f t="shared" si="316"/>
        <v>0</v>
      </c>
      <c r="R1580" s="757"/>
      <c r="S1580" s="755"/>
      <c r="T1580" s="277"/>
      <c r="U1580" s="758" t="str">
        <f t="shared" si="317"/>
        <v/>
      </c>
      <c r="V1580" s="758" t="str">
        <f t="shared" si="318"/>
        <v>1900</v>
      </c>
      <c r="W1580" s="759"/>
      <c r="X1580" s="771"/>
      <c r="Y1580" s="977"/>
      <c r="Z1580" s="758"/>
      <c r="AA1580" s="758" t="str">
        <f t="shared" si="320"/>
        <v/>
      </c>
      <c r="AB1580" s="758" t="str">
        <f t="shared" si="321"/>
        <v/>
      </c>
      <c r="AC1580" s="758" t="str">
        <f t="shared" si="322"/>
        <v/>
      </c>
      <c r="AD1580" s="758" t="str">
        <f t="shared" si="323"/>
        <v>0</v>
      </c>
      <c r="AE1580" s="760"/>
      <c r="AF1580" s="760"/>
      <c r="AG1580" s="443"/>
      <c r="AH1580" s="443"/>
    </row>
    <row r="1581" spans="1:34">
      <c r="A1581" s="728">
        <f t="shared" si="319"/>
        <v>1574</v>
      </c>
      <c r="B1581" s="77"/>
      <c r="C1581" s="747"/>
      <c r="D1581" s="763" t="str">
        <f t="shared" si="310"/>
        <v>January</v>
      </c>
      <c r="E1581" s="763">
        <f t="shared" si="311"/>
        <v>0</v>
      </c>
      <c r="F1581" s="762">
        <f t="shared" si="312"/>
        <v>1900</v>
      </c>
      <c r="G1581" s="747"/>
      <c r="H1581" s="882"/>
      <c r="I1581" s="756"/>
      <c r="J1581" s="756"/>
      <c r="K1581" s="778">
        <f t="shared" si="313"/>
        <v>0</v>
      </c>
      <c r="L1581" s="976"/>
      <c r="M1581" s="736">
        <f t="shared" si="314"/>
        <v>0</v>
      </c>
      <c r="N1581" s="754"/>
      <c r="O1581" s="738">
        <f t="shared" si="315"/>
        <v>0</v>
      </c>
      <c r="P1581" s="757"/>
      <c r="Q1581" s="739">
        <f t="shared" si="316"/>
        <v>0</v>
      </c>
      <c r="R1581" s="757"/>
      <c r="S1581" s="755"/>
      <c r="T1581" s="277"/>
      <c r="U1581" s="758" t="str">
        <f t="shared" si="317"/>
        <v/>
      </c>
      <c r="V1581" s="758" t="str">
        <f t="shared" si="318"/>
        <v>1900</v>
      </c>
      <c r="W1581" s="759"/>
      <c r="X1581" s="771"/>
      <c r="Y1581" s="977"/>
      <c r="Z1581" s="758"/>
      <c r="AA1581" s="758" t="str">
        <f t="shared" si="320"/>
        <v/>
      </c>
      <c r="AB1581" s="758" t="str">
        <f t="shared" si="321"/>
        <v/>
      </c>
      <c r="AC1581" s="758" t="str">
        <f t="shared" si="322"/>
        <v/>
      </c>
      <c r="AD1581" s="758" t="str">
        <f t="shared" si="323"/>
        <v>0</v>
      </c>
      <c r="AE1581" s="760"/>
      <c r="AF1581" s="760"/>
      <c r="AG1581" s="443"/>
      <c r="AH1581" s="443"/>
    </row>
    <row r="1582" spans="1:34">
      <c r="A1582" s="728">
        <f t="shared" si="319"/>
        <v>1575</v>
      </c>
      <c r="B1582" s="77"/>
      <c r="C1582" s="747"/>
      <c r="D1582" s="763" t="str">
        <f t="shared" si="310"/>
        <v>January</v>
      </c>
      <c r="E1582" s="763">
        <f t="shared" si="311"/>
        <v>0</v>
      </c>
      <c r="F1582" s="762">
        <f t="shared" si="312"/>
        <v>1900</v>
      </c>
      <c r="G1582" s="747"/>
      <c r="H1582" s="882"/>
      <c r="I1582" s="756"/>
      <c r="J1582" s="756"/>
      <c r="K1582" s="778">
        <f t="shared" si="313"/>
        <v>0</v>
      </c>
      <c r="L1582" s="976"/>
      <c r="M1582" s="736">
        <f t="shared" si="314"/>
        <v>0</v>
      </c>
      <c r="N1582" s="754"/>
      <c r="O1582" s="738">
        <f t="shared" si="315"/>
        <v>0</v>
      </c>
      <c r="P1582" s="757"/>
      <c r="Q1582" s="739">
        <f t="shared" si="316"/>
        <v>0</v>
      </c>
      <c r="R1582" s="757"/>
      <c r="S1582" s="755"/>
      <c r="T1582" s="277"/>
      <c r="U1582" s="758" t="str">
        <f t="shared" si="317"/>
        <v/>
      </c>
      <c r="V1582" s="758" t="str">
        <f t="shared" si="318"/>
        <v>1900</v>
      </c>
      <c r="W1582" s="759"/>
      <c r="X1582" s="771"/>
      <c r="Y1582" s="977"/>
      <c r="Z1582" s="758"/>
      <c r="AA1582" s="758" t="str">
        <f t="shared" si="320"/>
        <v/>
      </c>
      <c r="AB1582" s="758" t="str">
        <f t="shared" si="321"/>
        <v/>
      </c>
      <c r="AC1582" s="758" t="str">
        <f t="shared" si="322"/>
        <v/>
      </c>
      <c r="AD1582" s="758" t="str">
        <f t="shared" si="323"/>
        <v>0</v>
      </c>
      <c r="AE1582" s="760"/>
      <c r="AF1582" s="760"/>
      <c r="AG1582" s="443"/>
      <c r="AH1582" s="443"/>
    </row>
    <row r="1583" spans="1:34">
      <c r="A1583" s="728">
        <f t="shared" si="319"/>
        <v>1576</v>
      </c>
      <c r="B1583" s="77"/>
      <c r="C1583" s="747"/>
      <c r="D1583" s="763" t="str">
        <f t="shared" si="310"/>
        <v>January</v>
      </c>
      <c r="E1583" s="763">
        <f t="shared" si="311"/>
        <v>0</v>
      </c>
      <c r="F1583" s="762">
        <f t="shared" si="312"/>
        <v>1900</v>
      </c>
      <c r="G1583" s="747"/>
      <c r="H1583" s="882"/>
      <c r="I1583" s="756"/>
      <c r="J1583" s="756"/>
      <c r="K1583" s="778">
        <f t="shared" si="313"/>
        <v>0</v>
      </c>
      <c r="L1583" s="976"/>
      <c r="M1583" s="736">
        <f t="shared" si="314"/>
        <v>0</v>
      </c>
      <c r="N1583" s="754"/>
      <c r="O1583" s="738">
        <f t="shared" si="315"/>
        <v>0</v>
      </c>
      <c r="P1583" s="757"/>
      <c r="Q1583" s="739">
        <f t="shared" si="316"/>
        <v>0</v>
      </c>
      <c r="R1583" s="757"/>
      <c r="S1583" s="755"/>
      <c r="T1583" s="277"/>
      <c r="U1583" s="758" t="str">
        <f t="shared" si="317"/>
        <v/>
      </c>
      <c r="V1583" s="758" t="str">
        <f t="shared" si="318"/>
        <v>1900</v>
      </c>
      <c r="W1583" s="759"/>
      <c r="X1583" s="771"/>
      <c r="Y1583" s="977"/>
      <c r="Z1583" s="758"/>
      <c r="AA1583" s="758" t="str">
        <f t="shared" si="320"/>
        <v/>
      </c>
      <c r="AB1583" s="758" t="str">
        <f t="shared" si="321"/>
        <v/>
      </c>
      <c r="AC1583" s="758" t="str">
        <f t="shared" si="322"/>
        <v/>
      </c>
      <c r="AD1583" s="758" t="str">
        <f t="shared" si="323"/>
        <v>0</v>
      </c>
      <c r="AE1583" s="760"/>
      <c r="AF1583" s="760"/>
      <c r="AG1583" s="443"/>
      <c r="AH1583" s="443"/>
    </row>
    <row r="1584" spans="1:34">
      <c r="A1584" s="728">
        <f t="shared" si="319"/>
        <v>1577</v>
      </c>
      <c r="B1584" s="77"/>
      <c r="C1584" s="747"/>
      <c r="D1584" s="763" t="str">
        <f t="shared" si="310"/>
        <v>January</v>
      </c>
      <c r="E1584" s="763">
        <f t="shared" si="311"/>
        <v>0</v>
      </c>
      <c r="F1584" s="762">
        <f t="shared" si="312"/>
        <v>1900</v>
      </c>
      <c r="G1584" s="747"/>
      <c r="H1584" s="882"/>
      <c r="I1584" s="756"/>
      <c r="J1584" s="756"/>
      <c r="K1584" s="778">
        <f t="shared" si="313"/>
        <v>0</v>
      </c>
      <c r="L1584" s="976"/>
      <c r="M1584" s="736">
        <f t="shared" si="314"/>
        <v>0</v>
      </c>
      <c r="N1584" s="754"/>
      <c r="O1584" s="738">
        <f t="shared" si="315"/>
        <v>0</v>
      </c>
      <c r="P1584" s="757"/>
      <c r="Q1584" s="739">
        <f t="shared" si="316"/>
        <v>0</v>
      </c>
      <c r="R1584" s="757"/>
      <c r="S1584" s="755"/>
      <c r="T1584" s="277"/>
      <c r="U1584" s="758" t="str">
        <f t="shared" si="317"/>
        <v/>
      </c>
      <c r="V1584" s="758" t="str">
        <f t="shared" si="318"/>
        <v>1900</v>
      </c>
      <c r="W1584" s="759"/>
      <c r="X1584" s="771"/>
      <c r="Y1584" s="977"/>
      <c r="Z1584" s="758"/>
      <c r="AA1584" s="758" t="str">
        <f t="shared" si="320"/>
        <v/>
      </c>
      <c r="AB1584" s="758" t="str">
        <f t="shared" si="321"/>
        <v/>
      </c>
      <c r="AC1584" s="758" t="str">
        <f t="shared" si="322"/>
        <v/>
      </c>
      <c r="AD1584" s="758" t="str">
        <f t="shared" si="323"/>
        <v>0</v>
      </c>
      <c r="AE1584" s="760"/>
      <c r="AF1584" s="760"/>
      <c r="AG1584" s="443"/>
      <c r="AH1584" s="443"/>
    </row>
    <row r="1585" spans="1:34">
      <c r="A1585" s="728">
        <f t="shared" si="319"/>
        <v>1578</v>
      </c>
      <c r="B1585" s="77"/>
      <c r="C1585" s="747"/>
      <c r="D1585" s="763" t="str">
        <f t="shared" si="310"/>
        <v>January</v>
      </c>
      <c r="E1585" s="763">
        <f t="shared" si="311"/>
        <v>0</v>
      </c>
      <c r="F1585" s="762">
        <f t="shared" si="312"/>
        <v>1900</v>
      </c>
      <c r="G1585" s="747"/>
      <c r="H1585" s="882"/>
      <c r="I1585" s="756"/>
      <c r="J1585" s="756"/>
      <c r="K1585" s="778">
        <f t="shared" si="313"/>
        <v>0</v>
      </c>
      <c r="L1585" s="976"/>
      <c r="M1585" s="736">
        <f t="shared" si="314"/>
        <v>0</v>
      </c>
      <c r="N1585" s="754"/>
      <c r="O1585" s="738">
        <f t="shared" si="315"/>
        <v>0</v>
      </c>
      <c r="P1585" s="757"/>
      <c r="Q1585" s="739">
        <f t="shared" si="316"/>
        <v>0</v>
      </c>
      <c r="R1585" s="757"/>
      <c r="S1585" s="755"/>
      <c r="T1585" s="277"/>
      <c r="U1585" s="758" t="str">
        <f t="shared" si="317"/>
        <v/>
      </c>
      <c r="V1585" s="758" t="str">
        <f t="shared" si="318"/>
        <v>1900</v>
      </c>
      <c r="W1585" s="759"/>
      <c r="X1585" s="771"/>
      <c r="Y1585" s="977"/>
      <c r="Z1585" s="758"/>
      <c r="AA1585" s="758" t="str">
        <f t="shared" si="320"/>
        <v/>
      </c>
      <c r="AB1585" s="758" t="str">
        <f t="shared" si="321"/>
        <v/>
      </c>
      <c r="AC1585" s="758" t="str">
        <f t="shared" si="322"/>
        <v/>
      </c>
      <c r="AD1585" s="758" t="str">
        <f t="shared" si="323"/>
        <v>0</v>
      </c>
      <c r="AE1585" s="760"/>
      <c r="AF1585" s="760"/>
      <c r="AG1585" s="443"/>
      <c r="AH1585" s="443"/>
    </row>
    <row r="1586" spans="1:34">
      <c r="A1586" s="728">
        <f t="shared" si="319"/>
        <v>1579</v>
      </c>
      <c r="B1586" s="77"/>
      <c r="C1586" s="747"/>
      <c r="D1586" s="763" t="str">
        <f t="shared" si="310"/>
        <v>January</v>
      </c>
      <c r="E1586" s="763">
        <f t="shared" si="311"/>
        <v>0</v>
      </c>
      <c r="F1586" s="762">
        <f t="shared" si="312"/>
        <v>1900</v>
      </c>
      <c r="G1586" s="747"/>
      <c r="H1586" s="882"/>
      <c r="I1586" s="756"/>
      <c r="J1586" s="756"/>
      <c r="K1586" s="778">
        <f t="shared" si="313"/>
        <v>0</v>
      </c>
      <c r="L1586" s="976"/>
      <c r="M1586" s="736">
        <f t="shared" si="314"/>
        <v>0</v>
      </c>
      <c r="N1586" s="754"/>
      <c r="O1586" s="738">
        <f t="shared" si="315"/>
        <v>0</v>
      </c>
      <c r="P1586" s="757"/>
      <c r="Q1586" s="739">
        <f t="shared" si="316"/>
        <v>0</v>
      </c>
      <c r="R1586" s="757"/>
      <c r="S1586" s="755"/>
      <c r="T1586" s="277"/>
      <c r="U1586" s="758" t="str">
        <f t="shared" si="317"/>
        <v/>
      </c>
      <c r="V1586" s="758" t="str">
        <f t="shared" si="318"/>
        <v>1900</v>
      </c>
      <c r="W1586" s="759"/>
      <c r="X1586" s="771"/>
      <c r="Y1586" s="977"/>
      <c r="Z1586" s="758"/>
      <c r="AA1586" s="758" t="str">
        <f t="shared" si="320"/>
        <v/>
      </c>
      <c r="AB1586" s="758" t="str">
        <f t="shared" si="321"/>
        <v/>
      </c>
      <c r="AC1586" s="758" t="str">
        <f t="shared" si="322"/>
        <v/>
      </c>
      <c r="AD1586" s="758" t="str">
        <f t="shared" si="323"/>
        <v>0</v>
      </c>
      <c r="AE1586" s="760"/>
      <c r="AF1586" s="760"/>
      <c r="AG1586" s="443"/>
      <c r="AH1586" s="443"/>
    </row>
    <row r="1587" spans="1:34">
      <c r="A1587" s="728">
        <f t="shared" si="319"/>
        <v>1580</v>
      </c>
      <c r="B1587" s="77"/>
      <c r="C1587" s="747"/>
      <c r="D1587" s="763" t="str">
        <f t="shared" si="310"/>
        <v>January</v>
      </c>
      <c r="E1587" s="763">
        <f t="shared" si="311"/>
        <v>0</v>
      </c>
      <c r="F1587" s="762">
        <f t="shared" si="312"/>
        <v>1900</v>
      </c>
      <c r="G1587" s="747"/>
      <c r="H1587" s="882"/>
      <c r="I1587" s="756"/>
      <c r="J1587" s="756"/>
      <c r="K1587" s="778">
        <f t="shared" si="313"/>
        <v>0</v>
      </c>
      <c r="L1587" s="976"/>
      <c r="M1587" s="736">
        <f t="shared" si="314"/>
        <v>0</v>
      </c>
      <c r="N1587" s="754"/>
      <c r="O1587" s="738">
        <f t="shared" si="315"/>
        <v>0</v>
      </c>
      <c r="P1587" s="757"/>
      <c r="Q1587" s="739">
        <f t="shared" si="316"/>
        <v>0</v>
      </c>
      <c r="R1587" s="757"/>
      <c r="S1587" s="755"/>
      <c r="T1587" s="277"/>
      <c r="U1587" s="758" t="str">
        <f t="shared" si="317"/>
        <v/>
      </c>
      <c r="V1587" s="758" t="str">
        <f t="shared" si="318"/>
        <v>1900</v>
      </c>
      <c r="W1587" s="759"/>
      <c r="X1587" s="771"/>
      <c r="Y1587" s="977"/>
      <c r="Z1587" s="758"/>
      <c r="AA1587" s="758" t="str">
        <f t="shared" si="320"/>
        <v/>
      </c>
      <c r="AB1587" s="758" t="str">
        <f t="shared" si="321"/>
        <v/>
      </c>
      <c r="AC1587" s="758" t="str">
        <f t="shared" si="322"/>
        <v/>
      </c>
      <c r="AD1587" s="758" t="str">
        <f t="shared" si="323"/>
        <v>0</v>
      </c>
      <c r="AE1587" s="760"/>
      <c r="AF1587" s="760"/>
      <c r="AG1587" s="443"/>
      <c r="AH1587" s="443"/>
    </row>
    <row r="1588" spans="1:34">
      <c r="A1588" s="728">
        <f t="shared" si="319"/>
        <v>1581</v>
      </c>
      <c r="B1588" s="77"/>
      <c r="C1588" s="747"/>
      <c r="D1588" s="763" t="str">
        <f t="shared" si="310"/>
        <v>January</v>
      </c>
      <c r="E1588" s="763">
        <f t="shared" si="311"/>
        <v>0</v>
      </c>
      <c r="F1588" s="762">
        <f t="shared" si="312"/>
        <v>1900</v>
      </c>
      <c r="G1588" s="747"/>
      <c r="H1588" s="882"/>
      <c r="I1588" s="756"/>
      <c r="J1588" s="756"/>
      <c r="K1588" s="778">
        <f t="shared" si="313"/>
        <v>0</v>
      </c>
      <c r="L1588" s="976"/>
      <c r="M1588" s="736">
        <f t="shared" si="314"/>
        <v>0</v>
      </c>
      <c r="N1588" s="754"/>
      <c r="O1588" s="738">
        <f t="shared" si="315"/>
        <v>0</v>
      </c>
      <c r="P1588" s="757"/>
      <c r="Q1588" s="739">
        <f t="shared" si="316"/>
        <v>0</v>
      </c>
      <c r="R1588" s="757"/>
      <c r="S1588" s="755"/>
      <c r="T1588" s="277"/>
      <c r="U1588" s="758" t="str">
        <f t="shared" si="317"/>
        <v/>
      </c>
      <c r="V1588" s="758" t="str">
        <f t="shared" si="318"/>
        <v>1900</v>
      </c>
      <c r="W1588" s="759"/>
      <c r="X1588" s="771"/>
      <c r="Y1588" s="977"/>
      <c r="Z1588" s="758"/>
      <c r="AA1588" s="758" t="str">
        <f t="shared" si="320"/>
        <v/>
      </c>
      <c r="AB1588" s="758" t="str">
        <f t="shared" si="321"/>
        <v/>
      </c>
      <c r="AC1588" s="758" t="str">
        <f t="shared" si="322"/>
        <v/>
      </c>
      <c r="AD1588" s="758" t="str">
        <f t="shared" si="323"/>
        <v>0</v>
      </c>
      <c r="AE1588" s="760"/>
      <c r="AF1588" s="760"/>
      <c r="AG1588" s="443"/>
      <c r="AH1588" s="443"/>
    </row>
    <row r="1589" spans="1:34">
      <c r="A1589" s="728">
        <f t="shared" si="319"/>
        <v>1582</v>
      </c>
      <c r="B1589" s="77"/>
      <c r="C1589" s="747"/>
      <c r="D1589" s="763" t="str">
        <f t="shared" si="310"/>
        <v>January</v>
      </c>
      <c r="E1589" s="763">
        <f t="shared" si="311"/>
        <v>0</v>
      </c>
      <c r="F1589" s="762">
        <f t="shared" si="312"/>
        <v>1900</v>
      </c>
      <c r="G1589" s="747"/>
      <c r="H1589" s="882"/>
      <c r="I1589" s="756"/>
      <c r="J1589" s="756"/>
      <c r="K1589" s="778">
        <f t="shared" si="313"/>
        <v>0</v>
      </c>
      <c r="L1589" s="976"/>
      <c r="M1589" s="736">
        <f t="shared" si="314"/>
        <v>0</v>
      </c>
      <c r="N1589" s="754"/>
      <c r="O1589" s="738">
        <f t="shared" si="315"/>
        <v>0</v>
      </c>
      <c r="P1589" s="757"/>
      <c r="Q1589" s="739">
        <f t="shared" si="316"/>
        <v>0</v>
      </c>
      <c r="R1589" s="757"/>
      <c r="S1589" s="755"/>
      <c r="T1589" s="277"/>
      <c r="U1589" s="758" t="str">
        <f t="shared" si="317"/>
        <v/>
      </c>
      <c r="V1589" s="758" t="str">
        <f t="shared" si="318"/>
        <v>1900</v>
      </c>
      <c r="W1589" s="759"/>
      <c r="X1589" s="771"/>
      <c r="Y1589" s="977"/>
      <c r="Z1589" s="758"/>
      <c r="AA1589" s="758" t="str">
        <f t="shared" si="320"/>
        <v/>
      </c>
      <c r="AB1589" s="758" t="str">
        <f t="shared" si="321"/>
        <v/>
      </c>
      <c r="AC1589" s="758" t="str">
        <f t="shared" si="322"/>
        <v/>
      </c>
      <c r="AD1589" s="758" t="str">
        <f t="shared" si="323"/>
        <v>0</v>
      </c>
      <c r="AE1589" s="760"/>
      <c r="AF1589" s="760"/>
      <c r="AG1589" s="443"/>
      <c r="AH1589" s="443"/>
    </row>
    <row r="1590" spans="1:34">
      <c r="A1590" s="728">
        <f t="shared" si="319"/>
        <v>1583</v>
      </c>
      <c r="B1590" s="77"/>
      <c r="C1590" s="747"/>
      <c r="D1590" s="763" t="str">
        <f t="shared" si="310"/>
        <v>January</v>
      </c>
      <c r="E1590" s="763">
        <f t="shared" si="311"/>
        <v>0</v>
      </c>
      <c r="F1590" s="762">
        <f t="shared" si="312"/>
        <v>1900</v>
      </c>
      <c r="G1590" s="747"/>
      <c r="H1590" s="882"/>
      <c r="I1590" s="756"/>
      <c r="J1590" s="756"/>
      <c r="K1590" s="778">
        <f t="shared" si="313"/>
        <v>0</v>
      </c>
      <c r="L1590" s="976"/>
      <c r="M1590" s="736">
        <f t="shared" si="314"/>
        <v>0</v>
      </c>
      <c r="N1590" s="754"/>
      <c r="O1590" s="738">
        <f t="shared" si="315"/>
        <v>0</v>
      </c>
      <c r="P1590" s="757"/>
      <c r="Q1590" s="739">
        <f t="shared" si="316"/>
        <v>0</v>
      </c>
      <c r="R1590" s="757"/>
      <c r="S1590" s="755"/>
      <c r="T1590" s="277"/>
      <c r="U1590" s="758" t="str">
        <f t="shared" si="317"/>
        <v/>
      </c>
      <c r="V1590" s="758" t="str">
        <f t="shared" si="318"/>
        <v>1900</v>
      </c>
      <c r="W1590" s="759"/>
      <c r="X1590" s="771"/>
      <c r="Y1590" s="977"/>
      <c r="Z1590" s="758"/>
      <c r="AA1590" s="758" t="str">
        <f t="shared" si="320"/>
        <v/>
      </c>
      <c r="AB1590" s="758" t="str">
        <f t="shared" si="321"/>
        <v/>
      </c>
      <c r="AC1590" s="758" t="str">
        <f t="shared" si="322"/>
        <v/>
      </c>
      <c r="AD1590" s="758" t="str">
        <f t="shared" si="323"/>
        <v>0</v>
      </c>
      <c r="AE1590" s="760"/>
      <c r="AF1590" s="760"/>
      <c r="AG1590" s="443"/>
      <c r="AH1590" s="443"/>
    </row>
    <row r="1591" spans="1:34">
      <c r="A1591" s="728">
        <f t="shared" si="319"/>
        <v>1584</v>
      </c>
      <c r="B1591" s="77"/>
      <c r="C1591" s="747"/>
      <c r="D1591" s="763" t="str">
        <f t="shared" si="310"/>
        <v>January</v>
      </c>
      <c r="E1591" s="763">
        <f t="shared" si="311"/>
        <v>0</v>
      </c>
      <c r="F1591" s="762">
        <f t="shared" si="312"/>
        <v>1900</v>
      </c>
      <c r="G1591" s="747"/>
      <c r="H1591" s="882"/>
      <c r="I1591" s="756"/>
      <c r="J1591" s="756"/>
      <c r="K1591" s="778">
        <f t="shared" si="313"/>
        <v>0</v>
      </c>
      <c r="L1591" s="976"/>
      <c r="M1591" s="736">
        <f t="shared" si="314"/>
        <v>0</v>
      </c>
      <c r="N1591" s="754"/>
      <c r="O1591" s="738">
        <f t="shared" si="315"/>
        <v>0</v>
      </c>
      <c r="P1591" s="757"/>
      <c r="Q1591" s="739">
        <f t="shared" si="316"/>
        <v>0</v>
      </c>
      <c r="R1591" s="757"/>
      <c r="S1591" s="755"/>
      <c r="T1591" s="277"/>
      <c r="U1591" s="758" t="str">
        <f t="shared" si="317"/>
        <v/>
      </c>
      <c r="V1591" s="758" t="str">
        <f t="shared" si="318"/>
        <v>1900</v>
      </c>
      <c r="W1591" s="759"/>
      <c r="X1591" s="771"/>
      <c r="Y1591" s="977"/>
      <c r="Z1591" s="758"/>
      <c r="AA1591" s="758" t="str">
        <f t="shared" si="320"/>
        <v/>
      </c>
      <c r="AB1591" s="758" t="str">
        <f t="shared" si="321"/>
        <v/>
      </c>
      <c r="AC1591" s="758" t="str">
        <f t="shared" si="322"/>
        <v/>
      </c>
      <c r="AD1591" s="758" t="str">
        <f t="shared" si="323"/>
        <v>0</v>
      </c>
      <c r="AE1591" s="760"/>
      <c r="AF1591" s="760"/>
      <c r="AG1591" s="443"/>
      <c r="AH1591" s="443"/>
    </row>
    <row r="1592" spans="1:34">
      <c r="A1592" s="728">
        <f t="shared" si="319"/>
        <v>1585</v>
      </c>
      <c r="B1592" s="77"/>
      <c r="C1592" s="747"/>
      <c r="D1592" s="763" t="str">
        <f t="shared" si="310"/>
        <v>January</v>
      </c>
      <c r="E1592" s="763">
        <f t="shared" si="311"/>
        <v>0</v>
      </c>
      <c r="F1592" s="762">
        <f t="shared" si="312"/>
        <v>1900</v>
      </c>
      <c r="G1592" s="747"/>
      <c r="H1592" s="882"/>
      <c r="I1592" s="756"/>
      <c r="J1592" s="756"/>
      <c r="K1592" s="778">
        <f t="shared" si="313"/>
        <v>0</v>
      </c>
      <c r="L1592" s="976"/>
      <c r="M1592" s="736">
        <f t="shared" si="314"/>
        <v>0</v>
      </c>
      <c r="N1592" s="754"/>
      <c r="O1592" s="738">
        <f t="shared" si="315"/>
        <v>0</v>
      </c>
      <c r="P1592" s="757"/>
      <c r="Q1592" s="739">
        <f t="shared" si="316"/>
        <v>0</v>
      </c>
      <c r="R1592" s="757"/>
      <c r="S1592" s="755"/>
      <c r="T1592" s="277"/>
      <c r="U1592" s="758" t="str">
        <f t="shared" si="317"/>
        <v/>
      </c>
      <c r="V1592" s="758" t="str">
        <f t="shared" si="318"/>
        <v>1900</v>
      </c>
      <c r="W1592" s="759"/>
      <c r="X1592" s="771"/>
      <c r="Y1592" s="977"/>
      <c r="Z1592" s="758"/>
      <c r="AA1592" s="758" t="str">
        <f t="shared" si="320"/>
        <v/>
      </c>
      <c r="AB1592" s="758" t="str">
        <f t="shared" si="321"/>
        <v/>
      </c>
      <c r="AC1592" s="758" t="str">
        <f t="shared" si="322"/>
        <v/>
      </c>
      <c r="AD1592" s="758" t="str">
        <f t="shared" si="323"/>
        <v>0</v>
      </c>
      <c r="AE1592" s="760"/>
      <c r="AF1592" s="760"/>
      <c r="AG1592" s="443"/>
      <c r="AH1592" s="443"/>
    </row>
    <row r="1593" spans="1:34">
      <c r="A1593" s="728">
        <f t="shared" si="319"/>
        <v>1586</v>
      </c>
      <c r="B1593" s="77"/>
      <c r="C1593" s="747"/>
      <c r="D1593" s="763" t="str">
        <f t="shared" ref="D1593:D1656" si="324">TEXT(C1593,"mmmm")</f>
        <v>January</v>
      </c>
      <c r="E1593" s="763">
        <f t="shared" ref="E1593:E1656" si="325">DAY(C1593)</f>
        <v>0</v>
      </c>
      <c r="F1593" s="762">
        <f t="shared" ref="F1593:F1656" si="326">YEAR(C1593)</f>
        <v>1900</v>
      </c>
      <c r="G1593" s="747"/>
      <c r="H1593" s="882"/>
      <c r="I1593" s="756"/>
      <c r="J1593" s="756"/>
      <c r="K1593" s="778">
        <f t="shared" ref="K1593:K1656" si="327">+(I1593/1760)*J1593</f>
        <v>0</v>
      </c>
      <c r="L1593" s="976"/>
      <c r="M1593" s="736">
        <f t="shared" ref="M1593:M1656" si="328">HOUR(O1593)</f>
        <v>0</v>
      </c>
      <c r="N1593" s="754"/>
      <c r="O1593" s="738">
        <f t="shared" ref="O1593:O1656" si="329">+N1593</f>
        <v>0</v>
      </c>
      <c r="P1593" s="757"/>
      <c r="Q1593" s="739">
        <f t="shared" ref="Q1593:Q1656" si="330">+P1593-O1593</f>
        <v>0</v>
      </c>
      <c r="R1593" s="757"/>
      <c r="S1593" s="755"/>
      <c r="T1593" s="277"/>
      <c r="U1593" s="758" t="str">
        <f t="shared" si="317"/>
        <v/>
      </c>
      <c r="V1593" s="758" t="str">
        <f t="shared" si="318"/>
        <v>1900</v>
      </c>
      <c r="W1593" s="759"/>
      <c r="X1593" s="771"/>
      <c r="Y1593" s="977"/>
      <c r="Z1593" s="758"/>
      <c r="AA1593" s="758" t="str">
        <f t="shared" si="320"/>
        <v/>
      </c>
      <c r="AB1593" s="758" t="str">
        <f t="shared" si="321"/>
        <v/>
      </c>
      <c r="AC1593" s="758" t="str">
        <f t="shared" si="322"/>
        <v/>
      </c>
      <c r="AD1593" s="758" t="str">
        <f t="shared" si="323"/>
        <v>0</v>
      </c>
      <c r="AE1593" s="760"/>
      <c r="AF1593" s="760"/>
      <c r="AG1593" s="443"/>
      <c r="AH1593" s="443"/>
    </row>
    <row r="1594" spans="1:34">
      <c r="A1594" s="728">
        <f t="shared" si="319"/>
        <v>1587</v>
      </c>
      <c r="B1594" s="77"/>
      <c r="C1594" s="747"/>
      <c r="D1594" s="763" t="str">
        <f t="shared" si="324"/>
        <v>January</v>
      </c>
      <c r="E1594" s="763">
        <f t="shared" si="325"/>
        <v>0</v>
      </c>
      <c r="F1594" s="762">
        <f t="shared" si="326"/>
        <v>1900</v>
      </c>
      <c r="G1594" s="747"/>
      <c r="H1594" s="882"/>
      <c r="I1594" s="756"/>
      <c r="J1594" s="756"/>
      <c r="K1594" s="778">
        <f t="shared" si="327"/>
        <v>0</v>
      </c>
      <c r="L1594" s="976"/>
      <c r="M1594" s="736">
        <f t="shared" si="328"/>
        <v>0</v>
      </c>
      <c r="N1594" s="754"/>
      <c r="O1594" s="738">
        <f t="shared" si="329"/>
        <v>0</v>
      </c>
      <c r="P1594" s="757"/>
      <c r="Q1594" s="739">
        <f t="shared" si="330"/>
        <v>0</v>
      </c>
      <c r="R1594" s="757"/>
      <c r="S1594" s="755"/>
      <c r="T1594" s="277"/>
      <c r="U1594" s="758" t="str">
        <f t="shared" si="317"/>
        <v/>
      </c>
      <c r="V1594" s="758" t="str">
        <f t="shared" si="318"/>
        <v>1900</v>
      </c>
      <c r="W1594" s="759"/>
      <c r="X1594" s="771"/>
      <c r="Y1594" s="977"/>
      <c r="Z1594" s="758"/>
      <c r="AA1594" s="758" t="str">
        <f t="shared" si="320"/>
        <v/>
      </c>
      <c r="AB1594" s="758" t="str">
        <f t="shared" si="321"/>
        <v/>
      </c>
      <c r="AC1594" s="758" t="str">
        <f t="shared" si="322"/>
        <v/>
      </c>
      <c r="AD1594" s="758" t="str">
        <f t="shared" si="323"/>
        <v>0</v>
      </c>
      <c r="AE1594" s="760"/>
      <c r="AF1594" s="760"/>
      <c r="AG1594" s="443"/>
      <c r="AH1594" s="443"/>
    </row>
    <row r="1595" spans="1:34">
      <c r="A1595" s="728">
        <f t="shared" si="319"/>
        <v>1588</v>
      </c>
      <c r="B1595" s="77"/>
      <c r="C1595" s="747"/>
      <c r="D1595" s="763" t="str">
        <f t="shared" si="324"/>
        <v>January</v>
      </c>
      <c r="E1595" s="763">
        <f t="shared" si="325"/>
        <v>0</v>
      </c>
      <c r="F1595" s="762">
        <f t="shared" si="326"/>
        <v>1900</v>
      </c>
      <c r="G1595" s="747"/>
      <c r="H1595" s="882"/>
      <c r="I1595" s="756"/>
      <c r="J1595" s="756"/>
      <c r="K1595" s="778">
        <f t="shared" si="327"/>
        <v>0</v>
      </c>
      <c r="L1595" s="976"/>
      <c r="M1595" s="736">
        <f t="shared" si="328"/>
        <v>0</v>
      </c>
      <c r="N1595" s="754"/>
      <c r="O1595" s="738">
        <f t="shared" si="329"/>
        <v>0</v>
      </c>
      <c r="P1595" s="757"/>
      <c r="Q1595" s="739">
        <f t="shared" si="330"/>
        <v>0</v>
      </c>
      <c r="R1595" s="757"/>
      <c r="S1595" s="755"/>
      <c r="T1595" s="277"/>
      <c r="U1595" s="758" t="str">
        <f t="shared" si="317"/>
        <v/>
      </c>
      <c r="V1595" s="758" t="str">
        <f t="shared" si="318"/>
        <v>1900</v>
      </c>
      <c r="W1595" s="759"/>
      <c r="X1595" s="771"/>
      <c r="Y1595" s="977"/>
      <c r="Z1595" s="758"/>
      <c r="AA1595" s="758" t="str">
        <f t="shared" si="320"/>
        <v/>
      </c>
      <c r="AB1595" s="758" t="str">
        <f t="shared" si="321"/>
        <v/>
      </c>
      <c r="AC1595" s="758" t="str">
        <f t="shared" si="322"/>
        <v/>
      </c>
      <c r="AD1595" s="758" t="str">
        <f t="shared" si="323"/>
        <v>0</v>
      </c>
      <c r="AE1595" s="760"/>
      <c r="AF1595" s="760"/>
      <c r="AG1595" s="443"/>
      <c r="AH1595" s="443"/>
    </row>
    <row r="1596" spans="1:34">
      <c r="A1596" s="728">
        <f t="shared" si="319"/>
        <v>1589</v>
      </c>
      <c r="B1596" s="77"/>
      <c r="C1596" s="747"/>
      <c r="D1596" s="763" t="str">
        <f t="shared" si="324"/>
        <v>January</v>
      </c>
      <c r="E1596" s="763">
        <f t="shared" si="325"/>
        <v>0</v>
      </c>
      <c r="F1596" s="762">
        <f t="shared" si="326"/>
        <v>1900</v>
      </c>
      <c r="G1596" s="747"/>
      <c r="H1596" s="882"/>
      <c r="I1596" s="756"/>
      <c r="J1596" s="756"/>
      <c r="K1596" s="778">
        <f t="shared" si="327"/>
        <v>0</v>
      </c>
      <c r="L1596" s="976"/>
      <c r="M1596" s="736">
        <f t="shared" si="328"/>
        <v>0</v>
      </c>
      <c r="N1596" s="754"/>
      <c r="O1596" s="738">
        <f t="shared" si="329"/>
        <v>0</v>
      </c>
      <c r="P1596" s="757"/>
      <c r="Q1596" s="739">
        <f t="shared" si="330"/>
        <v>0</v>
      </c>
      <c r="R1596" s="757"/>
      <c r="S1596" s="755"/>
      <c r="T1596" s="277"/>
      <c r="U1596" s="758" t="str">
        <f t="shared" si="317"/>
        <v/>
      </c>
      <c r="V1596" s="758" t="str">
        <f t="shared" si="318"/>
        <v>1900</v>
      </c>
      <c r="W1596" s="759"/>
      <c r="X1596" s="771"/>
      <c r="Y1596" s="977"/>
      <c r="Z1596" s="758"/>
      <c r="AA1596" s="758" t="str">
        <f t="shared" si="320"/>
        <v/>
      </c>
      <c r="AB1596" s="758" t="str">
        <f t="shared" si="321"/>
        <v/>
      </c>
      <c r="AC1596" s="758" t="str">
        <f t="shared" si="322"/>
        <v/>
      </c>
      <c r="AD1596" s="758" t="str">
        <f t="shared" si="323"/>
        <v>0</v>
      </c>
      <c r="AE1596" s="760"/>
      <c r="AF1596" s="760"/>
      <c r="AG1596" s="443"/>
      <c r="AH1596" s="443"/>
    </row>
    <row r="1597" spans="1:34">
      <c r="A1597" s="728">
        <f t="shared" si="319"/>
        <v>1590</v>
      </c>
      <c r="B1597" s="77"/>
      <c r="C1597" s="747"/>
      <c r="D1597" s="763" t="str">
        <f t="shared" si="324"/>
        <v>January</v>
      </c>
      <c r="E1597" s="763">
        <f t="shared" si="325"/>
        <v>0</v>
      </c>
      <c r="F1597" s="762">
        <f t="shared" si="326"/>
        <v>1900</v>
      </c>
      <c r="G1597" s="747"/>
      <c r="H1597" s="882"/>
      <c r="I1597" s="756"/>
      <c r="J1597" s="756"/>
      <c r="K1597" s="778">
        <f t="shared" si="327"/>
        <v>0</v>
      </c>
      <c r="L1597" s="976"/>
      <c r="M1597" s="736">
        <f t="shared" si="328"/>
        <v>0</v>
      </c>
      <c r="N1597" s="754"/>
      <c r="O1597" s="738">
        <f t="shared" si="329"/>
        <v>0</v>
      </c>
      <c r="P1597" s="757"/>
      <c r="Q1597" s="739">
        <f t="shared" si="330"/>
        <v>0</v>
      </c>
      <c r="R1597" s="757"/>
      <c r="S1597" s="755"/>
      <c r="T1597" s="277"/>
      <c r="U1597" s="758" t="str">
        <f t="shared" si="317"/>
        <v/>
      </c>
      <c r="V1597" s="758" t="str">
        <f t="shared" si="318"/>
        <v>1900</v>
      </c>
      <c r="W1597" s="759"/>
      <c r="X1597" s="771"/>
      <c r="Y1597" s="977"/>
      <c r="Z1597" s="758"/>
      <c r="AA1597" s="758" t="str">
        <f t="shared" si="320"/>
        <v/>
      </c>
      <c r="AB1597" s="758" t="str">
        <f t="shared" si="321"/>
        <v/>
      </c>
      <c r="AC1597" s="758" t="str">
        <f t="shared" si="322"/>
        <v/>
      </c>
      <c r="AD1597" s="758" t="str">
        <f t="shared" si="323"/>
        <v>0</v>
      </c>
      <c r="AE1597" s="760"/>
      <c r="AF1597" s="760"/>
      <c r="AG1597" s="443"/>
      <c r="AH1597" s="443"/>
    </row>
    <row r="1598" spans="1:34">
      <c r="A1598" s="728">
        <f t="shared" si="319"/>
        <v>1591</v>
      </c>
      <c r="B1598" s="77"/>
      <c r="C1598" s="747"/>
      <c r="D1598" s="763" t="str">
        <f t="shared" si="324"/>
        <v>January</v>
      </c>
      <c r="E1598" s="763">
        <f t="shared" si="325"/>
        <v>0</v>
      </c>
      <c r="F1598" s="762">
        <f t="shared" si="326"/>
        <v>1900</v>
      </c>
      <c r="G1598" s="747"/>
      <c r="H1598" s="882"/>
      <c r="I1598" s="756"/>
      <c r="J1598" s="756"/>
      <c r="K1598" s="778">
        <f t="shared" si="327"/>
        <v>0</v>
      </c>
      <c r="L1598" s="976"/>
      <c r="M1598" s="736">
        <f t="shared" si="328"/>
        <v>0</v>
      </c>
      <c r="N1598" s="754"/>
      <c r="O1598" s="738">
        <f t="shared" si="329"/>
        <v>0</v>
      </c>
      <c r="P1598" s="757"/>
      <c r="Q1598" s="739">
        <f t="shared" si="330"/>
        <v>0</v>
      </c>
      <c r="R1598" s="757"/>
      <c r="S1598" s="755"/>
      <c r="T1598" s="277"/>
      <c r="U1598" s="758" t="str">
        <f t="shared" si="317"/>
        <v/>
      </c>
      <c r="V1598" s="758" t="str">
        <f t="shared" si="318"/>
        <v>1900</v>
      </c>
      <c r="W1598" s="759"/>
      <c r="X1598" s="771"/>
      <c r="Y1598" s="977"/>
      <c r="Z1598" s="758"/>
      <c r="AA1598" s="758" t="str">
        <f t="shared" si="320"/>
        <v/>
      </c>
      <c r="AB1598" s="758" t="str">
        <f t="shared" si="321"/>
        <v/>
      </c>
      <c r="AC1598" s="758" t="str">
        <f t="shared" si="322"/>
        <v/>
      </c>
      <c r="AD1598" s="758" t="str">
        <f t="shared" si="323"/>
        <v>0</v>
      </c>
      <c r="AE1598" s="760"/>
      <c r="AF1598" s="760"/>
      <c r="AG1598" s="443"/>
      <c r="AH1598" s="443"/>
    </row>
    <row r="1599" spans="1:34">
      <c r="A1599" s="728">
        <f t="shared" si="319"/>
        <v>1592</v>
      </c>
      <c r="B1599" s="77"/>
      <c r="C1599" s="747"/>
      <c r="D1599" s="763" t="str">
        <f t="shared" si="324"/>
        <v>January</v>
      </c>
      <c r="E1599" s="763">
        <f t="shared" si="325"/>
        <v>0</v>
      </c>
      <c r="F1599" s="762">
        <f t="shared" si="326"/>
        <v>1900</v>
      </c>
      <c r="G1599" s="747"/>
      <c r="H1599" s="882"/>
      <c r="I1599" s="756"/>
      <c r="J1599" s="756"/>
      <c r="K1599" s="778">
        <f t="shared" si="327"/>
        <v>0</v>
      </c>
      <c r="L1599" s="976"/>
      <c r="M1599" s="736">
        <f t="shared" si="328"/>
        <v>0</v>
      </c>
      <c r="N1599" s="754"/>
      <c r="O1599" s="738">
        <f t="shared" si="329"/>
        <v>0</v>
      </c>
      <c r="P1599" s="757"/>
      <c r="Q1599" s="739">
        <f t="shared" si="330"/>
        <v>0</v>
      </c>
      <c r="R1599" s="757"/>
      <c r="S1599" s="755"/>
      <c r="T1599" s="277"/>
      <c r="U1599" s="758" t="str">
        <f t="shared" si="317"/>
        <v/>
      </c>
      <c r="V1599" s="758" t="str">
        <f t="shared" si="318"/>
        <v>1900</v>
      </c>
      <c r="W1599" s="759"/>
      <c r="X1599" s="771"/>
      <c r="Y1599" s="977"/>
      <c r="Z1599" s="758"/>
      <c r="AA1599" s="758" t="str">
        <f t="shared" si="320"/>
        <v/>
      </c>
      <c r="AB1599" s="758" t="str">
        <f t="shared" si="321"/>
        <v/>
      </c>
      <c r="AC1599" s="758" t="str">
        <f t="shared" si="322"/>
        <v/>
      </c>
      <c r="AD1599" s="758" t="str">
        <f t="shared" si="323"/>
        <v>0</v>
      </c>
      <c r="AE1599" s="760"/>
      <c r="AF1599" s="760"/>
      <c r="AG1599" s="443"/>
      <c r="AH1599" s="443"/>
    </row>
    <row r="1600" spans="1:34">
      <c r="A1600" s="728">
        <f t="shared" si="319"/>
        <v>1593</v>
      </c>
      <c r="B1600" s="77"/>
      <c r="C1600" s="747"/>
      <c r="D1600" s="763" t="str">
        <f t="shared" si="324"/>
        <v>January</v>
      </c>
      <c r="E1600" s="763">
        <f t="shared" si="325"/>
        <v>0</v>
      </c>
      <c r="F1600" s="762">
        <f t="shared" si="326"/>
        <v>1900</v>
      </c>
      <c r="G1600" s="747"/>
      <c r="H1600" s="882"/>
      <c r="I1600" s="756"/>
      <c r="J1600" s="756"/>
      <c r="K1600" s="778">
        <f t="shared" si="327"/>
        <v>0</v>
      </c>
      <c r="L1600" s="976"/>
      <c r="M1600" s="736">
        <f t="shared" si="328"/>
        <v>0</v>
      </c>
      <c r="N1600" s="754"/>
      <c r="O1600" s="738">
        <f t="shared" si="329"/>
        <v>0</v>
      </c>
      <c r="P1600" s="757"/>
      <c r="Q1600" s="739">
        <f t="shared" si="330"/>
        <v>0</v>
      </c>
      <c r="R1600" s="757"/>
      <c r="S1600" s="755"/>
      <c r="T1600" s="277"/>
      <c r="U1600" s="758" t="str">
        <f t="shared" si="317"/>
        <v/>
      </c>
      <c r="V1600" s="758" t="str">
        <f t="shared" si="318"/>
        <v>1900</v>
      </c>
      <c r="W1600" s="759"/>
      <c r="X1600" s="771"/>
      <c r="Y1600" s="977"/>
      <c r="Z1600" s="758"/>
      <c r="AA1600" s="758" t="str">
        <f t="shared" si="320"/>
        <v/>
      </c>
      <c r="AB1600" s="758" t="str">
        <f t="shared" si="321"/>
        <v/>
      </c>
      <c r="AC1600" s="758" t="str">
        <f t="shared" si="322"/>
        <v/>
      </c>
      <c r="AD1600" s="758" t="str">
        <f t="shared" si="323"/>
        <v>0</v>
      </c>
      <c r="AE1600" s="760"/>
      <c r="AF1600" s="760"/>
      <c r="AG1600" s="443"/>
      <c r="AH1600" s="443"/>
    </row>
    <row r="1601" spans="1:34">
      <c r="A1601" s="728">
        <f t="shared" si="319"/>
        <v>1594</v>
      </c>
      <c r="B1601" s="77"/>
      <c r="C1601" s="747"/>
      <c r="D1601" s="763" t="str">
        <f t="shared" si="324"/>
        <v>January</v>
      </c>
      <c r="E1601" s="763">
        <f t="shared" si="325"/>
        <v>0</v>
      </c>
      <c r="F1601" s="762">
        <f t="shared" si="326"/>
        <v>1900</v>
      </c>
      <c r="G1601" s="747"/>
      <c r="H1601" s="882"/>
      <c r="I1601" s="756"/>
      <c r="J1601" s="756"/>
      <c r="K1601" s="778">
        <f t="shared" si="327"/>
        <v>0</v>
      </c>
      <c r="L1601" s="976"/>
      <c r="M1601" s="736">
        <f t="shared" si="328"/>
        <v>0</v>
      </c>
      <c r="N1601" s="754"/>
      <c r="O1601" s="738">
        <f t="shared" si="329"/>
        <v>0</v>
      </c>
      <c r="P1601" s="757"/>
      <c r="Q1601" s="739">
        <f t="shared" si="330"/>
        <v>0</v>
      </c>
      <c r="R1601" s="757"/>
      <c r="S1601" s="755"/>
      <c r="T1601" s="277"/>
      <c r="U1601" s="758" t="str">
        <f t="shared" si="317"/>
        <v/>
      </c>
      <c r="V1601" s="758" t="str">
        <f t="shared" si="318"/>
        <v>1900</v>
      </c>
      <c r="W1601" s="759"/>
      <c r="X1601" s="771"/>
      <c r="Y1601" s="977"/>
      <c r="Z1601" s="758"/>
      <c r="AA1601" s="758" t="str">
        <f t="shared" si="320"/>
        <v/>
      </c>
      <c r="AB1601" s="758" t="str">
        <f t="shared" si="321"/>
        <v/>
      </c>
      <c r="AC1601" s="758" t="str">
        <f t="shared" si="322"/>
        <v/>
      </c>
      <c r="AD1601" s="758" t="str">
        <f t="shared" si="323"/>
        <v>0</v>
      </c>
      <c r="AE1601" s="760"/>
      <c r="AF1601" s="760"/>
      <c r="AG1601" s="443"/>
      <c r="AH1601" s="443"/>
    </row>
    <row r="1602" spans="1:34">
      <c r="A1602" s="728">
        <f t="shared" si="319"/>
        <v>1595</v>
      </c>
      <c r="B1602" s="77"/>
      <c r="C1602" s="747"/>
      <c r="D1602" s="763" t="str">
        <f t="shared" si="324"/>
        <v>January</v>
      </c>
      <c r="E1602" s="763">
        <f t="shared" si="325"/>
        <v>0</v>
      </c>
      <c r="F1602" s="762">
        <f t="shared" si="326"/>
        <v>1900</v>
      </c>
      <c r="G1602" s="747"/>
      <c r="H1602" s="882"/>
      <c r="I1602" s="756"/>
      <c r="J1602" s="756"/>
      <c r="K1602" s="778">
        <f t="shared" si="327"/>
        <v>0</v>
      </c>
      <c r="L1602" s="976"/>
      <c r="M1602" s="736">
        <f t="shared" si="328"/>
        <v>0</v>
      </c>
      <c r="N1602" s="754"/>
      <c r="O1602" s="738">
        <f t="shared" si="329"/>
        <v>0</v>
      </c>
      <c r="P1602" s="757"/>
      <c r="Q1602" s="739">
        <f t="shared" si="330"/>
        <v>0</v>
      </c>
      <c r="R1602" s="757"/>
      <c r="S1602" s="755"/>
      <c r="T1602" s="277"/>
      <c r="U1602" s="758" t="str">
        <f t="shared" si="317"/>
        <v/>
      </c>
      <c r="V1602" s="758" t="str">
        <f t="shared" si="318"/>
        <v>1900</v>
      </c>
      <c r="W1602" s="759"/>
      <c r="X1602" s="771"/>
      <c r="Y1602" s="977"/>
      <c r="Z1602" s="758"/>
      <c r="AA1602" s="758" t="str">
        <f t="shared" si="320"/>
        <v/>
      </c>
      <c r="AB1602" s="758" t="str">
        <f t="shared" si="321"/>
        <v/>
      </c>
      <c r="AC1602" s="758" t="str">
        <f t="shared" si="322"/>
        <v/>
      </c>
      <c r="AD1602" s="758" t="str">
        <f t="shared" si="323"/>
        <v>0</v>
      </c>
      <c r="AE1602" s="760"/>
      <c r="AF1602" s="760"/>
      <c r="AG1602" s="443"/>
      <c r="AH1602" s="443"/>
    </row>
    <row r="1603" spans="1:34">
      <c r="A1603" s="728">
        <f t="shared" si="319"/>
        <v>1596</v>
      </c>
      <c r="B1603" s="77"/>
      <c r="C1603" s="747"/>
      <c r="D1603" s="763" t="str">
        <f t="shared" si="324"/>
        <v>January</v>
      </c>
      <c r="E1603" s="763">
        <f t="shared" si="325"/>
        <v>0</v>
      </c>
      <c r="F1603" s="762">
        <f t="shared" si="326"/>
        <v>1900</v>
      </c>
      <c r="G1603" s="747"/>
      <c r="H1603" s="882"/>
      <c r="I1603" s="756"/>
      <c r="J1603" s="756"/>
      <c r="K1603" s="778">
        <f t="shared" si="327"/>
        <v>0</v>
      </c>
      <c r="L1603" s="976"/>
      <c r="M1603" s="736">
        <f t="shared" si="328"/>
        <v>0</v>
      </c>
      <c r="N1603" s="754"/>
      <c r="O1603" s="738">
        <f t="shared" si="329"/>
        <v>0</v>
      </c>
      <c r="P1603" s="757"/>
      <c r="Q1603" s="739">
        <f t="shared" si="330"/>
        <v>0</v>
      </c>
      <c r="R1603" s="757"/>
      <c r="S1603" s="755"/>
      <c r="T1603" s="277"/>
      <c r="U1603" s="758" t="str">
        <f t="shared" si="317"/>
        <v/>
      </c>
      <c r="V1603" s="758" t="str">
        <f t="shared" si="318"/>
        <v>1900</v>
      </c>
      <c r="W1603" s="759"/>
      <c r="X1603" s="771"/>
      <c r="Y1603" s="977"/>
      <c r="Z1603" s="758"/>
      <c r="AA1603" s="758" t="str">
        <f t="shared" si="320"/>
        <v/>
      </c>
      <c r="AB1603" s="758" t="str">
        <f t="shared" si="321"/>
        <v/>
      </c>
      <c r="AC1603" s="758" t="str">
        <f t="shared" si="322"/>
        <v/>
      </c>
      <c r="AD1603" s="758" t="str">
        <f t="shared" si="323"/>
        <v>0</v>
      </c>
      <c r="AE1603" s="760"/>
      <c r="AF1603" s="760"/>
      <c r="AG1603" s="443"/>
      <c r="AH1603" s="443"/>
    </row>
    <row r="1604" spans="1:34">
      <c r="A1604" s="728">
        <f t="shared" si="319"/>
        <v>1597</v>
      </c>
      <c r="B1604" s="77"/>
      <c r="C1604" s="747"/>
      <c r="D1604" s="763" t="str">
        <f t="shared" si="324"/>
        <v>January</v>
      </c>
      <c r="E1604" s="763">
        <f t="shared" si="325"/>
        <v>0</v>
      </c>
      <c r="F1604" s="762">
        <f t="shared" si="326"/>
        <v>1900</v>
      </c>
      <c r="G1604" s="747"/>
      <c r="H1604" s="882"/>
      <c r="I1604" s="756"/>
      <c r="J1604" s="756"/>
      <c r="K1604" s="778">
        <f t="shared" si="327"/>
        <v>0</v>
      </c>
      <c r="L1604" s="976"/>
      <c r="M1604" s="736">
        <f t="shared" si="328"/>
        <v>0</v>
      </c>
      <c r="N1604" s="754"/>
      <c r="O1604" s="738">
        <f t="shared" si="329"/>
        <v>0</v>
      </c>
      <c r="P1604" s="757"/>
      <c r="Q1604" s="739">
        <f t="shared" si="330"/>
        <v>0</v>
      </c>
      <c r="R1604" s="757"/>
      <c r="S1604" s="755"/>
      <c r="T1604" s="277"/>
      <c r="U1604" s="758" t="str">
        <f t="shared" si="317"/>
        <v/>
      </c>
      <c r="V1604" s="758" t="str">
        <f t="shared" si="318"/>
        <v>1900</v>
      </c>
      <c r="W1604" s="759"/>
      <c r="X1604" s="771"/>
      <c r="Y1604" s="977"/>
      <c r="Z1604" s="758"/>
      <c r="AA1604" s="758" t="str">
        <f t="shared" si="320"/>
        <v/>
      </c>
      <c r="AB1604" s="758" t="str">
        <f t="shared" si="321"/>
        <v/>
      </c>
      <c r="AC1604" s="758" t="str">
        <f t="shared" si="322"/>
        <v/>
      </c>
      <c r="AD1604" s="758" t="str">
        <f t="shared" si="323"/>
        <v>0</v>
      </c>
      <c r="AE1604" s="760"/>
      <c r="AF1604" s="760"/>
      <c r="AG1604" s="443"/>
      <c r="AH1604" s="443"/>
    </row>
    <row r="1605" spans="1:34">
      <c r="A1605" s="728">
        <f t="shared" si="319"/>
        <v>1598</v>
      </c>
      <c r="B1605" s="77"/>
      <c r="C1605" s="747"/>
      <c r="D1605" s="763" t="str">
        <f t="shared" si="324"/>
        <v>January</v>
      </c>
      <c r="E1605" s="763">
        <f t="shared" si="325"/>
        <v>0</v>
      </c>
      <c r="F1605" s="762">
        <f t="shared" si="326"/>
        <v>1900</v>
      </c>
      <c r="G1605" s="747"/>
      <c r="H1605" s="882"/>
      <c r="I1605" s="756"/>
      <c r="J1605" s="756"/>
      <c r="K1605" s="778">
        <f t="shared" si="327"/>
        <v>0</v>
      </c>
      <c r="L1605" s="976"/>
      <c r="M1605" s="736">
        <f t="shared" si="328"/>
        <v>0</v>
      </c>
      <c r="N1605" s="754"/>
      <c r="O1605" s="738">
        <f t="shared" si="329"/>
        <v>0</v>
      </c>
      <c r="P1605" s="757"/>
      <c r="Q1605" s="739">
        <f t="shared" si="330"/>
        <v>0</v>
      </c>
      <c r="R1605" s="757"/>
      <c r="S1605" s="755"/>
      <c r="T1605" s="277"/>
      <c r="U1605" s="758" t="str">
        <f t="shared" si="317"/>
        <v/>
      </c>
      <c r="V1605" s="758" t="str">
        <f t="shared" si="318"/>
        <v>1900</v>
      </c>
      <c r="W1605" s="759"/>
      <c r="X1605" s="771"/>
      <c r="Y1605" s="977"/>
      <c r="Z1605" s="758"/>
      <c r="AA1605" s="758" t="str">
        <f t="shared" si="320"/>
        <v/>
      </c>
      <c r="AB1605" s="758" t="str">
        <f t="shared" si="321"/>
        <v/>
      </c>
      <c r="AC1605" s="758" t="str">
        <f t="shared" si="322"/>
        <v/>
      </c>
      <c r="AD1605" s="758" t="str">
        <f t="shared" si="323"/>
        <v>0</v>
      </c>
      <c r="AE1605" s="760"/>
      <c r="AF1605" s="760"/>
      <c r="AG1605" s="443"/>
      <c r="AH1605" s="443"/>
    </row>
    <row r="1606" spans="1:34">
      <c r="A1606" s="728">
        <f t="shared" si="319"/>
        <v>1599</v>
      </c>
      <c r="B1606" s="77"/>
      <c r="C1606" s="747"/>
      <c r="D1606" s="763" t="str">
        <f t="shared" si="324"/>
        <v>January</v>
      </c>
      <c r="E1606" s="763">
        <f t="shared" si="325"/>
        <v>0</v>
      </c>
      <c r="F1606" s="762">
        <f t="shared" si="326"/>
        <v>1900</v>
      </c>
      <c r="G1606" s="747"/>
      <c r="H1606" s="882"/>
      <c r="I1606" s="756"/>
      <c r="J1606" s="756"/>
      <c r="K1606" s="778">
        <f t="shared" si="327"/>
        <v>0</v>
      </c>
      <c r="L1606" s="976"/>
      <c r="M1606" s="736">
        <f t="shared" si="328"/>
        <v>0</v>
      </c>
      <c r="N1606" s="754"/>
      <c r="O1606" s="738">
        <f t="shared" si="329"/>
        <v>0</v>
      </c>
      <c r="P1606" s="757"/>
      <c r="Q1606" s="739">
        <f t="shared" si="330"/>
        <v>0</v>
      </c>
      <c r="R1606" s="757"/>
      <c r="S1606" s="755"/>
      <c r="T1606" s="277"/>
      <c r="U1606" s="758" t="str">
        <f t="shared" si="317"/>
        <v/>
      </c>
      <c r="V1606" s="758" t="str">
        <f t="shared" si="318"/>
        <v>1900</v>
      </c>
      <c r="W1606" s="759"/>
      <c r="X1606" s="771"/>
      <c r="Y1606" s="977"/>
      <c r="Z1606" s="758"/>
      <c r="AA1606" s="758" t="str">
        <f t="shared" si="320"/>
        <v/>
      </c>
      <c r="AB1606" s="758" t="str">
        <f t="shared" si="321"/>
        <v/>
      </c>
      <c r="AC1606" s="758" t="str">
        <f t="shared" si="322"/>
        <v/>
      </c>
      <c r="AD1606" s="758" t="str">
        <f t="shared" si="323"/>
        <v>0</v>
      </c>
      <c r="AE1606" s="760"/>
      <c r="AF1606" s="760"/>
      <c r="AG1606" s="443"/>
      <c r="AH1606" s="443"/>
    </row>
    <row r="1607" spans="1:34">
      <c r="A1607" s="728">
        <f t="shared" si="319"/>
        <v>1600</v>
      </c>
      <c r="B1607" s="77"/>
      <c r="C1607" s="747"/>
      <c r="D1607" s="763" t="str">
        <f t="shared" si="324"/>
        <v>January</v>
      </c>
      <c r="E1607" s="763">
        <f t="shared" si="325"/>
        <v>0</v>
      </c>
      <c r="F1607" s="762">
        <f t="shared" si="326"/>
        <v>1900</v>
      </c>
      <c r="G1607" s="747"/>
      <c r="H1607" s="882"/>
      <c r="I1607" s="756"/>
      <c r="J1607" s="756"/>
      <c r="K1607" s="778">
        <f t="shared" si="327"/>
        <v>0</v>
      </c>
      <c r="L1607" s="976"/>
      <c r="M1607" s="736">
        <f t="shared" si="328"/>
        <v>0</v>
      </c>
      <c r="N1607" s="754"/>
      <c r="O1607" s="738">
        <f t="shared" si="329"/>
        <v>0</v>
      </c>
      <c r="P1607" s="757"/>
      <c r="Q1607" s="739">
        <f t="shared" si="330"/>
        <v>0</v>
      </c>
      <c r="R1607" s="757"/>
      <c r="S1607" s="755"/>
      <c r="T1607" s="277"/>
      <c r="U1607" s="758" t="str">
        <f t="shared" ref="U1607:U1670" si="331">CONCATENATE(G1607,H1607)</f>
        <v/>
      </c>
      <c r="V1607" s="758" t="str">
        <f t="shared" ref="V1607:V1670" si="332">CONCATENATE(F1607,H1607)</f>
        <v>1900</v>
      </c>
      <c r="W1607" s="759"/>
      <c r="X1607" s="771"/>
      <c r="Y1607" s="977"/>
      <c r="Z1607" s="758"/>
      <c r="AA1607" s="758" t="str">
        <f t="shared" si="320"/>
        <v/>
      </c>
      <c r="AB1607" s="758" t="str">
        <f t="shared" si="321"/>
        <v/>
      </c>
      <c r="AC1607" s="758" t="str">
        <f t="shared" si="322"/>
        <v/>
      </c>
      <c r="AD1607" s="758" t="str">
        <f t="shared" si="323"/>
        <v>0</v>
      </c>
      <c r="AE1607" s="760"/>
      <c r="AF1607" s="760"/>
      <c r="AG1607" s="443"/>
      <c r="AH1607" s="443"/>
    </row>
    <row r="1608" spans="1:34">
      <c r="A1608" s="728">
        <f t="shared" si="319"/>
        <v>1601</v>
      </c>
      <c r="B1608" s="77"/>
      <c r="C1608" s="747"/>
      <c r="D1608" s="763" t="str">
        <f t="shared" si="324"/>
        <v>January</v>
      </c>
      <c r="E1608" s="763">
        <f t="shared" si="325"/>
        <v>0</v>
      </c>
      <c r="F1608" s="762">
        <f t="shared" si="326"/>
        <v>1900</v>
      </c>
      <c r="G1608" s="747"/>
      <c r="H1608" s="882"/>
      <c r="I1608" s="756"/>
      <c r="J1608" s="756"/>
      <c r="K1608" s="778">
        <f t="shared" si="327"/>
        <v>0</v>
      </c>
      <c r="L1608" s="976"/>
      <c r="M1608" s="736">
        <f t="shared" si="328"/>
        <v>0</v>
      </c>
      <c r="N1608" s="754"/>
      <c r="O1608" s="738">
        <f t="shared" si="329"/>
        <v>0</v>
      </c>
      <c r="P1608" s="757"/>
      <c r="Q1608" s="739">
        <f t="shared" si="330"/>
        <v>0</v>
      </c>
      <c r="R1608" s="757"/>
      <c r="S1608" s="755"/>
      <c r="T1608" s="277"/>
      <c r="U1608" s="758" t="str">
        <f t="shared" si="331"/>
        <v/>
      </c>
      <c r="V1608" s="758" t="str">
        <f t="shared" si="332"/>
        <v>1900</v>
      </c>
      <c r="W1608" s="759"/>
      <c r="X1608" s="771"/>
      <c r="Y1608" s="977"/>
      <c r="Z1608" s="758"/>
      <c r="AA1608" s="758" t="str">
        <f t="shared" si="320"/>
        <v/>
      </c>
      <c r="AB1608" s="758" t="str">
        <f t="shared" si="321"/>
        <v/>
      </c>
      <c r="AC1608" s="758" t="str">
        <f t="shared" si="322"/>
        <v/>
      </c>
      <c r="AD1608" s="758" t="str">
        <f t="shared" si="323"/>
        <v>0</v>
      </c>
      <c r="AE1608" s="760"/>
      <c r="AF1608" s="760"/>
      <c r="AG1608" s="443"/>
      <c r="AH1608" s="443"/>
    </row>
    <row r="1609" spans="1:34">
      <c r="A1609" s="728">
        <f t="shared" si="319"/>
        <v>1602</v>
      </c>
      <c r="B1609" s="77"/>
      <c r="C1609" s="747"/>
      <c r="D1609" s="763" t="str">
        <f t="shared" si="324"/>
        <v>January</v>
      </c>
      <c r="E1609" s="763">
        <f t="shared" si="325"/>
        <v>0</v>
      </c>
      <c r="F1609" s="762">
        <f t="shared" si="326"/>
        <v>1900</v>
      </c>
      <c r="G1609" s="747"/>
      <c r="H1609" s="882"/>
      <c r="I1609" s="756"/>
      <c r="J1609" s="756"/>
      <c r="K1609" s="778">
        <f t="shared" si="327"/>
        <v>0</v>
      </c>
      <c r="L1609" s="976"/>
      <c r="M1609" s="736">
        <f t="shared" si="328"/>
        <v>0</v>
      </c>
      <c r="N1609" s="754"/>
      <c r="O1609" s="738">
        <f t="shared" si="329"/>
        <v>0</v>
      </c>
      <c r="P1609" s="757"/>
      <c r="Q1609" s="739">
        <f t="shared" si="330"/>
        <v>0</v>
      </c>
      <c r="R1609" s="757"/>
      <c r="S1609" s="755"/>
      <c r="T1609" s="277"/>
      <c r="U1609" s="758" t="str">
        <f t="shared" si="331"/>
        <v/>
      </c>
      <c r="V1609" s="758" t="str">
        <f t="shared" si="332"/>
        <v>1900</v>
      </c>
      <c r="W1609" s="759"/>
      <c r="X1609" s="771"/>
      <c r="Y1609" s="977"/>
      <c r="Z1609" s="758"/>
      <c r="AA1609" s="758" t="str">
        <f t="shared" si="320"/>
        <v/>
      </c>
      <c r="AB1609" s="758" t="str">
        <f t="shared" si="321"/>
        <v/>
      </c>
      <c r="AC1609" s="758" t="str">
        <f t="shared" si="322"/>
        <v/>
      </c>
      <c r="AD1609" s="758" t="str">
        <f t="shared" si="323"/>
        <v>0</v>
      </c>
      <c r="AE1609" s="760"/>
      <c r="AF1609" s="760"/>
      <c r="AG1609" s="443"/>
      <c r="AH1609" s="443"/>
    </row>
    <row r="1610" spans="1:34">
      <c r="A1610" s="728">
        <f t="shared" si="319"/>
        <v>1603</v>
      </c>
      <c r="B1610" s="77"/>
      <c r="C1610" s="747"/>
      <c r="D1610" s="763" t="str">
        <f t="shared" si="324"/>
        <v>January</v>
      </c>
      <c r="E1610" s="763">
        <f t="shared" si="325"/>
        <v>0</v>
      </c>
      <c r="F1610" s="762">
        <f t="shared" si="326"/>
        <v>1900</v>
      </c>
      <c r="G1610" s="747"/>
      <c r="H1610" s="882"/>
      <c r="I1610" s="756"/>
      <c r="J1610" s="756"/>
      <c r="K1610" s="778">
        <f t="shared" si="327"/>
        <v>0</v>
      </c>
      <c r="L1610" s="976"/>
      <c r="M1610" s="736">
        <f t="shared" si="328"/>
        <v>0</v>
      </c>
      <c r="N1610" s="754"/>
      <c r="O1610" s="738">
        <f t="shared" si="329"/>
        <v>0</v>
      </c>
      <c r="P1610" s="757"/>
      <c r="Q1610" s="739">
        <f t="shared" si="330"/>
        <v>0</v>
      </c>
      <c r="R1610" s="757"/>
      <c r="S1610" s="755"/>
      <c r="T1610" s="277"/>
      <c r="U1610" s="758" t="str">
        <f t="shared" si="331"/>
        <v/>
      </c>
      <c r="V1610" s="758" t="str">
        <f t="shared" si="332"/>
        <v>1900</v>
      </c>
      <c r="W1610" s="759"/>
      <c r="X1610" s="771"/>
      <c r="Y1610" s="977"/>
      <c r="Z1610" s="758"/>
      <c r="AA1610" s="758" t="str">
        <f t="shared" si="320"/>
        <v/>
      </c>
      <c r="AB1610" s="758" t="str">
        <f t="shared" si="321"/>
        <v/>
      </c>
      <c r="AC1610" s="758" t="str">
        <f t="shared" si="322"/>
        <v/>
      </c>
      <c r="AD1610" s="758" t="str">
        <f t="shared" si="323"/>
        <v>0</v>
      </c>
      <c r="AE1610" s="760"/>
      <c r="AF1610" s="760"/>
      <c r="AG1610" s="443"/>
      <c r="AH1610" s="443"/>
    </row>
    <row r="1611" spans="1:34">
      <c r="A1611" s="728">
        <f t="shared" ref="A1611:A1674" si="333">+A1610+1</f>
        <v>1604</v>
      </c>
      <c r="B1611" s="77"/>
      <c r="C1611" s="747"/>
      <c r="D1611" s="763" t="str">
        <f t="shared" si="324"/>
        <v>January</v>
      </c>
      <c r="E1611" s="763">
        <f t="shared" si="325"/>
        <v>0</v>
      </c>
      <c r="F1611" s="762">
        <f t="shared" si="326"/>
        <v>1900</v>
      </c>
      <c r="G1611" s="747"/>
      <c r="H1611" s="882"/>
      <c r="I1611" s="756"/>
      <c r="J1611" s="756"/>
      <c r="K1611" s="778">
        <f t="shared" si="327"/>
        <v>0</v>
      </c>
      <c r="L1611" s="976"/>
      <c r="M1611" s="736">
        <f t="shared" si="328"/>
        <v>0</v>
      </c>
      <c r="N1611" s="754"/>
      <c r="O1611" s="738">
        <f t="shared" si="329"/>
        <v>0</v>
      </c>
      <c r="P1611" s="757"/>
      <c r="Q1611" s="739">
        <f t="shared" si="330"/>
        <v>0</v>
      </c>
      <c r="R1611" s="757"/>
      <c r="S1611" s="755"/>
      <c r="T1611" s="277"/>
      <c r="U1611" s="758" t="str">
        <f t="shared" si="331"/>
        <v/>
      </c>
      <c r="V1611" s="758" t="str">
        <f t="shared" si="332"/>
        <v>1900</v>
      </c>
      <c r="W1611" s="759"/>
      <c r="X1611" s="771"/>
      <c r="Y1611" s="977"/>
      <c r="Z1611" s="758"/>
      <c r="AA1611" s="758" t="str">
        <f t="shared" si="320"/>
        <v/>
      </c>
      <c r="AB1611" s="758" t="str">
        <f t="shared" si="321"/>
        <v/>
      </c>
      <c r="AC1611" s="758" t="str">
        <f t="shared" si="322"/>
        <v/>
      </c>
      <c r="AD1611" s="758" t="str">
        <f t="shared" si="323"/>
        <v>0</v>
      </c>
      <c r="AE1611" s="760"/>
      <c r="AF1611" s="760"/>
      <c r="AG1611" s="443"/>
      <c r="AH1611" s="443"/>
    </row>
    <row r="1612" spans="1:34">
      <c r="A1612" s="728">
        <f t="shared" si="333"/>
        <v>1605</v>
      </c>
      <c r="B1612" s="77"/>
      <c r="C1612" s="747"/>
      <c r="D1612" s="763" t="str">
        <f t="shared" si="324"/>
        <v>January</v>
      </c>
      <c r="E1612" s="763">
        <f t="shared" si="325"/>
        <v>0</v>
      </c>
      <c r="F1612" s="762">
        <f t="shared" si="326"/>
        <v>1900</v>
      </c>
      <c r="G1612" s="747"/>
      <c r="H1612" s="882"/>
      <c r="I1612" s="756"/>
      <c r="J1612" s="756"/>
      <c r="K1612" s="778">
        <f t="shared" si="327"/>
        <v>0</v>
      </c>
      <c r="L1612" s="976"/>
      <c r="M1612" s="736">
        <f t="shared" si="328"/>
        <v>0</v>
      </c>
      <c r="N1612" s="754"/>
      <c r="O1612" s="738">
        <f t="shared" si="329"/>
        <v>0</v>
      </c>
      <c r="P1612" s="757"/>
      <c r="Q1612" s="739">
        <f t="shared" si="330"/>
        <v>0</v>
      </c>
      <c r="R1612" s="757"/>
      <c r="S1612" s="755"/>
      <c r="T1612" s="277"/>
      <c r="U1612" s="758" t="str">
        <f t="shared" si="331"/>
        <v/>
      </c>
      <c r="V1612" s="758" t="str">
        <f t="shared" si="332"/>
        <v>1900</v>
      </c>
      <c r="W1612" s="759"/>
      <c r="X1612" s="771"/>
      <c r="Y1612" s="977"/>
      <c r="Z1612" s="758"/>
      <c r="AA1612" s="758" t="str">
        <f t="shared" si="320"/>
        <v/>
      </c>
      <c r="AB1612" s="758" t="str">
        <f t="shared" si="321"/>
        <v/>
      </c>
      <c r="AC1612" s="758" t="str">
        <f t="shared" si="322"/>
        <v/>
      </c>
      <c r="AD1612" s="758" t="str">
        <f t="shared" si="323"/>
        <v>0</v>
      </c>
      <c r="AE1612" s="760"/>
      <c r="AF1612" s="760"/>
      <c r="AG1612" s="443"/>
      <c r="AH1612" s="443"/>
    </row>
    <row r="1613" spans="1:34">
      <c r="A1613" s="728">
        <f t="shared" si="333"/>
        <v>1606</v>
      </c>
      <c r="B1613" s="77"/>
      <c r="C1613" s="747"/>
      <c r="D1613" s="763" t="str">
        <f t="shared" si="324"/>
        <v>January</v>
      </c>
      <c r="E1613" s="763">
        <f t="shared" si="325"/>
        <v>0</v>
      </c>
      <c r="F1613" s="762">
        <f t="shared" si="326"/>
        <v>1900</v>
      </c>
      <c r="G1613" s="747"/>
      <c r="H1613" s="882"/>
      <c r="I1613" s="756"/>
      <c r="J1613" s="756"/>
      <c r="K1613" s="778">
        <f t="shared" si="327"/>
        <v>0</v>
      </c>
      <c r="L1613" s="976"/>
      <c r="M1613" s="736">
        <f t="shared" si="328"/>
        <v>0</v>
      </c>
      <c r="N1613" s="754"/>
      <c r="O1613" s="738">
        <f t="shared" si="329"/>
        <v>0</v>
      </c>
      <c r="P1613" s="757"/>
      <c r="Q1613" s="739">
        <f t="shared" si="330"/>
        <v>0</v>
      </c>
      <c r="R1613" s="757"/>
      <c r="S1613" s="755"/>
      <c r="T1613" s="277"/>
      <c r="U1613" s="758" t="str">
        <f t="shared" si="331"/>
        <v/>
      </c>
      <c r="V1613" s="758" t="str">
        <f t="shared" si="332"/>
        <v>1900</v>
      </c>
      <c r="W1613" s="759"/>
      <c r="X1613" s="771"/>
      <c r="Y1613" s="977"/>
      <c r="Z1613" s="758"/>
      <c r="AA1613" s="758" t="str">
        <f t="shared" si="320"/>
        <v/>
      </c>
      <c r="AB1613" s="758" t="str">
        <f t="shared" si="321"/>
        <v/>
      </c>
      <c r="AC1613" s="758" t="str">
        <f t="shared" si="322"/>
        <v/>
      </c>
      <c r="AD1613" s="758" t="str">
        <f t="shared" si="323"/>
        <v>0</v>
      </c>
      <c r="AE1613" s="760"/>
      <c r="AF1613" s="760"/>
      <c r="AG1613" s="443"/>
      <c r="AH1613" s="443"/>
    </row>
    <row r="1614" spans="1:34">
      <c r="A1614" s="728">
        <f t="shared" si="333"/>
        <v>1607</v>
      </c>
      <c r="B1614" s="77"/>
      <c r="C1614" s="747"/>
      <c r="D1614" s="763" t="str">
        <f t="shared" si="324"/>
        <v>January</v>
      </c>
      <c r="E1614" s="763">
        <f t="shared" si="325"/>
        <v>0</v>
      </c>
      <c r="F1614" s="762">
        <f t="shared" si="326"/>
        <v>1900</v>
      </c>
      <c r="G1614" s="747"/>
      <c r="H1614" s="882"/>
      <c r="I1614" s="756"/>
      <c r="J1614" s="756"/>
      <c r="K1614" s="778">
        <f t="shared" si="327"/>
        <v>0</v>
      </c>
      <c r="L1614" s="976"/>
      <c r="M1614" s="736">
        <f t="shared" si="328"/>
        <v>0</v>
      </c>
      <c r="N1614" s="754"/>
      <c r="O1614" s="738">
        <f t="shared" si="329"/>
        <v>0</v>
      </c>
      <c r="P1614" s="757"/>
      <c r="Q1614" s="739">
        <f t="shared" si="330"/>
        <v>0</v>
      </c>
      <c r="R1614" s="757"/>
      <c r="S1614" s="755"/>
      <c r="T1614" s="277"/>
      <c r="U1614" s="758" t="str">
        <f t="shared" si="331"/>
        <v/>
      </c>
      <c r="V1614" s="758" t="str">
        <f t="shared" si="332"/>
        <v>1900</v>
      </c>
      <c r="W1614" s="759"/>
      <c r="X1614" s="771"/>
      <c r="Y1614" s="977"/>
      <c r="Z1614" s="758"/>
      <c r="AA1614" s="758" t="str">
        <f t="shared" si="320"/>
        <v/>
      </c>
      <c r="AB1614" s="758" t="str">
        <f t="shared" si="321"/>
        <v/>
      </c>
      <c r="AC1614" s="758" t="str">
        <f t="shared" si="322"/>
        <v/>
      </c>
      <c r="AD1614" s="758" t="str">
        <f t="shared" si="323"/>
        <v>0</v>
      </c>
      <c r="AE1614" s="760"/>
      <c r="AF1614" s="760"/>
      <c r="AG1614" s="443"/>
      <c r="AH1614" s="443"/>
    </row>
    <row r="1615" spans="1:34">
      <c r="A1615" s="728">
        <f t="shared" si="333"/>
        <v>1608</v>
      </c>
      <c r="B1615" s="77"/>
      <c r="C1615" s="747"/>
      <c r="D1615" s="763" t="str">
        <f t="shared" si="324"/>
        <v>January</v>
      </c>
      <c r="E1615" s="763">
        <f t="shared" si="325"/>
        <v>0</v>
      </c>
      <c r="F1615" s="762">
        <f t="shared" si="326"/>
        <v>1900</v>
      </c>
      <c r="G1615" s="747"/>
      <c r="H1615" s="882"/>
      <c r="I1615" s="756"/>
      <c r="J1615" s="756"/>
      <c r="K1615" s="778">
        <f t="shared" si="327"/>
        <v>0</v>
      </c>
      <c r="L1615" s="976"/>
      <c r="M1615" s="736">
        <f t="shared" si="328"/>
        <v>0</v>
      </c>
      <c r="N1615" s="754"/>
      <c r="O1615" s="738">
        <f t="shared" si="329"/>
        <v>0</v>
      </c>
      <c r="P1615" s="757"/>
      <c r="Q1615" s="739">
        <f t="shared" si="330"/>
        <v>0</v>
      </c>
      <c r="R1615" s="757"/>
      <c r="S1615" s="755"/>
      <c r="T1615" s="277"/>
      <c r="U1615" s="758" t="str">
        <f t="shared" si="331"/>
        <v/>
      </c>
      <c r="V1615" s="758" t="str">
        <f t="shared" si="332"/>
        <v>1900</v>
      </c>
      <c r="W1615" s="759"/>
      <c r="X1615" s="771"/>
      <c r="Y1615" s="977"/>
      <c r="Z1615" s="758"/>
      <c r="AA1615" s="758" t="str">
        <f t="shared" si="320"/>
        <v/>
      </c>
      <c r="AB1615" s="758" t="str">
        <f t="shared" si="321"/>
        <v/>
      </c>
      <c r="AC1615" s="758" t="str">
        <f t="shared" si="322"/>
        <v/>
      </c>
      <c r="AD1615" s="758" t="str">
        <f t="shared" si="323"/>
        <v>0</v>
      </c>
      <c r="AE1615" s="760"/>
      <c r="AF1615" s="760"/>
      <c r="AG1615" s="443"/>
      <c r="AH1615" s="443"/>
    </row>
    <row r="1616" spans="1:34">
      <c r="A1616" s="728">
        <f t="shared" si="333"/>
        <v>1609</v>
      </c>
      <c r="B1616" s="77"/>
      <c r="C1616" s="747"/>
      <c r="D1616" s="763" t="str">
        <f t="shared" si="324"/>
        <v>January</v>
      </c>
      <c r="E1616" s="763">
        <f t="shared" si="325"/>
        <v>0</v>
      </c>
      <c r="F1616" s="762">
        <f t="shared" si="326"/>
        <v>1900</v>
      </c>
      <c r="G1616" s="747"/>
      <c r="H1616" s="882"/>
      <c r="I1616" s="756"/>
      <c r="J1616" s="756"/>
      <c r="K1616" s="778">
        <f t="shared" si="327"/>
        <v>0</v>
      </c>
      <c r="L1616" s="976"/>
      <c r="M1616" s="736">
        <f t="shared" si="328"/>
        <v>0</v>
      </c>
      <c r="N1616" s="754"/>
      <c r="O1616" s="738">
        <f t="shared" si="329"/>
        <v>0</v>
      </c>
      <c r="P1616" s="757"/>
      <c r="Q1616" s="739">
        <f t="shared" si="330"/>
        <v>0</v>
      </c>
      <c r="R1616" s="757"/>
      <c r="S1616" s="755"/>
      <c r="T1616" s="277"/>
      <c r="U1616" s="758" t="str">
        <f t="shared" si="331"/>
        <v/>
      </c>
      <c r="V1616" s="758" t="str">
        <f t="shared" si="332"/>
        <v>1900</v>
      </c>
      <c r="W1616" s="759"/>
      <c r="X1616" s="771"/>
      <c r="Y1616" s="977"/>
      <c r="Z1616" s="758"/>
      <c r="AA1616" s="758" t="str">
        <f t="shared" ref="AA1616:AA1679" si="334">CONCATENATE(H1616,W1616)</f>
        <v/>
      </c>
      <c r="AB1616" s="758" t="str">
        <f t="shared" ref="AB1616:AB1679" si="335">CONCATENATE(H1616,X1616)</f>
        <v/>
      </c>
      <c r="AC1616" s="758" t="str">
        <f t="shared" ref="AC1616:AC1679" si="336">CONCATENATE(H1616,Y1616)</f>
        <v/>
      </c>
      <c r="AD1616" s="758" t="str">
        <f t="shared" si="323"/>
        <v>0</v>
      </c>
      <c r="AE1616" s="760"/>
      <c r="AF1616" s="760"/>
      <c r="AG1616" s="443"/>
      <c r="AH1616" s="443"/>
    </row>
    <row r="1617" spans="1:34">
      <c r="A1617" s="728">
        <f t="shared" si="333"/>
        <v>1610</v>
      </c>
      <c r="B1617" s="77"/>
      <c r="C1617" s="747"/>
      <c r="D1617" s="763" t="str">
        <f t="shared" si="324"/>
        <v>January</v>
      </c>
      <c r="E1617" s="763">
        <f t="shared" si="325"/>
        <v>0</v>
      </c>
      <c r="F1617" s="762">
        <f t="shared" si="326"/>
        <v>1900</v>
      </c>
      <c r="G1617" s="747"/>
      <c r="H1617" s="882"/>
      <c r="I1617" s="756"/>
      <c r="J1617" s="756"/>
      <c r="K1617" s="778">
        <f t="shared" si="327"/>
        <v>0</v>
      </c>
      <c r="L1617" s="976"/>
      <c r="M1617" s="736">
        <f t="shared" si="328"/>
        <v>0</v>
      </c>
      <c r="N1617" s="754"/>
      <c r="O1617" s="738">
        <f t="shared" si="329"/>
        <v>0</v>
      </c>
      <c r="P1617" s="757"/>
      <c r="Q1617" s="739">
        <f t="shared" si="330"/>
        <v>0</v>
      </c>
      <c r="R1617" s="757"/>
      <c r="S1617" s="755"/>
      <c r="T1617" s="277"/>
      <c r="U1617" s="758" t="str">
        <f t="shared" si="331"/>
        <v/>
      </c>
      <c r="V1617" s="758" t="str">
        <f t="shared" si="332"/>
        <v>1900</v>
      </c>
      <c r="W1617" s="759"/>
      <c r="X1617" s="771"/>
      <c r="Y1617" s="977"/>
      <c r="Z1617" s="758"/>
      <c r="AA1617" s="758" t="str">
        <f t="shared" si="334"/>
        <v/>
      </c>
      <c r="AB1617" s="758" t="str">
        <f t="shared" si="335"/>
        <v/>
      </c>
      <c r="AC1617" s="758" t="str">
        <f t="shared" si="336"/>
        <v/>
      </c>
      <c r="AD1617" s="758" t="str">
        <f t="shared" si="323"/>
        <v>0</v>
      </c>
      <c r="AE1617" s="760"/>
      <c r="AF1617" s="760"/>
      <c r="AG1617" s="443"/>
      <c r="AH1617" s="443"/>
    </row>
    <row r="1618" spans="1:34">
      <c r="A1618" s="728">
        <f t="shared" si="333"/>
        <v>1611</v>
      </c>
      <c r="B1618" s="77"/>
      <c r="C1618" s="747"/>
      <c r="D1618" s="763" t="str">
        <f t="shared" si="324"/>
        <v>January</v>
      </c>
      <c r="E1618" s="763">
        <f t="shared" si="325"/>
        <v>0</v>
      </c>
      <c r="F1618" s="762">
        <f t="shared" si="326"/>
        <v>1900</v>
      </c>
      <c r="G1618" s="747"/>
      <c r="H1618" s="882"/>
      <c r="I1618" s="756"/>
      <c r="J1618" s="756"/>
      <c r="K1618" s="778">
        <f t="shared" si="327"/>
        <v>0</v>
      </c>
      <c r="L1618" s="976"/>
      <c r="M1618" s="736">
        <f t="shared" si="328"/>
        <v>0</v>
      </c>
      <c r="N1618" s="754"/>
      <c r="O1618" s="738">
        <f t="shared" si="329"/>
        <v>0</v>
      </c>
      <c r="P1618" s="757"/>
      <c r="Q1618" s="739">
        <f t="shared" si="330"/>
        <v>0</v>
      </c>
      <c r="R1618" s="757"/>
      <c r="S1618" s="755"/>
      <c r="T1618" s="277"/>
      <c r="U1618" s="758" t="str">
        <f t="shared" si="331"/>
        <v/>
      </c>
      <c r="V1618" s="758" t="str">
        <f t="shared" si="332"/>
        <v>1900</v>
      </c>
      <c r="W1618" s="759"/>
      <c r="X1618" s="771"/>
      <c r="Y1618" s="977"/>
      <c r="Z1618" s="758"/>
      <c r="AA1618" s="758" t="str">
        <f t="shared" si="334"/>
        <v/>
      </c>
      <c r="AB1618" s="758" t="str">
        <f t="shared" si="335"/>
        <v/>
      </c>
      <c r="AC1618" s="758" t="str">
        <f t="shared" si="336"/>
        <v/>
      </c>
      <c r="AD1618" s="758" t="str">
        <f t="shared" si="323"/>
        <v>0</v>
      </c>
      <c r="AE1618" s="760"/>
      <c r="AF1618" s="760"/>
      <c r="AG1618" s="443"/>
      <c r="AH1618" s="443"/>
    </row>
    <row r="1619" spans="1:34">
      <c r="A1619" s="728">
        <f t="shared" si="333"/>
        <v>1612</v>
      </c>
      <c r="B1619" s="77"/>
      <c r="C1619" s="747"/>
      <c r="D1619" s="763" t="str">
        <f t="shared" si="324"/>
        <v>January</v>
      </c>
      <c r="E1619" s="763">
        <f t="shared" si="325"/>
        <v>0</v>
      </c>
      <c r="F1619" s="762">
        <f t="shared" si="326"/>
        <v>1900</v>
      </c>
      <c r="G1619" s="747"/>
      <c r="H1619" s="882"/>
      <c r="I1619" s="756"/>
      <c r="J1619" s="756"/>
      <c r="K1619" s="778">
        <f t="shared" si="327"/>
        <v>0</v>
      </c>
      <c r="L1619" s="976"/>
      <c r="M1619" s="736">
        <f t="shared" si="328"/>
        <v>0</v>
      </c>
      <c r="N1619" s="754"/>
      <c r="O1619" s="738">
        <f t="shared" si="329"/>
        <v>0</v>
      </c>
      <c r="P1619" s="757"/>
      <c r="Q1619" s="739">
        <f t="shared" si="330"/>
        <v>0</v>
      </c>
      <c r="R1619" s="757"/>
      <c r="S1619" s="755"/>
      <c r="T1619" s="277"/>
      <c r="U1619" s="758" t="str">
        <f t="shared" si="331"/>
        <v/>
      </c>
      <c r="V1619" s="758" t="str">
        <f t="shared" si="332"/>
        <v>1900</v>
      </c>
      <c r="W1619" s="759"/>
      <c r="X1619" s="771"/>
      <c r="Y1619" s="977"/>
      <c r="Z1619" s="758"/>
      <c r="AA1619" s="758" t="str">
        <f t="shared" si="334"/>
        <v/>
      </c>
      <c r="AB1619" s="758" t="str">
        <f t="shared" si="335"/>
        <v/>
      </c>
      <c r="AC1619" s="758" t="str">
        <f t="shared" si="336"/>
        <v/>
      </c>
      <c r="AD1619" s="758" t="str">
        <f t="shared" si="323"/>
        <v>0</v>
      </c>
      <c r="AE1619" s="760"/>
      <c r="AF1619" s="760"/>
      <c r="AG1619" s="443"/>
      <c r="AH1619" s="443"/>
    </row>
    <row r="1620" spans="1:34">
      <c r="A1620" s="728">
        <f t="shared" si="333"/>
        <v>1613</v>
      </c>
      <c r="B1620" s="77"/>
      <c r="C1620" s="747"/>
      <c r="D1620" s="763" t="str">
        <f t="shared" si="324"/>
        <v>January</v>
      </c>
      <c r="E1620" s="763">
        <f t="shared" si="325"/>
        <v>0</v>
      </c>
      <c r="F1620" s="762">
        <f t="shared" si="326"/>
        <v>1900</v>
      </c>
      <c r="G1620" s="747"/>
      <c r="H1620" s="882"/>
      <c r="I1620" s="756"/>
      <c r="J1620" s="756"/>
      <c r="K1620" s="778">
        <f t="shared" si="327"/>
        <v>0</v>
      </c>
      <c r="L1620" s="976"/>
      <c r="M1620" s="736">
        <f t="shared" si="328"/>
        <v>0</v>
      </c>
      <c r="N1620" s="754"/>
      <c r="O1620" s="738">
        <f t="shared" si="329"/>
        <v>0</v>
      </c>
      <c r="P1620" s="757"/>
      <c r="Q1620" s="739">
        <f t="shared" si="330"/>
        <v>0</v>
      </c>
      <c r="R1620" s="757"/>
      <c r="S1620" s="755"/>
      <c r="T1620" s="277"/>
      <c r="U1620" s="758" t="str">
        <f t="shared" si="331"/>
        <v/>
      </c>
      <c r="V1620" s="758" t="str">
        <f t="shared" si="332"/>
        <v>1900</v>
      </c>
      <c r="W1620" s="759"/>
      <c r="X1620" s="771"/>
      <c r="Y1620" s="977"/>
      <c r="Z1620" s="758"/>
      <c r="AA1620" s="758" t="str">
        <f t="shared" si="334"/>
        <v/>
      </c>
      <c r="AB1620" s="758" t="str">
        <f t="shared" si="335"/>
        <v/>
      </c>
      <c r="AC1620" s="758" t="str">
        <f t="shared" si="336"/>
        <v/>
      </c>
      <c r="AD1620" s="758" t="str">
        <f t="shared" si="323"/>
        <v>0</v>
      </c>
      <c r="AE1620" s="760"/>
      <c r="AF1620" s="760"/>
      <c r="AG1620" s="443"/>
      <c r="AH1620" s="443"/>
    </row>
    <row r="1621" spans="1:34">
      <c r="A1621" s="728">
        <f t="shared" si="333"/>
        <v>1614</v>
      </c>
      <c r="B1621" s="77"/>
      <c r="C1621" s="747"/>
      <c r="D1621" s="763" t="str">
        <f t="shared" si="324"/>
        <v>January</v>
      </c>
      <c r="E1621" s="763">
        <f t="shared" si="325"/>
        <v>0</v>
      </c>
      <c r="F1621" s="762">
        <f t="shared" si="326"/>
        <v>1900</v>
      </c>
      <c r="G1621" s="747"/>
      <c r="H1621" s="882"/>
      <c r="I1621" s="756"/>
      <c r="J1621" s="756"/>
      <c r="K1621" s="778">
        <f t="shared" si="327"/>
        <v>0</v>
      </c>
      <c r="L1621" s="976"/>
      <c r="M1621" s="736">
        <f t="shared" si="328"/>
        <v>0</v>
      </c>
      <c r="N1621" s="754"/>
      <c r="O1621" s="738">
        <f t="shared" si="329"/>
        <v>0</v>
      </c>
      <c r="P1621" s="757"/>
      <c r="Q1621" s="739">
        <f t="shared" si="330"/>
        <v>0</v>
      </c>
      <c r="R1621" s="757"/>
      <c r="S1621" s="755"/>
      <c r="T1621" s="277"/>
      <c r="U1621" s="758" t="str">
        <f t="shared" si="331"/>
        <v/>
      </c>
      <c r="V1621" s="758" t="str">
        <f t="shared" si="332"/>
        <v>1900</v>
      </c>
      <c r="W1621" s="759"/>
      <c r="X1621" s="771"/>
      <c r="Y1621" s="977"/>
      <c r="Z1621" s="758"/>
      <c r="AA1621" s="758" t="str">
        <f t="shared" si="334"/>
        <v/>
      </c>
      <c r="AB1621" s="758" t="str">
        <f t="shared" si="335"/>
        <v/>
      </c>
      <c r="AC1621" s="758" t="str">
        <f t="shared" si="336"/>
        <v/>
      </c>
      <c r="AD1621" s="758" t="str">
        <f t="shared" si="323"/>
        <v>0</v>
      </c>
      <c r="AE1621" s="760"/>
      <c r="AF1621" s="760"/>
      <c r="AG1621" s="443"/>
      <c r="AH1621" s="443"/>
    </row>
    <row r="1622" spans="1:34">
      <c r="A1622" s="728">
        <f t="shared" si="333"/>
        <v>1615</v>
      </c>
      <c r="B1622" s="77"/>
      <c r="C1622" s="747"/>
      <c r="D1622" s="763" t="str">
        <f t="shared" si="324"/>
        <v>January</v>
      </c>
      <c r="E1622" s="763">
        <f t="shared" si="325"/>
        <v>0</v>
      </c>
      <c r="F1622" s="762">
        <f t="shared" si="326"/>
        <v>1900</v>
      </c>
      <c r="G1622" s="747"/>
      <c r="H1622" s="882"/>
      <c r="I1622" s="756"/>
      <c r="J1622" s="756"/>
      <c r="K1622" s="778">
        <f t="shared" si="327"/>
        <v>0</v>
      </c>
      <c r="L1622" s="976"/>
      <c r="M1622" s="736">
        <f t="shared" si="328"/>
        <v>0</v>
      </c>
      <c r="N1622" s="754"/>
      <c r="O1622" s="738">
        <f t="shared" si="329"/>
        <v>0</v>
      </c>
      <c r="P1622" s="757"/>
      <c r="Q1622" s="739">
        <f t="shared" si="330"/>
        <v>0</v>
      </c>
      <c r="R1622" s="757"/>
      <c r="S1622" s="755"/>
      <c r="T1622" s="277"/>
      <c r="U1622" s="758" t="str">
        <f t="shared" si="331"/>
        <v/>
      </c>
      <c r="V1622" s="758" t="str">
        <f t="shared" si="332"/>
        <v>1900</v>
      </c>
      <c r="W1622" s="759"/>
      <c r="X1622" s="771"/>
      <c r="Y1622" s="977"/>
      <c r="Z1622" s="758"/>
      <c r="AA1622" s="758" t="str">
        <f t="shared" si="334"/>
        <v/>
      </c>
      <c r="AB1622" s="758" t="str">
        <f t="shared" si="335"/>
        <v/>
      </c>
      <c r="AC1622" s="758" t="str">
        <f t="shared" si="336"/>
        <v/>
      </c>
      <c r="AD1622" s="758" t="str">
        <f t="shared" si="323"/>
        <v>0</v>
      </c>
      <c r="AE1622" s="760"/>
      <c r="AF1622" s="760"/>
      <c r="AG1622" s="443"/>
      <c r="AH1622" s="443"/>
    </row>
    <row r="1623" spans="1:34">
      <c r="A1623" s="728">
        <f t="shared" si="333"/>
        <v>1616</v>
      </c>
      <c r="B1623" s="77"/>
      <c r="C1623" s="747"/>
      <c r="D1623" s="763" t="str">
        <f t="shared" si="324"/>
        <v>January</v>
      </c>
      <c r="E1623" s="763">
        <f t="shared" si="325"/>
        <v>0</v>
      </c>
      <c r="F1623" s="762">
        <f t="shared" si="326"/>
        <v>1900</v>
      </c>
      <c r="G1623" s="747"/>
      <c r="H1623" s="882"/>
      <c r="I1623" s="756"/>
      <c r="J1623" s="756"/>
      <c r="K1623" s="778">
        <f t="shared" si="327"/>
        <v>0</v>
      </c>
      <c r="L1623" s="976"/>
      <c r="M1623" s="736">
        <f t="shared" si="328"/>
        <v>0</v>
      </c>
      <c r="N1623" s="754"/>
      <c r="O1623" s="738">
        <f t="shared" si="329"/>
        <v>0</v>
      </c>
      <c r="P1623" s="757"/>
      <c r="Q1623" s="739">
        <f t="shared" si="330"/>
        <v>0</v>
      </c>
      <c r="R1623" s="757"/>
      <c r="S1623" s="755"/>
      <c r="T1623" s="277"/>
      <c r="U1623" s="758" t="str">
        <f t="shared" si="331"/>
        <v/>
      </c>
      <c r="V1623" s="758" t="str">
        <f t="shared" si="332"/>
        <v>1900</v>
      </c>
      <c r="W1623" s="759"/>
      <c r="X1623" s="771"/>
      <c r="Y1623" s="977"/>
      <c r="Z1623" s="758"/>
      <c r="AA1623" s="758" t="str">
        <f t="shared" si="334"/>
        <v/>
      </c>
      <c r="AB1623" s="758" t="str">
        <f t="shared" si="335"/>
        <v/>
      </c>
      <c r="AC1623" s="758" t="str">
        <f t="shared" si="336"/>
        <v/>
      </c>
      <c r="AD1623" s="758" t="str">
        <f t="shared" si="323"/>
        <v>0</v>
      </c>
      <c r="AE1623" s="760"/>
      <c r="AF1623" s="760"/>
      <c r="AG1623" s="443"/>
      <c r="AH1623" s="443"/>
    </row>
    <row r="1624" spans="1:34">
      <c r="A1624" s="728">
        <f t="shared" si="333"/>
        <v>1617</v>
      </c>
      <c r="B1624" s="77"/>
      <c r="C1624" s="747"/>
      <c r="D1624" s="763" t="str">
        <f t="shared" si="324"/>
        <v>January</v>
      </c>
      <c r="E1624" s="763">
        <f t="shared" si="325"/>
        <v>0</v>
      </c>
      <c r="F1624" s="762">
        <f t="shared" si="326"/>
        <v>1900</v>
      </c>
      <c r="G1624" s="747"/>
      <c r="H1624" s="882"/>
      <c r="I1624" s="756"/>
      <c r="J1624" s="756"/>
      <c r="K1624" s="778">
        <f t="shared" si="327"/>
        <v>0</v>
      </c>
      <c r="L1624" s="976"/>
      <c r="M1624" s="736">
        <f t="shared" si="328"/>
        <v>0</v>
      </c>
      <c r="N1624" s="754"/>
      <c r="O1624" s="738">
        <f t="shared" si="329"/>
        <v>0</v>
      </c>
      <c r="P1624" s="757"/>
      <c r="Q1624" s="739">
        <f t="shared" si="330"/>
        <v>0</v>
      </c>
      <c r="R1624" s="757"/>
      <c r="S1624" s="755"/>
      <c r="T1624" s="277"/>
      <c r="U1624" s="758" t="str">
        <f t="shared" si="331"/>
        <v/>
      </c>
      <c r="V1624" s="758" t="str">
        <f t="shared" si="332"/>
        <v>1900</v>
      </c>
      <c r="W1624" s="759"/>
      <c r="X1624" s="771"/>
      <c r="Y1624" s="977"/>
      <c r="Z1624" s="758"/>
      <c r="AA1624" s="758" t="str">
        <f t="shared" si="334"/>
        <v/>
      </c>
      <c r="AB1624" s="758" t="str">
        <f t="shared" si="335"/>
        <v/>
      </c>
      <c r="AC1624" s="758" t="str">
        <f t="shared" si="336"/>
        <v/>
      </c>
      <c r="AD1624" s="758" t="str">
        <f t="shared" si="323"/>
        <v>0</v>
      </c>
      <c r="AE1624" s="760"/>
      <c r="AF1624" s="760"/>
      <c r="AG1624" s="443"/>
      <c r="AH1624" s="443"/>
    </row>
    <row r="1625" spans="1:34">
      <c r="A1625" s="728">
        <f t="shared" si="333"/>
        <v>1618</v>
      </c>
      <c r="B1625" s="77"/>
      <c r="C1625" s="747"/>
      <c r="D1625" s="763" t="str">
        <f t="shared" si="324"/>
        <v>January</v>
      </c>
      <c r="E1625" s="763">
        <f t="shared" si="325"/>
        <v>0</v>
      </c>
      <c r="F1625" s="762">
        <f t="shared" si="326"/>
        <v>1900</v>
      </c>
      <c r="G1625" s="747"/>
      <c r="H1625" s="882"/>
      <c r="I1625" s="756"/>
      <c r="J1625" s="756"/>
      <c r="K1625" s="778">
        <f t="shared" si="327"/>
        <v>0</v>
      </c>
      <c r="L1625" s="976"/>
      <c r="M1625" s="736">
        <f t="shared" si="328"/>
        <v>0</v>
      </c>
      <c r="N1625" s="754"/>
      <c r="O1625" s="738">
        <f t="shared" si="329"/>
        <v>0</v>
      </c>
      <c r="P1625" s="757"/>
      <c r="Q1625" s="739">
        <f t="shared" si="330"/>
        <v>0</v>
      </c>
      <c r="R1625" s="757"/>
      <c r="S1625" s="755"/>
      <c r="T1625" s="277"/>
      <c r="U1625" s="758" t="str">
        <f t="shared" si="331"/>
        <v/>
      </c>
      <c r="V1625" s="758" t="str">
        <f t="shared" si="332"/>
        <v>1900</v>
      </c>
      <c r="W1625" s="759"/>
      <c r="X1625" s="771"/>
      <c r="Y1625" s="977"/>
      <c r="Z1625" s="758"/>
      <c r="AA1625" s="758" t="str">
        <f t="shared" si="334"/>
        <v/>
      </c>
      <c r="AB1625" s="758" t="str">
        <f t="shared" si="335"/>
        <v/>
      </c>
      <c r="AC1625" s="758" t="str">
        <f t="shared" si="336"/>
        <v/>
      </c>
      <c r="AD1625" s="758" t="str">
        <f t="shared" ref="AD1625:AD1688" si="337">CONCATENATE(H1625,M1625)</f>
        <v>0</v>
      </c>
      <c r="AE1625" s="760"/>
      <c r="AF1625" s="760"/>
      <c r="AG1625" s="443"/>
      <c r="AH1625" s="443"/>
    </row>
    <row r="1626" spans="1:34">
      <c r="A1626" s="728">
        <f t="shared" si="333"/>
        <v>1619</v>
      </c>
      <c r="B1626" s="77"/>
      <c r="C1626" s="747"/>
      <c r="D1626" s="763" t="str">
        <f t="shared" si="324"/>
        <v>January</v>
      </c>
      <c r="E1626" s="763">
        <f t="shared" si="325"/>
        <v>0</v>
      </c>
      <c r="F1626" s="762">
        <f t="shared" si="326"/>
        <v>1900</v>
      </c>
      <c r="G1626" s="747"/>
      <c r="H1626" s="882"/>
      <c r="I1626" s="756"/>
      <c r="J1626" s="756"/>
      <c r="K1626" s="778">
        <f t="shared" si="327"/>
        <v>0</v>
      </c>
      <c r="L1626" s="976"/>
      <c r="M1626" s="736">
        <f t="shared" si="328"/>
        <v>0</v>
      </c>
      <c r="N1626" s="754"/>
      <c r="O1626" s="738">
        <f t="shared" si="329"/>
        <v>0</v>
      </c>
      <c r="P1626" s="757"/>
      <c r="Q1626" s="739">
        <f t="shared" si="330"/>
        <v>0</v>
      </c>
      <c r="R1626" s="757"/>
      <c r="S1626" s="755"/>
      <c r="T1626" s="277"/>
      <c r="U1626" s="758" t="str">
        <f t="shared" si="331"/>
        <v/>
      </c>
      <c r="V1626" s="758" t="str">
        <f t="shared" si="332"/>
        <v>1900</v>
      </c>
      <c r="W1626" s="759"/>
      <c r="X1626" s="771"/>
      <c r="Y1626" s="977"/>
      <c r="Z1626" s="758"/>
      <c r="AA1626" s="758" t="str">
        <f t="shared" si="334"/>
        <v/>
      </c>
      <c r="AB1626" s="758" t="str">
        <f t="shared" si="335"/>
        <v/>
      </c>
      <c r="AC1626" s="758" t="str">
        <f t="shared" si="336"/>
        <v/>
      </c>
      <c r="AD1626" s="758" t="str">
        <f t="shared" si="337"/>
        <v>0</v>
      </c>
      <c r="AE1626" s="760"/>
      <c r="AF1626" s="760"/>
      <c r="AG1626" s="443"/>
      <c r="AH1626" s="443"/>
    </row>
    <row r="1627" spans="1:34">
      <c r="A1627" s="728">
        <f t="shared" si="333"/>
        <v>1620</v>
      </c>
      <c r="B1627" s="77"/>
      <c r="C1627" s="747"/>
      <c r="D1627" s="763" t="str">
        <f t="shared" si="324"/>
        <v>January</v>
      </c>
      <c r="E1627" s="763">
        <f t="shared" si="325"/>
        <v>0</v>
      </c>
      <c r="F1627" s="762">
        <f t="shared" si="326"/>
        <v>1900</v>
      </c>
      <c r="G1627" s="747"/>
      <c r="H1627" s="882"/>
      <c r="I1627" s="756"/>
      <c r="J1627" s="756"/>
      <c r="K1627" s="778">
        <f t="shared" si="327"/>
        <v>0</v>
      </c>
      <c r="L1627" s="976"/>
      <c r="M1627" s="736">
        <f t="shared" si="328"/>
        <v>0</v>
      </c>
      <c r="N1627" s="754"/>
      <c r="O1627" s="738">
        <f t="shared" si="329"/>
        <v>0</v>
      </c>
      <c r="P1627" s="757"/>
      <c r="Q1627" s="739">
        <f t="shared" si="330"/>
        <v>0</v>
      </c>
      <c r="R1627" s="757"/>
      <c r="S1627" s="755"/>
      <c r="T1627" s="277"/>
      <c r="U1627" s="758" t="str">
        <f t="shared" si="331"/>
        <v/>
      </c>
      <c r="V1627" s="758" t="str">
        <f t="shared" si="332"/>
        <v>1900</v>
      </c>
      <c r="W1627" s="759"/>
      <c r="X1627" s="771"/>
      <c r="Y1627" s="977"/>
      <c r="Z1627" s="758"/>
      <c r="AA1627" s="758" t="str">
        <f t="shared" si="334"/>
        <v/>
      </c>
      <c r="AB1627" s="758" t="str">
        <f t="shared" si="335"/>
        <v/>
      </c>
      <c r="AC1627" s="758" t="str">
        <f t="shared" si="336"/>
        <v/>
      </c>
      <c r="AD1627" s="758" t="str">
        <f t="shared" si="337"/>
        <v>0</v>
      </c>
      <c r="AE1627" s="760"/>
      <c r="AF1627" s="760"/>
      <c r="AG1627" s="443"/>
      <c r="AH1627" s="443"/>
    </row>
    <row r="1628" spans="1:34">
      <c r="A1628" s="728">
        <f t="shared" si="333"/>
        <v>1621</v>
      </c>
      <c r="B1628" s="77"/>
      <c r="C1628" s="747"/>
      <c r="D1628" s="763" t="str">
        <f t="shared" si="324"/>
        <v>January</v>
      </c>
      <c r="E1628" s="763">
        <f t="shared" si="325"/>
        <v>0</v>
      </c>
      <c r="F1628" s="762">
        <f t="shared" si="326"/>
        <v>1900</v>
      </c>
      <c r="G1628" s="747"/>
      <c r="H1628" s="882"/>
      <c r="I1628" s="756"/>
      <c r="J1628" s="756"/>
      <c r="K1628" s="778">
        <f t="shared" si="327"/>
        <v>0</v>
      </c>
      <c r="L1628" s="976"/>
      <c r="M1628" s="736">
        <f t="shared" si="328"/>
        <v>0</v>
      </c>
      <c r="N1628" s="754"/>
      <c r="O1628" s="738">
        <f t="shared" si="329"/>
        <v>0</v>
      </c>
      <c r="P1628" s="757"/>
      <c r="Q1628" s="739">
        <f t="shared" si="330"/>
        <v>0</v>
      </c>
      <c r="R1628" s="757"/>
      <c r="S1628" s="755"/>
      <c r="T1628" s="277"/>
      <c r="U1628" s="758" t="str">
        <f t="shared" si="331"/>
        <v/>
      </c>
      <c r="V1628" s="758" t="str">
        <f t="shared" si="332"/>
        <v>1900</v>
      </c>
      <c r="W1628" s="759"/>
      <c r="X1628" s="771"/>
      <c r="Y1628" s="977"/>
      <c r="Z1628" s="758"/>
      <c r="AA1628" s="758" t="str">
        <f t="shared" si="334"/>
        <v/>
      </c>
      <c r="AB1628" s="758" t="str">
        <f t="shared" si="335"/>
        <v/>
      </c>
      <c r="AC1628" s="758" t="str">
        <f t="shared" si="336"/>
        <v/>
      </c>
      <c r="AD1628" s="758" t="str">
        <f t="shared" si="337"/>
        <v>0</v>
      </c>
      <c r="AE1628" s="760"/>
      <c r="AF1628" s="760"/>
      <c r="AG1628" s="443"/>
      <c r="AH1628" s="443"/>
    </row>
    <row r="1629" spans="1:34">
      <c r="A1629" s="728">
        <f t="shared" si="333"/>
        <v>1622</v>
      </c>
      <c r="B1629" s="77"/>
      <c r="C1629" s="747"/>
      <c r="D1629" s="763" t="str">
        <f t="shared" si="324"/>
        <v>January</v>
      </c>
      <c r="E1629" s="763">
        <f t="shared" si="325"/>
        <v>0</v>
      </c>
      <c r="F1629" s="762">
        <f t="shared" si="326"/>
        <v>1900</v>
      </c>
      <c r="G1629" s="747"/>
      <c r="H1629" s="882"/>
      <c r="I1629" s="756"/>
      <c r="J1629" s="756"/>
      <c r="K1629" s="778">
        <f t="shared" si="327"/>
        <v>0</v>
      </c>
      <c r="L1629" s="976"/>
      <c r="M1629" s="736">
        <f t="shared" si="328"/>
        <v>0</v>
      </c>
      <c r="N1629" s="754"/>
      <c r="O1629" s="738">
        <f t="shared" si="329"/>
        <v>0</v>
      </c>
      <c r="P1629" s="757"/>
      <c r="Q1629" s="739">
        <f t="shared" si="330"/>
        <v>0</v>
      </c>
      <c r="R1629" s="757"/>
      <c r="S1629" s="755"/>
      <c r="T1629" s="277"/>
      <c r="U1629" s="758" t="str">
        <f t="shared" si="331"/>
        <v/>
      </c>
      <c r="V1629" s="758" t="str">
        <f t="shared" si="332"/>
        <v>1900</v>
      </c>
      <c r="W1629" s="759"/>
      <c r="X1629" s="771"/>
      <c r="Y1629" s="977"/>
      <c r="Z1629" s="758"/>
      <c r="AA1629" s="758" t="str">
        <f t="shared" si="334"/>
        <v/>
      </c>
      <c r="AB1629" s="758" t="str">
        <f t="shared" si="335"/>
        <v/>
      </c>
      <c r="AC1629" s="758" t="str">
        <f t="shared" si="336"/>
        <v/>
      </c>
      <c r="AD1629" s="758" t="str">
        <f t="shared" si="337"/>
        <v>0</v>
      </c>
      <c r="AE1629" s="760"/>
      <c r="AF1629" s="760"/>
      <c r="AG1629" s="443"/>
      <c r="AH1629" s="443"/>
    </row>
    <row r="1630" spans="1:34">
      <c r="A1630" s="728">
        <f t="shared" si="333"/>
        <v>1623</v>
      </c>
      <c r="B1630" s="77"/>
      <c r="C1630" s="747"/>
      <c r="D1630" s="763" t="str">
        <f t="shared" si="324"/>
        <v>January</v>
      </c>
      <c r="E1630" s="763">
        <f t="shared" si="325"/>
        <v>0</v>
      </c>
      <c r="F1630" s="762">
        <f t="shared" si="326"/>
        <v>1900</v>
      </c>
      <c r="G1630" s="747"/>
      <c r="H1630" s="882"/>
      <c r="I1630" s="756"/>
      <c r="J1630" s="756"/>
      <c r="K1630" s="778">
        <f t="shared" si="327"/>
        <v>0</v>
      </c>
      <c r="L1630" s="976"/>
      <c r="M1630" s="736">
        <f t="shared" si="328"/>
        <v>0</v>
      </c>
      <c r="N1630" s="754"/>
      <c r="O1630" s="738">
        <f t="shared" si="329"/>
        <v>0</v>
      </c>
      <c r="P1630" s="757"/>
      <c r="Q1630" s="739">
        <f t="shared" si="330"/>
        <v>0</v>
      </c>
      <c r="R1630" s="757"/>
      <c r="S1630" s="755"/>
      <c r="T1630" s="277"/>
      <c r="U1630" s="758" t="str">
        <f t="shared" si="331"/>
        <v/>
      </c>
      <c r="V1630" s="758" t="str">
        <f t="shared" si="332"/>
        <v>1900</v>
      </c>
      <c r="W1630" s="759"/>
      <c r="X1630" s="771"/>
      <c r="Y1630" s="977"/>
      <c r="Z1630" s="758"/>
      <c r="AA1630" s="758" t="str">
        <f t="shared" si="334"/>
        <v/>
      </c>
      <c r="AB1630" s="758" t="str">
        <f t="shared" si="335"/>
        <v/>
      </c>
      <c r="AC1630" s="758" t="str">
        <f t="shared" si="336"/>
        <v/>
      </c>
      <c r="AD1630" s="758" t="str">
        <f t="shared" si="337"/>
        <v>0</v>
      </c>
      <c r="AE1630" s="760"/>
      <c r="AF1630" s="760"/>
      <c r="AG1630" s="443"/>
      <c r="AH1630" s="443"/>
    </row>
    <row r="1631" spans="1:34">
      <c r="A1631" s="728">
        <f t="shared" si="333"/>
        <v>1624</v>
      </c>
      <c r="B1631" s="77"/>
      <c r="C1631" s="747"/>
      <c r="D1631" s="763" t="str">
        <f t="shared" si="324"/>
        <v>January</v>
      </c>
      <c r="E1631" s="763">
        <f t="shared" si="325"/>
        <v>0</v>
      </c>
      <c r="F1631" s="762">
        <f t="shared" si="326"/>
        <v>1900</v>
      </c>
      <c r="G1631" s="747"/>
      <c r="H1631" s="882"/>
      <c r="I1631" s="756"/>
      <c r="J1631" s="756"/>
      <c r="K1631" s="778">
        <f t="shared" si="327"/>
        <v>0</v>
      </c>
      <c r="L1631" s="976"/>
      <c r="M1631" s="736">
        <f t="shared" si="328"/>
        <v>0</v>
      </c>
      <c r="N1631" s="754"/>
      <c r="O1631" s="738">
        <f t="shared" si="329"/>
        <v>0</v>
      </c>
      <c r="P1631" s="757"/>
      <c r="Q1631" s="739">
        <f t="shared" si="330"/>
        <v>0</v>
      </c>
      <c r="R1631" s="757"/>
      <c r="S1631" s="755"/>
      <c r="T1631" s="277"/>
      <c r="U1631" s="758" t="str">
        <f t="shared" si="331"/>
        <v/>
      </c>
      <c r="V1631" s="758" t="str">
        <f t="shared" si="332"/>
        <v>1900</v>
      </c>
      <c r="W1631" s="759"/>
      <c r="X1631" s="771"/>
      <c r="Y1631" s="977"/>
      <c r="Z1631" s="758"/>
      <c r="AA1631" s="758" t="str">
        <f t="shared" si="334"/>
        <v/>
      </c>
      <c r="AB1631" s="758" t="str">
        <f t="shared" si="335"/>
        <v/>
      </c>
      <c r="AC1631" s="758" t="str">
        <f t="shared" si="336"/>
        <v/>
      </c>
      <c r="AD1631" s="758" t="str">
        <f t="shared" si="337"/>
        <v>0</v>
      </c>
      <c r="AE1631" s="760"/>
      <c r="AF1631" s="760"/>
      <c r="AG1631" s="443"/>
      <c r="AH1631" s="443"/>
    </row>
    <row r="1632" spans="1:34">
      <c r="A1632" s="728">
        <f t="shared" si="333"/>
        <v>1625</v>
      </c>
      <c r="B1632" s="77"/>
      <c r="C1632" s="747"/>
      <c r="D1632" s="763" t="str">
        <f t="shared" si="324"/>
        <v>January</v>
      </c>
      <c r="E1632" s="763">
        <f t="shared" si="325"/>
        <v>0</v>
      </c>
      <c r="F1632" s="762">
        <f t="shared" si="326"/>
        <v>1900</v>
      </c>
      <c r="G1632" s="747"/>
      <c r="H1632" s="882"/>
      <c r="I1632" s="756"/>
      <c r="J1632" s="756"/>
      <c r="K1632" s="778">
        <f t="shared" si="327"/>
        <v>0</v>
      </c>
      <c r="L1632" s="976"/>
      <c r="M1632" s="736">
        <f t="shared" si="328"/>
        <v>0</v>
      </c>
      <c r="N1632" s="754"/>
      <c r="O1632" s="738">
        <f t="shared" si="329"/>
        <v>0</v>
      </c>
      <c r="P1632" s="757"/>
      <c r="Q1632" s="739">
        <f t="shared" si="330"/>
        <v>0</v>
      </c>
      <c r="R1632" s="757"/>
      <c r="S1632" s="755"/>
      <c r="T1632" s="277"/>
      <c r="U1632" s="758" t="str">
        <f t="shared" si="331"/>
        <v/>
      </c>
      <c r="V1632" s="758" t="str">
        <f t="shared" si="332"/>
        <v>1900</v>
      </c>
      <c r="W1632" s="759"/>
      <c r="X1632" s="771"/>
      <c r="Y1632" s="977"/>
      <c r="Z1632" s="758"/>
      <c r="AA1632" s="758" t="str">
        <f t="shared" si="334"/>
        <v/>
      </c>
      <c r="AB1632" s="758" t="str">
        <f t="shared" si="335"/>
        <v/>
      </c>
      <c r="AC1632" s="758" t="str">
        <f t="shared" si="336"/>
        <v/>
      </c>
      <c r="AD1632" s="758" t="str">
        <f t="shared" si="337"/>
        <v>0</v>
      </c>
      <c r="AE1632" s="760"/>
      <c r="AF1632" s="760"/>
      <c r="AG1632" s="443"/>
      <c r="AH1632" s="443"/>
    </row>
    <row r="1633" spans="1:34">
      <c r="A1633" s="728">
        <f t="shared" si="333"/>
        <v>1626</v>
      </c>
      <c r="B1633" s="77"/>
      <c r="C1633" s="747"/>
      <c r="D1633" s="763" t="str">
        <f t="shared" si="324"/>
        <v>January</v>
      </c>
      <c r="E1633" s="763">
        <f t="shared" si="325"/>
        <v>0</v>
      </c>
      <c r="F1633" s="762">
        <f t="shared" si="326"/>
        <v>1900</v>
      </c>
      <c r="G1633" s="747"/>
      <c r="H1633" s="882"/>
      <c r="I1633" s="756"/>
      <c r="J1633" s="756"/>
      <c r="K1633" s="778">
        <f t="shared" si="327"/>
        <v>0</v>
      </c>
      <c r="L1633" s="976"/>
      <c r="M1633" s="736">
        <f t="shared" si="328"/>
        <v>0</v>
      </c>
      <c r="N1633" s="754"/>
      <c r="O1633" s="738">
        <f t="shared" si="329"/>
        <v>0</v>
      </c>
      <c r="P1633" s="757"/>
      <c r="Q1633" s="739">
        <f t="shared" si="330"/>
        <v>0</v>
      </c>
      <c r="R1633" s="757"/>
      <c r="S1633" s="755"/>
      <c r="T1633" s="277"/>
      <c r="U1633" s="758" t="str">
        <f t="shared" si="331"/>
        <v/>
      </c>
      <c r="V1633" s="758" t="str">
        <f t="shared" si="332"/>
        <v>1900</v>
      </c>
      <c r="W1633" s="759"/>
      <c r="X1633" s="771"/>
      <c r="Y1633" s="977"/>
      <c r="Z1633" s="758"/>
      <c r="AA1633" s="758" t="str">
        <f t="shared" si="334"/>
        <v/>
      </c>
      <c r="AB1633" s="758" t="str">
        <f t="shared" si="335"/>
        <v/>
      </c>
      <c r="AC1633" s="758" t="str">
        <f t="shared" si="336"/>
        <v/>
      </c>
      <c r="AD1633" s="758" t="str">
        <f t="shared" si="337"/>
        <v>0</v>
      </c>
      <c r="AE1633" s="760"/>
      <c r="AF1633" s="760"/>
      <c r="AG1633" s="443"/>
      <c r="AH1633" s="443"/>
    </row>
    <row r="1634" spans="1:34">
      <c r="A1634" s="728">
        <f t="shared" si="333"/>
        <v>1627</v>
      </c>
      <c r="B1634" s="77"/>
      <c r="C1634" s="747"/>
      <c r="D1634" s="763" t="str">
        <f t="shared" si="324"/>
        <v>January</v>
      </c>
      <c r="E1634" s="763">
        <f t="shared" si="325"/>
        <v>0</v>
      </c>
      <c r="F1634" s="762">
        <f t="shared" si="326"/>
        <v>1900</v>
      </c>
      <c r="G1634" s="747"/>
      <c r="H1634" s="882"/>
      <c r="I1634" s="756"/>
      <c r="J1634" s="756"/>
      <c r="K1634" s="778">
        <f t="shared" si="327"/>
        <v>0</v>
      </c>
      <c r="L1634" s="976"/>
      <c r="M1634" s="736">
        <f t="shared" si="328"/>
        <v>0</v>
      </c>
      <c r="N1634" s="754"/>
      <c r="O1634" s="738">
        <f t="shared" si="329"/>
        <v>0</v>
      </c>
      <c r="P1634" s="757"/>
      <c r="Q1634" s="739">
        <f t="shared" si="330"/>
        <v>0</v>
      </c>
      <c r="R1634" s="757"/>
      <c r="S1634" s="755"/>
      <c r="T1634" s="277"/>
      <c r="U1634" s="758" t="str">
        <f t="shared" si="331"/>
        <v/>
      </c>
      <c r="V1634" s="758" t="str">
        <f t="shared" si="332"/>
        <v>1900</v>
      </c>
      <c r="W1634" s="759"/>
      <c r="X1634" s="771"/>
      <c r="Y1634" s="977"/>
      <c r="Z1634" s="758"/>
      <c r="AA1634" s="758" t="str">
        <f t="shared" si="334"/>
        <v/>
      </c>
      <c r="AB1634" s="758" t="str">
        <f t="shared" si="335"/>
        <v/>
      </c>
      <c r="AC1634" s="758" t="str">
        <f t="shared" si="336"/>
        <v/>
      </c>
      <c r="AD1634" s="758" t="str">
        <f t="shared" si="337"/>
        <v>0</v>
      </c>
      <c r="AE1634" s="760"/>
      <c r="AF1634" s="760"/>
      <c r="AG1634" s="443"/>
      <c r="AH1634" s="443"/>
    </row>
    <row r="1635" spans="1:34">
      <c r="A1635" s="728">
        <f t="shared" si="333"/>
        <v>1628</v>
      </c>
      <c r="B1635" s="77"/>
      <c r="C1635" s="747"/>
      <c r="D1635" s="763" t="str">
        <f t="shared" si="324"/>
        <v>January</v>
      </c>
      <c r="E1635" s="763">
        <f t="shared" si="325"/>
        <v>0</v>
      </c>
      <c r="F1635" s="762">
        <f t="shared" si="326"/>
        <v>1900</v>
      </c>
      <c r="G1635" s="747"/>
      <c r="H1635" s="882"/>
      <c r="I1635" s="756"/>
      <c r="J1635" s="756"/>
      <c r="K1635" s="778">
        <f t="shared" si="327"/>
        <v>0</v>
      </c>
      <c r="L1635" s="976"/>
      <c r="M1635" s="736">
        <f t="shared" si="328"/>
        <v>0</v>
      </c>
      <c r="N1635" s="754"/>
      <c r="O1635" s="738">
        <f t="shared" si="329"/>
        <v>0</v>
      </c>
      <c r="P1635" s="757"/>
      <c r="Q1635" s="739">
        <f t="shared" si="330"/>
        <v>0</v>
      </c>
      <c r="R1635" s="757"/>
      <c r="S1635" s="755"/>
      <c r="T1635" s="277"/>
      <c r="U1635" s="758" t="str">
        <f t="shared" si="331"/>
        <v/>
      </c>
      <c r="V1635" s="758" t="str">
        <f t="shared" si="332"/>
        <v>1900</v>
      </c>
      <c r="W1635" s="759"/>
      <c r="X1635" s="771"/>
      <c r="Y1635" s="977"/>
      <c r="Z1635" s="758"/>
      <c r="AA1635" s="758" t="str">
        <f t="shared" si="334"/>
        <v/>
      </c>
      <c r="AB1635" s="758" t="str">
        <f t="shared" si="335"/>
        <v/>
      </c>
      <c r="AC1635" s="758" t="str">
        <f t="shared" si="336"/>
        <v/>
      </c>
      <c r="AD1635" s="758" t="str">
        <f t="shared" si="337"/>
        <v>0</v>
      </c>
      <c r="AE1635" s="760"/>
      <c r="AF1635" s="760"/>
      <c r="AG1635" s="443"/>
      <c r="AH1635" s="443"/>
    </row>
    <row r="1636" spans="1:34">
      <c r="A1636" s="728">
        <f t="shared" si="333"/>
        <v>1629</v>
      </c>
      <c r="B1636" s="77"/>
      <c r="C1636" s="747"/>
      <c r="D1636" s="763" t="str">
        <f t="shared" si="324"/>
        <v>January</v>
      </c>
      <c r="E1636" s="763">
        <f t="shared" si="325"/>
        <v>0</v>
      </c>
      <c r="F1636" s="762">
        <f t="shared" si="326"/>
        <v>1900</v>
      </c>
      <c r="G1636" s="747"/>
      <c r="H1636" s="882"/>
      <c r="I1636" s="756"/>
      <c r="J1636" s="756"/>
      <c r="K1636" s="778">
        <f t="shared" si="327"/>
        <v>0</v>
      </c>
      <c r="L1636" s="976"/>
      <c r="M1636" s="736">
        <f t="shared" si="328"/>
        <v>0</v>
      </c>
      <c r="N1636" s="754"/>
      <c r="O1636" s="738">
        <f t="shared" si="329"/>
        <v>0</v>
      </c>
      <c r="P1636" s="757"/>
      <c r="Q1636" s="739">
        <f t="shared" si="330"/>
        <v>0</v>
      </c>
      <c r="R1636" s="757"/>
      <c r="S1636" s="755"/>
      <c r="T1636" s="277"/>
      <c r="U1636" s="758" t="str">
        <f t="shared" si="331"/>
        <v/>
      </c>
      <c r="V1636" s="758" t="str">
        <f t="shared" si="332"/>
        <v>1900</v>
      </c>
      <c r="W1636" s="759"/>
      <c r="X1636" s="771"/>
      <c r="Y1636" s="977"/>
      <c r="Z1636" s="758"/>
      <c r="AA1636" s="758" t="str">
        <f t="shared" si="334"/>
        <v/>
      </c>
      <c r="AB1636" s="758" t="str">
        <f t="shared" si="335"/>
        <v/>
      </c>
      <c r="AC1636" s="758" t="str">
        <f t="shared" si="336"/>
        <v/>
      </c>
      <c r="AD1636" s="758" t="str">
        <f t="shared" si="337"/>
        <v>0</v>
      </c>
      <c r="AE1636" s="760"/>
      <c r="AF1636" s="760"/>
      <c r="AG1636" s="443"/>
      <c r="AH1636" s="443"/>
    </row>
    <row r="1637" spans="1:34">
      <c r="A1637" s="728">
        <f t="shared" si="333"/>
        <v>1630</v>
      </c>
      <c r="B1637" s="77"/>
      <c r="C1637" s="747"/>
      <c r="D1637" s="763" t="str">
        <f t="shared" si="324"/>
        <v>January</v>
      </c>
      <c r="E1637" s="763">
        <f t="shared" si="325"/>
        <v>0</v>
      </c>
      <c r="F1637" s="762">
        <f t="shared" si="326"/>
        <v>1900</v>
      </c>
      <c r="G1637" s="747"/>
      <c r="H1637" s="882"/>
      <c r="I1637" s="756"/>
      <c r="J1637" s="756"/>
      <c r="K1637" s="778">
        <f t="shared" si="327"/>
        <v>0</v>
      </c>
      <c r="L1637" s="976"/>
      <c r="M1637" s="736">
        <f t="shared" si="328"/>
        <v>0</v>
      </c>
      <c r="N1637" s="754"/>
      <c r="O1637" s="738">
        <f t="shared" si="329"/>
        <v>0</v>
      </c>
      <c r="P1637" s="757"/>
      <c r="Q1637" s="739">
        <f t="shared" si="330"/>
        <v>0</v>
      </c>
      <c r="R1637" s="757"/>
      <c r="S1637" s="755"/>
      <c r="T1637" s="277"/>
      <c r="U1637" s="758" t="str">
        <f t="shared" si="331"/>
        <v/>
      </c>
      <c r="V1637" s="758" t="str">
        <f t="shared" si="332"/>
        <v>1900</v>
      </c>
      <c r="W1637" s="759"/>
      <c r="X1637" s="771"/>
      <c r="Y1637" s="977"/>
      <c r="Z1637" s="758"/>
      <c r="AA1637" s="758" t="str">
        <f t="shared" si="334"/>
        <v/>
      </c>
      <c r="AB1637" s="758" t="str">
        <f t="shared" si="335"/>
        <v/>
      </c>
      <c r="AC1637" s="758" t="str">
        <f t="shared" si="336"/>
        <v/>
      </c>
      <c r="AD1637" s="758" t="str">
        <f t="shared" si="337"/>
        <v>0</v>
      </c>
      <c r="AE1637" s="760"/>
      <c r="AF1637" s="760"/>
      <c r="AG1637" s="443"/>
      <c r="AH1637" s="443"/>
    </row>
    <row r="1638" spans="1:34">
      <c r="A1638" s="728">
        <f t="shared" si="333"/>
        <v>1631</v>
      </c>
      <c r="B1638" s="77"/>
      <c r="C1638" s="747"/>
      <c r="D1638" s="763" t="str">
        <f t="shared" si="324"/>
        <v>January</v>
      </c>
      <c r="E1638" s="763">
        <f t="shared" si="325"/>
        <v>0</v>
      </c>
      <c r="F1638" s="762">
        <f t="shared" si="326"/>
        <v>1900</v>
      </c>
      <c r="G1638" s="747"/>
      <c r="H1638" s="882"/>
      <c r="I1638" s="756"/>
      <c r="J1638" s="756"/>
      <c r="K1638" s="778">
        <f t="shared" si="327"/>
        <v>0</v>
      </c>
      <c r="L1638" s="976"/>
      <c r="M1638" s="736">
        <f t="shared" si="328"/>
        <v>0</v>
      </c>
      <c r="N1638" s="754"/>
      <c r="O1638" s="738">
        <f t="shared" si="329"/>
        <v>0</v>
      </c>
      <c r="P1638" s="757"/>
      <c r="Q1638" s="739">
        <f t="shared" si="330"/>
        <v>0</v>
      </c>
      <c r="R1638" s="757"/>
      <c r="S1638" s="755"/>
      <c r="T1638" s="277"/>
      <c r="U1638" s="758" t="str">
        <f t="shared" si="331"/>
        <v/>
      </c>
      <c r="V1638" s="758" t="str">
        <f t="shared" si="332"/>
        <v>1900</v>
      </c>
      <c r="W1638" s="759"/>
      <c r="X1638" s="771"/>
      <c r="Y1638" s="977"/>
      <c r="Z1638" s="758"/>
      <c r="AA1638" s="758" t="str">
        <f t="shared" si="334"/>
        <v/>
      </c>
      <c r="AB1638" s="758" t="str">
        <f t="shared" si="335"/>
        <v/>
      </c>
      <c r="AC1638" s="758" t="str">
        <f t="shared" si="336"/>
        <v/>
      </c>
      <c r="AD1638" s="758" t="str">
        <f t="shared" si="337"/>
        <v>0</v>
      </c>
      <c r="AE1638" s="760"/>
      <c r="AF1638" s="760"/>
      <c r="AG1638" s="443"/>
      <c r="AH1638" s="443"/>
    </row>
    <row r="1639" spans="1:34">
      <c r="A1639" s="728">
        <f t="shared" si="333"/>
        <v>1632</v>
      </c>
      <c r="B1639" s="77"/>
      <c r="C1639" s="747"/>
      <c r="D1639" s="763" t="str">
        <f t="shared" si="324"/>
        <v>January</v>
      </c>
      <c r="E1639" s="763">
        <f t="shared" si="325"/>
        <v>0</v>
      </c>
      <c r="F1639" s="762">
        <f t="shared" si="326"/>
        <v>1900</v>
      </c>
      <c r="G1639" s="747"/>
      <c r="H1639" s="882"/>
      <c r="I1639" s="756"/>
      <c r="J1639" s="756"/>
      <c r="K1639" s="778">
        <f t="shared" si="327"/>
        <v>0</v>
      </c>
      <c r="L1639" s="976"/>
      <c r="M1639" s="736">
        <f t="shared" si="328"/>
        <v>0</v>
      </c>
      <c r="N1639" s="754"/>
      <c r="O1639" s="738">
        <f t="shared" si="329"/>
        <v>0</v>
      </c>
      <c r="P1639" s="757"/>
      <c r="Q1639" s="739">
        <f t="shared" si="330"/>
        <v>0</v>
      </c>
      <c r="R1639" s="757"/>
      <c r="S1639" s="755"/>
      <c r="T1639" s="277"/>
      <c r="U1639" s="758" t="str">
        <f t="shared" si="331"/>
        <v/>
      </c>
      <c r="V1639" s="758" t="str">
        <f t="shared" si="332"/>
        <v>1900</v>
      </c>
      <c r="W1639" s="759"/>
      <c r="X1639" s="771"/>
      <c r="Y1639" s="977"/>
      <c r="Z1639" s="758"/>
      <c r="AA1639" s="758" t="str">
        <f t="shared" si="334"/>
        <v/>
      </c>
      <c r="AB1639" s="758" t="str">
        <f t="shared" si="335"/>
        <v/>
      </c>
      <c r="AC1639" s="758" t="str">
        <f t="shared" si="336"/>
        <v/>
      </c>
      <c r="AD1639" s="758" t="str">
        <f t="shared" si="337"/>
        <v>0</v>
      </c>
      <c r="AE1639" s="760"/>
      <c r="AF1639" s="760"/>
      <c r="AG1639" s="443"/>
      <c r="AH1639" s="443"/>
    </row>
    <row r="1640" spans="1:34">
      <c r="A1640" s="728">
        <f t="shared" si="333"/>
        <v>1633</v>
      </c>
      <c r="B1640" s="77"/>
      <c r="C1640" s="747"/>
      <c r="D1640" s="763" t="str">
        <f t="shared" si="324"/>
        <v>January</v>
      </c>
      <c r="E1640" s="763">
        <f t="shared" si="325"/>
        <v>0</v>
      </c>
      <c r="F1640" s="762">
        <f t="shared" si="326"/>
        <v>1900</v>
      </c>
      <c r="G1640" s="747"/>
      <c r="H1640" s="882"/>
      <c r="I1640" s="756"/>
      <c r="J1640" s="756"/>
      <c r="K1640" s="778">
        <f t="shared" si="327"/>
        <v>0</v>
      </c>
      <c r="L1640" s="976"/>
      <c r="M1640" s="736">
        <f t="shared" si="328"/>
        <v>0</v>
      </c>
      <c r="N1640" s="754"/>
      <c r="O1640" s="738">
        <f t="shared" si="329"/>
        <v>0</v>
      </c>
      <c r="P1640" s="757"/>
      <c r="Q1640" s="739">
        <f t="shared" si="330"/>
        <v>0</v>
      </c>
      <c r="R1640" s="757"/>
      <c r="S1640" s="755"/>
      <c r="T1640" s="277"/>
      <c r="U1640" s="758" t="str">
        <f t="shared" si="331"/>
        <v/>
      </c>
      <c r="V1640" s="758" t="str">
        <f t="shared" si="332"/>
        <v>1900</v>
      </c>
      <c r="W1640" s="759"/>
      <c r="X1640" s="771"/>
      <c r="Y1640" s="977"/>
      <c r="Z1640" s="758"/>
      <c r="AA1640" s="758" t="str">
        <f t="shared" si="334"/>
        <v/>
      </c>
      <c r="AB1640" s="758" t="str">
        <f t="shared" si="335"/>
        <v/>
      </c>
      <c r="AC1640" s="758" t="str">
        <f t="shared" si="336"/>
        <v/>
      </c>
      <c r="AD1640" s="758" t="str">
        <f t="shared" si="337"/>
        <v>0</v>
      </c>
      <c r="AE1640" s="760"/>
      <c r="AF1640" s="760"/>
      <c r="AG1640" s="443"/>
      <c r="AH1640" s="443"/>
    </row>
    <row r="1641" spans="1:34">
      <c r="A1641" s="728">
        <f t="shared" si="333"/>
        <v>1634</v>
      </c>
      <c r="B1641" s="77"/>
      <c r="C1641" s="747"/>
      <c r="D1641" s="763" t="str">
        <f t="shared" si="324"/>
        <v>January</v>
      </c>
      <c r="E1641" s="763">
        <f t="shared" si="325"/>
        <v>0</v>
      </c>
      <c r="F1641" s="762">
        <f t="shared" si="326"/>
        <v>1900</v>
      </c>
      <c r="G1641" s="747"/>
      <c r="H1641" s="882"/>
      <c r="I1641" s="756"/>
      <c r="J1641" s="756"/>
      <c r="K1641" s="778">
        <f t="shared" si="327"/>
        <v>0</v>
      </c>
      <c r="L1641" s="976"/>
      <c r="M1641" s="736">
        <f t="shared" si="328"/>
        <v>0</v>
      </c>
      <c r="N1641" s="754"/>
      <c r="O1641" s="738">
        <f t="shared" si="329"/>
        <v>0</v>
      </c>
      <c r="P1641" s="757"/>
      <c r="Q1641" s="739">
        <f t="shared" si="330"/>
        <v>0</v>
      </c>
      <c r="R1641" s="757"/>
      <c r="S1641" s="755"/>
      <c r="T1641" s="277"/>
      <c r="U1641" s="758" t="str">
        <f t="shared" si="331"/>
        <v/>
      </c>
      <c r="V1641" s="758" t="str">
        <f t="shared" si="332"/>
        <v>1900</v>
      </c>
      <c r="W1641" s="759"/>
      <c r="X1641" s="771"/>
      <c r="Y1641" s="977"/>
      <c r="Z1641" s="758"/>
      <c r="AA1641" s="758" t="str">
        <f t="shared" si="334"/>
        <v/>
      </c>
      <c r="AB1641" s="758" t="str">
        <f t="shared" si="335"/>
        <v/>
      </c>
      <c r="AC1641" s="758" t="str">
        <f t="shared" si="336"/>
        <v/>
      </c>
      <c r="AD1641" s="758" t="str">
        <f t="shared" si="337"/>
        <v>0</v>
      </c>
      <c r="AE1641" s="760"/>
      <c r="AF1641" s="760"/>
      <c r="AG1641" s="443"/>
      <c r="AH1641" s="443"/>
    </row>
    <row r="1642" spans="1:34">
      <c r="A1642" s="728">
        <f t="shared" si="333"/>
        <v>1635</v>
      </c>
      <c r="B1642" s="77"/>
      <c r="C1642" s="747"/>
      <c r="D1642" s="763" t="str">
        <f t="shared" si="324"/>
        <v>January</v>
      </c>
      <c r="E1642" s="763">
        <f t="shared" si="325"/>
        <v>0</v>
      </c>
      <c r="F1642" s="762">
        <f t="shared" si="326"/>
        <v>1900</v>
      </c>
      <c r="G1642" s="747"/>
      <c r="H1642" s="882"/>
      <c r="I1642" s="756"/>
      <c r="J1642" s="756"/>
      <c r="K1642" s="778">
        <f t="shared" si="327"/>
        <v>0</v>
      </c>
      <c r="L1642" s="976"/>
      <c r="M1642" s="736">
        <f t="shared" si="328"/>
        <v>0</v>
      </c>
      <c r="N1642" s="754"/>
      <c r="O1642" s="738">
        <f t="shared" si="329"/>
        <v>0</v>
      </c>
      <c r="P1642" s="757"/>
      <c r="Q1642" s="739">
        <f t="shared" si="330"/>
        <v>0</v>
      </c>
      <c r="R1642" s="757"/>
      <c r="S1642" s="755"/>
      <c r="T1642" s="277"/>
      <c r="U1642" s="758" t="str">
        <f t="shared" si="331"/>
        <v/>
      </c>
      <c r="V1642" s="758" t="str">
        <f t="shared" si="332"/>
        <v>1900</v>
      </c>
      <c r="W1642" s="759"/>
      <c r="X1642" s="771"/>
      <c r="Y1642" s="977"/>
      <c r="Z1642" s="758"/>
      <c r="AA1642" s="758" t="str">
        <f t="shared" si="334"/>
        <v/>
      </c>
      <c r="AB1642" s="758" t="str">
        <f t="shared" si="335"/>
        <v/>
      </c>
      <c r="AC1642" s="758" t="str">
        <f t="shared" si="336"/>
        <v/>
      </c>
      <c r="AD1642" s="758" t="str">
        <f t="shared" si="337"/>
        <v>0</v>
      </c>
      <c r="AE1642" s="760"/>
      <c r="AF1642" s="760"/>
      <c r="AG1642" s="443"/>
      <c r="AH1642" s="443"/>
    </row>
    <row r="1643" spans="1:34">
      <c r="A1643" s="728">
        <f t="shared" si="333"/>
        <v>1636</v>
      </c>
      <c r="B1643" s="77"/>
      <c r="C1643" s="747"/>
      <c r="D1643" s="763" t="str">
        <f t="shared" si="324"/>
        <v>January</v>
      </c>
      <c r="E1643" s="763">
        <f t="shared" si="325"/>
        <v>0</v>
      </c>
      <c r="F1643" s="762">
        <f t="shared" si="326"/>
        <v>1900</v>
      </c>
      <c r="G1643" s="747"/>
      <c r="H1643" s="882"/>
      <c r="I1643" s="756"/>
      <c r="J1643" s="756"/>
      <c r="K1643" s="778">
        <f t="shared" si="327"/>
        <v>0</v>
      </c>
      <c r="L1643" s="976"/>
      <c r="M1643" s="736">
        <f t="shared" si="328"/>
        <v>0</v>
      </c>
      <c r="N1643" s="754"/>
      <c r="O1643" s="738">
        <f t="shared" si="329"/>
        <v>0</v>
      </c>
      <c r="P1643" s="757"/>
      <c r="Q1643" s="739">
        <f t="shared" si="330"/>
        <v>0</v>
      </c>
      <c r="R1643" s="757"/>
      <c r="S1643" s="755"/>
      <c r="T1643" s="277"/>
      <c r="U1643" s="758" t="str">
        <f t="shared" si="331"/>
        <v/>
      </c>
      <c r="V1643" s="758" t="str">
        <f t="shared" si="332"/>
        <v>1900</v>
      </c>
      <c r="W1643" s="759"/>
      <c r="X1643" s="771"/>
      <c r="Y1643" s="977"/>
      <c r="Z1643" s="758"/>
      <c r="AA1643" s="758" t="str">
        <f t="shared" si="334"/>
        <v/>
      </c>
      <c r="AB1643" s="758" t="str">
        <f t="shared" si="335"/>
        <v/>
      </c>
      <c r="AC1643" s="758" t="str">
        <f t="shared" si="336"/>
        <v/>
      </c>
      <c r="AD1643" s="758" t="str">
        <f t="shared" si="337"/>
        <v>0</v>
      </c>
      <c r="AE1643" s="760"/>
      <c r="AF1643" s="760"/>
      <c r="AG1643" s="443"/>
      <c r="AH1643" s="443"/>
    </row>
    <row r="1644" spans="1:34">
      <c r="A1644" s="728">
        <f t="shared" si="333"/>
        <v>1637</v>
      </c>
      <c r="B1644" s="77"/>
      <c r="C1644" s="747"/>
      <c r="D1644" s="763" t="str">
        <f t="shared" si="324"/>
        <v>January</v>
      </c>
      <c r="E1644" s="763">
        <f t="shared" si="325"/>
        <v>0</v>
      </c>
      <c r="F1644" s="762">
        <f t="shared" si="326"/>
        <v>1900</v>
      </c>
      <c r="G1644" s="747"/>
      <c r="H1644" s="882"/>
      <c r="I1644" s="756"/>
      <c r="J1644" s="756"/>
      <c r="K1644" s="778">
        <f t="shared" si="327"/>
        <v>0</v>
      </c>
      <c r="L1644" s="976"/>
      <c r="M1644" s="736">
        <f t="shared" si="328"/>
        <v>0</v>
      </c>
      <c r="N1644" s="754"/>
      <c r="O1644" s="738">
        <f t="shared" si="329"/>
        <v>0</v>
      </c>
      <c r="P1644" s="757"/>
      <c r="Q1644" s="739">
        <f t="shared" si="330"/>
        <v>0</v>
      </c>
      <c r="R1644" s="757"/>
      <c r="S1644" s="755"/>
      <c r="T1644" s="277"/>
      <c r="U1644" s="758" t="str">
        <f t="shared" si="331"/>
        <v/>
      </c>
      <c r="V1644" s="758" t="str">
        <f t="shared" si="332"/>
        <v>1900</v>
      </c>
      <c r="W1644" s="759"/>
      <c r="X1644" s="771"/>
      <c r="Y1644" s="977"/>
      <c r="Z1644" s="758"/>
      <c r="AA1644" s="758" t="str">
        <f t="shared" si="334"/>
        <v/>
      </c>
      <c r="AB1644" s="758" t="str">
        <f t="shared" si="335"/>
        <v/>
      </c>
      <c r="AC1644" s="758" t="str">
        <f t="shared" si="336"/>
        <v/>
      </c>
      <c r="AD1644" s="758" t="str">
        <f t="shared" si="337"/>
        <v>0</v>
      </c>
      <c r="AE1644" s="760"/>
      <c r="AF1644" s="760"/>
      <c r="AG1644" s="443"/>
      <c r="AH1644" s="443"/>
    </row>
    <row r="1645" spans="1:34">
      <c r="A1645" s="728">
        <f t="shared" si="333"/>
        <v>1638</v>
      </c>
      <c r="B1645" s="77"/>
      <c r="C1645" s="747"/>
      <c r="D1645" s="763" t="str">
        <f t="shared" si="324"/>
        <v>January</v>
      </c>
      <c r="E1645" s="763">
        <f t="shared" si="325"/>
        <v>0</v>
      </c>
      <c r="F1645" s="762">
        <f t="shared" si="326"/>
        <v>1900</v>
      </c>
      <c r="G1645" s="747"/>
      <c r="H1645" s="882"/>
      <c r="I1645" s="756"/>
      <c r="J1645" s="756"/>
      <c r="K1645" s="778">
        <f t="shared" si="327"/>
        <v>0</v>
      </c>
      <c r="L1645" s="976"/>
      <c r="M1645" s="736">
        <f t="shared" si="328"/>
        <v>0</v>
      </c>
      <c r="N1645" s="754"/>
      <c r="O1645" s="738">
        <f t="shared" si="329"/>
        <v>0</v>
      </c>
      <c r="P1645" s="757"/>
      <c r="Q1645" s="739">
        <f t="shared" si="330"/>
        <v>0</v>
      </c>
      <c r="R1645" s="757"/>
      <c r="S1645" s="755"/>
      <c r="T1645" s="277"/>
      <c r="U1645" s="758" t="str">
        <f t="shared" si="331"/>
        <v/>
      </c>
      <c r="V1645" s="758" t="str">
        <f t="shared" si="332"/>
        <v>1900</v>
      </c>
      <c r="W1645" s="759"/>
      <c r="X1645" s="771"/>
      <c r="Y1645" s="977"/>
      <c r="Z1645" s="758"/>
      <c r="AA1645" s="758" t="str">
        <f t="shared" si="334"/>
        <v/>
      </c>
      <c r="AB1645" s="758" t="str">
        <f t="shared" si="335"/>
        <v/>
      </c>
      <c r="AC1645" s="758" t="str">
        <f t="shared" si="336"/>
        <v/>
      </c>
      <c r="AD1645" s="758" t="str">
        <f t="shared" si="337"/>
        <v>0</v>
      </c>
      <c r="AE1645" s="760"/>
      <c r="AF1645" s="760"/>
      <c r="AG1645" s="443"/>
      <c r="AH1645" s="443"/>
    </row>
    <row r="1646" spans="1:34">
      <c r="A1646" s="728">
        <f t="shared" si="333"/>
        <v>1639</v>
      </c>
      <c r="B1646" s="77"/>
      <c r="C1646" s="747"/>
      <c r="D1646" s="763" t="str">
        <f t="shared" si="324"/>
        <v>January</v>
      </c>
      <c r="E1646" s="763">
        <f t="shared" si="325"/>
        <v>0</v>
      </c>
      <c r="F1646" s="762">
        <f t="shared" si="326"/>
        <v>1900</v>
      </c>
      <c r="G1646" s="747"/>
      <c r="H1646" s="882"/>
      <c r="I1646" s="756"/>
      <c r="J1646" s="756"/>
      <c r="K1646" s="778">
        <f t="shared" si="327"/>
        <v>0</v>
      </c>
      <c r="L1646" s="976"/>
      <c r="M1646" s="736">
        <f t="shared" si="328"/>
        <v>0</v>
      </c>
      <c r="N1646" s="754"/>
      <c r="O1646" s="738">
        <f t="shared" si="329"/>
        <v>0</v>
      </c>
      <c r="P1646" s="757"/>
      <c r="Q1646" s="739">
        <f t="shared" si="330"/>
        <v>0</v>
      </c>
      <c r="R1646" s="757"/>
      <c r="S1646" s="755"/>
      <c r="T1646" s="277"/>
      <c r="U1646" s="758" t="str">
        <f t="shared" si="331"/>
        <v/>
      </c>
      <c r="V1646" s="758" t="str">
        <f t="shared" si="332"/>
        <v>1900</v>
      </c>
      <c r="W1646" s="759"/>
      <c r="X1646" s="771"/>
      <c r="Y1646" s="977"/>
      <c r="Z1646" s="758"/>
      <c r="AA1646" s="758" t="str">
        <f t="shared" si="334"/>
        <v/>
      </c>
      <c r="AB1646" s="758" t="str">
        <f t="shared" si="335"/>
        <v/>
      </c>
      <c r="AC1646" s="758" t="str">
        <f t="shared" si="336"/>
        <v/>
      </c>
      <c r="AD1646" s="758" t="str">
        <f t="shared" si="337"/>
        <v>0</v>
      </c>
      <c r="AE1646" s="760"/>
      <c r="AF1646" s="760"/>
      <c r="AG1646" s="443"/>
      <c r="AH1646" s="443"/>
    </row>
    <row r="1647" spans="1:34">
      <c r="A1647" s="728">
        <f t="shared" si="333"/>
        <v>1640</v>
      </c>
      <c r="B1647" s="77"/>
      <c r="C1647" s="747"/>
      <c r="D1647" s="763" t="str">
        <f t="shared" si="324"/>
        <v>January</v>
      </c>
      <c r="E1647" s="763">
        <f t="shared" si="325"/>
        <v>0</v>
      </c>
      <c r="F1647" s="762">
        <f t="shared" si="326"/>
        <v>1900</v>
      </c>
      <c r="G1647" s="747"/>
      <c r="H1647" s="882"/>
      <c r="I1647" s="756"/>
      <c r="J1647" s="756"/>
      <c r="K1647" s="778">
        <f t="shared" si="327"/>
        <v>0</v>
      </c>
      <c r="L1647" s="976"/>
      <c r="M1647" s="736">
        <f t="shared" si="328"/>
        <v>0</v>
      </c>
      <c r="N1647" s="754"/>
      <c r="O1647" s="738">
        <f t="shared" si="329"/>
        <v>0</v>
      </c>
      <c r="P1647" s="757"/>
      <c r="Q1647" s="739">
        <f t="shared" si="330"/>
        <v>0</v>
      </c>
      <c r="R1647" s="757"/>
      <c r="S1647" s="755"/>
      <c r="T1647" s="277"/>
      <c r="U1647" s="758" t="str">
        <f t="shared" si="331"/>
        <v/>
      </c>
      <c r="V1647" s="758" t="str">
        <f t="shared" si="332"/>
        <v>1900</v>
      </c>
      <c r="W1647" s="759"/>
      <c r="X1647" s="771"/>
      <c r="Y1647" s="977"/>
      <c r="Z1647" s="758"/>
      <c r="AA1647" s="758" t="str">
        <f t="shared" si="334"/>
        <v/>
      </c>
      <c r="AB1647" s="758" t="str">
        <f t="shared" si="335"/>
        <v/>
      </c>
      <c r="AC1647" s="758" t="str">
        <f t="shared" si="336"/>
        <v/>
      </c>
      <c r="AD1647" s="758" t="str">
        <f t="shared" si="337"/>
        <v>0</v>
      </c>
      <c r="AE1647" s="760"/>
      <c r="AF1647" s="760"/>
      <c r="AG1647" s="443"/>
      <c r="AH1647" s="443"/>
    </row>
    <row r="1648" spans="1:34">
      <c r="A1648" s="728">
        <f t="shared" si="333"/>
        <v>1641</v>
      </c>
      <c r="B1648" s="77"/>
      <c r="C1648" s="747"/>
      <c r="D1648" s="763" t="str">
        <f t="shared" si="324"/>
        <v>January</v>
      </c>
      <c r="E1648" s="763">
        <f t="shared" si="325"/>
        <v>0</v>
      </c>
      <c r="F1648" s="762">
        <f t="shared" si="326"/>
        <v>1900</v>
      </c>
      <c r="G1648" s="747"/>
      <c r="H1648" s="882"/>
      <c r="I1648" s="756"/>
      <c r="J1648" s="756"/>
      <c r="K1648" s="778">
        <f t="shared" si="327"/>
        <v>0</v>
      </c>
      <c r="L1648" s="976"/>
      <c r="M1648" s="736">
        <f t="shared" si="328"/>
        <v>0</v>
      </c>
      <c r="N1648" s="754"/>
      <c r="O1648" s="738">
        <f t="shared" si="329"/>
        <v>0</v>
      </c>
      <c r="P1648" s="757"/>
      <c r="Q1648" s="739">
        <f t="shared" si="330"/>
        <v>0</v>
      </c>
      <c r="R1648" s="757"/>
      <c r="S1648" s="755"/>
      <c r="T1648" s="277"/>
      <c r="U1648" s="758" t="str">
        <f t="shared" si="331"/>
        <v/>
      </c>
      <c r="V1648" s="758" t="str">
        <f t="shared" si="332"/>
        <v>1900</v>
      </c>
      <c r="W1648" s="759"/>
      <c r="X1648" s="771"/>
      <c r="Y1648" s="977"/>
      <c r="Z1648" s="758"/>
      <c r="AA1648" s="758" t="str">
        <f t="shared" si="334"/>
        <v/>
      </c>
      <c r="AB1648" s="758" t="str">
        <f t="shared" si="335"/>
        <v/>
      </c>
      <c r="AC1648" s="758" t="str">
        <f t="shared" si="336"/>
        <v/>
      </c>
      <c r="AD1648" s="758" t="str">
        <f t="shared" si="337"/>
        <v>0</v>
      </c>
      <c r="AE1648" s="760"/>
      <c r="AF1648" s="760"/>
      <c r="AG1648" s="443"/>
      <c r="AH1648" s="443"/>
    </row>
    <row r="1649" spans="1:34">
      <c r="A1649" s="728">
        <f t="shared" si="333"/>
        <v>1642</v>
      </c>
      <c r="B1649" s="77"/>
      <c r="C1649" s="747"/>
      <c r="D1649" s="763" t="str">
        <f t="shared" si="324"/>
        <v>January</v>
      </c>
      <c r="E1649" s="763">
        <f t="shared" si="325"/>
        <v>0</v>
      </c>
      <c r="F1649" s="762">
        <f t="shared" si="326"/>
        <v>1900</v>
      </c>
      <c r="G1649" s="747"/>
      <c r="H1649" s="882"/>
      <c r="I1649" s="756"/>
      <c r="J1649" s="756"/>
      <c r="K1649" s="778">
        <f t="shared" si="327"/>
        <v>0</v>
      </c>
      <c r="L1649" s="976"/>
      <c r="M1649" s="736">
        <f t="shared" si="328"/>
        <v>0</v>
      </c>
      <c r="N1649" s="754"/>
      <c r="O1649" s="738">
        <f t="shared" si="329"/>
        <v>0</v>
      </c>
      <c r="P1649" s="757"/>
      <c r="Q1649" s="739">
        <f t="shared" si="330"/>
        <v>0</v>
      </c>
      <c r="R1649" s="757"/>
      <c r="S1649" s="755"/>
      <c r="T1649" s="277"/>
      <c r="U1649" s="758" t="str">
        <f t="shared" si="331"/>
        <v/>
      </c>
      <c r="V1649" s="758" t="str">
        <f t="shared" si="332"/>
        <v>1900</v>
      </c>
      <c r="W1649" s="759"/>
      <c r="X1649" s="771"/>
      <c r="Y1649" s="977"/>
      <c r="Z1649" s="758"/>
      <c r="AA1649" s="758" t="str">
        <f t="shared" si="334"/>
        <v/>
      </c>
      <c r="AB1649" s="758" t="str">
        <f t="shared" si="335"/>
        <v/>
      </c>
      <c r="AC1649" s="758" t="str">
        <f t="shared" si="336"/>
        <v/>
      </c>
      <c r="AD1649" s="758" t="str">
        <f t="shared" si="337"/>
        <v>0</v>
      </c>
      <c r="AE1649" s="760"/>
      <c r="AF1649" s="760"/>
      <c r="AG1649" s="443"/>
      <c r="AH1649" s="443"/>
    </row>
    <row r="1650" spans="1:34">
      <c r="A1650" s="728">
        <f t="shared" si="333"/>
        <v>1643</v>
      </c>
      <c r="B1650" s="77"/>
      <c r="C1650" s="747"/>
      <c r="D1650" s="763" t="str">
        <f t="shared" si="324"/>
        <v>January</v>
      </c>
      <c r="E1650" s="763">
        <f t="shared" si="325"/>
        <v>0</v>
      </c>
      <c r="F1650" s="762">
        <f t="shared" si="326"/>
        <v>1900</v>
      </c>
      <c r="G1650" s="747"/>
      <c r="H1650" s="882"/>
      <c r="I1650" s="756"/>
      <c r="J1650" s="756"/>
      <c r="K1650" s="778">
        <f t="shared" si="327"/>
        <v>0</v>
      </c>
      <c r="L1650" s="976"/>
      <c r="M1650" s="736">
        <f t="shared" si="328"/>
        <v>0</v>
      </c>
      <c r="N1650" s="754"/>
      <c r="O1650" s="738">
        <f t="shared" si="329"/>
        <v>0</v>
      </c>
      <c r="P1650" s="757"/>
      <c r="Q1650" s="739">
        <f t="shared" si="330"/>
        <v>0</v>
      </c>
      <c r="R1650" s="757"/>
      <c r="S1650" s="755"/>
      <c r="T1650" s="277"/>
      <c r="U1650" s="758" t="str">
        <f t="shared" si="331"/>
        <v/>
      </c>
      <c r="V1650" s="758" t="str">
        <f t="shared" si="332"/>
        <v>1900</v>
      </c>
      <c r="W1650" s="759"/>
      <c r="X1650" s="771"/>
      <c r="Y1650" s="977"/>
      <c r="Z1650" s="758"/>
      <c r="AA1650" s="758" t="str">
        <f t="shared" si="334"/>
        <v/>
      </c>
      <c r="AB1650" s="758" t="str">
        <f t="shared" si="335"/>
        <v/>
      </c>
      <c r="AC1650" s="758" t="str">
        <f t="shared" si="336"/>
        <v/>
      </c>
      <c r="AD1650" s="758" t="str">
        <f t="shared" si="337"/>
        <v>0</v>
      </c>
      <c r="AE1650" s="760"/>
      <c r="AF1650" s="760"/>
      <c r="AG1650" s="443"/>
      <c r="AH1650" s="443"/>
    </row>
    <row r="1651" spans="1:34">
      <c r="A1651" s="728">
        <f t="shared" si="333"/>
        <v>1644</v>
      </c>
      <c r="B1651" s="77"/>
      <c r="C1651" s="747"/>
      <c r="D1651" s="763" t="str">
        <f t="shared" si="324"/>
        <v>January</v>
      </c>
      <c r="E1651" s="763">
        <f t="shared" si="325"/>
        <v>0</v>
      </c>
      <c r="F1651" s="762">
        <f t="shared" si="326"/>
        <v>1900</v>
      </c>
      <c r="G1651" s="747"/>
      <c r="H1651" s="882"/>
      <c r="I1651" s="756"/>
      <c r="J1651" s="756"/>
      <c r="K1651" s="778">
        <f t="shared" si="327"/>
        <v>0</v>
      </c>
      <c r="L1651" s="976"/>
      <c r="M1651" s="736">
        <f t="shared" si="328"/>
        <v>0</v>
      </c>
      <c r="N1651" s="754"/>
      <c r="O1651" s="738">
        <f t="shared" si="329"/>
        <v>0</v>
      </c>
      <c r="P1651" s="757"/>
      <c r="Q1651" s="739">
        <f t="shared" si="330"/>
        <v>0</v>
      </c>
      <c r="R1651" s="757"/>
      <c r="S1651" s="755"/>
      <c r="T1651" s="277"/>
      <c r="U1651" s="758" t="str">
        <f t="shared" si="331"/>
        <v/>
      </c>
      <c r="V1651" s="758" t="str">
        <f t="shared" si="332"/>
        <v>1900</v>
      </c>
      <c r="W1651" s="759"/>
      <c r="X1651" s="771"/>
      <c r="Y1651" s="977"/>
      <c r="Z1651" s="758"/>
      <c r="AA1651" s="758" t="str">
        <f t="shared" si="334"/>
        <v/>
      </c>
      <c r="AB1651" s="758" t="str">
        <f t="shared" si="335"/>
        <v/>
      </c>
      <c r="AC1651" s="758" t="str">
        <f t="shared" si="336"/>
        <v/>
      </c>
      <c r="AD1651" s="758" t="str">
        <f t="shared" si="337"/>
        <v>0</v>
      </c>
      <c r="AE1651" s="760"/>
      <c r="AF1651" s="760"/>
      <c r="AG1651" s="443"/>
      <c r="AH1651" s="443"/>
    </row>
    <row r="1652" spans="1:34">
      <c r="A1652" s="728">
        <f t="shared" si="333"/>
        <v>1645</v>
      </c>
      <c r="B1652" s="77"/>
      <c r="C1652" s="747"/>
      <c r="D1652" s="763" t="str">
        <f t="shared" si="324"/>
        <v>January</v>
      </c>
      <c r="E1652" s="763">
        <f t="shared" si="325"/>
        <v>0</v>
      </c>
      <c r="F1652" s="762">
        <f t="shared" si="326"/>
        <v>1900</v>
      </c>
      <c r="G1652" s="747"/>
      <c r="H1652" s="882"/>
      <c r="I1652" s="756"/>
      <c r="J1652" s="756"/>
      <c r="K1652" s="778">
        <f t="shared" si="327"/>
        <v>0</v>
      </c>
      <c r="L1652" s="976"/>
      <c r="M1652" s="736">
        <f t="shared" si="328"/>
        <v>0</v>
      </c>
      <c r="N1652" s="754"/>
      <c r="O1652" s="738">
        <f t="shared" si="329"/>
        <v>0</v>
      </c>
      <c r="P1652" s="757"/>
      <c r="Q1652" s="739">
        <f t="shared" si="330"/>
        <v>0</v>
      </c>
      <c r="R1652" s="757"/>
      <c r="S1652" s="755"/>
      <c r="T1652" s="277"/>
      <c r="U1652" s="758" t="str">
        <f t="shared" si="331"/>
        <v/>
      </c>
      <c r="V1652" s="758" t="str">
        <f t="shared" si="332"/>
        <v>1900</v>
      </c>
      <c r="W1652" s="759"/>
      <c r="X1652" s="771"/>
      <c r="Y1652" s="977"/>
      <c r="Z1652" s="758"/>
      <c r="AA1652" s="758" t="str">
        <f t="shared" si="334"/>
        <v/>
      </c>
      <c r="AB1652" s="758" t="str">
        <f t="shared" si="335"/>
        <v/>
      </c>
      <c r="AC1652" s="758" t="str">
        <f t="shared" si="336"/>
        <v/>
      </c>
      <c r="AD1652" s="758" t="str">
        <f t="shared" si="337"/>
        <v>0</v>
      </c>
      <c r="AE1652" s="760"/>
      <c r="AF1652" s="760"/>
      <c r="AG1652" s="443"/>
      <c r="AH1652" s="443"/>
    </row>
    <row r="1653" spans="1:34">
      <c r="A1653" s="728">
        <f t="shared" si="333"/>
        <v>1646</v>
      </c>
      <c r="B1653" s="77"/>
      <c r="C1653" s="747"/>
      <c r="D1653" s="763" t="str">
        <f t="shared" si="324"/>
        <v>January</v>
      </c>
      <c r="E1653" s="763">
        <f t="shared" si="325"/>
        <v>0</v>
      </c>
      <c r="F1653" s="762">
        <f t="shared" si="326"/>
        <v>1900</v>
      </c>
      <c r="G1653" s="747"/>
      <c r="H1653" s="882"/>
      <c r="I1653" s="756"/>
      <c r="J1653" s="756"/>
      <c r="K1653" s="778">
        <f t="shared" si="327"/>
        <v>0</v>
      </c>
      <c r="L1653" s="976"/>
      <c r="M1653" s="736">
        <f t="shared" si="328"/>
        <v>0</v>
      </c>
      <c r="N1653" s="754"/>
      <c r="O1653" s="738">
        <f t="shared" si="329"/>
        <v>0</v>
      </c>
      <c r="P1653" s="757"/>
      <c r="Q1653" s="739">
        <f t="shared" si="330"/>
        <v>0</v>
      </c>
      <c r="R1653" s="757"/>
      <c r="S1653" s="755"/>
      <c r="T1653" s="277"/>
      <c r="U1653" s="758" t="str">
        <f t="shared" si="331"/>
        <v/>
      </c>
      <c r="V1653" s="758" t="str">
        <f t="shared" si="332"/>
        <v>1900</v>
      </c>
      <c r="W1653" s="759"/>
      <c r="X1653" s="771"/>
      <c r="Y1653" s="977"/>
      <c r="Z1653" s="758"/>
      <c r="AA1653" s="758" t="str">
        <f t="shared" si="334"/>
        <v/>
      </c>
      <c r="AB1653" s="758" t="str">
        <f t="shared" si="335"/>
        <v/>
      </c>
      <c r="AC1653" s="758" t="str">
        <f t="shared" si="336"/>
        <v/>
      </c>
      <c r="AD1653" s="758" t="str">
        <f t="shared" si="337"/>
        <v>0</v>
      </c>
      <c r="AE1653" s="760"/>
      <c r="AF1653" s="760"/>
      <c r="AG1653" s="443"/>
      <c r="AH1653" s="443"/>
    </row>
    <row r="1654" spans="1:34">
      <c r="A1654" s="728">
        <f t="shared" si="333"/>
        <v>1647</v>
      </c>
      <c r="B1654" s="77"/>
      <c r="C1654" s="747"/>
      <c r="D1654" s="763" t="str">
        <f t="shared" si="324"/>
        <v>January</v>
      </c>
      <c r="E1654" s="763">
        <f t="shared" si="325"/>
        <v>0</v>
      </c>
      <c r="F1654" s="762">
        <f t="shared" si="326"/>
        <v>1900</v>
      </c>
      <c r="G1654" s="747"/>
      <c r="H1654" s="882"/>
      <c r="I1654" s="756"/>
      <c r="J1654" s="756"/>
      <c r="K1654" s="778">
        <f t="shared" si="327"/>
        <v>0</v>
      </c>
      <c r="L1654" s="976"/>
      <c r="M1654" s="736">
        <f t="shared" si="328"/>
        <v>0</v>
      </c>
      <c r="N1654" s="754"/>
      <c r="O1654" s="738">
        <f t="shared" si="329"/>
        <v>0</v>
      </c>
      <c r="P1654" s="757"/>
      <c r="Q1654" s="739">
        <f t="shared" si="330"/>
        <v>0</v>
      </c>
      <c r="R1654" s="757"/>
      <c r="S1654" s="755"/>
      <c r="T1654" s="277"/>
      <c r="U1654" s="758" t="str">
        <f t="shared" si="331"/>
        <v/>
      </c>
      <c r="V1654" s="758" t="str">
        <f t="shared" si="332"/>
        <v>1900</v>
      </c>
      <c r="W1654" s="759"/>
      <c r="X1654" s="771"/>
      <c r="Y1654" s="977"/>
      <c r="Z1654" s="758"/>
      <c r="AA1654" s="758" t="str">
        <f t="shared" si="334"/>
        <v/>
      </c>
      <c r="AB1654" s="758" t="str">
        <f t="shared" si="335"/>
        <v/>
      </c>
      <c r="AC1654" s="758" t="str">
        <f t="shared" si="336"/>
        <v/>
      </c>
      <c r="AD1654" s="758" t="str">
        <f t="shared" si="337"/>
        <v>0</v>
      </c>
      <c r="AE1654" s="760"/>
      <c r="AF1654" s="760"/>
      <c r="AG1654" s="443"/>
      <c r="AH1654" s="443"/>
    </row>
    <row r="1655" spans="1:34">
      <c r="A1655" s="728">
        <f t="shared" si="333"/>
        <v>1648</v>
      </c>
      <c r="B1655" s="77"/>
      <c r="C1655" s="747"/>
      <c r="D1655" s="763" t="str">
        <f t="shared" si="324"/>
        <v>January</v>
      </c>
      <c r="E1655" s="763">
        <f t="shared" si="325"/>
        <v>0</v>
      </c>
      <c r="F1655" s="762">
        <f t="shared" si="326"/>
        <v>1900</v>
      </c>
      <c r="G1655" s="747"/>
      <c r="H1655" s="882"/>
      <c r="I1655" s="756"/>
      <c r="J1655" s="756"/>
      <c r="K1655" s="778">
        <f t="shared" si="327"/>
        <v>0</v>
      </c>
      <c r="L1655" s="976"/>
      <c r="M1655" s="736">
        <f t="shared" si="328"/>
        <v>0</v>
      </c>
      <c r="N1655" s="754"/>
      <c r="O1655" s="738">
        <f t="shared" si="329"/>
        <v>0</v>
      </c>
      <c r="P1655" s="757"/>
      <c r="Q1655" s="739">
        <f t="shared" si="330"/>
        <v>0</v>
      </c>
      <c r="R1655" s="757"/>
      <c r="S1655" s="755"/>
      <c r="T1655" s="277"/>
      <c r="U1655" s="758" t="str">
        <f t="shared" si="331"/>
        <v/>
      </c>
      <c r="V1655" s="758" t="str">
        <f t="shared" si="332"/>
        <v>1900</v>
      </c>
      <c r="W1655" s="759"/>
      <c r="X1655" s="771"/>
      <c r="Y1655" s="977"/>
      <c r="Z1655" s="758"/>
      <c r="AA1655" s="758" t="str">
        <f t="shared" si="334"/>
        <v/>
      </c>
      <c r="AB1655" s="758" t="str">
        <f t="shared" si="335"/>
        <v/>
      </c>
      <c r="AC1655" s="758" t="str">
        <f t="shared" si="336"/>
        <v/>
      </c>
      <c r="AD1655" s="758" t="str">
        <f t="shared" si="337"/>
        <v>0</v>
      </c>
      <c r="AE1655" s="760"/>
      <c r="AF1655" s="760"/>
      <c r="AG1655" s="443"/>
      <c r="AH1655" s="443"/>
    </row>
    <row r="1656" spans="1:34">
      <c r="A1656" s="728">
        <f t="shared" si="333"/>
        <v>1649</v>
      </c>
      <c r="B1656" s="77"/>
      <c r="C1656" s="747"/>
      <c r="D1656" s="763" t="str">
        <f t="shared" si="324"/>
        <v>January</v>
      </c>
      <c r="E1656" s="763">
        <f t="shared" si="325"/>
        <v>0</v>
      </c>
      <c r="F1656" s="762">
        <f t="shared" si="326"/>
        <v>1900</v>
      </c>
      <c r="G1656" s="747"/>
      <c r="H1656" s="882"/>
      <c r="I1656" s="756"/>
      <c r="J1656" s="756"/>
      <c r="K1656" s="778">
        <f t="shared" si="327"/>
        <v>0</v>
      </c>
      <c r="L1656" s="976"/>
      <c r="M1656" s="736">
        <f t="shared" si="328"/>
        <v>0</v>
      </c>
      <c r="N1656" s="754"/>
      <c r="O1656" s="738">
        <f t="shared" si="329"/>
        <v>0</v>
      </c>
      <c r="P1656" s="757"/>
      <c r="Q1656" s="739">
        <f t="shared" si="330"/>
        <v>0</v>
      </c>
      <c r="R1656" s="757"/>
      <c r="S1656" s="755"/>
      <c r="T1656" s="277"/>
      <c r="U1656" s="758" t="str">
        <f t="shared" si="331"/>
        <v/>
      </c>
      <c r="V1656" s="758" t="str">
        <f t="shared" si="332"/>
        <v>1900</v>
      </c>
      <c r="W1656" s="759"/>
      <c r="X1656" s="771"/>
      <c r="Y1656" s="977"/>
      <c r="Z1656" s="758"/>
      <c r="AA1656" s="758" t="str">
        <f t="shared" si="334"/>
        <v/>
      </c>
      <c r="AB1656" s="758" t="str">
        <f t="shared" si="335"/>
        <v/>
      </c>
      <c r="AC1656" s="758" t="str">
        <f t="shared" si="336"/>
        <v/>
      </c>
      <c r="AD1656" s="758" t="str">
        <f t="shared" si="337"/>
        <v>0</v>
      </c>
      <c r="AE1656" s="760"/>
      <c r="AF1656" s="760"/>
      <c r="AG1656" s="443"/>
      <c r="AH1656" s="443"/>
    </row>
    <row r="1657" spans="1:34">
      <c r="A1657" s="728">
        <f t="shared" si="333"/>
        <v>1650</v>
      </c>
      <c r="B1657" s="77"/>
      <c r="C1657" s="747"/>
      <c r="D1657" s="763" t="str">
        <f t="shared" ref="D1657:D1720" si="338">TEXT(C1657,"mmmm")</f>
        <v>January</v>
      </c>
      <c r="E1657" s="763">
        <f t="shared" ref="E1657:E1720" si="339">DAY(C1657)</f>
        <v>0</v>
      </c>
      <c r="F1657" s="762">
        <f t="shared" ref="F1657:F1720" si="340">YEAR(C1657)</f>
        <v>1900</v>
      </c>
      <c r="G1657" s="747"/>
      <c r="H1657" s="882"/>
      <c r="I1657" s="756"/>
      <c r="J1657" s="756"/>
      <c r="K1657" s="778">
        <f t="shared" ref="K1657:K1720" si="341">+(I1657/1760)*J1657</f>
        <v>0</v>
      </c>
      <c r="L1657" s="976"/>
      <c r="M1657" s="736">
        <f t="shared" ref="M1657:M1720" si="342">HOUR(O1657)</f>
        <v>0</v>
      </c>
      <c r="N1657" s="754"/>
      <c r="O1657" s="738">
        <f t="shared" ref="O1657:O1720" si="343">+N1657</f>
        <v>0</v>
      </c>
      <c r="P1657" s="757"/>
      <c r="Q1657" s="739">
        <f t="shared" ref="Q1657:Q1720" si="344">+P1657-O1657</f>
        <v>0</v>
      </c>
      <c r="R1657" s="757"/>
      <c r="S1657" s="755"/>
      <c r="T1657" s="277"/>
      <c r="U1657" s="758" t="str">
        <f t="shared" si="331"/>
        <v/>
      </c>
      <c r="V1657" s="758" t="str">
        <f t="shared" si="332"/>
        <v>1900</v>
      </c>
      <c r="W1657" s="759"/>
      <c r="X1657" s="771"/>
      <c r="Y1657" s="977"/>
      <c r="Z1657" s="758"/>
      <c r="AA1657" s="758" t="str">
        <f t="shared" si="334"/>
        <v/>
      </c>
      <c r="AB1657" s="758" t="str">
        <f t="shared" si="335"/>
        <v/>
      </c>
      <c r="AC1657" s="758" t="str">
        <f t="shared" si="336"/>
        <v/>
      </c>
      <c r="AD1657" s="758" t="str">
        <f t="shared" si="337"/>
        <v>0</v>
      </c>
      <c r="AE1657" s="760"/>
      <c r="AF1657" s="760"/>
      <c r="AG1657" s="443"/>
      <c r="AH1657" s="443"/>
    </row>
    <row r="1658" spans="1:34">
      <c r="A1658" s="728">
        <f t="shared" si="333"/>
        <v>1651</v>
      </c>
      <c r="B1658" s="77"/>
      <c r="C1658" s="747"/>
      <c r="D1658" s="763" t="str">
        <f t="shared" si="338"/>
        <v>January</v>
      </c>
      <c r="E1658" s="763">
        <f t="shared" si="339"/>
        <v>0</v>
      </c>
      <c r="F1658" s="762">
        <f t="shared" si="340"/>
        <v>1900</v>
      </c>
      <c r="G1658" s="747"/>
      <c r="H1658" s="882"/>
      <c r="I1658" s="756"/>
      <c r="J1658" s="756"/>
      <c r="K1658" s="778">
        <f t="shared" si="341"/>
        <v>0</v>
      </c>
      <c r="L1658" s="976"/>
      <c r="M1658" s="736">
        <f t="shared" si="342"/>
        <v>0</v>
      </c>
      <c r="N1658" s="754"/>
      <c r="O1658" s="738">
        <f t="shared" si="343"/>
        <v>0</v>
      </c>
      <c r="P1658" s="757"/>
      <c r="Q1658" s="739">
        <f t="shared" si="344"/>
        <v>0</v>
      </c>
      <c r="R1658" s="757"/>
      <c r="S1658" s="755"/>
      <c r="T1658" s="277"/>
      <c r="U1658" s="758" t="str">
        <f t="shared" si="331"/>
        <v/>
      </c>
      <c r="V1658" s="758" t="str">
        <f t="shared" si="332"/>
        <v>1900</v>
      </c>
      <c r="W1658" s="759"/>
      <c r="X1658" s="771"/>
      <c r="Y1658" s="977"/>
      <c r="Z1658" s="758"/>
      <c r="AA1658" s="758" t="str">
        <f t="shared" si="334"/>
        <v/>
      </c>
      <c r="AB1658" s="758" t="str">
        <f t="shared" si="335"/>
        <v/>
      </c>
      <c r="AC1658" s="758" t="str">
        <f t="shared" si="336"/>
        <v/>
      </c>
      <c r="AD1658" s="758" t="str">
        <f t="shared" si="337"/>
        <v>0</v>
      </c>
      <c r="AE1658" s="760"/>
      <c r="AF1658" s="760"/>
      <c r="AG1658" s="443"/>
      <c r="AH1658" s="443"/>
    </row>
    <row r="1659" spans="1:34">
      <c r="A1659" s="728">
        <f t="shared" si="333"/>
        <v>1652</v>
      </c>
      <c r="B1659" s="77"/>
      <c r="C1659" s="747"/>
      <c r="D1659" s="763" t="str">
        <f t="shared" si="338"/>
        <v>January</v>
      </c>
      <c r="E1659" s="763">
        <f t="shared" si="339"/>
        <v>0</v>
      </c>
      <c r="F1659" s="762">
        <f t="shared" si="340"/>
        <v>1900</v>
      </c>
      <c r="G1659" s="747"/>
      <c r="H1659" s="882"/>
      <c r="I1659" s="756"/>
      <c r="J1659" s="756"/>
      <c r="K1659" s="778">
        <f t="shared" si="341"/>
        <v>0</v>
      </c>
      <c r="L1659" s="976"/>
      <c r="M1659" s="736">
        <f t="shared" si="342"/>
        <v>0</v>
      </c>
      <c r="N1659" s="754"/>
      <c r="O1659" s="738">
        <f t="shared" si="343"/>
        <v>0</v>
      </c>
      <c r="P1659" s="757"/>
      <c r="Q1659" s="739">
        <f t="shared" si="344"/>
        <v>0</v>
      </c>
      <c r="R1659" s="757"/>
      <c r="S1659" s="755"/>
      <c r="T1659" s="277"/>
      <c r="U1659" s="758" t="str">
        <f t="shared" si="331"/>
        <v/>
      </c>
      <c r="V1659" s="758" t="str">
        <f t="shared" si="332"/>
        <v>1900</v>
      </c>
      <c r="W1659" s="759"/>
      <c r="X1659" s="771"/>
      <c r="Y1659" s="977"/>
      <c r="Z1659" s="758"/>
      <c r="AA1659" s="758" t="str">
        <f t="shared" si="334"/>
        <v/>
      </c>
      <c r="AB1659" s="758" t="str">
        <f t="shared" si="335"/>
        <v/>
      </c>
      <c r="AC1659" s="758" t="str">
        <f t="shared" si="336"/>
        <v/>
      </c>
      <c r="AD1659" s="758" t="str">
        <f t="shared" si="337"/>
        <v>0</v>
      </c>
      <c r="AE1659" s="760"/>
      <c r="AF1659" s="760"/>
      <c r="AG1659" s="443"/>
      <c r="AH1659" s="443"/>
    </row>
    <row r="1660" spans="1:34">
      <c r="A1660" s="728">
        <f t="shared" si="333"/>
        <v>1653</v>
      </c>
      <c r="B1660" s="77"/>
      <c r="C1660" s="747"/>
      <c r="D1660" s="763" t="str">
        <f t="shared" si="338"/>
        <v>January</v>
      </c>
      <c r="E1660" s="763">
        <f t="shared" si="339"/>
        <v>0</v>
      </c>
      <c r="F1660" s="762">
        <f t="shared" si="340"/>
        <v>1900</v>
      </c>
      <c r="G1660" s="747"/>
      <c r="H1660" s="882"/>
      <c r="I1660" s="756"/>
      <c r="J1660" s="756"/>
      <c r="K1660" s="778">
        <f t="shared" si="341"/>
        <v>0</v>
      </c>
      <c r="L1660" s="976"/>
      <c r="M1660" s="736">
        <f t="shared" si="342"/>
        <v>0</v>
      </c>
      <c r="N1660" s="754"/>
      <c r="O1660" s="738">
        <f t="shared" si="343"/>
        <v>0</v>
      </c>
      <c r="P1660" s="757"/>
      <c r="Q1660" s="739">
        <f t="shared" si="344"/>
        <v>0</v>
      </c>
      <c r="R1660" s="757"/>
      <c r="S1660" s="755"/>
      <c r="T1660" s="277"/>
      <c r="U1660" s="758" t="str">
        <f t="shared" si="331"/>
        <v/>
      </c>
      <c r="V1660" s="758" t="str">
        <f t="shared" si="332"/>
        <v>1900</v>
      </c>
      <c r="W1660" s="759"/>
      <c r="X1660" s="771"/>
      <c r="Y1660" s="977"/>
      <c r="Z1660" s="758"/>
      <c r="AA1660" s="758" t="str">
        <f t="shared" si="334"/>
        <v/>
      </c>
      <c r="AB1660" s="758" t="str">
        <f t="shared" si="335"/>
        <v/>
      </c>
      <c r="AC1660" s="758" t="str">
        <f t="shared" si="336"/>
        <v/>
      </c>
      <c r="AD1660" s="758" t="str">
        <f t="shared" si="337"/>
        <v>0</v>
      </c>
      <c r="AE1660" s="760"/>
      <c r="AF1660" s="760"/>
      <c r="AG1660" s="443"/>
      <c r="AH1660" s="443"/>
    </row>
    <row r="1661" spans="1:34">
      <c r="A1661" s="728">
        <f t="shared" si="333"/>
        <v>1654</v>
      </c>
      <c r="B1661" s="77"/>
      <c r="C1661" s="747"/>
      <c r="D1661" s="763" t="str">
        <f t="shared" si="338"/>
        <v>January</v>
      </c>
      <c r="E1661" s="763">
        <f t="shared" si="339"/>
        <v>0</v>
      </c>
      <c r="F1661" s="762">
        <f t="shared" si="340"/>
        <v>1900</v>
      </c>
      <c r="G1661" s="747"/>
      <c r="H1661" s="882"/>
      <c r="I1661" s="756"/>
      <c r="J1661" s="756"/>
      <c r="K1661" s="778">
        <f t="shared" si="341"/>
        <v>0</v>
      </c>
      <c r="L1661" s="976"/>
      <c r="M1661" s="736">
        <f t="shared" si="342"/>
        <v>0</v>
      </c>
      <c r="N1661" s="754"/>
      <c r="O1661" s="738">
        <f t="shared" si="343"/>
        <v>0</v>
      </c>
      <c r="P1661" s="757"/>
      <c r="Q1661" s="739">
        <f t="shared" si="344"/>
        <v>0</v>
      </c>
      <c r="R1661" s="757"/>
      <c r="S1661" s="755"/>
      <c r="T1661" s="277"/>
      <c r="U1661" s="758" t="str">
        <f t="shared" si="331"/>
        <v/>
      </c>
      <c r="V1661" s="758" t="str">
        <f t="shared" si="332"/>
        <v>1900</v>
      </c>
      <c r="W1661" s="759"/>
      <c r="X1661" s="771"/>
      <c r="Y1661" s="977"/>
      <c r="Z1661" s="758"/>
      <c r="AA1661" s="758" t="str">
        <f t="shared" si="334"/>
        <v/>
      </c>
      <c r="AB1661" s="758" t="str">
        <f t="shared" si="335"/>
        <v/>
      </c>
      <c r="AC1661" s="758" t="str">
        <f t="shared" si="336"/>
        <v/>
      </c>
      <c r="AD1661" s="758" t="str">
        <f t="shared" si="337"/>
        <v>0</v>
      </c>
      <c r="AE1661" s="760"/>
      <c r="AF1661" s="760"/>
      <c r="AG1661" s="443"/>
      <c r="AH1661" s="443"/>
    </row>
    <row r="1662" spans="1:34">
      <c r="A1662" s="728">
        <f t="shared" si="333"/>
        <v>1655</v>
      </c>
      <c r="B1662" s="77"/>
      <c r="C1662" s="747"/>
      <c r="D1662" s="763" t="str">
        <f t="shared" si="338"/>
        <v>January</v>
      </c>
      <c r="E1662" s="763">
        <f t="shared" si="339"/>
        <v>0</v>
      </c>
      <c r="F1662" s="762">
        <f t="shared" si="340"/>
        <v>1900</v>
      </c>
      <c r="G1662" s="747"/>
      <c r="H1662" s="882"/>
      <c r="I1662" s="756"/>
      <c r="J1662" s="756"/>
      <c r="K1662" s="778">
        <f t="shared" si="341"/>
        <v>0</v>
      </c>
      <c r="L1662" s="976"/>
      <c r="M1662" s="736">
        <f t="shared" si="342"/>
        <v>0</v>
      </c>
      <c r="N1662" s="754"/>
      <c r="O1662" s="738">
        <f t="shared" si="343"/>
        <v>0</v>
      </c>
      <c r="P1662" s="757"/>
      <c r="Q1662" s="739">
        <f t="shared" si="344"/>
        <v>0</v>
      </c>
      <c r="R1662" s="757"/>
      <c r="S1662" s="755"/>
      <c r="T1662" s="277"/>
      <c r="U1662" s="758" t="str">
        <f t="shared" si="331"/>
        <v/>
      </c>
      <c r="V1662" s="758" t="str">
        <f t="shared" si="332"/>
        <v>1900</v>
      </c>
      <c r="W1662" s="759"/>
      <c r="X1662" s="771"/>
      <c r="Y1662" s="977"/>
      <c r="Z1662" s="758"/>
      <c r="AA1662" s="758" t="str">
        <f t="shared" si="334"/>
        <v/>
      </c>
      <c r="AB1662" s="758" t="str">
        <f t="shared" si="335"/>
        <v/>
      </c>
      <c r="AC1662" s="758" t="str">
        <f t="shared" si="336"/>
        <v/>
      </c>
      <c r="AD1662" s="758" t="str">
        <f t="shared" si="337"/>
        <v>0</v>
      </c>
      <c r="AE1662" s="760"/>
      <c r="AF1662" s="760"/>
      <c r="AG1662" s="443"/>
      <c r="AH1662" s="443"/>
    </row>
    <row r="1663" spans="1:34">
      <c r="A1663" s="728">
        <f t="shared" si="333"/>
        <v>1656</v>
      </c>
      <c r="B1663" s="77"/>
      <c r="C1663" s="747"/>
      <c r="D1663" s="763" t="str">
        <f t="shared" si="338"/>
        <v>January</v>
      </c>
      <c r="E1663" s="763">
        <f t="shared" si="339"/>
        <v>0</v>
      </c>
      <c r="F1663" s="762">
        <f t="shared" si="340"/>
        <v>1900</v>
      </c>
      <c r="G1663" s="747"/>
      <c r="H1663" s="882"/>
      <c r="I1663" s="756"/>
      <c r="J1663" s="756"/>
      <c r="K1663" s="778">
        <f t="shared" si="341"/>
        <v>0</v>
      </c>
      <c r="L1663" s="976"/>
      <c r="M1663" s="736">
        <f t="shared" si="342"/>
        <v>0</v>
      </c>
      <c r="N1663" s="754"/>
      <c r="O1663" s="738">
        <f t="shared" si="343"/>
        <v>0</v>
      </c>
      <c r="P1663" s="757"/>
      <c r="Q1663" s="739">
        <f t="shared" si="344"/>
        <v>0</v>
      </c>
      <c r="R1663" s="757"/>
      <c r="S1663" s="755"/>
      <c r="T1663" s="277"/>
      <c r="U1663" s="758" t="str">
        <f t="shared" si="331"/>
        <v/>
      </c>
      <c r="V1663" s="758" t="str">
        <f t="shared" si="332"/>
        <v>1900</v>
      </c>
      <c r="W1663" s="759"/>
      <c r="X1663" s="771"/>
      <c r="Y1663" s="977"/>
      <c r="Z1663" s="758"/>
      <c r="AA1663" s="758" t="str">
        <f t="shared" si="334"/>
        <v/>
      </c>
      <c r="AB1663" s="758" t="str">
        <f t="shared" si="335"/>
        <v/>
      </c>
      <c r="AC1663" s="758" t="str">
        <f t="shared" si="336"/>
        <v/>
      </c>
      <c r="AD1663" s="758" t="str">
        <f t="shared" si="337"/>
        <v>0</v>
      </c>
      <c r="AE1663" s="760"/>
      <c r="AF1663" s="760"/>
      <c r="AG1663" s="443"/>
      <c r="AH1663" s="443"/>
    </row>
    <row r="1664" spans="1:34">
      <c r="A1664" s="728">
        <f t="shared" si="333"/>
        <v>1657</v>
      </c>
      <c r="B1664" s="77"/>
      <c r="C1664" s="747"/>
      <c r="D1664" s="763" t="str">
        <f t="shared" si="338"/>
        <v>January</v>
      </c>
      <c r="E1664" s="763">
        <f t="shared" si="339"/>
        <v>0</v>
      </c>
      <c r="F1664" s="762">
        <f t="shared" si="340"/>
        <v>1900</v>
      </c>
      <c r="G1664" s="747"/>
      <c r="H1664" s="882"/>
      <c r="I1664" s="756"/>
      <c r="J1664" s="756"/>
      <c r="K1664" s="778">
        <f t="shared" si="341"/>
        <v>0</v>
      </c>
      <c r="L1664" s="976"/>
      <c r="M1664" s="736">
        <f t="shared" si="342"/>
        <v>0</v>
      </c>
      <c r="N1664" s="754"/>
      <c r="O1664" s="738">
        <f t="shared" si="343"/>
        <v>0</v>
      </c>
      <c r="P1664" s="757"/>
      <c r="Q1664" s="739">
        <f t="shared" si="344"/>
        <v>0</v>
      </c>
      <c r="R1664" s="757"/>
      <c r="S1664" s="755"/>
      <c r="T1664" s="277"/>
      <c r="U1664" s="758" t="str">
        <f t="shared" si="331"/>
        <v/>
      </c>
      <c r="V1664" s="758" t="str">
        <f t="shared" si="332"/>
        <v>1900</v>
      </c>
      <c r="W1664" s="759"/>
      <c r="X1664" s="771"/>
      <c r="Y1664" s="977"/>
      <c r="Z1664" s="758"/>
      <c r="AA1664" s="758" t="str">
        <f t="shared" si="334"/>
        <v/>
      </c>
      <c r="AB1664" s="758" t="str">
        <f t="shared" si="335"/>
        <v/>
      </c>
      <c r="AC1664" s="758" t="str">
        <f t="shared" si="336"/>
        <v/>
      </c>
      <c r="AD1664" s="758" t="str">
        <f t="shared" si="337"/>
        <v>0</v>
      </c>
      <c r="AE1664" s="760"/>
      <c r="AF1664" s="760"/>
      <c r="AG1664" s="443"/>
      <c r="AH1664" s="443"/>
    </row>
    <row r="1665" spans="1:34">
      <c r="A1665" s="728">
        <f t="shared" si="333"/>
        <v>1658</v>
      </c>
      <c r="B1665" s="77"/>
      <c r="C1665" s="747"/>
      <c r="D1665" s="763" t="str">
        <f t="shared" si="338"/>
        <v>January</v>
      </c>
      <c r="E1665" s="763">
        <f t="shared" si="339"/>
        <v>0</v>
      </c>
      <c r="F1665" s="762">
        <f t="shared" si="340"/>
        <v>1900</v>
      </c>
      <c r="G1665" s="747"/>
      <c r="H1665" s="882"/>
      <c r="I1665" s="756"/>
      <c r="J1665" s="756"/>
      <c r="K1665" s="778">
        <f t="shared" si="341"/>
        <v>0</v>
      </c>
      <c r="L1665" s="976"/>
      <c r="M1665" s="736">
        <f t="shared" si="342"/>
        <v>0</v>
      </c>
      <c r="N1665" s="754"/>
      <c r="O1665" s="738">
        <f t="shared" si="343"/>
        <v>0</v>
      </c>
      <c r="P1665" s="757"/>
      <c r="Q1665" s="739">
        <f t="shared" si="344"/>
        <v>0</v>
      </c>
      <c r="R1665" s="757"/>
      <c r="S1665" s="755"/>
      <c r="T1665" s="277"/>
      <c r="U1665" s="758" t="str">
        <f t="shared" si="331"/>
        <v/>
      </c>
      <c r="V1665" s="758" t="str">
        <f t="shared" si="332"/>
        <v>1900</v>
      </c>
      <c r="W1665" s="759"/>
      <c r="X1665" s="771"/>
      <c r="Y1665" s="977"/>
      <c r="Z1665" s="758"/>
      <c r="AA1665" s="758" t="str">
        <f t="shared" si="334"/>
        <v/>
      </c>
      <c r="AB1665" s="758" t="str">
        <f t="shared" si="335"/>
        <v/>
      </c>
      <c r="AC1665" s="758" t="str">
        <f t="shared" si="336"/>
        <v/>
      </c>
      <c r="AD1665" s="758" t="str">
        <f t="shared" si="337"/>
        <v>0</v>
      </c>
      <c r="AE1665" s="760"/>
      <c r="AF1665" s="760"/>
      <c r="AG1665" s="443"/>
      <c r="AH1665" s="443"/>
    </row>
    <row r="1666" spans="1:34">
      <c r="A1666" s="728">
        <f t="shared" si="333"/>
        <v>1659</v>
      </c>
      <c r="B1666" s="77"/>
      <c r="C1666" s="747"/>
      <c r="D1666" s="763" t="str">
        <f t="shared" si="338"/>
        <v>January</v>
      </c>
      <c r="E1666" s="763">
        <f t="shared" si="339"/>
        <v>0</v>
      </c>
      <c r="F1666" s="762">
        <f t="shared" si="340"/>
        <v>1900</v>
      </c>
      <c r="G1666" s="747"/>
      <c r="H1666" s="882"/>
      <c r="I1666" s="756"/>
      <c r="J1666" s="756"/>
      <c r="K1666" s="778">
        <f t="shared" si="341"/>
        <v>0</v>
      </c>
      <c r="L1666" s="976"/>
      <c r="M1666" s="736">
        <f t="shared" si="342"/>
        <v>0</v>
      </c>
      <c r="N1666" s="754"/>
      <c r="O1666" s="738">
        <f t="shared" si="343"/>
        <v>0</v>
      </c>
      <c r="P1666" s="757"/>
      <c r="Q1666" s="739">
        <f t="shared" si="344"/>
        <v>0</v>
      </c>
      <c r="R1666" s="757"/>
      <c r="S1666" s="755"/>
      <c r="T1666" s="277"/>
      <c r="U1666" s="758" t="str">
        <f t="shared" si="331"/>
        <v/>
      </c>
      <c r="V1666" s="758" t="str">
        <f t="shared" si="332"/>
        <v>1900</v>
      </c>
      <c r="W1666" s="759"/>
      <c r="X1666" s="771"/>
      <c r="Y1666" s="977"/>
      <c r="Z1666" s="758"/>
      <c r="AA1666" s="758" t="str">
        <f t="shared" si="334"/>
        <v/>
      </c>
      <c r="AB1666" s="758" t="str">
        <f t="shared" si="335"/>
        <v/>
      </c>
      <c r="AC1666" s="758" t="str">
        <f t="shared" si="336"/>
        <v/>
      </c>
      <c r="AD1666" s="758" t="str">
        <f t="shared" si="337"/>
        <v>0</v>
      </c>
      <c r="AE1666" s="760"/>
      <c r="AF1666" s="760"/>
      <c r="AG1666" s="443"/>
      <c r="AH1666" s="443"/>
    </row>
    <row r="1667" spans="1:34">
      <c r="A1667" s="728">
        <f t="shared" si="333"/>
        <v>1660</v>
      </c>
      <c r="B1667" s="77"/>
      <c r="C1667" s="747"/>
      <c r="D1667" s="763" t="str">
        <f t="shared" si="338"/>
        <v>January</v>
      </c>
      <c r="E1667" s="763">
        <f t="shared" si="339"/>
        <v>0</v>
      </c>
      <c r="F1667" s="762">
        <f t="shared" si="340"/>
        <v>1900</v>
      </c>
      <c r="G1667" s="747"/>
      <c r="H1667" s="882"/>
      <c r="I1667" s="756"/>
      <c r="J1667" s="756"/>
      <c r="K1667" s="778">
        <f t="shared" si="341"/>
        <v>0</v>
      </c>
      <c r="L1667" s="976"/>
      <c r="M1667" s="736">
        <f t="shared" si="342"/>
        <v>0</v>
      </c>
      <c r="N1667" s="754"/>
      <c r="O1667" s="738">
        <f t="shared" si="343"/>
        <v>0</v>
      </c>
      <c r="P1667" s="757"/>
      <c r="Q1667" s="739">
        <f t="shared" si="344"/>
        <v>0</v>
      </c>
      <c r="R1667" s="757"/>
      <c r="S1667" s="755"/>
      <c r="T1667" s="277"/>
      <c r="U1667" s="758" t="str">
        <f t="shared" si="331"/>
        <v/>
      </c>
      <c r="V1667" s="758" t="str">
        <f t="shared" si="332"/>
        <v>1900</v>
      </c>
      <c r="W1667" s="759"/>
      <c r="X1667" s="771"/>
      <c r="Y1667" s="977"/>
      <c r="Z1667" s="758"/>
      <c r="AA1667" s="758" t="str">
        <f t="shared" si="334"/>
        <v/>
      </c>
      <c r="AB1667" s="758" t="str">
        <f t="shared" si="335"/>
        <v/>
      </c>
      <c r="AC1667" s="758" t="str">
        <f t="shared" si="336"/>
        <v/>
      </c>
      <c r="AD1667" s="758" t="str">
        <f t="shared" si="337"/>
        <v>0</v>
      </c>
      <c r="AE1667" s="760"/>
      <c r="AF1667" s="760"/>
      <c r="AG1667" s="443"/>
      <c r="AH1667" s="443"/>
    </row>
    <row r="1668" spans="1:34">
      <c r="A1668" s="728">
        <f t="shared" si="333"/>
        <v>1661</v>
      </c>
      <c r="B1668" s="77"/>
      <c r="C1668" s="747"/>
      <c r="D1668" s="763" t="str">
        <f t="shared" si="338"/>
        <v>January</v>
      </c>
      <c r="E1668" s="763">
        <f t="shared" si="339"/>
        <v>0</v>
      </c>
      <c r="F1668" s="762">
        <f t="shared" si="340"/>
        <v>1900</v>
      </c>
      <c r="G1668" s="747"/>
      <c r="H1668" s="882"/>
      <c r="I1668" s="756"/>
      <c r="J1668" s="756"/>
      <c r="K1668" s="778">
        <f t="shared" si="341"/>
        <v>0</v>
      </c>
      <c r="L1668" s="976"/>
      <c r="M1668" s="736">
        <f t="shared" si="342"/>
        <v>0</v>
      </c>
      <c r="N1668" s="754"/>
      <c r="O1668" s="738">
        <f t="shared" si="343"/>
        <v>0</v>
      </c>
      <c r="P1668" s="757"/>
      <c r="Q1668" s="739">
        <f t="shared" si="344"/>
        <v>0</v>
      </c>
      <c r="R1668" s="757"/>
      <c r="S1668" s="755"/>
      <c r="T1668" s="277"/>
      <c r="U1668" s="758" t="str">
        <f t="shared" si="331"/>
        <v/>
      </c>
      <c r="V1668" s="758" t="str">
        <f t="shared" si="332"/>
        <v>1900</v>
      </c>
      <c r="W1668" s="759"/>
      <c r="X1668" s="771"/>
      <c r="Y1668" s="977"/>
      <c r="Z1668" s="758"/>
      <c r="AA1668" s="758" t="str">
        <f t="shared" si="334"/>
        <v/>
      </c>
      <c r="AB1668" s="758" t="str">
        <f t="shared" si="335"/>
        <v/>
      </c>
      <c r="AC1668" s="758" t="str">
        <f t="shared" si="336"/>
        <v/>
      </c>
      <c r="AD1668" s="758" t="str">
        <f t="shared" si="337"/>
        <v>0</v>
      </c>
      <c r="AE1668" s="760"/>
      <c r="AF1668" s="760"/>
      <c r="AG1668" s="443"/>
      <c r="AH1668" s="443"/>
    </row>
    <row r="1669" spans="1:34">
      <c r="A1669" s="728">
        <f t="shared" si="333"/>
        <v>1662</v>
      </c>
      <c r="B1669" s="77"/>
      <c r="C1669" s="747"/>
      <c r="D1669" s="763" t="str">
        <f t="shared" si="338"/>
        <v>January</v>
      </c>
      <c r="E1669" s="763">
        <f t="shared" si="339"/>
        <v>0</v>
      </c>
      <c r="F1669" s="762">
        <f t="shared" si="340"/>
        <v>1900</v>
      </c>
      <c r="G1669" s="747"/>
      <c r="H1669" s="882"/>
      <c r="I1669" s="756"/>
      <c r="J1669" s="756"/>
      <c r="K1669" s="778">
        <f t="shared" si="341"/>
        <v>0</v>
      </c>
      <c r="L1669" s="976"/>
      <c r="M1669" s="736">
        <f t="shared" si="342"/>
        <v>0</v>
      </c>
      <c r="N1669" s="754"/>
      <c r="O1669" s="738">
        <f t="shared" si="343"/>
        <v>0</v>
      </c>
      <c r="P1669" s="757"/>
      <c r="Q1669" s="739">
        <f t="shared" si="344"/>
        <v>0</v>
      </c>
      <c r="R1669" s="757"/>
      <c r="S1669" s="755"/>
      <c r="T1669" s="277"/>
      <c r="U1669" s="758" t="str">
        <f t="shared" si="331"/>
        <v/>
      </c>
      <c r="V1669" s="758" t="str">
        <f t="shared" si="332"/>
        <v>1900</v>
      </c>
      <c r="W1669" s="759"/>
      <c r="X1669" s="771"/>
      <c r="Y1669" s="977"/>
      <c r="Z1669" s="758"/>
      <c r="AA1669" s="758" t="str">
        <f t="shared" si="334"/>
        <v/>
      </c>
      <c r="AB1669" s="758" t="str">
        <f t="shared" si="335"/>
        <v/>
      </c>
      <c r="AC1669" s="758" t="str">
        <f t="shared" si="336"/>
        <v/>
      </c>
      <c r="AD1669" s="758" t="str">
        <f t="shared" si="337"/>
        <v>0</v>
      </c>
      <c r="AE1669" s="760"/>
      <c r="AF1669" s="760"/>
      <c r="AG1669" s="443"/>
      <c r="AH1669" s="443"/>
    </row>
    <row r="1670" spans="1:34">
      <c r="A1670" s="728">
        <f t="shared" si="333"/>
        <v>1663</v>
      </c>
      <c r="B1670" s="77"/>
      <c r="C1670" s="747"/>
      <c r="D1670" s="763" t="str">
        <f t="shared" si="338"/>
        <v>January</v>
      </c>
      <c r="E1670" s="763">
        <f t="shared" si="339"/>
        <v>0</v>
      </c>
      <c r="F1670" s="762">
        <f t="shared" si="340"/>
        <v>1900</v>
      </c>
      <c r="G1670" s="747"/>
      <c r="H1670" s="882"/>
      <c r="I1670" s="756"/>
      <c r="J1670" s="756"/>
      <c r="K1670" s="778">
        <f t="shared" si="341"/>
        <v>0</v>
      </c>
      <c r="L1670" s="976"/>
      <c r="M1670" s="736">
        <f t="shared" si="342"/>
        <v>0</v>
      </c>
      <c r="N1670" s="754"/>
      <c r="O1670" s="738">
        <f t="shared" si="343"/>
        <v>0</v>
      </c>
      <c r="P1670" s="757"/>
      <c r="Q1670" s="739">
        <f t="shared" si="344"/>
        <v>0</v>
      </c>
      <c r="R1670" s="757"/>
      <c r="S1670" s="755"/>
      <c r="T1670" s="277"/>
      <c r="U1670" s="758" t="str">
        <f t="shared" si="331"/>
        <v/>
      </c>
      <c r="V1670" s="758" t="str">
        <f t="shared" si="332"/>
        <v>1900</v>
      </c>
      <c r="W1670" s="759"/>
      <c r="X1670" s="771"/>
      <c r="Y1670" s="977"/>
      <c r="Z1670" s="758"/>
      <c r="AA1670" s="758" t="str">
        <f t="shared" si="334"/>
        <v/>
      </c>
      <c r="AB1670" s="758" t="str">
        <f t="shared" si="335"/>
        <v/>
      </c>
      <c r="AC1670" s="758" t="str">
        <f t="shared" si="336"/>
        <v/>
      </c>
      <c r="AD1670" s="758" t="str">
        <f t="shared" si="337"/>
        <v>0</v>
      </c>
      <c r="AE1670" s="760"/>
      <c r="AF1670" s="760"/>
      <c r="AG1670" s="443"/>
      <c r="AH1670" s="443"/>
    </row>
    <row r="1671" spans="1:34">
      <c r="A1671" s="728">
        <f t="shared" si="333"/>
        <v>1664</v>
      </c>
      <c r="B1671" s="77"/>
      <c r="C1671" s="747"/>
      <c r="D1671" s="763" t="str">
        <f t="shared" si="338"/>
        <v>January</v>
      </c>
      <c r="E1671" s="763">
        <f t="shared" si="339"/>
        <v>0</v>
      </c>
      <c r="F1671" s="762">
        <f t="shared" si="340"/>
        <v>1900</v>
      </c>
      <c r="G1671" s="747"/>
      <c r="H1671" s="882"/>
      <c r="I1671" s="756"/>
      <c r="J1671" s="756"/>
      <c r="K1671" s="778">
        <f t="shared" si="341"/>
        <v>0</v>
      </c>
      <c r="L1671" s="976"/>
      <c r="M1671" s="736">
        <f t="shared" si="342"/>
        <v>0</v>
      </c>
      <c r="N1671" s="754"/>
      <c r="O1671" s="738">
        <f t="shared" si="343"/>
        <v>0</v>
      </c>
      <c r="P1671" s="757"/>
      <c r="Q1671" s="739">
        <f t="shared" si="344"/>
        <v>0</v>
      </c>
      <c r="R1671" s="757"/>
      <c r="S1671" s="755"/>
      <c r="T1671" s="277"/>
      <c r="U1671" s="758" t="str">
        <f t="shared" ref="U1671:U1734" si="345">CONCATENATE(G1671,H1671)</f>
        <v/>
      </c>
      <c r="V1671" s="758" t="str">
        <f t="shared" ref="V1671:V1734" si="346">CONCATENATE(F1671,H1671)</f>
        <v>1900</v>
      </c>
      <c r="W1671" s="759"/>
      <c r="X1671" s="771"/>
      <c r="Y1671" s="977"/>
      <c r="Z1671" s="758"/>
      <c r="AA1671" s="758" t="str">
        <f t="shared" si="334"/>
        <v/>
      </c>
      <c r="AB1671" s="758" t="str">
        <f t="shared" si="335"/>
        <v/>
      </c>
      <c r="AC1671" s="758" t="str">
        <f t="shared" si="336"/>
        <v/>
      </c>
      <c r="AD1671" s="758" t="str">
        <f t="shared" si="337"/>
        <v>0</v>
      </c>
      <c r="AE1671" s="760"/>
      <c r="AF1671" s="760"/>
      <c r="AG1671" s="443"/>
      <c r="AH1671" s="443"/>
    </row>
    <row r="1672" spans="1:34">
      <c r="A1672" s="728">
        <f t="shared" si="333"/>
        <v>1665</v>
      </c>
      <c r="B1672" s="77"/>
      <c r="C1672" s="747"/>
      <c r="D1672" s="763" t="str">
        <f t="shared" si="338"/>
        <v>January</v>
      </c>
      <c r="E1672" s="763">
        <f t="shared" si="339"/>
        <v>0</v>
      </c>
      <c r="F1672" s="762">
        <f t="shared" si="340"/>
        <v>1900</v>
      </c>
      <c r="G1672" s="747"/>
      <c r="H1672" s="882"/>
      <c r="I1672" s="756"/>
      <c r="J1672" s="756"/>
      <c r="K1672" s="778">
        <f t="shared" si="341"/>
        <v>0</v>
      </c>
      <c r="L1672" s="976"/>
      <c r="M1672" s="736">
        <f t="shared" si="342"/>
        <v>0</v>
      </c>
      <c r="N1672" s="754"/>
      <c r="O1672" s="738">
        <f t="shared" si="343"/>
        <v>0</v>
      </c>
      <c r="P1672" s="757"/>
      <c r="Q1672" s="739">
        <f t="shared" si="344"/>
        <v>0</v>
      </c>
      <c r="R1672" s="757"/>
      <c r="S1672" s="755"/>
      <c r="T1672" s="277"/>
      <c r="U1672" s="758" t="str">
        <f t="shared" si="345"/>
        <v/>
      </c>
      <c r="V1672" s="758" t="str">
        <f t="shared" si="346"/>
        <v>1900</v>
      </c>
      <c r="W1672" s="759"/>
      <c r="X1672" s="771"/>
      <c r="Y1672" s="977"/>
      <c r="Z1672" s="758"/>
      <c r="AA1672" s="758" t="str">
        <f t="shared" si="334"/>
        <v/>
      </c>
      <c r="AB1672" s="758" t="str">
        <f t="shared" si="335"/>
        <v/>
      </c>
      <c r="AC1672" s="758" t="str">
        <f t="shared" si="336"/>
        <v/>
      </c>
      <c r="AD1672" s="758" t="str">
        <f t="shared" si="337"/>
        <v>0</v>
      </c>
      <c r="AE1672" s="760"/>
      <c r="AF1672" s="760"/>
      <c r="AG1672" s="443"/>
      <c r="AH1672" s="443"/>
    </row>
    <row r="1673" spans="1:34">
      <c r="A1673" s="728">
        <f t="shared" si="333"/>
        <v>1666</v>
      </c>
      <c r="B1673" s="77"/>
      <c r="C1673" s="747"/>
      <c r="D1673" s="763" t="str">
        <f t="shared" si="338"/>
        <v>January</v>
      </c>
      <c r="E1673" s="763">
        <f t="shared" si="339"/>
        <v>0</v>
      </c>
      <c r="F1673" s="762">
        <f t="shared" si="340"/>
        <v>1900</v>
      </c>
      <c r="G1673" s="747"/>
      <c r="H1673" s="882"/>
      <c r="I1673" s="756"/>
      <c r="J1673" s="756"/>
      <c r="K1673" s="778">
        <f t="shared" si="341"/>
        <v>0</v>
      </c>
      <c r="L1673" s="976"/>
      <c r="M1673" s="736">
        <f t="shared" si="342"/>
        <v>0</v>
      </c>
      <c r="N1673" s="754"/>
      <c r="O1673" s="738">
        <f t="shared" si="343"/>
        <v>0</v>
      </c>
      <c r="P1673" s="757"/>
      <c r="Q1673" s="739">
        <f t="shared" si="344"/>
        <v>0</v>
      </c>
      <c r="R1673" s="757"/>
      <c r="S1673" s="755"/>
      <c r="T1673" s="277"/>
      <c r="U1673" s="758" t="str">
        <f t="shared" si="345"/>
        <v/>
      </c>
      <c r="V1673" s="758" t="str">
        <f t="shared" si="346"/>
        <v>1900</v>
      </c>
      <c r="W1673" s="759"/>
      <c r="X1673" s="771"/>
      <c r="Y1673" s="977"/>
      <c r="Z1673" s="758"/>
      <c r="AA1673" s="758" t="str">
        <f t="shared" si="334"/>
        <v/>
      </c>
      <c r="AB1673" s="758" t="str">
        <f t="shared" si="335"/>
        <v/>
      </c>
      <c r="AC1673" s="758" t="str">
        <f t="shared" si="336"/>
        <v/>
      </c>
      <c r="AD1673" s="758" t="str">
        <f t="shared" si="337"/>
        <v>0</v>
      </c>
      <c r="AE1673" s="760"/>
      <c r="AF1673" s="760"/>
      <c r="AG1673" s="443"/>
      <c r="AH1673" s="443"/>
    </row>
    <row r="1674" spans="1:34">
      <c r="A1674" s="728">
        <f t="shared" si="333"/>
        <v>1667</v>
      </c>
      <c r="B1674" s="77"/>
      <c r="C1674" s="747"/>
      <c r="D1674" s="763" t="str">
        <f t="shared" si="338"/>
        <v>January</v>
      </c>
      <c r="E1674" s="763">
        <f t="shared" si="339"/>
        <v>0</v>
      </c>
      <c r="F1674" s="762">
        <f t="shared" si="340"/>
        <v>1900</v>
      </c>
      <c r="G1674" s="747"/>
      <c r="H1674" s="882"/>
      <c r="I1674" s="756"/>
      <c r="J1674" s="756"/>
      <c r="K1674" s="778">
        <f t="shared" si="341"/>
        <v>0</v>
      </c>
      <c r="L1674" s="976"/>
      <c r="M1674" s="736">
        <f t="shared" si="342"/>
        <v>0</v>
      </c>
      <c r="N1674" s="754"/>
      <c r="O1674" s="738">
        <f t="shared" si="343"/>
        <v>0</v>
      </c>
      <c r="P1674" s="757"/>
      <c r="Q1674" s="739">
        <f t="shared" si="344"/>
        <v>0</v>
      </c>
      <c r="R1674" s="757"/>
      <c r="S1674" s="755"/>
      <c r="T1674" s="277"/>
      <c r="U1674" s="758" t="str">
        <f t="shared" si="345"/>
        <v/>
      </c>
      <c r="V1674" s="758" t="str">
        <f t="shared" si="346"/>
        <v>1900</v>
      </c>
      <c r="W1674" s="759"/>
      <c r="X1674" s="771"/>
      <c r="Y1674" s="977"/>
      <c r="Z1674" s="758"/>
      <c r="AA1674" s="758" t="str">
        <f t="shared" si="334"/>
        <v/>
      </c>
      <c r="AB1674" s="758" t="str">
        <f t="shared" si="335"/>
        <v/>
      </c>
      <c r="AC1674" s="758" t="str">
        <f t="shared" si="336"/>
        <v/>
      </c>
      <c r="AD1674" s="758" t="str">
        <f t="shared" si="337"/>
        <v>0</v>
      </c>
      <c r="AE1674" s="760"/>
      <c r="AF1674" s="760"/>
      <c r="AG1674" s="443"/>
      <c r="AH1674" s="443"/>
    </row>
    <row r="1675" spans="1:34">
      <c r="A1675" s="728">
        <f t="shared" ref="A1675:A1738" si="347">+A1674+1</f>
        <v>1668</v>
      </c>
      <c r="B1675" s="77"/>
      <c r="C1675" s="747"/>
      <c r="D1675" s="763" t="str">
        <f t="shared" si="338"/>
        <v>January</v>
      </c>
      <c r="E1675" s="763">
        <f t="shared" si="339"/>
        <v>0</v>
      </c>
      <c r="F1675" s="762">
        <f t="shared" si="340"/>
        <v>1900</v>
      </c>
      <c r="G1675" s="747"/>
      <c r="H1675" s="882"/>
      <c r="I1675" s="756"/>
      <c r="J1675" s="756"/>
      <c r="K1675" s="778">
        <f t="shared" si="341"/>
        <v>0</v>
      </c>
      <c r="L1675" s="976"/>
      <c r="M1675" s="736">
        <f t="shared" si="342"/>
        <v>0</v>
      </c>
      <c r="N1675" s="754"/>
      <c r="O1675" s="738">
        <f t="shared" si="343"/>
        <v>0</v>
      </c>
      <c r="P1675" s="757"/>
      <c r="Q1675" s="739">
        <f t="shared" si="344"/>
        <v>0</v>
      </c>
      <c r="R1675" s="757"/>
      <c r="S1675" s="755"/>
      <c r="T1675" s="277"/>
      <c r="U1675" s="758" t="str">
        <f t="shared" si="345"/>
        <v/>
      </c>
      <c r="V1675" s="758" t="str">
        <f t="shared" si="346"/>
        <v>1900</v>
      </c>
      <c r="W1675" s="759"/>
      <c r="X1675" s="771"/>
      <c r="Y1675" s="977"/>
      <c r="Z1675" s="758"/>
      <c r="AA1675" s="758" t="str">
        <f t="shared" si="334"/>
        <v/>
      </c>
      <c r="AB1675" s="758" t="str">
        <f t="shared" si="335"/>
        <v/>
      </c>
      <c r="AC1675" s="758" t="str">
        <f t="shared" si="336"/>
        <v/>
      </c>
      <c r="AD1675" s="758" t="str">
        <f t="shared" si="337"/>
        <v>0</v>
      </c>
      <c r="AE1675" s="760"/>
      <c r="AF1675" s="760"/>
      <c r="AG1675" s="443"/>
      <c r="AH1675" s="443"/>
    </row>
    <row r="1676" spans="1:34">
      <c r="A1676" s="728">
        <f t="shared" si="347"/>
        <v>1669</v>
      </c>
      <c r="B1676" s="77"/>
      <c r="C1676" s="747"/>
      <c r="D1676" s="763" t="str">
        <f t="shared" si="338"/>
        <v>January</v>
      </c>
      <c r="E1676" s="763">
        <f t="shared" si="339"/>
        <v>0</v>
      </c>
      <c r="F1676" s="762">
        <f t="shared" si="340"/>
        <v>1900</v>
      </c>
      <c r="G1676" s="747"/>
      <c r="H1676" s="882"/>
      <c r="I1676" s="756"/>
      <c r="J1676" s="756"/>
      <c r="K1676" s="778">
        <f t="shared" si="341"/>
        <v>0</v>
      </c>
      <c r="L1676" s="976"/>
      <c r="M1676" s="736">
        <f t="shared" si="342"/>
        <v>0</v>
      </c>
      <c r="N1676" s="754"/>
      <c r="O1676" s="738">
        <f t="shared" si="343"/>
        <v>0</v>
      </c>
      <c r="P1676" s="757"/>
      <c r="Q1676" s="739">
        <f t="shared" si="344"/>
        <v>0</v>
      </c>
      <c r="R1676" s="757"/>
      <c r="S1676" s="755"/>
      <c r="T1676" s="277"/>
      <c r="U1676" s="758" t="str">
        <f t="shared" si="345"/>
        <v/>
      </c>
      <c r="V1676" s="758" t="str">
        <f t="shared" si="346"/>
        <v>1900</v>
      </c>
      <c r="W1676" s="759"/>
      <c r="X1676" s="771"/>
      <c r="Y1676" s="977"/>
      <c r="Z1676" s="758"/>
      <c r="AA1676" s="758" t="str">
        <f t="shared" si="334"/>
        <v/>
      </c>
      <c r="AB1676" s="758" t="str">
        <f t="shared" si="335"/>
        <v/>
      </c>
      <c r="AC1676" s="758" t="str">
        <f t="shared" si="336"/>
        <v/>
      </c>
      <c r="AD1676" s="758" t="str">
        <f t="shared" si="337"/>
        <v>0</v>
      </c>
      <c r="AE1676" s="760"/>
      <c r="AF1676" s="760"/>
      <c r="AG1676" s="443"/>
      <c r="AH1676" s="443"/>
    </row>
    <row r="1677" spans="1:34">
      <c r="A1677" s="728">
        <f t="shared" si="347"/>
        <v>1670</v>
      </c>
      <c r="B1677" s="77"/>
      <c r="C1677" s="747"/>
      <c r="D1677" s="763" t="str">
        <f t="shared" si="338"/>
        <v>January</v>
      </c>
      <c r="E1677" s="763">
        <f t="shared" si="339"/>
        <v>0</v>
      </c>
      <c r="F1677" s="762">
        <f t="shared" si="340"/>
        <v>1900</v>
      </c>
      <c r="G1677" s="747"/>
      <c r="H1677" s="882"/>
      <c r="I1677" s="756"/>
      <c r="J1677" s="756"/>
      <c r="K1677" s="778">
        <f t="shared" si="341"/>
        <v>0</v>
      </c>
      <c r="L1677" s="976"/>
      <c r="M1677" s="736">
        <f t="shared" si="342"/>
        <v>0</v>
      </c>
      <c r="N1677" s="754"/>
      <c r="O1677" s="738">
        <f t="shared" si="343"/>
        <v>0</v>
      </c>
      <c r="P1677" s="757"/>
      <c r="Q1677" s="739">
        <f t="shared" si="344"/>
        <v>0</v>
      </c>
      <c r="R1677" s="757"/>
      <c r="S1677" s="755"/>
      <c r="T1677" s="277"/>
      <c r="U1677" s="758" t="str">
        <f t="shared" si="345"/>
        <v/>
      </c>
      <c r="V1677" s="758" t="str">
        <f t="shared" si="346"/>
        <v>1900</v>
      </c>
      <c r="W1677" s="759"/>
      <c r="X1677" s="771"/>
      <c r="Y1677" s="977"/>
      <c r="Z1677" s="758"/>
      <c r="AA1677" s="758" t="str">
        <f t="shared" si="334"/>
        <v/>
      </c>
      <c r="AB1677" s="758" t="str">
        <f t="shared" si="335"/>
        <v/>
      </c>
      <c r="AC1677" s="758" t="str">
        <f t="shared" si="336"/>
        <v/>
      </c>
      <c r="AD1677" s="758" t="str">
        <f t="shared" si="337"/>
        <v>0</v>
      </c>
      <c r="AE1677" s="760"/>
      <c r="AF1677" s="760"/>
      <c r="AG1677" s="443"/>
      <c r="AH1677" s="443"/>
    </row>
    <row r="1678" spans="1:34">
      <c r="A1678" s="728">
        <f t="shared" si="347"/>
        <v>1671</v>
      </c>
      <c r="B1678" s="77"/>
      <c r="C1678" s="747"/>
      <c r="D1678" s="763" t="str">
        <f t="shared" si="338"/>
        <v>January</v>
      </c>
      <c r="E1678" s="763">
        <f t="shared" si="339"/>
        <v>0</v>
      </c>
      <c r="F1678" s="762">
        <f t="shared" si="340"/>
        <v>1900</v>
      </c>
      <c r="G1678" s="747"/>
      <c r="H1678" s="882"/>
      <c r="I1678" s="756"/>
      <c r="J1678" s="756"/>
      <c r="K1678" s="778">
        <f t="shared" si="341"/>
        <v>0</v>
      </c>
      <c r="L1678" s="976"/>
      <c r="M1678" s="736">
        <f t="shared" si="342"/>
        <v>0</v>
      </c>
      <c r="N1678" s="754"/>
      <c r="O1678" s="738">
        <f t="shared" si="343"/>
        <v>0</v>
      </c>
      <c r="P1678" s="757"/>
      <c r="Q1678" s="739">
        <f t="shared" si="344"/>
        <v>0</v>
      </c>
      <c r="R1678" s="757"/>
      <c r="S1678" s="755"/>
      <c r="T1678" s="277"/>
      <c r="U1678" s="758" t="str">
        <f t="shared" si="345"/>
        <v/>
      </c>
      <c r="V1678" s="758" t="str">
        <f t="shared" si="346"/>
        <v>1900</v>
      </c>
      <c r="W1678" s="759"/>
      <c r="X1678" s="771"/>
      <c r="Y1678" s="977"/>
      <c r="Z1678" s="758"/>
      <c r="AA1678" s="758" t="str">
        <f t="shared" si="334"/>
        <v/>
      </c>
      <c r="AB1678" s="758" t="str">
        <f t="shared" si="335"/>
        <v/>
      </c>
      <c r="AC1678" s="758" t="str">
        <f t="shared" si="336"/>
        <v/>
      </c>
      <c r="AD1678" s="758" t="str">
        <f t="shared" si="337"/>
        <v>0</v>
      </c>
      <c r="AE1678" s="760"/>
      <c r="AF1678" s="760"/>
      <c r="AG1678" s="443"/>
      <c r="AH1678" s="443"/>
    </row>
    <row r="1679" spans="1:34">
      <c r="A1679" s="728">
        <f t="shared" si="347"/>
        <v>1672</v>
      </c>
      <c r="B1679" s="77"/>
      <c r="C1679" s="747"/>
      <c r="D1679" s="763" t="str">
        <f t="shared" si="338"/>
        <v>January</v>
      </c>
      <c r="E1679" s="763">
        <f t="shared" si="339"/>
        <v>0</v>
      </c>
      <c r="F1679" s="762">
        <f t="shared" si="340"/>
        <v>1900</v>
      </c>
      <c r="G1679" s="747"/>
      <c r="H1679" s="882"/>
      <c r="I1679" s="756"/>
      <c r="J1679" s="756"/>
      <c r="K1679" s="778">
        <f t="shared" si="341"/>
        <v>0</v>
      </c>
      <c r="L1679" s="976"/>
      <c r="M1679" s="736">
        <f t="shared" si="342"/>
        <v>0</v>
      </c>
      <c r="N1679" s="754"/>
      <c r="O1679" s="738">
        <f t="shared" si="343"/>
        <v>0</v>
      </c>
      <c r="P1679" s="757"/>
      <c r="Q1679" s="739">
        <f t="shared" si="344"/>
        <v>0</v>
      </c>
      <c r="R1679" s="757"/>
      <c r="S1679" s="755"/>
      <c r="T1679" s="277"/>
      <c r="U1679" s="758" t="str">
        <f t="shared" si="345"/>
        <v/>
      </c>
      <c r="V1679" s="758" t="str">
        <f t="shared" si="346"/>
        <v>1900</v>
      </c>
      <c r="W1679" s="759"/>
      <c r="X1679" s="771"/>
      <c r="Y1679" s="977"/>
      <c r="Z1679" s="758"/>
      <c r="AA1679" s="758" t="str">
        <f t="shared" si="334"/>
        <v/>
      </c>
      <c r="AB1679" s="758" t="str">
        <f t="shared" si="335"/>
        <v/>
      </c>
      <c r="AC1679" s="758" t="str">
        <f t="shared" si="336"/>
        <v/>
      </c>
      <c r="AD1679" s="758" t="str">
        <f t="shared" si="337"/>
        <v>0</v>
      </c>
      <c r="AE1679" s="760"/>
      <c r="AF1679" s="760"/>
      <c r="AG1679" s="443"/>
      <c r="AH1679" s="443"/>
    </row>
    <row r="1680" spans="1:34">
      <c r="A1680" s="728">
        <f t="shared" si="347"/>
        <v>1673</v>
      </c>
      <c r="B1680" s="77"/>
      <c r="C1680" s="747"/>
      <c r="D1680" s="763" t="str">
        <f t="shared" si="338"/>
        <v>January</v>
      </c>
      <c r="E1680" s="763">
        <f t="shared" si="339"/>
        <v>0</v>
      </c>
      <c r="F1680" s="762">
        <f t="shared" si="340"/>
        <v>1900</v>
      </c>
      <c r="G1680" s="747"/>
      <c r="H1680" s="882"/>
      <c r="I1680" s="756"/>
      <c r="J1680" s="756"/>
      <c r="K1680" s="778">
        <f t="shared" si="341"/>
        <v>0</v>
      </c>
      <c r="L1680" s="976"/>
      <c r="M1680" s="736">
        <f t="shared" si="342"/>
        <v>0</v>
      </c>
      <c r="N1680" s="754"/>
      <c r="O1680" s="738">
        <f t="shared" si="343"/>
        <v>0</v>
      </c>
      <c r="P1680" s="757"/>
      <c r="Q1680" s="739">
        <f t="shared" si="344"/>
        <v>0</v>
      </c>
      <c r="R1680" s="757"/>
      <c r="S1680" s="755"/>
      <c r="T1680" s="277"/>
      <c r="U1680" s="758" t="str">
        <f t="shared" si="345"/>
        <v/>
      </c>
      <c r="V1680" s="758" t="str">
        <f t="shared" si="346"/>
        <v>1900</v>
      </c>
      <c r="W1680" s="759"/>
      <c r="X1680" s="771"/>
      <c r="Y1680" s="977"/>
      <c r="Z1680" s="758"/>
      <c r="AA1680" s="758" t="str">
        <f t="shared" ref="AA1680:AA1743" si="348">CONCATENATE(H1680,W1680)</f>
        <v/>
      </c>
      <c r="AB1680" s="758" t="str">
        <f t="shared" ref="AB1680:AB1743" si="349">CONCATENATE(H1680,X1680)</f>
        <v/>
      </c>
      <c r="AC1680" s="758" t="str">
        <f t="shared" ref="AC1680:AC1743" si="350">CONCATENATE(H1680,Y1680)</f>
        <v/>
      </c>
      <c r="AD1680" s="758" t="str">
        <f t="shared" si="337"/>
        <v>0</v>
      </c>
      <c r="AE1680" s="760"/>
      <c r="AF1680" s="760"/>
      <c r="AG1680" s="443"/>
      <c r="AH1680" s="443"/>
    </row>
    <row r="1681" spans="1:34">
      <c r="A1681" s="728">
        <f t="shared" si="347"/>
        <v>1674</v>
      </c>
      <c r="B1681" s="77"/>
      <c r="C1681" s="747"/>
      <c r="D1681" s="763" t="str">
        <f t="shared" si="338"/>
        <v>January</v>
      </c>
      <c r="E1681" s="763">
        <f t="shared" si="339"/>
        <v>0</v>
      </c>
      <c r="F1681" s="762">
        <f t="shared" si="340"/>
        <v>1900</v>
      </c>
      <c r="G1681" s="747"/>
      <c r="H1681" s="882"/>
      <c r="I1681" s="756"/>
      <c r="J1681" s="756"/>
      <c r="K1681" s="778">
        <f t="shared" si="341"/>
        <v>0</v>
      </c>
      <c r="L1681" s="976"/>
      <c r="M1681" s="736">
        <f t="shared" si="342"/>
        <v>0</v>
      </c>
      <c r="N1681" s="754"/>
      <c r="O1681" s="738">
        <f t="shared" si="343"/>
        <v>0</v>
      </c>
      <c r="P1681" s="757"/>
      <c r="Q1681" s="739">
        <f t="shared" si="344"/>
        <v>0</v>
      </c>
      <c r="R1681" s="757"/>
      <c r="S1681" s="755"/>
      <c r="T1681" s="277"/>
      <c r="U1681" s="758" t="str">
        <f t="shared" si="345"/>
        <v/>
      </c>
      <c r="V1681" s="758" t="str">
        <f t="shared" si="346"/>
        <v>1900</v>
      </c>
      <c r="W1681" s="759"/>
      <c r="X1681" s="771"/>
      <c r="Y1681" s="977"/>
      <c r="Z1681" s="758"/>
      <c r="AA1681" s="758" t="str">
        <f t="shared" si="348"/>
        <v/>
      </c>
      <c r="AB1681" s="758" t="str">
        <f t="shared" si="349"/>
        <v/>
      </c>
      <c r="AC1681" s="758" t="str">
        <f t="shared" si="350"/>
        <v/>
      </c>
      <c r="AD1681" s="758" t="str">
        <f t="shared" si="337"/>
        <v>0</v>
      </c>
      <c r="AE1681" s="760"/>
      <c r="AF1681" s="760"/>
      <c r="AG1681" s="443"/>
      <c r="AH1681" s="443"/>
    </row>
    <row r="1682" spans="1:34">
      <c r="A1682" s="728">
        <f t="shared" si="347"/>
        <v>1675</v>
      </c>
      <c r="B1682" s="77"/>
      <c r="C1682" s="747"/>
      <c r="D1682" s="763" t="str">
        <f t="shared" si="338"/>
        <v>January</v>
      </c>
      <c r="E1682" s="763">
        <f t="shared" si="339"/>
        <v>0</v>
      </c>
      <c r="F1682" s="762">
        <f t="shared" si="340"/>
        <v>1900</v>
      </c>
      <c r="G1682" s="747"/>
      <c r="H1682" s="882"/>
      <c r="I1682" s="756"/>
      <c r="J1682" s="756"/>
      <c r="K1682" s="778">
        <f t="shared" si="341"/>
        <v>0</v>
      </c>
      <c r="L1682" s="976"/>
      <c r="M1682" s="736">
        <f t="shared" si="342"/>
        <v>0</v>
      </c>
      <c r="N1682" s="754"/>
      <c r="O1682" s="738">
        <f t="shared" si="343"/>
        <v>0</v>
      </c>
      <c r="P1682" s="757"/>
      <c r="Q1682" s="739">
        <f t="shared" si="344"/>
        <v>0</v>
      </c>
      <c r="R1682" s="757"/>
      <c r="S1682" s="755"/>
      <c r="T1682" s="277"/>
      <c r="U1682" s="758" t="str">
        <f t="shared" si="345"/>
        <v/>
      </c>
      <c r="V1682" s="758" t="str">
        <f t="shared" si="346"/>
        <v>1900</v>
      </c>
      <c r="W1682" s="759"/>
      <c r="X1682" s="771"/>
      <c r="Y1682" s="977"/>
      <c r="Z1682" s="758"/>
      <c r="AA1682" s="758" t="str">
        <f t="shared" si="348"/>
        <v/>
      </c>
      <c r="AB1682" s="758" t="str">
        <f t="shared" si="349"/>
        <v/>
      </c>
      <c r="AC1682" s="758" t="str">
        <f t="shared" si="350"/>
        <v/>
      </c>
      <c r="AD1682" s="758" t="str">
        <f t="shared" si="337"/>
        <v>0</v>
      </c>
      <c r="AE1682" s="760"/>
      <c r="AF1682" s="760"/>
      <c r="AG1682" s="443"/>
      <c r="AH1682" s="443"/>
    </row>
    <row r="1683" spans="1:34">
      <c r="A1683" s="728">
        <f t="shared" si="347"/>
        <v>1676</v>
      </c>
      <c r="B1683" s="77"/>
      <c r="C1683" s="747"/>
      <c r="D1683" s="763" t="str">
        <f t="shared" si="338"/>
        <v>January</v>
      </c>
      <c r="E1683" s="763">
        <f t="shared" si="339"/>
        <v>0</v>
      </c>
      <c r="F1683" s="762">
        <f t="shared" si="340"/>
        <v>1900</v>
      </c>
      <c r="G1683" s="747"/>
      <c r="H1683" s="882"/>
      <c r="I1683" s="756"/>
      <c r="J1683" s="756"/>
      <c r="K1683" s="778">
        <f t="shared" si="341"/>
        <v>0</v>
      </c>
      <c r="L1683" s="976"/>
      <c r="M1683" s="736">
        <f t="shared" si="342"/>
        <v>0</v>
      </c>
      <c r="N1683" s="754"/>
      <c r="O1683" s="738">
        <f t="shared" si="343"/>
        <v>0</v>
      </c>
      <c r="P1683" s="757"/>
      <c r="Q1683" s="739">
        <f t="shared" si="344"/>
        <v>0</v>
      </c>
      <c r="R1683" s="757"/>
      <c r="S1683" s="755"/>
      <c r="T1683" s="277"/>
      <c r="U1683" s="758" t="str">
        <f t="shared" si="345"/>
        <v/>
      </c>
      <c r="V1683" s="758" t="str">
        <f t="shared" si="346"/>
        <v>1900</v>
      </c>
      <c r="W1683" s="759"/>
      <c r="X1683" s="771"/>
      <c r="Y1683" s="977"/>
      <c r="Z1683" s="758"/>
      <c r="AA1683" s="758" t="str">
        <f t="shared" si="348"/>
        <v/>
      </c>
      <c r="AB1683" s="758" t="str">
        <f t="shared" si="349"/>
        <v/>
      </c>
      <c r="AC1683" s="758" t="str">
        <f t="shared" si="350"/>
        <v/>
      </c>
      <c r="AD1683" s="758" t="str">
        <f t="shared" si="337"/>
        <v>0</v>
      </c>
      <c r="AE1683" s="760"/>
      <c r="AF1683" s="760"/>
      <c r="AG1683" s="443"/>
      <c r="AH1683" s="443"/>
    </row>
    <row r="1684" spans="1:34">
      <c r="A1684" s="728">
        <f t="shared" si="347"/>
        <v>1677</v>
      </c>
      <c r="B1684" s="77"/>
      <c r="C1684" s="747"/>
      <c r="D1684" s="763" t="str">
        <f t="shared" si="338"/>
        <v>January</v>
      </c>
      <c r="E1684" s="763">
        <f t="shared" si="339"/>
        <v>0</v>
      </c>
      <c r="F1684" s="762">
        <f t="shared" si="340"/>
        <v>1900</v>
      </c>
      <c r="G1684" s="747"/>
      <c r="H1684" s="882"/>
      <c r="I1684" s="756"/>
      <c r="J1684" s="756"/>
      <c r="K1684" s="778">
        <f t="shared" si="341"/>
        <v>0</v>
      </c>
      <c r="L1684" s="976"/>
      <c r="M1684" s="736">
        <f t="shared" si="342"/>
        <v>0</v>
      </c>
      <c r="N1684" s="754"/>
      <c r="O1684" s="738">
        <f t="shared" si="343"/>
        <v>0</v>
      </c>
      <c r="P1684" s="757"/>
      <c r="Q1684" s="739">
        <f t="shared" si="344"/>
        <v>0</v>
      </c>
      <c r="R1684" s="757"/>
      <c r="S1684" s="755"/>
      <c r="T1684" s="277"/>
      <c r="U1684" s="758" t="str">
        <f t="shared" si="345"/>
        <v/>
      </c>
      <c r="V1684" s="758" t="str">
        <f t="shared" si="346"/>
        <v>1900</v>
      </c>
      <c r="W1684" s="759"/>
      <c r="X1684" s="771"/>
      <c r="Y1684" s="977"/>
      <c r="Z1684" s="758"/>
      <c r="AA1684" s="758" t="str">
        <f t="shared" si="348"/>
        <v/>
      </c>
      <c r="AB1684" s="758" t="str">
        <f t="shared" si="349"/>
        <v/>
      </c>
      <c r="AC1684" s="758" t="str">
        <f t="shared" si="350"/>
        <v/>
      </c>
      <c r="AD1684" s="758" t="str">
        <f t="shared" si="337"/>
        <v>0</v>
      </c>
      <c r="AE1684" s="760"/>
      <c r="AF1684" s="760"/>
      <c r="AG1684" s="443"/>
      <c r="AH1684" s="443"/>
    </row>
    <row r="1685" spans="1:34">
      <c r="A1685" s="728">
        <f t="shared" si="347"/>
        <v>1678</v>
      </c>
      <c r="B1685" s="77"/>
      <c r="C1685" s="747"/>
      <c r="D1685" s="763" t="str">
        <f t="shared" si="338"/>
        <v>January</v>
      </c>
      <c r="E1685" s="763">
        <f t="shared" si="339"/>
        <v>0</v>
      </c>
      <c r="F1685" s="762">
        <f t="shared" si="340"/>
        <v>1900</v>
      </c>
      <c r="G1685" s="747"/>
      <c r="H1685" s="882"/>
      <c r="I1685" s="756"/>
      <c r="J1685" s="756"/>
      <c r="K1685" s="778">
        <f t="shared" si="341"/>
        <v>0</v>
      </c>
      <c r="L1685" s="976"/>
      <c r="M1685" s="736">
        <f t="shared" si="342"/>
        <v>0</v>
      </c>
      <c r="N1685" s="754"/>
      <c r="O1685" s="738">
        <f t="shared" si="343"/>
        <v>0</v>
      </c>
      <c r="P1685" s="757"/>
      <c r="Q1685" s="739">
        <f t="shared" si="344"/>
        <v>0</v>
      </c>
      <c r="R1685" s="757"/>
      <c r="S1685" s="755"/>
      <c r="T1685" s="277"/>
      <c r="U1685" s="758" t="str">
        <f t="shared" si="345"/>
        <v/>
      </c>
      <c r="V1685" s="758" t="str">
        <f t="shared" si="346"/>
        <v>1900</v>
      </c>
      <c r="W1685" s="759"/>
      <c r="X1685" s="771"/>
      <c r="Y1685" s="977"/>
      <c r="Z1685" s="758"/>
      <c r="AA1685" s="758" t="str">
        <f t="shared" si="348"/>
        <v/>
      </c>
      <c r="AB1685" s="758" t="str">
        <f t="shared" si="349"/>
        <v/>
      </c>
      <c r="AC1685" s="758" t="str">
        <f t="shared" si="350"/>
        <v/>
      </c>
      <c r="AD1685" s="758" t="str">
        <f t="shared" si="337"/>
        <v>0</v>
      </c>
      <c r="AE1685" s="760"/>
      <c r="AF1685" s="760"/>
      <c r="AG1685" s="443"/>
      <c r="AH1685" s="443"/>
    </row>
    <row r="1686" spans="1:34">
      <c r="A1686" s="728">
        <f t="shared" si="347"/>
        <v>1679</v>
      </c>
      <c r="B1686" s="77"/>
      <c r="C1686" s="747"/>
      <c r="D1686" s="763" t="str">
        <f t="shared" si="338"/>
        <v>January</v>
      </c>
      <c r="E1686" s="763">
        <f t="shared" si="339"/>
        <v>0</v>
      </c>
      <c r="F1686" s="762">
        <f t="shared" si="340"/>
        <v>1900</v>
      </c>
      <c r="G1686" s="747"/>
      <c r="H1686" s="882"/>
      <c r="I1686" s="756"/>
      <c r="J1686" s="756"/>
      <c r="K1686" s="778">
        <f t="shared" si="341"/>
        <v>0</v>
      </c>
      <c r="L1686" s="976"/>
      <c r="M1686" s="736">
        <f t="shared" si="342"/>
        <v>0</v>
      </c>
      <c r="N1686" s="754"/>
      <c r="O1686" s="738">
        <f t="shared" si="343"/>
        <v>0</v>
      </c>
      <c r="P1686" s="757"/>
      <c r="Q1686" s="739">
        <f t="shared" si="344"/>
        <v>0</v>
      </c>
      <c r="R1686" s="757"/>
      <c r="S1686" s="755"/>
      <c r="T1686" s="277"/>
      <c r="U1686" s="758" t="str">
        <f t="shared" si="345"/>
        <v/>
      </c>
      <c r="V1686" s="758" t="str">
        <f t="shared" si="346"/>
        <v>1900</v>
      </c>
      <c r="W1686" s="759"/>
      <c r="X1686" s="771"/>
      <c r="Y1686" s="977"/>
      <c r="Z1686" s="758"/>
      <c r="AA1686" s="758" t="str">
        <f t="shared" si="348"/>
        <v/>
      </c>
      <c r="AB1686" s="758" t="str">
        <f t="shared" si="349"/>
        <v/>
      </c>
      <c r="AC1686" s="758" t="str">
        <f t="shared" si="350"/>
        <v/>
      </c>
      <c r="AD1686" s="758" t="str">
        <f t="shared" si="337"/>
        <v>0</v>
      </c>
      <c r="AE1686" s="760"/>
      <c r="AF1686" s="760"/>
      <c r="AG1686" s="443"/>
      <c r="AH1686" s="443"/>
    </row>
    <row r="1687" spans="1:34">
      <c r="A1687" s="728">
        <f t="shared" si="347"/>
        <v>1680</v>
      </c>
      <c r="B1687" s="77"/>
      <c r="C1687" s="747"/>
      <c r="D1687" s="763" t="str">
        <f t="shared" si="338"/>
        <v>January</v>
      </c>
      <c r="E1687" s="763">
        <f t="shared" si="339"/>
        <v>0</v>
      </c>
      <c r="F1687" s="762">
        <f t="shared" si="340"/>
        <v>1900</v>
      </c>
      <c r="G1687" s="747"/>
      <c r="H1687" s="882"/>
      <c r="I1687" s="756"/>
      <c r="J1687" s="756"/>
      <c r="K1687" s="778">
        <f t="shared" si="341"/>
        <v>0</v>
      </c>
      <c r="L1687" s="976"/>
      <c r="M1687" s="736">
        <f t="shared" si="342"/>
        <v>0</v>
      </c>
      <c r="N1687" s="754"/>
      <c r="O1687" s="738">
        <f t="shared" si="343"/>
        <v>0</v>
      </c>
      <c r="P1687" s="757"/>
      <c r="Q1687" s="739">
        <f t="shared" si="344"/>
        <v>0</v>
      </c>
      <c r="R1687" s="757"/>
      <c r="S1687" s="755"/>
      <c r="T1687" s="277"/>
      <c r="U1687" s="758" t="str">
        <f t="shared" si="345"/>
        <v/>
      </c>
      <c r="V1687" s="758" t="str">
        <f t="shared" si="346"/>
        <v>1900</v>
      </c>
      <c r="W1687" s="759"/>
      <c r="X1687" s="771"/>
      <c r="Y1687" s="977"/>
      <c r="Z1687" s="758"/>
      <c r="AA1687" s="758" t="str">
        <f t="shared" si="348"/>
        <v/>
      </c>
      <c r="AB1687" s="758" t="str">
        <f t="shared" si="349"/>
        <v/>
      </c>
      <c r="AC1687" s="758" t="str">
        <f t="shared" si="350"/>
        <v/>
      </c>
      <c r="AD1687" s="758" t="str">
        <f t="shared" si="337"/>
        <v>0</v>
      </c>
      <c r="AE1687" s="760"/>
      <c r="AF1687" s="760"/>
      <c r="AG1687" s="443"/>
      <c r="AH1687" s="443"/>
    </row>
    <row r="1688" spans="1:34">
      <c r="A1688" s="728">
        <f t="shared" si="347"/>
        <v>1681</v>
      </c>
      <c r="B1688" s="77"/>
      <c r="C1688" s="747"/>
      <c r="D1688" s="763" t="str">
        <f t="shared" si="338"/>
        <v>January</v>
      </c>
      <c r="E1688" s="763">
        <f t="shared" si="339"/>
        <v>0</v>
      </c>
      <c r="F1688" s="762">
        <f t="shared" si="340"/>
        <v>1900</v>
      </c>
      <c r="G1688" s="747"/>
      <c r="H1688" s="882"/>
      <c r="I1688" s="756"/>
      <c r="J1688" s="756"/>
      <c r="K1688" s="778">
        <f t="shared" si="341"/>
        <v>0</v>
      </c>
      <c r="L1688" s="976"/>
      <c r="M1688" s="736">
        <f t="shared" si="342"/>
        <v>0</v>
      </c>
      <c r="N1688" s="754"/>
      <c r="O1688" s="738">
        <f t="shared" si="343"/>
        <v>0</v>
      </c>
      <c r="P1688" s="757"/>
      <c r="Q1688" s="739">
        <f t="shared" si="344"/>
        <v>0</v>
      </c>
      <c r="R1688" s="757"/>
      <c r="S1688" s="755"/>
      <c r="T1688" s="277"/>
      <c r="U1688" s="758" t="str">
        <f t="shared" si="345"/>
        <v/>
      </c>
      <c r="V1688" s="758" t="str">
        <f t="shared" si="346"/>
        <v>1900</v>
      </c>
      <c r="W1688" s="759"/>
      <c r="X1688" s="771"/>
      <c r="Y1688" s="977"/>
      <c r="Z1688" s="758"/>
      <c r="AA1688" s="758" t="str">
        <f t="shared" si="348"/>
        <v/>
      </c>
      <c r="AB1688" s="758" t="str">
        <f t="shared" si="349"/>
        <v/>
      </c>
      <c r="AC1688" s="758" t="str">
        <f t="shared" si="350"/>
        <v/>
      </c>
      <c r="AD1688" s="758" t="str">
        <f t="shared" si="337"/>
        <v>0</v>
      </c>
      <c r="AE1688" s="760"/>
      <c r="AF1688" s="760"/>
      <c r="AG1688" s="443"/>
      <c r="AH1688" s="443"/>
    </row>
    <row r="1689" spans="1:34">
      <c r="A1689" s="728">
        <f t="shared" si="347"/>
        <v>1682</v>
      </c>
      <c r="B1689" s="77"/>
      <c r="C1689" s="747"/>
      <c r="D1689" s="763" t="str">
        <f t="shared" si="338"/>
        <v>January</v>
      </c>
      <c r="E1689" s="763">
        <f t="shared" si="339"/>
        <v>0</v>
      </c>
      <c r="F1689" s="762">
        <f t="shared" si="340"/>
        <v>1900</v>
      </c>
      <c r="G1689" s="747"/>
      <c r="H1689" s="882"/>
      <c r="I1689" s="756"/>
      <c r="J1689" s="756"/>
      <c r="K1689" s="778">
        <f t="shared" si="341"/>
        <v>0</v>
      </c>
      <c r="L1689" s="976"/>
      <c r="M1689" s="736">
        <f t="shared" si="342"/>
        <v>0</v>
      </c>
      <c r="N1689" s="754"/>
      <c r="O1689" s="738">
        <f t="shared" si="343"/>
        <v>0</v>
      </c>
      <c r="P1689" s="757"/>
      <c r="Q1689" s="739">
        <f t="shared" si="344"/>
        <v>0</v>
      </c>
      <c r="R1689" s="757"/>
      <c r="S1689" s="755"/>
      <c r="T1689" s="277"/>
      <c r="U1689" s="758" t="str">
        <f t="shared" si="345"/>
        <v/>
      </c>
      <c r="V1689" s="758" t="str">
        <f t="shared" si="346"/>
        <v>1900</v>
      </c>
      <c r="W1689" s="759"/>
      <c r="X1689" s="771"/>
      <c r="Y1689" s="977"/>
      <c r="Z1689" s="758"/>
      <c r="AA1689" s="758" t="str">
        <f t="shared" si="348"/>
        <v/>
      </c>
      <c r="AB1689" s="758" t="str">
        <f t="shared" si="349"/>
        <v/>
      </c>
      <c r="AC1689" s="758" t="str">
        <f t="shared" si="350"/>
        <v/>
      </c>
      <c r="AD1689" s="758" t="str">
        <f t="shared" ref="AD1689:AD1752" si="351">CONCATENATE(H1689,M1689)</f>
        <v>0</v>
      </c>
      <c r="AE1689" s="760"/>
      <c r="AF1689" s="760"/>
      <c r="AG1689" s="443"/>
      <c r="AH1689" s="443"/>
    </row>
    <row r="1690" spans="1:34">
      <c r="A1690" s="728">
        <f t="shared" si="347"/>
        <v>1683</v>
      </c>
      <c r="B1690" s="77"/>
      <c r="C1690" s="747"/>
      <c r="D1690" s="763" t="str">
        <f t="shared" si="338"/>
        <v>January</v>
      </c>
      <c r="E1690" s="763">
        <f t="shared" si="339"/>
        <v>0</v>
      </c>
      <c r="F1690" s="762">
        <f t="shared" si="340"/>
        <v>1900</v>
      </c>
      <c r="G1690" s="747"/>
      <c r="H1690" s="882"/>
      <c r="I1690" s="756"/>
      <c r="J1690" s="756"/>
      <c r="K1690" s="778">
        <f t="shared" si="341"/>
        <v>0</v>
      </c>
      <c r="L1690" s="976"/>
      <c r="M1690" s="736">
        <f t="shared" si="342"/>
        <v>0</v>
      </c>
      <c r="N1690" s="754"/>
      <c r="O1690" s="738">
        <f t="shared" si="343"/>
        <v>0</v>
      </c>
      <c r="P1690" s="757"/>
      <c r="Q1690" s="739">
        <f t="shared" si="344"/>
        <v>0</v>
      </c>
      <c r="R1690" s="757"/>
      <c r="S1690" s="755"/>
      <c r="T1690" s="277"/>
      <c r="U1690" s="758" t="str">
        <f t="shared" si="345"/>
        <v/>
      </c>
      <c r="V1690" s="758" t="str">
        <f t="shared" si="346"/>
        <v>1900</v>
      </c>
      <c r="W1690" s="759"/>
      <c r="X1690" s="771"/>
      <c r="Y1690" s="977"/>
      <c r="Z1690" s="758"/>
      <c r="AA1690" s="758" t="str">
        <f t="shared" si="348"/>
        <v/>
      </c>
      <c r="AB1690" s="758" t="str">
        <f t="shared" si="349"/>
        <v/>
      </c>
      <c r="AC1690" s="758" t="str">
        <f t="shared" si="350"/>
        <v/>
      </c>
      <c r="AD1690" s="758" t="str">
        <f t="shared" si="351"/>
        <v>0</v>
      </c>
      <c r="AE1690" s="760"/>
      <c r="AF1690" s="760"/>
      <c r="AG1690" s="443"/>
      <c r="AH1690" s="443"/>
    </row>
    <row r="1691" spans="1:34">
      <c r="A1691" s="728">
        <f t="shared" si="347"/>
        <v>1684</v>
      </c>
      <c r="B1691" s="77"/>
      <c r="C1691" s="747"/>
      <c r="D1691" s="763" t="str">
        <f t="shared" si="338"/>
        <v>January</v>
      </c>
      <c r="E1691" s="763">
        <f t="shared" si="339"/>
        <v>0</v>
      </c>
      <c r="F1691" s="762">
        <f t="shared" si="340"/>
        <v>1900</v>
      </c>
      <c r="G1691" s="747"/>
      <c r="H1691" s="882"/>
      <c r="I1691" s="756"/>
      <c r="J1691" s="756"/>
      <c r="K1691" s="778">
        <f t="shared" si="341"/>
        <v>0</v>
      </c>
      <c r="L1691" s="976"/>
      <c r="M1691" s="736">
        <f t="shared" si="342"/>
        <v>0</v>
      </c>
      <c r="N1691" s="754"/>
      <c r="O1691" s="738">
        <f t="shared" si="343"/>
        <v>0</v>
      </c>
      <c r="P1691" s="757"/>
      <c r="Q1691" s="739">
        <f t="shared" si="344"/>
        <v>0</v>
      </c>
      <c r="R1691" s="757"/>
      <c r="S1691" s="755"/>
      <c r="T1691" s="277"/>
      <c r="U1691" s="758" t="str">
        <f t="shared" si="345"/>
        <v/>
      </c>
      <c r="V1691" s="758" t="str">
        <f t="shared" si="346"/>
        <v>1900</v>
      </c>
      <c r="W1691" s="759"/>
      <c r="X1691" s="771"/>
      <c r="Y1691" s="977"/>
      <c r="Z1691" s="758"/>
      <c r="AA1691" s="758" t="str">
        <f t="shared" si="348"/>
        <v/>
      </c>
      <c r="AB1691" s="758" t="str">
        <f t="shared" si="349"/>
        <v/>
      </c>
      <c r="AC1691" s="758" t="str">
        <f t="shared" si="350"/>
        <v/>
      </c>
      <c r="AD1691" s="758" t="str">
        <f t="shared" si="351"/>
        <v>0</v>
      </c>
      <c r="AE1691" s="760"/>
      <c r="AF1691" s="760"/>
      <c r="AG1691" s="443"/>
      <c r="AH1691" s="443"/>
    </row>
    <row r="1692" spans="1:34">
      <c r="A1692" s="728">
        <f t="shared" si="347"/>
        <v>1685</v>
      </c>
      <c r="B1692" s="77"/>
      <c r="C1692" s="747"/>
      <c r="D1692" s="763" t="str">
        <f t="shared" si="338"/>
        <v>January</v>
      </c>
      <c r="E1692" s="763">
        <f t="shared" si="339"/>
        <v>0</v>
      </c>
      <c r="F1692" s="762">
        <f t="shared" si="340"/>
        <v>1900</v>
      </c>
      <c r="G1692" s="747"/>
      <c r="H1692" s="882"/>
      <c r="I1692" s="756"/>
      <c r="J1692" s="756"/>
      <c r="K1692" s="778">
        <f t="shared" si="341"/>
        <v>0</v>
      </c>
      <c r="L1692" s="976"/>
      <c r="M1692" s="736">
        <f t="shared" si="342"/>
        <v>0</v>
      </c>
      <c r="N1692" s="754"/>
      <c r="O1692" s="738">
        <f t="shared" si="343"/>
        <v>0</v>
      </c>
      <c r="P1692" s="757"/>
      <c r="Q1692" s="739">
        <f t="shared" si="344"/>
        <v>0</v>
      </c>
      <c r="R1692" s="757"/>
      <c r="S1692" s="755"/>
      <c r="T1692" s="277"/>
      <c r="U1692" s="758" t="str">
        <f t="shared" si="345"/>
        <v/>
      </c>
      <c r="V1692" s="758" t="str">
        <f t="shared" si="346"/>
        <v>1900</v>
      </c>
      <c r="W1692" s="759"/>
      <c r="X1692" s="771"/>
      <c r="Y1692" s="977"/>
      <c r="Z1692" s="758"/>
      <c r="AA1692" s="758" t="str">
        <f t="shared" si="348"/>
        <v/>
      </c>
      <c r="AB1692" s="758" t="str">
        <f t="shared" si="349"/>
        <v/>
      </c>
      <c r="AC1692" s="758" t="str">
        <f t="shared" si="350"/>
        <v/>
      </c>
      <c r="AD1692" s="758" t="str">
        <f t="shared" si="351"/>
        <v>0</v>
      </c>
      <c r="AE1692" s="760"/>
      <c r="AF1692" s="760"/>
      <c r="AG1692" s="443"/>
      <c r="AH1692" s="443"/>
    </row>
    <row r="1693" spans="1:34">
      <c r="A1693" s="728">
        <f t="shared" si="347"/>
        <v>1686</v>
      </c>
      <c r="B1693" s="77"/>
      <c r="C1693" s="747"/>
      <c r="D1693" s="763" t="str">
        <f t="shared" si="338"/>
        <v>January</v>
      </c>
      <c r="E1693" s="763">
        <f t="shared" si="339"/>
        <v>0</v>
      </c>
      <c r="F1693" s="762">
        <f t="shared" si="340"/>
        <v>1900</v>
      </c>
      <c r="G1693" s="747"/>
      <c r="H1693" s="882"/>
      <c r="I1693" s="756"/>
      <c r="J1693" s="756"/>
      <c r="K1693" s="778">
        <f t="shared" si="341"/>
        <v>0</v>
      </c>
      <c r="L1693" s="976"/>
      <c r="M1693" s="736">
        <f t="shared" si="342"/>
        <v>0</v>
      </c>
      <c r="N1693" s="754"/>
      <c r="O1693" s="738">
        <f t="shared" si="343"/>
        <v>0</v>
      </c>
      <c r="P1693" s="757"/>
      <c r="Q1693" s="739">
        <f t="shared" si="344"/>
        <v>0</v>
      </c>
      <c r="R1693" s="757"/>
      <c r="S1693" s="755"/>
      <c r="T1693" s="277"/>
      <c r="U1693" s="758" t="str">
        <f t="shared" si="345"/>
        <v/>
      </c>
      <c r="V1693" s="758" t="str">
        <f t="shared" si="346"/>
        <v>1900</v>
      </c>
      <c r="W1693" s="759"/>
      <c r="X1693" s="771"/>
      <c r="Y1693" s="977"/>
      <c r="Z1693" s="758"/>
      <c r="AA1693" s="758" t="str">
        <f t="shared" si="348"/>
        <v/>
      </c>
      <c r="AB1693" s="758" t="str">
        <f t="shared" si="349"/>
        <v/>
      </c>
      <c r="AC1693" s="758" t="str">
        <f t="shared" si="350"/>
        <v/>
      </c>
      <c r="AD1693" s="758" t="str">
        <f t="shared" si="351"/>
        <v>0</v>
      </c>
      <c r="AE1693" s="760"/>
      <c r="AF1693" s="760"/>
      <c r="AG1693" s="443"/>
      <c r="AH1693" s="443"/>
    </row>
    <row r="1694" spans="1:34">
      <c r="A1694" s="728">
        <f t="shared" si="347"/>
        <v>1687</v>
      </c>
      <c r="B1694" s="77"/>
      <c r="C1694" s="747"/>
      <c r="D1694" s="763" t="str">
        <f t="shared" si="338"/>
        <v>January</v>
      </c>
      <c r="E1694" s="763">
        <f t="shared" si="339"/>
        <v>0</v>
      </c>
      <c r="F1694" s="762">
        <f t="shared" si="340"/>
        <v>1900</v>
      </c>
      <c r="G1694" s="747"/>
      <c r="H1694" s="882"/>
      <c r="I1694" s="756"/>
      <c r="J1694" s="756"/>
      <c r="K1694" s="778">
        <f t="shared" si="341"/>
        <v>0</v>
      </c>
      <c r="L1694" s="976"/>
      <c r="M1694" s="736">
        <f t="shared" si="342"/>
        <v>0</v>
      </c>
      <c r="N1694" s="754"/>
      <c r="O1694" s="738">
        <f t="shared" si="343"/>
        <v>0</v>
      </c>
      <c r="P1694" s="757"/>
      <c r="Q1694" s="739">
        <f t="shared" si="344"/>
        <v>0</v>
      </c>
      <c r="R1694" s="757"/>
      <c r="S1694" s="755"/>
      <c r="T1694" s="277"/>
      <c r="U1694" s="758" t="str">
        <f t="shared" si="345"/>
        <v/>
      </c>
      <c r="V1694" s="758" t="str">
        <f t="shared" si="346"/>
        <v>1900</v>
      </c>
      <c r="W1694" s="759"/>
      <c r="X1694" s="771"/>
      <c r="Y1694" s="977"/>
      <c r="Z1694" s="758"/>
      <c r="AA1694" s="758" t="str">
        <f t="shared" si="348"/>
        <v/>
      </c>
      <c r="AB1694" s="758" t="str">
        <f t="shared" si="349"/>
        <v/>
      </c>
      <c r="AC1694" s="758" t="str">
        <f t="shared" si="350"/>
        <v/>
      </c>
      <c r="AD1694" s="758" t="str">
        <f t="shared" si="351"/>
        <v>0</v>
      </c>
      <c r="AE1694" s="760"/>
      <c r="AF1694" s="760"/>
      <c r="AG1694" s="443"/>
      <c r="AH1694" s="443"/>
    </row>
    <row r="1695" spans="1:34">
      <c r="A1695" s="728">
        <f t="shared" si="347"/>
        <v>1688</v>
      </c>
      <c r="B1695" s="77"/>
      <c r="C1695" s="747"/>
      <c r="D1695" s="763" t="str">
        <f t="shared" si="338"/>
        <v>January</v>
      </c>
      <c r="E1695" s="763">
        <f t="shared" si="339"/>
        <v>0</v>
      </c>
      <c r="F1695" s="762">
        <f t="shared" si="340"/>
        <v>1900</v>
      </c>
      <c r="G1695" s="747"/>
      <c r="H1695" s="882"/>
      <c r="I1695" s="756"/>
      <c r="J1695" s="756"/>
      <c r="K1695" s="778">
        <f t="shared" si="341"/>
        <v>0</v>
      </c>
      <c r="L1695" s="976"/>
      <c r="M1695" s="736">
        <f t="shared" si="342"/>
        <v>0</v>
      </c>
      <c r="N1695" s="754"/>
      <c r="O1695" s="738">
        <f t="shared" si="343"/>
        <v>0</v>
      </c>
      <c r="P1695" s="757"/>
      <c r="Q1695" s="739">
        <f t="shared" si="344"/>
        <v>0</v>
      </c>
      <c r="R1695" s="757"/>
      <c r="S1695" s="755"/>
      <c r="T1695" s="277"/>
      <c r="U1695" s="758" t="str">
        <f t="shared" si="345"/>
        <v/>
      </c>
      <c r="V1695" s="758" t="str">
        <f t="shared" si="346"/>
        <v>1900</v>
      </c>
      <c r="W1695" s="759"/>
      <c r="X1695" s="771"/>
      <c r="Y1695" s="977"/>
      <c r="Z1695" s="758"/>
      <c r="AA1695" s="758" t="str">
        <f t="shared" si="348"/>
        <v/>
      </c>
      <c r="AB1695" s="758" t="str">
        <f t="shared" si="349"/>
        <v/>
      </c>
      <c r="AC1695" s="758" t="str">
        <f t="shared" si="350"/>
        <v/>
      </c>
      <c r="AD1695" s="758" t="str">
        <f t="shared" si="351"/>
        <v>0</v>
      </c>
      <c r="AE1695" s="760"/>
      <c r="AF1695" s="760"/>
      <c r="AG1695" s="443"/>
      <c r="AH1695" s="443"/>
    </row>
    <row r="1696" spans="1:34">
      <c r="A1696" s="728">
        <f t="shared" si="347"/>
        <v>1689</v>
      </c>
      <c r="B1696" s="77"/>
      <c r="C1696" s="747"/>
      <c r="D1696" s="763" t="str">
        <f t="shared" si="338"/>
        <v>January</v>
      </c>
      <c r="E1696" s="763">
        <f t="shared" si="339"/>
        <v>0</v>
      </c>
      <c r="F1696" s="762">
        <f t="shared" si="340"/>
        <v>1900</v>
      </c>
      <c r="G1696" s="747"/>
      <c r="H1696" s="882"/>
      <c r="I1696" s="756"/>
      <c r="J1696" s="756"/>
      <c r="K1696" s="778">
        <f t="shared" si="341"/>
        <v>0</v>
      </c>
      <c r="L1696" s="976"/>
      <c r="M1696" s="736">
        <f t="shared" si="342"/>
        <v>0</v>
      </c>
      <c r="N1696" s="754"/>
      <c r="O1696" s="738">
        <f t="shared" si="343"/>
        <v>0</v>
      </c>
      <c r="P1696" s="757"/>
      <c r="Q1696" s="739">
        <f t="shared" si="344"/>
        <v>0</v>
      </c>
      <c r="R1696" s="757"/>
      <c r="S1696" s="755"/>
      <c r="T1696" s="277"/>
      <c r="U1696" s="758" t="str">
        <f t="shared" si="345"/>
        <v/>
      </c>
      <c r="V1696" s="758" t="str">
        <f t="shared" si="346"/>
        <v>1900</v>
      </c>
      <c r="W1696" s="759"/>
      <c r="X1696" s="771"/>
      <c r="Y1696" s="977"/>
      <c r="Z1696" s="758"/>
      <c r="AA1696" s="758" t="str">
        <f t="shared" si="348"/>
        <v/>
      </c>
      <c r="AB1696" s="758" t="str">
        <f t="shared" si="349"/>
        <v/>
      </c>
      <c r="AC1696" s="758" t="str">
        <f t="shared" si="350"/>
        <v/>
      </c>
      <c r="AD1696" s="758" t="str">
        <f t="shared" si="351"/>
        <v>0</v>
      </c>
      <c r="AE1696" s="760"/>
      <c r="AF1696" s="760"/>
      <c r="AG1696" s="443"/>
      <c r="AH1696" s="443"/>
    </row>
    <row r="1697" spans="1:34">
      <c r="A1697" s="728">
        <f t="shared" si="347"/>
        <v>1690</v>
      </c>
      <c r="B1697" s="77"/>
      <c r="C1697" s="747"/>
      <c r="D1697" s="763" t="str">
        <f t="shared" si="338"/>
        <v>January</v>
      </c>
      <c r="E1697" s="763">
        <f t="shared" si="339"/>
        <v>0</v>
      </c>
      <c r="F1697" s="762">
        <f t="shared" si="340"/>
        <v>1900</v>
      </c>
      <c r="G1697" s="747"/>
      <c r="H1697" s="882"/>
      <c r="I1697" s="756"/>
      <c r="J1697" s="756"/>
      <c r="K1697" s="778">
        <f t="shared" si="341"/>
        <v>0</v>
      </c>
      <c r="L1697" s="976"/>
      <c r="M1697" s="736">
        <f t="shared" si="342"/>
        <v>0</v>
      </c>
      <c r="N1697" s="754"/>
      <c r="O1697" s="738">
        <f t="shared" si="343"/>
        <v>0</v>
      </c>
      <c r="P1697" s="757"/>
      <c r="Q1697" s="739">
        <f t="shared" si="344"/>
        <v>0</v>
      </c>
      <c r="R1697" s="757"/>
      <c r="S1697" s="755"/>
      <c r="T1697" s="277"/>
      <c r="U1697" s="758" t="str">
        <f t="shared" si="345"/>
        <v/>
      </c>
      <c r="V1697" s="758" t="str">
        <f t="shared" si="346"/>
        <v>1900</v>
      </c>
      <c r="W1697" s="759"/>
      <c r="X1697" s="771"/>
      <c r="Y1697" s="977"/>
      <c r="Z1697" s="758"/>
      <c r="AA1697" s="758" t="str">
        <f t="shared" si="348"/>
        <v/>
      </c>
      <c r="AB1697" s="758" t="str">
        <f t="shared" si="349"/>
        <v/>
      </c>
      <c r="AC1697" s="758" t="str">
        <f t="shared" si="350"/>
        <v/>
      </c>
      <c r="AD1697" s="758" t="str">
        <f t="shared" si="351"/>
        <v>0</v>
      </c>
      <c r="AE1697" s="760"/>
      <c r="AF1697" s="760"/>
      <c r="AG1697" s="443"/>
      <c r="AH1697" s="443"/>
    </row>
    <row r="1698" spans="1:34">
      <c r="A1698" s="728">
        <f t="shared" si="347"/>
        <v>1691</v>
      </c>
      <c r="B1698" s="77"/>
      <c r="C1698" s="747"/>
      <c r="D1698" s="763" t="str">
        <f t="shared" si="338"/>
        <v>January</v>
      </c>
      <c r="E1698" s="763">
        <f t="shared" si="339"/>
        <v>0</v>
      </c>
      <c r="F1698" s="762">
        <f t="shared" si="340"/>
        <v>1900</v>
      </c>
      <c r="G1698" s="747"/>
      <c r="H1698" s="882"/>
      <c r="I1698" s="756"/>
      <c r="J1698" s="756"/>
      <c r="K1698" s="778">
        <f t="shared" si="341"/>
        <v>0</v>
      </c>
      <c r="L1698" s="976"/>
      <c r="M1698" s="736">
        <f t="shared" si="342"/>
        <v>0</v>
      </c>
      <c r="N1698" s="754"/>
      <c r="O1698" s="738">
        <f t="shared" si="343"/>
        <v>0</v>
      </c>
      <c r="P1698" s="757"/>
      <c r="Q1698" s="739">
        <f t="shared" si="344"/>
        <v>0</v>
      </c>
      <c r="R1698" s="757"/>
      <c r="S1698" s="755"/>
      <c r="T1698" s="277"/>
      <c r="U1698" s="758" t="str">
        <f t="shared" si="345"/>
        <v/>
      </c>
      <c r="V1698" s="758" t="str">
        <f t="shared" si="346"/>
        <v>1900</v>
      </c>
      <c r="W1698" s="759"/>
      <c r="X1698" s="771"/>
      <c r="Y1698" s="977"/>
      <c r="Z1698" s="758"/>
      <c r="AA1698" s="758" t="str">
        <f t="shared" si="348"/>
        <v/>
      </c>
      <c r="AB1698" s="758" t="str">
        <f t="shared" si="349"/>
        <v/>
      </c>
      <c r="AC1698" s="758" t="str">
        <f t="shared" si="350"/>
        <v/>
      </c>
      <c r="AD1698" s="758" t="str">
        <f t="shared" si="351"/>
        <v>0</v>
      </c>
      <c r="AE1698" s="760"/>
      <c r="AF1698" s="760"/>
      <c r="AG1698" s="443"/>
      <c r="AH1698" s="443"/>
    </row>
    <row r="1699" spans="1:34">
      <c r="A1699" s="728">
        <f t="shared" si="347"/>
        <v>1692</v>
      </c>
      <c r="B1699" s="77"/>
      <c r="C1699" s="747"/>
      <c r="D1699" s="763" t="str">
        <f t="shared" si="338"/>
        <v>January</v>
      </c>
      <c r="E1699" s="763">
        <f t="shared" si="339"/>
        <v>0</v>
      </c>
      <c r="F1699" s="762">
        <f t="shared" si="340"/>
        <v>1900</v>
      </c>
      <c r="G1699" s="747"/>
      <c r="H1699" s="882"/>
      <c r="I1699" s="756"/>
      <c r="J1699" s="756"/>
      <c r="K1699" s="778">
        <f t="shared" si="341"/>
        <v>0</v>
      </c>
      <c r="L1699" s="976"/>
      <c r="M1699" s="736">
        <f t="shared" si="342"/>
        <v>0</v>
      </c>
      <c r="N1699" s="754"/>
      <c r="O1699" s="738">
        <f t="shared" si="343"/>
        <v>0</v>
      </c>
      <c r="P1699" s="757"/>
      <c r="Q1699" s="739">
        <f t="shared" si="344"/>
        <v>0</v>
      </c>
      <c r="R1699" s="757"/>
      <c r="S1699" s="755"/>
      <c r="T1699" s="277"/>
      <c r="U1699" s="758" t="str">
        <f t="shared" si="345"/>
        <v/>
      </c>
      <c r="V1699" s="758" t="str">
        <f t="shared" si="346"/>
        <v>1900</v>
      </c>
      <c r="W1699" s="759"/>
      <c r="X1699" s="771"/>
      <c r="Y1699" s="977"/>
      <c r="Z1699" s="758"/>
      <c r="AA1699" s="758" t="str">
        <f t="shared" si="348"/>
        <v/>
      </c>
      <c r="AB1699" s="758" t="str">
        <f t="shared" si="349"/>
        <v/>
      </c>
      <c r="AC1699" s="758" t="str">
        <f t="shared" si="350"/>
        <v/>
      </c>
      <c r="AD1699" s="758" t="str">
        <f t="shared" si="351"/>
        <v>0</v>
      </c>
      <c r="AE1699" s="760"/>
      <c r="AF1699" s="760"/>
      <c r="AG1699" s="443"/>
      <c r="AH1699" s="443"/>
    </row>
    <row r="1700" spans="1:34">
      <c r="A1700" s="728">
        <f t="shared" si="347"/>
        <v>1693</v>
      </c>
      <c r="B1700" s="77"/>
      <c r="C1700" s="747"/>
      <c r="D1700" s="763" t="str">
        <f t="shared" si="338"/>
        <v>January</v>
      </c>
      <c r="E1700" s="763">
        <f t="shared" si="339"/>
        <v>0</v>
      </c>
      <c r="F1700" s="762">
        <f t="shared" si="340"/>
        <v>1900</v>
      </c>
      <c r="G1700" s="747"/>
      <c r="H1700" s="882"/>
      <c r="I1700" s="756"/>
      <c r="J1700" s="756"/>
      <c r="K1700" s="778">
        <f t="shared" si="341"/>
        <v>0</v>
      </c>
      <c r="L1700" s="976"/>
      <c r="M1700" s="736">
        <f t="shared" si="342"/>
        <v>0</v>
      </c>
      <c r="N1700" s="754"/>
      <c r="O1700" s="738">
        <f t="shared" si="343"/>
        <v>0</v>
      </c>
      <c r="P1700" s="757"/>
      <c r="Q1700" s="739">
        <f t="shared" si="344"/>
        <v>0</v>
      </c>
      <c r="R1700" s="757"/>
      <c r="S1700" s="755"/>
      <c r="T1700" s="277"/>
      <c r="U1700" s="758" t="str">
        <f t="shared" si="345"/>
        <v/>
      </c>
      <c r="V1700" s="758" t="str">
        <f t="shared" si="346"/>
        <v>1900</v>
      </c>
      <c r="W1700" s="759"/>
      <c r="X1700" s="771"/>
      <c r="Y1700" s="977"/>
      <c r="Z1700" s="758"/>
      <c r="AA1700" s="758" t="str">
        <f t="shared" si="348"/>
        <v/>
      </c>
      <c r="AB1700" s="758" t="str">
        <f t="shared" si="349"/>
        <v/>
      </c>
      <c r="AC1700" s="758" t="str">
        <f t="shared" si="350"/>
        <v/>
      </c>
      <c r="AD1700" s="758" t="str">
        <f t="shared" si="351"/>
        <v>0</v>
      </c>
      <c r="AE1700" s="760"/>
      <c r="AF1700" s="760"/>
      <c r="AG1700" s="443"/>
      <c r="AH1700" s="443"/>
    </row>
    <row r="1701" spans="1:34">
      <c r="A1701" s="728">
        <f t="shared" si="347"/>
        <v>1694</v>
      </c>
      <c r="B1701" s="77"/>
      <c r="C1701" s="747"/>
      <c r="D1701" s="763" t="str">
        <f t="shared" si="338"/>
        <v>January</v>
      </c>
      <c r="E1701" s="763">
        <f t="shared" si="339"/>
        <v>0</v>
      </c>
      <c r="F1701" s="762">
        <f t="shared" si="340"/>
        <v>1900</v>
      </c>
      <c r="G1701" s="747"/>
      <c r="H1701" s="882"/>
      <c r="I1701" s="756"/>
      <c r="J1701" s="756"/>
      <c r="K1701" s="778">
        <f t="shared" si="341"/>
        <v>0</v>
      </c>
      <c r="L1701" s="976"/>
      <c r="M1701" s="736">
        <f t="shared" si="342"/>
        <v>0</v>
      </c>
      <c r="N1701" s="754"/>
      <c r="O1701" s="738">
        <f t="shared" si="343"/>
        <v>0</v>
      </c>
      <c r="P1701" s="757"/>
      <c r="Q1701" s="739">
        <f t="shared" si="344"/>
        <v>0</v>
      </c>
      <c r="R1701" s="757"/>
      <c r="S1701" s="755"/>
      <c r="T1701" s="277"/>
      <c r="U1701" s="758" t="str">
        <f t="shared" si="345"/>
        <v/>
      </c>
      <c r="V1701" s="758" t="str">
        <f t="shared" si="346"/>
        <v>1900</v>
      </c>
      <c r="W1701" s="759"/>
      <c r="X1701" s="771"/>
      <c r="Y1701" s="977"/>
      <c r="Z1701" s="758"/>
      <c r="AA1701" s="758" t="str">
        <f t="shared" si="348"/>
        <v/>
      </c>
      <c r="AB1701" s="758" t="str">
        <f t="shared" si="349"/>
        <v/>
      </c>
      <c r="AC1701" s="758" t="str">
        <f t="shared" si="350"/>
        <v/>
      </c>
      <c r="AD1701" s="758" t="str">
        <f t="shared" si="351"/>
        <v>0</v>
      </c>
      <c r="AE1701" s="760"/>
      <c r="AF1701" s="760"/>
      <c r="AG1701" s="443"/>
      <c r="AH1701" s="443"/>
    </row>
    <row r="1702" spans="1:34">
      <c r="A1702" s="728">
        <f t="shared" si="347"/>
        <v>1695</v>
      </c>
      <c r="B1702" s="77"/>
      <c r="C1702" s="747"/>
      <c r="D1702" s="763" t="str">
        <f t="shared" si="338"/>
        <v>January</v>
      </c>
      <c r="E1702" s="763">
        <f t="shared" si="339"/>
        <v>0</v>
      </c>
      <c r="F1702" s="762">
        <f t="shared" si="340"/>
        <v>1900</v>
      </c>
      <c r="G1702" s="747"/>
      <c r="H1702" s="882"/>
      <c r="I1702" s="756"/>
      <c r="J1702" s="756"/>
      <c r="K1702" s="778">
        <f t="shared" si="341"/>
        <v>0</v>
      </c>
      <c r="L1702" s="976"/>
      <c r="M1702" s="736">
        <f t="shared" si="342"/>
        <v>0</v>
      </c>
      <c r="N1702" s="754"/>
      <c r="O1702" s="738">
        <f t="shared" si="343"/>
        <v>0</v>
      </c>
      <c r="P1702" s="757"/>
      <c r="Q1702" s="739">
        <f t="shared" si="344"/>
        <v>0</v>
      </c>
      <c r="R1702" s="757"/>
      <c r="S1702" s="755"/>
      <c r="T1702" s="277"/>
      <c r="U1702" s="758" t="str">
        <f t="shared" si="345"/>
        <v/>
      </c>
      <c r="V1702" s="758" t="str">
        <f t="shared" si="346"/>
        <v>1900</v>
      </c>
      <c r="W1702" s="759"/>
      <c r="X1702" s="771"/>
      <c r="Y1702" s="977"/>
      <c r="Z1702" s="758"/>
      <c r="AA1702" s="758" t="str">
        <f t="shared" si="348"/>
        <v/>
      </c>
      <c r="AB1702" s="758" t="str">
        <f t="shared" si="349"/>
        <v/>
      </c>
      <c r="AC1702" s="758" t="str">
        <f t="shared" si="350"/>
        <v/>
      </c>
      <c r="AD1702" s="758" t="str">
        <f t="shared" si="351"/>
        <v>0</v>
      </c>
      <c r="AE1702" s="760"/>
      <c r="AF1702" s="760"/>
      <c r="AG1702" s="443"/>
      <c r="AH1702" s="443"/>
    </row>
    <row r="1703" spans="1:34">
      <c r="A1703" s="728">
        <f t="shared" si="347"/>
        <v>1696</v>
      </c>
      <c r="B1703" s="77"/>
      <c r="C1703" s="747"/>
      <c r="D1703" s="763" t="str">
        <f t="shared" si="338"/>
        <v>January</v>
      </c>
      <c r="E1703" s="763">
        <f t="shared" si="339"/>
        <v>0</v>
      </c>
      <c r="F1703" s="762">
        <f t="shared" si="340"/>
        <v>1900</v>
      </c>
      <c r="G1703" s="747"/>
      <c r="H1703" s="882"/>
      <c r="I1703" s="756"/>
      <c r="J1703" s="756"/>
      <c r="K1703" s="778">
        <f t="shared" si="341"/>
        <v>0</v>
      </c>
      <c r="L1703" s="976"/>
      <c r="M1703" s="736">
        <f t="shared" si="342"/>
        <v>0</v>
      </c>
      <c r="N1703" s="754"/>
      <c r="O1703" s="738">
        <f t="shared" si="343"/>
        <v>0</v>
      </c>
      <c r="P1703" s="757"/>
      <c r="Q1703" s="739">
        <f t="shared" si="344"/>
        <v>0</v>
      </c>
      <c r="R1703" s="757"/>
      <c r="S1703" s="755"/>
      <c r="T1703" s="277"/>
      <c r="U1703" s="758" t="str">
        <f t="shared" si="345"/>
        <v/>
      </c>
      <c r="V1703" s="758" t="str">
        <f t="shared" si="346"/>
        <v>1900</v>
      </c>
      <c r="W1703" s="759"/>
      <c r="X1703" s="771"/>
      <c r="Y1703" s="977"/>
      <c r="Z1703" s="758"/>
      <c r="AA1703" s="758" t="str">
        <f t="shared" si="348"/>
        <v/>
      </c>
      <c r="AB1703" s="758" t="str">
        <f t="shared" si="349"/>
        <v/>
      </c>
      <c r="AC1703" s="758" t="str">
        <f t="shared" si="350"/>
        <v/>
      </c>
      <c r="AD1703" s="758" t="str">
        <f t="shared" si="351"/>
        <v>0</v>
      </c>
      <c r="AE1703" s="760"/>
      <c r="AF1703" s="760"/>
      <c r="AG1703" s="443"/>
      <c r="AH1703" s="443"/>
    </row>
    <row r="1704" spans="1:34">
      <c r="A1704" s="728">
        <f t="shared" si="347"/>
        <v>1697</v>
      </c>
      <c r="B1704" s="77"/>
      <c r="C1704" s="747"/>
      <c r="D1704" s="763" t="str">
        <f t="shared" si="338"/>
        <v>January</v>
      </c>
      <c r="E1704" s="763">
        <f t="shared" si="339"/>
        <v>0</v>
      </c>
      <c r="F1704" s="762">
        <f t="shared" si="340"/>
        <v>1900</v>
      </c>
      <c r="G1704" s="747"/>
      <c r="H1704" s="882"/>
      <c r="I1704" s="756"/>
      <c r="J1704" s="756"/>
      <c r="K1704" s="778">
        <f t="shared" si="341"/>
        <v>0</v>
      </c>
      <c r="L1704" s="976"/>
      <c r="M1704" s="736">
        <f t="shared" si="342"/>
        <v>0</v>
      </c>
      <c r="N1704" s="754"/>
      <c r="O1704" s="738">
        <f t="shared" si="343"/>
        <v>0</v>
      </c>
      <c r="P1704" s="757"/>
      <c r="Q1704" s="739">
        <f t="shared" si="344"/>
        <v>0</v>
      </c>
      <c r="R1704" s="757"/>
      <c r="S1704" s="755"/>
      <c r="T1704" s="277"/>
      <c r="U1704" s="758" t="str">
        <f t="shared" si="345"/>
        <v/>
      </c>
      <c r="V1704" s="758" t="str">
        <f t="shared" si="346"/>
        <v>1900</v>
      </c>
      <c r="W1704" s="759"/>
      <c r="X1704" s="771"/>
      <c r="Y1704" s="977"/>
      <c r="Z1704" s="758"/>
      <c r="AA1704" s="758" t="str">
        <f t="shared" si="348"/>
        <v/>
      </c>
      <c r="AB1704" s="758" t="str">
        <f t="shared" si="349"/>
        <v/>
      </c>
      <c r="AC1704" s="758" t="str">
        <f t="shared" si="350"/>
        <v/>
      </c>
      <c r="AD1704" s="758" t="str">
        <f t="shared" si="351"/>
        <v>0</v>
      </c>
      <c r="AE1704" s="760"/>
      <c r="AF1704" s="760"/>
      <c r="AG1704" s="443"/>
      <c r="AH1704" s="443"/>
    </row>
    <row r="1705" spans="1:34">
      <c r="A1705" s="728">
        <f t="shared" si="347"/>
        <v>1698</v>
      </c>
      <c r="B1705" s="77"/>
      <c r="C1705" s="747"/>
      <c r="D1705" s="763" t="str">
        <f t="shared" si="338"/>
        <v>January</v>
      </c>
      <c r="E1705" s="763">
        <f t="shared" si="339"/>
        <v>0</v>
      </c>
      <c r="F1705" s="762">
        <f t="shared" si="340"/>
        <v>1900</v>
      </c>
      <c r="G1705" s="747"/>
      <c r="H1705" s="882"/>
      <c r="I1705" s="756"/>
      <c r="J1705" s="756"/>
      <c r="K1705" s="778">
        <f t="shared" si="341"/>
        <v>0</v>
      </c>
      <c r="L1705" s="976"/>
      <c r="M1705" s="736">
        <f t="shared" si="342"/>
        <v>0</v>
      </c>
      <c r="N1705" s="754"/>
      <c r="O1705" s="738">
        <f t="shared" si="343"/>
        <v>0</v>
      </c>
      <c r="P1705" s="757"/>
      <c r="Q1705" s="739">
        <f t="shared" si="344"/>
        <v>0</v>
      </c>
      <c r="R1705" s="757"/>
      <c r="S1705" s="755"/>
      <c r="T1705" s="277"/>
      <c r="U1705" s="758" t="str">
        <f t="shared" si="345"/>
        <v/>
      </c>
      <c r="V1705" s="758" t="str">
        <f t="shared" si="346"/>
        <v>1900</v>
      </c>
      <c r="W1705" s="759"/>
      <c r="X1705" s="771"/>
      <c r="Y1705" s="977"/>
      <c r="Z1705" s="758"/>
      <c r="AA1705" s="758" t="str">
        <f t="shared" si="348"/>
        <v/>
      </c>
      <c r="AB1705" s="758" t="str">
        <f t="shared" si="349"/>
        <v/>
      </c>
      <c r="AC1705" s="758" t="str">
        <f t="shared" si="350"/>
        <v/>
      </c>
      <c r="AD1705" s="758" t="str">
        <f t="shared" si="351"/>
        <v>0</v>
      </c>
      <c r="AE1705" s="760"/>
      <c r="AF1705" s="760"/>
      <c r="AG1705" s="443"/>
      <c r="AH1705" s="443"/>
    </row>
    <row r="1706" spans="1:34">
      <c r="A1706" s="728">
        <f t="shared" si="347"/>
        <v>1699</v>
      </c>
      <c r="B1706" s="77"/>
      <c r="C1706" s="747"/>
      <c r="D1706" s="763" t="str">
        <f t="shared" si="338"/>
        <v>January</v>
      </c>
      <c r="E1706" s="763">
        <f t="shared" si="339"/>
        <v>0</v>
      </c>
      <c r="F1706" s="762">
        <f t="shared" si="340"/>
        <v>1900</v>
      </c>
      <c r="G1706" s="747"/>
      <c r="H1706" s="882"/>
      <c r="I1706" s="756"/>
      <c r="J1706" s="756"/>
      <c r="K1706" s="778">
        <f t="shared" si="341"/>
        <v>0</v>
      </c>
      <c r="L1706" s="976"/>
      <c r="M1706" s="736">
        <f t="shared" si="342"/>
        <v>0</v>
      </c>
      <c r="N1706" s="754"/>
      <c r="O1706" s="738">
        <f t="shared" si="343"/>
        <v>0</v>
      </c>
      <c r="P1706" s="757"/>
      <c r="Q1706" s="739">
        <f t="shared" si="344"/>
        <v>0</v>
      </c>
      <c r="R1706" s="757"/>
      <c r="S1706" s="755"/>
      <c r="T1706" s="277"/>
      <c r="U1706" s="758" t="str">
        <f t="shared" si="345"/>
        <v/>
      </c>
      <c r="V1706" s="758" t="str">
        <f t="shared" si="346"/>
        <v>1900</v>
      </c>
      <c r="W1706" s="759"/>
      <c r="X1706" s="771"/>
      <c r="Y1706" s="977"/>
      <c r="Z1706" s="758"/>
      <c r="AA1706" s="758" t="str">
        <f t="shared" si="348"/>
        <v/>
      </c>
      <c r="AB1706" s="758" t="str">
        <f t="shared" si="349"/>
        <v/>
      </c>
      <c r="AC1706" s="758" t="str">
        <f t="shared" si="350"/>
        <v/>
      </c>
      <c r="AD1706" s="758" t="str">
        <f t="shared" si="351"/>
        <v>0</v>
      </c>
      <c r="AE1706" s="760"/>
      <c r="AF1706" s="760"/>
      <c r="AG1706" s="443"/>
      <c r="AH1706" s="443"/>
    </row>
    <row r="1707" spans="1:34">
      <c r="A1707" s="728">
        <f t="shared" si="347"/>
        <v>1700</v>
      </c>
      <c r="B1707" s="77"/>
      <c r="C1707" s="747"/>
      <c r="D1707" s="763" t="str">
        <f t="shared" si="338"/>
        <v>January</v>
      </c>
      <c r="E1707" s="763">
        <f t="shared" si="339"/>
        <v>0</v>
      </c>
      <c r="F1707" s="762">
        <f t="shared" si="340"/>
        <v>1900</v>
      </c>
      <c r="G1707" s="747"/>
      <c r="H1707" s="882"/>
      <c r="I1707" s="756"/>
      <c r="J1707" s="756"/>
      <c r="K1707" s="778">
        <f t="shared" si="341"/>
        <v>0</v>
      </c>
      <c r="L1707" s="976"/>
      <c r="M1707" s="736">
        <f t="shared" si="342"/>
        <v>0</v>
      </c>
      <c r="N1707" s="754"/>
      <c r="O1707" s="738">
        <f t="shared" si="343"/>
        <v>0</v>
      </c>
      <c r="P1707" s="757"/>
      <c r="Q1707" s="739">
        <f t="shared" si="344"/>
        <v>0</v>
      </c>
      <c r="R1707" s="757"/>
      <c r="S1707" s="755"/>
      <c r="T1707" s="277"/>
      <c r="U1707" s="758" t="str">
        <f t="shared" si="345"/>
        <v/>
      </c>
      <c r="V1707" s="758" t="str">
        <f t="shared" si="346"/>
        <v>1900</v>
      </c>
      <c r="W1707" s="759"/>
      <c r="X1707" s="771"/>
      <c r="Y1707" s="977"/>
      <c r="Z1707" s="758"/>
      <c r="AA1707" s="758" t="str">
        <f t="shared" si="348"/>
        <v/>
      </c>
      <c r="AB1707" s="758" t="str">
        <f t="shared" si="349"/>
        <v/>
      </c>
      <c r="AC1707" s="758" t="str">
        <f t="shared" si="350"/>
        <v/>
      </c>
      <c r="AD1707" s="758" t="str">
        <f t="shared" si="351"/>
        <v>0</v>
      </c>
      <c r="AE1707" s="760"/>
      <c r="AF1707" s="760"/>
      <c r="AG1707" s="443"/>
      <c r="AH1707" s="443"/>
    </row>
    <row r="1708" spans="1:34">
      <c r="A1708" s="728">
        <f t="shared" si="347"/>
        <v>1701</v>
      </c>
      <c r="B1708" s="77"/>
      <c r="C1708" s="747"/>
      <c r="D1708" s="763" t="str">
        <f t="shared" si="338"/>
        <v>January</v>
      </c>
      <c r="E1708" s="763">
        <f t="shared" si="339"/>
        <v>0</v>
      </c>
      <c r="F1708" s="762">
        <f t="shared" si="340"/>
        <v>1900</v>
      </c>
      <c r="G1708" s="747"/>
      <c r="H1708" s="882"/>
      <c r="I1708" s="756"/>
      <c r="J1708" s="756"/>
      <c r="K1708" s="778">
        <f t="shared" si="341"/>
        <v>0</v>
      </c>
      <c r="L1708" s="976"/>
      <c r="M1708" s="736">
        <f t="shared" si="342"/>
        <v>0</v>
      </c>
      <c r="N1708" s="754"/>
      <c r="O1708" s="738">
        <f t="shared" si="343"/>
        <v>0</v>
      </c>
      <c r="P1708" s="757"/>
      <c r="Q1708" s="739">
        <f t="shared" si="344"/>
        <v>0</v>
      </c>
      <c r="R1708" s="757"/>
      <c r="S1708" s="755"/>
      <c r="T1708" s="277"/>
      <c r="U1708" s="758" t="str">
        <f t="shared" si="345"/>
        <v/>
      </c>
      <c r="V1708" s="758" t="str">
        <f t="shared" si="346"/>
        <v>1900</v>
      </c>
      <c r="W1708" s="759"/>
      <c r="X1708" s="771"/>
      <c r="Y1708" s="977"/>
      <c r="Z1708" s="758"/>
      <c r="AA1708" s="758" t="str">
        <f t="shared" si="348"/>
        <v/>
      </c>
      <c r="AB1708" s="758" t="str">
        <f t="shared" si="349"/>
        <v/>
      </c>
      <c r="AC1708" s="758" t="str">
        <f t="shared" si="350"/>
        <v/>
      </c>
      <c r="AD1708" s="758" t="str">
        <f t="shared" si="351"/>
        <v>0</v>
      </c>
      <c r="AE1708" s="760"/>
      <c r="AF1708" s="760"/>
      <c r="AG1708" s="443"/>
      <c r="AH1708" s="443"/>
    </row>
    <row r="1709" spans="1:34">
      <c r="A1709" s="728">
        <f t="shared" si="347"/>
        <v>1702</v>
      </c>
      <c r="B1709" s="77"/>
      <c r="C1709" s="747"/>
      <c r="D1709" s="763" t="str">
        <f t="shared" si="338"/>
        <v>January</v>
      </c>
      <c r="E1709" s="763">
        <f t="shared" si="339"/>
        <v>0</v>
      </c>
      <c r="F1709" s="762">
        <f t="shared" si="340"/>
        <v>1900</v>
      </c>
      <c r="G1709" s="747"/>
      <c r="H1709" s="882"/>
      <c r="I1709" s="756"/>
      <c r="J1709" s="756"/>
      <c r="K1709" s="778">
        <f t="shared" si="341"/>
        <v>0</v>
      </c>
      <c r="L1709" s="976"/>
      <c r="M1709" s="736">
        <f t="shared" si="342"/>
        <v>0</v>
      </c>
      <c r="N1709" s="754"/>
      <c r="O1709" s="738">
        <f t="shared" si="343"/>
        <v>0</v>
      </c>
      <c r="P1709" s="757"/>
      <c r="Q1709" s="739">
        <f t="shared" si="344"/>
        <v>0</v>
      </c>
      <c r="R1709" s="757"/>
      <c r="S1709" s="755"/>
      <c r="T1709" s="277"/>
      <c r="U1709" s="758" t="str">
        <f t="shared" si="345"/>
        <v/>
      </c>
      <c r="V1709" s="758" t="str">
        <f t="shared" si="346"/>
        <v>1900</v>
      </c>
      <c r="W1709" s="759"/>
      <c r="X1709" s="771"/>
      <c r="Y1709" s="977"/>
      <c r="Z1709" s="758"/>
      <c r="AA1709" s="758" t="str">
        <f t="shared" si="348"/>
        <v/>
      </c>
      <c r="AB1709" s="758" t="str">
        <f t="shared" si="349"/>
        <v/>
      </c>
      <c r="AC1709" s="758" t="str">
        <f t="shared" si="350"/>
        <v/>
      </c>
      <c r="AD1709" s="758" t="str">
        <f t="shared" si="351"/>
        <v>0</v>
      </c>
      <c r="AE1709" s="760"/>
      <c r="AF1709" s="760"/>
      <c r="AG1709" s="443"/>
      <c r="AH1709" s="443"/>
    </row>
    <row r="1710" spans="1:34">
      <c r="A1710" s="728">
        <f t="shared" si="347"/>
        <v>1703</v>
      </c>
      <c r="B1710" s="77"/>
      <c r="C1710" s="747"/>
      <c r="D1710" s="763" t="str">
        <f t="shared" si="338"/>
        <v>January</v>
      </c>
      <c r="E1710" s="763">
        <f t="shared" si="339"/>
        <v>0</v>
      </c>
      <c r="F1710" s="762">
        <f t="shared" si="340"/>
        <v>1900</v>
      </c>
      <c r="G1710" s="747"/>
      <c r="H1710" s="882"/>
      <c r="I1710" s="756"/>
      <c r="J1710" s="756"/>
      <c r="K1710" s="778">
        <f t="shared" si="341"/>
        <v>0</v>
      </c>
      <c r="L1710" s="976"/>
      <c r="M1710" s="736">
        <f t="shared" si="342"/>
        <v>0</v>
      </c>
      <c r="N1710" s="754"/>
      <c r="O1710" s="738">
        <f t="shared" si="343"/>
        <v>0</v>
      </c>
      <c r="P1710" s="757"/>
      <c r="Q1710" s="739">
        <f t="shared" si="344"/>
        <v>0</v>
      </c>
      <c r="R1710" s="757"/>
      <c r="S1710" s="755"/>
      <c r="T1710" s="277"/>
      <c r="U1710" s="758" t="str">
        <f t="shared" si="345"/>
        <v/>
      </c>
      <c r="V1710" s="758" t="str">
        <f t="shared" si="346"/>
        <v>1900</v>
      </c>
      <c r="W1710" s="759"/>
      <c r="X1710" s="771"/>
      <c r="Y1710" s="977"/>
      <c r="Z1710" s="758"/>
      <c r="AA1710" s="758" t="str">
        <f t="shared" si="348"/>
        <v/>
      </c>
      <c r="AB1710" s="758" t="str">
        <f t="shared" si="349"/>
        <v/>
      </c>
      <c r="AC1710" s="758" t="str">
        <f t="shared" si="350"/>
        <v/>
      </c>
      <c r="AD1710" s="758" t="str">
        <f t="shared" si="351"/>
        <v>0</v>
      </c>
      <c r="AE1710" s="760"/>
      <c r="AF1710" s="760"/>
      <c r="AG1710" s="443"/>
      <c r="AH1710" s="443"/>
    </row>
    <row r="1711" spans="1:34">
      <c r="A1711" s="728">
        <f t="shared" si="347"/>
        <v>1704</v>
      </c>
      <c r="B1711" s="77"/>
      <c r="C1711" s="747"/>
      <c r="D1711" s="763" t="str">
        <f t="shared" si="338"/>
        <v>January</v>
      </c>
      <c r="E1711" s="763">
        <f t="shared" si="339"/>
        <v>0</v>
      </c>
      <c r="F1711" s="762">
        <f t="shared" si="340"/>
        <v>1900</v>
      </c>
      <c r="G1711" s="747"/>
      <c r="H1711" s="882"/>
      <c r="I1711" s="756"/>
      <c r="J1711" s="756"/>
      <c r="K1711" s="778">
        <f t="shared" si="341"/>
        <v>0</v>
      </c>
      <c r="L1711" s="976"/>
      <c r="M1711" s="736">
        <f t="shared" si="342"/>
        <v>0</v>
      </c>
      <c r="N1711" s="754"/>
      <c r="O1711" s="738">
        <f t="shared" si="343"/>
        <v>0</v>
      </c>
      <c r="P1711" s="757"/>
      <c r="Q1711" s="739">
        <f t="shared" si="344"/>
        <v>0</v>
      </c>
      <c r="R1711" s="757"/>
      <c r="S1711" s="755"/>
      <c r="T1711" s="277"/>
      <c r="U1711" s="758" t="str">
        <f t="shared" si="345"/>
        <v/>
      </c>
      <c r="V1711" s="758" t="str">
        <f t="shared" si="346"/>
        <v>1900</v>
      </c>
      <c r="W1711" s="759"/>
      <c r="X1711" s="771"/>
      <c r="Y1711" s="977"/>
      <c r="Z1711" s="758"/>
      <c r="AA1711" s="758" t="str">
        <f t="shared" si="348"/>
        <v/>
      </c>
      <c r="AB1711" s="758" t="str">
        <f t="shared" si="349"/>
        <v/>
      </c>
      <c r="AC1711" s="758" t="str">
        <f t="shared" si="350"/>
        <v/>
      </c>
      <c r="AD1711" s="758" t="str">
        <f t="shared" si="351"/>
        <v>0</v>
      </c>
      <c r="AE1711" s="760"/>
      <c r="AF1711" s="760"/>
      <c r="AG1711" s="443"/>
      <c r="AH1711" s="443"/>
    </row>
    <row r="1712" spans="1:34">
      <c r="A1712" s="728">
        <f t="shared" si="347"/>
        <v>1705</v>
      </c>
      <c r="B1712" s="77"/>
      <c r="C1712" s="747"/>
      <c r="D1712" s="763" t="str">
        <f t="shared" si="338"/>
        <v>January</v>
      </c>
      <c r="E1712" s="763">
        <f t="shared" si="339"/>
        <v>0</v>
      </c>
      <c r="F1712" s="762">
        <f t="shared" si="340"/>
        <v>1900</v>
      </c>
      <c r="G1712" s="747"/>
      <c r="H1712" s="882"/>
      <c r="I1712" s="756"/>
      <c r="J1712" s="756"/>
      <c r="K1712" s="778">
        <f t="shared" si="341"/>
        <v>0</v>
      </c>
      <c r="L1712" s="976"/>
      <c r="M1712" s="736">
        <f t="shared" si="342"/>
        <v>0</v>
      </c>
      <c r="N1712" s="754"/>
      <c r="O1712" s="738">
        <f t="shared" si="343"/>
        <v>0</v>
      </c>
      <c r="P1712" s="757"/>
      <c r="Q1712" s="739">
        <f t="shared" si="344"/>
        <v>0</v>
      </c>
      <c r="R1712" s="757"/>
      <c r="S1712" s="755"/>
      <c r="T1712" s="277"/>
      <c r="U1712" s="758" t="str">
        <f t="shared" si="345"/>
        <v/>
      </c>
      <c r="V1712" s="758" t="str">
        <f t="shared" si="346"/>
        <v>1900</v>
      </c>
      <c r="W1712" s="759"/>
      <c r="X1712" s="771"/>
      <c r="Y1712" s="977"/>
      <c r="Z1712" s="758"/>
      <c r="AA1712" s="758" t="str">
        <f t="shared" si="348"/>
        <v/>
      </c>
      <c r="AB1712" s="758" t="str">
        <f t="shared" si="349"/>
        <v/>
      </c>
      <c r="AC1712" s="758" t="str">
        <f t="shared" si="350"/>
        <v/>
      </c>
      <c r="AD1712" s="758" t="str">
        <f t="shared" si="351"/>
        <v>0</v>
      </c>
      <c r="AE1712" s="760"/>
      <c r="AF1712" s="760"/>
      <c r="AG1712" s="443"/>
      <c r="AH1712" s="443"/>
    </row>
    <row r="1713" spans="1:34">
      <c r="A1713" s="728">
        <f t="shared" si="347"/>
        <v>1706</v>
      </c>
      <c r="B1713" s="77"/>
      <c r="C1713" s="747"/>
      <c r="D1713" s="763" t="str">
        <f t="shared" si="338"/>
        <v>January</v>
      </c>
      <c r="E1713" s="763">
        <f t="shared" si="339"/>
        <v>0</v>
      </c>
      <c r="F1713" s="762">
        <f t="shared" si="340"/>
        <v>1900</v>
      </c>
      <c r="G1713" s="747"/>
      <c r="H1713" s="882"/>
      <c r="I1713" s="756"/>
      <c r="J1713" s="756"/>
      <c r="K1713" s="778">
        <f t="shared" si="341"/>
        <v>0</v>
      </c>
      <c r="L1713" s="976"/>
      <c r="M1713" s="736">
        <f t="shared" si="342"/>
        <v>0</v>
      </c>
      <c r="N1713" s="754"/>
      <c r="O1713" s="738">
        <f t="shared" si="343"/>
        <v>0</v>
      </c>
      <c r="P1713" s="757"/>
      <c r="Q1713" s="739">
        <f t="shared" si="344"/>
        <v>0</v>
      </c>
      <c r="R1713" s="757"/>
      <c r="S1713" s="755"/>
      <c r="T1713" s="277"/>
      <c r="U1713" s="758" t="str">
        <f t="shared" si="345"/>
        <v/>
      </c>
      <c r="V1713" s="758" t="str">
        <f t="shared" si="346"/>
        <v>1900</v>
      </c>
      <c r="W1713" s="759"/>
      <c r="X1713" s="771"/>
      <c r="Y1713" s="977"/>
      <c r="Z1713" s="758"/>
      <c r="AA1713" s="758" t="str">
        <f t="shared" si="348"/>
        <v/>
      </c>
      <c r="AB1713" s="758" t="str">
        <f t="shared" si="349"/>
        <v/>
      </c>
      <c r="AC1713" s="758" t="str">
        <f t="shared" si="350"/>
        <v/>
      </c>
      <c r="AD1713" s="758" t="str">
        <f t="shared" si="351"/>
        <v>0</v>
      </c>
      <c r="AE1713" s="760"/>
      <c r="AF1713" s="760"/>
      <c r="AG1713" s="443"/>
      <c r="AH1713" s="443"/>
    </row>
    <row r="1714" spans="1:34">
      <c r="A1714" s="728">
        <f t="shared" si="347"/>
        <v>1707</v>
      </c>
      <c r="B1714" s="77"/>
      <c r="C1714" s="747"/>
      <c r="D1714" s="763" t="str">
        <f t="shared" si="338"/>
        <v>January</v>
      </c>
      <c r="E1714" s="763">
        <f t="shared" si="339"/>
        <v>0</v>
      </c>
      <c r="F1714" s="762">
        <f t="shared" si="340"/>
        <v>1900</v>
      </c>
      <c r="G1714" s="747"/>
      <c r="H1714" s="882"/>
      <c r="I1714" s="756"/>
      <c r="J1714" s="756"/>
      <c r="K1714" s="778">
        <f t="shared" si="341"/>
        <v>0</v>
      </c>
      <c r="L1714" s="976"/>
      <c r="M1714" s="736">
        <f t="shared" si="342"/>
        <v>0</v>
      </c>
      <c r="N1714" s="754"/>
      <c r="O1714" s="738">
        <f t="shared" si="343"/>
        <v>0</v>
      </c>
      <c r="P1714" s="757"/>
      <c r="Q1714" s="739">
        <f t="shared" si="344"/>
        <v>0</v>
      </c>
      <c r="R1714" s="757"/>
      <c r="S1714" s="755"/>
      <c r="T1714" s="277"/>
      <c r="U1714" s="758" t="str">
        <f t="shared" si="345"/>
        <v/>
      </c>
      <c r="V1714" s="758" t="str">
        <f t="shared" si="346"/>
        <v>1900</v>
      </c>
      <c r="W1714" s="759"/>
      <c r="X1714" s="771"/>
      <c r="Y1714" s="977"/>
      <c r="Z1714" s="758"/>
      <c r="AA1714" s="758" t="str">
        <f t="shared" si="348"/>
        <v/>
      </c>
      <c r="AB1714" s="758" t="str">
        <f t="shared" si="349"/>
        <v/>
      </c>
      <c r="AC1714" s="758" t="str">
        <f t="shared" si="350"/>
        <v/>
      </c>
      <c r="AD1714" s="758" t="str">
        <f t="shared" si="351"/>
        <v>0</v>
      </c>
      <c r="AE1714" s="760"/>
      <c r="AF1714" s="760"/>
      <c r="AG1714" s="443"/>
      <c r="AH1714" s="443"/>
    </row>
    <row r="1715" spans="1:34">
      <c r="A1715" s="728">
        <f t="shared" si="347"/>
        <v>1708</v>
      </c>
      <c r="B1715" s="77"/>
      <c r="C1715" s="747"/>
      <c r="D1715" s="763" t="str">
        <f t="shared" si="338"/>
        <v>January</v>
      </c>
      <c r="E1715" s="763">
        <f t="shared" si="339"/>
        <v>0</v>
      </c>
      <c r="F1715" s="762">
        <f t="shared" si="340"/>
        <v>1900</v>
      </c>
      <c r="G1715" s="747"/>
      <c r="H1715" s="882"/>
      <c r="I1715" s="756"/>
      <c r="J1715" s="756"/>
      <c r="K1715" s="778">
        <f t="shared" si="341"/>
        <v>0</v>
      </c>
      <c r="L1715" s="976"/>
      <c r="M1715" s="736">
        <f t="shared" si="342"/>
        <v>0</v>
      </c>
      <c r="N1715" s="754"/>
      <c r="O1715" s="738">
        <f t="shared" si="343"/>
        <v>0</v>
      </c>
      <c r="P1715" s="757"/>
      <c r="Q1715" s="739">
        <f t="shared" si="344"/>
        <v>0</v>
      </c>
      <c r="R1715" s="757"/>
      <c r="S1715" s="755"/>
      <c r="T1715" s="277"/>
      <c r="U1715" s="758" t="str">
        <f t="shared" si="345"/>
        <v/>
      </c>
      <c r="V1715" s="758" t="str">
        <f t="shared" si="346"/>
        <v>1900</v>
      </c>
      <c r="W1715" s="759"/>
      <c r="X1715" s="771"/>
      <c r="Y1715" s="977"/>
      <c r="Z1715" s="758"/>
      <c r="AA1715" s="758" t="str">
        <f t="shared" si="348"/>
        <v/>
      </c>
      <c r="AB1715" s="758" t="str">
        <f t="shared" si="349"/>
        <v/>
      </c>
      <c r="AC1715" s="758" t="str">
        <f t="shared" si="350"/>
        <v/>
      </c>
      <c r="AD1715" s="758" t="str">
        <f t="shared" si="351"/>
        <v>0</v>
      </c>
      <c r="AE1715" s="760"/>
      <c r="AF1715" s="760"/>
      <c r="AG1715" s="443"/>
      <c r="AH1715" s="443"/>
    </row>
    <row r="1716" spans="1:34">
      <c r="A1716" s="728">
        <f t="shared" si="347"/>
        <v>1709</v>
      </c>
      <c r="B1716" s="77"/>
      <c r="C1716" s="747"/>
      <c r="D1716" s="763" t="str">
        <f t="shared" si="338"/>
        <v>January</v>
      </c>
      <c r="E1716" s="763">
        <f t="shared" si="339"/>
        <v>0</v>
      </c>
      <c r="F1716" s="762">
        <f t="shared" si="340"/>
        <v>1900</v>
      </c>
      <c r="G1716" s="747"/>
      <c r="H1716" s="882"/>
      <c r="I1716" s="756"/>
      <c r="J1716" s="756"/>
      <c r="K1716" s="778">
        <f t="shared" si="341"/>
        <v>0</v>
      </c>
      <c r="L1716" s="976"/>
      <c r="M1716" s="736">
        <f t="shared" si="342"/>
        <v>0</v>
      </c>
      <c r="N1716" s="754"/>
      <c r="O1716" s="738">
        <f t="shared" si="343"/>
        <v>0</v>
      </c>
      <c r="P1716" s="757"/>
      <c r="Q1716" s="739">
        <f t="shared" si="344"/>
        <v>0</v>
      </c>
      <c r="R1716" s="757"/>
      <c r="S1716" s="755"/>
      <c r="T1716" s="277"/>
      <c r="U1716" s="758" t="str">
        <f t="shared" si="345"/>
        <v/>
      </c>
      <c r="V1716" s="758" t="str">
        <f t="shared" si="346"/>
        <v>1900</v>
      </c>
      <c r="W1716" s="759"/>
      <c r="X1716" s="771"/>
      <c r="Y1716" s="977"/>
      <c r="Z1716" s="758"/>
      <c r="AA1716" s="758" t="str">
        <f t="shared" si="348"/>
        <v/>
      </c>
      <c r="AB1716" s="758" t="str">
        <f t="shared" si="349"/>
        <v/>
      </c>
      <c r="AC1716" s="758" t="str">
        <f t="shared" si="350"/>
        <v/>
      </c>
      <c r="AD1716" s="758" t="str">
        <f t="shared" si="351"/>
        <v>0</v>
      </c>
      <c r="AE1716" s="760"/>
      <c r="AF1716" s="760"/>
      <c r="AG1716" s="443"/>
      <c r="AH1716" s="443"/>
    </row>
    <row r="1717" spans="1:34">
      <c r="A1717" s="728">
        <f t="shared" si="347"/>
        <v>1710</v>
      </c>
      <c r="B1717" s="77"/>
      <c r="C1717" s="747"/>
      <c r="D1717" s="763" t="str">
        <f t="shared" si="338"/>
        <v>January</v>
      </c>
      <c r="E1717" s="763">
        <f t="shared" si="339"/>
        <v>0</v>
      </c>
      <c r="F1717" s="762">
        <f t="shared" si="340"/>
        <v>1900</v>
      </c>
      <c r="G1717" s="747"/>
      <c r="H1717" s="882"/>
      <c r="I1717" s="756"/>
      <c r="J1717" s="756"/>
      <c r="K1717" s="778">
        <f t="shared" si="341"/>
        <v>0</v>
      </c>
      <c r="L1717" s="976"/>
      <c r="M1717" s="736">
        <f t="shared" si="342"/>
        <v>0</v>
      </c>
      <c r="N1717" s="754"/>
      <c r="O1717" s="738">
        <f t="shared" si="343"/>
        <v>0</v>
      </c>
      <c r="P1717" s="757"/>
      <c r="Q1717" s="739">
        <f t="shared" si="344"/>
        <v>0</v>
      </c>
      <c r="R1717" s="757"/>
      <c r="S1717" s="755"/>
      <c r="T1717" s="277"/>
      <c r="U1717" s="758" t="str">
        <f t="shared" si="345"/>
        <v/>
      </c>
      <c r="V1717" s="758" t="str">
        <f t="shared" si="346"/>
        <v>1900</v>
      </c>
      <c r="W1717" s="759"/>
      <c r="X1717" s="771"/>
      <c r="Y1717" s="977"/>
      <c r="Z1717" s="758"/>
      <c r="AA1717" s="758" t="str">
        <f t="shared" si="348"/>
        <v/>
      </c>
      <c r="AB1717" s="758" t="str">
        <f t="shared" si="349"/>
        <v/>
      </c>
      <c r="AC1717" s="758" t="str">
        <f t="shared" si="350"/>
        <v/>
      </c>
      <c r="AD1717" s="758" t="str">
        <f t="shared" si="351"/>
        <v>0</v>
      </c>
      <c r="AE1717" s="760"/>
      <c r="AF1717" s="760"/>
      <c r="AG1717" s="443"/>
      <c r="AH1717" s="443"/>
    </row>
    <row r="1718" spans="1:34">
      <c r="A1718" s="728">
        <f t="shared" si="347"/>
        <v>1711</v>
      </c>
      <c r="B1718" s="77"/>
      <c r="C1718" s="747"/>
      <c r="D1718" s="763" t="str">
        <f t="shared" si="338"/>
        <v>January</v>
      </c>
      <c r="E1718" s="763">
        <f t="shared" si="339"/>
        <v>0</v>
      </c>
      <c r="F1718" s="762">
        <f t="shared" si="340"/>
        <v>1900</v>
      </c>
      <c r="G1718" s="747"/>
      <c r="H1718" s="882"/>
      <c r="I1718" s="756"/>
      <c r="J1718" s="756"/>
      <c r="K1718" s="778">
        <f t="shared" si="341"/>
        <v>0</v>
      </c>
      <c r="L1718" s="976"/>
      <c r="M1718" s="736">
        <f t="shared" si="342"/>
        <v>0</v>
      </c>
      <c r="N1718" s="754"/>
      <c r="O1718" s="738">
        <f t="shared" si="343"/>
        <v>0</v>
      </c>
      <c r="P1718" s="757"/>
      <c r="Q1718" s="739">
        <f t="shared" si="344"/>
        <v>0</v>
      </c>
      <c r="R1718" s="757"/>
      <c r="S1718" s="755"/>
      <c r="T1718" s="277"/>
      <c r="U1718" s="758" t="str">
        <f t="shared" si="345"/>
        <v/>
      </c>
      <c r="V1718" s="758" t="str">
        <f t="shared" si="346"/>
        <v>1900</v>
      </c>
      <c r="W1718" s="759"/>
      <c r="X1718" s="771"/>
      <c r="Y1718" s="977"/>
      <c r="Z1718" s="758"/>
      <c r="AA1718" s="758" t="str">
        <f t="shared" si="348"/>
        <v/>
      </c>
      <c r="AB1718" s="758" t="str">
        <f t="shared" si="349"/>
        <v/>
      </c>
      <c r="AC1718" s="758" t="str">
        <f t="shared" si="350"/>
        <v/>
      </c>
      <c r="AD1718" s="758" t="str">
        <f t="shared" si="351"/>
        <v>0</v>
      </c>
      <c r="AE1718" s="760"/>
      <c r="AF1718" s="760"/>
      <c r="AG1718" s="443"/>
      <c r="AH1718" s="443"/>
    </row>
    <row r="1719" spans="1:34">
      <c r="A1719" s="728">
        <f t="shared" si="347"/>
        <v>1712</v>
      </c>
      <c r="B1719" s="77"/>
      <c r="C1719" s="747"/>
      <c r="D1719" s="763" t="str">
        <f t="shared" si="338"/>
        <v>January</v>
      </c>
      <c r="E1719" s="763">
        <f t="shared" si="339"/>
        <v>0</v>
      </c>
      <c r="F1719" s="762">
        <f t="shared" si="340"/>
        <v>1900</v>
      </c>
      <c r="G1719" s="747"/>
      <c r="H1719" s="882"/>
      <c r="I1719" s="756"/>
      <c r="J1719" s="756"/>
      <c r="K1719" s="778">
        <f t="shared" si="341"/>
        <v>0</v>
      </c>
      <c r="L1719" s="976"/>
      <c r="M1719" s="736">
        <f t="shared" si="342"/>
        <v>0</v>
      </c>
      <c r="N1719" s="754"/>
      <c r="O1719" s="738">
        <f t="shared" si="343"/>
        <v>0</v>
      </c>
      <c r="P1719" s="757"/>
      <c r="Q1719" s="739">
        <f t="shared" si="344"/>
        <v>0</v>
      </c>
      <c r="R1719" s="757"/>
      <c r="S1719" s="755"/>
      <c r="T1719" s="277"/>
      <c r="U1719" s="758" t="str">
        <f t="shared" si="345"/>
        <v/>
      </c>
      <c r="V1719" s="758" t="str">
        <f t="shared" si="346"/>
        <v>1900</v>
      </c>
      <c r="W1719" s="759"/>
      <c r="X1719" s="771"/>
      <c r="Y1719" s="977"/>
      <c r="Z1719" s="758"/>
      <c r="AA1719" s="758" t="str">
        <f t="shared" si="348"/>
        <v/>
      </c>
      <c r="AB1719" s="758" t="str">
        <f t="shared" si="349"/>
        <v/>
      </c>
      <c r="AC1719" s="758" t="str">
        <f t="shared" si="350"/>
        <v/>
      </c>
      <c r="AD1719" s="758" t="str">
        <f t="shared" si="351"/>
        <v>0</v>
      </c>
      <c r="AE1719" s="760"/>
      <c r="AF1719" s="760"/>
      <c r="AG1719" s="443"/>
      <c r="AH1719" s="443"/>
    </row>
    <row r="1720" spans="1:34">
      <c r="A1720" s="728">
        <f t="shared" si="347"/>
        <v>1713</v>
      </c>
      <c r="B1720" s="77"/>
      <c r="C1720" s="747"/>
      <c r="D1720" s="763" t="str">
        <f t="shared" si="338"/>
        <v>January</v>
      </c>
      <c r="E1720" s="763">
        <f t="shared" si="339"/>
        <v>0</v>
      </c>
      <c r="F1720" s="762">
        <f t="shared" si="340"/>
        <v>1900</v>
      </c>
      <c r="G1720" s="747"/>
      <c r="H1720" s="882"/>
      <c r="I1720" s="756"/>
      <c r="J1720" s="756"/>
      <c r="K1720" s="778">
        <f t="shared" si="341"/>
        <v>0</v>
      </c>
      <c r="L1720" s="976"/>
      <c r="M1720" s="736">
        <f t="shared" si="342"/>
        <v>0</v>
      </c>
      <c r="N1720" s="754"/>
      <c r="O1720" s="738">
        <f t="shared" si="343"/>
        <v>0</v>
      </c>
      <c r="P1720" s="757"/>
      <c r="Q1720" s="739">
        <f t="shared" si="344"/>
        <v>0</v>
      </c>
      <c r="R1720" s="757"/>
      <c r="S1720" s="755"/>
      <c r="T1720" s="277"/>
      <c r="U1720" s="758" t="str">
        <f t="shared" si="345"/>
        <v/>
      </c>
      <c r="V1720" s="758" t="str">
        <f t="shared" si="346"/>
        <v>1900</v>
      </c>
      <c r="W1720" s="759"/>
      <c r="X1720" s="771"/>
      <c r="Y1720" s="977"/>
      <c r="Z1720" s="758"/>
      <c r="AA1720" s="758" t="str">
        <f t="shared" si="348"/>
        <v/>
      </c>
      <c r="AB1720" s="758" t="str">
        <f t="shared" si="349"/>
        <v/>
      </c>
      <c r="AC1720" s="758" t="str">
        <f t="shared" si="350"/>
        <v/>
      </c>
      <c r="AD1720" s="758" t="str">
        <f t="shared" si="351"/>
        <v>0</v>
      </c>
      <c r="AE1720" s="760"/>
      <c r="AF1720" s="760"/>
      <c r="AG1720" s="443"/>
      <c r="AH1720" s="443"/>
    </row>
    <row r="1721" spans="1:34">
      <c r="A1721" s="728">
        <f t="shared" si="347"/>
        <v>1714</v>
      </c>
      <c r="B1721" s="77"/>
      <c r="C1721" s="747"/>
      <c r="D1721" s="763" t="str">
        <f t="shared" ref="D1721:D1784" si="352">TEXT(C1721,"mmmm")</f>
        <v>January</v>
      </c>
      <c r="E1721" s="763">
        <f t="shared" ref="E1721:E1784" si="353">DAY(C1721)</f>
        <v>0</v>
      </c>
      <c r="F1721" s="762">
        <f t="shared" ref="F1721:F1784" si="354">YEAR(C1721)</f>
        <v>1900</v>
      </c>
      <c r="G1721" s="747"/>
      <c r="H1721" s="882"/>
      <c r="I1721" s="756"/>
      <c r="J1721" s="756"/>
      <c r="K1721" s="778">
        <f t="shared" ref="K1721:K1784" si="355">+(I1721/1760)*J1721</f>
        <v>0</v>
      </c>
      <c r="L1721" s="976"/>
      <c r="M1721" s="736">
        <f t="shared" ref="M1721:M1784" si="356">HOUR(O1721)</f>
        <v>0</v>
      </c>
      <c r="N1721" s="754"/>
      <c r="O1721" s="738">
        <f t="shared" ref="O1721:O1784" si="357">+N1721</f>
        <v>0</v>
      </c>
      <c r="P1721" s="757"/>
      <c r="Q1721" s="739">
        <f t="shared" ref="Q1721:Q1784" si="358">+P1721-O1721</f>
        <v>0</v>
      </c>
      <c r="R1721" s="757"/>
      <c r="S1721" s="755"/>
      <c r="T1721" s="277"/>
      <c r="U1721" s="758" t="str">
        <f t="shared" si="345"/>
        <v/>
      </c>
      <c r="V1721" s="758" t="str">
        <f t="shared" si="346"/>
        <v>1900</v>
      </c>
      <c r="W1721" s="759"/>
      <c r="X1721" s="771"/>
      <c r="Y1721" s="977"/>
      <c r="Z1721" s="758"/>
      <c r="AA1721" s="758" t="str">
        <f t="shared" si="348"/>
        <v/>
      </c>
      <c r="AB1721" s="758" t="str">
        <f t="shared" si="349"/>
        <v/>
      </c>
      <c r="AC1721" s="758" t="str">
        <f t="shared" si="350"/>
        <v/>
      </c>
      <c r="AD1721" s="758" t="str">
        <f t="shared" si="351"/>
        <v>0</v>
      </c>
      <c r="AE1721" s="760"/>
      <c r="AF1721" s="760"/>
      <c r="AG1721" s="443"/>
      <c r="AH1721" s="443"/>
    </row>
    <row r="1722" spans="1:34">
      <c r="A1722" s="728">
        <f t="shared" si="347"/>
        <v>1715</v>
      </c>
      <c r="B1722" s="77"/>
      <c r="C1722" s="747"/>
      <c r="D1722" s="763" t="str">
        <f t="shared" si="352"/>
        <v>January</v>
      </c>
      <c r="E1722" s="763">
        <f t="shared" si="353"/>
        <v>0</v>
      </c>
      <c r="F1722" s="762">
        <f t="shared" si="354"/>
        <v>1900</v>
      </c>
      <c r="G1722" s="747"/>
      <c r="H1722" s="882"/>
      <c r="I1722" s="756"/>
      <c r="J1722" s="756"/>
      <c r="K1722" s="778">
        <f t="shared" si="355"/>
        <v>0</v>
      </c>
      <c r="L1722" s="976"/>
      <c r="M1722" s="736">
        <f t="shared" si="356"/>
        <v>0</v>
      </c>
      <c r="N1722" s="754"/>
      <c r="O1722" s="738">
        <f t="shared" si="357"/>
        <v>0</v>
      </c>
      <c r="P1722" s="757"/>
      <c r="Q1722" s="739">
        <f t="shared" si="358"/>
        <v>0</v>
      </c>
      <c r="R1722" s="757"/>
      <c r="S1722" s="755"/>
      <c r="T1722" s="277"/>
      <c r="U1722" s="758" t="str">
        <f t="shared" si="345"/>
        <v/>
      </c>
      <c r="V1722" s="758" t="str">
        <f t="shared" si="346"/>
        <v>1900</v>
      </c>
      <c r="W1722" s="759"/>
      <c r="X1722" s="771"/>
      <c r="Y1722" s="977"/>
      <c r="Z1722" s="758"/>
      <c r="AA1722" s="758" t="str">
        <f t="shared" si="348"/>
        <v/>
      </c>
      <c r="AB1722" s="758" t="str">
        <f t="shared" si="349"/>
        <v/>
      </c>
      <c r="AC1722" s="758" t="str">
        <f t="shared" si="350"/>
        <v/>
      </c>
      <c r="AD1722" s="758" t="str">
        <f t="shared" si="351"/>
        <v>0</v>
      </c>
      <c r="AE1722" s="760"/>
      <c r="AF1722" s="760"/>
      <c r="AG1722" s="443"/>
      <c r="AH1722" s="443"/>
    </row>
    <row r="1723" spans="1:34">
      <c r="A1723" s="728">
        <f t="shared" si="347"/>
        <v>1716</v>
      </c>
      <c r="B1723" s="77"/>
      <c r="C1723" s="747"/>
      <c r="D1723" s="763" t="str">
        <f t="shared" si="352"/>
        <v>January</v>
      </c>
      <c r="E1723" s="763">
        <f t="shared" si="353"/>
        <v>0</v>
      </c>
      <c r="F1723" s="762">
        <f t="shared" si="354"/>
        <v>1900</v>
      </c>
      <c r="G1723" s="747"/>
      <c r="H1723" s="882"/>
      <c r="I1723" s="756"/>
      <c r="J1723" s="756"/>
      <c r="K1723" s="778">
        <f t="shared" si="355"/>
        <v>0</v>
      </c>
      <c r="L1723" s="976"/>
      <c r="M1723" s="736">
        <f t="shared" si="356"/>
        <v>0</v>
      </c>
      <c r="N1723" s="754"/>
      <c r="O1723" s="738">
        <f t="shared" si="357"/>
        <v>0</v>
      </c>
      <c r="P1723" s="757"/>
      <c r="Q1723" s="739">
        <f t="shared" si="358"/>
        <v>0</v>
      </c>
      <c r="R1723" s="757"/>
      <c r="S1723" s="755"/>
      <c r="T1723" s="277"/>
      <c r="U1723" s="758" t="str">
        <f t="shared" si="345"/>
        <v/>
      </c>
      <c r="V1723" s="758" t="str">
        <f t="shared" si="346"/>
        <v>1900</v>
      </c>
      <c r="W1723" s="759"/>
      <c r="X1723" s="771"/>
      <c r="Y1723" s="977"/>
      <c r="Z1723" s="758"/>
      <c r="AA1723" s="758" t="str">
        <f t="shared" si="348"/>
        <v/>
      </c>
      <c r="AB1723" s="758" t="str">
        <f t="shared" si="349"/>
        <v/>
      </c>
      <c r="AC1723" s="758" t="str">
        <f t="shared" si="350"/>
        <v/>
      </c>
      <c r="AD1723" s="758" t="str">
        <f t="shared" si="351"/>
        <v>0</v>
      </c>
      <c r="AE1723" s="760"/>
      <c r="AF1723" s="760"/>
      <c r="AG1723" s="443"/>
      <c r="AH1723" s="443"/>
    </row>
    <row r="1724" spans="1:34">
      <c r="A1724" s="728">
        <f t="shared" si="347"/>
        <v>1717</v>
      </c>
      <c r="B1724" s="77"/>
      <c r="C1724" s="747"/>
      <c r="D1724" s="763" t="str">
        <f t="shared" si="352"/>
        <v>January</v>
      </c>
      <c r="E1724" s="763">
        <f t="shared" si="353"/>
        <v>0</v>
      </c>
      <c r="F1724" s="762">
        <f t="shared" si="354"/>
        <v>1900</v>
      </c>
      <c r="G1724" s="747"/>
      <c r="H1724" s="882"/>
      <c r="I1724" s="756"/>
      <c r="J1724" s="756"/>
      <c r="K1724" s="778">
        <f t="shared" si="355"/>
        <v>0</v>
      </c>
      <c r="L1724" s="976"/>
      <c r="M1724" s="736">
        <f t="shared" si="356"/>
        <v>0</v>
      </c>
      <c r="N1724" s="754"/>
      <c r="O1724" s="738">
        <f t="shared" si="357"/>
        <v>0</v>
      </c>
      <c r="P1724" s="757"/>
      <c r="Q1724" s="739">
        <f t="shared" si="358"/>
        <v>0</v>
      </c>
      <c r="R1724" s="757"/>
      <c r="S1724" s="755"/>
      <c r="T1724" s="277"/>
      <c r="U1724" s="758" t="str">
        <f t="shared" si="345"/>
        <v/>
      </c>
      <c r="V1724" s="758" t="str">
        <f t="shared" si="346"/>
        <v>1900</v>
      </c>
      <c r="W1724" s="759"/>
      <c r="X1724" s="771"/>
      <c r="Y1724" s="977"/>
      <c r="Z1724" s="758"/>
      <c r="AA1724" s="758" t="str">
        <f t="shared" si="348"/>
        <v/>
      </c>
      <c r="AB1724" s="758" t="str">
        <f t="shared" si="349"/>
        <v/>
      </c>
      <c r="AC1724" s="758" t="str">
        <f t="shared" si="350"/>
        <v/>
      </c>
      <c r="AD1724" s="758" t="str">
        <f t="shared" si="351"/>
        <v>0</v>
      </c>
      <c r="AE1724" s="760"/>
      <c r="AF1724" s="760"/>
      <c r="AG1724" s="443"/>
      <c r="AH1724" s="443"/>
    </row>
    <row r="1725" spans="1:34">
      <c r="A1725" s="728">
        <f t="shared" si="347"/>
        <v>1718</v>
      </c>
      <c r="B1725" s="77"/>
      <c r="C1725" s="747"/>
      <c r="D1725" s="763" t="str">
        <f t="shared" si="352"/>
        <v>January</v>
      </c>
      <c r="E1725" s="763">
        <f t="shared" si="353"/>
        <v>0</v>
      </c>
      <c r="F1725" s="762">
        <f t="shared" si="354"/>
        <v>1900</v>
      </c>
      <c r="G1725" s="747"/>
      <c r="H1725" s="882"/>
      <c r="I1725" s="756"/>
      <c r="J1725" s="756"/>
      <c r="K1725" s="778">
        <f t="shared" si="355"/>
        <v>0</v>
      </c>
      <c r="L1725" s="976"/>
      <c r="M1725" s="736">
        <f t="shared" si="356"/>
        <v>0</v>
      </c>
      <c r="N1725" s="754"/>
      <c r="O1725" s="738">
        <f t="shared" si="357"/>
        <v>0</v>
      </c>
      <c r="P1725" s="757"/>
      <c r="Q1725" s="739">
        <f t="shared" si="358"/>
        <v>0</v>
      </c>
      <c r="R1725" s="757"/>
      <c r="S1725" s="755"/>
      <c r="T1725" s="277"/>
      <c r="U1725" s="758" t="str">
        <f t="shared" si="345"/>
        <v/>
      </c>
      <c r="V1725" s="758" t="str">
        <f t="shared" si="346"/>
        <v>1900</v>
      </c>
      <c r="W1725" s="759"/>
      <c r="X1725" s="771"/>
      <c r="Y1725" s="977"/>
      <c r="Z1725" s="758"/>
      <c r="AA1725" s="758" t="str">
        <f t="shared" si="348"/>
        <v/>
      </c>
      <c r="AB1725" s="758" t="str">
        <f t="shared" si="349"/>
        <v/>
      </c>
      <c r="AC1725" s="758" t="str">
        <f t="shared" si="350"/>
        <v/>
      </c>
      <c r="AD1725" s="758" t="str">
        <f t="shared" si="351"/>
        <v>0</v>
      </c>
      <c r="AE1725" s="760"/>
      <c r="AF1725" s="760"/>
      <c r="AG1725" s="443"/>
      <c r="AH1725" s="443"/>
    </row>
    <row r="1726" spans="1:34">
      <c r="A1726" s="728">
        <f t="shared" si="347"/>
        <v>1719</v>
      </c>
      <c r="B1726" s="77"/>
      <c r="C1726" s="747"/>
      <c r="D1726" s="763" t="str">
        <f t="shared" si="352"/>
        <v>January</v>
      </c>
      <c r="E1726" s="763">
        <f t="shared" si="353"/>
        <v>0</v>
      </c>
      <c r="F1726" s="762">
        <f t="shared" si="354"/>
        <v>1900</v>
      </c>
      <c r="G1726" s="747"/>
      <c r="H1726" s="882"/>
      <c r="I1726" s="756"/>
      <c r="J1726" s="756"/>
      <c r="K1726" s="778">
        <f t="shared" si="355"/>
        <v>0</v>
      </c>
      <c r="L1726" s="976"/>
      <c r="M1726" s="736">
        <f t="shared" si="356"/>
        <v>0</v>
      </c>
      <c r="N1726" s="754"/>
      <c r="O1726" s="738">
        <f t="shared" si="357"/>
        <v>0</v>
      </c>
      <c r="P1726" s="757"/>
      <c r="Q1726" s="739">
        <f t="shared" si="358"/>
        <v>0</v>
      </c>
      <c r="R1726" s="757"/>
      <c r="S1726" s="755"/>
      <c r="T1726" s="277"/>
      <c r="U1726" s="758" t="str">
        <f t="shared" si="345"/>
        <v/>
      </c>
      <c r="V1726" s="758" t="str">
        <f t="shared" si="346"/>
        <v>1900</v>
      </c>
      <c r="W1726" s="759"/>
      <c r="X1726" s="771"/>
      <c r="Y1726" s="977"/>
      <c r="Z1726" s="758"/>
      <c r="AA1726" s="758" t="str">
        <f t="shared" si="348"/>
        <v/>
      </c>
      <c r="AB1726" s="758" t="str">
        <f t="shared" si="349"/>
        <v/>
      </c>
      <c r="AC1726" s="758" t="str">
        <f t="shared" si="350"/>
        <v/>
      </c>
      <c r="AD1726" s="758" t="str">
        <f t="shared" si="351"/>
        <v>0</v>
      </c>
      <c r="AE1726" s="760"/>
      <c r="AF1726" s="760"/>
      <c r="AG1726" s="443"/>
      <c r="AH1726" s="443"/>
    </row>
    <row r="1727" spans="1:34">
      <c r="A1727" s="728">
        <f t="shared" si="347"/>
        <v>1720</v>
      </c>
      <c r="B1727" s="77"/>
      <c r="C1727" s="747"/>
      <c r="D1727" s="763" t="str">
        <f t="shared" si="352"/>
        <v>January</v>
      </c>
      <c r="E1727" s="763">
        <f t="shared" si="353"/>
        <v>0</v>
      </c>
      <c r="F1727" s="762">
        <f t="shared" si="354"/>
        <v>1900</v>
      </c>
      <c r="G1727" s="747"/>
      <c r="H1727" s="882"/>
      <c r="I1727" s="756"/>
      <c r="J1727" s="756"/>
      <c r="K1727" s="778">
        <f t="shared" si="355"/>
        <v>0</v>
      </c>
      <c r="L1727" s="976"/>
      <c r="M1727" s="736">
        <f t="shared" si="356"/>
        <v>0</v>
      </c>
      <c r="N1727" s="754"/>
      <c r="O1727" s="738">
        <f t="shared" si="357"/>
        <v>0</v>
      </c>
      <c r="P1727" s="757"/>
      <c r="Q1727" s="739">
        <f t="shared" si="358"/>
        <v>0</v>
      </c>
      <c r="R1727" s="757"/>
      <c r="S1727" s="755"/>
      <c r="T1727" s="277"/>
      <c r="U1727" s="758" t="str">
        <f t="shared" si="345"/>
        <v/>
      </c>
      <c r="V1727" s="758" t="str">
        <f t="shared" si="346"/>
        <v>1900</v>
      </c>
      <c r="W1727" s="759"/>
      <c r="X1727" s="771"/>
      <c r="Y1727" s="977"/>
      <c r="Z1727" s="758"/>
      <c r="AA1727" s="758" t="str">
        <f t="shared" si="348"/>
        <v/>
      </c>
      <c r="AB1727" s="758" t="str">
        <f t="shared" si="349"/>
        <v/>
      </c>
      <c r="AC1727" s="758" t="str">
        <f t="shared" si="350"/>
        <v/>
      </c>
      <c r="AD1727" s="758" t="str">
        <f t="shared" si="351"/>
        <v>0</v>
      </c>
      <c r="AE1727" s="760"/>
      <c r="AF1727" s="760"/>
      <c r="AG1727" s="443"/>
      <c r="AH1727" s="443"/>
    </row>
    <row r="1728" spans="1:34">
      <c r="A1728" s="728">
        <f t="shared" si="347"/>
        <v>1721</v>
      </c>
      <c r="B1728" s="77"/>
      <c r="C1728" s="747"/>
      <c r="D1728" s="763" t="str">
        <f t="shared" si="352"/>
        <v>January</v>
      </c>
      <c r="E1728" s="763">
        <f t="shared" si="353"/>
        <v>0</v>
      </c>
      <c r="F1728" s="762">
        <f t="shared" si="354"/>
        <v>1900</v>
      </c>
      <c r="G1728" s="747"/>
      <c r="H1728" s="882"/>
      <c r="I1728" s="756"/>
      <c r="J1728" s="756"/>
      <c r="K1728" s="778">
        <f t="shared" si="355"/>
        <v>0</v>
      </c>
      <c r="L1728" s="976"/>
      <c r="M1728" s="736">
        <f t="shared" si="356"/>
        <v>0</v>
      </c>
      <c r="N1728" s="754"/>
      <c r="O1728" s="738">
        <f t="shared" si="357"/>
        <v>0</v>
      </c>
      <c r="P1728" s="757"/>
      <c r="Q1728" s="739">
        <f t="shared" si="358"/>
        <v>0</v>
      </c>
      <c r="R1728" s="757"/>
      <c r="S1728" s="755"/>
      <c r="T1728" s="277"/>
      <c r="U1728" s="758" t="str">
        <f t="shared" si="345"/>
        <v/>
      </c>
      <c r="V1728" s="758" t="str">
        <f t="shared" si="346"/>
        <v>1900</v>
      </c>
      <c r="W1728" s="759"/>
      <c r="X1728" s="771"/>
      <c r="Y1728" s="977"/>
      <c r="Z1728" s="758"/>
      <c r="AA1728" s="758" t="str">
        <f t="shared" si="348"/>
        <v/>
      </c>
      <c r="AB1728" s="758" t="str">
        <f t="shared" si="349"/>
        <v/>
      </c>
      <c r="AC1728" s="758" t="str">
        <f t="shared" si="350"/>
        <v/>
      </c>
      <c r="AD1728" s="758" t="str">
        <f t="shared" si="351"/>
        <v>0</v>
      </c>
      <c r="AE1728" s="760"/>
      <c r="AF1728" s="760"/>
      <c r="AG1728" s="443"/>
      <c r="AH1728" s="443"/>
    </row>
    <row r="1729" spans="1:34">
      <c r="A1729" s="728">
        <f t="shared" si="347"/>
        <v>1722</v>
      </c>
      <c r="B1729" s="77"/>
      <c r="C1729" s="747"/>
      <c r="D1729" s="763" t="str">
        <f t="shared" si="352"/>
        <v>January</v>
      </c>
      <c r="E1729" s="763">
        <f t="shared" si="353"/>
        <v>0</v>
      </c>
      <c r="F1729" s="762">
        <f t="shared" si="354"/>
        <v>1900</v>
      </c>
      <c r="G1729" s="747"/>
      <c r="H1729" s="882"/>
      <c r="I1729" s="756"/>
      <c r="J1729" s="756"/>
      <c r="K1729" s="778">
        <f t="shared" si="355"/>
        <v>0</v>
      </c>
      <c r="L1729" s="976"/>
      <c r="M1729" s="736">
        <f t="shared" si="356"/>
        <v>0</v>
      </c>
      <c r="N1729" s="754"/>
      <c r="O1729" s="738">
        <f t="shared" si="357"/>
        <v>0</v>
      </c>
      <c r="P1729" s="757"/>
      <c r="Q1729" s="739">
        <f t="shared" si="358"/>
        <v>0</v>
      </c>
      <c r="R1729" s="757"/>
      <c r="S1729" s="755"/>
      <c r="T1729" s="277"/>
      <c r="U1729" s="758" t="str">
        <f t="shared" si="345"/>
        <v/>
      </c>
      <c r="V1729" s="758" t="str">
        <f t="shared" si="346"/>
        <v>1900</v>
      </c>
      <c r="W1729" s="759"/>
      <c r="X1729" s="771"/>
      <c r="Y1729" s="977"/>
      <c r="Z1729" s="758"/>
      <c r="AA1729" s="758" t="str">
        <f t="shared" si="348"/>
        <v/>
      </c>
      <c r="AB1729" s="758" t="str">
        <f t="shared" si="349"/>
        <v/>
      </c>
      <c r="AC1729" s="758" t="str">
        <f t="shared" si="350"/>
        <v/>
      </c>
      <c r="AD1729" s="758" t="str">
        <f t="shared" si="351"/>
        <v>0</v>
      </c>
      <c r="AE1729" s="760"/>
      <c r="AF1729" s="760"/>
      <c r="AG1729" s="443"/>
      <c r="AH1729" s="443"/>
    </row>
    <row r="1730" spans="1:34">
      <c r="A1730" s="728">
        <f t="shared" si="347"/>
        <v>1723</v>
      </c>
      <c r="B1730" s="77"/>
      <c r="C1730" s="747"/>
      <c r="D1730" s="763" t="str">
        <f t="shared" si="352"/>
        <v>January</v>
      </c>
      <c r="E1730" s="763">
        <f t="shared" si="353"/>
        <v>0</v>
      </c>
      <c r="F1730" s="762">
        <f t="shared" si="354"/>
        <v>1900</v>
      </c>
      <c r="G1730" s="747"/>
      <c r="H1730" s="882"/>
      <c r="I1730" s="756"/>
      <c r="J1730" s="756"/>
      <c r="K1730" s="778">
        <f t="shared" si="355"/>
        <v>0</v>
      </c>
      <c r="L1730" s="976"/>
      <c r="M1730" s="736">
        <f t="shared" si="356"/>
        <v>0</v>
      </c>
      <c r="N1730" s="754"/>
      <c r="O1730" s="738">
        <f t="shared" si="357"/>
        <v>0</v>
      </c>
      <c r="P1730" s="757"/>
      <c r="Q1730" s="739">
        <f t="shared" si="358"/>
        <v>0</v>
      </c>
      <c r="R1730" s="757"/>
      <c r="S1730" s="755"/>
      <c r="T1730" s="277"/>
      <c r="U1730" s="758" t="str">
        <f t="shared" si="345"/>
        <v/>
      </c>
      <c r="V1730" s="758" t="str">
        <f t="shared" si="346"/>
        <v>1900</v>
      </c>
      <c r="W1730" s="759"/>
      <c r="X1730" s="771"/>
      <c r="Y1730" s="977"/>
      <c r="Z1730" s="758"/>
      <c r="AA1730" s="758" t="str">
        <f t="shared" si="348"/>
        <v/>
      </c>
      <c r="AB1730" s="758" t="str">
        <f t="shared" si="349"/>
        <v/>
      </c>
      <c r="AC1730" s="758" t="str">
        <f t="shared" si="350"/>
        <v/>
      </c>
      <c r="AD1730" s="758" t="str">
        <f t="shared" si="351"/>
        <v>0</v>
      </c>
      <c r="AE1730" s="760"/>
      <c r="AF1730" s="760"/>
      <c r="AG1730" s="443"/>
      <c r="AH1730" s="443"/>
    </row>
    <row r="1731" spans="1:34">
      <c r="A1731" s="728">
        <f t="shared" si="347"/>
        <v>1724</v>
      </c>
      <c r="B1731" s="77"/>
      <c r="C1731" s="747"/>
      <c r="D1731" s="763" t="str">
        <f t="shared" si="352"/>
        <v>January</v>
      </c>
      <c r="E1731" s="763">
        <f t="shared" si="353"/>
        <v>0</v>
      </c>
      <c r="F1731" s="762">
        <f t="shared" si="354"/>
        <v>1900</v>
      </c>
      <c r="G1731" s="747"/>
      <c r="H1731" s="882"/>
      <c r="I1731" s="756"/>
      <c r="J1731" s="756"/>
      <c r="K1731" s="778">
        <f t="shared" si="355"/>
        <v>0</v>
      </c>
      <c r="L1731" s="976"/>
      <c r="M1731" s="736">
        <f t="shared" si="356"/>
        <v>0</v>
      </c>
      <c r="N1731" s="754"/>
      <c r="O1731" s="738">
        <f t="shared" si="357"/>
        <v>0</v>
      </c>
      <c r="P1731" s="757"/>
      <c r="Q1731" s="739">
        <f t="shared" si="358"/>
        <v>0</v>
      </c>
      <c r="R1731" s="757"/>
      <c r="S1731" s="755"/>
      <c r="T1731" s="277"/>
      <c r="U1731" s="758" t="str">
        <f t="shared" si="345"/>
        <v/>
      </c>
      <c r="V1731" s="758" t="str">
        <f t="shared" si="346"/>
        <v>1900</v>
      </c>
      <c r="W1731" s="759"/>
      <c r="X1731" s="771"/>
      <c r="Y1731" s="977"/>
      <c r="Z1731" s="758"/>
      <c r="AA1731" s="758" t="str">
        <f t="shared" si="348"/>
        <v/>
      </c>
      <c r="AB1731" s="758" t="str">
        <f t="shared" si="349"/>
        <v/>
      </c>
      <c r="AC1731" s="758" t="str">
        <f t="shared" si="350"/>
        <v/>
      </c>
      <c r="AD1731" s="758" t="str">
        <f t="shared" si="351"/>
        <v>0</v>
      </c>
      <c r="AE1731" s="760"/>
      <c r="AF1731" s="760"/>
      <c r="AG1731" s="443"/>
      <c r="AH1731" s="443"/>
    </row>
    <row r="1732" spans="1:34">
      <c r="A1732" s="728">
        <f t="shared" si="347"/>
        <v>1725</v>
      </c>
      <c r="B1732" s="77"/>
      <c r="C1732" s="747"/>
      <c r="D1732" s="763" t="str">
        <f t="shared" si="352"/>
        <v>January</v>
      </c>
      <c r="E1732" s="763">
        <f t="shared" si="353"/>
        <v>0</v>
      </c>
      <c r="F1732" s="762">
        <f t="shared" si="354"/>
        <v>1900</v>
      </c>
      <c r="G1732" s="747"/>
      <c r="H1732" s="882"/>
      <c r="I1732" s="756"/>
      <c r="J1732" s="756"/>
      <c r="K1732" s="778">
        <f t="shared" si="355"/>
        <v>0</v>
      </c>
      <c r="L1732" s="976"/>
      <c r="M1732" s="736">
        <f t="shared" si="356"/>
        <v>0</v>
      </c>
      <c r="N1732" s="754"/>
      <c r="O1732" s="738">
        <f t="shared" si="357"/>
        <v>0</v>
      </c>
      <c r="P1732" s="757"/>
      <c r="Q1732" s="739">
        <f t="shared" si="358"/>
        <v>0</v>
      </c>
      <c r="R1732" s="757"/>
      <c r="S1732" s="755"/>
      <c r="T1732" s="277"/>
      <c r="U1732" s="758" t="str">
        <f t="shared" si="345"/>
        <v/>
      </c>
      <c r="V1732" s="758" t="str">
        <f t="shared" si="346"/>
        <v>1900</v>
      </c>
      <c r="W1732" s="759"/>
      <c r="X1732" s="771"/>
      <c r="Y1732" s="977"/>
      <c r="Z1732" s="758"/>
      <c r="AA1732" s="758" t="str">
        <f t="shared" si="348"/>
        <v/>
      </c>
      <c r="AB1732" s="758" t="str">
        <f t="shared" si="349"/>
        <v/>
      </c>
      <c r="AC1732" s="758" t="str">
        <f t="shared" si="350"/>
        <v/>
      </c>
      <c r="AD1732" s="758" t="str">
        <f t="shared" si="351"/>
        <v>0</v>
      </c>
      <c r="AE1732" s="760"/>
      <c r="AF1732" s="760"/>
      <c r="AG1732" s="443"/>
      <c r="AH1732" s="443"/>
    </row>
    <row r="1733" spans="1:34">
      <c r="A1733" s="728">
        <f t="shared" si="347"/>
        <v>1726</v>
      </c>
      <c r="B1733" s="77"/>
      <c r="C1733" s="747"/>
      <c r="D1733" s="763" t="str">
        <f t="shared" si="352"/>
        <v>January</v>
      </c>
      <c r="E1733" s="763">
        <f t="shared" si="353"/>
        <v>0</v>
      </c>
      <c r="F1733" s="762">
        <f t="shared" si="354"/>
        <v>1900</v>
      </c>
      <c r="G1733" s="747"/>
      <c r="H1733" s="882"/>
      <c r="I1733" s="756"/>
      <c r="J1733" s="756"/>
      <c r="K1733" s="778">
        <f t="shared" si="355"/>
        <v>0</v>
      </c>
      <c r="L1733" s="976"/>
      <c r="M1733" s="736">
        <f t="shared" si="356"/>
        <v>0</v>
      </c>
      <c r="N1733" s="754"/>
      <c r="O1733" s="738">
        <f t="shared" si="357"/>
        <v>0</v>
      </c>
      <c r="P1733" s="757"/>
      <c r="Q1733" s="739">
        <f t="shared" si="358"/>
        <v>0</v>
      </c>
      <c r="R1733" s="757"/>
      <c r="S1733" s="755"/>
      <c r="T1733" s="277"/>
      <c r="U1733" s="758" t="str">
        <f t="shared" si="345"/>
        <v/>
      </c>
      <c r="V1733" s="758" t="str">
        <f t="shared" si="346"/>
        <v>1900</v>
      </c>
      <c r="W1733" s="759"/>
      <c r="X1733" s="771"/>
      <c r="Y1733" s="977"/>
      <c r="Z1733" s="758"/>
      <c r="AA1733" s="758" t="str">
        <f t="shared" si="348"/>
        <v/>
      </c>
      <c r="AB1733" s="758" t="str">
        <f t="shared" si="349"/>
        <v/>
      </c>
      <c r="AC1733" s="758" t="str">
        <f t="shared" si="350"/>
        <v/>
      </c>
      <c r="AD1733" s="758" t="str">
        <f t="shared" si="351"/>
        <v>0</v>
      </c>
      <c r="AE1733" s="760"/>
      <c r="AF1733" s="760"/>
      <c r="AG1733" s="443"/>
      <c r="AH1733" s="443"/>
    </row>
    <row r="1734" spans="1:34">
      <c r="A1734" s="728">
        <f t="shared" si="347"/>
        <v>1727</v>
      </c>
      <c r="B1734" s="77"/>
      <c r="C1734" s="747"/>
      <c r="D1734" s="763" t="str">
        <f t="shared" si="352"/>
        <v>January</v>
      </c>
      <c r="E1734" s="763">
        <f t="shared" si="353"/>
        <v>0</v>
      </c>
      <c r="F1734" s="762">
        <f t="shared" si="354"/>
        <v>1900</v>
      </c>
      <c r="G1734" s="747"/>
      <c r="H1734" s="882"/>
      <c r="I1734" s="756"/>
      <c r="J1734" s="756"/>
      <c r="K1734" s="778">
        <f t="shared" si="355"/>
        <v>0</v>
      </c>
      <c r="L1734" s="976"/>
      <c r="M1734" s="736">
        <f t="shared" si="356"/>
        <v>0</v>
      </c>
      <c r="N1734" s="754"/>
      <c r="O1734" s="738">
        <f t="shared" si="357"/>
        <v>0</v>
      </c>
      <c r="P1734" s="757"/>
      <c r="Q1734" s="739">
        <f t="shared" si="358"/>
        <v>0</v>
      </c>
      <c r="R1734" s="757"/>
      <c r="S1734" s="755"/>
      <c r="T1734" s="277"/>
      <c r="U1734" s="758" t="str">
        <f t="shared" si="345"/>
        <v/>
      </c>
      <c r="V1734" s="758" t="str">
        <f t="shared" si="346"/>
        <v>1900</v>
      </c>
      <c r="W1734" s="759"/>
      <c r="X1734" s="771"/>
      <c r="Y1734" s="977"/>
      <c r="Z1734" s="758"/>
      <c r="AA1734" s="758" t="str">
        <f t="shared" si="348"/>
        <v/>
      </c>
      <c r="AB1734" s="758" t="str">
        <f t="shared" si="349"/>
        <v/>
      </c>
      <c r="AC1734" s="758" t="str">
        <f t="shared" si="350"/>
        <v/>
      </c>
      <c r="AD1734" s="758" t="str">
        <f t="shared" si="351"/>
        <v>0</v>
      </c>
      <c r="AE1734" s="760"/>
      <c r="AF1734" s="760"/>
      <c r="AG1734" s="443"/>
      <c r="AH1734" s="443"/>
    </row>
    <row r="1735" spans="1:34">
      <c r="A1735" s="728">
        <f t="shared" si="347"/>
        <v>1728</v>
      </c>
      <c r="B1735" s="77"/>
      <c r="C1735" s="747"/>
      <c r="D1735" s="763" t="str">
        <f t="shared" si="352"/>
        <v>January</v>
      </c>
      <c r="E1735" s="763">
        <f t="shared" si="353"/>
        <v>0</v>
      </c>
      <c r="F1735" s="762">
        <f t="shared" si="354"/>
        <v>1900</v>
      </c>
      <c r="G1735" s="747"/>
      <c r="H1735" s="882"/>
      <c r="I1735" s="756"/>
      <c r="J1735" s="756"/>
      <c r="K1735" s="778">
        <f t="shared" si="355"/>
        <v>0</v>
      </c>
      <c r="L1735" s="976"/>
      <c r="M1735" s="736">
        <f t="shared" si="356"/>
        <v>0</v>
      </c>
      <c r="N1735" s="754"/>
      <c r="O1735" s="738">
        <f t="shared" si="357"/>
        <v>0</v>
      </c>
      <c r="P1735" s="757"/>
      <c r="Q1735" s="739">
        <f t="shared" si="358"/>
        <v>0</v>
      </c>
      <c r="R1735" s="757"/>
      <c r="S1735" s="755"/>
      <c r="T1735" s="277"/>
      <c r="U1735" s="758" t="str">
        <f t="shared" ref="U1735:U1798" si="359">CONCATENATE(G1735,H1735)</f>
        <v/>
      </c>
      <c r="V1735" s="758" t="str">
        <f t="shared" ref="V1735:V1798" si="360">CONCATENATE(F1735,H1735)</f>
        <v>1900</v>
      </c>
      <c r="W1735" s="759"/>
      <c r="X1735" s="771"/>
      <c r="Y1735" s="977"/>
      <c r="Z1735" s="758"/>
      <c r="AA1735" s="758" t="str">
        <f t="shared" si="348"/>
        <v/>
      </c>
      <c r="AB1735" s="758" t="str">
        <f t="shared" si="349"/>
        <v/>
      </c>
      <c r="AC1735" s="758" t="str">
        <f t="shared" si="350"/>
        <v/>
      </c>
      <c r="AD1735" s="758" t="str">
        <f t="shared" si="351"/>
        <v>0</v>
      </c>
      <c r="AE1735" s="760"/>
      <c r="AF1735" s="760"/>
      <c r="AG1735" s="443"/>
      <c r="AH1735" s="443"/>
    </row>
    <row r="1736" spans="1:34">
      <c r="A1736" s="728">
        <f t="shared" si="347"/>
        <v>1729</v>
      </c>
      <c r="B1736" s="77"/>
      <c r="C1736" s="747"/>
      <c r="D1736" s="763" t="str">
        <f t="shared" si="352"/>
        <v>January</v>
      </c>
      <c r="E1736" s="763">
        <f t="shared" si="353"/>
        <v>0</v>
      </c>
      <c r="F1736" s="762">
        <f t="shared" si="354"/>
        <v>1900</v>
      </c>
      <c r="G1736" s="747"/>
      <c r="H1736" s="882"/>
      <c r="I1736" s="756"/>
      <c r="J1736" s="756"/>
      <c r="K1736" s="778">
        <f t="shared" si="355"/>
        <v>0</v>
      </c>
      <c r="L1736" s="976"/>
      <c r="M1736" s="736">
        <f t="shared" si="356"/>
        <v>0</v>
      </c>
      <c r="N1736" s="754"/>
      <c r="O1736" s="738">
        <f t="shared" si="357"/>
        <v>0</v>
      </c>
      <c r="P1736" s="757"/>
      <c r="Q1736" s="739">
        <f t="shared" si="358"/>
        <v>0</v>
      </c>
      <c r="R1736" s="757"/>
      <c r="S1736" s="755"/>
      <c r="T1736" s="277"/>
      <c r="U1736" s="758" t="str">
        <f t="shared" si="359"/>
        <v/>
      </c>
      <c r="V1736" s="758" t="str">
        <f t="shared" si="360"/>
        <v>1900</v>
      </c>
      <c r="W1736" s="759"/>
      <c r="X1736" s="771"/>
      <c r="Y1736" s="977"/>
      <c r="Z1736" s="758"/>
      <c r="AA1736" s="758" t="str">
        <f t="shared" si="348"/>
        <v/>
      </c>
      <c r="AB1736" s="758" t="str">
        <f t="shared" si="349"/>
        <v/>
      </c>
      <c r="AC1736" s="758" t="str">
        <f t="shared" si="350"/>
        <v/>
      </c>
      <c r="AD1736" s="758" t="str">
        <f t="shared" si="351"/>
        <v>0</v>
      </c>
      <c r="AE1736" s="760"/>
      <c r="AF1736" s="760"/>
      <c r="AG1736" s="443"/>
      <c r="AH1736" s="443"/>
    </row>
    <row r="1737" spans="1:34">
      <c r="A1737" s="728">
        <f t="shared" si="347"/>
        <v>1730</v>
      </c>
      <c r="B1737" s="77"/>
      <c r="C1737" s="747"/>
      <c r="D1737" s="763" t="str">
        <f t="shared" si="352"/>
        <v>January</v>
      </c>
      <c r="E1737" s="763">
        <f t="shared" si="353"/>
        <v>0</v>
      </c>
      <c r="F1737" s="762">
        <f t="shared" si="354"/>
        <v>1900</v>
      </c>
      <c r="G1737" s="747"/>
      <c r="H1737" s="882"/>
      <c r="I1737" s="756"/>
      <c r="J1737" s="756"/>
      <c r="K1737" s="778">
        <f t="shared" si="355"/>
        <v>0</v>
      </c>
      <c r="L1737" s="976"/>
      <c r="M1737" s="736">
        <f t="shared" si="356"/>
        <v>0</v>
      </c>
      <c r="N1737" s="754"/>
      <c r="O1737" s="738">
        <f t="shared" si="357"/>
        <v>0</v>
      </c>
      <c r="P1737" s="757"/>
      <c r="Q1737" s="739">
        <f t="shared" si="358"/>
        <v>0</v>
      </c>
      <c r="R1737" s="757"/>
      <c r="S1737" s="755"/>
      <c r="T1737" s="277"/>
      <c r="U1737" s="758" t="str">
        <f t="shared" si="359"/>
        <v/>
      </c>
      <c r="V1737" s="758" t="str">
        <f t="shared" si="360"/>
        <v>1900</v>
      </c>
      <c r="W1737" s="759"/>
      <c r="X1737" s="771"/>
      <c r="Y1737" s="977"/>
      <c r="Z1737" s="758"/>
      <c r="AA1737" s="758" t="str">
        <f t="shared" si="348"/>
        <v/>
      </c>
      <c r="AB1737" s="758" t="str">
        <f t="shared" si="349"/>
        <v/>
      </c>
      <c r="AC1737" s="758" t="str">
        <f t="shared" si="350"/>
        <v/>
      </c>
      <c r="AD1737" s="758" t="str">
        <f t="shared" si="351"/>
        <v>0</v>
      </c>
      <c r="AE1737" s="760"/>
      <c r="AF1737" s="760"/>
      <c r="AG1737" s="443"/>
      <c r="AH1737" s="443"/>
    </row>
    <row r="1738" spans="1:34">
      <c r="A1738" s="728">
        <f t="shared" si="347"/>
        <v>1731</v>
      </c>
      <c r="B1738" s="77"/>
      <c r="C1738" s="747"/>
      <c r="D1738" s="763" t="str">
        <f t="shared" si="352"/>
        <v>January</v>
      </c>
      <c r="E1738" s="763">
        <f t="shared" si="353"/>
        <v>0</v>
      </c>
      <c r="F1738" s="762">
        <f t="shared" si="354"/>
        <v>1900</v>
      </c>
      <c r="G1738" s="747"/>
      <c r="H1738" s="882"/>
      <c r="I1738" s="756"/>
      <c r="J1738" s="756"/>
      <c r="K1738" s="778">
        <f t="shared" si="355"/>
        <v>0</v>
      </c>
      <c r="L1738" s="976"/>
      <c r="M1738" s="736">
        <f t="shared" si="356"/>
        <v>0</v>
      </c>
      <c r="N1738" s="754"/>
      <c r="O1738" s="738">
        <f t="shared" si="357"/>
        <v>0</v>
      </c>
      <c r="P1738" s="757"/>
      <c r="Q1738" s="739">
        <f t="shared" si="358"/>
        <v>0</v>
      </c>
      <c r="R1738" s="757"/>
      <c r="S1738" s="755"/>
      <c r="T1738" s="277"/>
      <c r="U1738" s="758" t="str">
        <f t="shared" si="359"/>
        <v/>
      </c>
      <c r="V1738" s="758" t="str">
        <f t="shared" si="360"/>
        <v>1900</v>
      </c>
      <c r="W1738" s="759"/>
      <c r="X1738" s="771"/>
      <c r="Y1738" s="977"/>
      <c r="Z1738" s="758"/>
      <c r="AA1738" s="758" t="str">
        <f t="shared" si="348"/>
        <v/>
      </c>
      <c r="AB1738" s="758" t="str">
        <f t="shared" si="349"/>
        <v/>
      </c>
      <c r="AC1738" s="758" t="str">
        <f t="shared" si="350"/>
        <v/>
      </c>
      <c r="AD1738" s="758" t="str">
        <f t="shared" si="351"/>
        <v>0</v>
      </c>
      <c r="AE1738" s="760"/>
      <c r="AF1738" s="760"/>
      <c r="AG1738" s="443"/>
      <c r="AH1738" s="443"/>
    </row>
    <row r="1739" spans="1:34">
      <c r="A1739" s="728">
        <f t="shared" ref="A1739:A1802" si="361">+A1738+1</f>
        <v>1732</v>
      </c>
      <c r="B1739" s="77"/>
      <c r="C1739" s="747"/>
      <c r="D1739" s="763" t="str">
        <f t="shared" si="352"/>
        <v>January</v>
      </c>
      <c r="E1739" s="763">
        <f t="shared" si="353"/>
        <v>0</v>
      </c>
      <c r="F1739" s="762">
        <f t="shared" si="354"/>
        <v>1900</v>
      </c>
      <c r="G1739" s="747"/>
      <c r="H1739" s="882"/>
      <c r="I1739" s="756"/>
      <c r="J1739" s="756"/>
      <c r="K1739" s="778">
        <f t="shared" si="355"/>
        <v>0</v>
      </c>
      <c r="L1739" s="976"/>
      <c r="M1739" s="736">
        <f t="shared" si="356"/>
        <v>0</v>
      </c>
      <c r="N1739" s="754"/>
      <c r="O1739" s="738">
        <f t="shared" si="357"/>
        <v>0</v>
      </c>
      <c r="P1739" s="757"/>
      <c r="Q1739" s="739">
        <f t="shared" si="358"/>
        <v>0</v>
      </c>
      <c r="R1739" s="757"/>
      <c r="S1739" s="755"/>
      <c r="T1739" s="277"/>
      <c r="U1739" s="758" t="str">
        <f t="shared" si="359"/>
        <v/>
      </c>
      <c r="V1739" s="758" t="str">
        <f t="shared" si="360"/>
        <v>1900</v>
      </c>
      <c r="W1739" s="759"/>
      <c r="X1739" s="771"/>
      <c r="Y1739" s="977"/>
      <c r="Z1739" s="758"/>
      <c r="AA1739" s="758" t="str">
        <f t="shared" si="348"/>
        <v/>
      </c>
      <c r="AB1739" s="758" t="str">
        <f t="shared" si="349"/>
        <v/>
      </c>
      <c r="AC1739" s="758" t="str">
        <f t="shared" si="350"/>
        <v/>
      </c>
      <c r="AD1739" s="758" t="str">
        <f t="shared" si="351"/>
        <v>0</v>
      </c>
      <c r="AE1739" s="760"/>
      <c r="AF1739" s="760"/>
      <c r="AG1739" s="443"/>
      <c r="AH1739" s="443"/>
    </row>
    <row r="1740" spans="1:34">
      <c r="A1740" s="728">
        <f t="shared" si="361"/>
        <v>1733</v>
      </c>
      <c r="B1740" s="77"/>
      <c r="C1740" s="747"/>
      <c r="D1740" s="763" t="str">
        <f t="shared" si="352"/>
        <v>January</v>
      </c>
      <c r="E1740" s="763">
        <f t="shared" si="353"/>
        <v>0</v>
      </c>
      <c r="F1740" s="762">
        <f t="shared" si="354"/>
        <v>1900</v>
      </c>
      <c r="G1740" s="747"/>
      <c r="H1740" s="882"/>
      <c r="I1740" s="756"/>
      <c r="J1740" s="756"/>
      <c r="K1740" s="778">
        <f t="shared" si="355"/>
        <v>0</v>
      </c>
      <c r="L1740" s="976"/>
      <c r="M1740" s="736">
        <f t="shared" si="356"/>
        <v>0</v>
      </c>
      <c r="N1740" s="754"/>
      <c r="O1740" s="738">
        <f t="shared" si="357"/>
        <v>0</v>
      </c>
      <c r="P1740" s="757"/>
      <c r="Q1740" s="739">
        <f t="shared" si="358"/>
        <v>0</v>
      </c>
      <c r="R1740" s="757"/>
      <c r="S1740" s="755"/>
      <c r="T1740" s="277"/>
      <c r="U1740" s="758" t="str">
        <f t="shared" si="359"/>
        <v/>
      </c>
      <c r="V1740" s="758" t="str">
        <f t="shared" si="360"/>
        <v>1900</v>
      </c>
      <c r="W1740" s="759"/>
      <c r="X1740" s="771"/>
      <c r="Y1740" s="977"/>
      <c r="Z1740" s="758"/>
      <c r="AA1740" s="758" t="str">
        <f t="shared" si="348"/>
        <v/>
      </c>
      <c r="AB1740" s="758" t="str">
        <f t="shared" si="349"/>
        <v/>
      </c>
      <c r="AC1740" s="758" t="str">
        <f t="shared" si="350"/>
        <v/>
      </c>
      <c r="AD1740" s="758" t="str">
        <f t="shared" si="351"/>
        <v>0</v>
      </c>
      <c r="AE1740" s="760"/>
      <c r="AF1740" s="760"/>
      <c r="AG1740" s="443"/>
      <c r="AH1740" s="443"/>
    </row>
    <row r="1741" spans="1:34">
      <c r="A1741" s="728">
        <f t="shared" si="361"/>
        <v>1734</v>
      </c>
      <c r="B1741" s="77"/>
      <c r="C1741" s="747"/>
      <c r="D1741" s="763" t="str">
        <f t="shared" si="352"/>
        <v>January</v>
      </c>
      <c r="E1741" s="763">
        <f t="shared" si="353"/>
        <v>0</v>
      </c>
      <c r="F1741" s="762">
        <f t="shared" si="354"/>
        <v>1900</v>
      </c>
      <c r="G1741" s="747"/>
      <c r="H1741" s="882"/>
      <c r="I1741" s="756"/>
      <c r="J1741" s="756"/>
      <c r="K1741" s="778">
        <f t="shared" si="355"/>
        <v>0</v>
      </c>
      <c r="L1741" s="976"/>
      <c r="M1741" s="736">
        <f t="shared" si="356"/>
        <v>0</v>
      </c>
      <c r="N1741" s="754"/>
      <c r="O1741" s="738">
        <f t="shared" si="357"/>
        <v>0</v>
      </c>
      <c r="P1741" s="757"/>
      <c r="Q1741" s="739">
        <f t="shared" si="358"/>
        <v>0</v>
      </c>
      <c r="R1741" s="757"/>
      <c r="S1741" s="755"/>
      <c r="T1741" s="277"/>
      <c r="U1741" s="758" t="str">
        <f t="shared" si="359"/>
        <v/>
      </c>
      <c r="V1741" s="758" t="str">
        <f t="shared" si="360"/>
        <v>1900</v>
      </c>
      <c r="W1741" s="759"/>
      <c r="X1741" s="771"/>
      <c r="Y1741" s="977"/>
      <c r="Z1741" s="758"/>
      <c r="AA1741" s="758" t="str">
        <f t="shared" si="348"/>
        <v/>
      </c>
      <c r="AB1741" s="758" t="str">
        <f t="shared" si="349"/>
        <v/>
      </c>
      <c r="AC1741" s="758" t="str">
        <f t="shared" si="350"/>
        <v/>
      </c>
      <c r="AD1741" s="758" t="str">
        <f t="shared" si="351"/>
        <v>0</v>
      </c>
      <c r="AE1741" s="760"/>
      <c r="AF1741" s="760"/>
      <c r="AG1741" s="443"/>
      <c r="AH1741" s="443"/>
    </row>
    <row r="1742" spans="1:34">
      <c r="A1742" s="728">
        <f t="shared" si="361"/>
        <v>1735</v>
      </c>
      <c r="B1742" s="77"/>
      <c r="C1742" s="747"/>
      <c r="D1742" s="763" t="str">
        <f t="shared" si="352"/>
        <v>January</v>
      </c>
      <c r="E1742" s="763">
        <f t="shared" si="353"/>
        <v>0</v>
      </c>
      <c r="F1742" s="762">
        <f t="shared" si="354"/>
        <v>1900</v>
      </c>
      <c r="G1742" s="747"/>
      <c r="H1742" s="882"/>
      <c r="I1742" s="756"/>
      <c r="J1742" s="756"/>
      <c r="K1742" s="778">
        <f t="shared" si="355"/>
        <v>0</v>
      </c>
      <c r="L1742" s="976"/>
      <c r="M1742" s="736">
        <f t="shared" si="356"/>
        <v>0</v>
      </c>
      <c r="N1742" s="754"/>
      <c r="O1742" s="738">
        <f t="shared" si="357"/>
        <v>0</v>
      </c>
      <c r="P1742" s="757"/>
      <c r="Q1742" s="739">
        <f t="shared" si="358"/>
        <v>0</v>
      </c>
      <c r="R1742" s="757"/>
      <c r="S1742" s="755"/>
      <c r="T1742" s="277"/>
      <c r="U1742" s="758" t="str">
        <f t="shared" si="359"/>
        <v/>
      </c>
      <c r="V1742" s="758" t="str">
        <f t="shared" si="360"/>
        <v>1900</v>
      </c>
      <c r="W1742" s="759"/>
      <c r="X1742" s="771"/>
      <c r="Y1742" s="977"/>
      <c r="Z1742" s="758"/>
      <c r="AA1742" s="758" t="str">
        <f t="shared" si="348"/>
        <v/>
      </c>
      <c r="AB1742" s="758" t="str">
        <f t="shared" si="349"/>
        <v/>
      </c>
      <c r="AC1742" s="758" t="str">
        <f t="shared" si="350"/>
        <v/>
      </c>
      <c r="AD1742" s="758" t="str">
        <f t="shared" si="351"/>
        <v>0</v>
      </c>
      <c r="AE1742" s="760"/>
      <c r="AF1742" s="760"/>
      <c r="AG1742" s="443"/>
      <c r="AH1742" s="443"/>
    </row>
    <row r="1743" spans="1:34">
      <c r="A1743" s="728">
        <f t="shared" si="361"/>
        <v>1736</v>
      </c>
      <c r="B1743" s="77"/>
      <c r="C1743" s="747"/>
      <c r="D1743" s="763" t="str">
        <f t="shared" si="352"/>
        <v>January</v>
      </c>
      <c r="E1743" s="763">
        <f t="shared" si="353"/>
        <v>0</v>
      </c>
      <c r="F1743" s="762">
        <f t="shared" si="354"/>
        <v>1900</v>
      </c>
      <c r="G1743" s="747"/>
      <c r="H1743" s="882"/>
      <c r="I1743" s="756"/>
      <c r="J1743" s="756"/>
      <c r="K1743" s="778">
        <f t="shared" si="355"/>
        <v>0</v>
      </c>
      <c r="L1743" s="976"/>
      <c r="M1743" s="736">
        <f t="shared" si="356"/>
        <v>0</v>
      </c>
      <c r="N1743" s="754"/>
      <c r="O1743" s="738">
        <f t="shared" si="357"/>
        <v>0</v>
      </c>
      <c r="P1743" s="757"/>
      <c r="Q1743" s="739">
        <f t="shared" si="358"/>
        <v>0</v>
      </c>
      <c r="R1743" s="757"/>
      <c r="S1743" s="755"/>
      <c r="T1743" s="277"/>
      <c r="U1743" s="758" t="str">
        <f t="shared" si="359"/>
        <v/>
      </c>
      <c r="V1743" s="758" t="str">
        <f t="shared" si="360"/>
        <v>1900</v>
      </c>
      <c r="W1743" s="759"/>
      <c r="X1743" s="771"/>
      <c r="Y1743" s="977"/>
      <c r="Z1743" s="758"/>
      <c r="AA1743" s="758" t="str">
        <f t="shared" si="348"/>
        <v/>
      </c>
      <c r="AB1743" s="758" t="str">
        <f t="shared" si="349"/>
        <v/>
      </c>
      <c r="AC1743" s="758" t="str">
        <f t="shared" si="350"/>
        <v/>
      </c>
      <c r="AD1743" s="758" t="str">
        <f t="shared" si="351"/>
        <v>0</v>
      </c>
      <c r="AE1743" s="760"/>
      <c r="AF1743" s="760"/>
      <c r="AG1743" s="443"/>
      <c r="AH1743" s="443"/>
    </row>
    <row r="1744" spans="1:34">
      <c r="A1744" s="728">
        <f t="shared" si="361"/>
        <v>1737</v>
      </c>
      <c r="B1744" s="77"/>
      <c r="C1744" s="747"/>
      <c r="D1744" s="763" t="str">
        <f t="shared" si="352"/>
        <v>January</v>
      </c>
      <c r="E1744" s="763">
        <f t="shared" si="353"/>
        <v>0</v>
      </c>
      <c r="F1744" s="762">
        <f t="shared" si="354"/>
        <v>1900</v>
      </c>
      <c r="G1744" s="747"/>
      <c r="H1744" s="882"/>
      <c r="I1744" s="756"/>
      <c r="J1744" s="756"/>
      <c r="K1744" s="778">
        <f t="shared" si="355"/>
        <v>0</v>
      </c>
      <c r="L1744" s="976"/>
      <c r="M1744" s="736">
        <f t="shared" si="356"/>
        <v>0</v>
      </c>
      <c r="N1744" s="754"/>
      <c r="O1744" s="738">
        <f t="shared" si="357"/>
        <v>0</v>
      </c>
      <c r="P1744" s="757"/>
      <c r="Q1744" s="739">
        <f t="shared" si="358"/>
        <v>0</v>
      </c>
      <c r="R1744" s="757"/>
      <c r="S1744" s="755"/>
      <c r="T1744" s="277"/>
      <c r="U1744" s="758" t="str">
        <f t="shared" si="359"/>
        <v/>
      </c>
      <c r="V1744" s="758" t="str">
        <f t="shared" si="360"/>
        <v>1900</v>
      </c>
      <c r="W1744" s="759"/>
      <c r="X1744" s="771"/>
      <c r="Y1744" s="977"/>
      <c r="Z1744" s="758"/>
      <c r="AA1744" s="758" t="str">
        <f t="shared" ref="AA1744:AA1807" si="362">CONCATENATE(H1744,W1744)</f>
        <v/>
      </c>
      <c r="AB1744" s="758" t="str">
        <f t="shared" ref="AB1744:AB1807" si="363">CONCATENATE(H1744,X1744)</f>
        <v/>
      </c>
      <c r="AC1744" s="758" t="str">
        <f t="shared" ref="AC1744:AC1807" si="364">CONCATENATE(H1744,Y1744)</f>
        <v/>
      </c>
      <c r="AD1744" s="758" t="str">
        <f t="shared" si="351"/>
        <v>0</v>
      </c>
      <c r="AE1744" s="760"/>
      <c r="AF1744" s="760"/>
      <c r="AG1744" s="443"/>
      <c r="AH1744" s="443"/>
    </row>
    <row r="1745" spans="1:34">
      <c r="A1745" s="728">
        <f t="shared" si="361"/>
        <v>1738</v>
      </c>
      <c r="B1745" s="77"/>
      <c r="C1745" s="747"/>
      <c r="D1745" s="763" t="str">
        <f t="shared" si="352"/>
        <v>January</v>
      </c>
      <c r="E1745" s="763">
        <f t="shared" si="353"/>
        <v>0</v>
      </c>
      <c r="F1745" s="762">
        <f t="shared" si="354"/>
        <v>1900</v>
      </c>
      <c r="G1745" s="747"/>
      <c r="H1745" s="882"/>
      <c r="I1745" s="756"/>
      <c r="J1745" s="756"/>
      <c r="K1745" s="778">
        <f t="shared" si="355"/>
        <v>0</v>
      </c>
      <c r="L1745" s="976"/>
      <c r="M1745" s="736">
        <f t="shared" si="356"/>
        <v>0</v>
      </c>
      <c r="N1745" s="754"/>
      <c r="O1745" s="738">
        <f t="shared" si="357"/>
        <v>0</v>
      </c>
      <c r="P1745" s="757"/>
      <c r="Q1745" s="739">
        <f t="shared" si="358"/>
        <v>0</v>
      </c>
      <c r="R1745" s="757"/>
      <c r="S1745" s="755"/>
      <c r="T1745" s="277"/>
      <c r="U1745" s="758" t="str">
        <f t="shared" si="359"/>
        <v/>
      </c>
      <c r="V1745" s="758" t="str">
        <f t="shared" si="360"/>
        <v>1900</v>
      </c>
      <c r="W1745" s="759"/>
      <c r="X1745" s="771"/>
      <c r="Y1745" s="977"/>
      <c r="Z1745" s="758"/>
      <c r="AA1745" s="758" t="str">
        <f t="shared" si="362"/>
        <v/>
      </c>
      <c r="AB1745" s="758" t="str">
        <f t="shared" si="363"/>
        <v/>
      </c>
      <c r="AC1745" s="758" t="str">
        <f t="shared" si="364"/>
        <v/>
      </c>
      <c r="AD1745" s="758" t="str">
        <f t="shared" si="351"/>
        <v>0</v>
      </c>
      <c r="AE1745" s="760"/>
      <c r="AF1745" s="760"/>
      <c r="AG1745" s="443"/>
      <c r="AH1745" s="443"/>
    </row>
    <row r="1746" spans="1:34">
      <c r="A1746" s="728">
        <f t="shared" si="361"/>
        <v>1739</v>
      </c>
      <c r="B1746" s="77"/>
      <c r="C1746" s="747"/>
      <c r="D1746" s="763" t="str">
        <f t="shared" si="352"/>
        <v>January</v>
      </c>
      <c r="E1746" s="763">
        <f t="shared" si="353"/>
        <v>0</v>
      </c>
      <c r="F1746" s="762">
        <f t="shared" si="354"/>
        <v>1900</v>
      </c>
      <c r="G1746" s="747"/>
      <c r="H1746" s="882"/>
      <c r="I1746" s="756"/>
      <c r="J1746" s="756"/>
      <c r="K1746" s="778">
        <f t="shared" si="355"/>
        <v>0</v>
      </c>
      <c r="L1746" s="976"/>
      <c r="M1746" s="736">
        <f t="shared" si="356"/>
        <v>0</v>
      </c>
      <c r="N1746" s="754"/>
      <c r="O1746" s="738">
        <f t="shared" si="357"/>
        <v>0</v>
      </c>
      <c r="P1746" s="757"/>
      <c r="Q1746" s="739">
        <f t="shared" si="358"/>
        <v>0</v>
      </c>
      <c r="R1746" s="757"/>
      <c r="S1746" s="755"/>
      <c r="T1746" s="277"/>
      <c r="U1746" s="758" t="str">
        <f t="shared" si="359"/>
        <v/>
      </c>
      <c r="V1746" s="758" t="str">
        <f t="shared" si="360"/>
        <v>1900</v>
      </c>
      <c r="W1746" s="759"/>
      <c r="X1746" s="771"/>
      <c r="Y1746" s="977"/>
      <c r="Z1746" s="758"/>
      <c r="AA1746" s="758" t="str">
        <f t="shared" si="362"/>
        <v/>
      </c>
      <c r="AB1746" s="758" t="str">
        <f t="shared" si="363"/>
        <v/>
      </c>
      <c r="AC1746" s="758" t="str">
        <f t="shared" si="364"/>
        <v/>
      </c>
      <c r="AD1746" s="758" t="str">
        <f t="shared" si="351"/>
        <v>0</v>
      </c>
      <c r="AE1746" s="760"/>
      <c r="AF1746" s="760"/>
      <c r="AG1746" s="443"/>
      <c r="AH1746" s="443"/>
    </row>
    <row r="1747" spans="1:34">
      <c r="A1747" s="728">
        <f t="shared" si="361"/>
        <v>1740</v>
      </c>
      <c r="B1747" s="77"/>
      <c r="C1747" s="747"/>
      <c r="D1747" s="763" t="str">
        <f t="shared" si="352"/>
        <v>January</v>
      </c>
      <c r="E1747" s="763">
        <f t="shared" si="353"/>
        <v>0</v>
      </c>
      <c r="F1747" s="762">
        <f t="shared" si="354"/>
        <v>1900</v>
      </c>
      <c r="G1747" s="747"/>
      <c r="H1747" s="882"/>
      <c r="I1747" s="756"/>
      <c r="J1747" s="756"/>
      <c r="K1747" s="778">
        <f t="shared" si="355"/>
        <v>0</v>
      </c>
      <c r="L1747" s="976"/>
      <c r="M1747" s="736">
        <f t="shared" si="356"/>
        <v>0</v>
      </c>
      <c r="N1747" s="754"/>
      <c r="O1747" s="738">
        <f t="shared" si="357"/>
        <v>0</v>
      </c>
      <c r="P1747" s="757"/>
      <c r="Q1747" s="739">
        <f t="shared" si="358"/>
        <v>0</v>
      </c>
      <c r="R1747" s="757"/>
      <c r="S1747" s="755"/>
      <c r="T1747" s="277"/>
      <c r="U1747" s="758" t="str">
        <f t="shared" si="359"/>
        <v/>
      </c>
      <c r="V1747" s="758" t="str">
        <f t="shared" si="360"/>
        <v>1900</v>
      </c>
      <c r="W1747" s="759"/>
      <c r="X1747" s="771"/>
      <c r="Y1747" s="977"/>
      <c r="Z1747" s="758"/>
      <c r="AA1747" s="758" t="str">
        <f t="shared" si="362"/>
        <v/>
      </c>
      <c r="AB1747" s="758" t="str">
        <f t="shared" si="363"/>
        <v/>
      </c>
      <c r="AC1747" s="758" t="str">
        <f t="shared" si="364"/>
        <v/>
      </c>
      <c r="AD1747" s="758" t="str">
        <f t="shared" si="351"/>
        <v>0</v>
      </c>
      <c r="AE1747" s="760"/>
      <c r="AF1747" s="760"/>
      <c r="AG1747" s="443"/>
      <c r="AH1747" s="443"/>
    </row>
    <row r="1748" spans="1:34">
      <c r="A1748" s="728">
        <f t="shared" si="361"/>
        <v>1741</v>
      </c>
      <c r="B1748" s="77"/>
      <c r="C1748" s="747"/>
      <c r="D1748" s="763" t="str">
        <f t="shared" si="352"/>
        <v>January</v>
      </c>
      <c r="E1748" s="763">
        <f t="shared" si="353"/>
        <v>0</v>
      </c>
      <c r="F1748" s="762">
        <f t="shared" si="354"/>
        <v>1900</v>
      </c>
      <c r="G1748" s="747"/>
      <c r="H1748" s="882"/>
      <c r="I1748" s="756"/>
      <c r="J1748" s="756"/>
      <c r="K1748" s="778">
        <f t="shared" si="355"/>
        <v>0</v>
      </c>
      <c r="L1748" s="976"/>
      <c r="M1748" s="736">
        <f t="shared" si="356"/>
        <v>0</v>
      </c>
      <c r="N1748" s="754"/>
      <c r="O1748" s="738">
        <f t="shared" si="357"/>
        <v>0</v>
      </c>
      <c r="P1748" s="757"/>
      <c r="Q1748" s="739">
        <f t="shared" si="358"/>
        <v>0</v>
      </c>
      <c r="R1748" s="757"/>
      <c r="S1748" s="755"/>
      <c r="T1748" s="277"/>
      <c r="U1748" s="758" t="str">
        <f t="shared" si="359"/>
        <v/>
      </c>
      <c r="V1748" s="758" t="str">
        <f t="shared" si="360"/>
        <v>1900</v>
      </c>
      <c r="W1748" s="759"/>
      <c r="X1748" s="771"/>
      <c r="Y1748" s="977"/>
      <c r="Z1748" s="758"/>
      <c r="AA1748" s="758" t="str">
        <f t="shared" si="362"/>
        <v/>
      </c>
      <c r="AB1748" s="758" t="str">
        <f t="shared" si="363"/>
        <v/>
      </c>
      <c r="AC1748" s="758" t="str">
        <f t="shared" si="364"/>
        <v/>
      </c>
      <c r="AD1748" s="758" t="str">
        <f t="shared" si="351"/>
        <v>0</v>
      </c>
      <c r="AE1748" s="760"/>
      <c r="AF1748" s="760"/>
      <c r="AG1748" s="443"/>
      <c r="AH1748" s="443"/>
    </row>
    <row r="1749" spans="1:34">
      <c r="A1749" s="728">
        <f t="shared" si="361"/>
        <v>1742</v>
      </c>
      <c r="B1749" s="77"/>
      <c r="C1749" s="747"/>
      <c r="D1749" s="763" t="str">
        <f t="shared" si="352"/>
        <v>January</v>
      </c>
      <c r="E1749" s="763">
        <f t="shared" si="353"/>
        <v>0</v>
      </c>
      <c r="F1749" s="762">
        <f t="shared" si="354"/>
        <v>1900</v>
      </c>
      <c r="G1749" s="747"/>
      <c r="H1749" s="882"/>
      <c r="I1749" s="756"/>
      <c r="J1749" s="756"/>
      <c r="K1749" s="778">
        <f t="shared" si="355"/>
        <v>0</v>
      </c>
      <c r="L1749" s="976"/>
      <c r="M1749" s="736">
        <f t="shared" si="356"/>
        <v>0</v>
      </c>
      <c r="N1749" s="754"/>
      <c r="O1749" s="738">
        <f t="shared" si="357"/>
        <v>0</v>
      </c>
      <c r="P1749" s="757"/>
      <c r="Q1749" s="739">
        <f t="shared" si="358"/>
        <v>0</v>
      </c>
      <c r="R1749" s="757"/>
      <c r="S1749" s="755"/>
      <c r="T1749" s="277"/>
      <c r="U1749" s="758" t="str">
        <f t="shared" si="359"/>
        <v/>
      </c>
      <c r="V1749" s="758" t="str">
        <f t="shared" si="360"/>
        <v>1900</v>
      </c>
      <c r="W1749" s="759"/>
      <c r="X1749" s="771"/>
      <c r="Y1749" s="977"/>
      <c r="Z1749" s="758"/>
      <c r="AA1749" s="758" t="str">
        <f t="shared" si="362"/>
        <v/>
      </c>
      <c r="AB1749" s="758" t="str">
        <f t="shared" si="363"/>
        <v/>
      </c>
      <c r="AC1749" s="758" t="str">
        <f t="shared" si="364"/>
        <v/>
      </c>
      <c r="AD1749" s="758" t="str">
        <f t="shared" si="351"/>
        <v>0</v>
      </c>
      <c r="AE1749" s="760"/>
      <c r="AF1749" s="760"/>
      <c r="AG1749" s="443"/>
      <c r="AH1749" s="443"/>
    </row>
    <row r="1750" spans="1:34">
      <c r="A1750" s="728">
        <f t="shared" si="361"/>
        <v>1743</v>
      </c>
      <c r="B1750" s="77"/>
      <c r="C1750" s="747"/>
      <c r="D1750" s="763" t="str">
        <f t="shared" si="352"/>
        <v>January</v>
      </c>
      <c r="E1750" s="763">
        <f t="shared" si="353"/>
        <v>0</v>
      </c>
      <c r="F1750" s="762">
        <f t="shared" si="354"/>
        <v>1900</v>
      </c>
      <c r="G1750" s="747"/>
      <c r="H1750" s="882"/>
      <c r="I1750" s="756"/>
      <c r="J1750" s="756"/>
      <c r="K1750" s="778">
        <f t="shared" si="355"/>
        <v>0</v>
      </c>
      <c r="L1750" s="976"/>
      <c r="M1750" s="736">
        <f t="shared" si="356"/>
        <v>0</v>
      </c>
      <c r="N1750" s="754"/>
      <c r="O1750" s="738">
        <f t="shared" si="357"/>
        <v>0</v>
      </c>
      <c r="P1750" s="757"/>
      <c r="Q1750" s="739">
        <f t="shared" si="358"/>
        <v>0</v>
      </c>
      <c r="R1750" s="757"/>
      <c r="S1750" s="755"/>
      <c r="T1750" s="277"/>
      <c r="U1750" s="758" t="str">
        <f t="shared" si="359"/>
        <v/>
      </c>
      <c r="V1750" s="758" t="str">
        <f t="shared" si="360"/>
        <v>1900</v>
      </c>
      <c r="W1750" s="759"/>
      <c r="X1750" s="771"/>
      <c r="Y1750" s="977"/>
      <c r="Z1750" s="758"/>
      <c r="AA1750" s="758" t="str">
        <f t="shared" si="362"/>
        <v/>
      </c>
      <c r="AB1750" s="758" t="str">
        <f t="shared" si="363"/>
        <v/>
      </c>
      <c r="AC1750" s="758" t="str">
        <f t="shared" si="364"/>
        <v/>
      </c>
      <c r="AD1750" s="758" t="str">
        <f t="shared" si="351"/>
        <v>0</v>
      </c>
      <c r="AE1750" s="760"/>
      <c r="AF1750" s="760"/>
      <c r="AG1750" s="443"/>
      <c r="AH1750" s="443"/>
    </row>
    <row r="1751" spans="1:34">
      <c r="A1751" s="728">
        <f t="shared" si="361"/>
        <v>1744</v>
      </c>
      <c r="B1751" s="77"/>
      <c r="C1751" s="747"/>
      <c r="D1751" s="763" t="str">
        <f t="shared" si="352"/>
        <v>January</v>
      </c>
      <c r="E1751" s="763">
        <f t="shared" si="353"/>
        <v>0</v>
      </c>
      <c r="F1751" s="762">
        <f t="shared" si="354"/>
        <v>1900</v>
      </c>
      <c r="G1751" s="747"/>
      <c r="H1751" s="882"/>
      <c r="I1751" s="756"/>
      <c r="J1751" s="756"/>
      <c r="K1751" s="778">
        <f t="shared" si="355"/>
        <v>0</v>
      </c>
      <c r="L1751" s="976"/>
      <c r="M1751" s="736">
        <f t="shared" si="356"/>
        <v>0</v>
      </c>
      <c r="N1751" s="754"/>
      <c r="O1751" s="738">
        <f t="shared" si="357"/>
        <v>0</v>
      </c>
      <c r="P1751" s="757"/>
      <c r="Q1751" s="739">
        <f t="shared" si="358"/>
        <v>0</v>
      </c>
      <c r="R1751" s="757"/>
      <c r="S1751" s="755"/>
      <c r="T1751" s="277"/>
      <c r="U1751" s="758" t="str">
        <f t="shared" si="359"/>
        <v/>
      </c>
      <c r="V1751" s="758" t="str">
        <f t="shared" si="360"/>
        <v>1900</v>
      </c>
      <c r="W1751" s="759"/>
      <c r="X1751" s="771"/>
      <c r="Y1751" s="977"/>
      <c r="Z1751" s="758"/>
      <c r="AA1751" s="758" t="str">
        <f t="shared" si="362"/>
        <v/>
      </c>
      <c r="AB1751" s="758" t="str">
        <f t="shared" si="363"/>
        <v/>
      </c>
      <c r="AC1751" s="758" t="str">
        <f t="shared" si="364"/>
        <v/>
      </c>
      <c r="AD1751" s="758" t="str">
        <f t="shared" si="351"/>
        <v>0</v>
      </c>
      <c r="AE1751" s="760"/>
      <c r="AF1751" s="760"/>
      <c r="AG1751" s="443"/>
      <c r="AH1751" s="443"/>
    </row>
    <row r="1752" spans="1:34">
      <c r="A1752" s="728">
        <f t="shared" si="361"/>
        <v>1745</v>
      </c>
      <c r="B1752" s="77"/>
      <c r="C1752" s="747"/>
      <c r="D1752" s="763" t="str">
        <f t="shared" si="352"/>
        <v>January</v>
      </c>
      <c r="E1752" s="763">
        <f t="shared" si="353"/>
        <v>0</v>
      </c>
      <c r="F1752" s="762">
        <f t="shared" si="354"/>
        <v>1900</v>
      </c>
      <c r="G1752" s="747"/>
      <c r="H1752" s="882"/>
      <c r="I1752" s="756"/>
      <c r="J1752" s="756"/>
      <c r="K1752" s="778">
        <f t="shared" si="355"/>
        <v>0</v>
      </c>
      <c r="L1752" s="976"/>
      <c r="M1752" s="736">
        <f t="shared" si="356"/>
        <v>0</v>
      </c>
      <c r="N1752" s="754"/>
      <c r="O1752" s="738">
        <f t="shared" si="357"/>
        <v>0</v>
      </c>
      <c r="P1752" s="757"/>
      <c r="Q1752" s="739">
        <f t="shared" si="358"/>
        <v>0</v>
      </c>
      <c r="R1752" s="757"/>
      <c r="S1752" s="755"/>
      <c r="T1752" s="277"/>
      <c r="U1752" s="758" t="str">
        <f t="shared" si="359"/>
        <v/>
      </c>
      <c r="V1752" s="758" t="str">
        <f t="shared" si="360"/>
        <v>1900</v>
      </c>
      <c r="W1752" s="759"/>
      <c r="X1752" s="771"/>
      <c r="Y1752" s="977"/>
      <c r="Z1752" s="758"/>
      <c r="AA1752" s="758" t="str">
        <f t="shared" si="362"/>
        <v/>
      </c>
      <c r="AB1752" s="758" t="str">
        <f t="shared" si="363"/>
        <v/>
      </c>
      <c r="AC1752" s="758" t="str">
        <f t="shared" si="364"/>
        <v/>
      </c>
      <c r="AD1752" s="758" t="str">
        <f t="shared" si="351"/>
        <v>0</v>
      </c>
      <c r="AE1752" s="760"/>
      <c r="AF1752" s="760"/>
      <c r="AG1752" s="443"/>
      <c r="AH1752" s="443"/>
    </row>
    <row r="1753" spans="1:34">
      <c r="A1753" s="728">
        <f t="shared" si="361"/>
        <v>1746</v>
      </c>
      <c r="B1753" s="77"/>
      <c r="C1753" s="747"/>
      <c r="D1753" s="763" t="str">
        <f t="shared" si="352"/>
        <v>January</v>
      </c>
      <c r="E1753" s="763">
        <f t="shared" si="353"/>
        <v>0</v>
      </c>
      <c r="F1753" s="762">
        <f t="shared" si="354"/>
        <v>1900</v>
      </c>
      <c r="G1753" s="747"/>
      <c r="H1753" s="882"/>
      <c r="I1753" s="756"/>
      <c r="J1753" s="756"/>
      <c r="K1753" s="778">
        <f t="shared" si="355"/>
        <v>0</v>
      </c>
      <c r="L1753" s="976"/>
      <c r="M1753" s="736">
        <f t="shared" si="356"/>
        <v>0</v>
      </c>
      <c r="N1753" s="754"/>
      <c r="O1753" s="738">
        <f t="shared" si="357"/>
        <v>0</v>
      </c>
      <c r="P1753" s="757"/>
      <c r="Q1753" s="739">
        <f t="shared" si="358"/>
        <v>0</v>
      </c>
      <c r="R1753" s="757"/>
      <c r="S1753" s="755"/>
      <c r="T1753" s="277"/>
      <c r="U1753" s="758" t="str">
        <f t="shared" si="359"/>
        <v/>
      </c>
      <c r="V1753" s="758" t="str">
        <f t="shared" si="360"/>
        <v>1900</v>
      </c>
      <c r="W1753" s="759"/>
      <c r="X1753" s="771"/>
      <c r="Y1753" s="977"/>
      <c r="Z1753" s="758"/>
      <c r="AA1753" s="758" t="str">
        <f t="shared" si="362"/>
        <v/>
      </c>
      <c r="AB1753" s="758" t="str">
        <f t="shared" si="363"/>
        <v/>
      </c>
      <c r="AC1753" s="758" t="str">
        <f t="shared" si="364"/>
        <v/>
      </c>
      <c r="AD1753" s="758" t="str">
        <f t="shared" ref="AD1753:AD1816" si="365">CONCATENATE(H1753,M1753)</f>
        <v>0</v>
      </c>
      <c r="AE1753" s="760"/>
      <c r="AF1753" s="760"/>
      <c r="AG1753" s="443"/>
      <c r="AH1753" s="443"/>
    </row>
    <row r="1754" spans="1:34">
      <c r="A1754" s="728">
        <f t="shared" si="361"/>
        <v>1747</v>
      </c>
      <c r="B1754" s="77"/>
      <c r="C1754" s="747"/>
      <c r="D1754" s="763" t="str">
        <f t="shared" si="352"/>
        <v>January</v>
      </c>
      <c r="E1754" s="763">
        <f t="shared" si="353"/>
        <v>0</v>
      </c>
      <c r="F1754" s="762">
        <f t="shared" si="354"/>
        <v>1900</v>
      </c>
      <c r="G1754" s="747"/>
      <c r="H1754" s="882"/>
      <c r="I1754" s="756"/>
      <c r="J1754" s="756"/>
      <c r="K1754" s="778">
        <f t="shared" si="355"/>
        <v>0</v>
      </c>
      <c r="L1754" s="976"/>
      <c r="M1754" s="736">
        <f t="shared" si="356"/>
        <v>0</v>
      </c>
      <c r="N1754" s="754"/>
      <c r="O1754" s="738">
        <f t="shared" si="357"/>
        <v>0</v>
      </c>
      <c r="P1754" s="757"/>
      <c r="Q1754" s="739">
        <f t="shared" si="358"/>
        <v>0</v>
      </c>
      <c r="R1754" s="757"/>
      <c r="S1754" s="755"/>
      <c r="T1754" s="277"/>
      <c r="U1754" s="758" t="str">
        <f t="shared" si="359"/>
        <v/>
      </c>
      <c r="V1754" s="758" t="str">
        <f t="shared" si="360"/>
        <v>1900</v>
      </c>
      <c r="W1754" s="759"/>
      <c r="X1754" s="771"/>
      <c r="Y1754" s="977"/>
      <c r="Z1754" s="758"/>
      <c r="AA1754" s="758" t="str">
        <f t="shared" si="362"/>
        <v/>
      </c>
      <c r="AB1754" s="758" t="str">
        <f t="shared" si="363"/>
        <v/>
      </c>
      <c r="AC1754" s="758" t="str">
        <f t="shared" si="364"/>
        <v/>
      </c>
      <c r="AD1754" s="758" t="str">
        <f t="shared" si="365"/>
        <v>0</v>
      </c>
      <c r="AE1754" s="760"/>
      <c r="AF1754" s="760"/>
      <c r="AG1754" s="443"/>
      <c r="AH1754" s="443"/>
    </row>
    <row r="1755" spans="1:34">
      <c r="A1755" s="728">
        <f t="shared" si="361"/>
        <v>1748</v>
      </c>
      <c r="B1755" s="77"/>
      <c r="C1755" s="747"/>
      <c r="D1755" s="763" t="str">
        <f t="shared" si="352"/>
        <v>January</v>
      </c>
      <c r="E1755" s="763">
        <f t="shared" si="353"/>
        <v>0</v>
      </c>
      <c r="F1755" s="762">
        <f t="shared" si="354"/>
        <v>1900</v>
      </c>
      <c r="G1755" s="747"/>
      <c r="H1755" s="882"/>
      <c r="I1755" s="756"/>
      <c r="J1755" s="756"/>
      <c r="K1755" s="778">
        <f t="shared" si="355"/>
        <v>0</v>
      </c>
      <c r="L1755" s="976"/>
      <c r="M1755" s="736">
        <f t="shared" si="356"/>
        <v>0</v>
      </c>
      <c r="N1755" s="754"/>
      <c r="O1755" s="738">
        <f t="shared" si="357"/>
        <v>0</v>
      </c>
      <c r="P1755" s="757"/>
      <c r="Q1755" s="739">
        <f t="shared" si="358"/>
        <v>0</v>
      </c>
      <c r="R1755" s="757"/>
      <c r="S1755" s="755"/>
      <c r="T1755" s="277"/>
      <c r="U1755" s="758" t="str">
        <f t="shared" si="359"/>
        <v/>
      </c>
      <c r="V1755" s="758" t="str">
        <f t="shared" si="360"/>
        <v>1900</v>
      </c>
      <c r="W1755" s="759"/>
      <c r="X1755" s="771"/>
      <c r="Y1755" s="977"/>
      <c r="Z1755" s="758"/>
      <c r="AA1755" s="758" t="str">
        <f t="shared" si="362"/>
        <v/>
      </c>
      <c r="AB1755" s="758" t="str">
        <f t="shared" si="363"/>
        <v/>
      </c>
      <c r="AC1755" s="758" t="str">
        <f t="shared" si="364"/>
        <v/>
      </c>
      <c r="AD1755" s="758" t="str">
        <f t="shared" si="365"/>
        <v>0</v>
      </c>
      <c r="AE1755" s="760"/>
      <c r="AF1755" s="760"/>
      <c r="AG1755" s="443"/>
      <c r="AH1755" s="443"/>
    </row>
    <row r="1756" spans="1:34">
      <c r="A1756" s="728">
        <f t="shared" si="361"/>
        <v>1749</v>
      </c>
      <c r="B1756" s="77"/>
      <c r="C1756" s="747"/>
      <c r="D1756" s="763" t="str">
        <f t="shared" si="352"/>
        <v>January</v>
      </c>
      <c r="E1756" s="763">
        <f t="shared" si="353"/>
        <v>0</v>
      </c>
      <c r="F1756" s="762">
        <f t="shared" si="354"/>
        <v>1900</v>
      </c>
      <c r="G1756" s="747"/>
      <c r="H1756" s="882"/>
      <c r="I1756" s="756"/>
      <c r="J1756" s="756"/>
      <c r="K1756" s="778">
        <f t="shared" si="355"/>
        <v>0</v>
      </c>
      <c r="L1756" s="976"/>
      <c r="M1756" s="736">
        <f t="shared" si="356"/>
        <v>0</v>
      </c>
      <c r="N1756" s="754"/>
      <c r="O1756" s="738">
        <f t="shared" si="357"/>
        <v>0</v>
      </c>
      <c r="P1756" s="757"/>
      <c r="Q1756" s="739">
        <f t="shared" si="358"/>
        <v>0</v>
      </c>
      <c r="R1756" s="757"/>
      <c r="S1756" s="755"/>
      <c r="T1756" s="277"/>
      <c r="U1756" s="758" t="str">
        <f t="shared" si="359"/>
        <v/>
      </c>
      <c r="V1756" s="758" t="str">
        <f t="shared" si="360"/>
        <v>1900</v>
      </c>
      <c r="W1756" s="759"/>
      <c r="X1756" s="771"/>
      <c r="Y1756" s="977"/>
      <c r="Z1756" s="758"/>
      <c r="AA1756" s="758" t="str">
        <f t="shared" si="362"/>
        <v/>
      </c>
      <c r="AB1756" s="758" t="str">
        <f t="shared" si="363"/>
        <v/>
      </c>
      <c r="AC1756" s="758" t="str">
        <f t="shared" si="364"/>
        <v/>
      </c>
      <c r="AD1756" s="758" t="str">
        <f t="shared" si="365"/>
        <v>0</v>
      </c>
      <c r="AE1756" s="760"/>
      <c r="AF1756" s="760"/>
      <c r="AG1756" s="443"/>
      <c r="AH1756" s="443"/>
    </row>
    <row r="1757" spans="1:34">
      <c r="A1757" s="728">
        <f t="shared" si="361"/>
        <v>1750</v>
      </c>
      <c r="B1757" s="77"/>
      <c r="C1757" s="747"/>
      <c r="D1757" s="763" t="str">
        <f t="shared" si="352"/>
        <v>January</v>
      </c>
      <c r="E1757" s="763">
        <f t="shared" si="353"/>
        <v>0</v>
      </c>
      <c r="F1757" s="762">
        <f t="shared" si="354"/>
        <v>1900</v>
      </c>
      <c r="G1757" s="747"/>
      <c r="H1757" s="882"/>
      <c r="I1757" s="756"/>
      <c r="J1757" s="756"/>
      <c r="K1757" s="778">
        <f t="shared" si="355"/>
        <v>0</v>
      </c>
      <c r="L1757" s="976"/>
      <c r="M1757" s="736">
        <f t="shared" si="356"/>
        <v>0</v>
      </c>
      <c r="N1757" s="754"/>
      <c r="O1757" s="738">
        <f t="shared" si="357"/>
        <v>0</v>
      </c>
      <c r="P1757" s="757"/>
      <c r="Q1757" s="739">
        <f t="shared" si="358"/>
        <v>0</v>
      </c>
      <c r="R1757" s="757"/>
      <c r="S1757" s="755"/>
      <c r="T1757" s="277"/>
      <c r="U1757" s="758" t="str">
        <f t="shared" si="359"/>
        <v/>
      </c>
      <c r="V1757" s="758" t="str">
        <f t="shared" si="360"/>
        <v>1900</v>
      </c>
      <c r="W1757" s="759"/>
      <c r="X1757" s="771"/>
      <c r="Y1757" s="977"/>
      <c r="Z1757" s="758"/>
      <c r="AA1757" s="758" t="str">
        <f t="shared" si="362"/>
        <v/>
      </c>
      <c r="AB1757" s="758" t="str">
        <f t="shared" si="363"/>
        <v/>
      </c>
      <c r="AC1757" s="758" t="str">
        <f t="shared" si="364"/>
        <v/>
      </c>
      <c r="AD1757" s="758" t="str">
        <f t="shared" si="365"/>
        <v>0</v>
      </c>
      <c r="AE1757" s="760"/>
      <c r="AF1757" s="760"/>
      <c r="AG1757" s="443"/>
      <c r="AH1757" s="443"/>
    </row>
    <row r="1758" spans="1:34">
      <c r="A1758" s="728">
        <f t="shared" si="361"/>
        <v>1751</v>
      </c>
      <c r="B1758" s="77"/>
      <c r="C1758" s="747"/>
      <c r="D1758" s="763" t="str">
        <f t="shared" si="352"/>
        <v>January</v>
      </c>
      <c r="E1758" s="763">
        <f t="shared" si="353"/>
        <v>0</v>
      </c>
      <c r="F1758" s="762">
        <f t="shared" si="354"/>
        <v>1900</v>
      </c>
      <c r="G1758" s="747"/>
      <c r="H1758" s="882"/>
      <c r="I1758" s="756"/>
      <c r="J1758" s="756"/>
      <c r="K1758" s="778">
        <f t="shared" si="355"/>
        <v>0</v>
      </c>
      <c r="L1758" s="976"/>
      <c r="M1758" s="736">
        <f t="shared" si="356"/>
        <v>0</v>
      </c>
      <c r="N1758" s="754"/>
      <c r="O1758" s="738">
        <f t="shared" si="357"/>
        <v>0</v>
      </c>
      <c r="P1758" s="757"/>
      <c r="Q1758" s="739">
        <f t="shared" si="358"/>
        <v>0</v>
      </c>
      <c r="R1758" s="757"/>
      <c r="S1758" s="755"/>
      <c r="T1758" s="277"/>
      <c r="U1758" s="758" t="str">
        <f t="shared" si="359"/>
        <v/>
      </c>
      <c r="V1758" s="758" t="str">
        <f t="shared" si="360"/>
        <v>1900</v>
      </c>
      <c r="W1758" s="759"/>
      <c r="X1758" s="771"/>
      <c r="Y1758" s="977"/>
      <c r="Z1758" s="758"/>
      <c r="AA1758" s="758" t="str">
        <f t="shared" si="362"/>
        <v/>
      </c>
      <c r="AB1758" s="758" t="str">
        <f t="shared" si="363"/>
        <v/>
      </c>
      <c r="AC1758" s="758" t="str">
        <f t="shared" si="364"/>
        <v/>
      </c>
      <c r="AD1758" s="758" t="str">
        <f t="shared" si="365"/>
        <v>0</v>
      </c>
      <c r="AE1758" s="760"/>
      <c r="AF1758" s="760"/>
      <c r="AG1758" s="443"/>
      <c r="AH1758" s="443"/>
    </row>
    <row r="1759" spans="1:34">
      <c r="A1759" s="728">
        <f t="shared" si="361"/>
        <v>1752</v>
      </c>
      <c r="B1759" s="77"/>
      <c r="C1759" s="747"/>
      <c r="D1759" s="763" t="str">
        <f t="shared" si="352"/>
        <v>January</v>
      </c>
      <c r="E1759" s="763">
        <f t="shared" si="353"/>
        <v>0</v>
      </c>
      <c r="F1759" s="762">
        <f t="shared" si="354"/>
        <v>1900</v>
      </c>
      <c r="G1759" s="747"/>
      <c r="H1759" s="882"/>
      <c r="I1759" s="756"/>
      <c r="J1759" s="756"/>
      <c r="K1759" s="778">
        <f t="shared" si="355"/>
        <v>0</v>
      </c>
      <c r="L1759" s="976"/>
      <c r="M1759" s="736">
        <f t="shared" si="356"/>
        <v>0</v>
      </c>
      <c r="N1759" s="754"/>
      <c r="O1759" s="738">
        <f t="shared" si="357"/>
        <v>0</v>
      </c>
      <c r="P1759" s="757"/>
      <c r="Q1759" s="739">
        <f t="shared" si="358"/>
        <v>0</v>
      </c>
      <c r="R1759" s="757"/>
      <c r="S1759" s="755"/>
      <c r="T1759" s="277"/>
      <c r="U1759" s="758" t="str">
        <f t="shared" si="359"/>
        <v/>
      </c>
      <c r="V1759" s="758" t="str">
        <f t="shared" si="360"/>
        <v>1900</v>
      </c>
      <c r="W1759" s="759"/>
      <c r="X1759" s="771"/>
      <c r="Y1759" s="977"/>
      <c r="Z1759" s="758"/>
      <c r="AA1759" s="758" t="str">
        <f t="shared" si="362"/>
        <v/>
      </c>
      <c r="AB1759" s="758" t="str">
        <f t="shared" si="363"/>
        <v/>
      </c>
      <c r="AC1759" s="758" t="str">
        <f t="shared" si="364"/>
        <v/>
      </c>
      <c r="AD1759" s="758" t="str">
        <f t="shared" si="365"/>
        <v>0</v>
      </c>
      <c r="AE1759" s="760"/>
      <c r="AF1759" s="760"/>
      <c r="AG1759" s="443"/>
      <c r="AH1759" s="443"/>
    </row>
    <row r="1760" spans="1:34">
      <c r="A1760" s="728">
        <f t="shared" si="361"/>
        <v>1753</v>
      </c>
      <c r="B1760" s="77"/>
      <c r="C1760" s="747"/>
      <c r="D1760" s="763" t="str">
        <f t="shared" si="352"/>
        <v>January</v>
      </c>
      <c r="E1760" s="763">
        <f t="shared" si="353"/>
        <v>0</v>
      </c>
      <c r="F1760" s="762">
        <f t="shared" si="354"/>
        <v>1900</v>
      </c>
      <c r="G1760" s="747"/>
      <c r="H1760" s="882"/>
      <c r="I1760" s="756"/>
      <c r="J1760" s="756"/>
      <c r="K1760" s="778">
        <f t="shared" si="355"/>
        <v>0</v>
      </c>
      <c r="L1760" s="976"/>
      <c r="M1760" s="736">
        <f t="shared" si="356"/>
        <v>0</v>
      </c>
      <c r="N1760" s="754"/>
      <c r="O1760" s="738">
        <f t="shared" si="357"/>
        <v>0</v>
      </c>
      <c r="P1760" s="757"/>
      <c r="Q1760" s="739">
        <f t="shared" si="358"/>
        <v>0</v>
      </c>
      <c r="R1760" s="757"/>
      <c r="S1760" s="755"/>
      <c r="T1760" s="277"/>
      <c r="U1760" s="758" t="str">
        <f t="shared" si="359"/>
        <v/>
      </c>
      <c r="V1760" s="758" t="str">
        <f t="shared" si="360"/>
        <v>1900</v>
      </c>
      <c r="W1760" s="759"/>
      <c r="X1760" s="771"/>
      <c r="Y1760" s="977"/>
      <c r="Z1760" s="758"/>
      <c r="AA1760" s="758" t="str">
        <f t="shared" si="362"/>
        <v/>
      </c>
      <c r="AB1760" s="758" t="str">
        <f t="shared" si="363"/>
        <v/>
      </c>
      <c r="AC1760" s="758" t="str">
        <f t="shared" si="364"/>
        <v/>
      </c>
      <c r="AD1760" s="758" t="str">
        <f t="shared" si="365"/>
        <v>0</v>
      </c>
      <c r="AE1760" s="760"/>
      <c r="AF1760" s="760"/>
      <c r="AG1760" s="443"/>
      <c r="AH1760" s="443"/>
    </row>
    <row r="1761" spans="1:34">
      <c r="A1761" s="728">
        <f t="shared" si="361"/>
        <v>1754</v>
      </c>
      <c r="B1761" s="77"/>
      <c r="C1761" s="747"/>
      <c r="D1761" s="763" t="str">
        <f t="shared" si="352"/>
        <v>January</v>
      </c>
      <c r="E1761" s="763">
        <f t="shared" si="353"/>
        <v>0</v>
      </c>
      <c r="F1761" s="762">
        <f t="shared" si="354"/>
        <v>1900</v>
      </c>
      <c r="G1761" s="747"/>
      <c r="H1761" s="882"/>
      <c r="I1761" s="756"/>
      <c r="J1761" s="756"/>
      <c r="K1761" s="778">
        <f t="shared" si="355"/>
        <v>0</v>
      </c>
      <c r="L1761" s="976"/>
      <c r="M1761" s="736">
        <f t="shared" si="356"/>
        <v>0</v>
      </c>
      <c r="N1761" s="754"/>
      <c r="O1761" s="738">
        <f t="shared" si="357"/>
        <v>0</v>
      </c>
      <c r="P1761" s="757"/>
      <c r="Q1761" s="739">
        <f t="shared" si="358"/>
        <v>0</v>
      </c>
      <c r="R1761" s="757"/>
      <c r="S1761" s="755"/>
      <c r="T1761" s="277"/>
      <c r="U1761" s="758" t="str">
        <f t="shared" si="359"/>
        <v/>
      </c>
      <c r="V1761" s="758" t="str">
        <f t="shared" si="360"/>
        <v>1900</v>
      </c>
      <c r="W1761" s="759"/>
      <c r="X1761" s="771"/>
      <c r="Y1761" s="977"/>
      <c r="Z1761" s="758"/>
      <c r="AA1761" s="758" t="str">
        <f t="shared" si="362"/>
        <v/>
      </c>
      <c r="AB1761" s="758" t="str">
        <f t="shared" si="363"/>
        <v/>
      </c>
      <c r="AC1761" s="758" t="str">
        <f t="shared" si="364"/>
        <v/>
      </c>
      <c r="AD1761" s="758" t="str">
        <f t="shared" si="365"/>
        <v>0</v>
      </c>
      <c r="AE1761" s="760"/>
      <c r="AF1761" s="760"/>
      <c r="AG1761" s="443"/>
      <c r="AH1761" s="443"/>
    </row>
    <row r="1762" spans="1:34">
      <c r="A1762" s="728">
        <f t="shared" si="361"/>
        <v>1755</v>
      </c>
      <c r="B1762" s="77"/>
      <c r="C1762" s="747"/>
      <c r="D1762" s="763" t="str">
        <f t="shared" si="352"/>
        <v>January</v>
      </c>
      <c r="E1762" s="763">
        <f t="shared" si="353"/>
        <v>0</v>
      </c>
      <c r="F1762" s="762">
        <f t="shared" si="354"/>
        <v>1900</v>
      </c>
      <c r="G1762" s="747"/>
      <c r="H1762" s="882"/>
      <c r="I1762" s="756"/>
      <c r="J1762" s="756"/>
      <c r="K1762" s="778">
        <f t="shared" si="355"/>
        <v>0</v>
      </c>
      <c r="L1762" s="976"/>
      <c r="M1762" s="736">
        <f t="shared" si="356"/>
        <v>0</v>
      </c>
      <c r="N1762" s="754"/>
      <c r="O1762" s="738">
        <f t="shared" si="357"/>
        <v>0</v>
      </c>
      <c r="P1762" s="757"/>
      <c r="Q1762" s="739">
        <f t="shared" si="358"/>
        <v>0</v>
      </c>
      <c r="R1762" s="757"/>
      <c r="S1762" s="755"/>
      <c r="T1762" s="277"/>
      <c r="U1762" s="758" t="str">
        <f t="shared" si="359"/>
        <v/>
      </c>
      <c r="V1762" s="758" t="str">
        <f t="shared" si="360"/>
        <v>1900</v>
      </c>
      <c r="W1762" s="759"/>
      <c r="X1762" s="771"/>
      <c r="Y1762" s="977"/>
      <c r="Z1762" s="758"/>
      <c r="AA1762" s="758" t="str">
        <f t="shared" si="362"/>
        <v/>
      </c>
      <c r="AB1762" s="758" t="str">
        <f t="shared" si="363"/>
        <v/>
      </c>
      <c r="AC1762" s="758" t="str">
        <f t="shared" si="364"/>
        <v/>
      </c>
      <c r="AD1762" s="758" t="str">
        <f t="shared" si="365"/>
        <v>0</v>
      </c>
      <c r="AE1762" s="760"/>
      <c r="AF1762" s="760"/>
      <c r="AG1762" s="443"/>
      <c r="AH1762" s="443"/>
    </row>
    <row r="1763" spans="1:34">
      <c r="A1763" s="728">
        <f t="shared" si="361"/>
        <v>1756</v>
      </c>
      <c r="B1763" s="77"/>
      <c r="C1763" s="747"/>
      <c r="D1763" s="763" t="str">
        <f t="shared" si="352"/>
        <v>January</v>
      </c>
      <c r="E1763" s="763">
        <f t="shared" si="353"/>
        <v>0</v>
      </c>
      <c r="F1763" s="762">
        <f t="shared" si="354"/>
        <v>1900</v>
      </c>
      <c r="G1763" s="747"/>
      <c r="H1763" s="882"/>
      <c r="I1763" s="756"/>
      <c r="J1763" s="756"/>
      <c r="K1763" s="778">
        <f t="shared" si="355"/>
        <v>0</v>
      </c>
      <c r="L1763" s="976"/>
      <c r="M1763" s="736">
        <f t="shared" si="356"/>
        <v>0</v>
      </c>
      <c r="N1763" s="754"/>
      <c r="O1763" s="738">
        <f t="shared" si="357"/>
        <v>0</v>
      </c>
      <c r="P1763" s="757"/>
      <c r="Q1763" s="739">
        <f t="shared" si="358"/>
        <v>0</v>
      </c>
      <c r="R1763" s="757"/>
      <c r="S1763" s="755"/>
      <c r="T1763" s="277"/>
      <c r="U1763" s="758" t="str">
        <f t="shared" si="359"/>
        <v/>
      </c>
      <c r="V1763" s="758" t="str">
        <f t="shared" si="360"/>
        <v>1900</v>
      </c>
      <c r="W1763" s="759"/>
      <c r="X1763" s="771"/>
      <c r="Y1763" s="977"/>
      <c r="Z1763" s="758"/>
      <c r="AA1763" s="758" t="str">
        <f t="shared" si="362"/>
        <v/>
      </c>
      <c r="AB1763" s="758" t="str">
        <f t="shared" si="363"/>
        <v/>
      </c>
      <c r="AC1763" s="758" t="str">
        <f t="shared" si="364"/>
        <v/>
      </c>
      <c r="AD1763" s="758" t="str">
        <f t="shared" si="365"/>
        <v>0</v>
      </c>
      <c r="AE1763" s="760"/>
      <c r="AF1763" s="760"/>
      <c r="AG1763" s="443"/>
      <c r="AH1763" s="443"/>
    </row>
    <row r="1764" spans="1:34">
      <c r="A1764" s="728">
        <f t="shared" si="361"/>
        <v>1757</v>
      </c>
      <c r="B1764" s="77"/>
      <c r="C1764" s="747"/>
      <c r="D1764" s="763" t="str">
        <f t="shared" si="352"/>
        <v>January</v>
      </c>
      <c r="E1764" s="763">
        <f t="shared" si="353"/>
        <v>0</v>
      </c>
      <c r="F1764" s="762">
        <f t="shared" si="354"/>
        <v>1900</v>
      </c>
      <c r="G1764" s="747"/>
      <c r="H1764" s="882"/>
      <c r="I1764" s="756"/>
      <c r="J1764" s="756"/>
      <c r="K1764" s="778">
        <f t="shared" si="355"/>
        <v>0</v>
      </c>
      <c r="L1764" s="976"/>
      <c r="M1764" s="736">
        <f t="shared" si="356"/>
        <v>0</v>
      </c>
      <c r="N1764" s="754"/>
      <c r="O1764" s="738">
        <f t="shared" si="357"/>
        <v>0</v>
      </c>
      <c r="P1764" s="757"/>
      <c r="Q1764" s="739">
        <f t="shared" si="358"/>
        <v>0</v>
      </c>
      <c r="R1764" s="757"/>
      <c r="S1764" s="755"/>
      <c r="T1764" s="277"/>
      <c r="U1764" s="758" t="str">
        <f t="shared" si="359"/>
        <v/>
      </c>
      <c r="V1764" s="758" t="str">
        <f t="shared" si="360"/>
        <v>1900</v>
      </c>
      <c r="W1764" s="759"/>
      <c r="X1764" s="771"/>
      <c r="Y1764" s="977"/>
      <c r="Z1764" s="758"/>
      <c r="AA1764" s="758" t="str">
        <f t="shared" si="362"/>
        <v/>
      </c>
      <c r="AB1764" s="758" t="str">
        <f t="shared" si="363"/>
        <v/>
      </c>
      <c r="AC1764" s="758" t="str">
        <f t="shared" si="364"/>
        <v/>
      </c>
      <c r="AD1764" s="758" t="str">
        <f t="shared" si="365"/>
        <v>0</v>
      </c>
      <c r="AE1764" s="760"/>
      <c r="AF1764" s="760"/>
      <c r="AG1764" s="443"/>
      <c r="AH1764" s="443"/>
    </row>
    <row r="1765" spans="1:34">
      <c r="A1765" s="728">
        <f t="shared" si="361"/>
        <v>1758</v>
      </c>
      <c r="B1765" s="77"/>
      <c r="C1765" s="747"/>
      <c r="D1765" s="763" t="str">
        <f t="shared" si="352"/>
        <v>January</v>
      </c>
      <c r="E1765" s="763">
        <f t="shared" si="353"/>
        <v>0</v>
      </c>
      <c r="F1765" s="762">
        <f t="shared" si="354"/>
        <v>1900</v>
      </c>
      <c r="G1765" s="747"/>
      <c r="H1765" s="882"/>
      <c r="I1765" s="756"/>
      <c r="J1765" s="756"/>
      <c r="K1765" s="778">
        <f t="shared" si="355"/>
        <v>0</v>
      </c>
      <c r="L1765" s="976"/>
      <c r="M1765" s="736">
        <f t="shared" si="356"/>
        <v>0</v>
      </c>
      <c r="N1765" s="754"/>
      <c r="O1765" s="738">
        <f t="shared" si="357"/>
        <v>0</v>
      </c>
      <c r="P1765" s="757"/>
      <c r="Q1765" s="739">
        <f t="shared" si="358"/>
        <v>0</v>
      </c>
      <c r="R1765" s="757"/>
      <c r="S1765" s="755"/>
      <c r="T1765" s="277"/>
      <c r="U1765" s="758" t="str">
        <f t="shared" si="359"/>
        <v/>
      </c>
      <c r="V1765" s="758" t="str">
        <f t="shared" si="360"/>
        <v>1900</v>
      </c>
      <c r="W1765" s="759"/>
      <c r="X1765" s="771"/>
      <c r="Y1765" s="977"/>
      <c r="Z1765" s="758"/>
      <c r="AA1765" s="758" t="str">
        <f t="shared" si="362"/>
        <v/>
      </c>
      <c r="AB1765" s="758" t="str">
        <f t="shared" si="363"/>
        <v/>
      </c>
      <c r="AC1765" s="758" t="str">
        <f t="shared" si="364"/>
        <v/>
      </c>
      <c r="AD1765" s="758" t="str">
        <f t="shared" si="365"/>
        <v>0</v>
      </c>
      <c r="AE1765" s="760"/>
      <c r="AF1765" s="760"/>
      <c r="AG1765" s="443"/>
      <c r="AH1765" s="443"/>
    </row>
    <row r="1766" spans="1:34">
      <c r="A1766" s="728">
        <f t="shared" si="361"/>
        <v>1759</v>
      </c>
      <c r="B1766" s="77"/>
      <c r="C1766" s="747"/>
      <c r="D1766" s="763" t="str">
        <f t="shared" si="352"/>
        <v>January</v>
      </c>
      <c r="E1766" s="763">
        <f t="shared" si="353"/>
        <v>0</v>
      </c>
      <c r="F1766" s="762">
        <f t="shared" si="354"/>
        <v>1900</v>
      </c>
      <c r="G1766" s="747"/>
      <c r="H1766" s="882"/>
      <c r="I1766" s="756"/>
      <c r="J1766" s="756"/>
      <c r="K1766" s="778">
        <f t="shared" si="355"/>
        <v>0</v>
      </c>
      <c r="L1766" s="976"/>
      <c r="M1766" s="736">
        <f t="shared" si="356"/>
        <v>0</v>
      </c>
      <c r="N1766" s="754"/>
      <c r="O1766" s="738">
        <f t="shared" si="357"/>
        <v>0</v>
      </c>
      <c r="P1766" s="757"/>
      <c r="Q1766" s="739">
        <f t="shared" si="358"/>
        <v>0</v>
      </c>
      <c r="R1766" s="757"/>
      <c r="S1766" s="755"/>
      <c r="T1766" s="277"/>
      <c r="U1766" s="758" t="str">
        <f t="shared" si="359"/>
        <v/>
      </c>
      <c r="V1766" s="758" t="str">
        <f t="shared" si="360"/>
        <v>1900</v>
      </c>
      <c r="W1766" s="759"/>
      <c r="X1766" s="771"/>
      <c r="Y1766" s="977"/>
      <c r="Z1766" s="758"/>
      <c r="AA1766" s="758" t="str">
        <f t="shared" si="362"/>
        <v/>
      </c>
      <c r="AB1766" s="758" t="str">
        <f t="shared" si="363"/>
        <v/>
      </c>
      <c r="AC1766" s="758" t="str">
        <f t="shared" si="364"/>
        <v/>
      </c>
      <c r="AD1766" s="758" t="str">
        <f t="shared" si="365"/>
        <v>0</v>
      </c>
      <c r="AE1766" s="760"/>
      <c r="AF1766" s="760"/>
      <c r="AG1766" s="443"/>
      <c r="AH1766" s="443"/>
    </row>
    <row r="1767" spans="1:34">
      <c r="A1767" s="728">
        <f t="shared" si="361"/>
        <v>1760</v>
      </c>
      <c r="B1767" s="77"/>
      <c r="C1767" s="747"/>
      <c r="D1767" s="763" t="str">
        <f t="shared" si="352"/>
        <v>January</v>
      </c>
      <c r="E1767" s="763">
        <f t="shared" si="353"/>
        <v>0</v>
      </c>
      <c r="F1767" s="762">
        <f t="shared" si="354"/>
        <v>1900</v>
      </c>
      <c r="G1767" s="747"/>
      <c r="H1767" s="882"/>
      <c r="I1767" s="756"/>
      <c r="J1767" s="756"/>
      <c r="K1767" s="778">
        <f t="shared" si="355"/>
        <v>0</v>
      </c>
      <c r="L1767" s="976"/>
      <c r="M1767" s="736">
        <f t="shared" si="356"/>
        <v>0</v>
      </c>
      <c r="N1767" s="754"/>
      <c r="O1767" s="738">
        <f t="shared" si="357"/>
        <v>0</v>
      </c>
      <c r="P1767" s="757"/>
      <c r="Q1767" s="739">
        <f t="shared" si="358"/>
        <v>0</v>
      </c>
      <c r="R1767" s="757"/>
      <c r="S1767" s="755"/>
      <c r="T1767" s="277"/>
      <c r="U1767" s="758" t="str">
        <f t="shared" si="359"/>
        <v/>
      </c>
      <c r="V1767" s="758" t="str">
        <f t="shared" si="360"/>
        <v>1900</v>
      </c>
      <c r="W1767" s="759"/>
      <c r="X1767" s="771"/>
      <c r="Y1767" s="977"/>
      <c r="Z1767" s="758"/>
      <c r="AA1767" s="758" t="str">
        <f t="shared" si="362"/>
        <v/>
      </c>
      <c r="AB1767" s="758" t="str">
        <f t="shared" si="363"/>
        <v/>
      </c>
      <c r="AC1767" s="758" t="str">
        <f t="shared" si="364"/>
        <v/>
      </c>
      <c r="AD1767" s="758" t="str">
        <f t="shared" si="365"/>
        <v>0</v>
      </c>
      <c r="AE1767" s="760"/>
      <c r="AF1767" s="760"/>
      <c r="AG1767" s="443"/>
      <c r="AH1767" s="443"/>
    </row>
    <row r="1768" spans="1:34">
      <c r="A1768" s="728">
        <f t="shared" si="361"/>
        <v>1761</v>
      </c>
      <c r="B1768" s="77"/>
      <c r="C1768" s="747"/>
      <c r="D1768" s="763" t="str">
        <f t="shared" si="352"/>
        <v>January</v>
      </c>
      <c r="E1768" s="763">
        <f t="shared" si="353"/>
        <v>0</v>
      </c>
      <c r="F1768" s="762">
        <f t="shared" si="354"/>
        <v>1900</v>
      </c>
      <c r="G1768" s="747"/>
      <c r="H1768" s="882"/>
      <c r="I1768" s="756"/>
      <c r="J1768" s="756"/>
      <c r="K1768" s="778">
        <f t="shared" si="355"/>
        <v>0</v>
      </c>
      <c r="L1768" s="976"/>
      <c r="M1768" s="736">
        <f t="shared" si="356"/>
        <v>0</v>
      </c>
      <c r="N1768" s="754"/>
      <c r="O1768" s="738">
        <f t="shared" si="357"/>
        <v>0</v>
      </c>
      <c r="P1768" s="757"/>
      <c r="Q1768" s="739">
        <f t="shared" si="358"/>
        <v>0</v>
      </c>
      <c r="R1768" s="757"/>
      <c r="S1768" s="755"/>
      <c r="T1768" s="277"/>
      <c r="U1768" s="758" t="str">
        <f t="shared" si="359"/>
        <v/>
      </c>
      <c r="V1768" s="758" t="str">
        <f t="shared" si="360"/>
        <v>1900</v>
      </c>
      <c r="W1768" s="759"/>
      <c r="X1768" s="771"/>
      <c r="Y1768" s="977"/>
      <c r="Z1768" s="758"/>
      <c r="AA1768" s="758" t="str">
        <f t="shared" si="362"/>
        <v/>
      </c>
      <c r="AB1768" s="758" t="str">
        <f t="shared" si="363"/>
        <v/>
      </c>
      <c r="AC1768" s="758" t="str">
        <f t="shared" si="364"/>
        <v/>
      </c>
      <c r="AD1768" s="758" t="str">
        <f t="shared" si="365"/>
        <v>0</v>
      </c>
      <c r="AE1768" s="760"/>
      <c r="AF1768" s="760"/>
      <c r="AG1768" s="443"/>
      <c r="AH1768" s="443"/>
    </row>
    <row r="1769" spans="1:34">
      <c r="A1769" s="728">
        <f t="shared" si="361"/>
        <v>1762</v>
      </c>
      <c r="B1769" s="77"/>
      <c r="C1769" s="747"/>
      <c r="D1769" s="763" t="str">
        <f t="shared" si="352"/>
        <v>January</v>
      </c>
      <c r="E1769" s="763">
        <f t="shared" si="353"/>
        <v>0</v>
      </c>
      <c r="F1769" s="762">
        <f t="shared" si="354"/>
        <v>1900</v>
      </c>
      <c r="G1769" s="747"/>
      <c r="H1769" s="882"/>
      <c r="I1769" s="756"/>
      <c r="J1769" s="756"/>
      <c r="K1769" s="778">
        <f t="shared" si="355"/>
        <v>0</v>
      </c>
      <c r="L1769" s="976"/>
      <c r="M1769" s="736">
        <f t="shared" si="356"/>
        <v>0</v>
      </c>
      <c r="N1769" s="754"/>
      <c r="O1769" s="738">
        <f t="shared" si="357"/>
        <v>0</v>
      </c>
      <c r="P1769" s="757"/>
      <c r="Q1769" s="739">
        <f t="shared" si="358"/>
        <v>0</v>
      </c>
      <c r="R1769" s="757"/>
      <c r="S1769" s="755"/>
      <c r="T1769" s="277"/>
      <c r="U1769" s="758" t="str">
        <f t="shared" si="359"/>
        <v/>
      </c>
      <c r="V1769" s="758" t="str">
        <f t="shared" si="360"/>
        <v>1900</v>
      </c>
      <c r="W1769" s="759"/>
      <c r="X1769" s="771"/>
      <c r="Y1769" s="977"/>
      <c r="Z1769" s="758"/>
      <c r="AA1769" s="758" t="str">
        <f t="shared" si="362"/>
        <v/>
      </c>
      <c r="AB1769" s="758" t="str">
        <f t="shared" si="363"/>
        <v/>
      </c>
      <c r="AC1769" s="758" t="str">
        <f t="shared" si="364"/>
        <v/>
      </c>
      <c r="AD1769" s="758" t="str">
        <f t="shared" si="365"/>
        <v>0</v>
      </c>
      <c r="AE1769" s="760"/>
      <c r="AF1769" s="760"/>
      <c r="AG1769" s="443"/>
      <c r="AH1769" s="443"/>
    </row>
    <row r="1770" spans="1:34">
      <c r="A1770" s="728">
        <f t="shared" si="361"/>
        <v>1763</v>
      </c>
      <c r="B1770" s="77"/>
      <c r="C1770" s="747"/>
      <c r="D1770" s="763" t="str">
        <f t="shared" si="352"/>
        <v>January</v>
      </c>
      <c r="E1770" s="763">
        <f t="shared" si="353"/>
        <v>0</v>
      </c>
      <c r="F1770" s="762">
        <f t="shared" si="354"/>
        <v>1900</v>
      </c>
      <c r="G1770" s="747"/>
      <c r="H1770" s="882"/>
      <c r="I1770" s="756"/>
      <c r="J1770" s="756"/>
      <c r="K1770" s="778">
        <f t="shared" si="355"/>
        <v>0</v>
      </c>
      <c r="L1770" s="976"/>
      <c r="M1770" s="736">
        <f t="shared" si="356"/>
        <v>0</v>
      </c>
      <c r="N1770" s="754"/>
      <c r="O1770" s="738">
        <f t="shared" si="357"/>
        <v>0</v>
      </c>
      <c r="P1770" s="757"/>
      <c r="Q1770" s="739">
        <f t="shared" si="358"/>
        <v>0</v>
      </c>
      <c r="R1770" s="757"/>
      <c r="S1770" s="755"/>
      <c r="T1770" s="277"/>
      <c r="U1770" s="758" t="str">
        <f t="shared" si="359"/>
        <v/>
      </c>
      <c r="V1770" s="758" t="str">
        <f t="shared" si="360"/>
        <v>1900</v>
      </c>
      <c r="W1770" s="759"/>
      <c r="X1770" s="771"/>
      <c r="Y1770" s="977"/>
      <c r="Z1770" s="758"/>
      <c r="AA1770" s="758" t="str">
        <f t="shared" si="362"/>
        <v/>
      </c>
      <c r="AB1770" s="758" t="str">
        <f t="shared" si="363"/>
        <v/>
      </c>
      <c r="AC1770" s="758" t="str">
        <f t="shared" si="364"/>
        <v/>
      </c>
      <c r="AD1770" s="758" t="str">
        <f t="shared" si="365"/>
        <v>0</v>
      </c>
      <c r="AE1770" s="760"/>
      <c r="AF1770" s="760"/>
      <c r="AG1770" s="443"/>
      <c r="AH1770" s="443"/>
    </row>
    <row r="1771" spans="1:34">
      <c r="A1771" s="728">
        <f t="shared" si="361"/>
        <v>1764</v>
      </c>
      <c r="B1771" s="77"/>
      <c r="C1771" s="747"/>
      <c r="D1771" s="763" t="str">
        <f t="shared" si="352"/>
        <v>January</v>
      </c>
      <c r="E1771" s="763">
        <f t="shared" si="353"/>
        <v>0</v>
      </c>
      <c r="F1771" s="762">
        <f t="shared" si="354"/>
        <v>1900</v>
      </c>
      <c r="G1771" s="747"/>
      <c r="H1771" s="882"/>
      <c r="I1771" s="756"/>
      <c r="J1771" s="756"/>
      <c r="K1771" s="778">
        <f t="shared" si="355"/>
        <v>0</v>
      </c>
      <c r="L1771" s="976"/>
      <c r="M1771" s="736">
        <f t="shared" si="356"/>
        <v>0</v>
      </c>
      <c r="N1771" s="754"/>
      <c r="O1771" s="738">
        <f t="shared" si="357"/>
        <v>0</v>
      </c>
      <c r="P1771" s="757"/>
      <c r="Q1771" s="739">
        <f t="shared" si="358"/>
        <v>0</v>
      </c>
      <c r="R1771" s="757"/>
      <c r="S1771" s="755"/>
      <c r="T1771" s="277"/>
      <c r="U1771" s="758" t="str">
        <f t="shared" si="359"/>
        <v/>
      </c>
      <c r="V1771" s="758" t="str">
        <f t="shared" si="360"/>
        <v>1900</v>
      </c>
      <c r="W1771" s="759"/>
      <c r="X1771" s="771"/>
      <c r="Y1771" s="977"/>
      <c r="Z1771" s="758"/>
      <c r="AA1771" s="758" t="str">
        <f t="shared" si="362"/>
        <v/>
      </c>
      <c r="AB1771" s="758" t="str">
        <f t="shared" si="363"/>
        <v/>
      </c>
      <c r="AC1771" s="758" t="str">
        <f t="shared" si="364"/>
        <v/>
      </c>
      <c r="AD1771" s="758" t="str">
        <f t="shared" si="365"/>
        <v>0</v>
      </c>
      <c r="AE1771" s="760"/>
      <c r="AF1771" s="760"/>
      <c r="AG1771" s="443"/>
      <c r="AH1771" s="443"/>
    </row>
    <row r="1772" spans="1:34">
      <c r="A1772" s="728">
        <f t="shared" si="361"/>
        <v>1765</v>
      </c>
      <c r="B1772" s="77"/>
      <c r="C1772" s="747"/>
      <c r="D1772" s="763" t="str">
        <f t="shared" si="352"/>
        <v>January</v>
      </c>
      <c r="E1772" s="763">
        <f t="shared" si="353"/>
        <v>0</v>
      </c>
      <c r="F1772" s="762">
        <f t="shared" si="354"/>
        <v>1900</v>
      </c>
      <c r="G1772" s="747"/>
      <c r="H1772" s="882"/>
      <c r="I1772" s="756"/>
      <c r="J1772" s="756"/>
      <c r="K1772" s="778">
        <f t="shared" si="355"/>
        <v>0</v>
      </c>
      <c r="L1772" s="976"/>
      <c r="M1772" s="736">
        <f t="shared" si="356"/>
        <v>0</v>
      </c>
      <c r="N1772" s="754"/>
      <c r="O1772" s="738">
        <f t="shared" si="357"/>
        <v>0</v>
      </c>
      <c r="P1772" s="757"/>
      <c r="Q1772" s="739">
        <f t="shared" si="358"/>
        <v>0</v>
      </c>
      <c r="R1772" s="757"/>
      <c r="S1772" s="755"/>
      <c r="T1772" s="277"/>
      <c r="U1772" s="758" t="str">
        <f t="shared" si="359"/>
        <v/>
      </c>
      <c r="V1772" s="758" t="str">
        <f t="shared" si="360"/>
        <v>1900</v>
      </c>
      <c r="W1772" s="759"/>
      <c r="X1772" s="771"/>
      <c r="Y1772" s="977"/>
      <c r="Z1772" s="758"/>
      <c r="AA1772" s="758" t="str">
        <f t="shared" si="362"/>
        <v/>
      </c>
      <c r="AB1772" s="758" t="str">
        <f t="shared" si="363"/>
        <v/>
      </c>
      <c r="AC1772" s="758" t="str">
        <f t="shared" si="364"/>
        <v/>
      </c>
      <c r="AD1772" s="758" t="str">
        <f t="shared" si="365"/>
        <v>0</v>
      </c>
      <c r="AE1772" s="760"/>
      <c r="AF1772" s="760"/>
      <c r="AG1772" s="443"/>
      <c r="AH1772" s="443"/>
    </row>
    <row r="1773" spans="1:34">
      <c r="A1773" s="728">
        <f t="shared" si="361"/>
        <v>1766</v>
      </c>
      <c r="B1773" s="77"/>
      <c r="C1773" s="747"/>
      <c r="D1773" s="763" t="str">
        <f t="shared" si="352"/>
        <v>January</v>
      </c>
      <c r="E1773" s="763">
        <f t="shared" si="353"/>
        <v>0</v>
      </c>
      <c r="F1773" s="762">
        <f t="shared" si="354"/>
        <v>1900</v>
      </c>
      <c r="G1773" s="747"/>
      <c r="H1773" s="882"/>
      <c r="I1773" s="756"/>
      <c r="J1773" s="756"/>
      <c r="K1773" s="778">
        <f t="shared" si="355"/>
        <v>0</v>
      </c>
      <c r="L1773" s="976"/>
      <c r="M1773" s="736">
        <f t="shared" si="356"/>
        <v>0</v>
      </c>
      <c r="N1773" s="754"/>
      <c r="O1773" s="738">
        <f t="shared" si="357"/>
        <v>0</v>
      </c>
      <c r="P1773" s="757"/>
      <c r="Q1773" s="739">
        <f t="shared" si="358"/>
        <v>0</v>
      </c>
      <c r="R1773" s="757"/>
      <c r="S1773" s="755"/>
      <c r="T1773" s="277"/>
      <c r="U1773" s="758" t="str">
        <f t="shared" si="359"/>
        <v/>
      </c>
      <c r="V1773" s="758" t="str">
        <f t="shared" si="360"/>
        <v>1900</v>
      </c>
      <c r="W1773" s="759"/>
      <c r="X1773" s="771"/>
      <c r="Y1773" s="977"/>
      <c r="Z1773" s="758"/>
      <c r="AA1773" s="758" t="str">
        <f t="shared" si="362"/>
        <v/>
      </c>
      <c r="AB1773" s="758" t="str">
        <f t="shared" si="363"/>
        <v/>
      </c>
      <c r="AC1773" s="758" t="str">
        <f t="shared" si="364"/>
        <v/>
      </c>
      <c r="AD1773" s="758" t="str">
        <f t="shared" si="365"/>
        <v>0</v>
      </c>
      <c r="AE1773" s="760"/>
      <c r="AF1773" s="760"/>
      <c r="AG1773" s="443"/>
      <c r="AH1773" s="443"/>
    </row>
    <row r="1774" spans="1:34">
      <c r="A1774" s="728">
        <f t="shared" si="361"/>
        <v>1767</v>
      </c>
      <c r="B1774" s="77"/>
      <c r="C1774" s="747"/>
      <c r="D1774" s="763" t="str">
        <f t="shared" si="352"/>
        <v>January</v>
      </c>
      <c r="E1774" s="763">
        <f t="shared" si="353"/>
        <v>0</v>
      </c>
      <c r="F1774" s="762">
        <f t="shared" si="354"/>
        <v>1900</v>
      </c>
      <c r="G1774" s="747"/>
      <c r="H1774" s="882"/>
      <c r="I1774" s="756"/>
      <c r="J1774" s="756"/>
      <c r="K1774" s="778">
        <f t="shared" si="355"/>
        <v>0</v>
      </c>
      <c r="L1774" s="976"/>
      <c r="M1774" s="736">
        <f t="shared" si="356"/>
        <v>0</v>
      </c>
      <c r="N1774" s="754"/>
      <c r="O1774" s="738">
        <f t="shared" si="357"/>
        <v>0</v>
      </c>
      <c r="P1774" s="757"/>
      <c r="Q1774" s="739">
        <f t="shared" si="358"/>
        <v>0</v>
      </c>
      <c r="R1774" s="757"/>
      <c r="S1774" s="755"/>
      <c r="T1774" s="277"/>
      <c r="U1774" s="758" t="str">
        <f t="shared" si="359"/>
        <v/>
      </c>
      <c r="V1774" s="758" t="str">
        <f t="shared" si="360"/>
        <v>1900</v>
      </c>
      <c r="W1774" s="759"/>
      <c r="X1774" s="771"/>
      <c r="Y1774" s="977"/>
      <c r="Z1774" s="758"/>
      <c r="AA1774" s="758" t="str">
        <f t="shared" si="362"/>
        <v/>
      </c>
      <c r="AB1774" s="758" t="str">
        <f t="shared" si="363"/>
        <v/>
      </c>
      <c r="AC1774" s="758" t="str">
        <f t="shared" si="364"/>
        <v/>
      </c>
      <c r="AD1774" s="758" t="str">
        <f t="shared" si="365"/>
        <v>0</v>
      </c>
      <c r="AE1774" s="760"/>
      <c r="AF1774" s="760"/>
      <c r="AG1774" s="443"/>
      <c r="AH1774" s="443"/>
    </row>
    <row r="1775" spans="1:34">
      <c r="A1775" s="728">
        <f t="shared" si="361"/>
        <v>1768</v>
      </c>
      <c r="B1775" s="77"/>
      <c r="C1775" s="747"/>
      <c r="D1775" s="763" t="str">
        <f t="shared" si="352"/>
        <v>January</v>
      </c>
      <c r="E1775" s="763">
        <f t="shared" si="353"/>
        <v>0</v>
      </c>
      <c r="F1775" s="762">
        <f t="shared" si="354"/>
        <v>1900</v>
      </c>
      <c r="G1775" s="747"/>
      <c r="H1775" s="882"/>
      <c r="I1775" s="756"/>
      <c r="J1775" s="756"/>
      <c r="K1775" s="778">
        <f t="shared" si="355"/>
        <v>0</v>
      </c>
      <c r="L1775" s="976"/>
      <c r="M1775" s="736">
        <f t="shared" si="356"/>
        <v>0</v>
      </c>
      <c r="N1775" s="754"/>
      <c r="O1775" s="738">
        <f t="shared" si="357"/>
        <v>0</v>
      </c>
      <c r="P1775" s="757"/>
      <c r="Q1775" s="739">
        <f t="shared" si="358"/>
        <v>0</v>
      </c>
      <c r="R1775" s="757"/>
      <c r="S1775" s="755"/>
      <c r="T1775" s="277"/>
      <c r="U1775" s="758" t="str">
        <f t="shared" si="359"/>
        <v/>
      </c>
      <c r="V1775" s="758" t="str">
        <f t="shared" si="360"/>
        <v>1900</v>
      </c>
      <c r="W1775" s="759"/>
      <c r="X1775" s="771"/>
      <c r="Y1775" s="977"/>
      <c r="Z1775" s="758"/>
      <c r="AA1775" s="758" t="str">
        <f t="shared" si="362"/>
        <v/>
      </c>
      <c r="AB1775" s="758" t="str">
        <f t="shared" si="363"/>
        <v/>
      </c>
      <c r="AC1775" s="758" t="str">
        <f t="shared" si="364"/>
        <v/>
      </c>
      <c r="AD1775" s="758" t="str">
        <f t="shared" si="365"/>
        <v>0</v>
      </c>
      <c r="AE1775" s="760"/>
      <c r="AF1775" s="760"/>
      <c r="AG1775" s="443"/>
      <c r="AH1775" s="443"/>
    </row>
    <row r="1776" spans="1:34">
      <c r="A1776" s="728">
        <f t="shared" si="361"/>
        <v>1769</v>
      </c>
      <c r="B1776" s="77"/>
      <c r="C1776" s="747"/>
      <c r="D1776" s="763" t="str">
        <f t="shared" si="352"/>
        <v>January</v>
      </c>
      <c r="E1776" s="763">
        <f t="shared" si="353"/>
        <v>0</v>
      </c>
      <c r="F1776" s="762">
        <f t="shared" si="354"/>
        <v>1900</v>
      </c>
      <c r="G1776" s="747"/>
      <c r="H1776" s="882"/>
      <c r="I1776" s="756"/>
      <c r="J1776" s="756"/>
      <c r="K1776" s="778">
        <f t="shared" si="355"/>
        <v>0</v>
      </c>
      <c r="L1776" s="976"/>
      <c r="M1776" s="736">
        <f t="shared" si="356"/>
        <v>0</v>
      </c>
      <c r="N1776" s="754"/>
      <c r="O1776" s="738">
        <f t="shared" si="357"/>
        <v>0</v>
      </c>
      <c r="P1776" s="757"/>
      <c r="Q1776" s="739">
        <f t="shared" si="358"/>
        <v>0</v>
      </c>
      <c r="R1776" s="757"/>
      <c r="S1776" s="755"/>
      <c r="T1776" s="277"/>
      <c r="U1776" s="758" t="str">
        <f t="shared" si="359"/>
        <v/>
      </c>
      <c r="V1776" s="758" t="str">
        <f t="shared" si="360"/>
        <v>1900</v>
      </c>
      <c r="W1776" s="759"/>
      <c r="X1776" s="771"/>
      <c r="Y1776" s="977"/>
      <c r="Z1776" s="758"/>
      <c r="AA1776" s="758" t="str">
        <f t="shared" si="362"/>
        <v/>
      </c>
      <c r="AB1776" s="758" t="str">
        <f t="shared" si="363"/>
        <v/>
      </c>
      <c r="AC1776" s="758" t="str">
        <f t="shared" si="364"/>
        <v/>
      </c>
      <c r="AD1776" s="758" t="str">
        <f t="shared" si="365"/>
        <v>0</v>
      </c>
      <c r="AE1776" s="760"/>
      <c r="AF1776" s="760"/>
      <c r="AG1776" s="443"/>
      <c r="AH1776" s="443"/>
    </row>
    <row r="1777" spans="1:34">
      <c r="A1777" s="728">
        <f t="shared" si="361"/>
        <v>1770</v>
      </c>
      <c r="B1777" s="77"/>
      <c r="C1777" s="747"/>
      <c r="D1777" s="763" t="str">
        <f t="shared" si="352"/>
        <v>January</v>
      </c>
      <c r="E1777" s="763">
        <f t="shared" si="353"/>
        <v>0</v>
      </c>
      <c r="F1777" s="762">
        <f t="shared" si="354"/>
        <v>1900</v>
      </c>
      <c r="G1777" s="747"/>
      <c r="H1777" s="882"/>
      <c r="I1777" s="756"/>
      <c r="J1777" s="756"/>
      <c r="K1777" s="778">
        <f t="shared" si="355"/>
        <v>0</v>
      </c>
      <c r="L1777" s="976"/>
      <c r="M1777" s="736">
        <f t="shared" si="356"/>
        <v>0</v>
      </c>
      <c r="N1777" s="754"/>
      <c r="O1777" s="738">
        <f t="shared" si="357"/>
        <v>0</v>
      </c>
      <c r="P1777" s="757"/>
      <c r="Q1777" s="739">
        <f t="shared" si="358"/>
        <v>0</v>
      </c>
      <c r="R1777" s="757"/>
      <c r="S1777" s="755"/>
      <c r="T1777" s="277"/>
      <c r="U1777" s="758" t="str">
        <f t="shared" si="359"/>
        <v/>
      </c>
      <c r="V1777" s="758" t="str">
        <f t="shared" si="360"/>
        <v>1900</v>
      </c>
      <c r="W1777" s="759"/>
      <c r="X1777" s="771"/>
      <c r="Y1777" s="977"/>
      <c r="Z1777" s="758"/>
      <c r="AA1777" s="758" t="str">
        <f t="shared" si="362"/>
        <v/>
      </c>
      <c r="AB1777" s="758" t="str">
        <f t="shared" si="363"/>
        <v/>
      </c>
      <c r="AC1777" s="758" t="str">
        <f t="shared" si="364"/>
        <v/>
      </c>
      <c r="AD1777" s="758" t="str">
        <f t="shared" si="365"/>
        <v>0</v>
      </c>
      <c r="AE1777" s="760"/>
      <c r="AF1777" s="760"/>
      <c r="AG1777" s="443"/>
      <c r="AH1777" s="443"/>
    </row>
    <row r="1778" spans="1:34">
      <c r="A1778" s="728">
        <f t="shared" si="361"/>
        <v>1771</v>
      </c>
      <c r="B1778" s="77"/>
      <c r="C1778" s="747"/>
      <c r="D1778" s="763" t="str">
        <f t="shared" si="352"/>
        <v>January</v>
      </c>
      <c r="E1778" s="763">
        <f t="shared" si="353"/>
        <v>0</v>
      </c>
      <c r="F1778" s="762">
        <f t="shared" si="354"/>
        <v>1900</v>
      </c>
      <c r="G1778" s="747"/>
      <c r="H1778" s="882"/>
      <c r="I1778" s="756"/>
      <c r="J1778" s="756"/>
      <c r="K1778" s="778">
        <f t="shared" si="355"/>
        <v>0</v>
      </c>
      <c r="L1778" s="976"/>
      <c r="M1778" s="736">
        <f t="shared" si="356"/>
        <v>0</v>
      </c>
      <c r="N1778" s="754"/>
      <c r="O1778" s="738">
        <f t="shared" si="357"/>
        <v>0</v>
      </c>
      <c r="P1778" s="757"/>
      <c r="Q1778" s="739">
        <f t="shared" si="358"/>
        <v>0</v>
      </c>
      <c r="R1778" s="757"/>
      <c r="S1778" s="755"/>
      <c r="T1778" s="277"/>
      <c r="U1778" s="758" t="str">
        <f t="shared" si="359"/>
        <v/>
      </c>
      <c r="V1778" s="758" t="str">
        <f t="shared" si="360"/>
        <v>1900</v>
      </c>
      <c r="W1778" s="759"/>
      <c r="X1778" s="771"/>
      <c r="Y1778" s="977"/>
      <c r="Z1778" s="758"/>
      <c r="AA1778" s="758" t="str">
        <f t="shared" si="362"/>
        <v/>
      </c>
      <c r="AB1778" s="758" t="str">
        <f t="shared" si="363"/>
        <v/>
      </c>
      <c r="AC1778" s="758" t="str">
        <f t="shared" si="364"/>
        <v/>
      </c>
      <c r="AD1778" s="758" t="str">
        <f t="shared" si="365"/>
        <v>0</v>
      </c>
      <c r="AE1778" s="760"/>
      <c r="AF1778" s="760"/>
      <c r="AG1778" s="443"/>
      <c r="AH1778" s="443"/>
    </row>
    <row r="1779" spans="1:34">
      <c r="A1779" s="728">
        <f t="shared" si="361"/>
        <v>1772</v>
      </c>
      <c r="B1779" s="77"/>
      <c r="C1779" s="747"/>
      <c r="D1779" s="763" t="str">
        <f t="shared" si="352"/>
        <v>January</v>
      </c>
      <c r="E1779" s="763">
        <f t="shared" si="353"/>
        <v>0</v>
      </c>
      <c r="F1779" s="762">
        <f t="shared" si="354"/>
        <v>1900</v>
      </c>
      <c r="G1779" s="747"/>
      <c r="H1779" s="882"/>
      <c r="I1779" s="756"/>
      <c r="J1779" s="756"/>
      <c r="K1779" s="778">
        <f t="shared" si="355"/>
        <v>0</v>
      </c>
      <c r="L1779" s="976"/>
      <c r="M1779" s="736">
        <f t="shared" si="356"/>
        <v>0</v>
      </c>
      <c r="N1779" s="754"/>
      <c r="O1779" s="738">
        <f t="shared" si="357"/>
        <v>0</v>
      </c>
      <c r="P1779" s="757"/>
      <c r="Q1779" s="739">
        <f t="shared" si="358"/>
        <v>0</v>
      </c>
      <c r="R1779" s="757"/>
      <c r="S1779" s="755"/>
      <c r="T1779" s="277"/>
      <c r="U1779" s="758" t="str">
        <f t="shared" si="359"/>
        <v/>
      </c>
      <c r="V1779" s="758" t="str">
        <f t="shared" si="360"/>
        <v>1900</v>
      </c>
      <c r="W1779" s="759"/>
      <c r="X1779" s="771"/>
      <c r="Y1779" s="977"/>
      <c r="Z1779" s="758"/>
      <c r="AA1779" s="758" t="str">
        <f t="shared" si="362"/>
        <v/>
      </c>
      <c r="AB1779" s="758" t="str">
        <f t="shared" si="363"/>
        <v/>
      </c>
      <c r="AC1779" s="758" t="str">
        <f t="shared" si="364"/>
        <v/>
      </c>
      <c r="AD1779" s="758" t="str">
        <f t="shared" si="365"/>
        <v>0</v>
      </c>
      <c r="AE1779" s="760"/>
      <c r="AF1779" s="760"/>
      <c r="AG1779" s="443"/>
      <c r="AH1779" s="443"/>
    </row>
    <row r="1780" spans="1:34">
      <c r="A1780" s="728">
        <f t="shared" si="361"/>
        <v>1773</v>
      </c>
      <c r="B1780" s="77"/>
      <c r="C1780" s="747"/>
      <c r="D1780" s="763" t="str">
        <f t="shared" si="352"/>
        <v>January</v>
      </c>
      <c r="E1780" s="763">
        <f t="shared" si="353"/>
        <v>0</v>
      </c>
      <c r="F1780" s="762">
        <f t="shared" si="354"/>
        <v>1900</v>
      </c>
      <c r="G1780" s="747"/>
      <c r="H1780" s="882"/>
      <c r="I1780" s="756"/>
      <c r="J1780" s="756"/>
      <c r="K1780" s="778">
        <f t="shared" si="355"/>
        <v>0</v>
      </c>
      <c r="L1780" s="976"/>
      <c r="M1780" s="736">
        <f t="shared" si="356"/>
        <v>0</v>
      </c>
      <c r="N1780" s="754"/>
      <c r="O1780" s="738">
        <f t="shared" si="357"/>
        <v>0</v>
      </c>
      <c r="P1780" s="757"/>
      <c r="Q1780" s="739">
        <f t="shared" si="358"/>
        <v>0</v>
      </c>
      <c r="R1780" s="757"/>
      <c r="S1780" s="755"/>
      <c r="T1780" s="277"/>
      <c r="U1780" s="758" t="str">
        <f t="shared" si="359"/>
        <v/>
      </c>
      <c r="V1780" s="758" t="str">
        <f t="shared" si="360"/>
        <v>1900</v>
      </c>
      <c r="W1780" s="759"/>
      <c r="X1780" s="771"/>
      <c r="Y1780" s="977"/>
      <c r="Z1780" s="758"/>
      <c r="AA1780" s="758" t="str">
        <f t="shared" si="362"/>
        <v/>
      </c>
      <c r="AB1780" s="758" t="str">
        <f t="shared" si="363"/>
        <v/>
      </c>
      <c r="AC1780" s="758" t="str">
        <f t="shared" si="364"/>
        <v/>
      </c>
      <c r="AD1780" s="758" t="str">
        <f t="shared" si="365"/>
        <v>0</v>
      </c>
      <c r="AE1780" s="760"/>
      <c r="AF1780" s="760"/>
      <c r="AG1780" s="443"/>
      <c r="AH1780" s="443"/>
    </row>
    <row r="1781" spans="1:34">
      <c r="A1781" s="728">
        <f t="shared" si="361"/>
        <v>1774</v>
      </c>
      <c r="B1781" s="77"/>
      <c r="C1781" s="747"/>
      <c r="D1781" s="763" t="str">
        <f t="shared" si="352"/>
        <v>January</v>
      </c>
      <c r="E1781" s="763">
        <f t="shared" si="353"/>
        <v>0</v>
      </c>
      <c r="F1781" s="762">
        <f t="shared" si="354"/>
        <v>1900</v>
      </c>
      <c r="G1781" s="747"/>
      <c r="H1781" s="882"/>
      <c r="I1781" s="756"/>
      <c r="J1781" s="756"/>
      <c r="K1781" s="778">
        <f t="shared" si="355"/>
        <v>0</v>
      </c>
      <c r="L1781" s="976"/>
      <c r="M1781" s="736">
        <f t="shared" si="356"/>
        <v>0</v>
      </c>
      <c r="N1781" s="754"/>
      <c r="O1781" s="738">
        <f t="shared" si="357"/>
        <v>0</v>
      </c>
      <c r="P1781" s="757"/>
      <c r="Q1781" s="739">
        <f t="shared" si="358"/>
        <v>0</v>
      </c>
      <c r="R1781" s="757"/>
      <c r="S1781" s="755"/>
      <c r="T1781" s="277"/>
      <c r="U1781" s="758" t="str">
        <f t="shared" si="359"/>
        <v/>
      </c>
      <c r="V1781" s="758" t="str">
        <f t="shared" si="360"/>
        <v>1900</v>
      </c>
      <c r="W1781" s="759"/>
      <c r="X1781" s="771"/>
      <c r="Y1781" s="977"/>
      <c r="Z1781" s="758"/>
      <c r="AA1781" s="758" t="str">
        <f t="shared" si="362"/>
        <v/>
      </c>
      <c r="AB1781" s="758" t="str">
        <f t="shared" si="363"/>
        <v/>
      </c>
      <c r="AC1781" s="758" t="str">
        <f t="shared" si="364"/>
        <v/>
      </c>
      <c r="AD1781" s="758" t="str">
        <f t="shared" si="365"/>
        <v>0</v>
      </c>
      <c r="AE1781" s="760"/>
      <c r="AF1781" s="760"/>
      <c r="AG1781" s="443"/>
      <c r="AH1781" s="443"/>
    </row>
    <row r="1782" spans="1:34">
      <c r="A1782" s="728">
        <f t="shared" si="361"/>
        <v>1775</v>
      </c>
      <c r="B1782" s="77"/>
      <c r="C1782" s="747"/>
      <c r="D1782" s="763" t="str">
        <f t="shared" si="352"/>
        <v>January</v>
      </c>
      <c r="E1782" s="763">
        <f t="shared" si="353"/>
        <v>0</v>
      </c>
      <c r="F1782" s="762">
        <f t="shared" si="354"/>
        <v>1900</v>
      </c>
      <c r="G1782" s="747"/>
      <c r="H1782" s="882"/>
      <c r="I1782" s="756"/>
      <c r="J1782" s="756"/>
      <c r="K1782" s="778">
        <f t="shared" si="355"/>
        <v>0</v>
      </c>
      <c r="L1782" s="976"/>
      <c r="M1782" s="736">
        <f t="shared" si="356"/>
        <v>0</v>
      </c>
      <c r="N1782" s="754"/>
      <c r="O1782" s="738">
        <f t="shared" si="357"/>
        <v>0</v>
      </c>
      <c r="P1782" s="757"/>
      <c r="Q1782" s="739">
        <f t="shared" si="358"/>
        <v>0</v>
      </c>
      <c r="R1782" s="757"/>
      <c r="S1782" s="755"/>
      <c r="T1782" s="277"/>
      <c r="U1782" s="758" t="str">
        <f t="shared" si="359"/>
        <v/>
      </c>
      <c r="V1782" s="758" t="str">
        <f t="shared" si="360"/>
        <v>1900</v>
      </c>
      <c r="W1782" s="759"/>
      <c r="X1782" s="771"/>
      <c r="Y1782" s="977"/>
      <c r="Z1782" s="758"/>
      <c r="AA1782" s="758" t="str">
        <f t="shared" si="362"/>
        <v/>
      </c>
      <c r="AB1782" s="758" t="str">
        <f t="shared" si="363"/>
        <v/>
      </c>
      <c r="AC1782" s="758" t="str">
        <f t="shared" si="364"/>
        <v/>
      </c>
      <c r="AD1782" s="758" t="str">
        <f t="shared" si="365"/>
        <v>0</v>
      </c>
      <c r="AE1782" s="760"/>
      <c r="AF1782" s="760"/>
      <c r="AG1782" s="443"/>
      <c r="AH1782" s="443"/>
    </row>
    <row r="1783" spans="1:34">
      <c r="A1783" s="728">
        <f t="shared" si="361"/>
        <v>1776</v>
      </c>
      <c r="B1783" s="77"/>
      <c r="C1783" s="747"/>
      <c r="D1783" s="763" t="str">
        <f t="shared" si="352"/>
        <v>January</v>
      </c>
      <c r="E1783" s="763">
        <f t="shared" si="353"/>
        <v>0</v>
      </c>
      <c r="F1783" s="762">
        <f t="shared" si="354"/>
        <v>1900</v>
      </c>
      <c r="G1783" s="747"/>
      <c r="H1783" s="882"/>
      <c r="I1783" s="756"/>
      <c r="J1783" s="756"/>
      <c r="K1783" s="778">
        <f t="shared" si="355"/>
        <v>0</v>
      </c>
      <c r="L1783" s="976"/>
      <c r="M1783" s="736">
        <f t="shared" si="356"/>
        <v>0</v>
      </c>
      <c r="N1783" s="754"/>
      <c r="O1783" s="738">
        <f t="shared" si="357"/>
        <v>0</v>
      </c>
      <c r="P1783" s="757"/>
      <c r="Q1783" s="739">
        <f t="shared" si="358"/>
        <v>0</v>
      </c>
      <c r="R1783" s="757"/>
      <c r="S1783" s="755"/>
      <c r="T1783" s="277"/>
      <c r="U1783" s="758" t="str">
        <f t="shared" si="359"/>
        <v/>
      </c>
      <c r="V1783" s="758" t="str">
        <f t="shared" si="360"/>
        <v>1900</v>
      </c>
      <c r="W1783" s="759"/>
      <c r="X1783" s="771"/>
      <c r="Y1783" s="977"/>
      <c r="Z1783" s="758"/>
      <c r="AA1783" s="758" t="str">
        <f t="shared" si="362"/>
        <v/>
      </c>
      <c r="AB1783" s="758" t="str">
        <f t="shared" si="363"/>
        <v/>
      </c>
      <c r="AC1783" s="758" t="str">
        <f t="shared" si="364"/>
        <v/>
      </c>
      <c r="AD1783" s="758" t="str">
        <f t="shared" si="365"/>
        <v>0</v>
      </c>
      <c r="AE1783" s="760"/>
      <c r="AF1783" s="760"/>
      <c r="AG1783" s="443"/>
      <c r="AH1783" s="443"/>
    </row>
    <row r="1784" spans="1:34">
      <c r="A1784" s="728">
        <f t="shared" si="361"/>
        <v>1777</v>
      </c>
      <c r="B1784" s="77"/>
      <c r="C1784" s="747"/>
      <c r="D1784" s="763" t="str">
        <f t="shared" si="352"/>
        <v>January</v>
      </c>
      <c r="E1784" s="763">
        <f t="shared" si="353"/>
        <v>0</v>
      </c>
      <c r="F1784" s="762">
        <f t="shared" si="354"/>
        <v>1900</v>
      </c>
      <c r="G1784" s="747"/>
      <c r="H1784" s="882"/>
      <c r="I1784" s="756"/>
      <c r="J1784" s="756"/>
      <c r="K1784" s="778">
        <f t="shared" si="355"/>
        <v>0</v>
      </c>
      <c r="L1784" s="976"/>
      <c r="M1784" s="736">
        <f t="shared" si="356"/>
        <v>0</v>
      </c>
      <c r="N1784" s="754"/>
      <c r="O1784" s="738">
        <f t="shared" si="357"/>
        <v>0</v>
      </c>
      <c r="P1784" s="757"/>
      <c r="Q1784" s="739">
        <f t="shared" si="358"/>
        <v>0</v>
      </c>
      <c r="R1784" s="757"/>
      <c r="S1784" s="755"/>
      <c r="T1784" s="277"/>
      <c r="U1784" s="758" t="str">
        <f t="shared" si="359"/>
        <v/>
      </c>
      <c r="V1784" s="758" t="str">
        <f t="shared" si="360"/>
        <v>1900</v>
      </c>
      <c r="W1784" s="759"/>
      <c r="X1784" s="771"/>
      <c r="Y1784" s="977"/>
      <c r="Z1784" s="758"/>
      <c r="AA1784" s="758" t="str">
        <f t="shared" si="362"/>
        <v/>
      </c>
      <c r="AB1784" s="758" t="str">
        <f t="shared" si="363"/>
        <v/>
      </c>
      <c r="AC1784" s="758" t="str">
        <f t="shared" si="364"/>
        <v/>
      </c>
      <c r="AD1784" s="758" t="str">
        <f t="shared" si="365"/>
        <v>0</v>
      </c>
      <c r="AE1784" s="760"/>
      <c r="AF1784" s="760"/>
      <c r="AG1784" s="443"/>
      <c r="AH1784" s="443"/>
    </row>
    <row r="1785" spans="1:34">
      <c r="A1785" s="728">
        <f t="shared" si="361"/>
        <v>1778</v>
      </c>
      <c r="B1785" s="77"/>
      <c r="C1785" s="747"/>
      <c r="D1785" s="763" t="str">
        <f t="shared" ref="D1785:D1848" si="366">TEXT(C1785,"mmmm")</f>
        <v>January</v>
      </c>
      <c r="E1785" s="763">
        <f t="shared" ref="E1785:E1848" si="367">DAY(C1785)</f>
        <v>0</v>
      </c>
      <c r="F1785" s="762">
        <f t="shared" ref="F1785:F1848" si="368">YEAR(C1785)</f>
        <v>1900</v>
      </c>
      <c r="G1785" s="747"/>
      <c r="H1785" s="882"/>
      <c r="I1785" s="756"/>
      <c r="J1785" s="756"/>
      <c r="K1785" s="778">
        <f t="shared" ref="K1785:K1848" si="369">+(I1785/1760)*J1785</f>
        <v>0</v>
      </c>
      <c r="L1785" s="976"/>
      <c r="M1785" s="736">
        <f t="shared" ref="M1785:M1848" si="370">HOUR(O1785)</f>
        <v>0</v>
      </c>
      <c r="N1785" s="754"/>
      <c r="O1785" s="738">
        <f t="shared" ref="O1785:O1848" si="371">+N1785</f>
        <v>0</v>
      </c>
      <c r="P1785" s="757"/>
      <c r="Q1785" s="739">
        <f t="shared" ref="Q1785:Q1848" si="372">+P1785-O1785</f>
        <v>0</v>
      </c>
      <c r="R1785" s="757"/>
      <c r="S1785" s="755"/>
      <c r="T1785" s="277"/>
      <c r="U1785" s="758" t="str">
        <f t="shared" si="359"/>
        <v/>
      </c>
      <c r="V1785" s="758" t="str">
        <f t="shared" si="360"/>
        <v>1900</v>
      </c>
      <c r="W1785" s="759"/>
      <c r="X1785" s="771"/>
      <c r="Y1785" s="977"/>
      <c r="Z1785" s="758"/>
      <c r="AA1785" s="758" t="str">
        <f t="shared" si="362"/>
        <v/>
      </c>
      <c r="AB1785" s="758" t="str">
        <f t="shared" si="363"/>
        <v/>
      </c>
      <c r="AC1785" s="758" t="str">
        <f t="shared" si="364"/>
        <v/>
      </c>
      <c r="AD1785" s="758" t="str">
        <f t="shared" si="365"/>
        <v>0</v>
      </c>
      <c r="AE1785" s="760"/>
      <c r="AF1785" s="760"/>
      <c r="AG1785" s="443"/>
      <c r="AH1785" s="443"/>
    </row>
    <row r="1786" spans="1:34">
      <c r="A1786" s="728">
        <f t="shared" si="361"/>
        <v>1779</v>
      </c>
      <c r="B1786" s="77"/>
      <c r="C1786" s="747"/>
      <c r="D1786" s="763" t="str">
        <f t="shared" si="366"/>
        <v>January</v>
      </c>
      <c r="E1786" s="763">
        <f t="shared" si="367"/>
        <v>0</v>
      </c>
      <c r="F1786" s="762">
        <f t="shared" si="368"/>
        <v>1900</v>
      </c>
      <c r="G1786" s="747"/>
      <c r="H1786" s="882"/>
      <c r="I1786" s="756"/>
      <c r="J1786" s="756"/>
      <c r="K1786" s="778">
        <f t="shared" si="369"/>
        <v>0</v>
      </c>
      <c r="L1786" s="976"/>
      <c r="M1786" s="736">
        <f t="shared" si="370"/>
        <v>0</v>
      </c>
      <c r="N1786" s="754"/>
      <c r="O1786" s="738">
        <f t="shared" si="371"/>
        <v>0</v>
      </c>
      <c r="P1786" s="757"/>
      <c r="Q1786" s="739">
        <f t="shared" si="372"/>
        <v>0</v>
      </c>
      <c r="R1786" s="757"/>
      <c r="S1786" s="755"/>
      <c r="T1786" s="277"/>
      <c r="U1786" s="758" t="str">
        <f t="shared" si="359"/>
        <v/>
      </c>
      <c r="V1786" s="758" t="str">
        <f t="shared" si="360"/>
        <v>1900</v>
      </c>
      <c r="W1786" s="759"/>
      <c r="X1786" s="771"/>
      <c r="Y1786" s="977"/>
      <c r="Z1786" s="758"/>
      <c r="AA1786" s="758" t="str">
        <f t="shared" si="362"/>
        <v/>
      </c>
      <c r="AB1786" s="758" t="str">
        <f t="shared" si="363"/>
        <v/>
      </c>
      <c r="AC1786" s="758" t="str">
        <f t="shared" si="364"/>
        <v/>
      </c>
      <c r="AD1786" s="758" t="str">
        <f t="shared" si="365"/>
        <v>0</v>
      </c>
      <c r="AE1786" s="760"/>
      <c r="AF1786" s="760"/>
      <c r="AG1786" s="443"/>
      <c r="AH1786" s="443"/>
    </row>
    <row r="1787" spans="1:34">
      <c r="A1787" s="728">
        <f t="shared" si="361"/>
        <v>1780</v>
      </c>
      <c r="B1787" s="77"/>
      <c r="C1787" s="747"/>
      <c r="D1787" s="763" t="str">
        <f t="shared" si="366"/>
        <v>January</v>
      </c>
      <c r="E1787" s="763">
        <f t="shared" si="367"/>
        <v>0</v>
      </c>
      <c r="F1787" s="762">
        <f t="shared" si="368"/>
        <v>1900</v>
      </c>
      <c r="G1787" s="747"/>
      <c r="H1787" s="882"/>
      <c r="I1787" s="756"/>
      <c r="J1787" s="756"/>
      <c r="K1787" s="778">
        <f t="shared" si="369"/>
        <v>0</v>
      </c>
      <c r="L1787" s="976"/>
      <c r="M1787" s="736">
        <f t="shared" si="370"/>
        <v>0</v>
      </c>
      <c r="N1787" s="754"/>
      <c r="O1787" s="738">
        <f t="shared" si="371"/>
        <v>0</v>
      </c>
      <c r="P1787" s="757"/>
      <c r="Q1787" s="739">
        <f t="shared" si="372"/>
        <v>0</v>
      </c>
      <c r="R1787" s="757"/>
      <c r="S1787" s="755"/>
      <c r="T1787" s="277"/>
      <c r="U1787" s="758" t="str">
        <f t="shared" si="359"/>
        <v/>
      </c>
      <c r="V1787" s="758" t="str">
        <f t="shared" si="360"/>
        <v>1900</v>
      </c>
      <c r="W1787" s="759"/>
      <c r="X1787" s="771"/>
      <c r="Y1787" s="977"/>
      <c r="Z1787" s="758"/>
      <c r="AA1787" s="758" t="str">
        <f t="shared" si="362"/>
        <v/>
      </c>
      <c r="AB1787" s="758" t="str">
        <f t="shared" si="363"/>
        <v/>
      </c>
      <c r="AC1787" s="758" t="str">
        <f t="shared" si="364"/>
        <v/>
      </c>
      <c r="AD1787" s="758" t="str">
        <f t="shared" si="365"/>
        <v>0</v>
      </c>
      <c r="AE1787" s="760"/>
      <c r="AF1787" s="760"/>
      <c r="AG1787" s="443"/>
      <c r="AH1787" s="443"/>
    </row>
    <row r="1788" spans="1:34">
      <c r="A1788" s="728">
        <f t="shared" si="361"/>
        <v>1781</v>
      </c>
      <c r="B1788" s="77"/>
      <c r="C1788" s="747"/>
      <c r="D1788" s="763" t="str">
        <f t="shared" si="366"/>
        <v>January</v>
      </c>
      <c r="E1788" s="763">
        <f t="shared" si="367"/>
        <v>0</v>
      </c>
      <c r="F1788" s="762">
        <f t="shared" si="368"/>
        <v>1900</v>
      </c>
      <c r="G1788" s="747"/>
      <c r="H1788" s="882"/>
      <c r="I1788" s="756"/>
      <c r="J1788" s="756"/>
      <c r="K1788" s="778">
        <f t="shared" si="369"/>
        <v>0</v>
      </c>
      <c r="L1788" s="976"/>
      <c r="M1788" s="736">
        <f t="shared" si="370"/>
        <v>0</v>
      </c>
      <c r="N1788" s="754"/>
      <c r="O1788" s="738">
        <f t="shared" si="371"/>
        <v>0</v>
      </c>
      <c r="P1788" s="757"/>
      <c r="Q1788" s="739">
        <f t="shared" si="372"/>
        <v>0</v>
      </c>
      <c r="R1788" s="757"/>
      <c r="S1788" s="755"/>
      <c r="T1788" s="277"/>
      <c r="U1788" s="758" t="str">
        <f t="shared" si="359"/>
        <v/>
      </c>
      <c r="V1788" s="758" t="str">
        <f t="shared" si="360"/>
        <v>1900</v>
      </c>
      <c r="W1788" s="759"/>
      <c r="X1788" s="771"/>
      <c r="Y1788" s="977"/>
      <c r="Z1788" s="758"/>
      <c r="AA1788" s="758" t="str">
        <f t="shared" si="362"/>
        <v/>
      </c>
      <c r="AB1788" s="758" t="str">
        <f t="shared" si="363"/>
        <v/>
      </c>
      <c r="AC1788" s="758" t="str">
        <f t="shared" si="364"/>
        <v/>
      </c>
      <c r="AD1788" s="758" t="str">
        <f t="shared" si="365"/>
        <v>0</v>
      </c>
      <c r="AE1788" s="760"/>
      <c r="AF1788" s="760"/>
      <c r="AG1788" s="443"/>
      <c r="AH1788" s="443"/>
    </row>
    <row r="1789" spans="1:34">
      <c r="A1789" s="728">
        <f t="shared" si="361"/>
        <v>1782</v>
      </c>
      <c r="B1789" s="77"/>
      <c r="C1789" s="747"/>
      <c r="D1789" s="763" t="str">
        <f t="shared" si="366"/>
        <v>January</v>
      </c>
      <c r="E1789" s="763">
        <f t="shared" si="367"/>
        <v>0</v>
      </c>
      <c r="F1789" s="762">
        <f t="shared" si="368"/>
        <v>1900</v>
      </c>
      <c r="G1789" s="747"/>
      <c r="H1789" s="882"/>
      <c r="I1789" s="756"/>
      <c r="J1789" s="756"/>
      <c r="K1789" s="778">
        <f t="shared" si="369"/>
        <v>0</v>
      </c>
      <c r="L1789" s="976"/>
      <c r="M1789" s="736">
        <f t="shared" si="370"/>
        <v>0</v>
      </c>
      <c r="N1789" s="754"/>
      <c r="O1789" s="738">
        <f t="shared" si="371"/>
        <v>0</v>
      </c>
      <c r="P1789" s="757"/>
      <c r="Q1789" s="739">
        <f t="shared" si="372"/>
        <v>0</v>
      </c>
      <c r="R1789" s="757"/>
      <c r="S1789" s="755"/>
      <c r="T1789" s="277"/>
      <c r="U1789" s="758" t="str">
        <f t="shared" si="359"/>
        <v/>
      </c>
      <c r="V1789" s="758" t="str">
        <f t="shared" si="360"/>
        <v>1900</v>
      </c>
      <c r="W1789" s="759"/>
      <c r="X1789" s="771"/>
      <c r="Y1789" s="977"/>
      <c r="Z1789" s="758"/>
      <c r="AA1789" s="758" t="str">
        <f t="shared" si="362"/>
        <v/>
      </c>
      <c r="AB1789" s="758" t="str">
        <f t="shared" si="363"/>
        <v/>
      </c>
      <c r="AC1789" s="758" t="str">
        <f t="shared" si="364"/>
        <v/>
      </c>
      <c r="AD1789" s="758" t="str">
        <f t="shared" si="365"/>
        <v>0</v>
      </c>
      <c r="AE1789" s="760"/>
      <c r="AF1789" s="760"/>
      <c r="AG1789" s="443"/>
      <c r="AH1789" s="443"/>
    </row>
    <row r="1790" spans="1:34">
      <c r="A1790" s="728">
        <f t="shared" si="361"/>
        <v>1783</v>
      </c>
      <c r="B1790" s="77"/>
      <c r="C1790" s="747"/>
      <c r="D1790" s="763" t="str">
        <f t="shared" si="366"/>
        <v>January</v>
      </c>
      <c r="E1790" s="763">
        <f t="shared" si="367"/>
        <v>0</v>
      </c>
      <c r="F1790" s="762">
        <f t="shared" si="368"/>
        <v>1900</v>
      </c>
      <c r="G1790" s="747"/>
      <c r="H1790" s="882"/>
      <c r="I1790" s="756"/>
      <c r="J1790" s="756"/>
      <c r="K1790" s="778">
        <f t="shared" si="369"/>
        <v>0</v>
      </c>
      <c r="L1790" s="976"/>
      <c r="M1790" s="736">
        <f t="shared" si="370"/>
        <v>0</v>
      </c>
      <c r="N1790" s="754"/>
      <c r="O1790" s="738">
        <f t="shared" si="371"/>
        <v>0</v>
      </c>
      <c r="P1790" s="757"/>
      <c r="Q1790" s="739">
        <f t="shared" si="372"/>
        <v>0</v>
      </c>
      <c r="R1790" s="757"/>
      <c r="S1790" s="755"/>
      <c r="T1790" s="277"/>
      <c r="U1790" s="758" t="str">
        <f t="shared" si="359"/>
        <v/>
      </c>
      <c r="V1790" s="758" t="str">
        <f t="shared" si="360"/>
        <v>1900</v>
      </c>
      <c r="W1790" s="759"/>
      <c r="X1790" s="771"/>
      <c r="Y1790" s="977"/>
      <c r="Z1790" s="758"/>
      <c r="AA1790" s="758" t="str">
        <f t="shared" si="362"/>
        <v/>
      </c>
      <c r="AB1790" s="758" t="str">
        <f t="shared" si="363"/>
        <v/>
      </c>
      <c r="AC1790" s="758" t="str">
        <f t="shared" si="364"/>
        <v/>
      </c>
      <c r="AD1790" s="758" t="str">
        <f t="shared" si="365"/>
        <v>0</v>
      </c>
      <c r="AE1790" s="760"/>
      <c r="AF1790" s="760"/>
      <c r="AG1790" s="443"/>
      <c r="AH1790" s="443"/>
    </row>
    <row r="1791" spans="1:34">
      <c r="A1791" s="728">
        <f t="shared" si="361"/>
        <v>1784</v>
      </c>
      <c r="B1791" s="77"/>
      <c r="C1791" s="747"/>
      <c r="D1791" s="763" t="str">
        <f t="shared" si="366"/>
        <v>January</v>
      </c>
      <c r="E1791" s="763">
        <f t="shared" si="367"/>
        <v>0</v>
      </c>
      <c r="F1791" s="762">
        <f t="shared" si="368"/>
        <v>1900</v>
      </c>
      <c r="G1791" s="747"/>
      <c r="H1791" s="882"/>
      <c r="I1791" s="756"/>
      <c r="J1791" s="756"/>
      <c r="K1791" s="778">
        <f t="shared" si="369"/>
        <v>0</v>
      </c>
      <c r="L1791" s="976"/>
      <c r="M1791" s="736">
        <f t="shared" si="370"/>
        <v>0</v>
      </c>
      <c r="N1791" s="754"/>
      <c r="O1791" s="738">
        <f t="shared" si="371"/>
        <v>0</v>
      </c>
      <c r="P1791" s="757"/>
      <c r="Q1791" s="739">
        <f t="shared" si="372"/>
        <v>0</v>
      </c>
      <c r="R1791" s="757"/>
      <c r="S1791" s="755"/>
      <c r="T1791" s="277"/>
      <c r="U1791" s="758" t="str">
        <f t="shared" si="359"/>
        <v/>
      </c>
      <c r="V1791" s="758" t="str">
        <f t="shared" si="360"/>
        <v>1900</v>
      </c>
      <c r="W1791" s="759"/>
      <c r="X1791" s="771"/>
      <c r="Y1791" s="977"/>
      <c r="Z1791" s="758"/>
      <c r="AA1791" s="758" t="str">
        <f t="shared" si="362"/>
        <v/>
      </c>
      <c r="AB1791" s="758" t="str">
        <f t="shared" si="363"/>
        <v/>
      </c>
      <c r="AC1791" s="758" t="str">
        <f t="shared" si="364"/>
        <v/>
      </c>
      <c r="AD1791" s="758" t="str">
        <f t="shared" si="365"/>
        <v>0</v>
      </c>
      <c r="AE1791" s="760"/>
      <c r="AF1791" s="760"/>
      <c r="AG1791" s="443"/>
      <c r="AH1791" s="443"/>
    </row>
    <row r="1792" spans="1:34">
      <c r="A1792" s="728">
        <f t="shared" si="361"/>
        <v>1785</v>
      </c>
      <c r="B1792" s="77"/>
      <c r="C1792" s="747"/>
      <c r="D1792" s="763" t="str">
        <f t="shared" si="366"/>
        <v>January</v>
      </c>
      <c r="E1792" s="763">
        <f t="shared" si="367"/>
        <v>0</v>
      </c>
      <c r="F1792" s="762">
        <f t="shared" si="368"/>
        <v>1900</v>
      </c>
      <c r="G1792" s="747"/>
      <c r="H1792" s="882"/>
      <c r="I1792" s="756"/>
      <c r="J1792" s="756"/>
      <c r="K1792" s="778">
        <f t="shared" si="369"/>
        <v>0</v>
      </c>
      <c r="L1792" s="976"/>
      <c r="M1792" s="736">
        <f t="shared" si="370"/>
        <v>0</v>
      </c>
      <c r="N1792" s="754"/>
      <c r="O1792" s="738">
        <f t="shared" si="371"/>
        <v>0</v>
      </c>
      <c r="P1792" s="757"/>
      <c r="Q1792" s="739">
        <f t="shared" si="372"/>
        <v>0</v>
      </c>
      <c r="R1792" s="757"/>
      <c r="S1792" s="755"/>
      <c r="T1792" s="277"/>
      <c r="U1792" s="758" t="str">
        <f t="shared" si="359"/>
        <v/>
      </c>
      <c r="V1792" s="758" t="str">
        <f t="shared" si="360"/>
        <v>1900</v>
      </c>
      <c r="W1792" s="759"/>
      <c r="X1792" s="771"/>
      <c r="Y1792" s="977"/>
      <c r="Z1792" s="758"/>
      <c r="AA1792" s="758" t="str">
        <f t="shared" si="362"/>
        <v/>
      </c>
      <c r="AB1792" s="758" t="str">
        <f t="shared" si="363"/>
        <v/>
      </c>
      <c r="AC1792" s="758" t="str">
        <f t="shared" si="364"/>
        <v/>
      </c>
      <c r="AD1792" s="758" t="str">
        <f t="shared" si="365"/>
        <v>0</v>
      </c>
      <c r="AE1792" s="760"/>
      <c r="AF1792" s="760"/>
      <c r="AG1792" s="443"/>
      <c r="AH1792" s="443"/>
    </row>
    <row r="1793" spans="1:34">
      <c r="A1793" s="728">
        <f t="shared" si="361"/>
        <v>1786</v>
      </c>
      <c r="B1793" s="77"/>
      <c r="C1793" s="747"/>
      <c r="D1793" s="763" t="str">
        <f t="shared" si="366"/>
        <v>January</v>
      </c>
      <c r="E1793" s="763">
        <f t="shared" si="367"/>
        <v>0</v>
      </c>
      <c r="F1793" s="762">
        <f t="shared" si="368"/>
        <v>1900</v>
      </c>
      <c r="G1793" s="747"/>
      <c r="H1793" s="882"/>
      <c r="I1793" s="756"/>
      <c r="J1793" s="756"/>
      <c r="K1793" s="778">
        <f t="shared" si="369"/>
        <v>0</v>
      </c>
      <c r="L1793" s="976"/>
      <c r="M1793" s="736">
        <f t="shared" si="370"/>
        <v>0</v>
      </c>
      <c r="N1793" s="754"/>
      <c r="O1793" s="738">
        <f t="shared" si="371"/>
        <v>0</v>
      </c>
      <c r="P1793" s="757"/>
      <c r="Q1793" s="739">
        <f t="shared" si="372"/>
        <v>0</v>
      </c>
      <c r="R1793" s="757"/>
      <c r="S1793" s="755"/>
      <c r="T1793" s="277"/>
      <c r="U1793" s="758" t="str">
        <f t="shared" si="359"/>
        <v/>
      </c>
      <c r="V1793" s="758" t="str">
        <f t="shared" si="360"/>
        <v>1900</v>
      </c>
      <c r="W1793" s="759"/>
      <c r="X1793" s="771"/>
      <c r="Y1793" s="977"/>
      <c r="Z1793" s="758"/>
      <c r="AA1793" s="758" t="str">
        <f t="shared" si="362"/>
        <v/>
      </c>
      <c r="AB1793" s="758" t="str">
        <f t="shared" si="363"/>
        <v/>
      </c>
      <c r="AC1793" s="758" t="str">
        <f t="shared" si="364"/>
        <v/>
      </c>
      <c r="AD1793" s="758" t="str">
        <f t="shared" si="365"/>
        <v>0</v>
      </c>
      <c r="AE1793" s="760"/>
      <c r="AF1793" s="760"/>
      <c r="AG1793" s="443"/>
      <c r="AH1793" s="443"/>
    </row>
    <row r="1794" spans="1:34">
      <c r="A1794" s="728">
        <f t="shared" si="361"/>
        <v>1787</v>
      </c>
      <c r="B1794" s="77"/>
      <c r="C1794" s="747"/>
      <c r="D1794" s="763" t="str">
        <f t="shared" si="366"/>
        <v>January</v>
      </c>
      <c r="E1794" s="763">
        <f t="shared" si="367"/>
        <v>0</v>
      </c>
      <c r="F1794" s="762">
        <f t="shared" si="368"/>
        <v>1900</v>
      </c>
      <c r="G1794" s="747"/>
      <c r="H1794" s="882"/>
      <c r="I1794" s="756"/>
      <c r="J1794" s="756"/>
      <c r="K1794" s="778">
        <f t="shared" si="369"/>
        <v>0</v>
      </c>
      <c r="L1794" s="976"/>
      <c r="M1794" s="736">
        <f t="shared" si="370"/>
        <v>0</v>
      </c>
      <c r="N1794" s="754"/>
      <c r="O1794" s="738">
        <f t="shared" si="371"/>
        <v>0</v>
      </c>
      <c r="P1794" s="757"/>
      <c r="Q1794" s="739">
        <f t="shared" si="372"/>
        <v>0</v>
      </c>
      <c r="R1794" s="757"/>
      <c r="S1794" s="755"/>
      <c r="T1794" s="277"/>
      <c r="U1794" s="758" t="str">
        <f t="shared" si="359"/>
        <v/>
      </c>
      <c r="V1794" s="758" t="str">
        <f t="shared" si="360"/>
        <v>1900</v>
      </c>
      <c r="W1794" s="759"/>
      <c r="X1794" s="771"/>
      <c r="Y1794" s="977"/>
      <c r="Z1794" s="758"/>
      <c r="AA1794" s="758" t="str">
        <f t="shared" si="362"/>
        <v/>
      </c>
      <c r="AB1794" s="758" t="str">
        <f t="shared" si="363"/>
        <v/>
      </c>
      <c r="AC1794" s="758" t="str">
        <f t="shared" si="364"/>
        <v/>
      </c>
      <c r="AD1794" s="758" t="str">
        <f t="shared" si="365"/>
        <v>0</v>
      </c>
      <c r="AE1794" s="760"/>
      <c r="AF1794" s="760"/>
      <c r="AG1794" s="443"/>
      <c r="AH1794" s="443"/>
    </row>
    <row r="1795" spans="1:34">
      <c r="A1795" s="728">
        <f t="shared" si="361"/>
        <v>1788</v>
      </c>
      <c r="B1795" s="77"/>
      <c r="C1795" s="747"/>
      <c r="D1795" s="763" t="str">
        <f t="shared" si="366"/>
        <v>January</v>
      </c>
      <c r="E1795" s="763">
        <f t="shared" si="367"/>
        <v>0</v>
      </c>
      <c r="F1795" s="762">
        <f t="shared" si="368"/>
        <v>1900</v>
      </c>
      <c r="G1795" s="747"/>
      <c r="H1795" s="882"/>
      <c r="I1795" s="756"/>
      <c r="J1795" s="756"/>
      <c r="K1795" s="778">
        <f t="shared" si="369"/>
        <v>0</v>
      </c>
      <c r="L1795" s="976"/>
      <c r="M1795" s="736">
        <f t="shared" si="370"/>
        <v>0</v>
      </c>
      <c r="N1795" s="754"/>
      <c r="O1795" s="738">
        <f t="shared" si="371"/>
        <v>0</v>
      </c>
      <c r="P1795" s="757"/>
      <c r="Q1795" s="739">
        <f t="shared" si="372"/>
        <v>0</v>
      </c>
      <c r="R1795" s="757"/>
      <c r="S1795" s="755"/>
      <c r="T1795" s="277"/>
      <c r="U1795" s="758" t="str">
        <f t="shared" si="359"/>
        <v/>
      </c>
      <c r="V1795" s="758" t="str">
        <f t="shared" si="360"/>
        <v>1900</v>
      </c>
      <c r="W1795" s="759"/>
      <c r="X1795" s="771"/>
      <c r="Y1795" s="977"/>
      <c r="Z1795" s="758"/>
      <c r="AA1795" s="758" t="str">
        <f t="shared" si="362"/>
        <v/>
      </c>
      <c r="AB1795" s="758" t="str">
        <f t="shared" si="363"/>
        <v/>
      </c>
      <c r="AC1795" s="758" t="str">
        <f t="shared" si="364"/>
        <v/>
      </c>
      <c r="AD1795" s="758" t="str">
        <f t="shared" si="365"/>
        <v>0</v>
      </c>
      <c r="AE1795" s="760"/>
      <c r="AF1795" s="760"/>
      <c r="AG1795" s="443"/>
      <c r="AH1795" s="443"/>
    </row>
    <row r="1796" spans="1:34">
      <c r="A1796" s="728">
        <f t="shared" si="361"/>
        <v>1789</v>
      </c>
      <c r="B1796" s="77"/>
      <c r="C1796" s="747"/>
      <c r="D1796" s="763" t="str">
        <f t="shared" si="366"/>
        <v>January</v>
      </c>
      <c r="E1796" s="763">
        <f t="shared" si="367"/>
        <v>0</v>
      </c>
      <c r="F1796" s="762">
        <f t="shared" si="368"/>
        <v>1900</v>
      </c>
      <c r="G1796" s="747"/>
      <c r="H1796" s="882"/>
      <c r="I1796" s="756"/>
      <c r="J1796" s="756"/>
      <c r="K1796" s="778">
        <f t="shared" si="369"/>
        <v>0</v>
      </c>
      <c r="L1796" s="976"/>
      <c r="M1796" s="736">
        <f t="shared" si="370"/>
        <v>0</v>
      </c>
      <c r="N1796" s="754"/>
      <c r="O1796" s="738">
        <f t="shared" si="371"/>
        <v>0</v>
      </c>
      <c r="P1796" s="757"/>
      <c r="Q1796" s="739">
        <f t="shared" si="372"/>
        <v>0</v>
      </c>
      <c r="R1796" s="757"/>
      <c r="S1796" s="755"/>
      <c r="T1796" s="277"/>
      <c r="U1796" s="758" t="str">
        <f t="shared" si="359"/>
        <v/>
      </c>
      <c r="V1796" s="758" t="str">
        <f t="shared" si="360"/>
        <v>1900</v>
      </c>
      <c r="W1796" s="759"/>
      <c r="X1796" s="771"/>
      <c r="Y1796" s="977"/>
      <c r="Z1796" s="758"/>
      <c r="AA1796" s="758" t="str">
        <f t="shared" si="362"/>
        <v/>
      </c>
      <c r="AB1796" s="758" t="str">
        <f t="shared" si="363"/>
        <v/>
      </c>
      <c r="AC1796" s="758" t="str">
        <f t="shared" si="364"/>
        <v/>
      </c>
      <c r="AD1796" s="758" t="str">
        <f t="shared" si="365"/>
        <v>0</v>
      </c>
      <c r="AE1796" s="760"/>
      <c r="AF1796" s="760"/>
      <c r="AG1796" s="443"/>
      <c r="AH1796" s="443"/>
    </row>
    <row r="1797" spans="1:34">
      <c r="A1797" s="728">
        <f t="shared" si="361"/>
        <v>1790</v>
      </c>
      <c r="B1797" s="77"/>
      <c r="C1797" s="747"/>
      <c r="D1797" s="763" t="str">
        <f t="shared" si="366"/>
        <v>January</v>
      </c>
      <c r="E1797" s="763">
        <f t="shared" si="367"/>
        <v>0</v>
      </c>
      <c r="F1797" s="762">
        <f t="shared" si="368"/>
        <v>1900</v>
      </c>
      <c r="G1797" s="747"/>
      <c r="H1797" s="882"/>
      <c r="I1797" s="756"/>
      <c r="J1797" s="756"/>
      <c r="K1797" s="778">
        <f t="shared" si="369"/>
        <v>0</v>
      </c>
      <c r="L1797" s="976"/>
      <c r="M1797" s="736">
        <f t="shared" si="370"/>
        <v>0</v>
      </c>
      <c r="N1797" s="754"/>
      <c r="O1797" s="738">
        <f t="shared" si="371"/>
        <v>0</v>
      </c>
      <c r="P1797" s="757"/>
      <c r="Q1797" s="739">
        <f t="shared" si="372"/>
        <v>0</v>
      </c>
      <c r="R1797" s="757"/>
      <c r="S1797" s="755"/>
      <c r="T1797" s="277"/>
      <c r="U1797" s="758" t="str">
        <f t="shared" si="359"/>
        <v/>
      </c>
      <c r="V1797" s="758" t="str">
        <f t="shared" si="360"/>
        <v>1900</v>
      </c>
      <c r="W1797" s="759"/>
      <c r="X1797" s="771"/>
      <c r="Y1797" s="977"/>
      <c r="Z1797" s="758"/>
      <c r="AA1797" s="758" t="str">
        <f t="shared" si="362"/>
        <v/>
      </c>
      <c r="AB1797" s="758" t="str">
        <f t="shared" si="363"/>
        <v/>
      </c>
      <c r="AC1797" s="758" t="str">
        <f t="shared" si="364"/>
        <v/>
      </c>
      <c r="AD1797" s="758" t="str">
        <f t="shared" si="365"/>
        <v>0</v>
      </c>
      <c r="AE1797" s="760"/>
      <c r="AF1797" s="760"/>
      <c r="AG1797" s="443"/>
      <c r="AH1797" s="443"/>
    </row>
    <row r="1798" spans="1:34">
      <c r="A1798" s="728">
        <f t="shared" si="361"/>
        <v>1791</v>
      </c>
      <c r="B1798" s="77"/>
      <c r="C1798" s="747"/>
      <c r="D1798" s="763" t="str">
        <f t="shared" si="366"/>
        <v>January</v>
      </c>
      <c r="E1798" s="763">
        <f t="shared" si="367"/>
        <v>0</v>
      </c>
      <c r="F1798" s="762">
        <f t="shared" si="368"/>
        <v>1900</v>
      </c>
      <c r="G1798" s="747"/>
      <c r="H1798" s="882"/>
      <c r="I1798" s="756"/>
      <c r="J1798" s="756"/>
      <c r="K1798" s="778">
        <f t="shared" si="369"/>
        <v>0</v>
      </c>
      <c r="L1798" s="976"/>
      <c r="M1798" s="736">
        <f t="shared" si="370"/>
        <v>0</v>
      </c>
      <c r="N1798" s="754"/>
      <c r="O1798" s="738">
        <f t="shared" si="371"/>
        <v>0</v>
      </c>
      <c r="P1798" s="757"/>
      <c r="Q1798" s="739">
        <f t="shared" si="372"/>
        <v>0</v>
      </c>
      <c r="R1798" s="757"/>
      <c r="S1798" s="755"/>
      <c r="T1798" s="277"/>
      <c r="U1798" s="758" t="str">
        <f t="shared" si="359"/>
        <v/>
      </c>
      <c r="V1798" s="758" t="str">
        <f t="shared" si="360"/>
        <v>1900</v>
      </c>
      <c r="W1798" s="759"/>
      <c r="X1798" s="771"/>
      <c r="Y1798" s="977"/>
      <c r="Z1798" s="758"/>
      <c r="AA1798" s="758" t="str">
        <f t="shared" si="362"/>
        <v/>
      </c>
      <c r="AB1798" s="758" t="str">
        <f t="shared" si="363"/>
        <v/>
      </c>
      <c r="AC1798" s="758" t="str">
        <f t="shared" si="364"/>
        <v/>
      </c>
      <c r="AD1798" s="758" t="str">
        <f t="shared" si="365"/>
        <v>0</v>
      </c>
      <c r="AE1798" s="760"/>
      <c r="AF1798" s="760"/>
      <c r="AG1798" s="443"/>
      <c r="AH1798" s="443"/>
    </row>
    <row r="1799" spans="1:34">
      <c r="A1799" s="728">
        <f t="shared" si="361"/>
        <v>1792</v>
      </c>
      <c r="B1799" s="77"/>
      <c r="C1799" s="747"/>
      <c r="D1799" s="763" t="str">
        <f t="shared" si="366"/>
        <v>January</v>
      </c>
      <c r="E1799" s="763">
        <f t="shared" si="367"/>
        <v>0</v>
      </c>
      <c r="F1799" s="762">
        <f t="shared" si="368"/>
        <v>1900</v>
      </c>
      <c r="G1799" s="747"/>
      <c r="H1799" s="882"/>
      <c r="I1799" s="756"/>
      <c r="J1799" s="756"/>
      <c r="K1799" s="778">
        <f t="shared" si="369"/>
        <v>0</v>
      </c>
      <c r="L1799" s="976"/>
      <c r="M1799" s="736">
        <f t="shared" si="370"/>
        <v>0</v>
      </c>
      <c r="N1799" s="754"/>
      <c r="O1799" s="738">
        <f t="shared" si="371"/>
        <v>0</v>
      </c>
      <c r="P1799" s="757"/>
      <c r="Q1799" s="739">
        <f t="shared" si="372"/>
        <v>0</v>
      </c>
      <c r="R1799" s="757"/>
      <c r="S1799" s="755"/>
      <c r="T1799" s="277"/>
      <c r="U1799" s="758" t="str">
        <f t="shared" ref="U1799:U1862" si="373">CONCATENATE(G1799,H1799)</f>
        <v/>
      </c>
      <c r="V1799" s="758" t="str">
        <f t="shared" ref="V1799:V1862" si="374">CONCATENATE(F1799,H1799)</f>
        <v>1900</v>
      </c>
      <c r="W1799" s="759"/>
      <c r="X1799" s="771"/>
      <c r="Y1799" s="977"/>
      <c r="Z1799" s="758"/>
      <c r="AA1799" s="758" t="str">
        <f t="shared" si="362"/>
        <v/>
      </c>
      <c r="AB1799" s="758" t="str">
        <f t="shared" si="363"/>
        <v/>
      </c>
      <c r="AC1799" s="758" t="str">
        <f t="shared" si="364"/>
        <v/>
      </c>
      <c r="AD1799" s="758" t="str">
        <f t="shared" si="365"/>
        <v>0</v>
      </c>
      <c r="AE1799" s="760"/>
      <c r="AF1799" s="760"/>
      <c r="AG1799" s="443"/>
      <c r="AH1799" s="443"/>
    </row>
    <row r="1800" spans="1:34">
      <c r="A1800" s="728">
        <f t="shared" si="361"/>
        <v>1793</v>
      </c>
      <c r="B1800" s="77"/>
      <c r="C1800" s="747"/>
      <c r="D1800" s="763" t="str">
        <f t="shared" si="366"/>
        <v>January</v>
      </c>
      <c r="E1800" s="763">
        <f t="shared" si="367"/>
        <v>0</v>
      </c>
      <c r="F1800" s="762">
        <f t="shared" si="368"/>
        <v>1900</v>
      </c>
      <c r="G1800" s="747"/>
      <c r="H1800" s="882"/>
      <c r="I1800" s="756"/>
      <c r="J1800" s="756"/>
      <c r="K1800" s="778">
        <f t="shared" si="369"/>
        <v>0</v>
      </c>
      <c r="L1800" s="976"/>
      <c r="M1800" s="736">
        <f t="shared" si="370"/>
        <v>0</v>
      </c>
      <c r="N1800" s="754"/>
      <c r="O1800" s="738">
        <f t="shared" si="371"/>
        <v>0</v>
      </c>
      <c r="P1800" s="757"/>
      <c r="Q1800" s="739">
        <f t="shared" si="372"/>
        <v>0</v>
      </c>
      <c r="R1800" s="757"/>
      <c r="S1800" s="755"/>
      <c r="T1800" s="277"/>
      <c r="U1800" s="758" t="str">
        <f t="shared" si="373"/>
        <v/>
      </c>
      <c r="V1800" s="758" t="str">
        <f t="shared" si="374"/>
        <v>1900</v>
      </c>
      <c r="W1800" s="759"/>
      <c r="X1800" s="771"/>
      <c r="Y1800" s="977"/>
      <c r="Z1800" s="758"/>
      <c r="AA1800" s="758" t="str">
        <f t="shared" si="362"/>
        <v/>
      </c>
      <c r="AB1800" s="758" t="str">
        <f t="shared" si="363"/>
        <v/>
      </c>
      <c r="AC1800" s="758" t="str">
        <f t="shared" si="364"/>
        <v/>
      </c>
      <c r="AD1800" s="758" t="str">
        <f t="shared" si="365"/>
        <v>0</v>
      </c>
      <c r="AE1800" s="760"/>
      <c r="AF1800" s="760"/>
      <c r="AG1800" s="443"/>
      <c r="AH1800" s="443"/>
    </row>
    <row r="1801" spans="1:34">
      <c r="A1801" s="728">
        <f t="shared" si="361"/>
        <v>1794</v>
      </c>
      <c r="B1801" s="77"/>
      <c r="C1801" s="747"/>
      <c r="D1801" s="763" t="str">
        <f t="shared" si="366"/>
        <v>January</v>
      </c>
      <c r="E1801" s="763">
        <f t="shared" si="367"/>
        <v>0</v>
      </c>
      <c r="F1801" s="762">
        <f t="shared" si="368"/>
        <v>1900</v>
      </c>
      <c r="G1801" s="747"/>
      <c r="H1801" s="882"/>
      <c r="I1801" s="756"/>
      <c r="J1801" s="756"/>
      <c r="K1801" s="778">
        <f t="shared" si="369"/>
        <v>0</v>
      </c>
      <c r="L1801" s="976"/>
      <c r="M1801" s="736">
        <f t="shared" si="370"/>
        <v>0</v>
      </c>
      <c r="N1801" s="754"/>
      <c r="O1801" s="738">
        <f t="shared" si="371"/>
        <v>0</v>
      </c>
      <c r="P1801" s="757"/>
      <c r="Q1801" s="739">
        <f t="shared" si="372"/>
        <v>0</v>
      </c>
      <c r="R1801" s="757"/>
      <c r="S1801" s="755"/>
      <c r="T1801" s="277"/>
      <c r="U1801" s="758" t="str">
        <f t="shared" si="373"/>
        <v/>
      </c>
      <c r="V1801" s="758" t="str">
        <f t="shared" si="374"/>
        <v>1900</v>
      </c>
      <c r="W1801" s="759"/>
      <c r="X1801" s="771"/>
      <c r="Y1801" s="977"/>
      <c r="Z1801" s="758"/>
      <c r="AA1801" s="758" t="str">
        <f t="shared" si="362"/>
        <v/>
      </c>
      <c r="AB1801" s="758" t="str">
        <f t="shared" si="363"/>
        <v/>
      </c>
      <c r="AC1801" s="758" t="str">
        <f t="shared" si="364"/>
        <v/>
      </c>
      <c r="AD1801" s="758" t="str">
        <f t="shared" si="365"/>
        <v>0</v>
      </c>
      <c r="AE1801" s="760"/>
      <c r="AF1801" s="760"/>
      <c r="AG1801" s="443"/>
      <c r="AH1801" s="443"/>
    </row>
    <row r="1802" spans="1:34">
      <c r="A1802" s="728">
        <f t="shared" si="361"/>
        <v>1795</v>
      </c>
      <c r="B1802" s="77"/>
      <c r="C1802" s="747"/>
      <c r="D1802" s="763" t="str">
        <f t="shared" si="366"/>
        <v>January</v>
      </c>
      <c r="E1802" s="763">
        <f t="shared" si="367"/>
        <v>0</v>
      </c>
      <c r="F1802" s="762">
        <f t="shared" si="368"/>
        <v>1900</v>
      </c>
      <c r="G1802" s="747"/>
      <c r="H1802" s="882"/>
      <c r="I1802" s="756"/>
      <c r="J1802" s="756"/>
      <c r="K1802" s="778">
        <f t="shared" si="369"/>
        <v>0</v>
      </c>
      <c r="L1802" s="976"/>
      <c r="M1802" s="736">
        <f t="shared" si="370"/>
        <v>0</v>
      </c>
      <c r="N1802" s="754"/>
      <c r="O1802" s="738">
        <f t="shared" si="371"/>
        <v>0</v>
      </c>
      <c r="P1802" s="757"/>
      <c r="Q1802" s="739">
        <f t="shared" si="372"/>
        <v>0</v>
      </c>
      <c r="R1802" s="757"/>
      <c r="S1802" s="755"/>
      <c r="T1802" s="277"/>
      <c r="U1802" s="758" t="str">
        <f t="shared" si="373"/>
        <v/>
      </c>
      <c r="V1802" s="758" t="str">
        <f t="shared" si="374"/>
        <v>1900</v>
      </c>
      <c r="W1802" s="759"/>
      <c r="X1802" s="771"/>
      <c r="Y1802" s="977"/>
      <c r="Z1802" s="758"/>
      <c r="AA1802" s="758" t="str">
        <f t="shared" si="362"/>
        <v/>
      </c>
      <c r="AB1802" s="758" t="str">
        <f t="shared" si="363"/>
        <v/>
      </c>
      <c r="AC1802" s="758" t="str">
        <f t="shared" si="364"/>
        <v/>
      </c>
      <c r="AD1802" s="758" t="str">
        <f t="shared" si="365"/>
        <v>0</v>
      </c>
      <c r="AE1802" s="760"/>
      <c r="AF1802" s="760"/>
      <c r="AG1802" s="443"/>
      <c r="AH1802" s="443"/>
    </row>
    <row r="1803" spans="1:34">
      <c r="A1803" s="728">
        <f t="shared" ref="A1803:A1866" si="375">+A1802+1</f>
        <v>1796</v>
      </c>
      <c r="B1803" s="77"/>
      <c r="C1803" s="747"/>
      <c r="D1803" s="763" t="str">
        <f t="shared" si="366"/>
        <v>January</v>
      </c>
      <c r="E1803" s="763">
        <f t="shared" si="367"/>
        <v>0</v>
      </c>
      <c r="F1803" s="762">
        <f t="shared" si="368"/>
        <v>1900</v>
      </c>
      <c r="G1803" s="747"/>
      <c r="H1803" s="882"/>
      <c r="I1803" s="756"/>
      <c r="J1803" s="756"/>
      <c r="K1803" s="778">
        <f t="shared" si="369"/>
        <v>0</v>
      </c>
      <c r="L1803" s="976"/>
      <c r="M1803" s="736">
        <f t="shared" si="370"/>
        <v>0</v>
      </c>
      <c r="N1803" s="754"/>
      <c r="O1803" s="738">
        <f t="shared" si="371"/>
        <v>0</v>
      </c>
      <c r="P1803" s="757"/>
      <c r="Q1803" s="739">
        <f t="shared" si="372"/>
        <v>0</v>
      </c>
      <c r="R1803" s="757"/>
      <c r="S1803" s="755"/>
      <c r="T1803" s="277"/>
      <c r="U1803" s="758" t="str">
        <f t="shared" si="373"/>
        <v/>
      </c>
      <c r="V1803" s="758" t="str">
        <f t="shared" si="374"/>
        <v>1900</v>
      </c>
      <c r="W1803" s="759"/>
      <c r="X1803" s="771"/>
      <c r="Y1803" s="977"/>
      <c r="Z1803" s="758"/>
      <c r="AA1803" s="758" t="str">
        <f t="shared" si="362"/>
        <v/>
      </c>
      <c r="AB1803" s="758" t="str">
        <f t="shared" si="363"/>
        <v/>
      </c>
      <c r="AC1803" s="758" t="str">
        <f t="shared" si="364"/>
        <v/>
      </c>
      <c r="AD1803" s="758" t="str">
        <f t="shared" si="365"/>
        <v>0</v>
      </c>
      <c r="AE1803" s="760"/>
      <c r="AF1803" s="760"/>
      <c r="AG1803" s="443"/>
      <c r="AH1803" s="443"/>
    </row>
    <row r="1804" spans="1:34">
      <c r="A1804" s="728">
        <f t="shared" si="375"/>
        <v>1797</v>
      </c>
      <c r="B1804" s="77"/>
      <c r="C1804" s="747"/>
      <c r="D1804" s="763" t="str">
        <f t="shared" si="366"/>
        <v>January</v>
      </c>
      <c r="E1804" s="763">
        <f t="shared" si="367"/>
        <v>0</v>
      </c>
      <c r="F1804" s="762">
        <f t="shared" si="368"/>
        <v>1900</v>
      </c>
      <c r="G1804" s="747"/>
      <c r="H1804" s="882"/>
      <c r="I1804" s="756"/>
      <c r="J1804" s="756"/>
      <c r="K1804" s="778">
        <f t="shared" si="369"/>
        <v>0</v>
      </c>
      <c r="L1804" s="976"/>
      <c r="M1804" s="736">
        <f t="shared" si="370"/>
        <v>0</v>
      </c>
      <c r="N1804" s="754"/>
      <c r="O1804" s="738">
        <f t="shared" si="371"/>
        <v>0</v>
      </c>
      <c r="P1804" s="757"/>
      <c r="Q1804" s="739">
        <f t="shared" si="372"/>
        <v>0</v>
      </c>
      <c r="R1804" s="757"/>
      <c r="S1804" s="755"/>
      <c r="T1804" s="277"/>
      <c r="U1804" s="758" t="str">
        <f t="shared" si="373"/>
        <v/>
      </c>
      <c r="V1804" s="758" t="str">
        <f t="shared" si="374"/>
        <v>1900</v>
      </c>
      <c r="W1804" s="759"/>
      <c r="X1804" s="771"/>
      <c r="Y1804" s="977"/>
      <c r="Z1804" s="758"/>
      <c r="AA1804" s="758" t="str">
        <f t="shared" si="362"/>
        <v/>
      </c>
      <c r="AB1804" s="758" t="str">
        <f t="shared" si="363"/>
        <v/>
      </c>
      <c r="AC1804" s="758" t="str">
        <f t="shared" si="364"/>
        <v/>
      </c>
      <c r="AD1804" s="758" t="str">
        <f t="shared" si="365"/>
        <v>0</v>
      </c>
      <c r="AE1804" s="760"/>
      <c r="AF1804" s="760"/>
      <c r="AG1804" s="443"/>
      <c r="AH1804" s="443"/>
    </row>
    <row r="1805" spans="1:34">
      <c r="A1805" s="728">
        <f t="shared" si="375"/>
        <v>1798</v>
      </c>
      <c r="B1805" s="77"/>
      <c r="C1805" s="747"/>
      <c r="D1805" s="763" t="str">
        <f t="shared" si="366"/>
        <v>January</v>
      </c>
      <c r="E1805" s="763">
        <f t="shared" si="367"/>
        <v>0</v>
      </c>
      <c r="F1805" s="762">
        <f t="shared" si="368"/>
        <v>1900</v>
      </c>
      <c r="G1805" s="747"/>
      <c r="H1805" s="882"/>
      <c r="I1805" s="756"/>
      <c r="J1805" s="756"/>
      <c r="K1805" s="778">
        <f t="shared" si="369"/>
        <v>0</v>
      </c>
      <c r="L1805" s="976"/>
      <c r="M1805" s="736">
        <f t="shared" si="370"/>
        <v>0</v>
      </c>
      <c r="N1805" s="754"/>
      <c r="O1805" s="738">
        <f t="shared" si="371"/>
        <v>0</v>
      </c>
      <c r="P1805" s="757"/>
      <c r="Q1805" s="739">
        <f t="shared" si="372"/>
        <v>0</v>
      </c>
      <c r="R1805" s="757"/>
      <c r="S1805" s="755"/>
      <c r="T1805" s="277"/>
      <c r="U1805" s="758" t="str">
        <f t="shared" si="373"/>
        <v/>
      </c>
      <c r="V1805" s="758" t="str">
        <f t="shared" si="374"/>
        <v>1900</v>
      </c>
      <c r="W1805" s="759"/>
      <c r="X1805" s="771"/>
      <c r="Y1805" s="977"/>
      <c r="Z1805" s="758"/>
      <c r="AA1805" s="758" t="str">
        <f t="shared" si="362"/>
        <v/>
      </c>
      <c r="AB1805" s="758" t="str">
        <f t="shared" si="363"/>
        <v/>
      </c>
      <c r="AC1805" s="758" t="str">
        <f t="shared" si="364"/>
        <v/>
      </c>
      <c r="AD1805" s="758" t="str">
        <f t="shared" si="365"/>
        <v>0</v>
      </c>
      <c r="AE1805" s="760"/>
      <c r="AF1805" s="760"/>
      <c r="AG1805" s="443"/>
      <c r="AH1805" s="443"/>
    </row>
    <row r="1806" spans="1:34">
      <c r="A1806" s="728">
        <f t="shared" si="375"/>
        <v>1799</v>
      </c>
      <c r="B1806" s="77"/>
      <c r="C1806" s="747"/>
      <c r="D1806" s="763" t="str">
        <f t="shared" si="366"/>
        <v>January</v>
      </c>
      <c r="E1806" s="763">
        <f t="shared" si="367"/>
        <v>0</v>
      </c>
      <c r="F1806" s="762">
        <f t="shared" si="368"/>
        <v>1900</v>
      </c>
      <c r="G1806" s="747"/>
      <c r="H1806" s="882"/>
      <c r="I1806" s="756"/>
      <c r="J1806" s="756"/>
      <c r="K1806" s="778">
        <f t="shared" si="369"/>
        <v>0</v>
      </c>
      <c r="L1806" s="976"/>
      <c r="M1806" s="736">
        <f t="shared" si="370"/>
        <v>0</v>
      </c>
      <c r="N1806" s="754"/>
      <c r="O1806" s="738">
        <f t="shared" si="371"/>
        <v>0</v>
      </c>
      <c r="P1806" s="757"/>
      <c r="Q1806" s="739">
        <f t="shared" si="372"/>
        <v>0</v>
      </c>
      <c r="R1806" s="757"/>
      <c r="S1806" s="755"/>
      <c r="T1806" s="277"/>
      <c r="U1806" s="758" t="str">
        <f t="shared" si="373"/>
        <v/>
      </c>
      <c r="V1806" s="758" t="str">
        <f t="shared" si="374"/>
        <v>1900</v>
      </c>
      <c r="W1806" s="759"/>
      <c r="X1806" s="771"/>
      <c r="Y1806" s="977"/>
      <c r="Z1806" s="758"/>
      <c r="AA1806" s="758" t="str">
        <f t="shared" si="362"/>
        <v/>
      </c>
      <c r="AB1806" s="758" t="str">
        <f t="shared" si="363"/>
        <v/>
      </c>
      <c r="AC1806" s="758" t="str">
        <f t="shared" si="364"/>
        <v/>
      </c>
      <c r="AD1806" s="758" t="str">
        <f t="shared" si="365"/>
        <v>0</v>
      </c>
      <c r="AE1806" s="760"/>
      <c r="AF1806" s="760"/>
      <c r="AG1806" s="443"/>
      <c r="AH1806" s="443"/>
    </row>
    <row r="1807" spans="1:34">
      <c r="A1807" s="728">
        <f t="shared" si="375"/>
        <v>1800</v>
      </c>
      <c r="B1807" s="77"/>
      <c r="C1807" s="747"/>
      <c r="D1807" s="763" t="str">
        <f t="shared" si="366"/>
        <v>January</v>
      </c>
      <c r="E1807" s="763">
        <f t="shared" si="367"/>
        <v>0</v>
      </c>
      <c r="F1807" s="762">
        <f t="shared" si="368"/>
        <v>1900</v>
      </c>
      <c r="G1807" s="747"/>
      <c r="H1807" s="882"/>
      <c r="I1807" s="756"/>
      <c r="J1807" s="756"/>
      <c r="K1807" s="778">
        <f t="shared" si="369"/>
        <v>0</v>
      </c>
      <c r="L1807" s="976"/>
      <c r="M1807" s="736">
        <f t="shared" si="370"/>
        <v>0</v>
      </c>
      <c r="N1807" s="754"/>
      <c r="O1807" s="738">
        <f t="shared" si="371"/>
        <v>0</v>
      </c>
      <c r="P1807" s="757"/>
      <c r="Q1807" s="739">
        <f t="shared" si="372"/>
        <v>0</v>
      </c>
      <c r="R1807" s="757"/>
      <c r="S1807" s="755"/>
      <c r="T1807" s="277"/>
      <c r="U1807" s="758" t="str">
        <f t="shared" si="373"/>
        <v/>
      </c>
      <c r="V1807" s="758" t="str">
        <f t="shared" si="374"/>
        <v>1900</v>
      </c>
      <c r="W1807" s="759"/>
      <c r="X1807" s="771"/>
      <c r="Y1807" s="977"/>
      <c r="Z1807" s="758"/>
      <c r="AA1807" s="758" t="str">
        <f t="shared" si="362"/>
        <v/>
      </c>
      <c r="AB1807" s="758" t="str">
        <f t="shared" si="363"/>
        <v/>
      </c>
      <c r="AC1807" s="758" t="str">
        <f t="shared" si="364"/>
        <v/>
      </c>
      <c r="AD1807" s="758" t="str">
        <f t="shared" si="365"/>
        <v>0</v>
      </c>
      <c r="AE1807" s="760"/>
      <c r="AF1807" s="760"/>
      <c r="AG1807" s="443"/>
      <c r="AH1807" s="443"/>
    </row>
    <row r="1808" spans="1:34">
      <c r="A1808" s="728">
        <f t="shared" si="375"/>
        <v>1801</v>
      </c>
      <c r="B1808" s="77"/>
      <c r="C1808" s="747"/>
      <c r="D1808" s="763" t="str">
        <f t="shared" si="366"/>
        <v>January</v>
      </c>
      <c r="E1808" s="763">
        <f t="shared" si="367"/>
        <v>0</v>
      </c>
      <c r="F1808" s="762">
        <f t="shared" si="368"/>
        <v>1900</v>
      </c>
      <c r="G1808" s="747"/>
      <c r="H1808" s="882"/>
      <c r="I1808" s="756"/>
      <c r="J1808" s="756"/>
      <c r="K1808" s="778">
        <f t="shared" si="369"/>
        <v>0</v>
      </c>
      <c r="L1808" s="976"/>
      <c r="M1808" s="736">
        <f t="shared" si="370"/>
        <v>0</v>
      </c>
      <c r="N1808" s="754"/>
      <c r="O1808" s="738">
        <f t="shared" si="371"/>
        <v>0</v>
      </c>
      <c r="P1808" s="757"/>
      <c r="Q1808" s="739">
        <f t="shared" si="372"/>
        <v>0</v>
      </c>
      <c r="R1808" s="757"/>
      <c r="S1808" s="755"/>
      <c r="T1808" s="277"/>
      <c r="U1808" s="758" t="str">
        <f t="shared" si="373"/>
        <v/>
      </c>
      <c r="V1808" s="758" t="str">
        <f t="shared" si="374"/>
        <v>1900</v>
      </c>
      <c r="W1808" s="759"/>
      <c r="X1808" s="771"/>
      <c r="Y1808" s="977"/>
      <c r="Z1808" s="758"/>
      <c r="AA1808" s="758" t="str">
        <f t="shared" ref="AA1808:AA1871" si="376">CONCATENATE(H1808,W1808)</f>
        <v/>
      </c>
      <c r="AB1808" s="758" t="str">
        <f t="shared" ref="AB1808:AB1871" si="377">CONCATENATE(H1808,X1808)</f>
        <v/>
      </c>
      <c r="AC1808" s="758" t="str">
        <f t="shared" ref="AC1808:AC1871" si="378">CONCATENATE(H1808,Y1808)</f>
        <v/>
      </c>
      <c r="AD1808" s="758" t="str">
        <f t="shared" si="365"/>
        <v>0</v>
      </c>
      <c r="AE1808" s="760"/>
      <c r="AF1808" s="760"/>
      <c r="AG1808" s="443"/>
      <c r="AH1808" s="443"/>
    </row>
    <row r="1809" spans="1:34">
      <c r="A1809" s="728">
        <f t="shared" si="375"/>
        <v>1802</v>
      </c>
      <c r="B1809" s="77"/>
      <c r="C1809" s="747"/>
      <c r="D1809" s="763" t="str">
        <f t="shared" si="366"/>
        <v>January</v>
      </c>
      <c r="E1809" s="763">
        <f t="shared" si="367"/>
        <v>0</v>
      </c>
      <c r="F1809" s="762">
        <f t="shared" si="368"/>
        <v>1900</v>
      </c>
      <c r="G1809" s="747"/>
      <c r="H1809" s="882"/>
      <c r="I1809" s="756"/>
      <c r="J1809" s="756"/>
      <c r="K1809" s="778">
        <f t="shared" si="369"/>
        <v>0</v>
      </c>
      <c r="L1809" s="976"/>
      <c r="M1809" s="736">
        <f t="shared" si="370"/>
        <v>0</v>
      </c>
      <c r="N1809" s="754"/>
      <c r="O1809" s="738">
        <f t="shared" si="371"/>
        <v>0</v>
      </c>
      <c r="P1809" s="757"/>
      <c r="Q1809" s="739">
        <f t="shared" si="372"/>
        <v>0</v>
      </c>
      <c r="R1809" s="757"/>
      <c r="S1809" s="755"/>
      <c r="T1809" s="277"/>
      <c r="U1809" s="758" t="str">
        <f t="shared" si="373"/>
        <v/>
      </c>
      <c r="V1809" s="758" t="str">
        <f t="shared" si="374"/>
        <v>1900</v>
      </c>
      <c r="W1809" s="759"/>
      <c r="X1809" s="771"/>
      <c r="Y1809" s="977"/>
      <c r="Z1809" s="758"/>
      <c r="AA1809" s="758" t="str">
        <f t="shared" si="376"/>
        <v/>
      </c>
      <c r="AB1809" s="758" t="str">
        <f t="shared" si="377"/>
        <v/>
      </c>
      <c r="AC1809" s="758" t="str">
        <f t="shared" si="378"/>
        <v/>
      </c>
      <c r="AD1809" s="758" t="str">
        <f t="shared" si="365"/>
        <v>0</v>
      </c>
      <c r="AE1809" s="760"/>
      <c r="AF1809" s="760"/>
      <c r="AG1809" s="443"/>
      <c r="AH1809" s="443"/>
    </row>
    <row r="1810" spans="1:34">
      <c r="A1810" s="728">
        <f t="shared" si="375"/>
        <v>1803</v>
      </c>
      <c r="B1810" s="77"/>
      <c r="C1810" s="747"/>
      <c r="D1810" s="763" t="str">
        <f t="shared" si="366"/>
        <v>January</v>
      </c>
      <c r="E1810" s="763">
        <f t="shared" si="367"/>
        <v>0</v>
      </c>
      <c r="F1810" s="762">
        <f t="shared" si="368"/>
        <v>1900</v>
      </c>
      <c r="G1810" s="747"/>
      <c r="H1810" s="882"/>
      <c r="I1810" s="756"/>
      <c r="J1810" s="756"/>
      <c r="K1810" s="778">
        <f t="shared" si="369"/>
        <v>0</v>
      </c>
      <c r="L1810" s="976"/>
      <c r="M1810" s="736">
        <f t="shared" si="370"/>
        <v>0</v>
      </c>
      <c r="N1810" s="754"/>
      <c r="O1810" s="738">
        <f t="shared" si="371"/>
        <v>0</v>
      </c>
      <c r="P1810" s="757"/>
      <c r="Q1810" s="739">
        <f t="shared" si="372"/>
        <v>0</v>
      </c>
      <c r="R1810" s="757"/>
      <c r="S1810" s="755"/>
      <c r="T1810" s="277"/>
      <c r="U1810" s="758" t="str">
        <f t="shared" si="373"/>
        <v/>
      </c>
      <c r="V1810" s="758" t="str">
        <f t="shared" si="374"/>
        <v>1900</v>
      </c>
      <c r="W1810" s="759"/>
      <c r="X1810" s="771"/>
      <c r="Y1810" s="977"/>
      <c r="Z1810" s="758"/>
      <c r="AA1810" s="758" t="str">
        <f t="shared" si="376"/>
        <v/>
      </c>
      <c r="AB1810" s="758" t="str">
        <f t="shared" si="377"/>
        <v/>
      </c>
      <c r="AC1810" s="758" t="str">
        <f t="shared" si="378"/>
        <v/>
      </c>
      <c r="AD1810" s="758" t="str">
        <f t="shared" si="365"/>
        <v>0</v>
      </c>
      <c r="AE1810" s="760"/>
      <c r="AF1810" s="760"/>
      <c r="AG1810" s="443"/>
      <c r="AH1810" s="443"/>
    </row>
    <row r="1811" spans="1:34">
      <c r="A1811" s="728">
        <f t="shared" si="375"/>
        <v>1804</v>
      </c>
      <c r="B1811" s="77"/>
      <c r="C1811" s="747"/>
      <c r="D1811" s="763" t="str">
        <f t="shared" si="366"/>
        <v>January</v>
      </c>
      <c r="E1811" s="763">
        <f t="shared" si="367"/>
        <v>0</v>
      </c>
      <c r="F1811" s="762">
        <f t="shared" si="368"/>
        <v>1900</v>
      </c>
      <c r="G1811" s="747"/>
      <c r="H1811" s="882"/>
      <c r="I1811" s="756"/>
      <c r="J1811" s="756"/>
      <c r="K1811" s="778">
        <f t="shared" si="369"/>
        <v>0</v>
      </c>
      <c r="L1811" s="976"/>
      <c r="M1811" s="736">
        <f t="shared" si="370"/>
        <v>0</v>
      </c>
      <c r="N1811" s="754"/>
      <c r="O1811" s="738">
        <f t="shared" si="371"/>
        <v>0</v>
      </c>
      <c r="P1811" s="757"/>
      <c r="Q1811" s="739">
        <f t="shared" si="372"/>
        <v>0</v>
      </c>
      <c r="R1811" s="757"/>
      <c r="S1811" s="755"/>
      <c r="T1811" s="277"/>
      <c r="U1811" s="758" t="str">
        <f t="shared" si="373"/>
        <v/>
      </c>
      <c r="V1811" s="758" t="str">
        <f t="shared" si="374"/>
        <v>1900</v>
      </c>
      <c r="W1811" s="759"/>
      <c r="X1811" s="771"/>
      <c r="Y1811" s="977"/>
      <c r="Z1811" s="758"/>
      <c r="AA1811" s="758" t="str">
        <f t="shared" si="376"/>
        <v/>
      </c>
      <c r="AB1811" s="758" t="str">
        <f t="shared" si="377"/>
        <v/>
      </c>
      <c r="AC1811" s="758" t="str">
        <f t="shared" si="378"/>
        <v/>
      </c>
      <c r="AD1811" s="758" t="str">
        <f t="shared" si="365"/>
        <v>0</v>
      </c>
      <c r="AE1811" s="760"/>
      <c r="AF1811" s="760"/>
      <c r="AG1811" s="443"/>
      <c r="AH1811" s="443"/>
    </row>
    <row r="1812" spans="1:34">
      <c r="A1812" s="728">
        <f t="shared" si="375"/>
        <v>1805</v>
      </c>
      <c r="B1812" s="77"/>
      <c r="C1812" s="747"/>
      <c r="D1812" s="763" t="str">
        <f t="shared" si="366"/>
        <v>January</v>
      </c>
      <c r="E1812" s="763">
        <f t="shared" si="367"/>
        <v>0</v>
      </c>
      <c r="F1812" s="762">
        <f t="shared" si="368"/>
        <v>1900</v>
      </c>
      <c r="G1812" s="747"/>
      <c r="H1812" s="882"/>
      <c r="I1812" s="756"/>
      <c r="J1812" s="756"/>
      <c r="K1812" s="778">
        <f t="shared" si="369"/>
        <v>0</v>
      </c>
      <c r="L1812" s="976"/>
      <c r="M1812" s="736">
        <f t="shared" si="370"/>
        <v>0</v>
      </c>
      <c r="N1812" s="754"/>
      <c r="O1812" s="738">
        <f t="shared" si="371"/>
        <v>0</v>
      </c>
      <c r="P1812" s="757"/>
      <c r="Q1812" s="739">
        <f t="shared" si="372"/>
        <v>0</v>
      </c>
      <c r="R1812" s="757"/>
      <c r="S1812" s="755"/>
      <c r="T1812" s="277"/>
      <c r="U1812" s="758" t="str">
        <f t="shared" si="373"/>
        <v/>
      </c>
      <c r="V1812" s="758" t="str">
        <f t="shared" si="374"/>
        <v>1900</v>
      </c>
      <c r="W1812" s="759"/>
      <c r="X1812" s="771"/>
      <c r="Y1812" s="977"/>
      <c r="Z1812" s="758"/>
      <c r="AA1812" s="758" t="str">
        <f t="shared" si="376"/>
        <v/>
      </c>
      <c r="AB1812" s="758" t="str">
        <f t="shared" si="377"/>
        <v/>
      </c>
      <c r="AC1812" s="758" t="str">
        <f t="shared" si="378"/>
        <v/>
      </c>
      <c r="AD1812" s="758" t="str">
        <f t="shared" si="365"/>
        <v>0</v>
      </c>
      <c r="AE1812" s="760"/>
      <c r="AF1812" s="760"/>
      <c r="AG1812" s="443"/>
      <c r="AH1812" s="443"/>
    </row>
    <row r="1813" spans="1:34">
      <c r="A1813" s="728">
        <f t="shared" si="375"/>
        <v>1806</v>
      </c>
      <c r="B1813" s="77"/>
      <c r="C1813" s="747"/>
      <c r="D1813" s="763" t="str">
        <f t="shared" si="366"/>
        <v>January</v>
      </c>
      <c r="E1813" s="763">
        <f t="shared" si="367"/>
        <v>0</v>
      </c>
      <c r="F1813" s="762">
        <f t="shared" si="368"/>
        <v>1900</v>
      </c>
      <c r="G1813" s="747"/>
      <c r="H1813" s="882"/>
      <c r="I1813" s="756"/>
      <c r="J1813" s="756"/>
      <c r="K1813" s="778">
        <f t="shared" si="369"/>
        <v>0</v>
      </c>
      <c r="L1813" s="976"/>
      <c r="M1813" s="736">
        <f t="shared" si="370"/>
        <v>0</v>
      </c>
      <c r="N1813" s="754"/>
      <c r="O1813" s="738">
        <f t="shared" si="371"/>
        <v>0</v>
      </c>
      <c r="P1813" s="757"/>
      <c r="Q1813" s="739">
        <f t="shared" si="372"/>
        <v>0</v>
      </c>
      <c r="R1813" s="757"/>
      <c r="S1813" s="755"/>
      <c r="T1813" s="277"/>
      <c r="U1813" s="758" t="str">
        <f t="shared" si="373"/>
        <v/>
      </c>
      <c r="V1813" s="758" t="str">
        <f t="shared" si="374"/>
        <v>1900</v>
      </c>
      <c r="W1813" s="759"/>
      <c r="X1813" s="771"/>
      <c r="Y1813" s="977"/>
      <c r="Z1813" s="758"/>
      <c r="AA1813" s="758" t="str">
        <f t="shared" si="376"/>
        <v/>
      </c>
      <c r="AB1813" s="758" t="str">
        <f t="shared" si="377"/>
        <v/>
      </c>
      <c r="AC1813" s="758" t="str">
        <f t="shared" si="378"/>
        <v/>
      </c>
      <c r="AD1813" s="758" t="str">
        <f t="shared" si="365"/>
        <v>0</v>
      </c>
      <c r="AE1813" s="760"/>
      <c r="AF1813" s="760"/>
      <c r="AG1813" s="443"/>
      <c r="AH1813" s="443"/>
    </row>
    <row r="1814" spans="1:34">
      <c r="A1814" s="728">
        <f t="shared" si="375"/>
        <v>1807</v>
      </c>
      <c r="B1814" s="77"/>
      <c r="C1814" s="747"/>
      <c r="D1814" s="763" t="str">
        <f t="shared" si="366"/>
        <v>January</v>
      </c>
      <c r="E1814" s="763">
        <f t="shared" si="367"/>
        <v>0</v>
      </c>
      <c r="F1814" s="762">
        <f t="shared" si="368"/>
        <v>1900</v>
      </c>
      <c r="G1814" s="747"/>
      <c r="H1814" s="882"/>
      <c r="I1814" s="756"/>
      <c r="J1814" s="756"/>
      <c r="K1814" s="778">
        <f t="shared" si="369"/>
        <v>0</v>
      </c>
      <c r="L1814" s="976"/>
      <c r="M1814" s="736">
        <f t="shared" si="370"/>
        <v>0</v>
      </c>
      <c r="N1814" s="754"/>
      <c r="O1814" s="738">
        <f t="shared" si="371"/>
        <v>0</v>
      </c>
      <c r="P1814" s="757"/>
      <c r="Q1814" s="739">
        <f t="shared" si="372"/>
        <v>0</v>
      </c>
      <c r="R1814" s="757"/>
      <c r="S1814" s="755"/>
      <c r="T1814" s="277"/>
      <c r="U1814" s="758" t="str">
        <f t="shared" si="373"/>
        <v/>
      </c>
      <c r="V1814" s="758" t="str">
        <f t="shared" si="374"/>
        <v>1900</v>
      </c>
      <c r="W1814" s="759"/>
      <c r="X1814" s="771"/>
      <c r="Y1814" s="977"/>
      <c r="Z1814" s="758"/>
      <c r="AA1814" s="758" t="str">
        <f t="shared" si="376"/>
        <v/>
      </c>
      <c r="AB1814" s="758" t="str">
        <f t="shared" si="377"/>
        <v/>
      </c>
      <c r="AC1814" s="758" t="str">
        <f t="shared" si="378"/>
        <v/>
      </c>
      <c r="AD1814" s="758" t="str">
        <f t="shared" si="365"/>
        <v>0</v>
      </c>
      <c r="AE1814" s="760"/>
      <c r="AF1814" s="760"/>
      <c r="AG1814" s="443"/>
      <c r="AH1814" s="443"/>
    </row>
    <row r="1815" spans="1:34">
      <c r="A1815" s="728">
        <f t="shared" si="375"/>
        <v>1808</v>
      </c>
      <c r="B1815" s="77"/>
      <c r="C1815" s="747"/>
      <c r="D1815" s="763" t="str">
        <f t="shared" si="366"/>
        <v>January</v>
      </c>
      <c r="E1815" s="763">
        <f t="shared" si="367"/>
        <v>0</v>
      </c>
      <c r="F1815" s="762">
        <f t="shared" si="368"/>
        <v>1900</v>
      </c>
      <c r="G1815" s="747"/>
      <c r="H1815" s="882"/>
      <c r="I1815" s="756"/>
      <c r="J1815" s="756"/>
      <c r="K1815" s="778">
        <f t="shared" si="369"/>
        <v>0</v>
      </c>
      <c r="L1815" s="976"/>
      <c r="M1815" s="736">
        <f t="shared" si="370"/>
        <v>0</v>
      </c>
      <c r="N1815" s="754"/>
      <c r="O1815" s="738">
        <f t="shared" si="371"/>
        <v>0</v>
      </c>
      <c r="P1815" s="757"/>
      <c r="Q1815" s="739">
        <f t="shared" si="372"/>
        <v>0</v>
      </c>
      <c r="R1815" s="757"/>
      <c r="S1815" s="755"/>
      <c r="T1815" s="277"/>
      <c r="U1815" s="758" t="str">
        <f t="shared" si="373"/>
        <v/>
      </c>
      <c r="V1815" s="758" t="str">
        <f t="shared" si="374"/>
        <v>1900</v>
      </c>
      <c r="W1815" s="759"/>
      <c r="X1815" s="771"/>
      <c r="Y1815" s="977"/>
      <c r="Z1815" s="758"/>
      <c r="AA1815" s="758" t="str">
        <f t="shared" si="376"/>
        <v/>
      </c>
      <c r="AB1815" s="758" t="str">
        <f t="shared" si="377"/>
        <v/>
      </c>
      <c r="AC1815" s="758" t="str">
        <f t="shared" si="378"/>
        <v/>
      </c>
      <c r="AD1815" s="758" t="str">
        <f t="shared" si="365"/>
        <v>0</v>
      </c>
      <c r="AE1815" s="760"/>
      <c r="AF1815" s="760"/>
      <c r="AG1815" s="443"/>
      <c r="AH1815" s="443"/>
    </row>
    <row r="1816" spans="1:34">
      <c r="A1816" s="728">
        <f t="shared" si="375"/>
        <v>1809</v>
      </c>
      <c r="B1816" s="77"/>
      <c r="C1816" s="747"/>
      <c r="D1816" s="763" t="str">
        <f t="shared" si="366"/>
        <v>January</v>
      </c>
      <c r="E1816" s="763">
        <f t="shared" si="367"/>
        <v>0</v>
      </c>
      <c r="F1816" s="762">
        <f t="shared" si="368"/>
        <v>1900</v>
      </c>
      <c r="G1816" s="747"/>
      <c r="H1816" s="882"/>
      <c r="I1816" s="756"/>
      <c r="J1816" s="756"/>
      <c r="K1816" s="778">
        <f t="shared" si="369"/>
        <v>0</v>
      </c>
      <c r="L1816" s="976"/>
      <c r="M1816" s="736">
        <f t="shared" si="370"/>
        <v>0</v>
      </c>
      <c r="N1816" s="754"/>
      <c r="O1816" s="738">
        <f t="shared" si="371"/>
        <v>0</v>
      </c>
      <c r="P1816" s="757"/>
      <c r="Q1816" s="739">
        <f t="shared" si="372"/>
        <v>0</v>
      </c>
      <c r="R1816" s="757"/>
      <c r="S1816" s="755"/>
      <c r="T1816" s="277"/>
      <c r="U1816" s="758" t="str">
        <f t="shared" si="373"/>
        <v/>
      </c>
      <c r="V1816" s="758" t="str">
        <f t="shared" si="374"/>
        <v>1900</v>
      </c>
      <c r="W1816" s="759"/>
      <c r="X1816" s="771"/>
      <c r="Y1816" s="977"/>
      <c r="Z1816" s="758"/>
      <c r="AA1816" s="758" t="str">
        <f t="shared" si="376"/>
        <v/>
      </c>
      <c r="AB1816" s="758" t="str">
        <f t="shared" si="377"/>
        <v/>
      </c>
      <c r="AC1816" s="758" t="str">
        <f t="shared" si="378"/>
        <v/>
      </c>
      <c r="AD1816" s="758" t="str">
        <f t="shared" si="365"/>
        <v>0</v>
      </c>
      <c r="AE1816" s="760"/>
      <c r="AF1816" s="760"/>
      <c r="AG1816" s="443"/>
      <c r="AH1816" s="443"/>
    </row>
    <row r="1817" spans="1:34">
      <c r="A1817" s="728">
        <f t="shared" si="375"/>
        <v>1810</v>
      </c>
      <c r="B1817" s="77"/>
      <c r="C1817" s="747"/>
      <c r="D1817" s="763" t="str">
        <f t="shared" si="366"/>
        <v>January</v>
      </c>
      <c r="E1817" s="763">
        <f t="shared" si="367"/>
        <v>0</v>
      </c>
      <c r="F1817" s="762">
        <f t="shared" si="368"/>
        <v>1900</v>
      </c>
      <c r="G1817" s="747"/>
      <c r="H1817" s="882"/>
      <c r="I1817" s="756"/>
      <c r="J1817" s="756"/>
      <c r="K1817" s="778">
        <f t="shared" si="369"/>
        <v>0</v>
      </c>
      <c r="L1817" s="976"/>
      <c r="M1817" s="736">
        <f t="shared" si="370"/>
        <v>0</v>
      </c>
      <c r="N1817" s="754"/>
      <c r="O1817" s="738">
        <f t="shared" si="371"/>
        <v>0</v>
      </c>
      <c r="P1817" s="757"/>
      <c r="Q1817" s="739">
        <f t="shared" si="372"/>
        <v>0</v>
      </c>
      <c r="R1817" s="757"/>
      <c r="S1817" s="755"/>
      <c r="T1817" s="277"/>
      <c r="U1817" s="758" t="str">
        <f t="shared" si="373"/>
        <v/>
      </c>
      <c r="V1817" s="758" t="str">
        <f t="shared" si="374"/>
        <v>1900</v>
      </c>
      <c r="W1817" s="759"/>
      <c r="X1817" s="771"/>
      <c r="Y1817" s="977"/>
      <c r="Z1817" s="758"/>
      <c r="AA1817" s="758" t="str">
        <f t="shared" si="376"/>
        <v/>
      </c>
      <c r="AB1817" s="758" t="str">
        <f t="shared" si="377"/>
        <v/>
      </c>
      <c r="AC1817" s="758" t="str">
        <f t="shared" si="378"/>
        <v/>
      </c>
      <c r="AD1817" s="758" t="str">
        <f t="shared" ref="AD1817:AD1880" si="379">CONCATENATE(H1817,M1817)</f>
        <v>0</v>
      </c>
      <c r="AE1817" s="760"/>
      <c r="AF1817" s="760"/>
      <c r="AG1817" s="443"/>
      <c r="AH1817" s="443"/>
    </row>
    <row r="1818" spans="1:34">
      <c r="A1818" s="728">
        <f t="shared" si="375"/>
        <v>1811</v>
      </c>
      <c r="B1818" s="77"/>
      <c r="C1818" s="747"/>
      <c r="D1818" s="763" t="str">
        <f t="shared" si="366"/>
        <v>January</v>
      </c>
      <c r="E1818" s="763">
        <f t="shared" si="367"/>
        <v>0</v>
      </c>
      <c r="F1818" s="762">
        <f t="shared" si="368"/>
        <v>1900</v>
      </c>
      <c r="G1818" s="747"/>
      <c r="H1818" s="882"/>
      <c r="I1818" s="756"/>
      <c r="J1818" s="756"/>
      <c r="K1818" s="778">
        <f t="shared" si="369"/>
        <v>0</v>
      </c>
      <c r="L1818" s="976"/>
      <c r="M1818" s="736">
        <f t="shared" si="370"/>
        <v>0</v>
      </c>
      <c r="N1818" s="754"/>
      <c r="O1818" s="738">
        <f t="shared" si="371"/>
        <v>0</v>
      </c>
      <c r="P1818" s="757"/>
      <c r="Q1818" s="739">
        <f t="shared" si="372"/>
        <v>0</v>
      </c>
      <c r="R1818" s="757"/>
      <c r="S1818" s="755"/>
      <c r="T1818" s="277"/>
      <c r="U1818" s="758" t="str">
        <f t="shared" si="373"/>
        <v/>
      </c>
      <c r="V1818" s="758" t="str">
        <f t="shared" si="374"/>
        <v>1900</v>
      </c>
      <c r="W1818" s="759"/>
      <c r="X1818" s="771"/>
      <c r="Y1818" s="977"/>
      <c r="Z1818" s="758"/>
      <c r="AA1818" s="758" t="str">
        <f t="shared" si="376"/>
        <v/>
      </c>
      <c r="AB1818" s="758" t="str">
        <f t="shared" si="377"/>
        <v/>
      </c>
      <c r="AC1818" s="758" t="str">
        <f t="shared" si="378"/>
        <v/>
      </c>
      <c r="AD1818" s="758" t="str">
        <f t="shared" si="379"/>
        <v>0</v>
      </c>
      <c r="AE1818" s="760"/>
      <c r="AF1818" s="760"/>
      <c r="AG1818" s="443"/>
      <c r="AH1818" s="443"/>
    </row>
    <row r="1819" spans="1:34">
      <c r="A1819" s="728">
        <f t="shared" si="375"/>
        <v>1812</v>
      </c>
      <c r="B1819" s="77"/>
      <c r="C1819" s="747"/>
      <c r="D1819" s="763" t="str">
        <f t="shared" si="366"/>
        <v>January</v>
      </c>
      <c r="E1819" s="763">
        <f t="shared" si="367"/>
        <v>0</v>
      </c>
      <c r="F1819" s="762">
        <f t="shared" si="368"/>
        <v>1900</v>
      </c>
      <c r="G1819" s="747"/>
      <c r="H1819" s="882"/>
      <c r="I1819" s="756"/>
      <c r="J1819" s="756"/>
      <c r="K1819" s="778">
        <f t="shared" si="369"/>
        <v>0</v>
      </c>
      <c r="L1819" s="976"/>
      <c r="M1819" s="736">
        <f t="shared" si="370"/>
        <v>0</v>
      </c>
      <c r="N1819" s="754"/>
      <c r="O1819" s="738">
        <f t="shared" si="371"/>
        <v>0</v>
      </c>
      <c r="P1819" s="757"/>
      <c r="Q1819" s="739">
        <f t="shared" si="372"/>
        <v>0</v>
      </c>
      <c r="R1819" s="757"/>
      <c r="S1819" s="755"/>
      <c r="T1819" s="277"/>
      <c r="U1819" s="758" t="str">
        <f t="shared" si="373"/>
        <v/>
      </c>
      <c r="V1819" s="758" t="str">
        <f t="shared" si="374"/>
        <v>1900</v>
      </c>
      <c r="W1819" s="759"/>
      <c r="X1819" s="771"/>
      <c r="Y1819" s="977"/>
      <c r="Z1819" s="758"/>
      <c r="AA1819" s="758" t="str">
        <f t="shared" si="376"/>
        <v/>
      </c>
      <c r="AB1819" s="758" t="str">
        <f t="shared" si="377"/>
        <v/>
      </c>
      <c r="AC1819" s="758" t="str">
        <f t="shared" si="378"/>
        <v/>
      </c>
      <c r="AD1819" s="758" t="str">
        <f t="shared" si="379"/>
        <v>0</v>
      </c>
      <c r="AE1819" s="760"/>
      <c r="AF1819" s="760"/>
      <c r="AG1819" s="443"/>
      <c r="AH1819" s="443"/>
    </row>
    <row r="1820" spans="1:34">
      <c r="A1820" s="728">
        <f t="shared" si="375"/>
        <v>1813</v>
      </c>
      <c r="B1820" s="77"/>
      <c r="C1820" s="747"/>
      <c r="D1820" s="763" t="str">
        <f t="shared" si="366"/>
        <v>January</v>
      </c>
      <c r="E1820" s="763">
        <f t="shared" si="367"/>
        <v>0</v>
      </c>
      <c r="F1820" s="762">
        <f t="shared" si="368"/>
        <v>1900</v>
      </c>
      <c r="G1820" s="747"/>
      <c r="H1820" s="882"/>
      <c r="I1820" s="756"/>
      <c r="J1820" s="756"/>
      <c r="K1820" s="778">
        <f t="shared" si="369"/>
        <v>0</v>
      </c>
      <c r="L1820" s="976"/>
      <c r="M1820" s="736">
        <f t="shared" si="370"/>
        <v>0</v>
      </c>
      <c r="N1820" s="754"/>
      <c r="O1820" s="738">
        <f t="shared" si="371"/>
        <v>0</v>
      </c>
      <c r="P1820" s="757"/>
      <c r="Q1820" s="739">
        <f t="shared" si="372"/>
        <v>0</v>
      </c>
      <c r="R1820" s="757"/>
      <c r="S1820" s="755"/>
      <c r="T1820" s="277"/>
      <c r="U1820" s="758" t="str">
        <f t="shared" si="373"/>
        <v/>
      </c>
      <c r="V1820" s="758" t="str">
        <f t="shared" si="374"/>
        <v>1900</v>
      </c>
      <c r="W1820" s="759"/>
      <c r="X1820" s="771"/>
      <c r="Y1820" s="977"/>
      <c r="Z1820" s="758"/>
      <c r="AA1820" s="758" t="str">
        <f t="shared" si="376"/>
        <v/>
      </c>
      <c r="AB1820" s="758" t="str">
        <f t="shared" si="377"/>
        <v/>
      </c>
      <c r="AC1820" s="758" t="str">
        <f t="shared" si="378"/>
        <v/>
      </c>
      <c r="AD1820" s="758" t="str">
        <f t="shared" si="379"/>
        <v>0</v>
      </c>
      <c r="AE1820" s="760"/>
      <c r="AF1820" s="760"/>
      <c r="AG1820" s="443"/>
      <c r="AH1820" s="443"/>
    </row>
    <row r="1821" spans="1:34">
      <c r="A1821" s="728">
        <f t="shared" si="375"/>
        <v>1814</v>
      </c>
      <c r="B1821" s="77"/>
      <c r="C1821" s="747"/>
      <c r="D1821" s="763" t="str">
        <f t="shared" si="366"/>
        <v>January</v>
      </c>
      <c r="E1821" s="763">
        <f t="shared" si="367"/>
        <v>0</v>
      </c>
      <c r="F1821" s="762">
        <f t="shared" si="368"/>
        <v>1900</v>
      </c>
      <c r="G1821" s="747"/>
      <c r="H1821" s="882"/>
      <c r="I1821" s="756"/>
      <c r="J1821" s="756"/>
      <c r="K1821" s="778">
        <f t="shared" si="369"/>
        <v>0</v>
      </c>
      <c r="L1821" s="976"/>
      <c r="M1821" s="736">
        <f t="shared" si="370"/>
        <v>0</v>
      </c>
      <c r="N1821" s="754"/>
      <c r="O1821" s="738">
        <f t="shared" si="371"/>
        <v>0</v>
      </c>
      <c r="P1821" s="757"/>
      <c r="Q1821" s="739">
        <f t="shared" si="372"/>
        <v>0</v>
      </c>
      <c r="R1821" s="757"/>
      <c r="S1821" s="755"/>
      <c r="T1821" s="277"/>
      <c r="U1821" s="758" t="str">
        <f t="shared" si="373"/>
        <v/>
      </c>
      <c r="V1821" s="758" t="str">
        <f t="shared" si="374"/>
        <v>1900</v>
      </c>
      <c r="W1821" s="759"/>
      <c r="X1821" s="771"/>
      <c r="Y1821" s="977"/>
      <c r="Z1821" s="758"/>
      <c r="AA1821" s="758" t="str">
        <f t="shared" si="376"/>
        <v/>
      </c>
      <c r="AB1821" s="758" t="str">
        <f t="shared" si="377"/>
        <v/>
      </c>
      <c r="AC1821" s="758" t="str">
        <f t="shared" si="378"/>
        <v/>
      </c>
      <c r="AD1821" s="758" t="str">
        <f t="shared" si="379"/>
        <v>0</v>
      </c>
      <c r="AE1821" s="760"/>
      <c r="AF1821" s="760"/>
      <c r="AG1821" s="443"/>
      <c r="AH1821" s="443"/>
    </row>
    <row r="1822" spans="1:34">
      <c r="A1822" s="728">
        <f t="shared" si="375"/>
        <v>1815</v>
      </c>
      <c r="B1822" s="77"/>
      <c r="C1822" s="747"/>
      <c r="D1822" s="763" t="str">
        <f t="shared" si="366"/>
        <v>January</v>
      </c>
      <c r="E1822" s="763">
        <f t="shared" si="367"/>
        <v>0</v>
      </c>
      <c r="F1822" s="762">
        <f t="shared" si="368"/>
        <v>1900</v>
      </c>
      <c r="G1822" s="747"/>
      <c r="H1822" s="882"/>
      <c r="I1822" s="756"/>
      <c r="J1822" s="756"/>
      <c r="K1822" s="778">
        <f t="shared" si="369"/>
        <v>0</v>
      </c>
      <c r="L1822" s="976"/>
      <c r="M1822" s="736">
        <f t="shared" si="370"/>
        <v>0</v>
      </c>
      <c r="N1822" s="754"/>
      <c r="O1822" s="738">
        <f t="shared" si="371"/>
        <v>0</v>
      </c>
      <c r="P1822" s="757"/>
      <c r="Q1822" s="739">
        <f t="shared" si="372"/>
        <v>0</v>
      </c>
      <c r="R1822" s="757"/>
      <c r="S1822" s="755"/>
      <c r="T1822" s="277"/>
      <c r="U1822" s="758" t="str">
        <f t="shared" si="373"/>
        <v/>
      </c>
      <c r="V1822" s="758" t="str">
        <f t="shared" si="374"/>
        <v>1900</v>
      </c>
      <c r="W1822" s="759"/>
      <c r="X1822" s="771"/>
      <c r="Y1822" s="977"/>
      <c r="Z1822" s="758"/>
      <c r="AA1822" s="758" t="str">
        <f t="shared" si="376"/>
        <v/>
      </c>
      <c r="AB1822" s="758" t="str">
        <f t="shared" si="377"/>
        <v/>
      </c>
      <c r="AC1822" s="758" t="str">
        <f t="shared" si="378"/>
        <v/>
      </c>
      <c r="AD1822" s="758" t="str">
        <f t="shared" si="379"/>
        <v>0</v>
      </c>
      <c r="AE1822" s="760"/>
      <c r="AF1822" s="760"/>
      <c r="AG1822" s="443"/>
      <c r="AH1822" s="443"/>
    </row>
    <row r="1823" spans="1:34">
      <c r="A1823" s="728">
        <f t="shared" si="375"/>
        <v>1816</v>
      </c>
      <c r="B1823" s="77"/>
      <c r="C1823" s="747"/>
      <c r="D1823" s="763" t="str">
        <f t="shared" si="366"/>
        <v>January</v>
      </c>
      <c r="E1823" s="763">
        <f t="shared" si="367"/>
        <v>0</v>
      </c>
      <c r="F1823" s="762">
        <f t="shared" si="368"/>
        <v>1900</v>
      </c>
      <c r="G1823" s="747"/>
      <c r="H1823" s="882"/>
      <c r="I1823" s="756"/>
      <c r="J1823" s="756"/>
      <c r="K1823" s="778">
        <f t="shared" si="369"/>
        <v>0</v>
      </c>
      <c r="L1823" s="976"/>
      <c r="M1823" s="736">
        <f t="shared" si="370"/>
        <v>0</v>
      </c>
      <c r="N1823" s="754"/>
      <c r="O1823" s="738">
        <f t="shared" si="371"/>
        <v>0</v>
      </c>
      <c r="P1823" s="757"/>
      <c r="Q1823" s="739">
        <f t="shared" si="372"/>
        <v>0</v>
      </c>
      <c r="R1823" s="757"/>
      <c r="S1823" s="755"/>
      <c r="T1823" s="277"/>
      <c r="U1823" s="758" t="str">
        <f t="shared" si="373"/>
        <v/>
      </c>
      <c r="V1823" s="758" t="str">
        <f t="shared" si="374"/>
        <v>1900</v>
      </c>
      <c r="W1823" s="759"/>
      <c r="X1823" s="771"/>
      <c r="Y1823" s="977"/>
      <c r="Z1823" s="758"/>
      <c r="AA1823" s="758" t="str">
        <f t="shared" si="376"/>
        <v/>
      </c>
      <c r="AB1823" s="758" t="str">
        <f t="shared" si="377"/>
        <v/>
      </c>
      <c r="AC1823" s="758" t="str">
        <f t="shared" si="378"/>
        <v/>
      </c>
      <c r="AD1823" s="758" t="str">
        <f t="shared" si="379"/>
        <v>0</v>
      </c>
      <c r="AE1823" s="760"/>
      <c r="AF1823" s="760"/>
      <c r="AG1823" s="443"/>
      <c r="AH1823" s="443"/>
    </row>
    <row r="1824" spans="1:34">
      <c r="A1824" s="728">
        <f t="shared" si="375"/>
        <v>1817</v>
      </c>
      <c r="B1824" s="77"/>
      <c r="C1824" s="747"/>
      <c r="D1824" s="763" t="str">
        <f t="shared" si="366"/>
        <v>January</v>
      </c>
      <c r="E1824" s="763">
        <f t="shared" si="367"/>
        <v>0</v>
      </c>
      <c r="F1824" s="762">
        <f t="shared" si="368"/>
        <v>1900</v>
      </c>
      <c r="G1824" s="747"/>
      <c r="H1824" s="882"/>
      <c r="I1824" s="756"/>
      <c r="J1824" s="756"/>
      <c r="K1824" s="778">
        <f t="shared" si="369"/>
        <v>0</v>
      </c>
      <c r="L1824" s="976"/>
      <c r="M1824" s="736">
        <f t="shared" si="370"/>
        <v>0</v>
      </c>
      <c r="N1824" s="754"/>
      <c r="O1824" s="738">
        <f t="shared" si="371"/>
        <v>0</v>
      </c>
      <c r="P1824" s="757"/>
      <c r="Q1824" s="739">
        <f t="shared" si="372"/>
        <v>0</v>
      </c>
      <c r="R1824" s="757"/>
      <c r="S1824" s="755"/>
      <c r="T1824" s="277"/>
      <c r="U1824" s="758" t="str">
        <f t="shared" si="373"/>
        <v/>
      </c>
      <c r="V1824" s="758" t="str">
        <f t="shared" si="374"/>
        <v>1900</v>
      </c>
      <c r="W1824" s="759"/>
      <c r="X1824" s="771"/>
      <c r="Y1824" s="977"/>
      <c r="Z1824" s="758"/>
      <c r="AA1824" s="758" t="str">
        <f t="shared" si="376"/>
        <v/>
      </c>
      <c r="AB1824" s="758" t="str">
        <f t="shared" si="377"/>
        <v/>
      </c>
      <c r="AC1824" s="758" t="str">
        <f t="shared" si="378"/>
        <v/>
      </c>
      <c r="AD1824" s="758" t="str">
        <f t="shared" si="379"/>
        <v>0</v>
      </c>
      <c r="AE1824" s="760"/>
      <c r="AF1824" s="760"/>
      <c r="AG1824" s="443"/>
      <c r="AH1824" s="443"/>
    </row>
    <row r="1825" spans="1:34">
      <c r="A1825" s="728">
        <f t="shared" si="375"/>
        <v>1818</v>
      </c>
      <c r="B1825" s="77"/>
      <c r="C1825" s="747"/>
      <c r="D1825" s="763" t="str">
        <f t="shared" si="366"/>
        <v>January</v>
      </c>
      <c r="E1825" s="763">
        <f t="shared" si="367"/>
        <v>0</v>
      </c>
      <c r="F1825" s="762">
        <f t="shared" si="368"/>
        <v>1900</v>
      </c>
      <c r="G1825" s="747"/>
      <c r="H1825" s="882"/>
      <c r="I1825" s="756"/>
      <c r="J1825" s="756"/>
      <c r="K1825" s="778">
        <f t="shared" si="369"/>
        <v>0</v>
      </c>
      <c r="L1825" s="976"/>
      <c r="M1825" s="736">
        <f t="shared" si="370"/>
        <v>0</v>
      </c>
      <c r="N1825" s="754"/>
      <c r="O1825" s="738">
        <f t="shared" si="371"/>
        <v>0</v>
      </c>
      <c r="P1825" s="757"/>
      <c r="Q1825" s="739">
        <f t="shared" si="372"/>
        <v>0</v>
      </c>
      <c r="R1825" s="757"/>
      <c r="S1825" s="755"/>
      <c r="T1825" s="277"/>
      <c r="U1825" s="758" t="str">
        <f t="shared" si="373"/>
        <v/>
      </c>
      <c r="V1825" s="758" t="str">
        <f t="shared" si="374"/>
        <v>1900</v>
      </c>
      <c r="W1825" s="759"/>
      <c r="X1825" s="771"/>
      <c r="Y1825" s="977"/>
      <c r="Z1825" s="758"/>
      <c r="AA1825" s="758" t="str">
        <f t="shared" si="376"/>
        <v/>
      </c>
      <c r="AB1825" s="758" t="str">
        <f t="shared" si="377"/>
        <v/>
      </c>
      <c r="AC1825" s="758" t="str">
        <f t="shared" si="378"/>
        <v/>
      </c>
      <c r="AD1825" s="758" t="str">
        <f t="shared" si="379"/>
        <v>0</v>
      </c>
      <c r="AE1825" s="760"/>
      <c r="AF1825" s="760"/>
      <c r="AG1825" s="443"/>
      <c r="AH1825" s="443"/>
    </row>
    <row r="1826" spans="1:34">
      <c r="A1826" s="728">
        <f t="shared" si="375"/>
        <v>1819</v>
      </c>
      <c r="B1826" s="77"/>
      <c r="C1826" s="747"/>
      <c r="D1826" s="763" t="str">
        <f t="shared" si="366"/>
        <v>January</v>
      </c>
      <c r="E1826" s="763">
        <f t="shared" si="367"/>
        <v>0</v>
      </c>
      <c r="F1826" s="762">
        <f t="shared" si="368"/>
        <v>1900</v>
      </c>
      <c r="G1826" s="747"/>
      <c r="H1826" s="882"/>
      <c r="I1826" s="756"/>
      <c r="J1826" s="756"/>
      <c r="K1826" s="778">
        <f t="shared" si="369"/>
        <v>0</v>
      </c>
      <c r="L1826" s="976"/>
      <c r="M1826" s="736">
        <f t="shared" si="370"/>
        <v>0</v>
      </c>
      <c r="N1826" s="754"/>
      <c r="O1826" s="738">
        <f t="shared" si="371"/>
        <v>0</v>
      </c>
      <c r="P1826" s="757"/>
      <c r="Q1826" s="739">
        <f t="shared" si="372"/>
        <v>0</v>
      </c>
      <c r="R1826" s="757"/>
      <c r="S1826" s="755"/>
      <c r="T1826" s="277"/>
      <c r="U1826" s="758" t="str">
        <f t="shared" si="373"/>
        <v/>
      </c>
      <c r="V1826" s="758" t="str">
        <f t="shared" si="374"/>
        <v>1900</v>
      </c>
      <c r="W1826" s="759"/>
      <c r="X1826" s="771"/>
      <c r="Y1826" s="977"/>
      <c r="Z1826" s="758"/>
      <c r="AA1826" s="758" t="str">
        <f t="shared" si="376"/>
        <v/>
      </c>
      <c r="AB1826" s="758" t="str">
        <f t="shared" si="377"/>
        <v/>
      </c>
      <c r="AC1826" s="758" t="str">
        <f t="shared" si="378"/>
        <v/>
      </c>
      <c r="AD1826" s="758" t="str">
        <f t="shared" si="379"/>
        <v>0</v>
      </c>
      <c r="AE1826" s="760"/>
      <c r="AF1826" s="760"/>
      <c r="AG1826" s="443"/>
      <c r="AH1826" s="443"/>
    </row>
    <row r="1827" spans="1:34">
      <c r="A1827" s="728">
        <f t="shared" si="375"/>
        <v>1820</v>
      </c>
      <c r="B1827" s="77"/>
      <c r="C1827" s="747"/>
      <c r="D1827" s="763" t="str">
        <f t="shared" si="366"/>
        <v>January</v>
      </c>
      <c r="E1827" s="763">
        <f t="shared" si="367"/>
        <v>0</v>
      </c>
      <c r="F1827" s="762">
        <f t="shared" si="368"/>
        <v>1900</v>
      </c>
      <c r="G1827" s="747"/>
      <c r="H1827" s="882"/>
      <c r="I1827" s="756"/>
      <c r="J1827" s="756"/>
      <c r="K1827" s="778">
        <f t="shared" si="369"/>
        <v>0</v>
      </c>
      <c r="L1827" s="976"/>
      <c r="M1827" s="736">
        <f t="shared" si="370"/>
        <v>0</v>
      </c>
      <c r="N1827" s="754"/>
      <c r="O1827" s="738">
        <f t="shared" si="371"/>
        <v>0</v>
      </c>
      <c r="P1827" s="757"/>
      <c r="Q1827" s="739">
        <f t="shared" si="372"/>
        <v>0</v>
      </c>
      <c r="R1827" s="757"/>
      <c r="S1827" s="755"/>
      <c r="T1827" s="277"/>
      <c r="U1827" s="758" t="str">
        <f t="shared" si="373"/>
        <v/>
      </c>
      <c r="V1827" s="758" t="str">
        <f t="shared" si="374"/>
        <v>1900</v>
      </c>
      <c r="W1827" s="759"/>
      <c r="X1827" s="771"/>
      <c r="Y1827" s="977"/>
      <c r="Z1827" s="758"/>
      <c r="AA1827" s="758" t="str">
        <f t="shared" si="376"/>
        <v/>
      </c>
      <c r="AB1827" s="758" t="str">
        <f t="shared" si="377"/>
        <v/>
      </c>
      <c r="AC1827" s="758" t="str">
        <f t="shared" si="378"/>
        <v/>
      </c>
      <c r="AD1827" s="758" t="str">
        <f t="shared" si="379"/>
        <v>0</v>
      </c>
      <c r="AE1827" s="760"/>
      <c r="AF1827" s="760"/>
      <c r="AG1827" s="443"/>
      <c r="AH1827" s="443"/>
    </row>
    <row r="1828" spans="1:34">
      <c r="A1828" s="728">
        <f t="shared" si="375"/>
        <v>1821</v>
      </c>
      <c r="B1828" s="77"/>
      <c r="C1828" s="747"/>
      <c r="D1828" s="763" t="str">
        <f t="shared" si="366"/>
        <v>January</v>
      </c>
      <c r="E1828" s="763">
        <f t="shared" si="367"/>
        <v>0</v>
      </c>
      <c r="F1828" s="762">
        <f t="shared" si="368"/>
        <v>1900</v>
      </c>
      <c r="G1828" s="747"/>
      <c r="H1828" s="882"/>
      <c r="I1828" s="756"/>
      <c r="J1828" s="756"/>
      <c r="K1828" s="778">
        <f t="shared" si="369"/>
        <v>0</v>
      </c>
      <c r="L1828" s="976"/>
      <c r="M1828" s="736">
        <f t="shared" si="370"/>
        <v>0</v>
      </c>
      <c r="N1828" s="754"/>
      <c r="O1828" s="738">
        <f t="shared" si="371"/>
        <v>0</v>
      </c>
      <c r="P1828" s="757"/>
      <c r="Q1828" s="739">
        <f t="shared" si="372"/>
        <v>0</v>
      </c>
      <c r="R1828" s="757"/>
      <c r="S1828" s="755"/>
      <c r="T1828" s="277"/>
      <c r="U1828" s="758" t="str">
        <f t="shared" si="373"/>
        <v/>
      </c>
      <c r="V1828" s="758" t="str">
        <f t="shared" si="374"/>
        <v>1900</v>
      </c>
      <c r="W1828" s="759"/>
      <c r="X1828" s="771"/>
      <c r="Y1828" s="977"/>
      <c r="Z1828" s="758"/>
      <c r="AA1828" s="758" t="str">
        <f t="shared" si="376"/>
        <v/>
      </c>
      <c r="AB1828" s="758" t="str">
        <f t="shared" si="377"/>
        <v/>
      </c>
      <c r="AC1828" s="758" t="str">
        <f t="shared" si="378"/>
        <v/>
      </c>
      <c r="AD1828" s="758" t="str">
        <f t="shared" si="379"/>
        <v>0</v>
      </c>
      <c r="AE1828" s="760"/>
      <c r="AF1828" s="760"/>
      <c r="AG1828" s="443"/>
      <c r="AH1828" s="443"/>
    </row>
    <row r="1829" spans="1:34">
      <c r="A1829" s="728">
        <f t="shared" si="375"/>
        <v>1822</v>
      </c>
      <c r="B1829" s="77"/>
      <c r="C1829" s="747"/>
      <c r="D1829" s="763" t="str">
        <f t="shared" si="366"/>
        <v>January</v>
      </c>
      <c r="E1829" s="763">
        <f t="shared" si="367"/>
        <v>0</v>
      </c>
      <c r="F1829" s="762">
        <f t="shared" si="368"/>
        <v>1900</v>
      </c>
      <c r="G1829" s="747"/>
      <c r="H1829" s="882"/>
      <c r="I1829" s="756"/>
      <c r="J1829" s="756"/>
      <c r="K1829" s="778">
        <f t="shared" si="369"/>
        <v>0</v>
      </c>
      <c r="L1829" s="976"/>
      <c r="M1829" s="736">
        <f t="shared" si="370"/>
        <v>0</v>
      </c>
      <c r="N1829" s="754"/>
      <c r="O1829" s="738">
        <f t="shared" si="371"/>
        <v>0</v>
      </c>
      <c r="P1829" s="757"/>
      <c r="Q1829" s="739">
        <f t="shared" si="372"/>
        <v>0</v>
      </c>
      <c r="R1829" s="757"/>
      <c r="S1829" s="755"/>
      <c r="T1829" s="277"/>
      <c r="U1829" s="758" t="str">
        <f t="shared" si="373"/>
        <v/>
      </c>
      <c r="V1829" s="758" t="str">
        <f t="shared" si="374"/>
        <v>1900</v>
      </c>
      <c r="W1829" s="759"/>
      <c r="X1829" s="771"/>
      <c r="Y1829" s="977"/>
      <c r="Z1829" s="758"/>
      <c r="AA1829" s="758" t="str">
        <f t="shared" si="376"/>
        <v/>
      </c>
      <c r="AB1829" s="758" t="str">
        <f t="shared" si="377"/>
        <v/>
      </c>
      <c r="AC1829" s="758" t="str">
        <f t="shared" si="378"/>
        <v/>
      </c>
      <c r="AD1829" s="758" t="str">
        <f t="shared" si="379"/>
        <v>0</v>
      </c>
      <c r="AE1829" s="760"/>
      <c r="AF1829" s="760"/>
      <c r="AG1829" s="443"/>
      <c r="AH1829" s="443"/>
    </row>
    <row r="1830" spans="1:34">
      <c r="A1830" s="728">
        <f t="shared" si="375"/>
        <v>1823</v>
      </c>
      <c r="B1830" s="77"/>
      <c r="C1830" s="747"/>
      <c r="D1830" s="763" t="str">
        <f t="shared" si="366"/>
        <v>January</v>
      </c>
      <c r="E1830" s="763">
        <f t="shared" si="367"/>
        <v>0</v>
      </c>
      <c r="F1830" s="762">
        <f t="shared" si="368"/>
        <v>1900</v>
      </c>
      <c r="G1830" s="747"/>
      <c r="H1830" s="882"/>
      <c r="I1830" s="756"/>
      <c r="J1830" s="756"/>
      <c r="K1830" s="778">
        <f t="shared" si="369"/>
        <v>0</v>
      </c>
      <c r="L1830" s="976"/>
      <c r="M1830" s="736">
        <f t="shared" si="370"/>
        <v>0</v>
      </c>
      <c r="N1830" s="754"/>
      <c r="O1830" s="738">
        <f t="shared" si="371"/>
        <v>0</v>
      </c>
      <c r="P1830" s="757"/>
      <c r="Q1830" s="739">
        <f t="shared" si="372"/>
        <v>0</v>
      </c>
      <c r="R1830" s="757"/>
      <c r="S1830" s="755"/>
      <c r="T1830" s="277"/>
      <c r="U1830" s="758" t="str">
        <f t="shared" si="373"/>
        <v/>
      </c>
      <c r="V1830" s="758" t="str">
        <f t="shared" si="374"/>
        <v>1900</v>
      </c>
      <c r="W1830" s="759"/>
      <c r="X1830" s="771"/>
      <c r="Y1830" s="977"/>
      <c r="Z1830" s="758"/>
      <c r="AA1830" s="758" t="str">
        <f t="shared" si="376"/>
        <v/>
      </c>
      <c r="AB1830" s="758" t="str">
        <f t="shared" si="377"/>
        <v/>
      </c>
      <c r="AC1830" s="758" t="str">
        <f t="shared" si="378"/>
        <v/>
      </c>
      <c r="AD1830" s="758" t="str">
        <f t="shared" si="379"/>
        <v>0</v>
      </c>
      <c r="AE1830" s="760"/>
      <c r="AF1830" s="760"/>
      <c r="AG1830" s="443"/>
      <c r="AH1830" s="443"/>
    </row>
    <row r="1831" spans="1:34">
      <c r="A1831" s="728">
        <f t="shared" si="375"/>
        <v>1824</v>
      </c>
      <c r="B1831" s="77"/>
      <c r="C1831" s="747"/>
      <c r="D1831" s="763" t="str">
        <f t="shared" si="366"/>
        <v>January</v>
      </c>
      <c r="E1831" s="763">
        <f t="shared" si="367"/>
        <v>0</v>
      </c>
      <c r="F1831" s="762">
        <f t="shared" si="368"/>
        <v>1900</v>
      </c>
      <c r="G1831" s="747"/>
      <c r="H1831" s="882"/>
      <c r="I1831" s="756"/>
      <c r="J1831" s="756"/>
      <c r="K1831" s="778">
        <f t="shared" si="369"/>
        <v>0</v>
      </c>
      <c r="L1831" s="976"/>
      <c r="M1831" s="736">
        <f t="shared" si="370"/>
        <v>0</v>
      </c>
      <c r="N1831" s="754"/>
      <c r="O1831" s="738">
        <f t="shared" si="371"/>
        <v>0</v>
      </c>
      <c r="P1831" s="757"/>
      <c r="Q1831" s="739">
        <f t="shared" si="372"/>
        <v>0</v>
      </c>
      <c r="R1831" s="757"/>
      <c r="S1831" s="755"/>
      <c r="T1831" s="277"/>
      <c r="U1831" s="758" t="str">
        <f t="shared" si="373"/>
        <v/>
      </c>
      <c r="V1831" s="758" t="str">
        <f t="shared" si="374"/>
        <v>1900</v>
      </c>
      <c r="W1831" s="759"/>
      <c r="X1831" s="771"/>
      <c r="Y1831" s="977"/>
      <c r="Z1831" s="758"/>
      <c r="AA1831" s="758" t="str">
        <f t="shared" si="376"/>
        <v/>
      </c>
      <c r="AB1831" s="758" t="str">
        <f t="shared" si="377"/>
        <v/>
      </c>
      <c r="AC1831" s="758" t="str">
        <f t="shared" si="378"/>
        <v/>
      </c>
      <c r="AD1831" s="758" t="str">
        <f t="shared" si="379"/>
        <v>0</v>
      </c>
      <c r="AE1831" s="760"/>
      <c r="AF1831" s="760"/>
      <c r="AG1831" s="443"/>
      <c r="AH1831" s="443"/>
    </row>
    <row r="1832" spans="1:34">
      <c r="A1832" s="728">
        <f t="shared" si="375"/>
        <v>1825</v>
      </c>
      <c r="B1832" s="77"/>
      <c r="C1832" s="747"/>
      <c r="D1832" s="763" t="str">
        <f t="shared" si="366"/>
        <v>January</v>
      </c>
      <c r="E1832" s="763">
        <f t="shared" si="367"/>
        <v>0</v>
      </c>
      <c r="F1832" s="762">
        <f t="shared" si="368"/>
        <v>1900</v>
      </c>
      <c r="G1832" s="747"/>
      <c r="H1832" s="882"/>
      <c r="I1832" s="756"/>
      <c r="J1832" s="756"/>
      <c r="K1832" s="778">
        <f t="shared" si="369"/>
        <v>0</v>
      </c>
      <c r="L1832" s="976"/>
      <c r="M1832" s="736">
        <f t="shared" si="370"/>
        <v>0</v>
      </c>
      <c r="N1832" s="754"/>
      <c r="O1832" s="738">
        <f t="shared" si="371"/>
        <v>0</v>
      </c>
      <c r="P1832" s="757"/>
      <c r="Q1832" s="739">
        <f t="shared" si="372"/>
        <v>0</v>
      </c>
      <c r="R1832" s="757"/>
      <c r="S1832" s="755"/>
      <c r="T1832" s="277"/>
      <c r="U1832" s="758" t="str">
        <f t="shared" si="373"/>
        <v/>
      </c>
      <c r="V1832" s="758" t="str">
        <f t="shared" si="374"/>
        <v>1900</v>
      </c>
      <c r="W1832" s="759"/>
      <c r="X1832" s="771"/>
      <c r="Y1832" s="977"/>
      <c r="Z1832" s="758"/>
      <c r="AA1832" s="758" t="str">
        <f t="shared" si="376"/>
        <v/>
      </c>
      <c r="AB1832" s="758" t="str">
        <f t="shared" si="377"/>
        <v/>
      </c>
      <c r="AC1832" s="758" t="str">
        <f t="shared" si="378"/>
        <v/>
      </c>
      <c r="AD1832" s="758" t="str">
        <f t="shared" si="379"/>
        <v>0</v>
      </c>
      <c r="AE1832" s="760"/>
      <c r="AF1832" s="760"/>
      <c r="AG1832" s="443"/>
      <c r="AH1832" s="443"/>
    </row>
    <row r="1833" spans="1:34">
      <c r="A1833" s="728">
        <f t="shared" si="375"/>
        <v>1826</v>
      </c>
      <c r="B1833" s="77"/>
      <c r="C1833" s="747"/>
      <c r="D1833" s="763" t="str">
        <f t="shared" si="366"/>
        <v>January</v>
      </c>
      <c r="E1833" s="763">
        <f t="shared" si="367"/>
        <v>0</v>
      </c>
      <c r="F1833" s="762">
        <f t="shared" si="368"/>
        <v>1900</v>
      </c>
      <c r="G1833" s="747"/>
      <c r="H1833" s="882"/>
      <c r="I1833" s="756"/>
      <c r="J1833" s="756"/>
      <c r="K1833" s="778">
        <f t="shared" si="369"/>
        <v>0</v>
      </c>
      <c r="L1833" s="976"/>
      <c r="M1833" s="736">
        <f t="shared" si="370"/>
        <v>0</v>
      </c>
      <c r="N1833" s="754"/>
      <c r="O1833" s="738">
        <f t="shared" si="371"/>
        <v>0</v>
      </c>
      <c r="P1833" s="757"/>
      <c r="Q1833" s="739">
        <f t="shared" si="372"/>
        <v>0</v>
      </c>
      <c r="R1833" s="757"/>
      <c r="S1833" s="755"/>
      <c r="T1833" s="277"/>
      <c r="U1833" s="758" t="str">
        <f t="shared" si="373"/>
        <v/>
      </c>
      <c r="V1833" s="758" t="str">
        <f t="shared" si="374"/>
        <v>1900</v>
      </c>
      <c r="W1833" s="759"/>
      <c r="X1833" s="771"/>
      <c r="Y1833" s="977"/>
      <c r="Z1833" s="758"/>
      <c r="AA1833" s="758" t="str">
        <f t="shared" si="376"/>
        <v/>
      </c>
      <c r="AB1833" s="758" t="str">
        <f t="shared" si="377"/>
        <v/>
      </c>
      <c r="AC1833" s="758" t="str">
        <f t="shared" si="378"/>
        <v/>
      </c>
      <c r="AD1833" s="758" t="str">
        <f t="shared" si="379"/>
        <v>0</v>
      </c>
      <c r="AE1833" s="760"/>
      <c r="AF1833" s="760"/>
      <c r="AG1833" s="443"/>
      <c r="AH1833" s="443"/>
    </row>
    <row r="1834" spans="1:34">
      <c r="A1834" s="728">
        <f t="shared" si="375"/>
        <v>1827</v>
      </c>
      <c r="B1834" s="77"/>
      <c r="C1834" s="747"/>
      <c r="D1834" s="763" t="str">
        <f t="shared" si="366"/>
        <v>January</v>
      </c>
      <c r="E1834" s="763">
        <f t="shared" si="367"/>
        <v>0</v>
      </c>
      <c r="F1834" s="762">
        <f t="shared" si="368"/>
        <v>1900</v>
      </c>
      <c r="G1834" s="747"/>
      <c r="H1834" s="882"/>
      <c r="I1834" s="756"/>
      <c r="J1834" s="756"/>
      <c r="K1834" s="778">
        <f t="shared" si="369"/>
        <v>0</v>
      </c>
      <c r="L1834" s="976"/>
      <c r="M1834" s="736">
        <f t="shared" si="370"/>
        <v>0</v>
      </c>
      <c r="N1834" s="754"/>
      <c r="O1834" s="738">
        <f t="shared" si="371"/>
        <v>0</v>
      </c>
      <c r="P1834" s="757"/>
      <c r="Q1834" s="739">
        <f t="shared" si="372"/>
        <v>0</v>
      </c>
      <c r="R1834" s="757"/>
      <c r="S1834" s="755"/>
      <c r="T1834" s="277"/>
      <c r="U1834" s="758" t="str">
        <f t="shared" si="373"/>
        <v/>
      </c>
      <c r="V1834" s="758" t="str">
        <f t="shared" si="374"/>
        <v>1900</v>
      </c>
      <c r="W1834" s="759"/>
      <c r="X1834" s="771"/>
      <c r="Y1834" s="977"/>
      <c r="Z1834" s="758"/>
      <c r="AA1834" s="758" t="str">
        <f t="shared" si="376"/>
        <v/>
      </c>
      <c r="AB1834" s="758" t="str">
        <f t="shared" si="377"/>
        <v/>
      </c>
      <c r="AC1834" s="758" t="str">
        <f t="shared" si="378"/>
        <v/>
      </c>
      <c r="AD1834" s="758" t="str">
        <f t="shared" si="379"/>
        <v>0</v>
      </c>
      <c r="AE1834" s="760"/>
      <c r="AF1834" s="760"/>
      <c r="AG1834" s="443"/>
      <c r="AH1834" s="443"/>
    </row>
    <row r="1835" spans="1:34">
      <c r="A1835" s="728">
        <f t="shared" si="375"/>
        <v>1828</v>
      </c>
      <c r="B1835" s="77"/>
      <c r="C1835" s="747"/>
      <c r="D1835" s="763" t="str">
        <f t="shared" si="366"/>
        <v>January</v>
      </c>
      <c r="E1835" s="763">
        <f t="shared" si="367"/>
        <v>0</v>
      </c>
      <c r="F1835" s="762">
        <f t="shared" si="368"/>
        <v>1900</v>
      </c>
      <c r="G1835" s="747"/>
      <c r="H1835" s="882"/>
      <c r="I1835" s="756"/>
      <c r="J1835" s="756"/>
      <c r="K1835" s="778">
        <f t="shared" si="369"/>
        <v>0</v>
      </c>
      <c r="L1835" s="976"/>
      <c r="M1835" s="736">
        <f t="shared" si="370"/>
        <v>0</v>
      </c>
      <c r="N1835" s="754"/>
      <c r="O1835" s="738">
        <f t="shared" si="371"/>
        <v>0</v>
      </c>
      <c r="P1835" s="757"/>
      <c r="Q1835" s="739">
        <f t="shared" si="372"/>
        <v>0</v>
      </c>
      <c r="R1835" s="757"/>
      <c r="S1835" s="755"/>
      <c r="T1835" s="277"/>
      <c r="U1835" s="758" t="str">
        <f t="shared" si="373"/>
        <v/>
      </c>
      <c r="V1835" s="758" t="str">
        <f t="shared" si="374"/>
        <v>1900</v>
      </c>
      <c r="W1835" s="759"/>
      <c r="X1835" s="771"/>
      <c r="Y1835" s="977"/>
      <c r="Z1835" s="758"/>
      <c r="AA1835" s="758" t="str">
        <f t="shared" si="376"/>
        <v/>
      </c>
      <c r="AB1835" s="758" t="str">
        <f t="shared" si="377"/>
        <v/>
      </c>
      <c r="AC1835" s="758" t="str">
        <f t="shared" si="378"/>
        <v/>
      </c>
      <c r="AD1835" s="758" t="str">
        <f t="shared" si="379"/>
        <v>0</v>
      </c>
      <c r="AE1835" s="760"/>
      <c r="AF1835" s="760"/>
      <c r="AG1835" s="443"/>
      <c r="AH1835" s="443"/>
    </row>
    <row r="1836" spans="1:34">
      <c r="A1836" s="728">
        <f t="shared" si="375"/>
        <v>1829</v>
      </c>
      <c r="B1836" s="77"/>
      <c r="C1836" s="747"/>
      <c r="D1836" s="763" t="str">
        <f t="shared" si="366"/>
        <v>January</v>
      </c>
      <c r="E1836" s="763">
        <f t="shared" si="367"/>
        <v>0</v>
      </c>
      <c r="F1836" s="762">
        <f t="shared" si="368"/>
        <v>1900</v>
      </c>
      <c r="G1836" s="747"/>
      <c r="H1836" s="882"/>
      <c r="I1836" s="756"/>
      <c r="J1836" s="756"/>
      <c r="K1836" s="778">
        <f t="shared" si="369"/>
        <v>0</v>
      </c>
      <c r="L1836" s="976"/>
      <c r="M1836" s="736">
        <f t="shared" si="370"/>
        <v>0</v>
      </c>
      <c r="N1836" s="754"/>
      <c r="O1836" s="738">
        <f t="shared" si="371"/>
        <v>0</v>
      </c>
      <c r="P1836" s="757"/>
      <c r="Q1836" s="739">
        <f t="shared" si="372"/>
        <v>0</v>
      </c>
      <c r="R1836" s="757"/>
      <c r="S1836" s="755"/>
      <c r="T1836" s="277"/>
      <c r="U1836" s="758" t="str">
        <f t="shared" si="373"/>
        <v/>
      </c>
      <c r="V1836" s="758" t="str">
        <f t="shared" si="374"/>
        <v>1900</v>
      </c>
      <c r="W1836" s="759"/>
      <c r="X1836" s="771"/>
      <c r="Y1836" s="977"/>
      <c r="Z1836" s="758"/>
      <c r="AA1836" s="758" t="str">
        <f t="shared" si="376"/>
        <v/>
      </c>
      <c r="AB1836" s="758" t="str">
        <f t="shared" si="377"/>
        <v/>
      </c>
      <c r="AC1836" s="758" t="str">
        <f t="shared" si="378"/>
        <v/>
      </c>
      <c r="AD1836" s="758" t="str">
        <f t="shared" si="379"/>
        <v>0</v>
      </c>
      <c r="AE1836" s="760"/>
      <c r="AF1836" s="760"/>
      <c r="AG1836" s="443"/>
      <c r="AH1836" s="443"/>
    </row>
    <row r="1837" spans="1:34">
      <c r="A1837" s="728">
        <f t="shared" si="375"/>
        <v>1830</v>
      </c>
      <c r="B1837" s="77"/>
      <c r="C1837" s="747"/>
      <c r="D1837" s="763" t="str">
        <f t="shared" si="366"/>
        <v>January</v>
      </c>
      <c r="E1837" s="763">
        <f t="shared" si="367"/>
        <v>0</v>
      </c>
      <c r="F1837" s="762">
        <f t="shared" si="368"/>
        <v>1900</v>
      </c>
      <c r="G1837" s="747"/>
      <c r="H1837" s="882"/>
      <c r="I1837" s="756"/>
      <c r="J1837" s="756"/>
      <c r="K1837" s="778">
        <f t="shared" si="369"/>
        <v>0</v>
      </c>
      <c r="L1837" s="976"/>
      <c r="M1837" s="736">
        <f t="shared" si="370"/>
        <v>0</v>
      </c>
      <c r="N1837" s="754"/>
      <c r="O1837" s="738">
        <f t="shared" si="371"/>
        <v>0</v>
      </c>
      <c r="P1837" s="757"/>
      <c r="Q1837" s="739">
        <f t="shared" si="372"/>
        <v>0</v>
      </c>
      <c r="R1837" s="757"/>
      <c r="S1837" s="755"/>
      <c r="T1837" s="277"/>
      <c r="U1837" s="758" t="str">
        <f t="shared" si="373"/>
        <v/>
      </c>
      <c r="V1837" s="758" t="str">
        <f t="shared" si="374"/>
        <v>1900</v>
      </c>
      <c r="W1837" s="759"/>
      <c r="X1837" s="771"/>
      <c r="Y1837" s="977"/>
      <c r="Z1837" s="758"/>
      <c r="AA1837" s="758" t="str">
        <f t="shared" si="376"/>
        <v/>
      </c>
      <c r="AB1837" s="758" t="str">
        <f t="shared" si="377"/>
        <v/>
      </c>
      <c r="AC1837" s="758" t="str">
        <f t="shared" si="378"/>
        <v/>
      </c>
      <c r="AD1837" s="758" t="str">
        <f t="shared" si="379"/>
        <v>0</v>
      </c>
      <c r="AE1837" s="760"/>
      <c r="AF1837" s="760"/>
      <c r="AG1837" s="443"/>
      <c r="AH1837" s="443"/>
    </row>
    <row r="1838" spans="1:34">
      <c r="A1838" s="728">
        <f t="shared" si="375"/>
        <v>1831</v>
      </c>
      <c r="B1838" s="77"/>
      <c r="C1838" s="747"/>
      <c r="D1838" s="763" t="str">
        <f t="shared" si="366"/>
        <v>January</v>
      </c>
      <c r="E1838" s="763">
        <f t="shared" si="367"/>
        <v>0</v>
      </c>
      <c r="F1838" s="762">
        <f t="shared" si="368"/>
        <v>1900</v>
      </c>
      <c r="G1838" s="747"/>
      <c r="H1838" s="882"/>
      <c r="I1838" s="756"/>
      <c r="J1838" s="756"/>
      <c r="K1838" s="778">
        <f t="shared" si="369"/>
        <v>0</v>
      </c>
      <c r="L1838" s="976"/>
      <c r="M1838" s="736">
        <f t="shared" si="370"/>
        <v>0</v>
      </c>
      <c r="N1838" s="754"/>
      <c r="O1838" s="738">
        <f t="shared" si="371"/>
        <v>0</v>
      </c>
      <c r="P1838" s="757"/>
      <c r="Q1838" s="739">
        <f t="shared" si="372"/>
        <v>0</v>
      </c>
      <c r="R1838" s="757"/>
      <c r="S1838" s="755"/>
      <c r="T1838" s="277"/>
      <c r="U1838" s="758" t="str">
        <f t="shared" si="373"/>
        <v/>
      </c>
      <c r="V1838" s="758" t="str">
        <f t="shared" si="374"/>
        <v>1900</v>
      </c>
      <c r="W1838" s="759"/>
      <c r="X1838" s="771"/>
      <c r="Y1838" s="977"/>
      <c r="Z1838" s="758"/>
      <c r="AA1838" s="758" t="str">
        <f t="shared" si="376"/>
        <v/>
      </c>
      <c r="AB1838" s="758" t="str">
        <f t="shared" si="377"/>
        <v/>
      </c>
      <c r="AC1838" s="758" t="str">
        <f t="shared" si="378"/>
        <v/>
      </c>
      <c r="AD1838" s="758" t="str">
        <f t="shared" si="379"/>
        <v>0</v>
      </c>
      <c r="AE1838" s="760"/>
      <c r="AF1838" s="760"/>
      <c r="AG1838" s="443"/>
      <c r="AH1838" s="443"/>
    </row>
    <row r="1839" spans="1:34">
      <c r="A1839" s="728">
        <f t="shared" si="375"/>
        <v>1832</v>
      </c>
      <c r="B1839" s="77"/>
      <c r="C1839" s="747"/>
      <c r="D1839" s="763" t="str">
        <f t="shared" si="366"/>
        <v>January</v>
      </c>
      <c r="E1839" s="763">
        <f t="shared" si="367"/>
        <v>0</v>
      </c>
      <c r="F1839" s="762">
        <f t="shared" si="368"/>
        <v>1900</v>
      </c>
      <c r="G1839" s="747"/>
      <c r="H1839" s="882"/>
      <c r="I1839" s="756"/>
      <c r="J1839" s="756"/>
      <c r="K1839" s="778">
        <f t="shared" si="369"/>
        <v>0</v>
      </c>
      <c r="L1839" s="976"/>
      <c r="M1839" s="736">
        <f t="shared" si="370"/>
        <v>0</v>
      </c>
      <c r="N1839" s="754"/>
      <c r="O1839" s="738">
        <f t="shared" si="371"/>
        <v>0</v>
      </c>
      <c r="P1839" s="757"/>
      <c r="Q1839" s="739">
        <f t="shared" si="372"/>
        <v>0</v>
      </c>
      <c r="R1839" s="757"/>
      <c r="S1839" s="755"/>
      <c r="T1839" s="277"/>
      <c r="U1839" s="758" t="str">
        <f t="shared" si="373"/>
        <v/>
      </c>
      <c r="V1839" s="758" t="str">
        <f t="shared" si="374"/>
        <v>1900</v>
      </c>
      <c r="W1839" s="759"/>
      <c r="X1839" s="771"/>
      <c r="Y1839" s="977"/>
      <c r="Z1839" s="758"/>
      <c r="AA1839" s="758" t="str">
        <f t="shared" si="376"/>
        <v/>
      </c>
      <c r="AB1839" s="758" t="str">
        <f t="shared" si="377"/>
        <v/>
      </c>
      <c r="AC1839" s="758" t="str">
        <f t="shared" si="378"/>
        <v/>
      </c>
      <c r="AD1839" s="758" t="str">
        <f t="shared" si="379"/>
        <v>0</v>
      </c>
      <c r="AE1839" s="760"/>
      <c r="AF1839" s="760"/>
      <c r="AG1839" s="443"/>
      <c r="AH1839" s="443"/>
    </row>
    <row r="1840" spans="1:34">
      <c r="A1840" s="728">
        <f t="shared" si="375"/>
        <v>1833</v>
      </c>
      <c r="B1840" s="77"/>
      <c r="C1840" s="747"/>
      <c r="D1840" s="763" t="str">
        <f t="shared" si="366"/>
        <v>January</v>
      </c>
      <c r="E1840" s="763">
        <f t="shared" si="367"/>
        <v>0</v>
      </c>
      <c r="F1840" s="762">
        <f t="shared" si="368"/>
        <v>1900</v>
      </c>
      <c r="G1840" s="747"/>
      <c r="H1840" s="882"/>
      <c r="I1840" s="756"/>
      <c r="J1840" s="756"/>
      <c r="K1840" s="778">
        <f t="shared" si="369"/>
        <v>0</v>
      </c>
      <c r="L1840" s="976"/>
      <c r="M1840" s="736">
        <f t="shared" si="370"/>
        <v>0</v>
      </c>
      <c r="N1840" s="754"/>
      <c r="O1840" s="738">
        <f t="shared" si="371"/>
        <v>0</v>
      </c>
      <c r="P1840" s="757"/>
      <c r="Q1840" s="739">
        <f t="shared" si="372"/>
        <v>0</v>
      </c>
      <c r="R1840" s="757"/>
      <c r="S1840" s="755"/>
      <c r="T1840" s="277"/>
      <c r="U1840" s="758" t="str">
        <f t="shared" si="373"/>
        <v/>
      </c>
      <c r="V1840" s="758" t="str">
        <f t="shared" si="374"/>
        <v>1900</v>
      </c>
      <c r="W1840" s="759"/>
      <c r="X1840" s="771"/>
      <c r="Y1840" s="977"/>
      <c r="Z1840" s="758"/>
      <c r="AA1840" s="758" t="str">
        <f t="shared" si="376"/>
        <v/>
      </c>
      <c r="AB1840" s="758" t="str">
        <f t="shared" si="377"/>
        <v/>
      </c>
      <c r="AC1840" s="758" t="str">
        <f t="shared" si="378"/>
        <v/>
      </c>
      <c r="AD1840" s="758" t="str">
        <f t="shared" si="379"/>
        <v>0</v>
      </c>
      <c r="AE1840" s="760"/>
      <c r="AF1840" s="760"/>
      <c r="AG1840" s="443"/>
      <c r="AH1840" s="443"/>
    </row>
    <row r="1841" spans="1:34">
      <c r="A1841" s="728">
        <f t="shared" si="375"/>
        <v>1834</v>
      </c>
      <c r="B1841" s="77"/>
      <c r="C1841" s="747"/>
      <c r="D1841" s="763" t="str">
        <f t="shared" si="366"/>
        <v>January</v>
      </c>
      <c r="E1841" s="763">
        <f t="shared" si="367"/>
        <v>0</v>
      </c>
      <c r="F1841" s="762">
        <f t="shared" si="368"/>
        <v>1900</v>
      </c>
      <c r="G1841" s="747"/>
      <c r="H1841" s="882"/>
      <c r="I1841" s="756"/>
      <c r="J1841" s="756"/>
      <c r="K1841" s="778">
        <f t="shared" si="369"/>
        <v>0</v>
      </c>
      <c r="L1841" s="976"/>
      <c r="M1841" s="736">
        <f t="shared" si="370"/>
        <v>0</v>
      </c>
      <c r="N1841" s="754"/>
      <c r="O1841" s="738">
        <f t="shared" si="371"/>
        <v>0</v>
      </c>
      <c r="P1841" s="757"/>
      <c r="Q1841" s="739">
        <f t="shared" si="372"/>
        <v>0</v>
      </c>
      <c r="R1841" s="757"/>
      <c r="S1841" s="755"/>
      <c r="T1841" s="277"/>
      <c r="U1841" s="758" t="str">
        <f t="shared" si="373"/>
        <v/>
      </c>
      <c r="V1841" s="758" t="str">
        <f t="shared" si="374"/>
        <v>1900</v>
      </c>
      <c r="W1841" s="759"/>
      <c r="X1841" s="771"/>
      <c r="Y1841" s="977"/>
      <c r="Z1841" s="758"/>
      <c r="AA1841" s="758" t="str">
        <f t="shared" si="376"/>
        <v/>
      </c>
      <c r="AB1841" s="758" t="str">
        <f t="shared" si="377"/>
        <v/>
      </c>
      <c r="AC1841" s="758" t="str">
        <f t="shared" si="378"/>
        <v/>
      </c>
      <c r="AD1841" s="758" t="str">
        <f t="shared" si="379"/>
        <v>0</v>
      </c>
      <c r="AE1841" s="760"/>
      <c r="AF1841" s="760"/>
      <c r="AG1841" s="443"/>
      <c r="AH1841" s="443"/>
    </row>
    <row r="1842" spans="1:34">
      <c r="A1842" s="728">
        <f t="shared" si="375"/>
        <v>1835</v>
      </c>
      <c r="B1842" s="77"/>
      <c r="C1842" s="747"/>
      <c r="D1842" s="763" t="str">
        <f t="shared" si="366"/>
        <v>January</v>
      </c>
      <c r="E1842" s="763">
        <f t="shared" si="367"/>
        <v>0</v>
      </c>
      <c r="F1842" s="762">
        <f t="shared" si="368"/>
        <v>1900</v>
      </c>
      <c r="G1842" s="747"/>
      <c r="H1842" s="882"/>
      <c r="I1842" s="756"/>
      <c r="J1842" s="756"/>
      <c r="K1842" s="778">
        <f t="shared" si="369"/>
        <v>0</v>
      </c>
      <c r="L1842" s="976"/>
      <c r="M1842" s="736">
        <f t="shared" si="370"/>
        <v>0</v>
      </c>
      <c r="N1842" s="754"/>
      <c r="O1842" s="738">
        <f t="shared" si="371"/>
        <v>0</v>
      </c>
      <c r="P1842" s="757"/>
      <c r="Q1842" s="739">
        <f t="shared" si="372"/>
        <v>0</v>
      </c>
      <c r="R1842" s="757"/>
      <c r="S1842" s="755"/>
      <c r="T1842" s="277"/>
      <c r="U1842" s="758" t="str">
        <f t="shared" si="373"/>
        <v/>
      </c>
      <c r="V1842" s="758" t="str">
        <f t="shared" si="374"/>
        <v>1900</v>
      </c>
      <c r="W1842" s="759"/>
      <c r="X1842" s="771"/>
      <c r="Y1842" s="977"/>
      <c r="Z1842" s="758"/>
      <c r="AA1842" s="758" t="str">
        <f t="shared" si="376"/>
        <v/>
      </c>
      <c r="AB1842" s="758" t="str">
        <f t="shared" si="377"/>
        <v/>
      </c>
      <c r="AC1842" s="758" t="str">
        <f t="shared" si="378"/>
        <v/>
      </c>
      <c r="AD1842" s="758" t="str">
        <f t="shared" si="379"/>
        <v>0</v>
      </c>
      <c r="AE1842" s="760"/>
      <c r="AF1842" s="760"/>
      <c r="AG1842" s="443"/>
      <c r="AH1842" s="443"/>
    </row>
    <row r="1843" spans="1:34">
      <c r="A1843" s="728">
        <f t="shared" si="375"/>
        <v>1836</v>
      </c>
      <c r="B1843" s="77"/>
      <c r="C1843" s="747"/>
      <c r="D1843" s="763" t="str">
        <f t="shared" si="366"/>
        <v>January</v>
      </c>
      <c r="E1843" s="763">
        <f t="shared" si="367"/>
        <v>0</v>
      </c>
      <c r="F1843" s="762">
        <f t="shared" si="368"/>
        <v>1900</v>
      </c>
      <c r="G1843" s="747"/>
      <c r="H1843" s="882"/>
      <c r="I1843" s="756"/>
      <c r="J1843" s="756"/>
      <c r="K1843" s="778">
        <f t="shared" si="369"/>
        <v>0</v>
      </c>
      <c r="L1843" s="976"/>
      <c r="M1843" s="736">
        <f t="shared" si="370"/>
        <v>0</v>
      </c>
      <c r="N1843" s="754"/>
      <c r="O1843" s="738">
        <f t="shared" si="371"/>
        <v>0</v>
      </c>
      <c r="P1843" s="757"/>
      <c r="Q1843" s="739">
        <f t="shared" si="372"/>
        <v>0</v>
      </c>
      <c r="R1843" s="757"/>
      <c r="S1843" s="755"/>
      <c r="T1843" s="277"/>
      <c r="U1843" s="758" t="str">
        <f t="shared" si="373"/>
        <v/>
      </c>
      <c r="V1843" s="758" t="str">
        <f t="shared" si="374"/>
        <v>1900</v>
      </c>
      <c r="W1843" s="759"/>
      <c r="X1843" s="771"/>
      <c r="Y1843" s="977"/>
      <c r="Z1843" s="758"/>
      <c r="AA1843" s="758" t="str">
        <f t="shared" si="376"/>
        <v/>
      </c>
      <c r="AB1843" s="758" t="str">
        <f t="shared" si="377"/>
        <v/>
      </c>
      <c r="AC1843" s="758" t="str">
        <f t="shared" si="378"/>
        <v/>
      </c>
      <c r="AD1843" s="758" t="str">
        <f t="shared" si="379"/>
        <v>0</v>
      </c>
      <c r="AE1843" s="760"/>
      <c r="AF1843" s="760"/>
      <c r="AG1843" s="443"/>
      <c r="AH1843" s="443"/>
    </row>
    <row r="1844" spans="1:34">
      <c r="A1844" s="728">
        <f t="shared" si="375"/>
        <v>1837</v>
      </c>
      <c r="B1844" s="77"/>
      <c r="C1844" s="747"/>
      <c r="D1844" s="763" t="str">
        <f t="shared" si="366"/>
        <v>January</v>
      </c>
      <c r="E1844" s="763">
        <f t="shared" si="367"/>
        <v>0</v>
      </c>
      <c r="F1844" s="762">
        <f t="shared" si="368"/>
        <v>1900</v>
      </c>
      <c r="G1844" s="747"/>
      <c r="H1844" s="882"/>
      <c r="I1844" s="756"/>
      <c r="J1844" s="756"/>
      <c r="K1844" s="778">
        <f t="shared" si="369"/>
        <v>0</v>
      </c>
      <c r="L1844" s="976"/>
      <c r="M1844" s="736">
        <f t="shared" si="370"/>
        <v>0</v>
      </c>
      <c r="N1844" s="754"/>
      <c r="O1844" s="738">
        <f t="shared" si="371"/>
        <v>0</v>
      </c>
      <c r="P1844" s="757"/>
      <c r="Q1844" s="739">
        <f t="shared" si="372"/>
        <v>0</v>
      </c>
      <c r="R1844" s="757"/>
      <c r="S1844" s="755"/>
      <c r="T1844" s="277"/>
      <c r="U1844" s="758" t="str">
        <f t="shared" si="373"/>
        <v/>
      </c>
      <c r="V1844" s="758" t="str">
        <f t="shared" si="374"/>
        <v>1900</v>
      </c>
      <c r="W1844" s="759"/>
      <c r="X1844" s="771"/>
      <c r="Y1844" s="977"/>
      <c r="Z1844" s="758"/>
      <c r="AA1844" s="758" t="str">
        <f t="shared" si="376"/>
        <v/>
      </c>
      <c r="AB1844" s="758" t="str">
        <f t="shared" si="377"/>
        <v/>
      </c>
      <c r="AC1844" s="758" t="str">
        <f t="shared" si="378"/>
        <v/>
      </c>
      <c r="AD1844" s="758" t="str">
        <f t="shared" si="379"/>
        <v>0</v>
      </c>
      <c r="AE1844" s="760"/>
      <c r="AF1844" s="760"/>
      <c r="AG1844" s="443"/>
      <c r="AH1844" s="443"/>
    </row>
    <row r="1845" spans="1:34">
      <c r="A1845" s="728">
        <f t="shared" si="375"/>
        <v>1838</v>
      </c>
      <c r="B1845" s="77"/>
      <c r="C1845" s="747"/>
      <c r="D1845" s="763" t="str">
        <f t="shared" si="366"/>
        <v>January</v>
      </c>
      <c r="E1845" s="763">
        <f t="shared" si="367"/>
        <v>0</v>
      </c>
      <c r="F1845" s="762">
        <f t="shared" si="368"/>
        <v>1900</v>
      </c>
      <c r="G1845" s="747"/>
      <c r="H1845" s="882"/>
      <c r="I1845" s="756"/>
      <c r="J1845" s="756"/>
      <c r="K1845" s="778">
        <f t="shared" si="369"/>
        <v>0</v>
      </c>
      <c r="L1845" s="976"/>
      <c r="M1845" s="736">
        <f t="shared" si="370"/>
        <v>0</v>
      </c>
      <c r="N1845" s="754"/>
      <c r="O1845" s="738">
        <f t="shared" si="371"/>
        <v>0</v>
      </c>
      <c r="P1845" s="757"/>
      <c r="Q1845" s="739">
        <f t="shared" si="372"/>
        <v>0</v>
      </c>
      <c r="R1845" s="757"/>
      <c r="S1845" s="755"/>
      <c r="T1845" s="277"/>
      <c r="U1845" s="758" t="str">
        <f t="shared" si="373"/>
        <v/>
      </c>
      <c r="V1845" s="758" t="str">
        <f t="shared" si="374"/>
        <v>1900</v>
      </c>
      <c r="W1845" s="759"/>
      <c r="X1845" s="771"/>
      <c r="Y1845" s="977"/>
      <c r="Z1845" s="758"/>
      <c r="AA1845" s="758" t="str">
        <f t="shared" si="376"/>
        <v/>
      </c>
      <c r="AB1845" s="758" t="str">
        <f t="shared" si="377"/>
        <v/>
      </c>
      <c r="AC1845" s="758" t="str">
        <f t="shared" si="378"/>
        <v/>
      </c>
      <c r="AD1845" s="758" t="str">
        <f t="shared" si="379"/>
        <v>0</v>
      </c>
      <c r="AE1845" s="760"/>
      <c r="AF1845" s="760"/>
      <c r="AG1845" s="443"/>
      <c r="AH1845" s="443"/>
    </row>
    <row r="1846" spans="1:34">
      <c r="A1846" s="728">
        <f t="shared" si="375"/>
        <v>1839</v>
      </c>
      <c r="B1846" s="77"/>
      <c r="C1846" s="747"/>
      <c r="D1846" s="763" t="str">
        <f t="shared" si="366"/>
        <v>January</v>
      </c>
      <c r="E1846" s="763">
        <f t="shared" si="367"/>
        <v>0</v>
      </c>
      <c r="F1846" s="762">
        <f t="shared" si="368"/>
        <v>1900</v>
      </c>
      <c r="G1846" s="747"/>
      <c r="H1846" s="882"/>
      <c r="I1846" s="756"/>
      <c r="J1846" s="756"/>
      <c r="K1846" s="778">
        <f t="shared" si="369"/>
        <v>0</v>
      </c>
      <c r="L1846" s="976"/>
      <c r="M1846" s="736">
        <f t="shared" si="370"/>
        <v>0</v>
      </c>
      <c r="N1846" s="754"/>
      <c r="O1846" s="738">
        <f t="shared" si="371"/>
        <v>0</v>
      </c>
      <c r="P1846" s="757"/>
      <c r="Q1846" s="739">
        <f t="shared" si="372"/>
        <v>0</v>
      </c>
      <c r="R1846" s="757"/>
      <c r="S1846" s="755"/>
      <c r="T1846" s="277"/>
      <c r="U1846" s="758" t="str">
        <f t="shared" si="373"/>
        <v/>
      </c>
      <c r="V1846" s="758" t="str">
        <f t="shared" si="374"/>
        <v>1900</v>
      </c>
      <c r="W1846" s="759"/>
      <c r="X1846" s="771"/>
      <c r="Y1846" s="977"/>
      <c r="Z1846" s="758"/>
      <c r="AA1846" s="758" t="str">
        <f t="shared" si="376"/>
        <v/>
      </c>
      <c r="AB1846" s="758" t="str">
        <f t="shared" si="377"/>
        <v/>
      </c>
      <c r="AC1846" s="758" t="str">
        <f t="shared" si="378"/>
        <v/>
      </c>
      <c r="AD1846" s="758" t="str">
        <f t="shared" si="379"/>
        <v>0</v>
      </c>
      <c r="AE1846" s="760"/>
      <c r="AF1846" s="760"/>
      <c r="AG1846" s="443"/>
      <c r="AH1846" s="443"/>
    </row>
    <row r="1847" spans="1:34">
      <c r="A1847" s="728">
        <f t="shared" si="375"/>
        <v>1840</v>
      </c>
      <c r="B1847" s="77"/>
      <c r="C1847" s="747"/>
      <c r="D1847" s="763" t="str">
        <f t="shared" si="366"/>
        <v>January</v>
      </c>
      <c r="E1847" s="763">
        <f t="shared" si="367"/>
        <v>0</v>
      </c>
      <c r="F1847" s="762">
        <f t="shared" si="368"/>
        <v>1900</v>
      </c>
      <c r="G1847" s="747"/>
      <c r="H1847" s="882"/>
      <c r="I1847" s="756"/>
      <c r="J1847" s="756"/>
      <c r="K1847" s="778">
        <f t="shared" si="369"/>
        <v>0</v>
      </c>
      <c r="L1847" s="976"/>
      <c r="M1847" s="736">
        <f t="shared" si="370"/>
        <v>0</v>
      </c>
      <c r="N1847" s="754"/>
      <c r="O1847" s="738">
        <f t="shared" si="371"/>
        <v>0</v>
      </c>
      <c r="P1847" s="757"/>
      <c r="Q1847" s="739">
        <f t="shared" si="372"/>
        <v>0</v>
      </c>
      <c r="R1847" s="757"/>
      <c r="S1847" s="755"/>
      <c r="T1847" s="277"/>
      <c r="U1847" s="758" t="str">
        <f t="shared" si="373"/>
        <v/>
      </c>
      <c r="V1847" s="758" t="str">
        <f t="shared" si="374"/>
        <v>1900</v>
      </c>
      <c r="W1847" s="759"/>
      <c r="X1847" s="771"/>
      <c r="Y1847" s="977"/>
      <c r="Z1847" s="758"/>
      <c r="AA1847" s="758" t="str">
        <f t="shared" si="376"/>
        <v/>
      </c>
      <c r="AB1847" s="758" t="str">
        <f t="shared" si="377"/>
        <v/>
      </c>
      <c r="AC1847" s="758" t="str">
        <f t="shared" si="378"/>
        <v/>
      </c>
      <c r="AD1847" s="758" t="str">
        <f t="shared" si="379"/>
        <v>0</v>
      </c>
      <c r="AE1847" s="760"/>
      <c r="AF1847" s="760"/>
      <c r="AG1847" s="443"/>
      <c r="AH1847" s="443"/>
    </row>
    <row r="1848" spans="1:34">
      <c r="A1848" s="728">
        <f t="shared" si="375"/>
        <v>1841</v>
      </c>
      <c r="B1848" s="77"/>
      <c r="C1848" s="747"/>
      <c r="D1848" s="763" t="str">
        <f t="shared" si="366"/>
        <v>January</v>
      </c>
      <c r="E1848" s="763">
        <f t="shared" si="367"/>
        <v>0</v>
      </c>
      <c r="F1848" s="762">
        <f t="shared" si="368"/>
        <v>1900</v>
      </c>
      <c r="G1848" s="747"/>
      <c r="H1848" s="882"/>
      <c r="I1848" s="756"/>
      <c r="J1848" s="756"/>
      <c r="K1848" s="778">
        <f t="shared" si="369"/>
        <v>0</v>
      </c>
      <c r="L1848" s="976"/>
      <c r="M1848" s="736">
        <f t="shared" si="370"/>
        <v>0</v>
      </c>
      <c r="N1848" s="754"/>
      <c r="O1848" s="738">
        <f t="shared" si="371"/>
        <v>0</v>
      </c>
      <c r="P1848" s="757"/>
      <c r="Q1848" s="739">
        <f t="shared" si="372"/>
        <v>0</v>
      </c>
      <c r="R1848" s="757"/>
      <c r="S1848" s="755"/>
      <c r="T1848" s="277"/>
      <c r="U1848" s="758" t="str">
        <f t="shared" si="373"/>
        <v/>
      </c>
      <c r="V1848" s="758" t="str">
        <f t="shared" si="374"/>
        <v>1900</v>
      </c>
      <c r="W1848" s="759"/>
      <c r="X1848" s="771"/>
      <c r="Y1848" s="977"/>
      <c r="Z1848" s="758"/>
      <c r="AA1848" s="758" t="str">
        <f t="shared" si="376"/>
        <v/>
      </c>
      <c r="AB1848" s="758" t="str">
        <f t="shared" si="377"/>
        <v/>
      </c>
      <c r="AC1848" s="758" t="str">
        <f t="shared" si="378"/>
        <v/>
      </c>
      <c r="AD1848" s="758" t="str">
        <f t="shared" si="379"/>
        <v>0</v>
      </c>
      <c r="AE1848" s="760"/>
      <c r="AF1848" s="760"/>
      <c r="AG1848" s="443"/>
      <c r="AH1848" s="443"/>
    </row>
    <row r="1849" spans="1:34">
      <c r="A1849" s="728">
        <f t="shared" si="375"/>
        <v>1842</v>
      </c>
      <c r="B1849" s="77"/>
      <c r="C1849" s="747"/>
      <c r="D1849" s="763" t="str">
        <f t="shared" ref="D1849:D1912" si="380">TEXT(C1849,"mmmm")</f>
        <v>January</v>
      </c>
      <c r="E1849" s="763">
        <f t="shared" ref="E1849:E1912" si="381">DAY(C1849)</f>
        <v>0</v>
      </c>
      <c r="F1849" s="762">
        <f t="shared" ref="F1849:F1912" si="382">YEAR(C1849)</f>
        <v>1900</v>
      </c>
      <c r="G1849" s="747"/>
      <c r="H1849" s="882"/>
      <c r="I1849" s="756"/>
      <c r="J1849" s="756"/>
      <c r="K1849" s="778">
        <f t="shared" ref="K1849:K1912" si="383">+(I1849/1760)*J1849</f>
        <v>0</v>
      </c>
      <c r="L1849" s="976"/>
      <c r="M1849" s="736">
        <f t="shared" ref="M1849:M1912" si="384">HOUR(O1849)</f>
        <v>0</v>
      </c>
      <c r="N1849" s="754"/>
      <c r="O1849" s="738">
        <f t="shared" ref="O1849:O1912" si="385">+N1849</f>
        <v>0</v>
      </c>
      <c r="P1849" s="757"/>
      <c r="Q1849" s="739">
        <f t="shared" ref="Q1849:Q1912" si="386">+P1849-O1849</f>
        <v>0</v>
      </c>
      <c r="R1849" s="757"/>
      <c r="S1849" s="755"/>
      <c r="T1849" s="277"/>
      <c r="U1849" s="758" t="str">
        <f t="shared" si="373"/>
        <v/>
      </c>
      <c r="V1849" s="758" t="str">
        <f t="shared" si="374"/>
        <v>1900</v>
      </c>
      <c r="W1849" s="759"/>
      <c r="X1849" s="771"/>
      <c r="Y1849" s="977"/>
      <c r="Z1849" s="758"/>
      <c r="AA1849" s="758" t="str">
        <f t="shared" si="376"/>
        <v/>
      </c>
      <c r="AB1849" s="758" t="str">
        <f t="shared" si="377"/>
        <v/>
      </c>
      <c r="AC1849" s="758" t="str">
        <f t="shared" si="378"/>
        <v/>
      </c>
      <c r="AD1849" s="758" t="str">
        <f t="shared" si="379"/>
        <v>0</v>
      </c>
      <c r="AE1849" s="760"/>
      <c r="AF1849" s="760"/>
      <c r="AG1849" s="443"/>
      <c r="AH1849" s="443"/>
    </row>
    <row r="1850" spans="1:34">
      <c r="A1850" s="728">
        <f t="shared" si="375"/>
        <v>1843</v>
      </c>
      <c r="B1850" s="77"/>
      <c r="C1850" s="747"/>
      <c r="D1850" s="763" t="str">
        <f t="shared" si="380"/>
        <v>January</v>
      </c>
      <c r="E1850" s="763">
        <f t="shared" si="381"/>
        <v>0</v>
      </c>
      <c r="F1850" s="762">
        <f t="shared" si="382"/>
        <v>1900</v>
      </c>
      <c r="G1850" s="747"/>
      <c r="H1850" s="882"/>
      <c r="I1850" s="756"/>
      <c r="J1850" s="756"/>
      <c r="K1850" s="778">
        <f t="shared" si="383"/>
        <v>0</v>
      </c>
      <c r="L1850" s="976"/>
      <c r="M1850" s="736">
        <f t="shared" si="384"/>
        <v>0</v>
      </c>
      <c r="N1850" s="754"/>
      <c r="O1850" s="738">
        <f t="shared" si="385"/>
        <v>0</v>
      </c>
      <c r="P1850" s="757"/>
      <c r="Q1850" s="739">
        <f t="shared" si="386"/>
        <v>0</v>
      </c>
      <c r="R1850" s="757"/>
      <c r="S1850" s="755"/>
      <c r="T1850" s="277"/>
      <c r="U1850" s="758" t="str">
        <f t="shared" si="373"/>
        <v/>
      </c>
      <c r="V1850" s="758" t="str">
        <f t="shared" si="374"/>
        <v>1900</v>
      </c>
      <c r="W1850" s="759"/>
      <c r="X1850" s="771"/>
      <c r="Y1850" s="977"/>
      <c r="Z1850" s="758"/>
      <c r="AA1850" s="758" t="str">
        <f t="shared" si="376"/>
        <v/>
      </c>
      <c r="AB1850" s="758" t="str">
        <f t="shared" si="377"/>
        <v/>
      </c>
      <c r="AC1850" s="758" t="str">
        <f t="shared" si="378"/>
        <v/>
      </c>
      <c r="AD1850" s="758" t="str">
        <f t="shared" si="379"/>
        <v>0</v>
      </c>
      <c r="AE1850" s="760"/>
      <c r="AF1850" s="760"/>
      <c r="AG1850" s="443"/>
      <c r="AH1850" s="443"/>
    </row>
    <row r="1851" spans="1:34">
      <c r="A1851" s="728">
        <f t="shared" si="375"/>
        <v>1844</v>
      </c>
      <c r="B1851" s="77"/>
      <c r="C1851" s="747"/>
      <c r="D1851" s="763" t="str">
        <f t="shared" si="380"/>
        <v>January</v>
      </c>
      <c r="E1851" s="763">
        <f t="shared" si="381"/>
        <v>0</v>
      </c>
      <c r="F1851" s="762">
        <f t="shared" si="382"/>
        <v>1900</v>
      </c>
      <c r="G1851" s="747"/>
      <c r="H1851" s="882"/>
      <c r="I1851" s="756"/>
      <c r="J1851" s="756"/>
      <c r="K1851" s="778">
        <f t="shared" si="383"/>
        <v>0</v>
      </c>
      <c r="L1851" s="976"/>
      <c r="M1851" s="736">
        <f t="shared" si="384"/>
        <v>0</v>
      </c>
      <c r="N1851" s="754"/>
      <c r="O1851" s="738">
        <f t="shared" si="385"/>
        <v>0</v>
      </c>
      <c r="P1851" s="757"/>
      <c r="Q1851" s="739">
        <f t="shared" si="386"/>
        <v>0</v>
      </c>
      <c r="R1851" s="757"/>
      <c r="S1851" s="755"/>
      <c r="T1851" s="277"/>
      <c r="U1851" s="758" t="str">
        <f t="shared" si="373"/>
        <v/>
      </c>
      <c r="V1851" s="758" t="str">
        <f t="shared" si="374"/>
        <v>1900</v>
      </c>
      <c r="W1851" s="759"/>
      <c r="X1851" s="771"/>
      <c r="Y1851" s="977"/>
      <c r="Z1851" s="758"/>
      <c r="AA1851" s="758" t="str">
        <f t="shared" si="376"/>
        <v/>
      </c>
      <c r="AB1851" s="758" t="str">
        <f t="shared" si="377"/>
        <v/>
      </c>
      <c r="AC1851" s="758" t="str">
        <f t="shared" si="378"/>
        <v/>
      </c>
      <c r="AD1851" s="758" t="str">
        <f t="shared" si="379"/>
        <v>0</v>
      </c>
      <c r="AE1851" s="760"/>
      <c r="AF1851" s="760"/>
      <c r="AG1851" s="443"/>
      <c r="AH1851" s="443"/>
    </row>
    <row r="1852" spans="1:34">
      <c r="A1852" s="728">
        <f t="shared" si="375"/>
        <v>1845</v>
      </c>
      <c r="B1852" s="77"/>
      <c r="C1852" s="747"/>
      <c r="D1852" s="763" t="str">
        <f t="shared" si="380"/>
        <v>January</v>
      </c>
      <c r="E1852" s="763">
        <f t="shared" si="381"/>
        <v>0</v>
      </c>
      <c r="F1852" s="762">
        <f t="shared" si="382"/>
        <v>1900</v>
      </c>
      <c r="G1852" s="747"/>
      <c r="H1852" s="882"/>
      <c r="I1852" s="756"/>
      <c r="J1852" s="756"/>
      <c r="K1852" s="778">
        <f t="shared" si="383"/>
        <v>0</v>
      </c>
      <c r="L1852" s="976"/>
      <c r="M1852" s="736">
        <f t="shared" si="384"/>
        <v>0</v>
      </c>
      <c r="N1852" s="754"/>
      <c r="O1852" s="738">
        <f t="shared" si="385"/>
        <v>0</v>
      </c>
      <c r="P1852" s="757"/>
      <c r="Q1852" s="739">
        <f t="shared" si="386"/>
        <v>0</v>
      </c>
      <c r="R1852" s="757"/>
      <c r="S1852" s="755"/>
      <c r="T1852" s="277"/>
      <c r="U1852" s="758" t="str">
        <f t="shared" si="373"/>
        <v/>
      </c>
      <c r="V1852" s="758" t="str">
        <f t="shared" si="374"/>
        <v>1900</v>
      </c>
      <c r="W1852" s="759"/>
      <c r="X1852" s="771"/>
      <c r="Y1852" s="977"/>
      <c r="Z1852" s="758"/>
      <c r="AA1852" s="758" t="str">
        <f t="shared" si="376"/>
        <v/>
      </c>
      <c r="AB1852" s="758" t="str">
        <f t="shared" si="377"/>
        <v/>
      </c>
      <c r="AC1852" s="758" t="str">
        <f t="shared" si="378"/>
        <v/>
      </c>
      <c r="AD1852" s="758" t="str">
        <f t="shared" si="379"/>
        <v>0</v>
      </c>
      <c r="AE1852" s="760"/>
      <c r="AF1852" s="760"/>
      <c r="AG1852" s="443"/>
      <c r="AH1852" s="443"/>
    </row>
    <row r="1853" spans="1:34">
      <c r="A1853" s="728">
        <f t="shared" si="375"/>
        <v>1846</v>
      </c>
      <c r="B1853" s="77"/>
      <c r="C1853" s="747"/>
      <c r="D1853" s="763" t="str">
        <f t="shared" si="380"/>
        <v>January</v>
      </c>
      <c r="E1853" s="763">
        <f t="shared" si="381"/>
        <v>0</v>
      </c>
      <c r="F1853" s="762">
        <f t="shared" si="382"/>
        <v>1900</v>
      </c>
      <c r="G1853" s="747"/>
      <c r="H1853" s="882"/>
      <c r="I1853" s="756"/>
      <c r="J1853" s="756"/>
      <c r="K1853" s="778">
        <f t="shared" si="383"/>
        <v>0</v>
      </c>
      <c r="L1853" s="976"/>
      <c r="M1853" s="736">
        <f t="shared" si="384"/>
        <v>0</v>
      </c>
      <c r="N1853" s="754"/>
      <c r="O1853" s="738">
        <f t="shared" si="385"/>
        <v>0</v>
      </c>
      <c r="P1853" s="757"/>
      <c r="Q1853" s="739">
        <f t="shared" si="386"/>
        <v>0</v>
      </c>
      <c r="R1853" s="757"/>
      <c r="S1853" s="755"/>
      <c r="T1853" s="277"/>
      <c r="U1853" s="758" t="str">
        <f t="shared" si="373"/>
        <v/>
      </c>
      <c r="V1853" s="758" t="str">
        <f t="shared" si="374"/>
        <v>1900</v>
      </c>
      <c r="W1853" s="759"/>
      <c r="X1853" s="771"/>
      <c r="Y1853" s="977"/>
      <c r="Z1853" s="758"/>
      <c r="AA1853" s="758" t="str">
        <f t="shared" si="376"/>
        <v/>
      </c>
      <c r="AB1853" s="758" t="str">
        <f t="shared" si="377"/>
        <v/>
      </c>
      <c r="AC1853" s="758" t="str">
        <f t="shared" si="378"/>
        <v/>
      </c>
      <c r="AD1853" s="758" t="str">
        <f t="shared" si="379"/>
        <v>0</v>
      </c>
      <c r="AE1853" s="760"/>
      <c r="AF1853" s="760"/>
      <c r="AG1853" s="443"/>
      <c r="AH1853" s="443"/>
    </row>
    <row r="1854" spans="1:34">
      <c r="A1854" s="728">
        <f t="shared" si="375"/>
        <v>1847</v>
      </c>
      <c r="B1854" s="77"/>
      <c r="C1854" s="747"/>
      <c r="D1854" s="763" t="str">
        <f t="shared" si="380"/>
        <v>January</v>
      </c>
      <c r="E1854" s="763">
        <f t="shared" si="381"/>
        <v>0</v>
      </c>
      <c r="F1854" s="762">
        <f t="shared" si="382"/>
        <v>1900</v>
      </c>
      <c r="G1854" s="747"/>
      <c r="H1854" s="882"/>
      <c r="I1854" s="756"/>
      <c r="J1854" s="756"/>
      <c r="K1854" s="778">
        <f t="shared" si="383"/>
        <v>0</v>
      </c>
      <c r="L1854" s="976"/>
      <c r="M1854" s="736">
        <f t="shared" si="384"/>
        <v>0</v>
      </c>
      <c r="N1854" s="754"/>
      <c r="O1854" s="738">
        <f t="shared" si="385"/>
        <v>0</v>
      </c>
      <c r="P1854" s="757"/>
      <c r="Q1854" s="739">
        <f t="shared" si="386"/>
        <v>0</v>
      </c>
      <c r="R1854" s="757"/>
      <c r="S1854" s="755"/>
      <c r="T1854" s="277"/>
      <c r="U1854" s="758" t="str">
        <f t="shared" si="373"/>
        <v/>
      </c>
      <c r="V1854" s="758" t="str">
        <f t="shared" si="374"/>
        <v>1900</v>
      </c>
      <c r="W1854" s="759"/>
      <c r="X1854" s="771"/>
      <c r="Y1854" s="977"/>
      <c r="Z1854" s="758"/>
      <c r="AA1854" s="758" t="str">
        <f t="shared" si="376"/>
        <v/>
      </c>
      <c r="AB1854" s="758" t="str">
        <f t="shared" si="377"/>
        <v/>
      </c>
      <c r="AC1854" s="758" t="str">
        <f t="shared" si="378"/>
        <v/>
      </c>
      <c r="AD1854" s="758" t="str">
        <f t="shared" si="379"/>
        <v>0</v>
      </c>
      <c r="AE1854" s="760"/>
      <c r="AF1854" s="760"/>
      <c r="AG1854" s="443"/>
      <c r="AH1854" s="443"/>
    </row>
    <row r="1855" spans="1:34">
      <c r="A1855" s="728">
        <f t="shared" si="375"/>
        <v>1848</v>
      </c>
      <c r="B1855" s="77"/>
      <c r="C1855" s="747"/>
      <c r="D1855" s="763" t="str">
        <f t="shared" si="380"/>
        <v>January</v>
      </c>
      <c r="E1855" s="763">
        <f t="shared" si="381"/>
        <v>0</v>
      </c>
      <c r="F1855" s="762">
        <f t="shared" si="382"/>
        <v>1900</v>
      </c>
      <c r="G1855" s="747"/>
      <c r="H1855" s="882"/>
      <c r="I1855" s="756"/>
      <c r="J1855" s="756"/>
      <c r="K1855" s="778">
        <f t="shared" si="383"/>
        <v>0</v>
      </c>
      <c r="L1855" s="976"/>
      <c r="M1855" s="736">
        <f t="shared" si="384"/>
        <v>0</v>
      </c>
      <c r="N1855" s="754"/>
      <c r="O1855" s="738">
        <f t="shared" si="385"/>
        <v>0</v>
      </c>
      <c r="P1855" s="757"/>
      <c r="Q1855" s="739">
        <f t="shared" si="386"/>
        <v>0</v>
      </c>
      <c r="R1855" s="757"/>
      <c r="S1855" s="755"/>
      <c r="T1855" s="277"/>
      <c r="U1855" s="758" t="str">
        <f t="shared" si="373"/>
        <v/>
      </c>
      <c r="V1855" s="758" t="str">
        <f t="shared" si="374"/>
        <v>1900</v>
      </c>
      <c r="W1855" s="759"/>
      <c r="X1855" s="771"/>
      <c r="Y1855" s="977"/>
      <c r="Z1855" s="758"/>
      <c r="AA1855" s="758" t="str">
        <f t="shared" si="376"/>
        <v/>
      </c>
      <c r="AB1855" s="758" t="str">
        <f t="shared" si="377"/>
        <v/>
      </c>
      <c r="AC1855" s="758" t="str">
        <f t="shared" si="378"/>
        <v/>
      </c>
      <c r="AD1855" s="758" t="str">
        <f t="shared" si="379"/>
        <v>0</v>
      </c>
      <c r="AE1855" s="760"/>
      <c r="AF1855" s="760"/>
      <c r="AG1855" s="443"/>
      <c r="AH1855" s="443"/>
    </row>
    <row r="1856" spans="1:34">
      <c r="A1856" s="728">
        <f t="shared" si="375"/>
        <v>1849</v>
      </c>
      <c r="B1856" s="77"/>
      <c r="C1856" s="747"/>
      <c r="D1856" s="763" t="str">
        <f t="shared" si="380"/>
        <v>January</v>
      </c>
      <c r="E1856" s="763">
        <f t="shared" si="381"/>
        <v>0</v>
      </c>
      <c r="F1856" s="762">
        <f t="shared" si="382"/>
        <v>1900</v>
      </c>
      <c r="G1856" s="747"/>
      <c r="H1856" s="882"/>
      <c r="I1856" s="756"/>
      <c r="J1856" s="756"/>
      <c r="K1856" s="778">
        <f t="shared" si="383"/>
        <v>0</v>
      </c>
      <c r="L1856" s="976"/>
      <c r="M1856" s="736">
        <f t="shared" si="384"/>
        <v>0</v>
      </c>
      <c r="N1856" s="754"/>
      <c r="O1856" s="738">
        <f t="shared" si="385"/>
        <v>0</v>
      </c>
      <c r="P1856" s="757"/>
      <c r="Q1856" s="739">
        <f t="shared" si="386"/>
        <v>0</v>
      </c>
      <c r="R1856" s="757"/>
      <c r="S1856" s="755"/>
      <c r="T1856" s="277"/>
      <c r="U1856" s="758" t="str">
        <f t="shared" si="373"/>
        <v/>
      </c>
      <c r="V1856" s="758" t="str">
        <f t="shared" si="374"/>
        <v>1900</v>
      </c>
      <c r="W1856" s="759"/>
      <c r="X1856" s="771"/>
      <c r="Y1856" s="977"/>
      <c r="Z1856" s="758"/>
      <c r="AA1856" s="758" t="str">
        <f t="shared" si="376"/>
        <v/>
      </c>
      <c r="AB1856" s="758" t="str">
        <f t="shared" si="377"/>
        <v/>
      </c>
      <c r="AC1856" s="758" t="str">
        <f t="shared" si="378"/>
        <v/>
      </c>
      <c r="AD1856" s="758" t="str">
        <f t="shared" si="379"/>
        <v>0</v>
      </c>
      <c r="AE1856" s="760"/>
      <c r="AF1856" s="760"/>
      <c r="AG1856" s="443"/>
      <c r="AH1856" s="443"/>
    </row>
    <row r="1857" spans="1:34">
      <c r="A1857" s="728">
        <f t="shared" si="375"/>
        <v>1850</v>
      </c>
      <c r="B1857" s="77"/>
      <c r="C1857" s="747"/>
      <c r="D1857" s="763" t="str">
        <f t="shared" si="380"/>
        <v>January</v>
      </c>
      <c r="E1857" s="763">
        <f t="shared" si="381"/>
        <v>0</v>
      </c>
      <c r="F1857" s="762">
        <f t="shared" si="382"/>
        <v>1900</v>
      </c>
      <c r="G1857" s="747"/>
      <c r="H1857" s="882"/>
      <c r="I1857" s="756"/>
      <c r="J1857" s="756"/>
      <c r="K1857" s="778">
        <f t="shared" si="383"/>
        <v>0</v>
      </c>
      <c r="L1857" s="976"/>
      <c r="M1857" s="736">
        <f t="shared" si="384"/>
        <v>0</v>
      </c>
      <c r="N1857" s="754"/>
      <c r="O1857" s="738">
        <f t="shared" si="385"/>
        <v>0</v>
      </c>
      <c r="P1857" s="757"/>
      <c r="Q1857" s="739">
        <f t="shared" si="386"/>
        <v>0</v>
      </c>
      <c r="R1857" s="757"/>
      <c r="S1857" s="755"/>
      <c r="T1857" s="277"/>
      <c r="U1857" s="758" t="str">
        <f t="shared" si="373"/>
        <v/>
      </c>
      <c r="V1857" s="758" t="str">
        <f t="shared" si="374"/>
        <v>1900</v>
      </c>
      <c r="W1857" s="759"/>
      <c r="X1857" s="771"/>
      <c r="Y1857" s="977"/>
      <c r="Z1857" s="758"/>
      <c r="AA1857" s="758" t="str">
        <f t="shared" si="376"/>
        <v/>
      </c>
      <c r="AB1857" s="758" t="str">
        <f t="shared" si="377"/>
        <v/>
      </c>
      <c r="AC1857" s="758" t="str">
        <f t="shared" si="378"/>
        <v/>
      </c>
      <c r="AD1857" s="758" t="str">
        <f t="shared" si="379"/>
        <v>0</v>
      </c>
      <c r="AE1857" s="760"/>
      <c r="AF1857" s="760"/>
      <c r="AG1857" s="443"/>
      <c r="AH1857" s="443"/>
    </row>
    <row r="1858" spans="1:34">
      <c r="A1858" s="728">
        <f t="shared" si="375"/>
        <v>1851</v>
      </c>
      <c r="B1858" s="77"/>
      <c r="C1858" s="747"/>
      <c r="D1858" s="763" t="str">
        <f t="shared" si="380"/>
        <v>January</v>
      </c>
      <c r="E1858" s="763">
        <f t="shared" si="381"/>
        <v>0</v>
      </c>
      <c r="F1858" s="762">
        <f t="shared" si="382"/>
        <v>1900</v>
      </c>
      <c r="G1858" s="747"/>
      <c r="H1858" s="882"/>
      <c r="I1858" s="756"/>
      <c r="J1858" s="756"/>
      <c r="K1858" s="778">
        <f t="shared" si="383"/>
        <v>0</v>
      </c>
      <c r="L1858" s="976"/>
      <c r="M1858" s="736">
        <f t="shared" si="384"/>
        <v>0</v>
      </c>
      <c r="N1858" s="754"/>
      <c r="O1858" s="738">
        <f t="shared" si="385"/>
        <v>0</v>
      </c>
      <c r="P1858" s="757"/>
      <c r="Q1858" s="739">
        <f t="shared" si="386"/>
        <v>0</v>
      </c>
      <c r="R1858" s="757"/>
      <c r="S1858" s="755"/>
      <c r="T1858" s="277"/>
      <c r="U1858" s="758" t="str">
        <f t="shared" si="373"/>
        <v/>
      </c>
      <c r="V1858" s="758" t="str">
        <f t="shared" si="374"/>
        <v>1900</v>
      </c>
      <c r="W1858" s="759"/>
      <c r="X1858" s="771"/>
      <c r="Y1858" s="977"/>
      <c r="Z1858" s="758"/>
      <c r="AA1858" s="758" t="str">
        <f t="shared" si="376"/>
        <v/>
      </c>
      <c r="AB1858" s="758" t="str">
        <f t="shared" si="377"/>
        <v/>
      </c>
      <c r="AC1858" s="758" t="str">
        <f t="shared" si="378"/>
        <v/>
      </c>
      <c r="AD1858" s="758" t="str">
        <f t="shared" si="379"/>
        <v>0</v>
      </c>
      <c r="AE1858" s="760"/>
      <c r="AF1858" s="760"/>
      <c r="AG1858" s="443"/>
      <c r="AH1858" s="443"/>
    </row>
    <row r="1859" spans="1:34">
      <c r="A1859" s="728">
        <f t="shared" si="375"/>
        <v>1852</v>
      </c>
      <c r="B1859" s="77"/>
      <c r="C1859" s="747"/>
      <c r="D1859" s="763" t="str">
        <f t="shared" si="380"/>
        <v>January</v>
      </c>
      <c r="E1859" s="763">
        <f t="shared" si="381"/>
        <v>0</v>
      </c>
      <c r="F1859" s="762">
        <f t="shared" si="382"/>
        <v>1900</v>
      </c>
      <c r="G1859" s="747"/>
      <c r="H1859" s="882"/>
      <c r="I1859" s="756"/>
      <c r="J1859" s="756"/>
      <c r="K1859" s="778">
        <f t="shared" si="383"/>
        <v>0</v>
      </c>
      <c r="L1859" s="976"/>
      <c r="M1859" s="736">
        <f t="shared" si="384"/>
        <v>0</v>
      </c>
      <c r="N1859" s="754"/>
      <c r="O1859" s="738">
        <f t="shared" si="385"/>
        <v>0</v>
      </c>
      <c r="P1859" s="757"/>
      <c r="Q1859" s="739">
        <f t="shared" si="386"/>
        <v>0</v>
      </c>
      <c r="R1859" s="757"/>
      <c r="S1859" s="755"/>
      <c r="T1859" s="277"/>
      <c r="U1859" s="758" t="str">
        <f t="shared" si="373"/>
        <v/>
      </c>
      <c r="V1859" s="758" t="str">
        <f t="shared" si="374"/>
        <v>1900</v>
      </c>
      <c r="W1859" s="759"/>
      <c r="X1859" s="771"/>
      <c r="Y1859" s="977"/>
      <c r="Z1859" s="758"/>
      <c r="AA1859" s="758" t="str">
        <f t="shared" si="376"/>
        <v/>
      </c>
      <c r="AB1859" s="758" t="str">
        <f t="shared" si="377"/>
        <v/>
      </c>
      <c r="AC1859" s="758" t="str">
        <f t="shared" si="378"/>
        <v/>
      </c>
      <c r="AD1859" s="758" t="str">
        <f t="shared" si="379"/>
        <v>0</v>
      </c>
      <c r="AE1859" s="760"/>
      <c r="AF1859" s="760"/>
      <c r="AG1859" s="443"/>
      <c r="AH1859" s="443"/>
    </row>
    <row r="1860" spans="1:34">
      <c r="A1860" s="728">
        <f t="shared" si="375"/>
        <v>1853</v>
      </c>
      <c r="B1860" s="77"/>
      <c r="C1860" s="747"/>
      <c r="D1860" s="763" t="str">
        <f t="shared" si="380"/>
        <v>January</v>
      </c>
      <c r="E1860" s="763">
        <f t="shared" si="381"/>
        <v>0</v>
      </c>
      <c r="F1860" s="762">
        <f t="shared" si="382"/>
        <v>1900</v>
      </c>
      <c r="G1860" s="747"/>
      <c r="H1860" s="882"/>
      <c r="I1860" s="756"/>
      <c r="J1860" s="756"/>
      <c r="K1860" s="778">
        <f t="shared" si="383"/>
        <v>0</v>
      </c>
      <c r="L1860" s="976"/>
      <c r="M1860" s="736">
        <f t="shared" si="384"/>
        <v>0</v>
      </c>
      <c r="N1860" s="754"/>
      <c r="O1860" s="738">
        <f t="shared" si="385"/>
        <v>0</v>
      </c>
      <c r="P1860" s="757"/>
      <c r="Q1860" s="739">
        <f t="shared" si="386"/>
        <v>0</v>
      </c>
      <c r="R1860" s="757"/>
      <c r="S1860" s="755"/>
      <c r="T1860" s="277"/>
      <c r="U1860" s="758" t="str">
        <f t="shared" si="373"/>
        <v/>
      </c>
      <c r="V1860" s="758" t="str">
        <f t="shared" si="374"/>
        <v>1900</v>
      </c>
      <c r="W1860" s="759"/>
      <c r="X1860" s="771"/>
      <c r="Y1860" s="977"/>
      <c r="Z1860" s="758"/>
      <c r="AA1860" s="758" t="str">
        <f t="shared" si="376"/>
        <v/>
      </c>
      <c r="AB1860" s="758" t="str">
        <f t="shared" si="377"/>
        <v/>
      </c>
      <c r="AC1860" s="758" t="str">
        <f t="shared" si="378"/>
        <v/>
      </c>
      <c r="AD1860" s="758" t="str">
        <f t="shared" si="379"/>
        <v>0</v>
      </c>
      <c r="AE1860" s="760"/>
      <c r="AF1860" s="760"/>
      <c r="AG1860" s="443"/>
      <c r="AH1860" s="443"/>
    </row>
    <row r="1861" spans="1:34">
      <c r="A1861" s="728">
        <f t="shared" si="375"/>
        <v>1854</v>
      </c>
      <c r="B1861" s="77"/>
      <c r="C1861" s="747"/>
      <c r="D1861" s="763" t="str">
        <f t="shared" si="380"/>
        <v>January</v>
      </c>
      <c r="E1861" s="763">
        <f t="shared" si="381"/>
        <v>0</v>
      </c>
      <c r="F1861" s="762">
        <f t="shared" si="382"/>
        <v>1900</v>
      </c>
      <c r="G1861" s="747"/>
      <c r="H1861" s="882"/>
      <c r="I1861" s="756"/>
      <c r="J1861" s="756"/>
      <c r="K1861" s="778">
        <f t="shared" si="383"/>
        <v>0</v>
      </c>
      <c r="L1861" s="976"/>
      <c r="M1861" s="736">
        <f t="shared" si="384"/>
        <v>0</v>
      </c>
      <c r="N1861" s="754"/>
      <c r="O1861" s="738">
        <f t="shared" si="385"/>
        <v>0</v>
      </c>
      <c r="P1861" s="757"/>
      <c r="Q1861" s="739">
        <f t="shared" si="386"/>
        <v>0</v>
      </c>
      <c r="R1861" s="757"/>
      <c r="S1861" s="755"/>
      <c r="T1861" s="277"/>
      <c r="U1861" s="758" t="str">
        <f t="shared" si="373"/>
        <v/>
      </c>
      <c r="V1861" s="758" t="str">
        <f t="shared" si="374"/>
        <v>1900</v>
      </c>
      <c r="W1861" s="759"/>
      <c r="X1861" s="771"/>
      <c r="Y1861" s="977"/>
      <c r="Z1861" s="758"/>
      <c r="AA1861" s="758" t="str">
        <f t="shared" si="376"/>
        <v/>
      </c>
      <c r="AB1861" s="758" t="str">
        <f t="shared" si="377"/>
        <v/>
      </c>
      <c r="AC1861" s="758" t="str">
        <f t="shared" si="378"/>
        <v/>
      </c>
      <c r="AD1861" s="758" t="str">
        <f t="shared" si="379"/>
        <v>0</v>
      </c>
      <c r="AE1861" s="760"/>
      <c r="AF1861" s="760"/>
      <c r="AG1861" s="443"/>
      <c r="AH1861" s="443"/>
    </row>
    <row r="1862" spans="1:34">
      <c r="A1862" s="728">
        <f t="shared" si="375"/>
        <v>1855</v>
      </c>
      <c r="B1862" s="77"/>
      <c r="C1862" s="747"/>
      <c r="D1862" s="763" t="str">
        <f t="shared" si="380"/>
        <v>January</v>
      </c>
      <c r="E1862" s="763">
        <f t="shared" si="381"/>
        <v>0</v>
      </c>
      <c r="F1862" s="762">
        <f t="shared" si="382"/>
        <v>1900</v>
      </c>
      <c r="G1862" s="747"/>
      <c r="H1862" s="882"/>
      <c r="I1862" s="756"/>
      <c r="J1862" s="756"/>
      <c r="K1862" s="778">
        <f t="shared" si="383"/>
        <v>0</v>
      </c>
      <c r="L1862" s="976"/>
      <c r="M1862" s="736">
        <f t="shared" si="384"/>
        <v>0</v>
      </c>
      <c r="N1862" s="754"/>
      <c r="O1862" s="738">
        <f t="shared" si="385"/>
        <v>0</v>
      </c>
      <c r="P1862" s="757"/>
      <c r="Q1862" s="739">
        <f t="shared" si="386"/>
        <v>0</v>
      </c>
      <c r="R1862" s="757"/>
      <c r="S1862" s="755"/>
      <c r="T1862" s="277"/>
      <c r="U1862" s="758" t="str">
        <f t="shared" si="373"/>
        <v/>
      </c>
      <c r="V1862" s="758" t="str">
        <f t="shared" si="374"/>
        <v>1900</v>
      </c>
      <c r="W1862" s="759"/>
      <c r="X1862" s="771"/>
      <c r="Y1862" s="977"/>
      <c r="Z1862" s="758"/>
      <c r="AA1862" s="758" t="str">
        <f t="shared" si="376"/>
        <v/>
      </c>
      <c r="AB1862" s="758" t="str">
        <f t="shared" si="377"/>
        <v/>
      </c>
      <c r="AC1862" s="758" t="str">
        <f t="shared" si="378"/>
        <v/>
      </c>
      <c r="AD1862" s="758" t="str">
        <f t="shared" si="379"/>
        <v>0</v>
      </c>
      <c r="AE1862" s="760"/>
      <c r="AF1862" s="760"/>
      <c r="AG1862" s="443"/>
      <c r="AH1862" s="443"/>
    </row>
    <row r="1863" spans="1:34">
      <c r="A1863" s="728">
        <f t="shared" si="375"/>
        <v>1856</v>
      </c>
      <c r="B1863" s="77"/>
      <c r="C1863" s="747"/>
      <c r="D1863" s="763" t="str">
        <f t="shared" si="380"/>
        <v>January</v>
      </c>
      <c r="E1863" s="763">
        <f t="shared" si="381"/>
        <v>0</v>
      </c>
      <c r="F1863" s="762">
        <f t="shared" si="382"/>
        <v>1900</v>
      </c>
      <c r="G1863" s="747"/>
      <c r="H1863" s="882"/>
      <c r="I1863" s="756"/>
      <c r="J1863" s="756"/>
      <c r="K1863" s="778">
        <f t="shared" si="383"/>
        <v>0</v>
      </c>
      <c r="L1863" s="976"/>
      <c r="M1863" s="736">
        <f t="shared" si="384"/>
        <v>0</v>
      </c>
      <c r="N1863" s="754"/>
      <c r="O1863" s="738">
        <f t="shared" si="385"/>
        <v>0</v>
      </c>
      <c r="P1863" s="757"/>
      <c r="Q1863" s="739">
        <f t="shared" si="386"/>
        <v>0</v>
      </c>
      <c r="R1863" s="757"/>
      <c r="S1863" s="755"/>
      <c r="T1863" s="277"/>
      <c r="U1863" s="758" t="str">
        <f t="shared" ref="U1863:U1926" si="387">CONCATENATE(G1863,H1863)</f>
        <v/>
      </c>
      <c r="V1863" s="758" t="str">
        <f t="shared" ref="V1863:V1926" si="388">CONCATENATE(F1863,H1863)</f>
        <v>1900</v>
      </c>
      <c r="W1863" s="759"/>
      <c r="X1863" s="771"/>
      <c r="Y1863" s="977"/>
      <c r="Z1863" s="758"/>
      <c r="AA1863" s="758" t="str">
        <f t="shared" si="376"/>
        <v/>
      </c>
      <c r="AB1863" s="758" t="str">
        <f t="shared" si="377"/>
        <v/>
      </c>
      <c r="AC1863" s="758" t="str">
        <f t="shared" si="378"/>
        <v/>
      </c>
      <c r="AD1863" s="758" t="str">
        <f t="shared" si="379"/>
        <v>0</v>
      </c>
      <c r="AE1863" s="760"/>
      <c r="AF1863" s="760"/>
      <c r="AG1863" s="443"/>
      <c r="AH1863" s="443"/>
    </row>
    <row r="1864" spans="1:34">
      <c r="A1864" s="728">
        <f t="shared" si="375"/>
        <v>1857</v>
      </c>
      <c r="B1864" s="77"/>
      <c r="C1864" s="747"/>
      <c r="D1864" s="763" t="str">
        <f t="shared" si="380"/>
        <v>January</v>
      </c>
      <c r="E1864" s="763">
        <f t="shared" si="381"/>
        <v>0</v>
      </c>
      <c r="F1864" s="762">
        <f t="shared" si="382"/>
        <v>1900</v>
      </c>
      <c r="G1864" s="747"/>
      <c r="H1864" s="882"/>
      <c r="I1864" s="756"/>
      <c r="J1864" s="756"/>
      <c r="K1864" s="778">
        <f t="shared" si="383"/>
        <v>0</v>
      </c>
      <c r="L1864" s="976"/>
      <c r="M1864" s="736">
        <f t="shared" si="384"/>
        <v>0</v>
      </c>
      <c r="N1864" s="754"/>
      <c r="O1864" s="738">
        <f t="shared" si="385"/>
        <v>0</v>
      </c>
      <c r="P1864" s="757"/>
      <c r="Q1864" s="739">
        <f t="shared" si="386"/>
        <v>0</v>
      </c>
      <c r="R1864" s="757"/>
      <c r="S1864" s="755"/>
      <c r="T1864" s="277"/>
      <c r="U1864" s="758" t="str">
        <f t="shared" si="387"/>
        <v/>
      </c>
      <c r="V1864" s="758" t="str">
        <f t="shared" si="388"/>
        <v>1900</v>
      </c>
      <c r="W1864" s="759"/>
      <c r="X1864" s="771"/>
      <c r="Y1864" s="977"/>
      <c r="Z1864" s="758"/>
      <c r="AA1864" s="758" t="str">
        <f t="shared" si="376"/>
        <v/>
      </c>
      <c r="AB1864" s="758" t="str">
        <f t="shared" si="377"/>
        <v/>
      </c>
      <c r="AC1864" s="758" t="str">
        <f t="shared" si="378"/>
        <v/>
      </c>
      <c r="AD1864" s="758" t="str">
        <f t="shared" si="379"/>
        <v>0</v>
      </c>
      <c r="AE1864" s="760"/>
      <c r="AF1864" s="760"/>
      <c r="AG1864" s="443"/>
      <c r="AH1864" s="443"/>
    </row>
    <row r="1865" spans="1:34">
      <c r="A1865" s="728">
        <f t="shared" si="375"/>
        <v>1858</v>
      </c>
      <c r="B1865" s="77"/>
      <c r="C1865" s="747"/>
      <c r="D1865" s="763" t="str">
        <f t="shared" si="380"/>
        <v>January</v>
      </c>
      <c r="E1865" s="763">
        <f t="shared" si="381"/>
        <v>0</v>
      </c>
      <c r="F1865" s="762">
        <f t="shared" si="382"/>
        <v>1900</v>
      </c>
      <c r="G1865" s="747"/>
      <c r="H1865" s="882"/>
      <c r="I1865" s="756"/>
      <c r="J1865" s="756"/>
      <c r="K1865" s="778">
        <f t="shared" si="383"/>
        <v>0</v>
      </c>
      <c r="L1865" s="976"/>
      <c r="M1865" s="736">
        <f t="shared" si="384"/>
        <v>0</v>
      </c>
      <c r="N1865" s="754"/>
      <c r="O1865" s="738">
        <f t="shared" si="385"/>
        <v>0</v>
      </c>
      <c r="P1865" s="757"/>
      <c r="Q1865" s="739">
        <f t="shared" si="386"/>
        <v>0</v>
      </c>
      <c r="R1865" s="757"/>
      <c r="S1865" s="755"/>
      <c r="T1865" s="277"/>
      <c r="U1865" s="758" t="str">
        <f t="shared" si="387"/>
        <v/>
      </c>
      <c r="V1865" s="758" t="str">
        <f t="shared" si="388"/>
        <v>1900</v>
      </c>
      <c r="W1865" s="759"/>
      <c r="X1865" s="771"/>
      <c r="Y1865" s="977"/>
      <c r="Z1865" s="758"/>
      <c r="AA1865" s="758" t="str">
        <f t="shared" si="376"/>
        <v/>
      </c>
      <c r="AB1865" s="758" t="str">
        <f t="shared" si="377"/>
        <v/>
      </c>
      <c r="AC1865" s="758" t="str">
        <f t="shared" si="378"/>
        <v/>
      </c>
      <c r="AD1865" s="758" t="str">
        <f t="shared" si="379"/>
        <v>0</v>
      </c>
      <c r="AE1865" s="760"/>
      <c r="AF1865" s="760"/>
      <c r="AG1865" s="443"/>
      <c r="AH1865" s="443"/>
    </row>
    <row r="1866" spans="1:34">
      <c r="A1866" s="728">
        <f t="shared" si="375"/>
        <v>1859</v>
      </c>
      <c r="B1866" s="77"/>
      <c r="C1866" s="747"/>
      <c r="D1866" s="763" t="str">
        <f t="shared" si="380"/>
        <v>January</v>
      </c>
      <c r="E1866" s="763">
        <f t="shared" si="381"/>
        <v>0</v>
      </c>
      <c r="F1866" s="762">
        <f t="shared" si="382"/>
        <v>1900</v>
      </c>
      <c r="G1866" s="747"/>
      <c r="H1866" s="882"/>
      <c r="I1866" s="756"/>
      <c r="J1866" s="756"/>
      <c r="K1866" s="778">
        <f t="shared" si="383"/>
        <v>0</v>
      </c>
      <c r="L1866" s="976"/>
      <c r="M1866" s="736">
        <f t="shared" si="384"/>
        <v>0</v>
      </c>
      <c r="N1866" s="754"/>
      <c r="O1866" s="738">
        <f t="shared" si="385"/>
        <v>0</v>
      </c>
      <c r="P1866" s="757"/>
      <c r="Q1866" s="739">
        <f t="shared" si="386"/>
        <v>0</v>
      </c>
      <c r="R1866" s="757"/>
      <c r="S1866" s="755"/>
      <c r="T1866" s="277"/>
      <c r="U1866" s="758" t="str">
        <f t="shared" si="387"/>
        <v/>
      </c>
      <c r="V1866" s="758" t="str">
        <f t="shared" si="388"/>
        <v>1900</v>
      </c>
      <c r="W1866" s="759"/>
      <c r="X1866" s="771"/>
      <c r="Y1866" s="977"/>
      <c r="Z1866" s="758"/>
      <c r="AA1866" s="758" t="str">
        <f t="shared" si="376"/>
        <v/>
      </c>
      <c r="AB1866" s="758" t="str">
        <f t="shared" si="377"/>
        <v/>
      </c>
      <c r="AC1866" s="758" t="str">
        <f t="shared" si="378"/>
        <v/>
      </c>
      <c r="AD1866" s="758" t="str">
        <f t="shared" si="379"/>
        <v>0</v>
      </c>
      <c r="AE1866" s="760"/>
      <c r="AF1866" s="760"/>
      <c r="AG1866" s="443"/>
      <c r="AH1866" s="443"/>
    </row>
    <row r="1867" spans="1:34">
      <c r="A1867" s="728">
        <f t="shared" ref="A1867:A1930" si="389">+A1866+1</f>
        <v>1860</v>
      </c>
      <c r="B1867" s="77"/>
      <c r="C1867" s="747"/>
      <c r="D1867" s="763" t="str">
        <f t="shared" si="380"/>
        <v>January</v>
      </c>
      <c r="E1867" s="763">
        <f t="shared" si="381"/>
        <v>0</v>
      </c>
      <c r="F1867" s="762">
        <f t="shared" si="382"/>
        <v>1900</v>
      </c>
      <c r="G1867" s="747"/>
      <c r="H1867" s="882"/>
      <c r="I1867" s="756"/>
      <c r="J1867" s="756"/>
      <c r="K1867" s="778">
        <f t="shared" si="383"/>
        <v>0</v>
      </c>
      <c r="L1867" s="976"/>
      <c r="M1867" s="736">
        <f t="shared" si="384"/>
        <v>0</v>
      </c>
      <c r="N1867" s="754"/>
      <c r="O1867" s="738">
        <f t="shared" si="385"/>
        <v>0</v>
      </c>
      <c r="P1867" s="757"/>
      <c r="Q1867" s="739">
        <f t="shared" si="386"/>
        <v>0</v>
      </c>
      <c r="R1867" s="757"/>
      <c r="S1867" s="755"/>
      <c r="T1867" s="277"/>
      <c r="U1867" s="758" t="str">
        <f t="shared" si="387"/>
        <v/>
      </c>
      <c r="V1867" s="758" t="str">
        <f t="shared" si="388"/>
        <v>1900</v>
      </c>
      <c r="W1867" s="759"/>
      <c r="X1867" s="771"/>
      <c r="Y1867" s="977"/>
      <c r="Z1867" s="758"/>
      <c r="AA1867" s="758" t="str">
        <f t="shared" si="376"/>
        <v/>
      </c>
      <c r="AB1867" s="758" t="str">
        <f t="shared" si="377"/>
        <v/>
      </c>
      <c r="AC1867" s="758" t="str">
        <f t="shared" si="378"/>
        <v/>
      </c>
      <c r="AD1867" s="758" t="str">
        <f t="shared" si="379"/>
        <v>0</v>
      </c>
      <c r="AE1867" s="760"/>
      <c r="AF1867" s="760"/>
      <c r="AG1867" s="443"/>
      <c r="AH1867" s="443"/>
    </row>
    <row r="1868" spans="1:34">
      <c r="A1868" s="728">
        <f t="shared" si="389"/>
        <v>1861</v>
      </c>
      <c r="B1868" s="77"/>
      <c r="C1868" s="747"/>
      <c r="D1868" s="763" t="str">
        <f t="shared" si="380"/>
        <v>January</v>
      </c>
      <c r="E1868" s="763">
        <f t="shared" si="381"/>
        <v>0</v>
      </c>
      <c r="F1868" s="762">
        <f t="shared" si="382"/>
        <v>1900</v>
      </c>
      <c r="G1868" s="747"/>
      <c r="H1868" s="882"/>
      <c r="I1868" s="756"/>
      <c r="J1868" s="756"/>
      <c r="K1868" s="778">
        <f t="shared" si="383"/>
        <v>0</v>
      </c>
      <c r="L1868" s="976"/>
      <c r="M1868" s="736">
        <f t="shared" si="384"/>
        <v>0</v>
      </c>
      <c r="N1868" s="754"/>
      <c r="O1868" s="738">
        <f t="shared" si="385"/>
        <v>0</v>
      </c>
      <c r="P1868" s="757"/>
      <c r="Q1868" s="739">
        <f t="shared" si="386"/>
        <v>0</v>
      </c>
      <c r="R1868" s="757"/>
      <c r="S1868" s="755"/>
      <c r="T1868" s="277"/>
      <c r="U1868" s="758" t="str">
        <f t="shared" si="387"/>
        <v/>
      </c>
      <c r="V1868" s="758" t="str">
        <f t="shared" si="388"/>
        <v>1900</v>
      </c>
      <c r="W1868" s="759"/>
      <c r="X1868" s="771"/>
      <c r="Y1868" s="977"/>
      <c r="Z1868" s="758"/>
      <c r="AA1868" s="758" t="str">
        <f t="shared" si="376"/>
        <v/>
      </c>
      <c r="AB1868" s="758" t="str">
        <f t="shared" si="377"/>
        <v/>
      </c>
      <c r="AC1868" s="758" t="str">
        <f t="shared" si="378"/>
        <v/>
      </c>
      <c r="AD1868" s="758" t="str">
        <f t="shared" si="379"/>
        <v>0</v>
      </c>
      <c r="AE1868" s="760"/>
      <c r="AF1868" s="760"/>
      <c r="AG1868" s="443"/>
      <c r="AH1868" s="443"/>
    </row>
    <row r="1869" spans="1:34">
      <c r="A1869" s="728">
        <f t="shared" si="389"/>
        <v>1862</v>
      </c>
      <c r="B1869" s="77"/>
      <c r="C1869" s="747"/>
      <c r="D1869" s="763" t="str">
        <f t="shared" si="380"/>
        <v>January</v>
      </c>
      <c r="E1869" s="763">
        <f t="shared" si="381"/>
        <v>0</v>
      </c>
      <c r="F1869" s="762">
        <f t="shared" si="382"/>
        <v>1900</v>
      </c>
      <c r="G1869" s="747"/>
      <c r="H1869" s="882"/>
      <c r="I1869" s="756"/>
      <c r="J1869" s="756"/>
      <c r="K1869" s="778">
        <f t="shared" si="383"/>
        <v>0</v>
      </c>
      <c r="L1869" s="976"/>
      <c r="M1869" s="736">
        <f t="shared" si="384"/>
        <v>0</v>
      </c>
      <c r="N1869" s="754"/>
      <c r="O1869" s="738">
        <f t="shared" si="385"/>
        <v>0</v>
      </c>
      <c r="P1869" s="757"/>
      <c r="Q1869" s="739">
        <f t="shared" si="386"/>
        <v>0</v>
      </c>
      <c r="R1869" s="757"/>
      <c r="S1869" s="755"/>
      <c r="T1869" s="277"/>
      <c r="U1869" s="758" t="str">
        <f t="shared" si="387"/>
        <v/>
      </c>
      <c r="V1869" s="758" t="str">
        <f t="shared" si="388"/>
        <v>1900</v>
      </c>
      <c r="W1869" s="759"/>
      <c r="X1869" s="771"/>
      <c r="Y1869" s="977"/>
      <c r="Z1869" s="758"/>
      <c r="AA1869" s="758" t="str">
        <f t="shared" si="376"/>
        <v/>
      </c>
      <c r="AB1869" s="758" t="str">
        <f t="shared" si="377"/>
        <v/>
      </c>
      <c r="AC1869" s="758" t="str">
        <f t="shared" si="378"/>
        <v/>
      </c>
      <c r="AD1869" s="758" t="str">
        <f t="shared" si="379"/>
        <v>0</v>
      </c>
      <c r="AE1869" s="760"/>
      <c r="AF1869" s="760"/>
      <c r="AG1869" s="443"/>
      <c r="AH1869" s="443"/>
    </row>
    <row r="1870" spans="1:34">
      <c r="A1870" s="728">
        <f t="shared" si="389"/>
        <v>1863</v>
      </c>
      <c r="B1870" s="77"/>
      <c r="C1870" s="747"/>
      <c r="D1870" s="763" t="str">
        <f t="shared" si="380"/>
        <v>January</v>
      </c>
      <c r="E1870" s="763">
        <f t="shared" si="381"/>
        <v>0</v>
      </c>
      <c r="F1870" s="762">
        <f t="shared" si="382"/>
        <v>1900</v>
      </c>
      <c r="G1870" s="747"/>
      <c r="H1870" s="882"/>
      <c r="I1870" s="756"/>
      <c r="J1870" s="756"/>
      <c r="K1870" s="778">
        <f t="shared" si="383"/>
        <v>0</v>
      </c>
      <c r="L1870" s="976"/>
      <c r="M1870" s="736">
        <f t="shared" si="384"/>
        <v>0</v>
      </c>
      <c r="N1870" s="754"/>
      <c r="O1870" s="738">
        <f t="shared" si="385"/>
        <v>0</v>
      </c>
      <c r="P1870" s="757"/>
      <c r="Q1870" s="739">
        <f t="shared" si="386"/>
        <v>0</v>
      </c>
      <c r="R1870" s="757"/>
      <c r="S1870" s="755"/>
      <c r="T1870" s="277"/>
      <c r="U1870" s="758" t="str">
        <f t="shared" si="387"/>
        <v/>
      </c>
      <c r="V1870" s="758" t="str">
        <f t="shared" si="388"/>
        <v>1900</v>
      </c>
      <c r="W1870" s="759"/>
      <c r="X1870" s="771"/>
      <c r="Y1870" s="977"/>
      <c r="Z1870" s="758"/>
      <c r="AA1870" s="758" t="str">
        <f t="shared" si="376"/>
        <v/>
      </c>
      <c r="AB1870" s="758" t="str">
        <f t="shared" si="377"/>
        <v/>
      </c>
      <c r="AC1870" s="758" t="str">
        <f t="shared" si="378"/>
        <v/>
      </c>
      <c r="AD1870" s="758" t="str">
        <f t="shared" si="379"/>
        <v>0</v>
      </c>
      <c r="AE1870" s="760"/>
      <c r="AF1870" s="760"/>
      <c r="AG1870" s="443"/>
      <c r="AH1870" s="443"/>
    </row>
    <row r="1871" spans="1:34">
      <c r="A1871" s="728">
        <f t="shared" si="389"/>
        <v>1864</v>
      </c>
      <c r="B1871" s="77"/>
      <c r="C1871" s="747"/>
      <c r="D1871" s="763" t="str">
        <f t="shared" si="380"/>
        <v>January</v>
      </c>
      <c r="E1871" s="763">
        <f t="shared" si="381"/>
        <v>0</v>
      </c>
      <c r="F1871" s="762">
        <f t="shared" si="382"/>
        <v>1900</v>
      </c>
      <c r="G1871" s="747"/>
      <c r="H1871" s="882"/>
      <c r="I1871" s="756"/>
      <c r="J1871" s="756"/>
      <c r="K1871" s="778">
        <f t="shared" si="383"/>
        <v>0</v>
      </c>
      <c r="L1871" s="976"/>
      <c r="M1871" s="736">
        <f t="shared" si="384"/>
        <v>0</v>
      </c>
      <c r="N1871" s="754"/>
      <c r="O1871" s="738">
        <f t="shared" si="385"/>
        <v>0</v>
      </c>
      <c r="P1871" s="757"/>
      <c r="Q1871" s="739">
        <f t="shared" si="386"/>
        <v>0</v>
      </c>
      <c r="R1871" s="757"/>
      <c r="S1871" s="755"/>
      <c r="T1871" s="277"/>
      <c r="U1871" s="758" t="str">
        <f t="shared" si="387"/>
        <v/>
      </c>
      <c r="V1871" s="758" t="str">
        <f t="shared" si="388"/>
        <v>1900</v>
      </c>
      <c r="W1871" s="759"/>
      <c r="X1871" s="771"/>
      <c r="Y1871" s="977"/>
      <c r="Z1871" s="758"/>
      <c r="AA1871" s="758" t="str">
        <f t="shared" si="376"/>
        <v/>
      </c>
      <c r="AB1871" s="758" t="str">
        <f t="shared" si="377"/>
        <v/>
      </c>
      <c r="AC1871" s="758" t="str">
        <f t="shared" si="378"/>
        <v/>
      </c>
      <c r="AD1871" s="758" t="str">
        <f t="shared" si="379"/>
        <v>0</v>
      </c>
      <c r="AE1871" s="760"/>
      <c r="AF1871" s="760"/>
      <c r="AG1871" s="443"/>
      <c r="AH1871" s="443"/>
    </row>
    <row r="1872" spans="1:34">
      <c r="A1872" s="728">
        <f t="shared" si="389"/>
        <v>1865</v>
      </c>
      <c r="B1872" s="77"/>
      <c r="C1872" s="747"/>
      <c r="D1872" s="763" t="str">
        <f t="shared" si="380"/>
        <v>January</v>
      </c>
      <c r="E1872" s="763">
        <f t="shared" si="381"/>
        <v>0</v>
      </c>
      <c r="F1872" s="762">
        <f t="shared" si="382"/>
        <v>1900</v>
      </c>
      <c r="G1872" s="747"/>
      <c r="H1872" s="882"/>
      <c r="I1872" s="756"/>
      <c r="J1872" s="756"/>
      <c r="K1872" s="778">
        <f t="shared" si="383"/>
        <v>0</v>
      </c>
      <c r="L1872" s="976"/>
      <c r="M1872" s="736">
        <f t="shared" si="384"/>
        <v>0</v>
      </c>
      <c r="N1872" s="754"/>
      <c r="O1872" s="738">
        <f t="shared" si="385"/>
        <v>0</v>
      </c>
      <c r="P1872" s="757"/>
      <c r="Q1872" s="739">
        <f t="shared" si="386"/>
        <v>0</v>
      </c>
      <c r="R1872" s="757"/>
      <c r="S1872" s="755"/>
      <c r="T1872" s="277"/>
      <c r="U1872" s="758" t="str">
        <f t="shared" si="387"/>
        <v/>
      </c>
      <c r="V1872" s="758" t="str">
        <f t="shared" si="388"/>
        <v>1900</v>
      </c>
      <c r="W1872" s="759"/>
      <c r="X1872" s="771"/>
      <c r="Y1872" s="977"/>
      <c r="Z1872" s="758"/>
      <c r="AA1872" s="758" t="str">
        <f t="shared" ref="AA1872:AA1935" si="390">CONCATENATE(H1872,W1872)</f>
        <v/>
      </c>
      <c r="AB1872" s="758" t="str">
        <f t="shared" ref="AB1872:AB1935" si="391">CONCATENATE(H1872,X1872)</f>
        <v/>
      </c>
      <c r="AC1872" s="758" t="str">
        <f t="shared" ref="AC1872:AC1935" si="392">CONCATENATE(H1872,Y1872)</f>
        <v/>
      </c>
      <c r="AD1872" s="758" t="str">
        <f t="shared" si="379"/>
        <v>0</v>
      </c>
      <c r="AE1872" s="760"/>
      <c r="AF1872" s="760"/>
      <c r="AG1872" s="443"/>
      <c r="AH1872" s="443"/>
    </row>
    <row r="1873" spans="1:34">
      <c r="A1873" s="728">
        <f t="shared" si="389"/>
        <v>1866</v>
      </c>
      <c r="B1873" s="77"/>
      <c r="C1873" s="747"/>
      <c r="D1873" s="763" t="str">
        <f t="shared" si="380"/>
        <v>January</v>
      </c>
      <c r="E1873" s="763">
        <f t="shared" si="381"/>
        <v>0</v>
      </c>
      <c r="F1873" s="762">
        <f t="shared" si="382"/>
        <v>1900</v>
      </c>
      <c r="G1873" s="747"/>
      <c r="H1873" s="882"/>
      <c r="I1873" s="756"/>
      <c r="J1873" s="756"/>
      <c r="K1873" s="778">
        <f t="shared" si="383"/>
        <v>0</v>
      </c>
      <c r="L1873" s="976"/>
      <c r="M1873" s="736">
        <f t="shared" si="384"/>
        <v>0</v>
      </c>
      <c r="N1873" s="754"/>
      <c r="O1873" s="738">
        <f t="shared" si="385"/>
        <v>0</v>
      </c>
      <c r="P1873" s="757"/>
      <c r="Q1873" s="739">
        <f t="shared" si="386"/>
        <v>0</v>
      </c>
      <c r="R1873" s="757"/>
      <c r="S1873" s="755"/>
      <c r="T1873" s="277"/>
      <c r="U1873" s="758" t="str">
        <f t="shared" si="387"/>
        <v/>
      </c>
      <c r="V1873" s="758" t="str">
        <f t="shared" si="388"/>
        <v>1900</v>
      </c>
      <c r="W1873" s="759"/>
      <c r="X1873" s="771"/>
      <c r="Y1873" s="977"/>
      <c r="Z1873" s="758"/>
      <c r="AA1873" s="758" t="str">
        <f t="shared" si="390"/>
        <v/>
      </c>
      <c r="AB1873" s="758" t="str">
        <f t="shared" si="391"/>
        <v/>
      </c>
      <c r="AC1873" s="758" t="str">
        <f t="shared" si="392"/>
        <v/>
      </c>
      <c r="AD1873" s="758" t="str">
        <f t="shared" si="379"/>
        <v>0</v>
      </c>
      <c r="AE1873" s="760"/>
      <c r="AF1873" s="760"/>
      <c r="AG1873" s="443"/>
      <c r="AH1873" s="443"/>
    </row>
    <row r="1874" spans="1:34">
      <c r="A1874" s="728">
        <f t="shared" si="389"/>
        <v>1867</v>
      </c>
      <c r="B1874" s="77"/>
      <c r="C1874" s="747"/>
      <c r="D1874" s="763" t="str">
        <f t="shared" si="380"/>
        <v>January</v>
      </c>
      <c r="E1874" s="763">
        <f t="shared" si="381"/>
        <v>0</v>
      </c>
      <c r="F1874" s="762">
        <f t="shared" si="382"/>
        <v>1900</v>
      </c>
      <c r="G1874" s="747"/>
      <c r="H1874" s="882"/>
      <c r="I1874" s="756"/>
      <c r="J1874" s="756"/>
      <c r="K1874" s="778">
        <f t="shared" si="383"/>
        <v>0</v>
      </c>
      <c r="L1874" s="976"/>
      <c r="M1874" s="736">
        <f t="shared" si="384"/>
        <v>0</v>
      </c>
      <c r="N1874" s="754"/>
      <c r="O1874" s="738">
        <f t="shared" si="385"/>
        <v>0</v>
      </c>
      <c r="P1874" s="757"/>
      <c r="Q1874" s="739">
        <f t="shared" si="386"/>
        <v>0</v>
      </c>
      <c r="R1874" s="757"/>
      <c r="S1874" s="755"/>
      <c r="T1874" s="277"/>
      <c r="U1874" s="758" t="str">
        <f t="shared" si="387"/>
        <v/>
      </c>
      <c r="V1874" s="758" t="str">
        <f t="shared" si="388"/>
        <v>1900</v>
      </c>
      <c r="W1874" s="759"/>
      <c r="X1874" s="771"/>
      <c r="Y1874" s="977"/>
      <c r="Z1874" s="758"/>
      <c r="AA1874" s="758" t="str">
        <f t="shared" si="390"/>
        <v/>
      </c>
      <c r="AB1874" s="758" t="str">
        <f t="shared" si="391"/>
        <v/>
      </c>
      <c r="AC1874" s="758" t="str">
        <f t="shared" si="392"/>
        <v/>
      </c>
      <c r="AD1874" s="758" t="str">
        <f t="shared" si="379"/>
        <v>0</v>
      </c>
      <c r="AE1874" s="760"/>
      <c r="AF1874" s="760"/>
      <c r="AG1874" s="443"/>
      <c r="AH1874" s="443"/>
    </row>
    <row r="1875" spans="1:34">
      <c r="A1875" s="728">
        <f t="shared" si="389"/>
        <v>1868</v>
      </c>
      <c r="B1875" s="77"/>
      <c r="C1875" s="747"/>
      <c r="D1875" s="763" t="str">
        <f t="shared" si="380"/>
        <v>January</v>
      </c>
      <c r="E1875" s="763">
        <f t="shared" si="381"/>
        <v>0</v>
      </c>
      <c r="F1875" s="762">
        <f t="shared" si="382"/>
        <v>1900</v>
      </c>
      <c r="G1875" s="747"/>
      <c r="H1875" s="882"/>
      <c r="I1875" s="756"/>
      <c r="J1875" s="756"/>
      <c r="K1875" s="778">
        <f t="shared" si="383"/>
        <v>0</v>
      </c>
      <c r="L1875" s="976"/>
      <c r="M1875" s="736">
        <f t="shared" si="384"/>
        <v>0</v>
      </c>
      <c r="N1875" s="754"/>
      <c r="O1875" s="738">
        <f t="shared" si="385"/>
        <v>0</v>
      </c>
      <c r="P1875" s="757"/>
      <c r="Q1875" s="739">
        <f t="shared" si="386"/>
        <v>0</v>
      </c>
      <c r="R1875" s="757"/>
      <c r="S1875" s="755"/>
      <c r="T1875" s="277"/>
      <c r="U1875" s="758" t="str">
        <f t="shared" si="387"/>
        <v/>
      </c>
      <c r="V1875" s="758" t="str">
        <f t="shared" si="388"/>
        <v>1900</v>
      </c>
      <c r="W1875" s="759"/>
      <c r="X1875" s="771"/>
      <c r="Y1875" s="977"/>
      <c r="Z1875" s="758"/>
      <c r="AA1875" s="758" t="str">
        <f t="shared" si="390"/>
        <v/>
      </c>
      <c r="AB1875" s="758" t="str">
        <f t="shared" si="391"/>
        <v/>
      </c>
      <c r="AC1875" s="758" t="str">
        <f t="shared" si="392"/>
        <v/>
      </c>
      <c r="AD1875" s="758" t="str">
        <f t="shared" si="379"/>
        <v>0</v>
      </c>
      <c r="AE1875" s="760"/>
      <c r="AF1875" s="760"/>
      <c r="AG1875" s="443"/>
      <c r="AH1875" s="443"/>
    </row>
    <row r="1876" spans="1:34">
      <c r="A1876" s="728">
        <f t="shared" si="389"/>
        <v>1869</v>
      </c>
      <c r="B1876" s="77"/>
      <c r="C1876" s="747"/>
      <c r="D1876" s="763" t="str">
        <f t="shared" si="380"/>
        <v>January</v>
      </c>
      <c r="E1876" s="763">
        <f t="shared" si="381"/>
        <v>0</v>
      </c>
      <c r="F1876" s="762">
        <f t="shared" si="382"/>
        <v>1900</v>
      </c>
      <c r="G1876" s="747"/>
      <c r="H1876" s="882"/>
      <c r="I1876" s="756"/>
      <c r="J1876" s="756"/>
      <c r="K1876" s="778">
        <f t="shared" si="383"/>
        <v>0</v>
      </c>
      <c r="L1876" s="976"/>
      <c r="M1876" s="736">
        <f t="shared" si="384"/>
        <v>0</v>
      </c>
      <c r="N1876" s="754"/>
      <c r="O1876" s="738">
        <f t="shared" si="385"/>
        <v>0</v>
      </c>
      <c r="P1876" s="757"/>
      <c r="Q1876" s="739">
        <f t="shared" si="386"/>
        <v>0</v>
      </c>
      <c r="R1876" s="757"/>
      <c r="S1876" s="755"/>
      <c r="T1876" s="277"/>
      <c r="U1876" s="758" t="str">
        <f t="shared" si="387"/>
        <v/>
      </c>
      <c r="V1876" s="758" t="str">
        <f t="shared" si="388"/>
        <v>1900</v>
      </c>
      <c r="W1876" s="759"/>
      <c r="X1876" s="771"/>
      <c r="Y1876" s="977"/>
      <c r="Z1876" s="758"/>
      <c r="AA1876" s="758" t="str">
        <f t="shared" si="390"/>
        <v/>
      </c>
      <c r="AB1876" s="758" t="str">
        <f t="shared" si="391"/>
        <v/>
      </c>
      <c r="AC1876" s="758" t="str">
        <f t="shared" si="392"/>
        <v/>
      </c>
      <c r="AD1876" s="758" t="str">
        <f t="shared" si="379"/>
        <v>0</v>
      </c>
      <c r="AE1876" s="760"/>
      <c r="AF1876" s="760"/>
      <c r="AG1876" s="443"/>
      <c r="AH1876" s="443"/>
    </row>
    <row r="1877" spans="1:34">
      <c r="A1877" s="728">
        <f t="shared" si="389"/>
        <v>1870</v>
      </c>
      <c r="B1877" s="77"/>
      <c r="C1877" s="747"/>
      <c r="D1877" s="763" t="str">
        <f t="shared" si="380"/>
        <v>January</v>
      </c>
      <c r="E1877" s="763">
        <f t="shared" si="381"/>
        <v>0</v>
      </c>
      <c r="F1877" s="762">
        <f t="shared" si="382"/>
        <v>1900</v>
      </c>
      <c r="G1877" s="747"/>
      <c r="H1877" s="882"/>
      <c r="I1877" s="756"/>
      <c r="J1877" s="756"/>
      <c r="K1877" s="778">
        <f t="shared" si="383"/>
        <v>0</v>
      </c>
      <c r="L1877" s="976"/>
      <c r="M1877" s="736">
        <f t="shared" si="384"/>
        <v>0</v>
      </c>
      <c r="N1877" s="754"/>
      <c r="O1877" s="738">
        <f t="shared" si="385"/>
        <v>0</v>
      </c>
      <c r="P1877" s="757"/>
      <c r="Q1877" s="739">
        <f t="shared" si="386"/>
        <v>0</v>
      </c>
      <c r="R1877" s="757"/>
      <c r="S1877" s="755"/>
      <c r="T1877" s="277"/>
      <c r="U1877" s="758" t="str">
        <f t="shared" si="387"/>
        <v/>
      </c>
      <c r="V1877" s="758" t="str">
        <f t="shared" si="388"/>
        <v>1900</v>
      </c>
      <c r="W1877" s="759"/>
      <c r="X1877" s="771"/>
      <c r="Y1877" s="977"/>
      <c r="Z1877" s="758"/>
      <c r="AA1877" s="758" t="str">
        <f t="shared" si="390"/>
        <v/>
      </c>
      <c r="AB1877" s="758" t="str">
        <f t="shared" si="391"/>
        <v/>
      </c>
      <c r="AC1877" s="758" t="str">
        <f t="shared" si="392"/>
        <v/>
      </c>
      <c r="AD1877" s="758" t="str">
        <f t="shared" si="379"/>
        <v>0</v>
      </c>
      <c r="AE1877" s="760"/>
      <c r="AF1877" s="760"/>
      <c r="AG1877" s="443"/>
      <c r="AH1877" s="443"/>
    </row>
    <row r="1878" spans="1:34">
      <c r="A1878" s="728">
        <f t="shared" si="389"/>
        <v>1871</v>
      </c>
      <c r="B1878" s="77"/>
      <c r="C1878" s="747"/>
      <c r="D1878" s="763" t="str">
        <f t="shared" si="380"/>
        <v>January</v>
      </c>
      <c r="E1878" s="763">
        <f t="shared" si="381"/>
        <v>0</v>
      </c>
      <c r="F1878" s="762">
        <f t="shared" si="382"/>
        <v>1900</v>
      </c>
      <c r="G1878" s="747"/>
      <c r="H1878" s="882"/>
      <c r="I1878" s="756"/>
      <c r="J1878" s="756"/>
      <c r="K1878" s="778">
        <f t="shared" si="383"/>
        <v>0</v>
      </c>
      <c r="L1878" s="976"/>
      <c r="M1878" s="736">
        <f t="shared" si="384"/>
        <v>0</v>
      </c>
      <c r="N1878" s="754"/>
      <c r="O1878" s="738">
        <f t="shared" si="385"/>
        <v>0</v>
      </c>
      <c r="P1878" s="757"/>
      <c r="Q1878" s="739">
        <f t="shared" si="386"/>
        <v>0</v>
      </c>
      <c r="R1878" s="757"/>
      <c r="S1878" s="755"/>
      <c r="T1878" s="277"/>
      <c r="U1878" s="758" t="str">
        <f t="shared" si="387"/>
        <v/>
      </c>
      <c r="V1878" s="758" t="str">
        <f t="shared" si="388"/>
        <v>1900</v>
      </c>
      <c r="W1878" s="759"/>
      <c r="X1878" s="771"/>
      <c r="Y1878" s="977"/>
      <c r="Z1878" s="758"/>
      <c r="AA1878" s="758" t="str">
        <f t="shared" si="390"/>
        <v/>
      </c>
      <c r="AB1878" s="758" t="str">
        <f t="shared" si="391"/>
        <v/>
      </c>
      <c r="AC1878" s="758" t="str">
        <f t="shared" si="392"/>
        <v/>
      </c>
      <c r="AD1878" s="758" t="str">
        <f t="shared" si="379"/>
        <v>0</v>
      </c>
      <c r="AE1878" s="760"/>
      <c r="AF1878" s="760"/>
      <c r="AG1878" s="443"/>
      <c r="AH1878" s="443"/>
    </row>
    <row r="1879" spans="1:34">
      <c r="A1879" s="728">
        <f t="shared" si="389"/>
        <v>1872</v>
      </c>
      <c r="B1879" s="77"/>
      <c r="C1879" s="747"/>
      <c r="D1879" s="763" t="str">
        <f t="shared" si="380"/>
        <v>January</v>
      </c>
      <c r="E1879" s="763">
        <f t="shared" si="381"/>
        <v>0</v>
      </c>
      <c r="F1879" s="762">
        <f t="shared" si="382"/>
        <v>1900</v>
      </c>
      <c r="G1879" s="747"/>
      <c r="H1879" s="882"/>
      <c r="I1879" s="756"/>
      <c r="J1879" s="756"/>
      <c r="K1879" s="778">
        <f t="shared" si="383"/>
        <v>0</v>
      </c>
      <c r="L1879" s="976"/>
      <c r="M1879" s="736">
        <f t="shared" si="384"/>
        <v>0</v>
      </c>
      <c r="N1879" s="754"/>
      <c r="O1879" s="738">
        <f t="shared" si="385"/>
        <v>0</v>
      </c>
      <c r="P1879" s="757"/>
      <c r="Q1879" s="739">
        <f t="shared" si="386"/>
        <v>0</v>
      </c>
      <c r="R1879" s="757"/>
      <c r="S1879" s="755"/>
      <c r="T1879" s="277"/>
      <c r="U1879" s="758" t="str">
        <f t="shared" si="387"/>
        <v/>
      </c>
      <c r="V1879" s="758" t="str">
        <f t="shared" si="388"/>
        <v>1900</v>
      </c>
      <c r="W1879" s="759"/>
      <c r="X1879" s="771"/>
      <c r="Y1879" s="977"/>
      <c r="Z1879" s="758"/>
      <c r="AA1879" s="758" t="str">
        <f t="shared" si="390"/>
        <v/>
      </c>
      <c r="AB1879" s="758" t="str">
        <f t="shared" si="391"/>
        <v/>
      </c>
      <c r="AC1879" s="758" t="str">
        <f t="shared" si="392"/>
        <v/>
      </c>
      <c r="AD1879" s="758" t="str">
        <f t="shared" si="379"/>
        <v>0</v>
      </c>
      <c r="AE1879" s="760"/>
      <c r="AF1879" s="760"/>
      <c r="AG1879" s="443"/>
      <c r="AH1879" s="443"/>
    </row>
    <row r="1880" spans="1:34">
      <c r="A1880" s="728">
        <f t="shared" si="389"/>
        <v>1873</v>
      </c>
      <c r="B1880" s="77"/>
      <c r="C1880" s="747"/>
      <c r="D1880" s="763" t="str">
        <f t="shared" si="380"/>
        <v>January</v>
      </c>
      <c r="E1880" s="763">
        <f t="shared" si="381"/>
        <v>0</v>
      </c>
      <c r="F1880" s="762">
        <f t="shared" si="382"/>
        <v>1900</v>
      </c>
      <c r="G1880" s="747"/>
      <c r="H1880" s="882"/>
      <c r="I1880" s="756"/>
      <c r="J1880" s="756"/>
      <c r="K1880" s="778">
        <f t="shared" si="383"/>
        <v>0</v>
      </c>
      <c r="L1880" s="976"/>
      <c r="M1880" s="736">
        <f t="shared" si="384"/>
        <v>0</v>
      </c>
      <c r="N1880" s="754"/>
      <c r="O1880" s="738">
        <f t="shared" si="385"/>
        <v>0</v>
      </c>
      <c r="P1880" s="757"/>
      <c r="Q1880" s="739">
        <f t="shared" si="386"/>
        <v>0</v>
      </c>
      <c r="R1880" s="757"/>
      <c r="S1880" s="755"/>
      <c r="T1880" s="277"/>
      <c r="U1880" s="758" t="str">
        <f t="shared" si="387"/>
        <v/>
      </c>
      <c r="V1880" s="758" t="str">
        <f t="shared" si="388"/>
        <v>1900</v>
      </c>
      <c r="W1880" s="759"/>
      <c r="X1880" s="771"/>
      <c r="Y1880" s="977"/>
      <c r="Z1880" s="758"/>
      <c r="AA1880" s="758" t="str">
        <f t="shared" si="390"/>
        <v/>
      </c>
      <c r="AB1880" s="758" t="str">
        <f t="shared" si="391"/>
        <v/>
      </c>
      <c r="AC1880" s="758" t="str">
        <f t="shared" si="392"/>
        <v/>
      </c>
      <c r="AD1880" s="758" t="str">
        <f t="shared" si="379"/>
        <v>0</v>
      </c>
      <c r="AE1880" s="760"/>
      <c r="AF1880" s="760"/>
      <c r="AG1880" s="443"/>
      <c r="AH1880" s="443"/>
    </row>
    <row r="1881" spans="1:34">
      <c r="A1881" s="728">
        <f t="shared" si="389"/>
        <v>1874</v>
      </c>
      <c r="B1881" s="77"/>
      <c r="C1881" s="747"/>
      <c r="D1881" s="763" t="str">
        <f t="shared" si="380"/>
        <v>January</v>
      </c>
      <c r="E1881" s="763">
        <f t="shared" si="381"/>
        <v>0</v>
      </c>
      <c r="F1881" s="762">
        <f t="shared" si="382"/>
        <v>1900</v>
      </c>
      <c r="G1881" s="747"/>
      <c r="H1881" s="882"/>
      <c r="I1881" s="756"/>
      <c r="J1881" s="756"/>
      <c r="K1881" s="778">
        <f t="shared" si="383"/>
        <v>0</v>
      </c>
      <c r="L1881" s="976"/>
      <c r="M1881" s="736">
        <f t="shared" si="384"/>
        <v>0</v>
      </c>
      <c r="N1881" s="754"/>
      <c r="O1881" s="738">
        <f t="shared" si="385"/>
        <v>0</v>
      </c>
      <c r="P1881" s="757"/>
      <c r="Q1881" s="739">
        <f t="shared" si="386"/>
        <v>0</v>
      </c>
      <c r="R1881" s="757"/>
      <c r="S1881" s="755"/>
      <c r="T1881" s="277"/>
      <c r="U1881" s="758" t="str">
        <f t="shared" si="387"/>
        <v/>
      </c>
      <c r="V1881" s="758" t="str">
        <f t="shared" si="388"/>
        <v>1900</v>
      </c>
      <c r="W1881" s="759"/>
      <c r="X1881" s="771"/>
      <c r="Y1881" s="977"/>
      <c r="Z1881" s="758"/>
      <c r="AA1881" s="758" t="str">
        <f t="shared" si="390"/>
        <v/>
      </c>
      <c r="AB1881" s="758" t="str">
        <f t="shared" si="391"/>
        <v/>
      </c>
      <c r="AC1881" s="758" t="str">
        <f t="shared" si="392"/>
        <v/>
      </c>
      <c r="AD1881" s="758" t="str">
        <f t="shared" ref="AD1881:AD1944" si="393">CONCATENATE(H1881,M1881)</f>
        <v>0</v>
      </c>
      <c r="AE1881" s="760"/>
      <c r="AF1881" s="760"/>
      <c r="AG1881" s="443"/>
      <c r="AH1881" s="443"/>
    </row>
    <row r="1882" spans="1:34">
      <c r="A1882" s="728">
        <f t="shared" si="389"/>
        <v>1875</v>
      </c>
      <c r="B1882" s="77"/>
      <c r="C1882" s="747"/>
      <c r="D1882" s="763" t="str">
        <f t="shared" si="380"/>
        <v>January</v>
      </c>
      <c r="E1882" s="763">
        <f t="shared" si="381"/>
        <v>0</v>
      </c>
      <c r="F1882" s="762">
        <f t="shared" si="382"/>
        <v>1900</v>
      </c>
      <c r="G1882" s="747"/>
      <c r="H1882" s="882"/>
      <c r="I1882" s="756"/>
      <c r="J1882" s="756"/>
      <c r="K1882" s="778">
        <f t="shared" si="383"/>
        <v>0</v>
      </c>
      <c r="L1882" s="976"/>
      <c r="M1882" s="736">
        <f t="shared" si="384"/>
        <v>0</v>
      </c>
      <c r="N1882" s="754"/>
      <c r="O1882" s="738">
        <f t="shared" si="385"/>
        <v>0</v>
      </c>
      <c r="P1882" s="757"/>
      <c r="Q1882" s="739">
        <f t="shared" si="386"/>
        <v>0</v>
      </c>
      <c r="R1882" s="757"/>
      <c r="S1882" s="755"/>
      <c r="T1882" s="277"/>
      <c r="U1882" s="758" t="str">
        <f t="shared" si="387"/>
        <v/>
      </c>
      <c r="V1882" s="758" t="str">
        <f t="shared" si="388"/>
        <v>1900</v>
      </c>
      <c r="W1882" s="759"/>
      <c r="X1882" s="771"/>
      <c r="Y1882" s="977"/>
      <c r="Z1882" s="758"/>
      <c r="AA1882" s="758" t="str">
        <f t="shared" si="390"/>
        <v/>
      </c>
      <c r="AB1882" s="758" t="str">
        <f t="shared" si="391"/>
        <v/>
      </c>
      <c r="AC1882" s="758" t="str">
        <f t="shared" si="392"/>
        <v/>
      </c>
      <c r="AD1882" s="758" t="str">
        <f t="shared" si="393"/>
        <v>0</v>
      </c>
      <c r="AE1882" s="760"/>
      <c r="AF1882" s="760"/>
      <c r="AG1882" s="443"/>
      <c r="AH1882" s="443"/>
    </row>
    <row r="1883" spans="1:34">
      <c r="A1883" s="728">
        <f t="shared" si="389"/>
        <v>1876</v>
      </c>
      <c r="B1883" s="77"/>
      <c r="C1883" s="747"/>
      <c r="D1883" s="763" t="str">
        <f t="shared" si="380"/>
        <v>January</v>
      </c>
      <c r="E1883" s="763">
        <f t="shared" si="381"/>
        <v>0</v>
      </c>
      <c r="F1883" s="762">
        <f t="shared" si="382"/>
        <v>1900</v>
      </c>
      <c r="G1883" s="747"/>
      <c r="H1883" s="882"/>
      <c r="I1883" s="756"/>
      <c r="J1883" s="756"/>
      <c r="K1883" s="778">
        <f t="shared" si="383"/>
        <v>0</v>
      </c>
      <c r="L1883" s="976"/>
      <c r="M1883" s="736">
        <f t="shared" si="384"/>
        <v>0</v>
      </c>
      <c r="N1883" s="754"/>
      <c r="O1883" s="738">
        <f t="shared" si="385"/>
        <v>0</v>
      </c>
      <c r="P1883" s="757"/>
      <c r="Q1883" s="739">
        <f t="shared" si="386"/>
        <v>0</v>
      </c>
      <c r="R1883" s="757"/>
      <c r="S1883" s="755"/>
      <c r="T1883" s="277"/>
      <c r="U1883" s="758" t="str">
        <f t="shared" si="387"/>
        <v/>
      </c>
      <c r="V1883" s="758" t="str">
        <f t="shared" si="388"/>
        <v>1900</v>
      </c>
      <c r="W1883" s="759"/>
      <c r="X1883" s="771"/>
      <c r="Y1883" s="977"/>
      <c r="Z1883" s="758"/>
      <c r="AA1883" s="758" t="str">
        <f t="shared" si="390"/>
        <v/>
      </c>
      <c r="AB1883" s="758" t="str">
        <f t="shared" si="391"/>
        <v/>
      </c>
      <c r="AC1883" s="758" t="str">
        <f t="shared" si="392"/>
        <v/>
      </c>
      <c r="AD1883" s="758" t="str">
        <f t="shared" si="393"/>
        <v>0</v>
      </c>
      <c r="AE1883" s="760"/>
      <c r="AF1883" s="760"/>
      <c r="AG1883" s="443"/>
      <c r="AH1883" s="443"/>
    </row>
    <row r="1884" spans="1:34">
      <c r="A1884" s="728">
        <f t="shared" si="389"/>
        <v>1877</v>
      </c>
      <c r="B1884" s="77"/>
      <c r="C1884" s="747"/>
      <c r="D1884" s="763" t="str">
        <f t="shared" si="380"/>
        <v>January</v>
      </c>
      <c r="E1884" s="763">
        <f t="shared" si="381"/>
        <v>0</v>
      </c>
      <c r="F1884" s="762">
        <f t="shared" si="382"/>
        <v>1900</v>
      </c>
      <c r="G1884" s="747"/>
      <c r="H1884" s="882"/>
      <c r="I1884" s="756"/>
      <c r="J1884" s="756"/>
      <c r="K1884" s="778">
        <f t="shared" si="383"/>
        <v>0</v>
      </c>
      <c r="L1884" s="976"/>
      <c r="M1884" s="736">
        <f t="shared" si="384"/>
        <v>0</v>
      </c>
      <c r="N1884" s="754"/>
      <c r="O1884" s="738">
        <f t="shared" si="385"/>
        <v>0</v>
      </c>
      <c r="P1884" s="757"/>
      <c r="Q1884" s="739">
        <f t="shared" si="386"/>
        <v>0</v>
      </c>
      <c r="R1884" s="757"/>
      <c r="S1884" s="755"/>
      <c r="T1884" s="277"/>
      <c r="U1884" s="758" t="str">
        <f t="shared" si="387"/>
        <v/>
      </c>
      <c r="V1884" s="758" t="str">
        <f t="shared" si="388"/>
        <v>1900</v>
      </c>
      <c r="W1884" s="759"/>
      <c r="X1884" s="771"/>
      <c r="Y1884" s="977"/>
      <c r="Z1884" s="758"/>
      <c r="AA1884" s="758" t="str">
        <f t="shared" si="390"/>
        <v/>
      </c>
      <c r="AB1884" s="758" t="str">
        <f t="shared" si="391"/>
        <v/>
      </c>
      <c r="AC1884" s="758" t="str">
        <f t="shared" si="392"/>
        <v/>
      </c>
      <c r="AD1884" s="758" t="str">
        <f t="shared" si="393"/>
        <v>0</v>
      </c>
      <c r="AE1884" s="760"/>
      <c r="AF1884" s="760"/>
      <c r="AG1884" s="443"/>
      <c r="AH1884" s="443"/>
    </row>
    <row r="1885" spans="1:34">
      <c r="A1885" s="728">
        <f t="shared" si="389"/>
        <v>1878</v>
      </c>
      <c r="B1885" s="77"/>
      <c r="C1885" s="747"/>
      <c r="D1885" s="763" t="str">
        <f t="shared" si="380"/>
        <v>January</v>
      </c>
      <c r="E1885" s="763">
        <f t="shared" si="381"/>
        <v>0</v>
      </c>
      <c r="F1885" s="762">
        <f t="shared" si="382"/>
        <v>1900</v>
      </c>
      <c r="G1885" s="747"/>
      <c r="H1885" s="882"/>
      <c r="I1885" s="756"/>
      <c r="J1885" s="756"/>
      <c r="K1885" s="778">
        <f t="shared" si="383"/>
        <v>0</v>
      </c>
      <c r="L1885" s="976"/>
      <c r="M1885" s="736">
        <f t="shared" si="384"/>
        <v>0</v>
      </c>
      <c r="N1885" s="754"/>
      <c r="O1885" s="738">
        <f t="shared" si="385"/>
        <v>0</v>
      </c>
      <c r="P1885" s="757"/>
      <c r="Q1885" s="739">
        <f t="shared" si="386"/>
        <v>0</v>
      </c>
      <c r="R1885" s="757"/>
      <c r="S1885" s="755"/>
      <c r="T1885" s="277"/>
      <c r="U1885" s="758" t="str">
        <f t="shared" si="387"/>
        <v/>
      </c>
      <c r="V1885" s="758" t="str">
        <f t="shared" si="388"/>
        <v>1900</v>
      </c>
      <c r="W1885" s="759"/>
      <c r="X1885" s="771"/>
      <c r="Y1885" s="977"/>
      <c r="Z1885" s="758"/>
      <c r="AA1885" s="758" t="str">
        <f t="shared" si="390"/>
        <v/>
      </c>
      <c r="AB1885" s="758" t="str">
        <f t="shared" si="391"/>
        <v/>
      </c>
      <c r="AC1885" s="758" t="str">
        <f t="shared" si="392"/>
        <v/>
      </c>
      <c r="AD1885" s="758" t="str">
        <f t="shared" si="393"/>
        <v>0</v>
      </c>
      <c r="AE1885" s="760"/>
      <c r="AF1885" s="760"/>
      <c r="AG1885" s="443"/>
      <c r="AH1885" s="443"/>
    </row>
    <row r="1886" spans="1:34">
      <c r="A1886" s="728">
        <f t="shared" si="389"/>
        <v>1879</v>
      </c>
      <c r="B1886" s="77"/>
      <c r="C1886" s="747"/>
      <c r="D1886" s="763" t="str">
        <f t="shared" si="380"/>
        <v>January</v>
      </c>
      <c r="E1886" s="763">
        <f t="shared" si="381"/>
        <v>0</v>
      </c>
      <c r="F1886" s="762">
        <f t="shared" si="382"/>
        <v>1900</v>
      </c>
      <c r="G1886" s="747"/>
      <c r="H1886" s="882"/>
      <c r="I1886" s="756"/>
      <c r="J1886" s="756"/>
      <c r="K1886" s="778">
        <f t="shared" si="383"/>
        <v>0</v>
      </c>
      <c r="L1886" s="976"/>
      <c r="M1886" s="736">
        <f t="shared" si="384"/>
        <v>0</v>
      </c>
      <c r="N1886" s="754"/>
      <c r="O1886" s="738">
        <f t="shared" si="385"/>
        <v>0</v>
      </c>
      <c r="P1886" s="757"/>
      <c r="Q1886" s="739">
        <f t="shared" si="386"/>
        <v>0</v>
      </c>
      <c r="R1886" s="757"/>
      <c r="S1886" s="755"/>
      <c r="T1886" s="277"/>
      <c r="U1886" s="758" t="str">
        <f t="shared" si="387"/>
        <v/>
      </c>
      <c r="V1886" s="758" t="str">
        <f t="shared" si="388"/>
        <v>1900</v>
      </c>
      <c r="W1886" s="759"/>
      <c r="X1886" s="771"/>
      <c r="Y1886" s="977"/>
      <c r="Z1886" s="758"/>
      <c r="AA1886" s="758" t="str">
        <f t="shared" si="390"/>
        <v/>
      </c>
      <c r="AB1886" s="758" t="str">
        <f t="shared" si="391"/>
        <v/>
      </c>
      <c r="AC1886" s="758" t="str">
        <f t="shared" si="392"/>
        <v/>
      </c>
      <c r="AD1886" s="758" t="str">
        <f t="shared" si="393"/>
        <v>0</v>
      </c>
      <c r="AE1886" s="760"/>
      <c r="AF1886" s="760"/>
      <c r="AG1886" s="443"/>
      <c r="AH1886" s="443"/>
    </row>
    <row r="1887" spans="1:34">
      <c r="A1887" s="728">
        <f t="shared" si="389"/>
        <v>1880</v>
      </c>
      <c r="B1887" s="77"/>
      <c r="C1887" s="747"/>
      <c r="D1887" s="763" t="str">
        <f t="shared" si="380"/>
        <v>January</v>
      </c>
      <c r="E1887" s="763">
        <f t="shared" si="381"/>
        <v>0</v>
      </c>
      <c r="F1887" s="762">
        <f t="shared" si="382"/>
        <v>1900</v>
      </c>
      <c r="G1887" s="747"/>
      <c r="H1887" s="882"/>
      <c r="I1887" s="756"/>
      <c r="J1887" s="756"/>
      <c r="K1887" s="778">
        <f t="shared" si="383"/>
        <v>0</v>
      </c>
      <c r="L1887" s="976"/>
      <c r="M1887" s="736">
        <f t="shared" si="384"/>
        <v>0</v>
      </c>
      <c r="N1887" s="754"/>
      <c r="O1887" s="738">
        <f t="shared" si="385"/>
        <v>0</v>
      </c>
      <c r="P1887" s="757"/>
      <c r="Q1887" s="739">
        <f t="shared" si="386"/>
        <v>0</v>
      </c>
      <c r="R1887" s="757"/>
      <c r="S1887" s="755"/>
      <c r="T1887" s="277"/>
      <c r="U1887" s="758" t="str">
        <f t="shared" si="387"/>
        <v/>
      </c>
      <c r="V1887" s="758" t="str">
        <f t="shared" si="388"/>
        <v>1900</v>
      </c>
      <c r="W1887" s="759"/>
      <c r="X1887" s="771"/>
      <c r="Y1887" s="977"/>
      <c r="Z1887" s="758"/>
      <c r="AA1887" s="758" t="str">
        <f t="shared" si="390"/>
        <v/>
      </c>
      <c r="AB1887" s="758" t="str">
        <f t="shared" si="391"/>
        <v/>
      </c>
      <c r="AC1887" s="758" t="str">
        <f t="shared" si="392"/>
        <v/>
      </c>
      <c r="AD1887" s="758" t="str">
        <f t="shared" si="393"/>
        <v>0</v>
      </c>
      <c r="AE1887" s="760"/>
      <c r="AF1887" s="760"/>
      <c r="AG1887" s="443"/>
      <c r="AH1887" s="443"/>
    </row>
    <row r="1888" spans="1:34">
      <c r="A1888" s="728">
        <f t="shared" si="389"/>
        <v>1881</v>
      </c>
      <c r="B1888" s="77"/>
      <c r="C1888" s="747"/>
      <c r="D1888" s="763" t="str">
        <f t="shared" si="380"/>
        <v>January</v>
      </c>
      <c r="E1888" s="763">
        <f t="shared" si="381"/>
        <v>0</v>
      </c>
      <c r="F1888" s="762">
        <f t="shared" si="382"/>
        <v>1900</v>
      </c>
      <c r="G1888" s="747"/>
      <c r="H1888" s="882"/>
      <c r="I1888" s="756"/>
      <c r="J1888" s="756"/>
      <c r="K1888" s="778">
        <f t="shared" si="383"/>
        <v>0</v>
      </c>
      <c r="L1888" s="976"/>
      <c r="M1888" s="736">
        <f t="shared" si="384"/>
        <v>0</v>
      </c>
      <c r="N1888" s="754"/>
      <c r="O1888" s="738">
        <f t="shared" si="385"/>
        <v>0</v>
      </c>
      <c r="P1888" s="757"/>
      <c r="Q1888" s="739">
        <f t="shared" si="386"/>
        <v>0</v>
      </c>
      <c r="R1888" s="757"/>
      <c r="S1888" s="755"/>
      <c r="T1888" s="277"/>
      <c r="U1888" s="758" t="str">
        <f t="shared" si="387"/>
        <v/>
      </c>
      <c r="V1888" s="758" t="str">
        <f t="shared" si="388"/>
        <v>1900</v>
      </c>
      <c r="W1888" s="759"/>
      <c r="X1888" s="771"/>
      <c r="Y1888" s="977"/>
      <c r="Z1888" s="758"/>
      <c r="AA1888" s="758" t="str">
        <f t="shared" si="390"/>
        <v/>
      </c>
      <c r="AB1888" s="758" t="str">
        <f t="shared" si="391"/>
        <v/>
      </c>
      <c r="AC1888" s="758" t="str">
        <f t="shared" si="392"/>
        <v/>
      </c>
      <c r="AD1888" s="758" t="str">
        <f t="shared" si="393"/>
        <v>0</v>
      </c>
      <c r="AE1888" s="760"/>
      <c r="AF1888" s="760"/>
      <c r="AG1888" s="443"/>
      <c r="AH1888" s="443"/>
    </row>
    <row r="1889" spans="1:34">
      <c r="A1889" s="728">
        <f t="shared" si="389"/>
        <v>1882</v>
      </c>
      <c r="B1889" s="77"/>
      <c r="C1889" s="747"/>
      <c r="D1889" s="763" t="str">
        <f t="shared" si="380"/>
        <v>January</v>
      </c>
      <c r="E1889" s="763">
        <f t="shared" si="381"/>
        <v>0</v>
      </c>
      <c r="F1889" s="762">
        <f t="shared" si="382"/>
        <v>1900</v>
      </c>
      <c r="G1889" s="747"/>
      <c r="H1889" s="882"/>
      <c r="I1889" s="756"/>
      <c r="J1889" s="756"/>
      <c r="K1889" s="778">
        <f t="shared" si="383"/>
        <v>0</v>
      </c>
      <c r="L1889" s="976"/>
      <c r="M1889" s="736">
        <f t="shared" si="384"/>
        <v>0</v>
      </c>
      <c r="N1889" s="754"/>
      <c r="O1889" s="738">
        <f t="shared" si="385"/>
        <v>0</v>
      </c>
      <c r="P1889" s="757"/>
      <c r="Q1889" s="739">
        <f t="shared" si="386"/>
        <v>0</v>
      </c>
      <c r="R1889" s="757"/>
      <c r="S1889" s="755"/>
      <c r="T1889" s="277"/>
      <c r="U1889" s="758" t="str">
        <f t="shared" si="387"/>
        <v/>
      </c>
      <c r="V1889" s="758" t="str">
        <f t="shared" si="388"/>
        <v>1900</v>
      </c>
      <c r="W1889" s="759"/>
      <c r="X1889" s="771"/>
      <c r="Y1889" s="977"/>
      <c r="Z1889" s="758"/>
      <c r="AA1889" s="758" t="str">
        <f t="shared" si="390"/>
        <v/>
      </c>
      <c r="AB1889" s="758" t="str">
        <f t="shared" si="391"/>
        <v/>
      </c>
      <c r="AC1889" s="758" t="str">
        <f t="shared" si="392"/>
        <v/>
      </c>
      <c r="AD1889" s="758" t="str">
        <f t="shared" si="393"/>
        <v>0</v>
      </c>
      <c r="AE1889" s="760"/>
      <c r="AF1889" s="760"/>
      <c r="AG1889" s="443"/>
      <c r="AH1889" s="443"/>
    </row>
    <row r="1890" spans="1:34">
      <c r="A1890" s="728">
        <f t="shared" si="389"/>
        <v>1883</v>
      </c>
      <c r="B1890" s="77"/>
      <c r="C1890" s="747"/>
      <c r="D1890" s="763" t="str">
        <f t="shared" si="380"/>
        <v>January</v>
      </c>
      <c r="E1890" s="763">
        <f t="shared" si="381"/>
        <v>0</v>
      </c>
      <c r="F1890" s="762">
        <f t="shared" si="382"/>
        <v>1900</v>
      </c>
      <c r="G1890" s="747"/>
      <c r="H1890" s="882"/>
      <c r="I1890" s="756"/>
      <c r="J1890" s="756"/>
      <c r="K1890" s="778">
        <f t="shared" si="383"/>
        <v>0</v>
      </c>
      <c r="L1890" s="976"/>
      <c r="M1890" s="736">
        <f t="shared" si="384"/>
        <v>0</v>
      </c>
      <c r="N1890" s="754"/>
      <c r="O1890" s="738">
        <f t="shared" si="385"/>
        <v>0</v>
      </c>
      <c r="P1890" s="757"/>
      <c r="Q1890" s="739">
        <f t="shared" si="386"/>
        <v>0</v>
      </c>
      <c r="R1890" s="757"/>
      <c r="S1890" s="755"/>
      <c r="T1890" s="277"/>
      <c r="U1890" s="758" t="str">
        <f t="shared" si="387"/>
        <v/>
      </c>
      <c r="V1890" s="758" t="str">
        <f t="shared" si="388"/>
        <v>1900</v>
      </c>
      <c r="W1890" s="759"/>
      <c r="X1890" s="771"/>
      <c r="Y1890" s="977"/>
      <c r="Z1890" s="758"/>
      <c r="AA1890" s="758" t="str">
        <f t="shared" si="390"/>
        <v/>
      </c>
      <c r="AB1890" s="758" t="str">
        <f t="shared" si="391"/>
        <v/>
      </c>
      <c r="AC1890" s="758" t="str">
        <f t="shared" si="392"/>
        <v/>
      </c>
      <c r="AD1890" s="758" t="str">
        <f t="shared" si="393"/>
        <v>0</v>
      </c>
      <c r="AE1890" s="760"/>
      <c r="AF1890" s="760"/>
      <c r="AG1890" s="443"/>
      <c r="AH1890" s="443"/>
    </row>
    <row r="1891" spans="1:34">
      <c r="A1891" s="728">
        <f t="shared" si="389"/>
        <v>1884</v>
      </c>
      <c r="B1891" s="77"/>
      <c r="C1891" s="747"/>
      <c r="D1891" s="763" t="str">
        <f t="shared" si="380"/>
        <v>January</v>
      </c>
      <c r="E1891" s="763">
        <f t="shared" si="381"/>
        <v>0</v>
      </c>
      <c r="F1891" s="762">
        <f t="shared" si="382"/>
        <v>1900</v>
      </c>
      <c r="G1891" s="747"/>
      <c r="H1891" s="882"/>
      <c r="I1891" s="756"/>
      <c r="J1891" s="756"/>
      <c r="K1891" s="778">
        <f t="shared" si="383"/>
        <v>0</v>
      </c>
      <c r="L1891" s="976"/>
      <c r="M1891" s="736">
        <f t="shared" si="384"/>
        <v>0</v>
      </c>
      <c r="N1891" s="754"/>
      <c r="O1891" s="738">
        <f t="shared" si="385"/>
        <v>0</v>
      </c>
      <c r="P1891" s="757"/>
      <c r="Q1891" s="739">
        <f t="shared" si="386"/>
        <v>0</v>
      </c>
      <c r="R1891" s="757"/>
      <c r="S1891" s="755"/>
      <c r="T1891" s="277"/>
      <c r="U1891" s="758" t="str">
        <f t="shared" si="387"/>
        <v/>
      </c>
      <c r="V1891" s="758" t="str">
        <f t="shared" si="388"/>
        <v>1900</v>
      </c>
      <c r="W1891" s="759"/>
      <c r="X1891" s="771"/>
      <c r="Y1891" s="977"/>
      <c r="Z1891" s="758"/>
      <c r="AA1891" s="758" t="str">
        <f t="shared" si="390"/>
        <v/>
      </c>
      <c r="AB1891" s="758" t="str">
        <f t="shared" si="391"/>
        <v/>
      </c>
      <c r="AC1891" s="758" t="str">
        <f t="shared" si="392"/>
        <v/>
      </c>
      <c r="AD1891" s="758" t="str">
        <f t="shared" si="393"/>
        <v>0</v>
      </c>
      <c r="AE1891" s="760"/>
      <c r="AF1891" s="760"/>
      <c r="AG1891" s="443"/>
      <c r="AH1891" s="443"/>
    </row>
    <row r="1892" spans="1:34">
      <c r="A1892" s="728">
        <f t="shared" si="389"/>
        <v>1885</v>
      </c>
      <c r="B1892" s="77"/>
      <c r="C1892" s="747"/>
      <c r="D1892" s="763" t="str">
        <f t="shared" si="380"/>
        <v>January</v>
      </c>
      <c r="E1892" s="763">
        <f t="shared" si="381"/>
        <v>0</v>
      </c>
      <c r="F1892" s="762">
        <f t="shared" si="382"/>
        <v>1900</v>
      </c>
      <c r="G1892" s="747"/>
      <c r="H1892" s="882"/>
      <c r="I1892" s="756"/>
      <c r="J1892" s="756"/>
      <c r="K1892" s="778">
        <f t="shared" si="383"/>
        <v>0</v>
      </c>
      <c r="L1892" s="976"/>
      <c r="M1892" s="736">
        <f t="shared" si="384"/>
        <v>0</v>
      </c>
      <c r="N1892" s="754"/>
      <c r="O1892" s="738">
        <f t="shared" si="385"/>
        <v>0</v>
      </c>
      <c r="P1892" s="757"/>
      <c r="Q1892" s="739">
        <f t="shared" si="386"/>
        <v>0</v>
      </c>
      <c r="R1892" s="757"/>
      <c r="S1892" s="755"/>
      <c r="T1892" s="277"/>
      <c r="U1892" s="758" t="str">
        <f t="shared" si="387"/>
        <v/>
      </c>
      <c r="V1892" s="758" t="str">
        <f t="shared" si="388"/>
        <v>1900</v>
      </c>
      <c r="W1892" s="759"/>
      <c r="X1892" s="771"/>
      <c r="Y1892" s="977"/>
      <c r="Z1892" s="758"/>
      <c r="AA1892" s="758" t="str">
        <f t="shared" si="390"/>
        <v/>
      </c>
      <c r="AB1892" s="758" t="str">
        <f t="shared" si="391"/>
        <v/>
      </c>
      <c r="AC1892" s="758" t="str">
        <f t="shared" si="392"/>
        <v/>
      </c>
      <c r="AD1892" s="758" t="str">
        <f t="shared" si="393"/>
        <v>0</v>
      </c>
      <c r="AE1892" s="760"/>
      <c r="AF1892" s="760"/>
      <c r="AG1892" s="443"/>
      <c r="AH1892" s="443"/>
    </row>
    <row r="1893" spans="1:34">
      <c r="A1893" s="728">
        <f t="shared" si="389"/>
        <v>1886</v>
      </c>
      <c r="B1893" s="77"/>
      <c r="C1893" s="747"/>
      <c r="D1893" s="763" t="str">
        <f t="shared" si="380"/>
        <v>January</v>
      </c>
      <c r="E1893" s="763">
        <f t="shared" si="381"/>
        <v>0</v>
      </c>
      <c r="F1893" s="762">
        <f t="shared" si="382"/>
        <v>1900</v>
      </c>
      <c r="G1893" s="747"/>
      <c r="H1893" s="882"/>
      <c r="I1893" s="756"/>
      <c r="J1893" s="756"/>
      <c r="K1893" s="778">
        <f t="shared" si="383"/>
        <v>0</v>
      </c>
      <c r="L1893" s="976"/>
      <c r="M1893" s="736">
        <f t="shared" si="384"/>
        <v>0</v>
      </c>
      <c r="N1893" s="754"/>
      <c r="O1893" s="738">
        <f t="shared" si="385"/>
        <v>0</v>
      </c>
      <c r="P1893" s="757"/>
      <c r="Q1893" s="739">
        <f t="shared" si="386"/>
        <v>0</v>
      </c>
      <c r="R1893" s="757"/>
      <c r="S1893" s="755"/>
      <c r="T1893" s="277"/>
      <c r="U1893" s="758" t="str">
        <f t="shared" si="387"/>
        <v/>
      </c>
      <c r="V1893" s="758" t="str">
        <f t="shared" si="388"/>
        <v>1900</v>
      </c>
      <c r="W1893" s="759"/>
      <c r="X1893" s="771"/>
      <c r="Y1893" s="977"/>
      <c r="Z1893" s="758"/>
      <c r="AA1893" s="758" t="str">
        <f t="shared" si="390"/>
        <v/>
      </c>
      <c r="AB1893" s="758" t="str">
        <f t="shared" si="391"/>
        <v/>
      </c>
      <c r="AC1893" s="758" t="str">
        <f t="shared" si="392"/>
        <v/>
      </c>
      <c r="AD1893" s="758" t="str">
        <f t="shared" si="393"/>
        <v>0</v>
      </c>
      <c r="AE1893" s="760"/>
      <c r="AF1893" s="760"/>
      <c r="AG1893" s="443"/>
      <c r="AH1893" s="443"/>
    </row>
    <row r="1894" spans="1:34">
      <c r="A1894" s="728">
        <f t="shared" si="389"/>
        <v>1887</v>
      </c>
      <c r="B1894" s="77"/>
      <c r="C1894" s="747"/>
      <c r="D1894" s="763" t="str">
        <f t="shared" si="380"/>
        <v>January</v>
      </c>
      <c r="E1894" s="763">
        <f t="shared" si="381"/>
        <v>0</v>
      </c>
      <c r="F1894" s="762">
        <f t="shared" si="382"/>
        <v>1900</v>
      </c>
      <c r="G1894" s="747"/>
      <c r="H1894" s="882"/>
      <c r="I1894" s="756"/>
      <c r="J1894" s="756"/>
      <c r="K1894" s="778">
        <f t="shared" si="383"/>
        <v>0</v>
      </c>
      <c r="L1894" s="976"/>
      <c r="M1894" s="736">
        <f t="shared" si="384"/>
        <v>0</v>
      </c>
      <c r="N1894" s="754"/>
      <c r="O1894" s="738">
        <f t="shared" si="385"/>
        <v>0</v>
      </c>
      <c r="P1894" s="757"/>
      <c r="Q1894" s="739">
        <f t="shared" si="386"/>
        <v>0</v>
      </c>
      <c r="R1894" s="757"/>
      <c r="S1894" s="755"/>
      <c r="T1894" s="277"/>
      <c r="U1894" s="758" t="str">
        <f t="shared" si="387"/>
        <v/>
      </c>
      <c r="V1894" s="758" t="str">
        <f t="shared" si="388"/>
        <v>1900</v>
      </c>
      <c r="W1894" s="759"/>
      <c r="X1894" s="771"/>
      <c r="Y1894" s="977"/>
      <c r="Z1894" s="758"/>
      <c r="AA1894" s="758" t="str">
        <f t="shared" si="390"/>
        <v/>
      </c>
      <c r="AB1894" s="758" t="str">
        <f t="shared" si="391"/>
        <v/>
      </c>
      <c r="AC1894" s="758" t="str">
        <f t="shared" si="392"/>
        <v/>
      </c>
      <c r="AD1894" s="758" t="str">
        <f t="shared" si="393"/>
        <v>0</v>
      </c>
      <c r="AE1894" s="760"/>
      <c r="AF1894" s="760"/>
      <c r="AG1894" s="443"/>
      <c r="AH1894" s="443"/>
    </row>
    <row r="1895" spans="1:34">
      <c r="A1895" s="728">
        <f t="shared" si="389"/>
        <v>1888</v>
      </c>
      <c r="B1895" s="77"/>
      <c r="C1895" s="747"/>
      <c r="D1895" s="763" t="str">
        <f t="shared" si="380"/>
        <v>January</v>
      </c>
      <c r="E1895" s="763">
        <f t="shared" si="381"/>
        <v>0</v>
      </c>
      <c r="F1895" s="762">
        <f t="shared" si="382"/>
        <v>1900</v>
      </c>
      <c r="G1895" s="747"/>
      <c r="H1895" s="882"/>
      <c r="I1895" s="756"/>
      <c r="J1895" s="756"/>
      <c r="K1895" s="778">
        <f t="shared" si="383"/>
        <v>0</v>
      </c>
      <c r="L1895" s="976"/>
      <c r="M1895" s="736">
        <f t="shared" si="384"/>
        <v>0</v>
      </c>
      <c r="N1895" s="754"/>
      <c r="O1895" s="738">
        <f t="shared" si="385"/>
        <v>0</v>
      </c>
      <c r="P1895" s="757"/>
      <c r="Q1895" s="739">
        <f t="shared" si="386"/>
        <v>0</v>
      </c>
      <c r="R1895" s="757"/>
      <c r="S1895" s="755"/>
      <c r="T1895" s="277"/>
      <c r="U1895" s="758" t="str">
        <f t="shared" si="387"/>
        <v/>
      </c>
      <c r="V1895" s="758" t="str">
        <f t="shared" si="388"/>
        <v>1900</v>
      </c>
      <c r="W1895" s="759"/>
      <c r="X1895" s="771"/>
      <c r="Y1895" s="977"/>
      <c r="Z1895" s="758"/>
      <c r="AA1895" s="758" t="str">
        <f t="shared" si="390"/>
        <v/>
      </c>
      <c r="AB1895" s="758" t="str">
        <f t="shared" si="391"/>
        <v/>
      </c>
      <c r="AC1895" s="758" t="str">
        <f t="shared" si="392"/>
        <v/>
      </c>
      <c r="AD1895" s="758" t="str">
        <f t="shared" si="393"/>
        <v>0</v>
      </c>
      <c r="AE1895" s="760"/>
      <c r="AF1895" s="760"/>
      <c r="AG1895" s="443"/>
      <c r="AH1895" s="443"/>
    </row>
    <row r="1896" spans="1:34">
      <c r="A1896" s="728">
        <f t="shared" si="389"/>
        <v>1889</v>
      </c>
      <c r="B1896" s="77"/>
      <c r="C1896" s="747"/>
      <c r="D1896" s="763" t="str">
        <f t="shared" si="380"/>
        <v>January</v>
      </c>
      <c r="E1896" s="763">
        <f t="shared" si="381"/>
        <v>0</v>
      </c>
      <c r="F1896" s="762">
        <f t="shared" si="382"/>
        <v>1900</v>
      </c>
      <c r="G1896" s="747"/>
      <c r="H1896" s="882"/>
      <c r="I1896" s="756"/>
      <c r="J1896" s="756"/>
      <c r="K1896" s="778">
        <f t="shared" si="383"/>
        <v>0</v>
      </c>
      <c r="L1896" s="976"/>
      <c r="M1896" s="736">
        <f t="shared" si="384"/>
        <v>0</v>
      </c>
      <c r="N1896" s="754"/>
      <c r="O1896" s="738">
        <f t="shared" si="385"/>
        <v>0</v>
      </c>
      <c r="P1896" s="757"/>
      <c r="Q1896" s="739">
        <f t="shared" si="386"/>
        <v>0</v>
      </c>
      <c r="R1896" s="757"/>
      <c r="S1896" s="755"/>
      <c r="T1896" s="277"/>
      <c r="U1896" s="758" t="str">
        <f t="shared" si="387"/>
        <v/>
      </c>
      <c r="V1896" s="758" t="str">
        <f t="shared" si="388"/>
        <v>1900</v>
      </c>
      <c r="W1896" s="759"/>
      <c r="X1896" s="771"/>
      <c r="Y1896" s="977"/>
      <c r="Z1896" s="758"/>
      <c r="AA1896" s="758" t="str">
        <f t="shared" si="390"/>
        <v/>
      </c>
      <c r="AB1896" s="758" t="str">
        <f t="shared" si="391"/>
        <v/>
      </c>
      <c r="AC1896" s="758" t="str">
        <f t="shared" si="392"/>
        <v/>
      </c>
      <c r="AD1896" s="758" t="str">
        <f t="shared" si="393"/>
        <v>0</v>
      </c>
      <c r="AE1896" s="760"/>
      <c r="AF1896" s="760"/>
      <c r="AG1896" s="443"/>
      <c r="AH1896" s="443"/>
    </row>
    <row r="1897" spans="1:34">
      <c r="A1897" s="728">
        <f t="shared" si="389"/>
        <v>1890</v>
      </c>
      <c r="B1897" s="77"/>
      <c r="C1897" s="747"/>
      <c r="D1897" s="763" t="str">
        <f t="shared" si="380"/>
        <v>January</v>
      </c>
      <c r="E1897" s="763">
        <f t="shared" si="381"/>
        <v>0</v>
      </c>
      <c r="F1897" s="762">
        <f t="shared" si="382"/>
        <v>1900</v>
      </c>
      <c r="G1897" s="747"/>
      <c r="H1897" s="882"/>
      <c r="I1897" s="756"/>
      <c r="J1897" s="756"/>
      <c r="K1897" s="778">
        <f t="shared" si="383"/>
        <v>0</v>
      </c>
      <c r="L1897" s="976"/>
      <c r="M1897" s="736">
        <f t="shared" si="384"/>
        <v>0</v>
      </c>
      <c r="N1897" s="754"/>
      <c r="O1897" s="738">
        <f t="shared" si="385"/>
        <v>0</v>
      </c>
      <c r="P1897" s="757"/>
      <c r="Q1897" s="739">
        <f t="shared" si="386"/>
        <v>0</v>
      </c>
      <c r="R1897" s="757"/>
      <c r="S1897" s="755"/>
      <c r="T1897" s="277"/>
      <c r="U1897" s="758" t="str">
        <f t="shared" si="387"/>
        <v/>
      </c>
      <c r="V1897" s="758" t="str">
        <f t="shared" si="388"/>
        <v>1900</v>
      </c>
      <c r="W1897" s="759"/>
      <c r="X1897" s="771"/>
      <c r="Y1897" s="977"/>
      <c r="Z1897" s="758"/>
      <c r="AA1897" s="758" t="str">
        <f t="shared" si="390"/>
        <v/>
      </c>
      <c r="AB1897" s="758" t="str">
        <f t="shared" si="391"/>
        <v/>
      </c>
      <c r="AC1897" s="758" t="str">
        <f t="shared" si="392"/>
        <v/>
      </c>
      <c r="AD1897" s="758" t="str">
        <f t="shared" si="393"/>
        <v>0</v>
      </c>
      <c r="AE1897" s="760"/>
      <c r="AF1897" s="760"/>
      <c r="AG1897" s="443"/>
      <c r="AH1897" s="443"/>
    </row>
    <row r="1898" spans="1:34">
      <c r="A1898" s="728">
        <f t="shared" si="389"/>
        <v>1891</v>
      </c>
      <c r="B1898" s="77"/>
      <c r="C1898" s="747"/>
      <c r="D1898" s="763" t="str">
        <f t="shared" si="380"/>
        <v>January</v>
      </c>
      <c r="E1898" s="763">
        <f t="shared" si="381"/>
        <v>0</v>
      </c>
      <c r="F1898" s="762">
        <f t="shared" si="382"/>
        <v>1900</v>
      </c>
      <c r="G1898" s="747"/>
      <c r="H1898" s="882"/>
      <c r="I1898" s="756"/>
      <c r="J1898" s="756"/>
      <c r="K1898" s="778">
        <f t="shared" si="383"/>
        <v>0</v>
      </c>
      <c r="L1898" s="976"/>
      <c r="M1898" s="736">
        <f t="shared" si="384"/>
        <v>0</v>
      </c>
      <c r="N1898" s="754"/>
      <c r="O1898" s="738">
        <f t="shared" si="385"/>
        <v>0</v>
      </c>
      <c r="P1898" s="757"/>
      <c r="Q1898" s="739">
        <f t="shared" si="386"/>
        <v>0</v>
      </c>
      <c r="R1898" s="757"/>
      <c r="S1898" s="755"/>
      <c r="T1898" s="277"/>
      <c r="U1898" s="758" t="str">
        <f t="shared" si="387"/>
        <v/>
      </c>
      <c r="V1898" s="758" t="str">
        <f t="shared" si="388"/>
        <v>1900</v>
      </c>
      <c r="W1898" s="759"/>
      <c r="X1898" s="771"/>
      <c r="Y1898" s="977"/>
      <c r="Z1898" s="758"/>
      <c r="AA1898" s="758" t="str">
        <f t="shared" si="390"/>
        <v/>
      </c>
      <c r="AB1898" s="758" t="str">
        <f t="shared" si="391"/>
        <v/>
      </c>
      <c r="AC1898" s="758" t="str">
        <f t="shared" si="392"/>
        <v/>
      </c>
      <c r="AD1898" s="758" t="str">
        <f t="shared" si="393"/>
        <v>0</v>
      </c>
      <c r="AE1898" s="760"/>
      <c r="AF1898" s="760"/>
      <c r="AG1898" s="443"/>
      <c r="AH1898" s="443"/>
    </row>
    <row r="1899" spans="1:34">
      <c r="A1899" s="728">
        <f t="shared" si="389"/>
        <v>1892</v>
      </c>
      <c r="B1899" s="77"/>
      <c r="C1899" s="747"/>
      <c r="D1899" s="763" t="str">
        <f t="shared" si="380"/>
        <v>January</v>
      </c>
      <c r="E1899" s="763">
        <f t="shared" si="381"/>
        <v>0</v>
      </c>
      <c r="F1899" s="762">
        <f t="shared" si="382"/>
        <v>1900</v>
      </c>
      <c r="G1899" s="747"/>
      <c r="H1899" s="882"/>
      <c r="I1899" s="756"/>
      <c r="J1899" s="756"/>
      <c r="K1899" s="778">
        <f t="shared" si="383"/>
        <v>0</v>
      </c>
      <c r="L1899" s="976"/>
      <c r="M1899" s="736">
        <f t="shared" si="384"/>
        <v>0</v>
      </c>
      <c r="N1899" s="754"/>
      <c r="O1899" s="738">
        <f t="shared" si="385"/>
        <v>0</v>
      </c>
      <c r="P1899" s="757"/>
      <c r="Q1899" s="739">
        <f t="shared" si="386"/>
        <v>0</v>
      </c>
      <c r="R1899" s="757"/>
      <c r="S1899" s="755"/>
      <c r="T1899" s="277"/>
      <c r="U1899" s="758" t="str">
        <f t="shared" si="387"/>
        <v/>
      </c>
      <c r="V1899" s="758" t="str">
        <f t="shared" si="388"/>
        <v>1900</v>
      </c>
      <c r="W1899" s="759"/>
      <c r="X1899" s="771"/>
      <c r="Y1899" s="977"/>
      <c r="Z1899" s="758"/>
      <c r="AA1899" s="758" t="str">
        <f t="shared" si="390"/>
        <v/>
      </c>
      <c r="AB1899" s="758" t="str">
        <f t="shared" si="391"/>
        <v/>
      </c>
      <c r="AC1899" s="758" t="str">
        <f t="shared" si="392"/>
        <v/>
      </c>
      <c r="AD1899" s="758" t="str">
        <f t="shared" si="393"/>
        <v>0</v>
      </c>
      <c r="AE1899" s="760"/>
      <c r="AF1899" s="760"/>
      <c r="AG1899" s="443"/>
      <c r="AH1899" s="443"/>
    </row>
    <row r="1900" spans="1:34">
      <c r="A1900" s="728">
        <f t="shared" si="389"/>
        <v>1893</v>
      </c>
      <c r="B1900" s="77"/>
      <c r="C1900" s="747"/>
      <c r="D1900" s="763" t="str">
        <f t="shared" si="380"/>
        <v>January</v>
      </c>
      <c r="E1900" s="763">
        <f t="shared" si="381"/>
        <v>0</v>
      </c>
      <c r="F1900" s="762">
        <f t="shared" si="382"/>
        <v>1900</v>
      </c>
      <c r="G1900" s="747"/>
      <c r="H1900" s="882"/>
      <c r="I1900" s="756"/>
      <c r="J1900" s="756"/>
      <c r="K1900" s="778">
        <f t="shared" si="383"/>
        <v>0</v>
      </c>
      <c r="L1900" s="976"/>
      <c r="M1900" s="736">
        <f t="shared" si="384"/>
        <v>0</v>
      </c>
      <c r="N1900" s="754"/>
      <c r="O1900" s="738">
        <f t="shared" si="385"/>
        <v>0</v>
      </c>
      <c r="P1900" s="757"/>
      <c r="Q1900" s="739">
        <f t="shared" si="386"/>
        <v>0</v>
      </c>
      <c r="R1900" s="757"/>
      <c r="S1900" s="755"/>
      <c r="T1900" s="277"/>
      <c r="U1900" s="758" t="str">
        <f t="shared" si="387"/>
        <v/>
      </c>
      <c r="V1900" s="758" t="str">
        <f t="shared" si="388"/>
        <v>1900</v>
      </c>
      <c r="W1900" s="759"/>
      <c r="X1900" s="771"/>
      <c r="Y1900" s="977"/>
      <c r="Z1900" s="758"/>
      <c r="AA1900" s="758" t="str">
        <f t="shared" si="390"/>
        <v/>
      </c>
      <c r="AB1900" s="758" t="str">
        <f t="shared" si="391"/>
        <v/>
      </c>
      <c r="AC1900" s="758" t="str">
        <f t="shared" si="392"/>
        <v/>
      </c>
      <c r="AD1900" s="758" t="str">
        <f t="shared" si="393"/>
        <v>0</v>
      </c>
      <c r="AE1900" s="760"/>
      <c r="AF1900" s="760"/>
      <c r="AG1900" s="443"/>
      <c r="AH1900" s="443"/>
    </row>
    <row r="1901" spans="1:34">
      <c r="A1901" s="728">
        <f t="shared" si="389"/>
        <v>1894</v>
      </c>
      <c r="B1901" s="77"/>
      <c r="C1901" s="747"/>
      <c r="D1901" s="763" t="str">
        <f t="shared" si="380"/>
        <v>January</v>
      </c>
      <c r="E1901" s="763">
        <f t="shared" si="381"/>
        <v>0</v>
      </c>
      <c r="F1901" s="762">
        <f t="shared" si="382"/>
        <v>1900</v>
      </c>
      <c r="G1901" s="747"/>
      <c r="H1901" s="882"/>
      <c r="I1901" s="756"/>
      <c r="J1901" s="756"/>
      <c r="K1901" s="778">
        <f t="shared" si="383"/>
        <v>0</v>
      </c>
      <c r="L1901" s="976"/>
      <c r="M1901" s="736">
        <f t="shared" si="384"/>
        <v>0</v>
      </c>
      <c r="N1901" s="754"/>
      <c r="O1901" s="738">
        <f t="shared" si="385"/>
        <v>0</v>
      </c>
      <c r="P1901" s="757"/>
      <c r="Q1901" s="739">
        <f t="shared" si="386"/>
        <v>0</v>
      </c>
      <c r="R1901" s="757"/>
      <c r="S1901" s="755"/>
      <c r="T1901" s="277"/>
      <c r="U1901" s="758" t="str">
        <f t="shared" si="387"/>
        <v/>
      </c>
      <c r="V1901" s="758" t="str">
        <f t="shared" si="388"/>
        <v>1900</v>
      </c>
      <c r="W1901" s="759"/>
      <c r="X1901" s="771"/>
      <c r="Y1901" s="977"/>
      <c r="Z1901" s="758"/>
      <c r="AA1901" s="758" t="str">
        <f t="shared" si="390"/>
        <v/>
      </c>
      <c r="AB1901" s="758" t="str">
        <f t="shared" si="391"/>
        <v/>
      </c>
      <c r="AC1901" s="758" t="str">
        <f t="shared" si="392"/>
        <v/>
      </c>
      <c r="AD1901" s="758" t="str">
        <f t="shared" si="393"/>
        <v>0</v>
      </c>
      <c r="AE1901" s="760"/>
      <c r="AF1901" s="760"/>
      <c r="AG1901" s="443"/>
      <c r="AH1901" s="443"/>
    </row>
    <row r="1902" spans="1:34">
      <c r="A1902" s="728">
        <f t="shared" si="389"/>
        <v>1895</v>
      </c>
      <c r="B1902" s="77"/>
      <c r="C1902" s="747"/>
      <c r="D1902" s="763" t="str">
        <f t="shared" si="380"/>
        <v>January</v>
      </c>
      <c r="E1902" s="763">
        <f t="shared" si="381"/>
        <v>0</v>
      </c>
      <c r="F1902" s="762">
        <f t="shared" si="382"/>
        <v>1900</v>
      </c>
      <c r="G1902" s="747"/>
      <c r="H1902" s="882"/>
      <c r="I1902" s="756"/>
      <c r="J1902" s="756"/>
      <c r="K1902" s="778">
        <f t="shared" si="383"/>
        <v>0</v>
      </c>
      <c r="L1902" s="976"/>
      <c r="M1902" s="736">
        <f t="shared" si="384"/>
        <v>0</v>
      </c>
      <c r="N1902" s="754"/>
      <c r="O1902" s="738">
        <f t="shared" si="385"/>
        <v>0</v>
      </c>
      <c r="P1902" s="757"/>
      <c r="Q1902" s="739">
        <f t="shared" si="386"/>
        <v>0</v>
      </c>
      <c r="R1902" s="757"/>
      <c r="S1902" s="755"/>
      <c r="T1902" s="277"/>
      <c r="U1902" s="758" t="str">
        <f t="shared" si="387"/>
        <v/>
      </c>
      <c r="V1902" s="758" t="str">
        <f t="shared" si="388"/>
        <v>1900</v>
      </c>
      <c r="W1902" s="759"/>
      <c r="X1902" s="771"/>
      <c r="Y1902" s="977"/>
      <c r="Z1902" s="758"/>
      <c r="AA1902" s="758" t="str">
        <f t="shared" si="390"/>
        <v/>
      </c>
      <c r="AB1902" s="758" t="str">
        <f t="shared" si="391"/>
        <v/>
      </c>
      <c r="AC1902" s="758" t="str">
        <f t="shared" si="392"/>
        <v/>
      </c>
      <c r="AD1902" s="758" t="str">
        <f t="shared" si="393"/>
        <v>0</v>
      </c>
      <c r="AE1902" s="760"/>
      <c r="AF1902" s="760"/>
      <c r="AG1902" s="443"/>
      <c r="AH1902" s="443"/>
    </row>
    <row r="1903" spans="1:34">
      <c r="A1903" s="728">
        <f t="shared" si="389"/>
        <v>1896</v>
      </c>
      <c r="B1903" s="77"/>
      <c r="C1903" s="747"/>
      <c r="D1903" s="763" t="str">
        <f t="shared" si="380"/>
        <v>January</v>
      </c>
      <c r="E1903" s="763">
        <f t="shared" si="381"/>
        <v>0</v>
      </c>
      <c r="F1903" s="762">
        <f t="shared" si="382"/>
        <v>1900</v>
      </c>
      <c r="G1903" s="747"/>
      <c r="H1903" s="882"/>
      <c r="I1903" s="756"/>
      <c r="J1903" s="756"/>
      <c r="K1903" s="778">
        <f t="shared" si="383"/>
        <v>0</v>
      </c>
      <c r="L1903" s="976"/>
      <c r="M1903" s="736">
        <f t="shared" si="384"/>
        <v>0</v>
      </c>
      <c r="N1903" s="754"/>
      <c r="O1903" s="738">
        <f t="shared" si="385"/>
        <v>0</v>
      </c>
      <c r="P1903" s="757"/>
      <c r="Q1903" s="739">
        <f t="shared" si="386"/>
        <v>0</v>
      </c>
      <c r="R1903" s="757"/>
      <c r="S1903" s="755"/>
      <c r="T1903" s="277"/>
      <c r="U1903" s="758" t="str">
        <f t="shared" si="387"/>
        <v/>
      </c>
      <c r="V1903" s="758" t="str">
        <f t="shared" si="388"/>
        <v>1900</v>
      </c>
      <c r="W1903" s="759"/>
      <c r="X1903" s="771"/>
      <c r="Y1903" s="977"/>
      <c r="Z1903" s="758"/>
      <c r="AA1903" s="758" t="str">
        <f t="shared" si="390"/>
        <v/>
      </c>
      <c r="AB1903" s="758" t="str">
        <f t="shared" si="391"/>
        <v/>
      </c>
      <c r="AC1903" s="758" t="str">
        <f t="shared" si="392"/>
        <v/>
      </c>
      <c r="AD1903" s="758" t="str">
        <f t="shared" si="393"/>
        <v>0</v>
      </c>
      <c r="AE1903" s="760"/>
      <c r="AF1903" s="760"/>
      <c r="AG1903" s="443"/>
      <c r="AH1903" s="443"/>
    </row>
    <row r="1904" spans="1:34">
      <c r="A1904" s="728">
        <f t="shared" si="389"/>
        <v>1897</v>
      </c>
      <c r="B1904" s="77"/>
      <c r="C1904" s="747"/>
      <c r="D1904" s="763" t="str">
        <f t="shared" si="380"/>
        <v>January</v>
      </c>
      <c r="E1904" s="763">
        <f t="shared" si="381"/>
        <v>0</v>
      </c>
      <c r="F1904" s="762">
        <f t="shared" si="382"/>
        <v>1900</v>
      </c>
      <c r="G1904" s="747"/>
      <c r="H1904" s="882"/>
      <c r="I1904" s="756"/>
      <c r="J1904" s="756"/>
      <c r="K1904" s="778">
        <f t="shared" si="383"/>
        <v>0</v>
      </c>
      <c r="L1904" s="976"/>
      <c r="M1904" s="736">
        <f t="shared" si="384"/>
        <v>0</v>
      </c>
      <c r="N1904" s="754"/>
      <c r="O1904" s="738">
        <f t="shared" si="385"/>
        <v>0</v>
      </c>
      <c r="P1904" s="757"/>
      <c r="Q1904" s="739">
        <f t="shared" si="386"/>
        <v>0</v>
      </c>
      <c r="R1904" s="757"/>
      <c r="S1904" s="755"/>
      <c r="T1904" s="277"/>
      <c r="U1904" s="758" t="str">
        <f t="shared" si="387"/>
        <v/>
      </c>
      <c r="V1904" s="758" t="str">
        <f t="shared" si="388"/>
        <v>1900</v>
      </c>
      <c r="W1904" s="759"/>
      <c r="X1904" s="771"/>
      <c r="Y1904" s="977"/>
      <c r="Z1904" s="758"/>
      <c r="AA1904" s="758" t="str">
        <f t="shared" si="390"/>
        <v/>
      </c>
      <c r="AB1904" s="758" t="str">
        <f t="shared" si="391"/>
        <v/>
      </c>
      <c r="AC1904" s="758" t="str">
        <f t="shared" si="392"/>
        <v/>
      </c>
      <c r="AD1904" s="758" t="str">
        <f t="shared" si="393"/>
        <v>0</v>
      </c>
      <c r="AE1904" s="760"/>
      <c r="AF1904" s="760"/>
      <c r="AG1904" s="443"/>
      <c r="AH1904" s="443"/>
    </row>
    <row r="1905" spans="1:34">
      <c r="A1905" s="728">
        <f t="shared" si="389"/>
        <v>1898</v>
      </c>
      <c r="B1905" s="77"/>
      <c r="C1905" s="747"/>
      <c r="D1905" s="763" t="str">
        <f t="shared" si="380"/>
        <v>January</v>
      </c>
      <c r="E1905" s="763">
        <f t="shared" si="381"/>
        <v>0</v>
      </c>
      <c r="F1905" s="762">
        <f t="shared" si="382"/>
        <v>1900</v>
      </c>
      <c r="G1905" s="747"/>
      <c r="H1905" s="882"/>
      <c r="I1905" s="756"/>
      <c r="J1905" s="756"/>
      <c r="K1905" s="778">
        <f t="shared" si="383"/>
        <v>0</v>
      </c>
      <c r="L1905" s="976"/>
      <c r="M1905" s="736">
        <f t="shared" si="384"/>
        <v>0</v>
      </c>
      <c r="N1905" s="754"/>
      <c r="O1905" s="738">
        <f t="shared" si="385"/>
        <v>0</v>
      </c>
      <c r="P1905" s="757"/>
      <c r="Q1905" s="739">
        <f t="shared" si="386"/>
        <v>0</v>
      </c>
      <c r="R1905" s="757"/>
      <c r="S1905" s="755"/>
      <c r="T1905" s="277"/>
      <c r="U1905" s="758" t="str">
        <f t="shared" si="387"/>
        <v/>
      </c>
      <c r="V1905" s="758" t="str">
        <f t="shared" si="388"/>
        <v>1900</v>
      </c>
      <c r="W1905" s="759"/>
      <c r="X1905" s="771"/>
      <c r="Y1905" s="977"/>
      <c r="Z1905" s="758"/>
      <c r="AA1905" s="758" t="str">
        <f t="shared" si="390"/>
        <v/>
      </c>
      <c r="AB1905" s="758" t="str">
        <f t="shared" si="391"/>
        <v/>
      </c>
      <c r="AC1905" s="758" t="str">
        <f t="shared" si="392"/>
        <v/>
      </c>
      <c r="AD1905" s="758" t="str">
        <f t="shared" si="393"/>
        <v>0</v>
      </c>
      <c r="AE1905" s="760"/>
      <c r="AF1905" s="760"/>
      <c r="AG1905" s="443"/>
      <c r="AH1905" s="443"/>
    </row>
    <row r="1906" spans="1:34">
      <c r="A1906" s="728">
        <f t="shared" si="389"/>
        <v>1899</v>
      </c>
      <c r="B1906" s="77"/>
      <c r="C1906" s="747"/>
      <c r="D1906" s="763" t="str">
        <f t="shared" si="380"/>
        <v>January</v>
      </c>
      <c r="E1906" s="763">
        <f t="shared" si="381"/>
        <v>0</v>
      </c>
      <c r="F1906" s="762">
        <f t="shared" si="382"/>
        <v>1900</v>
      </c>
      <c r="G1906" s="747"/>
      <c r="H1906" s="882"/>
      <c r="I1906" s="756"/>
      <c r="J1906" s="756"/>
      <c r="K1906" s="778">
        <f t="shared" si="383"/>
        <v>0</v>
      </c>
      <c r="L1906" s="976"/>
      <c r="M1906" s="736">
        <f t="shared" si="384"/>
        <v>0</v>
      </c>
      <c r="N1906" s="754"/>
      <c r="O1906" s="738">
        <f t="shared" si="385"/>
        <v>0</v>
      </c>
      <c r="P1906" s="757"/>
      <c r="Q1906" s="739">
        <f t="shared" si="386"/>
        <v>0</v>
      </c>
      <c r="R1906" s="757"/>
      <c r="S1906" s="755"/>
      <c r="T1906" s="277"/>
      <c r="U1906" s="758" t="str">
        <f t="shared" si="387"/>
        <v/>
      </c>
      <c r="V1906" s="758" t="str">
        <f t="shared" si="388"/>
        <v>1900</v>
      </c>
      <c r="W1906" s="759"/>
      <c r="X1906" s="771"/>
      <c r="Y1906" s="977"/>
      <c r="Z1906" s="758"/>
      <c r="AA1906" s="758" t="str">
        <f t="shared" si="390"/>
        <v/>
      </c>
      <c r="AB1906" s="758" t="str">
        <f t="shared" si="391"/>
        <v/>
      </c>
      <c r="AC1906" s="758" t="str">
        <f t="shared" si="392"/>
        <v/>
      </c>
      <c r="AD1906" s="758" t="str">
        <f t="shared" si="393"/>
        <v>0</v>
      </c>
      <c r="AE1906" s="760"/>
      <c r="AF1906" s="760"/>
      <c r="AG1906" s="443"/>
      <c r="AH1906" s="443"/>
    </row>
    <row r="1907" spans="1:34">
      <c r="A1907" s="728">
        <f t="shared" si="389"/>
        <v>1900</v>
      </c>
      <c r="B1907" s="77"/>
      <c r="C1907" s="747"/>
      <c r="D1907" s="763" t="str">
        <f t="shared" si="380"/>
        <v>January</v>
      </c>
      <c r="E1907" s="763">
        <f t="shared" si="381"/>
        <v>0</v>
      </c>
      <c r="F1907" s="762">
        <f t="shared" si="382"/>
        <v>1900</v>
      </c>
      <c r="G1907" s="747"/>
      <c r="H1907" s="882"/>
      <c r="I1907" s="756"/>
      <c r="J1907" s="756"/>
      <c r="K1907" s="778">
        <f t="shared" si="383"/>
        <v>0</v>
      </c>
      <c r="L1907" s="976"/>
      <c r="M1907" s="736">
        <f t="shared" si="384"/>
        <v>0</v>
      </c>
      <c r="N1907" s="754"/>
      <c r="O1907" s="738">
        <f t="shared" si="385"/>
        <v>0</v>
      </c>
      <c r="P1907" s="757"/>
      <c r="Q1907" s="739">
        <f t="shared" si="386"/>
        <v>0</v>
      </c>
      <c r="R1907" s="757"/>
      <c r="S1907" s="755"/>
      <c r="T1907" s="277"/>
      <c r="U1907" s="758" t="str">
        <f t="shared" si="387"/>
        <v/>
      </c>
      <c r="V1907" s="758" t="str">
        <f t="shared" si="388"/>
        <v>1900</v>
      </c>
      <c r="W1907" s="759"/>
      <c r="X1907" s="771"/>
      <c r="Y1907" s="977"/>
      <c r="Z1907" s="758"/>
      <c r="AA1907" s="758" t="str">
        <f t="shared" si="390"/>
        <v/>
      </c>
      <c r="AB1907" s="758" t="str">
        <f t="shared" si="391"/>
        <v/>
      </c>
      <c r="AC1907" s="758" t="str">
        <f t="shared" si="392"/>
        <v/>
      </c>
      <c r="AD1907" s="758" t="str">
        <f t="shared" si="393"/>
        <v>0</v>
      </c>
      <c r="AE1907" s="760"/>
      <c r="AF1907" s="760"/>
      <c r="AG1907" s="443"/>
      <c r="AH1907" s="443"/>
    </row>
    <row r="1908" spans="1:34">
      <c r="A1908" s="728">
        <f t="shared" si="389"/>
        <v>1901</v>
      </c>
      <c r="B1908" s="77"/>
      <c r="C1908" s="747"/>
      <c r="D1908" s="763" t="str">
        <f t="shared" si="380"/>
        <v>January</v>
      </c>
      <c r="E1908" s="763">
        <f t="shared" si="381"/>
        <v>0</v>
      </c>
      <c r="F1908" s="762">
        <f t="shared" si="382"/>
        <v>1900</v>
      </c>
      <c r="G1908" s="747"/>
      <c r="H1908" s="882"/>
      <c r="I1908" s="756"/>
      <c r="J1908" s="756"/>
      <c r="K1908" s="778">
        <f t="shared" si="383"/>
        <v>0</v>
      </c>
      <c r="L1908" s="976"/>
      <c r="M1908" s="736">
        <f t="shared" si="384"/>
        <v>0</v>
      </c>
      <c r="N1908" s="754"/>
      <c r="O1908" s="738">
        <f t="shared" si="385"/>
        <v>0</v>
      </c>
      <c r="P1908" s="757"/>
      <c r="Q1908" s="739">
        <f t="shared" si="386"/>
        <v>0</v>
      </c>
      <c r="R1908" s="757"/>
      <c r="S1908" s="755"/>
      <c r="T1908" s="277"/>
      <c r="U1908" s="758" t="str">
        <f t="shared" si="387"/>
        <v/>
      </c>
      <c r="V1908" s="758" t="str">
        <f t="shared" si="388"/>
        <v>1900</v>
      </c>
      <c r="W1908" s="759"/>
      <c r="X1908" s="771"/>
      <c r="Y1908" s="977"/>
      <c r="Z1908" s="758"/>
      <c r="AA1908" s="758" t="str">
        <f t="shared" si="390"/>
        <v/>
      </c>
      <c r="AB1908" s="758" t="str">
        <f t="shared" si="391"/>
        <v/>
      </c>
      <c r="AC1908" s="758" t="str">
        <f t="shared" si="392"/>
        <v/>
      </c>
      <c r="AD1908" s="758" t="str">
        <f t="shared" si="393"/>
        <v>0</v>
      </c>
      <c r="AE1908" s="760"/>
      <c r="AF1908" s="760"/>
      <c r="AG1908" s="443"/>
      <c r="AH1908" s="443"/>
    </row>
    <row r="1909" spans="1:34">
      <c r="A1909" s="728">
        <f t="shared" si="389"/>
        <v>1902</v>
      </c>
      <c r="B1909" s="77"/>
      <c r="C1909" s="747"/>
      <c r="D1909" s="763" t="str">
        <f t="shared" si="380"/>
        <v>January</v>
      </c>
      <c r="E1909" s="763">
        <f t="shared" si="381"/>
        <v>0</v>
      </c>
      <c r="F1909" s="762">
        <f t="shared" si="382"/>
        <v>1900</v>
      </c>
      <c r="G1909" s="747"/>
      <c r="H1909" s="882"/>
      <c r="I1909" s="756"/>
      <c r="J1909" s="756"/>
      <c r="K1909" s="778">
        <f t="shared" si="383"/>
        <v>0</v>
      </c>
      <c r="L1909" s="976"/>
      <c r="M1909" s="736">
        <f t="shared" si="384"/>
        <v>0</v>
      </c>
      <c r="N1909" s="754"/>
      <c r="O1909" s="738">
        <f t="shared" si="385"/>
        <v>0</v>
      </c>
      <c r="P1909" s="757"/>
      <c r="Q1909" s="739">
        <f t="shared" si="386"/>
        <v>0</v>
      </c>
      <c r="R1909" s="757"/>
      <c r="S1909" s="755"/>
      <c r="T1909" s="277"/>
      <c r="U1909" s="758" t="str">
        <f t="shared" si="387"/>
        <v/>
      </c>
      <c r="V1909" s="758" t="str">
        <f t="shared" si="388"/>
        <v>1900</v>
      </c>
      <c r="W1909" s="759"/>
      <c r="X1909" s="771"/>
      <c r="Y1909" s="977"/>
      <c r="Z1909" s="758"/>
      <c r="AA1909" s="758" t="str">
        <f t="shared" si="390"/>
        <v/>
      </c>
      <c r="AB1909" s="758" t="str">
        <f t="shared" si="391"/>
        <v/>
      </c>
      <c r="AC1909" s="758" t="str">
        <f t="shared" si="392"/>
        <v/>
      </c>
      <c r="AD1909" s="758" t="str">
        <f t="shared" si="393"/>
        <v>0</v>
      </c>
      <c r="AE1909" s="760"/>
      <c r="AF1909" s="760"/>
      <c r="AG1909" s="443"/>
      <c r="AH1909" s="443"/>
    </row>
    <row r="1910" spans="1:34">
      <c r="A1910" s="728">
        <f t="shared" si="389"/>
        <v>1903</v>
      </c>
      <c r="B1910" s="77"/>
      <c r="C1910" s="747"/>
      <c r="D1910" s="763" t="str">
        <f t="shared" si="380"/>
        <v>January</v>
      </c>
      <c r="E1910" s="763">
        <f t="shared" si="381"/>
        <v>0</v>
      </c>
      <c r="F1910" s="762">
        <f t="shared" si="382"/>
        <v>1900</v>
      </c>
      <c r="G1910" s="747"/>
      <c r="H1910" s="882"/>
      <c r="I1910" s="756"/>
      <c r="J1910" s="756"/>
      <c r="K1910" s="778">
        <f t="shared" si="383"/>
        <v>0</v>
      </c>
      <c r="L1910" s="976"/>
      <c r="M1910" s="736">
        <f t="shared" si="384"/>
        <v>0</v>
      </c>
      <c r="N1910" s="754"/>
      <c r="O1910" s="738">
        <f t="shared" si="385"/>
        <v>0</v>
      </c>
      <c r="P1910" s="757"/>
      <c r="Q1910" s="739">
        <f t="shared" si="386"/>
        <v>0</v>
      </c>
      <c r="R1910" s="757"/>
      <c r="S1910" s="755"/>
      <c r="T1910" s="277"/>
      <c r="U1910" s="758" t="str">
        <f t="shared" si="387"/>
        <v/>
      </c>
      <c r="V1910" s="758" t="str">
        <f t="shared" si="388"/>
        <v>1900</v>
      </c>
      <c r="W1910" s="759"/>
      <c r="X1910" s="771"/>
      <c r="Y1910" s="977"/>
      <c r="Z1910" s="758"/>
      <c r="AA1910" s="758" t="str">
        <f t="shared" si="390"/>
        <v/>
      </c>
      <c r="AB1910" s="758" t="str">
        <f t="shared" si="391"/>
        <v/>
      </c>
      <c r="AC1910" s="758" t="str">
        <f t="shared" si="392"/>
        <v/>
      </c>
      <c r="AD1910" s="758" t="str">
        <f t="shared" si="393"/>
        <v>0</v>
      </c>
      <c r="AE1910" s="760"/>
      <c r="AF1910" s="760"/>
      <c r="AG1910" s="443"/>
      <c r="AH1910" s="443"/>
    </row>
    <row r="1911" spans="1:34">
      <c r="A1911" s="728">
        <f t="shared" si="389"/>
        <v>1904</v>
      </c>
      <c r="B1911" s="77"/>
      <c r="C1911" s="747"/>
      <c r="D1911" s="763" t="str">
        <f t="shared" si="380"/>
        <v>January</v>
      </c>
      <c r="E1911" s="763">
        <f t="shared" si="381"/>
        <v>0</v>
      </c>
      <c r="F1911" s="762">
        <f t="shared" si="382"/>
        <v>1900</v>
      </c>
      <c r="G1911" s="747"/>
      <c r="H1911" s="882"/>
      <c r="I1911" s="756"/>
      <c r="J1911" s="756"/>
      <c r="K1911" s="778">
        <f t="shared" si="383"/>
        <v>0</v>
      </c>
      <c r="L1911" s="976"/>
      <c r="M1911" s="736">
        <f t="shared" si="384"/>
        <v>0</v>
      </c>
      <c r="N1911" s="754"/>
      <c r="O1911" s="738">
        <f t="shared" si="385"/>
        <v>0</v>
      </c>
      <c r="P1911" s="757"/>
      <c r="Q1911" s="739">
        <f t="shared" si="386"/>
        <v>0</v>
      </c>
      <c r="R1911" s="757"/>
      <c r="S1911" s="755"/>
      <c r="T1911" s="277"/>
      <c r="U1911" s="758" t="str">
        <f t="shared" si="387"/>
        <v/>
      </c>
      <c r="V1911" s="758" t="str">
        <f t="shared" si="388"/>
        <v>1900</v>
      </c>
      <c r="W1911" s="759"/>
      <c r="X1911" s="771"/>
      <c r="Y1911" s="977"/>
      <c r="Z1911" s="758"/>
      <c r="AA1911" s="758" t="str">
        <f t="shared" si="390"/>
        <v/>
      </c>
      <c r="AB1911" s="758" t="str">
        <f t="shared" si="391"/>
        <v/>
      </c>
      <c r="AC1911" s="758" t="str">
        <f t="shared" si="392"/>
        <v/>
      </c>
      <c r="AD1911" s="758" t="str">
        <f t="shared" si="393"/>
        <v>0</v>
      </c>
      <c r="AE1911" s="760"/>
      <c r="AF1911" s="760"/>
      <c r="AG1911" s="443"/>
      <c r="AH1911" s="443"/>
    </row>
    <row r="1912" spans="1:34">
      <c r="A1912" s="728">
        <f t="shared" si="389"/>
        <v>1905</v>
      </c>
      <c r="B1912" s="77"/>
      <c r="C1912" s="747"/>
      <c r="D1912" s="763" t="str">
        <f t="shared" si="380"/>
        <v>January</v>
      </c>
      <c r="E1912" s="763">
        <f t="shared" si="381"/>
        <v>0</v>
      </c>
      <c r="F1912" s="762">
        <f t="shared" si="382"/>
        <v>1900</v>
      </c>
      <c r="G1912" s="747"/>
      <c r="H1912" s="882"/>
      <c r="I1912" s="756"/>
      <c r="J1912" s="756"/>
      <c r="K1912" s="778">
        <f t="shared" si="383"/>
        <v>0</v>
      </c>
      <c r="L1912" s="976"/>
      <c r="M1912" s="736">
        <f t="shared" si="384"/>
        <v>0</v>
      </c>
      <c r="N1912" s="754"/>
      <c r="O1912" s="738">
        <f t="shared" si="385"/>
        <v>0</v>
      </c>
      <c r="P1912" s="757"/>
      <c r="Q1912" s="739">
        <f t="shared" si="386"/>
        <v>0</v>
      </c>
      <c r="R1912" s="757"/>
      <c r="S1912" s="755"/>
      <c r="T1912" s="277"/>
      <c r="U1912" s="758" t="str">
        <f t="shared" si="387"/>
        <v/>
      </c>
      <c r="V1912" s="758" t="str">
        <f t="shared" si="388"/>
        <v>1900</v>
      </c>
      <c r="W1912" s="759"/>
      <c r="X1912" s="771"/>
      <c r="Y1912" s="977"/>
      <c r="Z1912" s="758"/>
      <c r="AA1912" s="758" t="str">
        <f t="shared" si="390"/>
        <v/>
      </c>
      <c r="AB1912" s="758" t="str">
        <f t="shared" si="391"/>
        <v/>
      </c>
      <c r="AC1912" s="758" t="str">
        <f t="shared" si="392"/>
        <v/>
      </c>
      <c r="AD1912" s="758" t="str">
        <f t="shared" si="393"/>
        <v>0</v>
      </c>
      <c r="AE1912" s="760"/>
      <c r="AF1912" s="760"/>
      <c r="AG1912" s="443"/>
      <c r="AH1912" s="443"/>
    </row>
    <row r="1913" spans="1:34">
      <c r="A1913" s="728">
        <f t="shared" si="389"/>
        <v>1906</v>
      </c>
      <c r="B1913" s="77"/>
      <c r="C1913" s="747"/>
      <c r="D1913" s="763" t="str">
        <f t="shared" ref="D1913:D1976" si="394">TEXT(C1913,"mmmm")</f>
        <v>January</v>
      </c>
      <c r="E1913" s="763">
        <f t="shared" ref="E1913:E1976" si="395">DAY(C1913)</f>
        <v>0</v>
      </c>
      <c r="F1913" s="762">
        <f t="shared" ref="F1913:F1976" si="396">YEAR(C1913)</f>
        <v>1900</v>
      </c>
      <c r="G1913" s="747"/>
      <c r="H1913" s="882"/>
      <c r="I1913" s="756"/>
      <c r="J1913" s="756"/>
      <c r="K1913" s="778">
        <f t="shared" ref="K1913:K1976" si="397">+(I1913/1760)*J1913</f>
        <v>0</v>
      </c>
      <c r="L1913" s="976"/>
      <c r="M1913" s="736">
        <f t="shared" ref="M1913:M1976" si="398">HOUR(O1913)</f>
        <v>0</v>
      </c>
      <c r="N1913" s="754"/>
      <c r="O1913" s="738">
        <f t="shared" ref="O1913:O1976" si="399">+N1913</f>
        <v>0</v>
      </c>
      <c r="P1913" s="757"/>
      <c r="Q1913" s="739">
        <f t="shared" ref="Q1913:Q1976" si="400">+P1913-O1913</f>
        <v>0</v>
      </c>
      <c r="R1913" s="757"/>
      <c r="S1913" s="755"/>
      <c r="T1913" s="277"/>
      <c r="U1913" s="758" t="str">
        <f t="shared" si="387"/>
        <v/>
      </c>
      <c r="V1913" s="758" t="str">
        <f t="shared" si="388"/>
        <v>1900</v>
      </c>
      <c r="W1913" s="759"/>
      <c r="X1913" s="771"/>
      <c r="Y1913" s="977"/>
      <c r="Z1913" s="758"/>
      <c r="AA1913" s="758" t="str">
        <f t="shared" si="390"/>
        <v/>
      </c>
      <c r="AB1913" s="758" t="str">
        <f t="shared" si="391"/>
        <v/>
      </c>
      <c r="AC1913" s="758" t="str">
        <f t="shared" si="392"/>
        <v/>
      </c>
      <c r="AD1913" s="758" t="str">
        <f t="shared" si="393"/>
        <v>0</v>
      </c>
      <c r="AE1913" s="760"/>
      <c r="AF1913" s="760"/>
      <c r="AG1913" s="443"/>
      <c r="AH1913" s="443"/>
    </row>
    <row r="1914" spans="1:34">
      <c r="A1914" s="728">
        <f t="shared" si="389"/>
        <v>1907</v>
      </c>
      <c r="B1914" s="77"/>
      <c r="C1914" s="747"/>
      <c r="D1914" s="763" t="str">
        <f t="shared" si="394"/>
        <v>January</v>
      </c>
      <c r="E1914" s="763">
        <f t="shared" si="395"/>
        <v>0</v>
      </c>
      <c r="F1914" s="762">
        <f t="shared" si="396"/>
        <v>1900</v>
      </c>
      <c r="G1914" s="747"/>
      <c r="H1914" s="882"/>
      <c r="I1914" s="756"/>
      <c r="J1914" s="756"/>
      <c r="K1914" s="778">
        <f t="shared" si="397"/>
        <v>0</v>
      </c>
      <c r="L1914" s="976"/>
      <c r="M1914" s="736">
        <f t="shared" si="398"/>
        <v>0</v>
      </c>
      <c r="N1914" s="754"/>
      <c r="O1914" s="738">
        <f t="shared" si="399"/>
        <v>0</v>
      </c>
      <c r="P1914" s="757"/>
      <c r="Q1914" s="739">
        <f t="shared" si="400"/>
        <v>0</v>
      </c>
      <c r="R1914" s="757"/>
      <c r="S1914" s="755"/>
      <c r="T1914" s="277"/>
      <c r="U1914" s="758" t="str">
        <f t="shared" si="387"/>
        <v/>
      </c>
      <c r="V1914" s="758" t="str">
        <f t="shared" si="388"/>
        <v>1900</v>
      </c>
      <c r="W1914" s="759"/>
      <c r="X1914" s="771"/>
      <c r="Y1914" s="977"/>
      <c r="Z1914" s="758"/>
      <c r="AA1914" s="758" t="str">
        <f t="shared" si="390"/>
        <v/>
      </c>
      <c r="AB1914" s="758" t="str">
        <f t="shared" si="391"/>
        <v/>
      </c>
      <c r="AC1914" s="758" t="str">
        <f t="shared" si="392"/>
        <v/>
      </c>
      <c r="AD1914" s="758" t="str">
        <f t="shared" si="393"/>
        <v>0</v>
      </c>
      <c r="AE1914" s="760"/>
      <c r="AF1914" s="760"/>
      <c r="AG1914" s="443"/>
      <c r="AH1914" s="443"/>
    </row>
    <row r="1915" spans="1:34">
      <c r="A1915" s="728">
        <f t="shared" si="389"/>
        <v>1908</v>
      </c>
      <c r="B1915" s="77"/>
      <c r="C1915" s="747"/>
      <c r="D1915" s="763" t="str">
        <f t="shared" si="394"/>
        <v>January</v>
      </c>
      <c r="E1915" s="763">
        <f t="shared" si="395"/>
        <v>0</v>
      </c>
      <c r="F1915" s="762">
        <f t="shared" si="396"/>
        <v>1900</v>
      </c>
      <c r="G1915" s="747"/>
      <c r="H1915" s="882"/>
      <c r="I1915" s="756"/>
      <c r="J1915" s="756"/>
      <c r="K1915" s="778">
        <f t="shared" si="397"/>
        <v>0</v>
      </c>
      <c r="L1915" s="976"/>
      <c r="M1915" s="736">
        <f t="shared" si="398"/>
        <v>0</v>
      </c>
      <c r="N1915" s="754"/>
      <c r="O1915" s="738">
        <f t="shared" si="399"/>
        <v>0</v>
      </c>
      <c r="P1915" s="757"/>
      <c r="Q1915" s="739">
        <f t="shared" si="400"/>
        <v>0</v>
      </c>
      <c r="R1915" s="757"/>
      <c r="S1915" s="755"/>
      <c r="T1915" s="277"/>
      <c r="U1915" s="758" t="str">
        <f t="shared" si="387"/>
        <v/>
      </c>
      <c r="V1915" s="758" t="str">
        <f t="shared" si="388"/>
        <v>1900</v>
      </c>
      <c r="W1915" s="759"/>
      <c r="X1915" s="771"/>
      <c r="Y1915" s="977"/>
      <c r="Z1915" s="758"/>
      <c r="AA1915" s="758" t="str">
        <f t="shared" si="390"/>
        <v/>
      </c>
      <c r="AB1915" s="758" t="str">
        <f t="shared" si="391"/>
        <v/>
      </c>
      <c r="AC1915" s="758" t="str">
        <f t="shared" si="392"/>
        <v/>
      </c>
      <c r="AD1915" s="758" t="str">
        <f t="shared" si="393"/>
        <v>0</v>
      </c>
      <c r="AE1915" s="760"/>
      <c r="AF1915" s="760"/>
      <c r="AG1915" s="443"/>
      <c r="AH1915" s="443"/>
    </row>
    <row r="1916" spans="1:34">
      <c r="A1916" s="728">
        <f t="shared" si="389"/>
        <v>1909</v>
      </c>
      <c r="B1916" s="77"/>
      <c r="C1916" s="747"/>
      <c r="D1916" s="763" t="str">
        <f t="shared" si="394"/>
        <v>January</v>
      </c>
      <c r="E1916" s="763">
        <f t="shared" si="395"/>
        <v>0</v>
      </c>
      <c r="F1916" s="762">
        <f t="shared" si="396"/>
        <v>1900</v>
      </c>
      <c r="G1916" s="747"/>
      <c r="H1916" s="882"/>
      <c r="I1916" s="756"/>
      <c r="J1916" s="756"/>
      <c r="K1916" s="778">
        <f t="shared" si="397"/>
        <v>0</v>
      </c>
      <c r="L1916" s="976"/>
      <c r="M1916" s="736">
        <f t="shared" si="398"/>
        <v>0</v>
      </c>
      <c r="N1916" s="754"/>
      <c r="O1916" s="738">
        <f t="shared" si="399"/>
        <v>0</v>
      </c>
      <c r="P1916" s="757"/>
      <c r="Q1916" s="739">
        <f t="shared" si="400"/>
        <v>0</v>
      </c>
      <c r="R1916" s="757"/>
      <c r="S1916" s="755"/>
      <c r="T1916" s="277"/>
      <c r="U1916" s="758" t="str">
        <f t="shared" si="387"/>
        <v/>
      </c>
      <c r="V1916" s="758" t="str">
        <f t="shared" si="388"/>
        <v>1900</v>
      </c>
      <c r="W1916" s="759"/>
      <c r="X1916" s="771"/>
      <c r="Y1916" s="977"/>
      <c r="Z1916" s="758"/>
      <c r="AA1916" s="758" t="str">
        <f t="shared" si="390"/>
        <v/>
      </c>
      <c r="AB1916" s="758" t="str">
        <f t="shared" si="391"/>
        <v/>
      </c>
      <c r="AC1916" s="758" t="str">
        <f t="shared" si="392"/>
        <v/>
      </c>
      <c r="AD1916" s="758" t="str">
        <f t="shared" si="393"/>
        <v>0</v>
      </c>
      <c r="AE1916" s="760"/>
      <c r="AF1916" s="760"/>
      <c r="AG1916" s="443"/>
      <c r="AH1916" s="443"/>
    </row>
    <row r="1917" spans="1:34">
      <c r="A1917" s="728">
        <f t="shared" si="389"/>
        <v>1910</v>
      </c>
      <c r="B1917" s="77"/>
      <c r="C1917" s="747"/>
      <c r="D1917" s="763" t="str">
        <f t="shared" si="394"/>
        <v>January</v>
      </c>
      <c r="E1917" s="763">
        <f t="shared" si="395"/>
        <v>0</v>
      </c>
      <c r="F1917" s="762">
        <f t="shared" si="396"/>
        <v>1900</v>
      </c>
      <c r="G1917" s="747"/>
      <c r="H1917" s="882"/>
      <c r="I1917" s="756"/>
      <c r="J1917" s="756"/>
      <c r="K1917" s="778">
        <f t="shared" si="397"/>
        <v>0</v>
      </c>
      <c r="L1917" s="976"/>
      <c r="M1917" s="736">
        <f t="shared" si="398"/>
        <v>0</v>
      </c>
      <c r="N1917" s="754"/>
      <c r="O1917" s="738">
        <f t="shared" si="399"/>
        <v>0</v>
      </c>
      <c r="P1917" s="757"/>
      <c r="Q1917" s="739">
        <f t="shared" si="400"/>
        <v>0</v>
      </c>
      <c r="R1917" s="757"/>
      <c r="S1917" s="755"/>
      <c r="T1917" s="277"/>
      <c r="U1917" s="758" t="str">
        <f t="shared" si="387"/>
        <v/>
      </c>
      <c r="V1917" s="758" t="str">
        <f t="shared" si="388"/>
        <v>1900</v>
      </c>
      <c r="W1917" s="759"/>
      <c r="X1917" s="771"/>
      <c r="Y1917" s="977"/>
      <c r="Z1917" s="758"/>
      <c r="AA1917" s="758" t="str">
        <f t="shared" si="390"/>
        <v/>
      </c>
      <c r="AB1917" s="758" t="str">
        <f t="shared" si="391"/>
        <v/>
      </c>
      <c r="AC1917" s="758" t="str">
        <f t="shared" si="392"/>
        <v/>
      </c>
      <c r="AD1917" s="758" t="str">
        <f t="shared" si="393"/>
        <v>0</v>
      </c>
      <c r="AE1917" s="760"/>
      <c r="AF1917" s="760"/>
      <c r="AG1917" s="443"/>
      <c r="AH1917" s="443"/>
    </row>
    <row r="1918" spans="1:34">
      <c r="A1918" s="728">
        <f t="shared" si="389"/>
        <v>1911</v>
      </c>
      <c r="B1918" s="77"/>
      <c r="C1918" s="747"/>
      <c r="D1918" s="763" t="str">
        <f t="shared" si="394"/>
        <v>January</v>
      </c>
      <c r="E1918" s="763">
        <f t="shared" si="395"/>
        <v>0</v>
      </c>
      <c r="F1918" s="762">
        <f t="shared" si="396"/>
        <v>1900</v>
      </c>
      <c r="G1918" s="747"/>
      <c r="H1918" s="882"/>
      <c r="I1918" s="756"/>
      <c r="J1918" s="756"/>
      <c r="K1918" s="778">
        <f t="shared" si="397"/>
        <v>0</v>
      </c>
      <c r="L1918" s="976"/>
      <c r="M1918" s="736">
        <f t="shared" si="398"/>
        <v>0</v>
      </c>
      <c r="N1918" s="754"/>
      <c r="O1918" s="738">
        <f t="shared" si="399"/>
        <v>0</v>
      </c>
      <c r="P1918" s="757"/>
      <c r="Q1918" s="739">
        <f t="shared" si="400"/>
        <v>0</v>
      </c>
      <c r="R1918" s="757"/>
      <c r="S1918" s="755"/>
      <c r="T1918" s="277"/>
      <c r="U1918" s="758" t="str">
        <f t="shared" si="387"/>
        <v/>
      </c>
      <c r="V1918" s="758" t="str">
        <f t="shared" si="388"/>
        <v>1900</v>
      </c>
      <c r="W1918" s="759"/>
      <c r="X1918" s="771"/>
      <c r="Y1918" s="977"/>
      <c r="Z1918" s="758"/>
      <c r="AA1918" s="758" t="str">
        <f t="shared" si="390"/>
        <v/>
      </c>
      <c r="AB1918" s="758" t="str">
        <f t="shared" si="391"/>
        <v/>
      </c>
      <c r="AC1918" s="758" t="str">
        <f t="shared" si="392"/>
        <v/>
      </c>
      <c r="AD1918" s="758" t="str">
        <f t="shared" si="393"/>
        <v>0</v>
      </c>
      <c r="AE1918" s="760"/>
      <c r="AF1918" s="760"/>
      <c r="AG1918" s="443"/>
      <c r="AH1918" s="443"/>
    </row>
    <row r="1919" spans="1:34">
      <c r="A1919" s="728">
        <f t="shared" si="389"/>
        <v>1912</v>
      </c>
      <c r="B1919" s="77"/>
      <c r="C1919" s="747"/>
      <c r="D1919" s="763" t="str">
        <f t="shared" si="394"/>
        <v>January</v>
      </c>
      <c r="E1919" s="763">
        <f t="shared" si="395"/>
        <v>0</v>
      </c>
      <c r="F1919" s="762">
        <f t="shared" si="396"/>
        <v>1900</v>
      </c>
      <c r="G1919" s="747"/>
      <c r="H1919" s="882"/>
      <c r="I1919" s="756"/>
      <c r="J1919" s="756"/>
      <c r="K1919" s="778">
        <f t="shared" si="397"/>
        <v>0</v>
      </c>
      <c r="L1919" s="976"/>
      <c r="M1919" s="736">
        <f t="shared" si="398"/>
        <v>0</v>
      </c>
      <c r="N1919" s="754"/>
      <c r="O1919" s="738">
        <f t="shared" si="399"/>
        <v>0</v>
      </c>
      <c r="P1919" s="757"/>
      <c r="Q1919" s="739">
        <f t="shared" si="400"/>
        <v>0</v>
      </c>
      <c r="R1919" s="757"/>
      <c r="S1919" s="755"/>
      <c r="T1919" s="277"/>
      <c r="U1919" s="758" t="str">
        <f t="shared" si="387"/>
        <v/>
      </c>
      <c r="V1919" s="758" t="str">
        <f t="shared" si="388"/>
        <v>1900</v>
      </c>
      <c r="W1919" s="759"/>
      <c r="X1919" s="771"/>
      <c r="Y1919" s="977"/>
      <c r="Z1919" s="758"/>
      <c r="AA1919" s="758" t="str">
        <f t="shared" si="390"/>
        <v/>
      </c>
      <c r="AB1919" s="758" t="str">
        <f t="shared" si="391"/>
        <v/>
      </c>
      <c r="AC1919" s="758" t="str">
        <f t="shared" si="392"/>
        <v/>
      </c>
      <c r="AD1919" s="758" t="str">
        <f t="shared" si="393"/>
        <v>0</v>
      </c>
      <c r="AE1919" s="760"/>
      <c r="AF1919" s="760"/>
      <c r="AG1919" s="443"/>
      <c r="AH1919" s="443"/>
    </row>
    <row r="1920" spans="1:34">
      <c r="A1920" s="728">
        <f t="shared" si="389"/>
        <v>1913</v>
      </c>
      <c r="B1920" s="77"/>
      <c r="C1920" s="747"/>
      <c r="D1920" s="763" t="str">
        <f t="shared" si="394"/>
        <v>January</v>
      </c>
      <c r="E1920" s="763">
        <f t="shared" si="395"/>
        <v>0</v>
      </c>
      <c r="F1920" s="762">
        <f t="shared" si="396"/>
        <v>1900</v>
      </c>
      <c r="G1920" s="747"/>
      <c r="H1920" s="882"/>
      <c r="I1920" s="756"/>
      <c r="J1920" s="756"/>
      <c r="K1920" s="778">
        <f t="shared" si="397"/>
        <v>0</v>
      </c>
      <c r="L1920" s="976"/>
      <c r="M1920" s="736">
        <f t="shared" si="398"/>
        <v>0</v>
      </c>
      <c r="N1920" s="754"/>
      <c r="O1920" s="738">
        <f t="shared" si="399"/>
        <v>0</v>
      </c>
      <c r="P1920" s="757"/>
      <c r="Q1920" s="739">
        <f t="shared" si="400"/>
        <v>0</v>
      </c>
      <c r="R1920" s="757"/>
      <c r="S1920" s="755"/>
      <c r="T1920" s="277"/>
      <c r="U1920" s="758" t="str">
        <f t="shared" si="387"/>
        <v/>
      </c>
      <c r="V1920" s="758" t="str">
        <f t="shared" si="388"/>
        <v>1900</v>
      </c>
      <c r="W1920" s="759"/>
      <c r="X1920" s="771"/>
      <c r="Y1920" s="977"/>
      <c r="Z1920" s="758"/>
      <c r="AA1920" s="758" t="str">
        <f t="shared" si="390"/>
        <v/>
      </c>
      <c r="AB1920" s="758" t="str">
        <f t="shared" si="391"/>
        <v/>
      </c>
      <c r="AC1920" s="758" t="str">
        <f t="shared" si="392"/>
        <v/>
      </c>
      <c r="AD1920" s="758" t="str">
        <f t="shared" si="393"/>
        <v>0</v>
      </c>
      <c r="AE1920" s="760"/>
      <c r="AF1920" s="760"/>
      <c r="AG1920" s="443"/>
      <c r="AH1920" s="443"/>
    </row>
    <row r="1921" spans="1:34">
      <c r="A1921" s="728">
        <f t="shared" si="389"/>
        <v>1914</v>
      </c>
      <c r="B1921" s="77"/>
      <c r="C1921" s="747"/>
      <c r="D1921" s="763" t="str">
        <f t="shared" si="394"/>
        <v>January</v>
      </c>
      <c r="E1921" s="763">
        <f t="shared" si="395"/>
        <v>0</v>
      </c>
      <c r="F1921" s="762">
        <f t="shared" si="396"/>
        <v>1900</v>
      </c>
      <c r="G1921" s="747"/>
      <c r="H1921" s="882"/>
      <c r="I1921" s="756"/>
      <c r="J1921" s="756"/>
      <c r="K1921" s="778">
        <f t="shared" si="397"/>
        <v>0</v>
      </c>
      <c r="L1921" s="976"/>
      <c r="M1921" s="736">
        <f t="shared" si="398"/>
        <v>0</v>
      </c>
      <c r="N1921" s="754"/>
      <c r="O1921" s="738">
        <f t="shared" si="399"/>
        <v>0</v>
      </c>
      <c r="P1921" s="757"/>
      <c r="Q1921" s="739">
        <f t="shared" si="400"/>
        <v>0</v>
      </c>
      <c r="R1921" s="757"/>
      <c r="S1921" s="755"/>
      <c r="T1921" s="277"/>
      <c r="U1921" s="758" t="str">
        <f t="shared" si="387"/>
        <v/>
      </c>
      <c r="V1921" s="758" t="str">
        <f t="shared" si="388"/>
        <v>1900</v>
      </c>
      <c r="W1921" s="759"/>
      <c r="X1921" s="771"/>
      <c r="Y1921" s="977"/>
      <c r="Z1921" s="758"/>
      <c r="AA1921" s="758" t="str">
        <f t="shared" si="390"/>
        <v/>
      </c>
      <c r="AB1921" s="758" t="str">
        <f t="shared" si="391"/>
        <v/>
      </c>
      <c r="AC1921" s="758" t="str">
        <f t="shared" si="392"/>
        <v/>
      </c>
      <c r="AD1921" s="758" t="str">
        <f t="shared" si="393"/>
        <v>0</v>
      </c>
      <c r="AE1921" s="760"/>
      <c r="AF1921" s="760"/>
      <c r="AG1921" s="443"/>
      <c r="AH1921" s="443"/>
    </row>
    <row r="1922" spans="1:34">
      <c r="A1922" s="728">
        <f t="shared" si="389"/>
        <v>1915</v>
      </c>
      <c r="B1922" s="77"/>
      <c r="C1922" s="747"/>
      <c r="D1922" s="763" t="str">
        <f t="shared" si="394"/>
        <v>January</v>
      </c>
      <c r="E1922" s="763">
        <f t="shared" si="395"/>
        <v>0</v>
      </c>
      <c r="F1922" s="762">
        <f t="shared" si="396"/>
        <v>1900</v>
      </c>
      <c r="G1922" s="747"/>
      <c r="H1922" s="882"/>
      <c r="I1922" s="756"/>
      <c r="J1922" s="756"/>
      <c r="K1922" s="778">
        <f t="shared" si="397"/>
        <v>0</v>
      </c>
      <c r="L1922" s="976"/>
      <c r="M1922" s="736">
        <f t="shared" si="398"/>
        <v>0</v>
      </c>
      <c r="N1922" s="754"/>
      <c r="O1922" s="738">
        <f t="shared" si="399"/>
        <v>0</v>
      </c>
      <c r="P1922" s="757"/>
      <c r="Q1922" s="739">
        <f t="shared" si="400"/>
        <v>0</v>
      </c>
      <c r="R1922" s="757"/>
      <c r="S1922" s="755"/>
      <c r="T1922" s="277"/>
      <c r="U1922" s="758" t="str">
        <f t="shared" si="387"/>
        <v/>
      </c>
      <c r="V1922" s="758" t="str">
        <f t="shared" si="388"/>
        <v>1900</v>
      </c>
      <c r="W1922" s="759"/>
      <c r="X1922" s="771"/>
      <c r="Y1922" s="977"/>
      <c r="Z1922" s="758"/>
      <c r="AA1922" s="758" t="str">
        <f t="shared" si="390"/>
        <v/>
      </c>
      <c r="AB1922" s="758" t="str">
        <f t="shared" si="391"/>
        <v/>
      </c>
      <c r="AC1922" s="758" t="str">
        <f t="shared" si="392"/>
        <v/>
      </c>
      <c r="AD1922" s="758" t="str">
        <f t="shared" si="393"/>
        <v>0</v>
      </c>
      <c r="AE1922" s="760"/>
      <c r="AF1922" s="760"/>
      <c r="AG1922" s="443"/>
      <c r="AH1922" s="443"/>
    </row>
    <row r="1923" spans="1:34">
      <c r="A1923" s="728">
        <f t="shared" si="389"/>
        <v>1916</v>
      </c>
      <c r="B1923" s="77"/>
      <c r="C1923" s="747"/>
      <c r="D1923" s="763" t="str">
        <f t="shared" si="394"/>
        <v>January</v>
      </c>
      <c r="E1923" s="763">
        <f t="shared" si="395"/>
        <v>0</v>
      </c>
      <c r="F1923" s="762">
        <f t="shared" si="396"/>
        <v>1900</v>
      </c>
      <c r="G1923" s="747"/>
      <c r="H1923" s="882"/>
      <c r="I1923" s="756"/>
      <c r="J1923" s="756"/>
      <c r="K1923" s="778">
        <f t="shared" si="397"/>
        <v>0</v>
      </c>
      <c r="L1923" s="976"/>
      <c r="M1923" s="736">
        <f t="shared" si="398"/>
        <v>0</v>
      </c>
      <c r="N1923" s="754"/>
      <c r="O1923" s="738">
        <f t="shared" si="399"/>
        <v>0</v>
      </c>
      <c r="P1923" s="757"/>
      <c r="Q1923" s="739">
        <f t="shared" si="400"/>
        <v>0</v>
      </c>
      <c r="R1923" s="757"/>
      <c r="S1923" s="755"/>
      <c r="T1923" s="277"/>
      <c r="U1923" s="758" t="str">
        <f t="shared" si="387"/>
        <v/>
      </c>
      <c r="V1923" s="758" t="str">
        <f t="shared" si="388"/>
        <v>1900</v>
      </c>
      <c r="W1923" s="759"/>
      <c r="X1923" s="771"/>
      <c r="Y1923" s="977"/>
      <c r="Z1923" s="758"/>
      <c r="AA1923" s="758" t="str">
        <f t="shared" si="390"/>
        <v/>
      </c>
      <c r="AB1923" s="758" t="str">
        <f t="shared" si="391"/>
        <v/>
      </c>
      <c r="AC1923" s="758" t="str">
        <f t="shared" si="392"/>
        <v/>
      </c>
      <c r="AD1923" s="758" t="str">
        <f t="shared" si="393"/>
        <v>0</v>
      </c>
      <c r="AE1923" s="760"/>
      <c r="AF1923" s="760"/>
      <c r="AG1923" s="443"/>
      <c r="AH1923" s="443"/>
    </row>
    <row r="1924" spans="1:34">
      <c r="A1924" s="728">
        <f t="shared" si="389"/>
        <v>1917</v>
      </c>
      <c r="B1924" s="77"/>
      <c r="C1924" s="747"/>
      <c r="D1924" s="763" t="str">
        <f t="shared" si="394"/>
        <v>January</v>
      </c>
      <c r="E1924" s="763">
        <f t="shared" si="395"/>
        <v>0</v>
      </c>
      <c r="F1924" s="762">
        <f t="shared" si="396"/>
        <v>1900</v>
      </c>
      <c r="G1924" s="747"/>
      <c r="H1924" s="882"/>
      <c r="I1924" s="756"/>
      <c r="J1924" s="756"/>
      <c r="K1924" s="778">
        <f t="shared" si="397"/>
        <v>0</v>
      </c>
      <c r="L1924" s="976"/>
      <c r="M1924" s="736">
        <f t="shared" si="398"/>
        <v>0</v>
      </c>
      <c r="N1924" s="754"/>
      <c r="O1924" s="738">
        <f t="shared" si="399"/>
        <v>0</v>
      </c>
      <c r="P1924" s="757"/>
      <c r="Q1924" s="739">
        <f t="shared" si="400"/>
        <v>0</v>
      </c>
      <c r="R1924" s="757"/>
      <c r="S1924" s="755"/>
      <c r="T1924" s="277"/>
      <c r="U1924" s="758" t="str">
        <f t="shared" si="387"/>
        <v/>
      </c>
      <c r="V1924" s="758" t="str">
        <f t="shared" si="388"/>
        <v>1900</v>
      </c>
      <c r="W1924" s="759"/>
      <c r="X1924" s="771"/>
      <c r="Y1924" s="977"/>
      <c r="Z1924" s="758"/>
      <c r="AA1924" s="758" t="str">
        <f t="shared" si="390"/>
        <v/>
      </c>
      <c r="AB1924" s="758" t="str">
        <f t="shared" si="391"/>
        <v/>
      </c>
      <c r="AC1924" s="758" t="str">
        <f t="shared" si="392"/>
        <v/>
      </c>
      <c r="AD1924" s="758" t="str">
        <f t="shared" si="393"/>
        <v>0</v>
      </c>
      <c r="AE1924" s="760"/>
      <c r="AF1924" s="760"/>
      <c r="AG1924" s="443"/>
      <c r="AH1924" s="443"/>
    </row>
    <row r="1925" spans="1:34">
      <c r="A1925" s="728">
        <f t="shared" si="389"/>
        <v>1918</v>
      </c>
      <c r="B1925" s="77"/>
      <c r="C1925" s="747"/>
      <c r="D1925" s="763" t="str">
        <f t="shared" si="394"/>
        <v>January</v>
      </c>
      <c r="E1925" s="763">
        <f t="shared" si="395"/>
        <v>0</v>
      </c>
      <c r="F1925" s="762">
        <f t="shared" si="396"/>
        <v>1900</v>
      </c>
      <c r="G1925" s="747"/>
      <c r="H1925" s="882"/>
      <c r="I1925" s="756"/>
      <c r="J1925" s="756"/>
      <c r="K1925" s="778">
        <f t="shared" si="397"/>
        <v>0</v>
      </c>
      <c r="L1925" s="976"/>
      <c r="M1925" s="736">
        <f t="shared" si="398"/>
        <v>0</v>
      </c>
      <c r="N1925" s="754"/>
      <c r="O1925" s="738">
        <f t="shared" si="399"/>
        <v>0</v>
      </c>
      <c r="P1925" s="757"/>
      <c r="Q1925" s="739">
        <f t="shared" si="400"/>
        <v>0</v>
      </c>
      <c r="R1925" s="757"/>
      <c r="S1925" s="755"/>
      <c r="T1925" s="277"/>
      <c r="U1925" s="758" t="str">
        <f t="shared" si="387"/>
        <v/>
      </c>
      <c r="V1925" s="758" t="str">
        <f t="shared" si="388"/>
        <v>1900</v>
      </c>
      <c r="W1925" s="759"/>
      <c r="X1925" s="771"/>
      <c r="Y1925" s="977"/>
      <c r="Z1925" s="758"/>
      <c r="AA1925" s="758" t="str">
        <f t="shared" si="390"/>
        <v/>
      </c>
      <c r="AB1925" s="758" t="str">
        <f t="shared" si="391"/>
        <v/>
      </c>
      <c r="AC1925" s="758" t="str">
        <f t="shared" si="392"/>
        <v/>
      </c>
      <c r="AD1925" s="758" t="str">
        <f t="shared" si="393"/>
        <v>0</v>
      </c>
      <c r="AE1925" s="760"/>
      <c r="AF1925" s="760"/>
      <c r="AG1925" s="443"/>
      <c r="AH1925" s="443"/>
    </row>
    <row r="1926" spans="1:34">
      <c r="A1926" s="728">
        <f t="shared" si="389"/>
        <v>1919</v>
      </c>
      <c r="B1926" s="77"/>
      <c r="C1926" s="747"/>
      <c r="D1926" s="763" t="str">
        <f t="shared" si="394"/>
        <v>January</v>
      </c>
      <c r="E1926" s="763">
        <f t="shared" si="395"/>
        <v>0</v>
      </c>
      <c r="F1926" s="762">
        <f t="shared" si="396"/>
        <v>1900</v>
      </c>
      <c r="G1926" s="747"/>
      <c r="H1926" s="882"/>
      <c r="I1926" s="756"/>
      <c r="J1926" s="756"/>
      <c r="K1926" s="778">
        <f t="shared" si="397"/>
        <v>0</v>
      </c>
      <c r="L1926" s="976"/>
      <c r="M1926" s="736">
        <f t="shared" si="398"/>
        <v>0</v>
      </c>
      <c r="N1926" s="754"/>
      <c r="O1926" s="738">
        <f t="shared" si="399"/>
        <v>0</v>
      </c>
      <c r="P1926" s="757"/>
      <c r="Q1926" s="739">
        <f t="shared" si="400"/>
        <v>0</v>
      </c>
      <c r="R1926" s="757"/>
      <c r="S1926" s="755"/>
      <c r="T1926" s="277"/>
      <c r="U1926" s="758" t="str">
        <f t="shared" si="387"/>
        <v/>
      </c>
      <c r="V1926" s="758" t="str">
        <f t="shared" si="388"/>
        <v>1900</v>
      </c>
      <c r="W1926" s="759"/>
      <c r="X1926" s="771"/>
      <c r="Y1926" s="977"/>
      <c r="Z1926" s="758"/>
      <c r="AA1926" s="758" t="str">
        <f t="shared" si="390"/>
        <v/>
      </c>
      <c r="AB1926" s="758" t="str">
        <f t="shared" si="391"/>
        <v/>
      </c>
      <c r="AC1926" s="758" t="str">
        <f t="shared" si="392"/>
        <v/>
      </c>
      <c r="AD1926" s="758" t="str">
        <f t="shared" si="393"/>
        <v>0</v>
      </c>
      <c r="AE1926" s="760"/>
      <c r="AF1926" s="760"/>
      <c r="AG1926" s="443"/>
      <c r="AH1926" s="443"/>
    </row>
    <row r="1927" spans="1:34">
      <c r="A1927" s="728">
        <f t="shared" si="389"/>
        <v>1920</v>
      </c>
      <c r="B1927" s="77"/>
      <c r="C1927" s="747"/>
      <c r="D1927" s="763" t="str">
        <f t="shared" si="394"/>
        <v>January</v>
      </c>
      <c r="E1927" s="763">
        <f t="shared" si="395"/>
        <v>0</v>
      </c>
      <c r="F1927" s="762">
        <f t="shared" si="396"/>
        <v>1900</v>
      </c>
      <c r="G1927" s="747"/>
      <c r="H1927" s="882"/>
      <c r="I1927" s="756"/>
      <c r="J1927" s="756"/>
      <c r="K1927" s="778">
        <f t="shared" si="397"/>
        <v>0</v>
      </c>
      <c r="L1927" s="976"/>
      <c r="M1927" s="736">
        <f t="shared" si="398"/>
        <v>0</v>
      </c>
      <c r="N1927" s="754"/>
      <c r="O1927" s="738">
        <f t="shared" si="399"/>
        <v>0</v>
      </c>
      <c r="P1927" s="757"/>
      <c r="Q1927" s="739">
        <f t="shared" si="400"/>
        <v>0</v>
      </c>
      <c r="R1927" s="757"/>
      <c r="S1927" s="755"/>
      <c r="T1927" s="277"/>
      <c r="U1927" s="758" t="str">
        <f t="shared" ref="U1927:U1990" si="401">CONCATENATE(G1927,H1927)</f>
        <v/>
      </c>
      <c r="V1927" s="758" t="str">
        <f t="shared" ref="V1927:V1990" si="402">CONCATENATE(F1927,H1927)</f>
        <v>1900</v>
      </c>
      <c r="W1927" s="759"/>
      <c r="X1927" s="771"/>
      <c r="Y1927" s="977"/>
      <c r="Z1927" s="758"/>
      <c r="AA1927" s="758" t="str">
        <f t="shared" si="390"/>
        <v/>
      </c>
      <c r="AB1927" s="758" t="str">
        <f t="shared" si="391"/>
        <v/>
      </c>
      <c r="AC1927" s="758" t="str">
        <f t="shared" si="392"/>
        <v/>
      </c>
      <c r="AD1927" s="758" t="str">
        <f t="shared" si="393"/>
        <v>0</v>
      </c>
      <c r="AE1927" s="760"/>
      <c r="AF1927" s="760"/>
      <c r="AG1927" s="443"/>
      <c r="AH1927" s="443"/>
    </row>
    <row r="1928" spans="1:34">
      <c r="A1928" s="728">
        <f t="shared" si="389"/>
        <v>1921</v>
      </c>
      <c r="B1928" s="77"/>
      <c r="C1928" s="747"/>
      <c r="D1928" s="763" t="str">
        <f t="shared" si="394"/>
        <v>January</v>
      </c>
      <c r="E1928" s="763">
        <f t="shared" si="395"/>
        <v>0</v>
      </c>
      <c r="F1928" s="762">
        <f t="shared" si="396"/>
        <v>1900</v>
      </c>
      <c r="G1928" s="747"/>
      <c r="H1928" s="882"/>
      <c r="I1928" s="756"/>
      <c r="J1928" s="756"/>
      <c r="K1928" s="778">
        <f t="shared" si="397"/>
        <v>0</v>
      </c>
      <c r="L1928" s="976"/>
      <c r="M1928" s="736">
        <f t="shared" si="398"/>
        <v>0</v>
      </c>
      <c r="N1928" s="754"/>
      <c r="O1928" s="738">
        <f t="shared" si="399"/>
        <v>0</v>
      </c>
      <c r="P1928" s="757"/>
      <c r="Q1928" s="739">
        <f t="shared" si="400"/>
        <v>0</v>
      </c>
      <c r="R1928" s="757"/>
      <c r="S1928" s="755"/>
      <c r="T1928" s="277"/>
      <c r="U1928" s="758" t="str">
        <f t="shared" si="401"/>
        <v/>
      </c>
      <c r="V1928" s="758" t="str">
        <f t="shared" si="402"/>
        <v>1900</v>
      </c>
      <c r="W1928" s="759"/>
      <c r="X1928" s="771"/>
      <c r="Y1928" s="977"/>
      <c r="Z1928" s="758"/>
      <c r="AA1928" s="758" t="str">
        <f t="shared" si="390"/>
        <v/>
      </c>
      <c r="AB1928" s="758" t="str">
        <f t="shared" si="391"/>
        <v/>
      </c>
      <c r="AC1928" s="758" t="str">
        <f t="shared" si="392"/>
        <v/>
      </c>
      <c r="AD1928" s="758" t="str">
        <f t="shared" si="393"/>
        <v>0</v>
      </c>
      <c r="AE1928" s="760"/>
      <c r="AF1928" s="760"/>
      <c r="AG1928" s="443"/>
      <c r="AH1928" s="443"/>
    </row>
    <row r="1929" spans="1:34">
      <c r="A1929" s="728">
        <f t="shared" si="389"/>
        <v>1922</v>
      </c>
      <c r="B1929" s="77"/>
      <c r="C1929" s="747"/>
      <c r="D1929" s="763" t="str">
        <f t="shared" si="394"/>
        <v>January</v>
      </c>
      <c r="E1929" s="763">
        <f t="shared" si="395"/>
        <v>0</v>
      </c>
      <c r="F1929" s="762">
        <f t="shared" si="396"/>
        <v>1900</v>
      </c>
      <c r="G1929" s="747"/>
      <c r="H1929" s="882"/>
      <c r="I1929" s="756"/>
      <c r="J1929" s="756"/>
      <c r="K1929" s="778">
        <f t="shared" si="397"/>
        <v>0</v>
      </c>
      <c r="L1929" s="976"/>
      <c r="M1929" s="736">
        <f t="shared" si="398"/>
        <v>0</v>
      </c>
      <c r="N1929" s="754"/>
      <c r="O1929" s="738">
        <f t="shared" si="399"/>
        <v>0</v>
      </c>
      <c r="P1929" s="757"/>
      <c r="Q1929" s="739">
        <f t="shared" si="400"/>
        <v>0</v>
      </c>
      <c r="R1929" s="757"/>
      <c r="S1929" s="755"/>
      <c r="T1929" s="277"/>
      <c r="U1929" s="758" t="str">
        <f t="shared" si="401"/>
        <v/>
      </c>
      <c r="V1929" s="758" t="str">
        <f t="shared" si="402"/>
        <v>1900</v>
      </c>
      <c r="W1929" s="759"/>
      <c r="X1929" s="771"/>
      <c r="Y1929" s="977"/>
      <c r="Z1929" s="758"/>
      <c r="AA1929" s="758" t="str">
        <f t="shared" si="390"/>
        <v/>
      </c>
      <c r="AB1929" s="758" t="str">
        <f t="shared" si="391"/>
        <v/>
      </c>
      <c r="AC1929" s="758" t="str">
        <f t="shared" si="392"/>
        <v/>
      </c>
      <c r="AD1929" s="758" t="str">
        <f t="shared" si="393"/>
        <v>0</v>
      </c>
      <c r="AE1929" s="760"/>
      <c r="AF1929" s="760"/>
      <c r="AG1929" s="443"/>
      <c r="AH1929" s="443"/>
    </row>
    <row r="1930" spans="1:34">
      <c r="A1930" s="728">
        <f t="shared" si="389"/>
        <v>1923</v>
      </c>
      <c r="B1930" s="77"/>
      <c r="C1930" s="747"/>
      <c r="D1930" s="763" t="str">
        <f t="shared" si="394"/>
        <v>January</v>
      </c>
      <c r="E1930" s="763">
        <f t="shared" si="395"/>
        <v>0</v>
      </c>
      <c r="F1930" s="762">
        <f t="shared" si="396"/>
        <v>1900</v>
      </c>
      <c r="G1930" s="747"/>
      <c r="H1930" s="882"/>
      <c r="I1930" s="756"/>
      <c r="J1930" s="756"/>
      <c r="K1930" s="778">
        <f t="shared" si="397"/>
        <v>0</v>
      </c>
      <c r="L1930" s="976"/>
      <c r="M1930" s="736">
        <f t="shared" si="398"/>
        <v>0</v>
      </c>
      <c r="N1930" s="754"/>
      <c r="O1930" s="738">
        <f t="shared" si="399"/>
        <v>0</v>
      </c>
      <c r="P1930" s="757"/>
      <c r="Q1930" s="739">
        <f t="shared" si="400"/>
        <v>0</v>
      </c>
      <c r="R1930" s="757"/>
      <c r="S1930" s="755"/>
      <c r="T1930" s="277"/>
      <c r="U1930" s="758" t="str">
        <f t="shared" si="401"/>
        <v/>
      </c>
      <c r="V1930" s="758" t="str">
        <f t="shared" si="402"/>
        <v>1900</v>
      </c>
      <c r="W1930" s="759"/>
      <c r="X1930" s="771"/>
      <c r="Y1930" s="977"/>
      <c r="Z1930" s="758"/>
      <c r="AA1930" s="758" t="str">
        <f t="shared" si="390"/>
        <v/>
      </c>
      <c r="AB1930" s="758" t="str">
        <f t="shared" si="391"/>
        <v/>
      </c>
      <c r="AC1930" s="758" t="str">
        <f t="shared" si="392"/>
        <v/>
      </c>
      <c r="AD1930" s="758" t="str">
        <f t="shared" si="393"/>
        <v>0</v>
      </c>
      <c r="AE1930" s="760"/>
      <c r="AF1930" s="760"/>
      <c r="AG1930" s="443"/>
      <c r="AH1930" s="443"/>
    </row>
    <row r="1931" spans="1:34">
      <c r="A1931" s="728">
        <f t="shared" ref="A1931:A1994" si="403">+A1930+1</f>
        <v>1924</v>
      </c>
      <c r="B1931" s="77"/>
      <c r="C1931" s="747"/>
      <c r="D1931" s="763" t="str">
        <f t="shared" si="394"/>
        <v>January</v>
      </c>
      <c r="E1931" s="763">
        <f t="shared" si="395"/>
        <v>0</v>
      </c>
      <c r="F1931" s="762">
        <f t="shared" si="396"/>
        <v>1900</v>
      </c>
      <c r="G1931" s="747"/>
      <c r="H1931" s="882"/>
      <c r="I1931" s="756"/>
      <c r="J1931" s="756"/>
      <c r="K1931" s="778">
        <f t="shared" si="397"/>
        <v>0</v>
      </c>
      <c r="L1931" s="976"/>
      <c r="M1931" s="736">
        <f t="shared" si="398"/>
        <v>0</v>
      </c>
      <c r="N1931" s="754"/>
      <c r="O1931" s="738">
        <f t="shared" si="399"/>
        <v>0</v>
      </c>
      <c r="P1931" s="757"/>
      <c r="Q1931" s="739">
        <f t="shared" si="400"/>
        <v>0</v>
      </c>
      <c r="R1931" s="757"/>
      <c r="S1931" s="755"/>
      <c r="T1931" s="277"/>
      <c r="U1931" s="758" t="str">
        <f t="shared" si="401"/>
        <v/>
      </c>
      <c r="V1931" s="758" t="str">
        <f t="shared" si="402"/>
        <v>1900</v>
      </c>
      <c r="W1931" s="759"/>
      <c r="X1931" s="771"/>
      <c r="Y1931" s="977"/>
      <c r="Z1931" s="758"/>
      <c r="AA1931" s="758" t="str">
        <f t="shared" si="390"/>
        <v/>
      </c>
      <c r="AB1931" s="758" t="str">
        <f t="shared" si="391"/>
        <v/>
      </c>
      <c r="AC1931" s="758" t="str">
        <f t="shared" si="392"/>
        <v/>
      </c>
      <c r="AD1931" s="758" t="str">
        <f t="shared" si="393"/>
        <v>0</v>
      </c>
      <c r="AE1931" s="760"/>
      <c r="AF1931" s="760"/>
      <c r="AG1931" s="443"/>
      <c r="AH1931" s="443"/>
    </row>
    <row r="1932" spans="1:34">
      <c r="A1932" s="728">
        <f t="shared" si="403"/>
        <v>1925</v>
      </c>
      <c r="B1932" s="77"/>
      <c r="C1932" s="747"/>
      <c r="D1932" s="763" t="str">
        <f t="shared" si="394"/>
        <v>January</v>
      </c>
      <c r="E1932" s="763">
        <f t="shared" si="395"/>
        <v>0</v>
      </c>
      <c r="F1932" s="762">
        <f t="shared" si="396"/>
        <v>1900</v>
      </c>
      <c r="G1932" s="747"/>
      <c r="H1932" s="882"/>
      <c r="I1932" s="756"/>
      <c r="J1932" s="756"/>
      <c r="K1932" s="778">
        <f t="shared" si="397"/>
        <v>0</v>
      </c>
      <c r="L1932" s="976"/>
      <c r="M1932" s="736">
        <f t="shared" si="398"/>
        <v>0</v>
      </c>
      <c r="N1932" s="754"/>
      <c r="O1932" s="738">
        <f t="shared" si="399"/>
        <v>0</v>
      </c>
      <c r="P1932" s="757"/>
      <c r="Q1932" s="739">
        <f t="shared" si="400"/>
        <v>0</v>
      </c>
      <c r="R1932" s="757"/>
      <c r="S1932" s="755"/>
      <c r="T1932" s="277"/>
      <c r="U1932" s="758" t="str">
        <f t="shared" si="401"/>
        <v/>
      </c>
      <c r="V1932" s="758" t="str">
        <f t="shared" si="402"/>
        <v>1900</v>
      </c>
      <c r="W1932" s="759"/>
      <c r="X1932" s="771"/>
      <c r="Y1932" s="977"/>
      <c r="Z1932" s="758"/>
      <c r="AA1932" s="758" t="str">
        <f t="shared" si="390"/>
        <v/>
      </c>
      <c r="AB1932" s="758" t="str">
        <f t="shared" si="391"/>
        <v/>
      </c>
      <c r="AC1932" s="758" t="str">
        <f t="shared" si="392"/>
        <v/>
      </c>
      <c r="AD1932" s="758" t="str">
        <f t="shared" si="393"/>
        <v>0</v>
      </c>
      <c r="AE1932" s="760"/>
      <c r="AF1932" s="760"/>
      <c r="AG1932" s="443"/>
      <c r="AH1932" s="443"/>
    </row>
    <row r="1933" spans="1:34">
      <c r="A1933" s="728">
        <f t="shared" si="403"/>
        <v>1926</v>
      </c>
      <c r="B1933" s="77"/>
      <c r="C1933" s="747"/>
      <c r="D1933" s="763" t="str">
        <f t="shared" si="394"/>
        <v>January</v>
      </c>
      <c r="E1933" s="763">
        <f t="shared" si="395"/>
        <v>0</v>
      </c>
      <c r="F1933" s="762">
        <f t="shared" si="396"/>
        <v>1900</v>
      </c>
      <c r="G1933" s="747"/>
      <c r="H1933" s="882"/>
      <c r="I1933" s="756"/>
      <c r="J1933" s="756"/>
      <c r="K1933" s="778">
        <f t="shared" si="397"/>
        <v>0</v>
      </c>
      <c r="L1933" s="976"/>
      <c r="M1933" s="736">
        <f t="shared" si="398"/>
        <v>0</v>
      </c>
      <c r="N1933" s="754"/>
      <c r="O1933" s="738">
        <f t="shared" si="399"/>
        <v>0</v>
      </c>
      <c r="P1933" s="757"/>
      <c r="Q1933" s="739">
        <f t="shared" si="400"/>
        <v>0</v>
      </c>
      <c r="R1933" s="757"/>
      <c r="S1933" s="755"/>
      <c r="T1933" s="277"/>
      <c r="U1933" s="758" t="str">
        <f t="shared" si="401"/>
        <v/>
      </c>
      <c r="V1933" s="758" t="str">
        <f t="shared" si="402"/>
        <v>1900</v>
      </c>
      <c r="W1933" s="759"/>
      <c r="X1933" s="771"/>
      <c r="Y1933" s="977"/>
      <c r="Z1933" s="758"/>
      <c r="AA1933" s="758" t="str">
        <f t="shared" si="390"/>
        <v/>
      </c>
      <c r="AB1933" s="758" t="str">
        <f t="shared" si="391"/>
        <v/>
      </c>
      <c r="AC1933" s="758" t="str">
        <f t="shared" si="392"/>
        <v/>
      </c>
      <c r="AD1933" s="758" t="str">
        <f t="shared" si="393"/>
        <v>0</v>
      </c>
      <c r="AE1933" s="760"/>
      <c r="AF1933" s="760"/>
      <c r="AG1933" s="443"/>
      <c r="AH1933" s="443"/>
    </row>
    <row r="1934" spans="1:34">
      <c r="A1934" s="728">
        <f t="shared" si="403"/>
        <v>1927</v>
      </c>
      <c r="B1934" s="77"/>
      <c r="C1934" s="747"/>
      <c r="D1934" s="763" t="str">
        <f t="shared" si="394"/>
        <v>January</v>
      </c>
      <c r="E1934" s="763">
        <f t="shared" si="395"/>
        <v>0</v>
      </c>
      <c r="F1934" s="762">
        <f t="shared" si="396"/>
        <v>1900</v>
      </c>
      <c r="G1934" s="747"/>
      <c r="H1934" s="882"/>
      <c r="I1934" s="756"/>
      <c r="J1934" s="756"/>
      <c r="K1934" s="778">
        <f t="shared" si="397"/>
        <v>0</v>
      </c>
      <c r="L1934" s="976"/>
      <c r="M1934" s="736">
        <f t="shared" si="398"/>
        <v>0</v>
      </c>
      <c r="N1934" s="754"/>
      <c r="O1934" s="738">
        <f t="shared" si="399"/>
        <v>0</v>
      </c>
      <c r="P1934" s="757"/>
      <c r="Q1934" s="739">
        <f t="shared" si="400"/>
        <v>0</v>
      </c>
      <c r="R1934" s="757"/>
      <c r="S1934" s="755"/>
      <c r="T1934" s="277"/>
      <c r="U1934" s="758" t="str">
        <f t="shared" si="401"/>
        <v/>
      </c>
      <c r="V1934" s="758" t="str">
        <f t="shared" si="402"/>
        <v>1900</v>
      </c>
      <c r="W1934" s="759"/>
      <c r="X1934" s="771"/>
      <c r="Y1934" s="977"/>
      <c r="Z1934" s="758"/>
      <c r="AA1934" s="758" t="str">
        <f t="shared" si="390"/>
        <v/>
      </c>
      <c r="AB1934" s="758" t="str">
        <f t="shared" si="391"/>
        <v/>
      </c>
      <c r="AC1934" s="758" t="str">
        <f t="shared" si="392"/>
        <v/>
      </c>
      <c r="AD1934" s="758" t="str">
        <f t="shared" si="393"/>
        <v>0</v>
      </c>
      <c r="AE1934" s="760"/>
      <c r="AF1934" s="760"/>
      <c r="AG1934" s="443"/>
      <c r="AH1934" s="443"/>
    </row>
    <row r="1935" spans="1:34">
      <c r="A1935" s="728">
        <f t="shared" si="403"/>
        <v>1928</v>
      </c>
      <c r="B1935" s="77"/>
      <c r="C1935" s="747"/>
      <c r="D1935" s="763" t="str">
        <f t="shared" si="394"/>
        <v>January</v>
      </c>
      <c r="E1935" s="763">
        <f t="shared" si="395"/>
        <v>0</v>
      </c>
      <c r="F1935" s="762">
        <f t="shared" si="396"/>
        <v>1900</v>
      </c>
      <c r="G1935" s="747"/>
      <c r="H1935" s="882"/>
      <c r="I1935" s="756"/>
      <c r="J1935" s="756"/>
      <c r="K1935" s="778">
        <f t="shared" si="397"/>
        <v>0</v>
      </c>
      <c r="L1935" s="976"/>
      <c r="M1935" s="736">
        <f t="shared" si="398"/>
        <v>0</v>
      </c>
      <c r="N1935" s="754"/>
      <c r="O1935" s="738">
        <f t="shared" si="399"/>
        <v>0</v>
      </c>
      <c r="P1935" s="757"/>
      <c r="Q1935" s="739">
        <f t="shared" si="400"/>
        <v>0</v>
      </c>
      <c r="R1935" s="757"/>
      <c r="S1935" s="755"/>
      <c r="T1935" s="277"/>
      <c r="U1935" s="758" t="str">
        <f t="shared" si="401"/>
        <v/>
      </c>
      <c r="V1935" s="758" t="str">
        <f t="shared" si="402"/>
        <v>1900</v>
      </c>
      <c r="W1935" s="759"/>
      <c r="X1935" s="771"/>
      <c r="Y1935" s="977"/>
      <c r="Z1935" s="758"/>
      <c r="AA1935" s="758" t="str">
        <f t="shared" si="390"/>
        <v/>
      </c>
      <c r="AB1935" s="758" t="str">
        <f t="shared" si="391"/>
        <v/>
      </c>
      <c r="AC1935" s="758" t="str">
        <f t="shared" si="392"/>
        <v/>
      </c>
      <c r="AD1935" s="758" t="str">
        <f t="shared" si="393"/>
        <v>0</v>
      </c>
      <c r="AE1935" s="760"/>
      <c r="AF1935" s="760"/>
      <c r="AG1935" s="443"/>
      <c r="AH1935" s="443"/>
    </row>
    <row r="1936" spans="1:34">
      <c r="A1936" s="728">
        <f t="shared" si="403"/>
        <v>1929</v>
      </c>
      <c r="B1936" s="77"/>
      <c r="C1936" s="747"/>
      <c r="D1936" s="763" t="str">
        <f t="shared" si="394"/>
        <v>January</v>
      </c>
      <c r="E1936" s="763">
        <f t="shared" si="395"/>
        <v>0</v>
      </c>
      <c r="F1936" s="762">
        <f t="shared" si="396"/>
        <v>1900</v>
      </c>
      <c r="G1936" s="747"/>
      <c r="H1936" s="882"/>
      <c r="I1936" s="756"/>
      <c r="J1936" s="756"/>
      <c r="K1936" s="778">
        <f t="shared" si="397"/>
        <v>0</v>
      </c>
      <c r="L1936" s="976"/>
      <c r="M1936" s="736">
        <f t="shared" si="398"/>
        <v>0</v>
      </c>
      <c r="N1936" s="754"/>
      <c r="O1936" s="738">
        <f t="shared" si="399"/>
        <v>0</v>
      </c>
      <c r="P1936" s="757"/>
      <c r="Q1936" s="739">
        <f t="shared" si="400"/>
        <v>0</v>
      </c>
      <c r="R1936" s="757"/>
      <c r="S1936" s="755"/>
      <c r="T1936" s="277"/>
      <c r="U1936" s="758" t="str">
        <f t="shared" si="401"/>
        <v/>
      </c>
      <c r="V1936" s="758" t="str">
        <f t="shared" si="402"/>
        <v>1900</v>
      </c>
      <c r="W1936" s="759"/>
      <c r="X1936" s="771"/>
      <c r="Y1936" s="977"/>
      <c r="Z1936" s="758"/>
      <c r="AA1936" s="758" t="str">
        <f t="shared" ref="AA1936:AA1999" si="404">CONCATENATE(H1936,W1936)</f>
        <v/>
      </c>
      <c r="AB1936" s="758" t="str">
        <f t="shared" ref="AB1936:AB1999" si="405">CONCATENATE(H1936,X1936)</f>
        <v/>
      </c>
      <c r="AC1936" s="758" t="str">
        <f t="shared" ref="AC1936:AC1999" si="406">CONCATENATE(H1936,Y1936)</f>
        <v/>
      </c>
      <c r="AD1936" s="758" t="str">
        <f t="shared" si="393"/>
        <v>0</v>
      </c>
      <c r="AE1936" s="760"/>
      <c r="AF1936" s="760"/>
      <c r="AG1936" s="443"/>
      <c r="AH1936" s="443"/>
    </row>
    <row r="1937" spans="1:34">
      <c r="A1937" s="728">
        <f t="shared" si="403"/>
        <v>1930</v>
      </c>
      <c r="B1937" s="77"/>
      <c r="C1937" s="747"/>
      <c r="D1937" s="763" t="str">
        <f t="shared" si="394"/>
        <v>January</v>
      </c>
      <c r="E1937" s="763">
        <f t="shared" si="395"/>
        <v>0</v>
      </c>
      <c r="F1937" s="762">
        <f t="shared" si="396"/>
        <v>1900</v>
      </c>
      <c r="G1937" s="747"/>
      <c r="H1937" s="882"/>
      <c r="I1937" s="756"/>
      <c r="J1937" s="756"/>
      <c r="K1937" s="778">
        <f t="shared" si="397"/>
        <v>0</v>
      </c>
      <c r="L1937" s="976"/>
      <c r="M1937" s="736">
        <f t="shared" si="398"/>
        <v>0</v>
      </c>
      <c r="N1937" s="754"/>
      <c r="O1937" s="738">
        <f t="shared" si="399"/>
        <v>0</v>
      </c>
      <c r="P1937" s="757"/>
      <c r="Q1937" s="739">
        <f t="shared" si="400"/>
        <v>0</v>
      </c>
      <c r="R1937" s="757"/>
      <c r="S1937" s="755"/>
      <c r="T1937" s="277"/>
      <c r="U1937" s="758" t="str">
        <f t="shared" si="401"/>
        <v/>
      </c>
      <c r="V1937" s="758" t="str">
        <f t="shared" si="402"/>
        <v>1900</v>
      </c>
      <c r="W1937" s="759"/>
      <c r="X1937" s="771"/>
      <c r="Y1937" s="977"/>
      <c r="Z1937" s="758"/>
      <c r="AA1937" s="758" t="str">
        <f t="shared" si="404"/>
        <v/>
      </c>
      <c r="AB1937" s="758" t="str">
        <f t="shared" si="405"/>
        <v/>
      </c>
      <c r="AC1937" s="758" t="str">
        <f t="shared" si="406"/>
        <v/>
      </c>
      <c r="AD1937" s="758" t="str">
        <f t="shared" si="393"/>
        <v>0</v>
      </c>
      <c r="AE1937" s="760"/>
      <c r="AF1937" s="760"/>
      <c r="AG1937" s="443"/>
      <c r="AH1937" s="443"/>
    </row>
    <row r="1938" spans="1:34">
      <c r="A1938" s="728">
        <f t="shared" si="403"/>
        <v>1931</v>
      </c>
      <c r="B1938" s="77"/>
      <c r="C1938" s="747"/>
      <c r="D1938" s="763" t="str">
        <f t="shared" si="394"/>
        <v>January</v>
      </c>
      <c r="E1938" s="763">
        <f t="shared" si="395"/>
        <v>0</v>
      </c>
      <c r="F1938" s="762">
        <f t="shared" si="396"/>
        <v>1900</v>
      </c>
      <c r="G1938" s="747"/>
      <c r="H1938" s="882"/>
      <c r="I1938" s="756"/>
      <c r="J1938" s="756"/>
      <c r="K1938" s="778">
        <f t="shared" si="397"/>
        <v>0</v>
      </c>
      <c r="L1938" s="976"/>
      <c r="M1938" s="736">
        <f t="shared" si="398"/>
        <v>0</v>
      </c>
      <c r="N1938" s="754"/>
      <c r="O1938" s="738">
        <f t="shared" si="399"/>
        <v>0</v>
      </c>
      <c r="P1938" s="757"/>
      <c r="Q1938" s="739">
        <f t="shared" si="400"/>
        <v>0</v>
      </c>
      <c r="R1938" s="757"/>
      <c r="S1938" s="755"/>
      <c r="T1938" s="277"/>
      <c r="U1938" s="758" t="str">
        <f t="shared" si="401"/>
        <v/>
      </c>
      <c r="V1938" s="758" t="str">
        <f t="shared" si="402"/>
        <v>1900</v>
      </c>
      <c r="W1938" s="759"/>
      <c r="X1938" s="771"/>
      <c r="Y1938" s="977"/>
      <c r="Z1938" s="758"/>
      <c r="AA1938" s="758" t="str">
        <f t="shared" si="404"/>
        <v/>
      </c>
      <c r="AB1938" s="758" t="str">
        <f t="shared" si="405"/>
        <v/>
      </c>
      <c r="AC1938" s="758" t="str">
        <f t="shared" si="406"/>
        <v/>
      </c>
      <c r="AD1938" s="758" t="str">
        <f t="shared" si="393"/>
        <v>0</v>
      </c>
      <c r="AE1938" s="760"/>
      <c r="AF1938" s="760"/>
      <c r="AG1938" s="443"/>
      <c r="AH1938" s="443"/>
    </row>
    <row r="1939" spans="1:34">
      <c r="A1939" s="728">
        <f t="shared" si="403"/>
        <v>1932</v>
      </c>
      <c r="B1939" s="77"/>
      <c r="C1939" s="747"/>
      <c r="D1939" s="763" t="str">
        <f t="shared" si="394"/>
        <v>January</v>
      </c>
      <c r="E1939" s="763">
        <f t="shared" si="395"/>
        <v>0</v>
      </c>
      <c r="F1939" s="762">
        <f t="shared" si="396"/>
        <v>1900</v>
      </c>
      <c r="G1939" s="747"/>
      <c r="H1939" s="882"/>
      <c r="I1939" s="756"/>
      <c r="J1939" s="756"/>
      <c r="K1939" s="778">
        <f t="shared" si="397"/>
        <v>0</v>
      </c>
      <c r="L1939" s="976"/>
      <c r="M1939" s="736">
        <f t="shared" si="398"/>
        <v>0</v>
      </c>
      <c r="N1939" s="754"/>
      <c r="O1939" s="738">
        <f t="shared" si="399"/>
        <v>0</v>
      </c>
      <c r="P1939" s="757"/>
      <c r="Q1939" s="739">
        <f t="shared" si="400"/>
        <v>0</v>
      </c>
      <c r="R1939" s="757"/>
      <c r="S1939" s="755"/>
      <c r="T1939" s="277"/>
      <c r="U1939" s="758" t="str">
        <f t="shared" si="401"/>
        <v/>
      </c>
      <c r="V1939" s="758" t="str">
        <f t="shared" si="402"/>
        <v>1900</v>
      </c>
      <c r="W1939" s="759"/>
      <c r="X1939" s="771"/>
      <c r="Y1939" s="977"/>
      <c r="Z1939" s="758"/>
      <c r="AA1939" s="758" t="str">
        <f t="shared" si="404"/>
        <v/>
      </c>
      <c r="AB1939" s="758" t="str">
        <f t="shared" si="405"/>
        <v/>
      </c>
      <c r="AC1939" s="758" t="str">
        <f t="shared" si="406"/>
        <v/>
      </c>
      <c r="AD1939" s="758" t="str">
        <f t="shared" si="393"/>
        <v>0</v>
      </c>
      <c r="AE1939" s="760"/>
      <c r="AF1939" s="760"/>
      <c r="AG1939" s="443"/>
      <c r="AH1939" s="443"/>
    </row>
    <row r="1940" spans="1:34">
      <c r="A1940" s="728">
        <f t="shared" si="403"/>
        <v>1933</v>
      </c>
      <c r="B1940" s="77"/>
      <c r="C1940" s="747"/>
      <c r="D1940" s="763" t="str">
        <f t="shared" si="394"/>
        <v>January</v>
      </c>
      <c r="E1940" s="763">
        <f t="shared" si="395"/>
        <v>0</v>
      </c>
      <c r="F1940" s="762">
        <f t="shared" si="396"/>
        <v>1900</v>
      </c>
      <c r="G1940" s="747"/>
      <c r="H1940" s="882"/>
      <c r="I1940" s="756"/>
      <c r="J1940" s="756"/>
      <c r="K1940" s="778">
        <f t="shared" si="397"/>
        <v>0</v>
      </c>
      <c r="L1940" s="976"/>
      <c r="M1940" s="736">
        <f t="shared" si="398"/>
        <v>0</v>
      </c>
      <c r="N1940" s="754"/>
      <c r="O1940" s="738">
        <f t="shared" si="399"/>
        <v>0</v>
      </c>
      <c r="P1940" s="757"/>
      <c r="Q1940" s="739">
        <f t="shared" si="400"/>
        <v>0</v>
      </c>
      <c r="R1940" s="757"/>
      <c r="S1940" s="755"/>
      <c r="T1940" s="277"/>
      <c r="U1940" s="758" t="str">
        <f t="shared" si="401"/>
        <v/>
      </c>
      <c r="V1940" s="758" t="str">
        <f t="shared" si="402"/>
        <v>1900</v>
      </c>
      <c r="W1940" s="759"/>
      <c r="X1940" s="771"/>
      <c r="Y1940" s="977"/>
      <c r="Z1940" s="758"/>
      <c r="AA1940" s="758" t="str">
        <f t="shared" si="404"/>
        <v/>
      </c>
      <c r="AB1940" s="758" t="str">
        <f t="shared" si="405"/>
        <v/>
      </c>
      <c r="AC1940" s="758" t="str">
        <f t="shared" si="406"/>
        <v/>
      </c>
      <c r="AD1940" s="758" t="str">
        <f t="shared" si="393"/>
        <v>0</v>
      </c>
      <c r="AE1940" s="760"/>
      <c r="AF1940" s="760"/>
      <c r="AG1940" s="443"/>
      <c r="AH1940" s="443"/>
    </row>
    <row r="1941" spans="1:34">
      <c r="A1941" s="728">
        <f t="shared" si="403"/>
        <v>1934</v>
      </c>
      <c r="B1941" s="77"/>
      <c r="C1941" s="747"/>
      <c r="D1941" s="763" t="str">
        <f t="shared" si="394"/>
        <v>January</v>
      </c>
      <c r="E1941" s="763">
        <f t="shared" si="395"/>
        <v>0</v>
      </c>
      <c r="F1941" s="762">
        <f t="shared" si="396"/>
        <v>1900</v>
      </c>
      <c r="G1941" s="747"/>
      <c r="H1941" s="882"/>
      <c r="I1941" s="756"/>
      <c r="J1941" s="756"/>
      <c r="K1941" s="778">
        <f t="shared" si="397"/>
        <v>0</v>
      </c>
      <c r="L1941" s="976"/>
      <c r="M1941" s="736">
        <f t="shared" si="398"/>
        <v>0</v>
      </c>
      <c r="N1941" s="754"/>
      <c r="O1941" s="738">
        <f t="shared" si="399"/>
        <v>0</v>
      </c>
      <c r="P1941" s="757"/>
      <c r="Q1941" s="739">
        <f t="shared" si="400"/>
        <v>0</v>
      </c>
      <c r="R1941" s="757"/>
      <c r="S1941" s="755"/>
      <c r="T1941" s="277"/>
      <c r="U1941" s="758" t="str">
        <f t="shared" si="401"/>
        <v/>
      </c>
      <c r="V1941" s="758" t="str">
        <f t="shared" si="402"/>
        <v>1900</v>
      </c>
      <c r="W1941" s="759"/>
      <c r="X1941" s="771"/>
      <c r="Y1941" s="977"/>
      <c r="Z1941" s="758"/>
      <c r="AA1941" s="758" t="str">
        <f t="shared" si="404"/>
        <v/>
      </c>
      <c r="AB1941" s="758" t="str">
        <f t="shared" si="405"/>
        <v/>
      </c>
      <c r="AC1941" s="758" t="str">
        <f t="shared" si="406"/>
        <v/>
      </c>
      <c r="AD1941" s="758" t="str">
        <f t="shared" si="393"/>
        <v>0</v>
      </c>
      <c r="AE1941" s="760"/>
      <c r="AF1941" s="760"/>
      <c r="AG1941" s="443"/>
      <c r="AH1941" s="443"/>
    </row>
    <row r="1942" spans="1:34">
      <c r="A1942" s="728">
        <f t="shared" si="403"/>
        <v>1935</v>
      </c>
      <c r="B1942" s="77"/>
      <c r="C1942" s="747"/>
      <c r="D1942" s="763" t="str">
        <f t="shared" si="394"/>
        <v>January</v>
      </c>
      <c r="E1942" s="763">
        <f t="shared" si="395"/>
        <v>0</v>
      </c>
      <c r="F1942" s="762">
        <f t="shared" si="396"/>
        <v>1900</v>
      </c>
      <c r="G1942" s="747"/>
      <c r="H1942" s="882"/>
      <c r="I1942" s="756"/>
      <c r="J1942" s="756"/>
      <c r="K1942" s="778">
        <f t="shared" si="397"/>
        <v>0</v>
      </c>
      <c r="L1942" s="976"/>
      <c r="M1942" s="736">
        <f t="shared" si="398"/>
        <v>0</v>
      </c>
      <c r="N1942" s="754"/>
      <c r="O1942" s="738">
        <f t="shared" si="399"/>
        <v>0</v>
      </c>
      <c r="P1942" s="757"/>
      <c r="Q1942" s="739">
        <f t="shared" si="400"/>
        <v>0</v>
      </c>
      <c r="R1942" s="757"/>
      <c r="S1942" s="755"/>
      <c r="T1942" s="277"/>
      <c r="U1942" s="758" t="str">
        <f t="shared" si="401"/>
        <v/>
      </c>
      <c r="V1942" s="758" t="str">
        <f t="shared" si="402"/>
        <v>1900</v>
      </c>
      <c r="W1942" s="759"/>
      <c r="X1942" s="771"/>
      <c r="Y1942" s="977"/>
      <c r="Z1942" s="758"/>
      <c r="AA1942" s="758" t="str">
        <f t="shared" si="404"/>
        <v/>
      </c>
      <c r="AB1942" s="758" t="str">
        <f t="shared" si="405"/>
        <v/>
      </c>
      <c r="AC1942" s="758" t="str">
        <f t="shared" si="406"/>
        <v/>
      </c>
      <c r="AD1942" s="758" t="str">
        <f t="shared" si="393"/>
        <v>0</v>
      </c>
      <c r="AE1942" s="760"/>
      <c r="AF1942" s="760"/>
      <c r="AG1942" s="443"/>
      <c r="AH1942" s="443"/>
    </row>
    <row r="1943" spans="1:34">
      <c r="A1943" s="728">
        <f t="shared" si="403"/>
        <v>1936</v>
      </c>
      <c r="B1943" s="77"/>
      <c r="C1943" s="747"/>
      <c r="D1943" s="763" t="str">
        <f t="shared" si="394"/>
        <v>January</v>
      </c>
      <c r="E1943" s="763">
        <f t="shared" si="395"/>
        <v>0</v>
      </c>
      <c r="F1943" s="762">
        <f t="shared" si="396"/>
        <v>1900</v>
      </c>
      <c r="G1943" s="747"/>
      <c r="H1943" s="882"/>
      <c r="I1943" s="756"/>
      <c r="J1943" s="756"/>
      <c r="K1943" s="778">
        <f t="shared" si="397"/>
        <v>0</v>
      </c>
      <c r="L1943" s="976"/>
      <c r="M1943" s="736">
        <f t="shared" si="398"/>
        <v>0</v>
      </c>
      <c r="N1943" s="754"/>
      <c r="O1943" s="738">
        <f t="shared" si="399"/>
        <v>0</v>
      </c>
      <c r="P1943" s="757"/>
      <c r="Q1943" s="739">
        <f t="shared" si="400"/>
        <v>0</v>
      </c>
      <c r="R1943" s="757"/>
      <c r="S1943" s="755"/>
      <c r="T1943" s="277"/>
      <c r="U1943" s="758" t="str">
        <f t="shared" si="401"/>
        <v/>
      </c>
      <c r="V1943" s="758" t="str">
        <f t="shared" si="402"/>
        <v>1900</v>
      </c>
      <c r="W1943" s="759"/>
      <c r="X1943" s="771"/>
      <c r="Y1943" s="977"/>
      <c r="Z1943" s="758"/>
      <c r="AA1943" s="758" t="str">
        <f t="shared" si="404"/>
        <v/>
      </c>
      <c r="AB1943" s="758" t="str">
        <f t="shared" si="405"/>
        <v/>
      </c>
      <c r="AC1943" s="758" t="str">
        <f t="shared" si="406"/>
        <v/>
      </c>
      <c r="AD1943" s="758" t="str">
        <f t="shared" si="393"/>
        <v>0</v>
      </c>
      <c r="AE1943" s="760"/>
      <c r="AF1943" s="760"/>
      <c r="AG1943" s="443"/>
      <c r="AH1943" s="443"/>
    </row>
    <row r="1944" spans="1:34">
      <c r="A1944" s="728">
        <f t="shared" si="403"/>
        <v>1937</v>
      </c>
      <c r="B1944" s="77"/>
      <c r="C1944" s="747"/>
      <c r="D1944" s="763" t="str">
        <f t="shared" si="394"/>
        <v>January</v>
      </c>
      <c r="E1944" s="763">
        <f t="shared" si="395"/>
        <v>0</v>
      </c>
      <c r="F1944" s="762">
        <f t="shared" si="396"/>
        <v>1900</v>
      </c>
      <c r="G1944" s="747"/>
      <c r="H1944" s="882"/>
      <c r="I1944" s="756"/>
      <c r="J1944" s="756"/>
      <c r="K1944" s="778">
        <f t="shared" si="397"/>
        <v>0</v>
      </c>
      <c r="L1944" s="976"/>
      <c r="M1944" s="736">
        <f t="shared" si="398"/>
        <v>0</v>
      </c>
      <c r="N1944" s="754"/>
      <c r="O1944" s="738">
        <f t="shared" si="399"/>
        <v>0</v>
      </c>
      <c r="P1944" s="757"/>
      <c r="Q1944" s="739">
        <f t="shared" si="400"/>
        <v>0</v>
      </c>
      <c r="R1944" s="757"/>
      <c r="S1944" s="755"/>
      <c r="T1944" s="277"/>
      <c r="U1944" s="758" t="str">
        <f t="shared" si="401"/>
        <v/>
      </c>
      <c r="V1944" s="758" t="str">
        <f t="shared" si="402"/>
        <v>1900</v>
      </c>
      <c r="W1944" s="759"/>
      <c r="X1944" s="771"/>
      <c r="Y1944" s="977"/>
      <c r="Z1944" s="758"/>
      <c r="AA1944" s="758" t="str">
        <f t="shared" si="404"/>
        <v/>
      </c>
      <c r="AB1944" s="758" t="str">
        <f t="shared" si="405"/>
        <v/>
      </c>
      <c r="AC1944" s="758" t="str">
        <f t="shared" si="406"/>
        <v/>
      </c>
      <c r="AD1944" s="758" t="str">
        <f t="shared" si="393"/>
        <v>0</v>
      </c>
      <c r="AE1944" s="760"/>
      <c r="AF1944" s="760"/>
      <c r="AG1944" s="443"/>
      <c r="AH1944" s="443"/>
    </row>
    <row r="1945" spans="1:34">
      <c r="A1945" s="728">
        <f t="shared" si="403"/>
        <v>1938</v>
      </c>
      <c r="B1945" s="77"/>
      <c r="C1945" s="747"/>
      <c r="D1945" s="763" t="str">
        <f t="shared" si="394"/>
        <v>January</v>
      </c>
      <c r="E1945" s="763">
        <f t="shared" si="395"/>
        <v>0</v>
      </c>
      <c r="F1945" s="762">
        <f t="shared" si="396"/>
        <v>1900</v>
      </c>
      <c r="G1945" s="747"/>
      <c r="H1945" s="882"/>
      <c r="I1945" s="756"/>
      <c r="J1945" s="756"/>
      <c r="K1945" s="778">
        <f t="shared" si="397"/>
        <v>0</v>
      </c>
      <c r="L1945" s="976"/>
      <c r="M1945" s="736">
        <f t="shared" si="398"/>
        <v>0</v>
      </c>
      <c r="N1945" s="754"/>
      <c r="O1945" s="738">
        <f t="shared" si="399"/>
        <v>0</v>
      </c>
      <c r="P1945" s="757"/>
      <c r="Q1945" s="739">
        <f t="shared" si="400"/>
        <v>0</v>
      </c>
      <c r="R1945" s="757"/>
      <c r="S1945" s="755"/>
      <c r="T1945" s="277"/>
      <c r="U1945" s="758" t="str">
        <f t="shared" si="401"/>
        <v/>
      </c>
      <c r="V1945" s="758" t="str">
        <f t="shared" si="402"/>
        <v>1900</v>
      </c>
      <c r="W1945" s="759"/>
      <c r="X1945" s="771"/>
      <c r="Y1945" s="977"/>
      <c r="Z1945" s="758"/>
      <c r="AA1945" s="758" t="str">
        <f t="shared" si="404"/>
        <v/>
      </c>
      <c r="AB1945" s="758" t="str">
        <f t="shared" si="405"/>
        <v/>
      </c>
      <c r="AC1945" s="758" t="str">
        <f t="shared" si="406"/>
        <v/>
      </c>
      <c r="AD1945" s="758" t="str">
        <f t="shared" ref="AD1945:AD2008" si="407">CONCATENATE(H1945,M1945)</f>
        <v>0</v>
      </c>
      <c r="AE1945" s="760"/>
      <c r="AF1945" s="760"/>
      <c r="AG1945" s="443"/>
      <c r="AH1945" s="443"/>
    </row>
    <row r="1946" spans="1:34">
      <c r="A1946" s="728">
        <f t="shared" si="403"/>
        <v>1939</v>
      </c>
      <c r="B1946" s="77"/>
      <c r="C1946" s="747"/>
      <c r="D1946" s="763" t="str">
        <f t="shared" si="394"/>
        <v>January</v>
      </c>
      <c r="E1946" s="763">
        <f t="shared" si="395"/>
        <v>0</v>
      </c>
      <c r="F1946" s="762">
        <f t="shared" si="396"/>
        <v>1900</v>
      </c>
      <c r="G1946" s="747"/>
      <c r="H1946" s="882"/>
      <c r="I1946" s="756"/>
      <c r="J1946" s="756"/>
      <c r="K1946" s="778">
        <f t="shared" si="397"/>
        <v>0</v>
      </c>
      <c r="L1946" s="976"/>
      <c r="M1946" s="736">
        <f t="shared" si="398"/>
        <v>0</v>
      </c>
      <c r="N1946" s="754"/>
      <c r="O1946" s="738">
        <f t="shared" si="399"/>
        <v>0</v>
      </c>
      <c r="P1946" s="757"/>
      <c r="Q1946" s="739">
        <f t="shared" si="400"/>
        <v>0</v>
      </c>
      <c r="R1946" s="757"/>
      <c r="S1946" s="755"/>
      <c r="T1946" s="277"/>
      <c r="U1946" s="758" t="str">
        <f t="shared" si="401"/>
        <v/>
      </c>
      <c r="V1946" s="758" t="str">
        <f t="shared" si="402"/>
        <v>1900</v>
      </c>
      <c r="W1946" s="759"/>
      <c r="X1946" s="771"/>
      <c r="Y1946" s="977"/>
      <c r="Z1946" s="758"/>
      <c r="AA1946" s="758" t="str">
        <f t="shared" si="404"/>
        <v/>
      </c>
      <c r="AB1946" s="758" t="str">
        <f t="shared" si="405"/>
        <v/>
      </c>
      <c r="AC1946" s="758" t="str">
        <f t="shared" si="406"/>
        <v/>
      </c>
      <c r="AD1946" s="758" t="str">
        <f t="shared" si="407"/>
        <v>0</v>
      </c>
      <c r="AE1946" s="760"/>
      <c r="AF1946" s="760"/>
      <c r="AG1946" s="443"/>
      <c r="AH1946" s="443"/>
    </row>
    <row r="1947" spans="1:34">
      <c r="A1947" s="728">
        <f t="shared" si="403"/>
        <v>1940</v>
      </c>
      <c r="B1947" s="77"/>
      <c r="C1947" s="747"/>
      <c r="D1947" s="763" t="str">
        <f t="shared" si="394"/>
        <v>January</v>
      </c>
      <c r="E1947" s="763">
        <f t="shared" si="395"/>
        <v>0</v>
      </c>
      <c r="F1947" s="762">
        <f t="shared" si="396"/>
        <v>1900</v>
      </c>
      <c r="G1947" s="747"/>
      <c r="H1947" s="882"/>
      <c r="I1947" s="756"/>
      <c r="J1947" s="756"/>
      <c r="K1947" s="778">
        <f t="shared" si="397"/>
        <v>0</v>
      </c>
      <c r="L1947" s="976"/>
      <c r="M1947" s="736">
        <f t="shared" si="398"/>
        <v>0</v>
      </c>
      <c r="N1947" s="754"/>
      <c r="O1947" s="738">
        <f t="shared" si="399"/>
        <v>0</v>
      </c>
      <c r="P1947" s="757"/>
      <c r="Q1947" s="739">
        <f t="shared" si="400"/>
        <v>0</v>
      </c>
      <c r="R1947" s="757"/>
      <c r="S1947" s="755"/>
      <c r="T1947" s="277"/>
      <c r="U1947" s="758" t="str">
        <f t="shared" si="401"/>
        <v/>
      </c>
      <c r="V1947" s="758" t="str">
        <f t="shared" si="402"/>
        <v>1900</v>
      </c>
      <c r="W1947" s="759"/>
      <c r="X1947" s="771"/>
      <c r="Y1947" s="977"/>
      <c r="Z1947" s="758"/>
      <c r="AA1947" s="758" t="str">
        <f t="shared" si="404"/>
        <v/>
      </c>
      <c r="AB1947" s="758" t="str">
        <f t="shared" si="405"/>
        <v/>
      </c>
      <c r="AC1947" s="758" t="str">
        <f t="shared" si="406"/>
        <v/>
      </c>
      <c r="AD1947" s="758" t="str">
        <f t="shared" si="407"/>
        <v>0</v>
      </c>
      <c r="AE1947" s="760"/>
      <c r="AF1947" s="760"/>
      <c r="AG1947" s="443"/>
      <c r="AH1947" s="443"/>
    </row>
    <row r="1948" spans="1:34">
      <c r="A1948" s="728">
        <f t="shared" si="403"/>
        <v>1941</v>
      </c>
      <c r="B1948" s="77"/>
      <c r="C1948" s="747"/>
      <c r="D1948" s="763" t="str">
        <f t="shared" si="394"/>
        <v>January</v>
      </c>
      <c r="E1948" s="763">
        <f t="shared" si="395"/>
        <v>0</v>
      </c>
      <c r="F1948" s="762">
        <f t="shared" si="396"/>
        <v>1900</v>
      </c>
      <c r="G1948" s="747"/>
      <c r="H1948" s="882"/>
      <c r="I1948" s="756"/>
      <c r="J1948" s="756"/>
      <c r="K1948" s="778">
        <f t="shared" si="397"/>
        <v>0</v>
      </c>
      <c r="L1948" s="976"/>
      <c r="M1948" s="736">
        <f t="shared" si="398"/>
        <v>0</v>
      </c>
      <c r="N1948" s="754"/>
      <c r="O1948" s="738">
        <f t="shared" si="399"/>
        <v>0</v>
      </c>
      <c r="P1948" s="757"/>
      <c r="Q1948" s="739">
        <f t="shared" si="400"/>
        <v>0</v>
      </c>
      <c r="R1948" s="757"/>
      <c r="S1948" s="755"/>
      <c r="T1948" s="277"/>
      <c r="U1948" s="758" t="str">
        <f t="shared" si="401"/>
        <v/>
      </c>
      <c r="V1948" s="758" t="str">
        <f t="shared" si="402"/>
        <v>1900</v>
      </c>
      <c r="W1948" s="759"/>
      <c r="X1948" s="771"/>
      <c r="Y1948" s="977"/>
      <c r="Z1948" s="758"/>
      <c r="AA1948" s="758" t="str">
        <f t="shared" si="404"/>
        <v/>
      </c>
      <c r="AB1948" s="758" t="str">
        <f t="shared" si="405"/>
        <v/>
      </c>
      <c r="AC1948" s="758" t="str">
        <f t="shared" si="406"/>
        <v/>
      </c>
      <c r="AD1948" s="758" t="str">
        <f t="shared" si="407"/>
        <v>0</v>
      </c>
      <c r="AE1948" s="760"/>
      <c r="AF1948" s="760"/>
      <c r="AG1948" s="443"/>
      <c r="AH1948" s="443"/>
    </row>
    <row r="1949" spans="1:34">
      <c r="A1949" s="728">
        <f t="shared" si="403"/>
        <v>1942</v>
      </c>
      <c r="B1949" s="77"/>
      <c r="C1949" s="747"/>
      <c r="D1949" s="763" t="str">
        <f t="shared" si="394"/>
        <v>January</v>
      </c>
      <c r="E1949" s="763">
        <f t="shared" si="395"/>
        <v>0</v>
      </c>
      <c r="F1949" s="762">
        <f t="shared" si="396"/>
        <v>1900</v>
      </c>
      <c r="G1949" s="747"/>
      <c r="H1949" s="882"/>
      <c r="I1949" s="756"/>
      <c r="J1949" s="756"/>
      <c r="K1949" s="778">
        <f t="shared" si="397"/>
        <v>0</v>
      </c>
      <c r="L1949" s="976"/>
      <c r="M1949" s="736">
        <f t="shared" si="398"/>
        <v>0</v>
      </c>
      <c r="N1949" s="754"/>
      <c r="O1949" s="738">
        <f t="shared" si="399"/>
        <v>0</v>
      </c>
      <c r="P1949" s="757"/>
      <c r="Q1949" s="739">
        <f t="shared" si="400"/>
        <v>0</v>
      </c>
      <c r="R1949" s="757"/>
      <c r="S1949" s="755"/>
      <c r="T1949" s="277"/>
      <c r="U1949" s="758" t="str">
        <f t="shared" si="401"/>
        <v/>
      </c>
      <c r="V1949" s="758" t="str">
        <f t="shared" si="402"/>
        <v>1900</v>
      </c>
      <c r="W1949" s="759"/>
      <c r="X1949" s="771"/>
      <c r="Y1949" s="977"/>
      <c r="Z1949" s="758"/>
      <c r="AA1949" s="758" t="str">
        <f t="shared" si="404"/>
        <v/>
      </c>
      <c r="AB1949" s="758" t="str">
        <f t="shared" si="405"/>
        <v/>
      </c>
      <c r="AC1949" s="758" t="str">
        <f t="shared" si="406"/>
        <v/>
      </c>
      <c r="AD1949" s="758" t="str">
        <f t="shared" si="407"/>
        <v>0</v>
      </c>
      <c r="AE1949" s="760"/>
      <c r="AF1949" s="760"/>
      <c r="AG1949" s="443"/>
      <c r="AH1949" s="443"/>
    </row>
    <row r="1950" spans="1:34">
      <c r="A1950" s="728">
        <f t="shared" si="403"/>
        <v>1943</v>
      </c>
      <c r="B1950" s="77"/>
      <c r="C1950" s="747"/>
      <c r="D1950" s="763" t="str">
        <f t="shared" si="394"/>
        <v>January</v>
      </c>
      <c r="E1950" s="763">
        <f t="shared" si="395"/>
        <v>0</v>
      </c>
      <c r="F1950" s="762">
        <f t="shared" si="396"/>
        <v>1900</v>
      </c>
      <c r="G1950" s="747"/>
      <c r="H1950" s="882"/>
      <c r="I1950" s="756"/>
      <c r="J1950" s="756"/>
      <c r="K1950" s="778">
        <f t="shared" si="397"/>
        <v>0</v>
      </c>
      <c r="L1950" s="976"/>
      <c r="M1950" s="736">
        <f t="shared" si="398"/>
        <v>0</v>
      </c>
      <c r="N1950" s="754"/>
      <c r="O1950" s="738">
        <f t="shared" si="399"/>
        <v>0</v>
      </c>
      <c r="P1950" s="757"/>
      <c r="Q1950" s="739">
        <f t="shared" si="400"/>
        <v>0</v>
      </c>
      <c r="R1950" s="757"/>
      <c r="S1950" s="755"/>
      <c r="T1950" s="277"/>
      <c r="U1950" s="758" t="str">
        <f t="shared" si="401"/>
        <v/>
      </c>
      <c r="V1950" s="758" t="str">
        <f t="shared" si="402"/>
        <v>1900</v>
      </c>
      <c r="W1950" s="759"/>
      <c r="X1950" s="771"/>
      <c r="Y1950" s="977"/>
      <c r="Z1950" s="758"/>
      <c r="AA1950" s="758" t="str">
        <f t="shared" si="404"/>
        <v/>
      </c>
      <c r="AB1950" s="758" t="str">
        <f t="shared" si="405"/>
        <v/>
      </c>
      <c r="AC1950" s="758" t="str">
        <f t="shared" si="406"/>
        <v/>
      </c>
      <c r="AD1950" s="758" t="str">
        <f t="shared" si="407"/>
        <v>0</v>
      </c>
      <c r="AE1950" s="760"/>
      <c r="AF1950" s="760"/>
      <c r="AG1950" s="443"/>
      <c r="AH1950" s="443"/>
    </row>
    <row r="1951" spans="1:34">
      <c r="A1951" s="728">
        <f t="shared" si="403"/>
        <v>1944</v>
      </c>
      <c r="B1951" s="77"/>
      <c r="C1951" s="747"/>
      <c r="D1951" s="763" t="str">
        <f t="shared" si="394"/>
        <v>January</v>
      </c>
      <c r="E1951" s="763">
        <f t="shared" si="395"/>
        <v>0</v>
      </c>
      <c r="F1951" s="762">
        <f t="shared" si="396"/>
        <v>1900</v>
      </c>
      <c r="G1951" s="747"/>
      <c r="H1951" s="882"/>
      <c r="I1951" s="756"/>
      <c r="J1951" s="756"/>
      <c r="K1951" s="778">
        <f t="shared" si="397"/>
        <v>0</v>
      </c>
      <c r="L1951" s="976"/>
      <c r="M1951" s="736">
        <f t="shared" si="398"/>
        <v>0</v>
      </c>
      <c r="N1951" s="754"/>
      <c r="O1951" s="738">
        <f t="shared" si="399"/>
        <v>0</v>
      </c>
      <c r="P1951" s="757"/>
      <c r="Q1951" s="739">
        <f t="shared" si="400"/>
        <v>0</v>
      </c>
      <c r="R1951" s="757"/>
      <c r="S1951" s="755"/>
      <c r="T1951" s="277"/>
      <c r="U1951" s="758" t="str">
        <f t="shared" si="401"/>
        <v/>
      </c>
      <c r="V1951" s="758" t="str">
        <f t="shared" si="402"/>
        <v>1900</v>
      </c>
      <c r="W1951" s="759"/>
      <c r="X1951" s="771"/>
      <c r="Y1951" s="977"/>
      <c r="Z1951" s="758"/>
      <c r="AA1951" s="758" t="str">
        <f t="shared" si="404"/>
        <v/>
      </c>
      <c r="AB1951" s="758" t="str">
        <f t="shared" si="405"/>
        <v/>
      </c>
      <c r="AC1951" s="758" t="str">
        <f t="shared" si="406"/>
        <v/>
      </c>
      <c r="AD1951" s="758" t="str">
        <f t="shared" si="407"/>
        <v>0</v>
      </c>
      <c r="AE1951" s="760"/>
      <c r="AF1951" s="760"/>
      <c r="AG1951" s="443"/>
      <c r="AH1951" s="443"/>
    </row>
    <row r="1952" spans="1:34">
      <c r="A1952" s="728">
        <f t="shared" si="403"/>
        <v>1945</v>
      </c>
      <c r="B1952" s="77"/>
      <c r="C1952" s="747"/>
      <c r="D1952" s="763" t="str">
        <f t="shared" si="394"/>
        <v>January</v>
      </c>
      <c r="E1952" s="763">
        <f t="shared" si="395"/>
        <v>0</v>
      </c>
      <c r="F1952" s="762">
        <f t="shared" si="396"/>
        <v>1900</v>
      </c>
      <c r="G1952" s="747"/>
      <c r="H1952" s="882"/>
      <c r="I1952" s="756"/>
      <c r="J1952" s="756"/>
      <c r="K1952" s="778">
        <f t="shared" si="397"/>
        <v>0</v>
      </c>
      <c r="L1952" s="976"/>
      <c r="M1952" s="736">
        <f t="shared" si="398"/>
        <v>0</v>
      </c>
      <c r="N1952" s="754"/>
      <c r="O1952" s="738">
        <f t="shared" si="399"/>
        <v>0</v>
      </c>
      <c r="P1952" s="757"/>
      <c r="Q1952" s="739">
        <f t="shared" si="400"/>
        <v>0</v>
      </c>
      <c r="R1952" s="757"/>
      <c r="S1952" s="755"/>
      <c r="T1952" s="277"/>
      <c r="U1952" s="758" t="str">
        <f t="shared" si="401"/>
        <v/>
      </c>
      <c r="V1952" s="758" t="str">
        <f t="shared" si="402"/>
        <v>1900</v>
      </c>
      <c r="W1952" s="759"/>
      <c r="X1952" s="771"/>
      <c r="Y1952" s="977"/>
      <c r="Z1952" s="758"/>
      <c r="AA1952" s="758" t="str">
        <f t="shared" si="404"/>
        <v/>
      </c>
      <c r="AB1952" s="758" t="str">
        <f t="shared" si="405"/>
        <v/>
      </c>
      <c r="AC1952" s="758" t="str">
        <f t="shared" si="406"/>
        <v/>
      </c>
      <c r="AD1952" s="758" t="str">
        <f t="shared" si="407"/>
        <v>0</v>
      </c>
      <c r="AE1952" s="760"/>
      <c r="AF1952" s="760"/>
      <c r="AG1952" s="443"/>
      <c r="AH1952" s="443"/>
    </row>
    <row r="1953" spans="1:34">
      <c r="A1953" s="728">
        <f t="shared" si="403"/>
        <v>1946</v>
      </c>
      <c r="B1953" s="77"/>
      <c r="C1953" s="747"/>
      <c r="D1953" s="763" t="str">
        <f t="shared" si="394"/>
        <v>January</v>
      </c>
      <c r="E1953" s="763">
        <f t="shared" si="395"/>
        <v>0</v>
      </c>
      <c r="F1953" s="762">
        <f t="shared" si="396"/>
        <v>1900</v>
      </c>
      <c r="G1953" s="747"/>
      <c r="H1953" s="882"/>
      <c r="I1953" s="756"/>
      <c r="J1953" s="756"/>
      <c r="K1953" s="778">
        <f t="shared" si="397"/>
        <v>0</v>
      </c>
      <c r="L1953" s="976"/>
      <c r="M1953" s="736">
        <f t="shared" si="398"/>
        <v>0</v>
      </c>
      <c r="N1953" s="754"/>
      <c r="O1953" s="738">
        <f t="shared" si="399"/>
        <v>0</v>
      </c>
      <c r="P1953" s="757"/>
      <c r="Q1953" s="739">
        <f t="shared" si="400"/>
        <v>0</v>
      </c>
      <c r="R1953" s="757"/>
      <c r="S1953" s="755"/>
      <c r="T1953" s="277"/>
      <c r="U1953" s="758" t="str">
        <f t="shared" si="401"/>
        <v/>
      </c>
      <c r="V1953" s="758" t="str">
        <f t="shared" si="402"/>
        <v>1900</v>
      </c>
      <c r="W1953" s="759"/>
      <c r="X1953" s="771"/>
      <c r="Y1953" s="977"/>
      <c r="Z1953" s="758"/>
      <c r="AA1953" s="758" t="str">
        <f t="shared" si="404"/>
        <v/>
      </c>
      <c r="AB1953" s="758" t="str">
        <f t="shared" si="405"/>
        <v/>
      </c>
      <c r="AC1953" s="758" t="str">
        <f t="shared" si="406"/>
        <v/>
      </c>
      <c r="AD1953" s="758" t="str">
        <f t="shared" si="407"/>
        <v>0</v>
      </c>
      <c r="AE1953" s="760"/>
      <c r="AF1953" s="760"/>
      <c r="AG1953" s="443"/>
      <c r="AH1953" s="443"/>
    </row>
    <row r="1954" spans="1:34">
      <c r="A1954" s="728">
        <f t="shared" si="403"/>
        <v>1947</v>
      </c>
      <c r="B1954" s="77"/>
      <c r="C1954" s="747"/>
      <c r="D1954" s="763" t="str">
        <f t="shared" si="394"/>
        <v>January</v>
      </c>
      <c r="E1954" s="763">
        <f t="shared" si="395"/>
        <v>0</v>
      </c>
      <c r="F1954" s="762">
        <f t="shared" si="396"/>
        <v>1900</v>
      </c>
      <c r="G1954" s="747"/>
      <c r="H1954" s="882"/>
      <c r="I1954" s="756"/>
      <c r="J1954" s="756"/>
      <c r="K1954" s="778">
        <f t="shared" si="397"/>
        <v>0</v>
      </c>
      <c r="L1954" s="976"/>
      <c r="M1954" s="736">
        <f t="shared" si="398"/>
        <v>0</v>
      </c>
      <c r="N1954" s="754"/>
      <c r="O1954" s="738">
        <f t="shared" si="399"/>
        <v>0</v>
      </c>
      <c r="P1954" s="757"/>
      <c r="Q1954" s="739">
        <f t="shared" si="400"/>
        <v>0</v>
      </c>
      <c r="R1954" s="757"/>
      <c r="S1954" s="755"/>
      <c r="T1954" s="277"/>
      <c r="U1954" s="758" t="str">
        <f t="shared" si="401"/>
        <v/>
      </c>
      <c r="V1954" s="758" t="str">
        <f t="shared" si="402"/>
        <v>1900</v>
      </c>
      <c r="W1954" s="759"/>
      <c r="X1954" s="771"/>
      <c r="Y1954" s="977"/>
      <c r="Z1954" s="758"/>
      <c r="AA1954" s="758" t="str">
        <f t="shared" si="404"/>
        <v/>
      </c>
      <c r="AB1954" s="758" t="str">
        <f t="shared" si="405"/>
        <v/>
      </c>
      <c r="AC1954" s="758" t="str">
        <f t="shared" si="406"/>
        <v/>
      </c>
      <c r="AD1954" s="758" t="str">
        <f t="shared" si="407"/>
        <v>0</v>
      </c>
      <c r="AE1954" s="760"/>
      <c r="AF1954" s="760"/>
      <c r="AG1954" s="443"/>
      <c r="AH1954" s="443"/>
    </row>
    <row r="1955" spans="1:34">
      <c r="A1955" s="728">
        <f t="shared" si="403"/>
        <v>1948</v>
      </c>
      <c r="B1955" s="77"/>
      <c r="C1955" s="747"/>
      <c r="D1955" s="763" t="str">
        <f t="shared" si="394"/>
        <v>January</v>
      </c>
      <c r="E1955" s="763">
        <f t="shared" si="395"/>
        <v>0</v>
      </c>
      <c r="F1955" s="762">
        <f t="shared" si="396"/>
        <v>1900</v>
      </c>
      <c r="G1955" s="747"/>
      <c r="H1955" s="882"/>
      <c r="I1955" s="756"/>
      <c r="J1955" s="756"/>
      <c r="K1955" s="778">
        <f t="shared" si="397"/>
        <v>0</v>
      </c>
      <c r="L1955" s="976"/>
      <c r="M1955" s="736">
        <f t="shared" si="398"/>
        <v>0</v>
      </c>
      <c r="N1955" s="754"/>
      <c r="O1955" s="738">
        <f t="shared" si="399"/>
        <v>0</v>
      </c>
      <c r="P1955" s="757"/>
      <c r="Q1955" s="739">
        <f t="shared" si="400"/>
        <v>0</v>
      </c>
      <c r="R1955" s="757"/>
      <c r="S1955" s="755"/>
      <c r="T1955" s="277"/>
      <c r="U1955" s="758" t="str">
        <f t="shared" si="401"/>
        <v/>
      </c>
      <c r="V1955" s="758" t="str">
        <f t="shared" si="402"/>
        <v>1900</v>
      </c>
      <c r="W1955" s="759"/>
      <c r="X1955" s="771"/>
      <c r="Y1955" s="977"/>
      <c r="Z1955" s="758"/>
      <c r="AA1955" s="758" t="str">
        <f t="shared" si="404"/>
        <v/>
      </c>
      <c r="AB1955" s="758" t="str">
        <f t="shared" si="405"/>
        <v/>
      </c>
      <c r="AC1955" s="758" t="str">
        <f t="shared" si="406"/>
        <v/>
      </c>
      <c r="AD1955" s="758" t="str">
        <f t="shared" si="407"/>
        <v>0</v>
      </c>
      <c r="AE1955" s="760"/>
      <c r="AF1955" s="760"/>
      <c r="AG1955" s="443"/>
      <c r="AH1955" s="443"/>
    </row>
    <row r="1956" spans="1:34">
      <c r="A1956" s="728">
        <f t="shared" si="403"/>
        <v>1949</v>
      </c>
      <c r="B1956" s="77"/>
      <c r="C1956" s="747"/>
      <c r="D1956" s="763" t="str">
        <f t="shared" si="394"/>
        <v>January</v>
      </c>
      <c r="E1956" s="763">
        <f t="shared" si="395"/>
        <v>0</v>
      </c>
      <c r="F1956" s="762">
        <f t="shared" si="396"/>
        <v>1900</v>
      </c>
      <c r="G1956" s="747"/>
      <c r="H1956" s="882"/>
      <c r="I1956" s="756"/>
      <c r="J1956" s="756"/>
      <c r="K1956" s="778">
        <f t="shared" si="397"/>
        <v>0</v>
      </c>
      <c r="L1956" s="976"/>
      <c r="M1956" s="736">
        <f t="shared" si="398"/>
        <v>0</v>
      </c>
      <c r="N1956" s="754"/>
      <c r="O1956" s="738">
        <f t="shared" si="399"/>
        <v>0</v>
      </c>
      <c r="P1956" s="757"/>
      <c r="Q1956" s="739">
        <f t="shared" si="400"/>
        <v>0</v>
      </c>
      <c r="R1956" s="757"/>
      <c r="S1956" s="755"/>
      <c r="T1956" s="277"/>
      <c r="U1956" s="758" t="str">
        <f t="shared" si="401"/>
        <v/>
      </c>
      <c r="V1956" s="758" t="str">
        <f t="shared" si="402"/>
        <v>1900</v>
      </c>
      <c r="W1956" s="759"/>
      <c r="X1956" s="771"/>
      <c r="Y1956" s="977"/>
      <c r="Z1956" s="758"/>
      <c r="AA1956" s="758" t="str">
        <f t="shared" si="404"/>
        <v/>
      </c>
      <c r="AB1956" s="758" t="str">
        <f t="shared" si="405"/>
        <v/>
      </c>
      <c r="AC1956" s="758" t="str">
        <f t="shared" si="406"/>
        <v/>
      </c>
      <c r="AD1956" s="758" t="str">
        <f t="shared" si="407"/>
        <v>0</v>
      </c>
      <c r="AE1956" s="760"/>
      <c r="AF1956" s="760"/>
      <c r="AG1956" s="443"/>
      <c r="AH1956" s="443"/>
    </row>
    <row r="1957" spans="1:34">
      <c r="A1957" s="728">
        <f t="shared" si="403"/>
        <v>1950</v>
      </c>
      <c r="B1957" s="77"/>
      <c r="C1957" s="747"/>
      <c r="D1957" s="763" t="str">
        <f t="shared" si="394"/>
        <v>January</v>
      </c>
      <c r="E1957" s="763">
        <f t="shared" si="395"/>
        <v>0</v>
      </c>
      <c r="F1957" s="762">
        <f t="shared" si="396"/>
        <v>1900</v>
      </c>
      <c r="G1957" s="747"/>
      <c r="H1957" s="882"/>
      <c r="I1957" s="756"/>
      <c r="J1957" s="756"/>
      <c r="K1957" s="778">
        <f t="shared" si="397"/>
        <v>0</v>
      </c>
      <c r="L1957" s="976"/>
      <c r="M1957" s="736">
        <f t="shared" si="398"/>
        <v>0</v>
      </c>
      <c r="N1957" s="754"/>
      <c r="O1957" s="738">
        <f t="shared" si="399"/>
        <v>0</v>
      </c>
      <c r="P1957" s="757"/>
      <c r="Q1957" s="739">
        <f t="shared" si="400"/>
        <v>0</v>
      </c>
      <c r="R1957" s="757"/>
      <c r="S1957" s="755"/>
      <c r="T1957" s="277"/>
      <c r="U1957" s="758" t="str">
        <f t="shared" si="401"/>
        <v/>
      </c>
      <c r="V1957" s="758" t="str">
        <f t="shared" si="402"/>
        <v>1900</v>
      </c>
      <c r="W1957" s="759"/>
      <c r="X1957" s="771"/>
      <c r="Y1957" s="977"/>
      <c r="Z1957" s="758"/>
      <c r="AA1957" s="758" t="str">
        <f t="shared" si="404"/>
        <v/>
      </c>
      <c r="AB1957" s="758" t="str">
        <f t="shared" si="405"/>
        <v/>
      </c>
      <c r="AC1957" s="758" t="str">
        <f t="shared" si="406"/>
        <v/>
      </c>
      <c r="AD1957" s="758" t="str">
        <f t="shared" si="407"/>
        <v>0</v>
      </c>
      <c r="AE1957" s="760"/>
      <c r="AF1957" s="760"/>
      <c r="AG1957" s="443"/>
      <c r="AH1957" s="443"/>
    </row>
    <row r="1958" spans="1:34">
      <c r="A1958" s="728">
        <f t="shared" si="403"/>
        <v>1951</v>
      </c>
      <c r="B1958" s="77"/>
      <c r="C1958" s="747"/>
      <c r="D1958" s="763" t="str">
        <f t="shared" si="394"/>
        <v>January</v>
      </c>
      <c r="E1958" s="763">
        <f t="shared" si="395"/>
        <v>0</v>
      </c>
      <c r="F1958" s="762">
        <f t="shared" si="396"/>
        <v>1900</v>
      </c>
      <c r="G1958" s="747"/>
      <c r="H1958" s="882"/>
      <c r="I1958" s="756"/>
      <c r="J1958" s="756"/>
      <c r="K1958" s="778">
        <f t="shared" si="397"/>
        <v>0</v>
      </c>
      <c r="L1958" s="976"/>
      <c r="M1958" s="736">
        <f t="shared" si="398"/>
        <v>0</v>
      </c>
      <c r="N1958" s="754"/>
      <c r="O1958" s="738">
        <f t="shared" si="399"/>
        <v>0</v>
      </c>
      <c r="P1958" s="757"/>
      <c r="Q1958" s="739">
        <f t="shared" si="400"/>
        <v>0</v>
      </c>
      <c r="R1958" s="757"/>
      <c r="S1958" s="755"/>
      <c r="T1958" s="277"/>
      <c r="U1958" s="758" t="str">
        <f t="shared" si="401"/>
        <v/>
      </c>
      <c r="V1958" s="758" t="str">
        <f t="shared" si="402"/>
        <v>1900</v>
      </c>
      <c r="W1958" s="759"/>
      <c r="X1958" s="771"/>
      <c r="Y1958" s="977"/>
      <c r="Z1958" s="758"/>
      <c r="AA1958" s="758" t="str">
        <f t="shared" si="404"/>
        <v/>
      </c>
      <c r="AB1958" s="758" t="str">
        <f t="shared" si="405"/>
        <v/>
      </c>
      <c r="AC1958" s="758" t="str">
        <f t="shared" si="406"/>
        <v/>
      </c>
      <c r="AD1958" s="758" t="str">
        <f t="shared" si="407"/>
        <v>0</v>
      </c>
      <c r="AE1958" s="760"/>
      <c r="AF1958" s="760"/>
      <c r="AG1958" s="443"/>
      <c r="AH1958" s="443"/>
    </row>
    <row r="1959" spans="1:34">
      <c r="A1959" s="728">
        <f t="shared" si="403"/>
        <v>1952</v>
      </c>
      <c r="B1959" s="77"/>
      <c r="C1959" s="747"/>
      <c r="D1959" s="763" t="str">
        <f t="shared" si="394"/>
        <v>January</v>
      </c>
      <c r="E1959" s="763">
        <f t="shared" si="395"/>
        <v>0</v>
      </c>
      <c r="F1959" s="762">
        <f t="shared" si="396"/>
        <v>1900</v>
      </c>
      <c r="G1959" s="747"/>
      <c r="H1959" s="882"/>
      <c r="I1959" s="756"/>
      <c r="J1959" s="756"/>
      <c r="K1959" s="778">
        <f t="shared" si="397"/>
        <v>0</v>
      </c>
      <c r="L1959" s="976"/>
      <c r="M1959" s="736">
        <f t="shared" si="398"/>
        <v>0</v>
      </c>
      <c r="N1959" s="754"/>
      <c r="O1959" s="738">
        <f t="shared" si="399"/>
        <v>0</v>
      </c>
      <c r="P1959" s="757"/>
      <c r="Q1959" s="739">
        <f t="shared" si="400"/>
        <v>0</v>
      </c>
      <c r="R1959" s="757"/>
      <c r="S1959" s="755"/>
      <c r="T1959" s="277"/>
      <c r="U1959" s="758" t="str">
        <f t="shared" si="401"/>
        <v/>
      </c>
      <c r="V1959" s="758" t="str">
        <f t="shared" si="402"/>
        <v>1900</v>
      </c>
      <c r="W1959" s="759"/>
      <c r="X1959" s="771"/>
      <c r="Y1959" s="977"/>
      <c r="Z1959" s="758"/>
      <c r="AA1959" s="758" t="str">
        <f t="shared" si="404"/>
        <v/>
      </c>
      <c r="AB1959" s="758" t="str">
        <f t="shared" si="405"/>
        <v/>
      </c>
      <c r="AC1959" s="758" t="str">
        <f t="shared" si="406"/>
        <v/>
      </c>
      <c r="AD1959" s="758" t="str">
        <f t="shared" si="407"/>
        <v>0</v>
      </c>
      <c r="AE1959" s="760"/>
      <c r="AF1959" s="760"/>
      <c r="AG1959" s="443"/>
      <c r="AH1959" s="443"/>
    </row>
    <row r="1960" spans="1:34">
      <c r="A1960" s="728">
        <f t="shared" si="403"/>
        <v>1953</v>
      </c>
      <c r="B1960" s="77"/>
      <c r="C1960" s="747"/>
      <c r="D1960" s="763" t="str">
        <f t="shared" si="394"/>
        <v>January</v>
      </c>
      <c r="E1960" s="763">
        <f t="shared" si="395"/>
        <v>0</v>
      </c>
      <c r="F1960" s="762">
        <f t="shared" si="396"/>
        <v>1900</v>
      </c>
      <c r="G1960" s="747"/>
      <c r="H1960" s="882"/>
      <c r="I1960" s="756"/>
      <c r="J1960" s="756"/>
      <c r="K1960" s="778">
        <f t="shared" si="397"/>
        <v>0</v>
      </c>
      <c r="L1960" s="976"/>
      <c r="M1960" s="736">
        <f t="shared" si="398"/>
        <v>0</v>
      </c>
      <c r="N1960" s="754"/>
      <c r="O1960" s="738">
        <f t="shared" si="399"/>
        <v>0</v>
      </c>
      <c r="P1960" s="757"/>
      <c r="Q1960" s="739">
        <f t="shared" si="400"/>
        <v>0</v>
      </c>
      <c r="R1960" s="757"/>
      <c r="S1960" s="755"/>
      <c r="T1960" s="277"/>
      <c r="U1960" s="758" t="str">
        <f t="shared" si="401"/>
        <v/>
      </c>
      <c r="V1960" s="758" t="str">
        <f t="shared" si="402"/>
        <v>1900</v>
      </c>
      <c r="W1960" s="759"/>
      <c r="X1960" s="771"/>
      <c r="Y1960" s="977"/>
      <c r="Z1960" s="758"/>
      <c r="AA1960" s="758" t="str">
        <f t="shared" si="404"/>
        <v/>
      </c>
      <c r="AB1960" s="758" t="str">
        <f t="shared" si="405"/>
        <v/>
      </c>
      <c r="AC1960" s="758" t="str">
        <f t="shared" si="406"/>
        <v/>
      </c>
      <c r="AD1960" s="758" t="str">
        <f t="shared" si="407"/>
        <v>0</v>
      </c>
      <c r="AE1960" s="760"/>
      <c r="AF1960" s="760"/>
      <c r="AG1960" s="443"/>
      <c r="AH1960" s="443"/>
    </row>
    <row r="1961" spans="1:34">
      <c r="A1961" s="728">
        <f t="shared" si="403"/>
        <v>1954</v>
      </c>
      <c r="B1961" s="77"/>
      <c r="C1961" s="747"/>
      <c r="D1961" s="763" t="str">
        <f t="shared" si="394"/>
        <v>January</v>
      </c>
      <c r="E1961" s="763">
        <f t="shared" si="395"/>
        <v>0</v>
      </c>
      <c r="F1961" s="762">
        <f t="shared" si="396"/>
        <v>1900</v>
      </c>
      <c r="G1961" s="747"/>
      <c r="H1961" s="882"/>
      <c r="I1961" s="756"/>
      <c r="J1961" s="756"/>
      <c r="K1961" s="778">
        <f t="shared" si="397"/>
        <v>0</v>
      </c>
      <c r="L1961" s="976"/>
      <c r="M1961" s="736">
        <f t="shared" si="398"/>
        <v>0</v>
      </c>
      <c r="N1961" s="754"/>
      <c r="O1961" s="738">
        <f t="shared" si="399"/>
        <v>0</v>
      </c>
      <c r="P1961" s="757"/>
      <c r="Q1961" s="739">
        <f t="shared" si="400"/>
        <v>0</v>
      </c>
      <c r="R1961" s="757"/>
      <c r="S1961" s="755"/>
      <c r="T1961" s="277"/>
      <c r="U1961" s="758" t="str">
        <f t="shared" si="401"/>
        <v/>
      </c>
      <c r="V1961" s="758" t="str">
        <f t="shared" si="402"/>
        <v>1900</v>
      </c>
      <c r="W1961" s="759"/>
      <c r="X1961" s="771"/>
      <c r="Y1961" s="977"/>
      <c r="Z1961" s="758"/>
      <c r="AA1961" s="758" t="str">
        <f t="shared" si="404"/>
        <v/>
      </c>
      <c r="AB1961" s="758" t="str">
        <f t="shared" si="405"/>
        <v/>
      </c>
      <c r="AC1961" s="758" t="str">
        <f t="shared" si="406"/>
        <v/>
      </c>
      <c r="AD1961" s="758" t="str">
        <f t="shared" si="407"/>
        <v>0</v>
      </c>
      <c r="AE1961" s="760"/>
      <c r="AF1961" s="760"/>
      <c r="AG1961" s="443"/>
      <c r="AH1961" s="443"/>
    </row>
    <row r="1962" spans="1:34">
      <c r="A1962" s="728">
        <f t="shared" si="403"/>
        <v>1955</v>
      </c>
      <c r="B1962" s="77"/>
      <c r="C1962" s="747"/>
      <c r="D1962" s="763" t="str">
        <f t="shared" si="394"/>
        <v>January</v>
      </c>
      <c r="E1962" s="763">
        <f t="shared" si="395"/>
        <v>0</v>
      </c>
      <c r="F1962" s="762">
        <f t="shared" si="396"/>
        <v>1900</v>
      </c>
      <c r="G1962" s="747"/>
      <c r="H1962" s="882"/>
      <c r="I1962" s="756"/>
      <c r="J1962" s="756"/>
      <c r="K1962" s="778">
        <f t="shared" si="397"/>
        <v>0</v>
      </c>
      <c r="L1962" s="976"/>
      <c r="M1962" s="736">
        <f t="shared" si="398"/>
        <v>0</v>
      </c>
      <c r="N1962" s="754"/>
      <c r="O1962" s="738">
        <f t="shared" si="399"/>
        <v>0</v>
      </c>
      <c r="P1962" s="757"/>
      <c r="Q1962" s="739">
        <f t="shared" si="400"/>
        <v>0</v>
      </c>
      <c r="R1962" s="757"/>
      <c r="S1962" s="755"/>
      <c r="T1962" s="277"/>
      <c r="U1962" s="758" t="str">
        <f t="shared" si="401"/>
        <v/>
      </c>
      <c r="V1962" s="758" t="str">
        <f t="shared" si="402"/>
        <v>1900</v>
      </c>
      <c r="W1962" s="759"/>
      <c r="X1962" s="771"/>
      <c r="Y1962" s="977"/>
      <c r="Z1962" s="758"/>
      <c r="AA1962" s="758" t="str">
        <f t="shared" si="404"/>
        <v/>
      </c>
      <c r="AB1962" s="758" t="str">
        <f t="shared" si="405"/>
        <v/>
      </c>
      <c r="AC1962" s="758" t="str">
        <f t="shared" si="406"/>
        <v/>
      </c>
      <c r="AD1962" s="758" t="str">
        <f t="shared" si="407"/>
        <v>0</v>
      </c>
      <c r="AE1962" s="760"/>
      <c r="AF1962" s="760"/>
      <c r="AG1962" s="443"/>
      <c r="AH1962" s="443"/>
    </row>
    <row r="1963" spans="1:34">
      <c r="A1963" s="728">
        <f t="shared" si="403"/>
        <v>1956</v>
      </c>
      <c r="B1963" s="77"/>
      <c r="C1963" s="747"/>
      <c r="D1963" s="763" t="str">
        <f t="shared" si="394"/>
        <v>January</v>
      </c>
      <c r="E1963" s="763">
        <f t="shared" si="395"/>
        <v>0</v>
      </c>
      <c r="F1963" s="762">
        <f t="shared" si="396"/>
        <v>1900</v>
      </c>
      <c r="G1963" s="747"/>
      <c r="H1963" s="882"/>
      <c r="I1963" s="756"/>
      <c r="J1963" s="756"/>
      <c r="K1963" s="778">
        <f t="shared" si="397"/>
        <v>0</v>
      </c>
      <c r="L1963" s="976"/>
      <c r="M1963" s="736">
        <f t="shared" si="398"/>
        <v>0</v>
      </c>
      <c r="N1963" s="754"/>
      <c r="O1963" s="738">
        <f t="shared" si="399"/>
        <v>0</v>
      </c>
      <c r="P1963" s="757"/>
      <c r="Q1963" s="739">
        <f t="shared" si="400"/>
        <v>0</v>
      </c>
      <c r="R1963" s="757"/>
      <c r="S1963" s="755"/>
      <c r="T1963" s="277"/>
      <c r="U1963" s="758" t="str">
        <f t="shared" si="401"/>
        <v/>
      </c>
      <c r="V1963" s="758" t="str">
        <f t="shared" si="402"/>
        <v>1900</v>
      </c>
      <c r="W1963" s="759"/>
      <c r="X1963" s="771"/>
      <c r="Y1963" s="977"/>
      <c r="Z1963" s="758"/>
      <c r="AA1963" s="758" t="str">
        <f t="shared" si="404"/>
        <v/>
      </c>
      <c r="AB1963" s="758" t="str">
        <f t="shared" si="405"/>
        <v/>
      </c>
      <c r="AC1963" s="758" t="str">
        <f t="shared" si="406"/>
        <v/>
      </c>
      <c r="AD1963" s="758" t="str">
        <f t="shared" si="407"/>
        <v>0</v>
      </c>
      <c r="AE1963" s="760"/>
      <c r="AF1963" s="760"/>
      <c r="AG1963" s="443"/>
      <c r="AH1963" s="443"/>
    </row>
    <row r="1964" spans="1:34">
      <c r="A1964" s="728">
        <f t="shared" si="403"/>
        <v>1957</v>
      </c>
      <c r="B1964" s="77"/>
      <c r="C1964" s="747"/>
      <c r="D1964" s="763" t="str">
        <f t="shared" si="394"/>
        <v>January</v>
      </c>
      <c r="E1964" s="763">
        <f t="shared" si="395"/>
        <v>0</v>
      </c>
      <c r="F1964" s="762">
        <f t="shared" si="396"/>
        <v>1900</v>
      </c>
      <c r="G1964" s="747"/>
      <c r="H1964" s="882"/>
      <c r="I1964" s="756"/>
      <c r="J1964" s="756"/>
      <c r="K1964" s="778">
        <f t="shared" si="397"/>
        <v>0</v>
      </c>
      <c r="L1964" s="976"/>
      <c r="M1964" s="736">
        <f t="shared" si="398"/>
        <v>0</v>
      </c>
      <c r="N1964" s="754"/>
      <c r="O1964" s="738">
        <f t="shared" si="399"/>
        <v>0</v>
      </c>
      <c r="P1964" s="757"/>
      <c r="Q1964" s="739">
        <f t="shared" si="400"/>
        <v>0</v>
      </c>
      <c r="R1964" s="757"/>
      <c r="S1964" s="755"/>
      <c r="T1964" s="277"/>
      <c r="U1964" s="758" t="str">
        <f t="shared" si="401"/>
        <v/>
      </c>
      <c r="V1964" s="758" t="str">
        <f t="shared" si="402"/>
        <v>1900</v>
      </c>
      <c r="W1964" s="759"/>
      <c r="X1964" s="771"/>
      <c r="Y1964" s="977"/>
      <c r="Z1964" s="758"/>
      <c r="AA1964" s="758" t="str">
        <f t="shared" si="404"/>
        <v/>
      </c>
      <c r="AB1964" s="758" t="str">
        <f t="shared" si="405"/>
        <v/>
      </c>
      <c r="AC1964" s="758" t="str">
        <f t="shared" si="406"/>
        <v/>
      </c>
      <c r="AD1964" s="758" t="str">
        <f t="shared" si="407"/>
        <v>0</v>
      </c>
      <c r="AE1964" s="760"/>
      <c r="AF1964" s="760"/>
      <c r="AG1964" s="443"/>
      <c r="AH1964" s="443"/>
    </row>
    <row r="1965" spans="1:34">
      <c r="A1965" s="728">
        <f t="shared" si="403"/>
        <v>1958</v>
      </c>
      <c r="B1965" s="77"/>
      <c r="C1965" s="747"/>
      <c r="D1965" s="763" t="str">
        <f t="shared" si="394"/>
        <v>January</v>
      </c>
      <c r="E1965" s="763">
        <f t="shared" si="395"/>
        <v>0</v>
      </c>
      <c r="F1965" s="762">
        <f t="shared" si="396"/>
        <v>1900</v>
      </c>
      <c r="G1965" s="747"/>
      <c r="H1965" s="882"/>
      <c r="I1965" s="756"/>
      <c r="J1965" s="756"/>
      <c r="K1965" s="778">
        <f t="shared" si="397"/>
        <v>0</v>
      </c>
      <c r="L1965" s="976"/>
      <c r="M1965" s="736">
        <f t="shared" si="398"/>
        <v>0</v>
      </c>
      <c r="N1965" s="754"/>
      <c r="O1965" s="738">
        <f t="shared" si="399"/>
        <v>0</v>
      </c>
      <c r="P1965" s="757"/>
      <c r="Q1965" s="739">
        <f t="shared" si="400"/>
        <v>0</v>
      </c>
      <c r="R1965" s="757"/>
      <c r="S1965" s="755"/>
      <c r="T1965" s="277"/>
      <c r="U1965" s="758" t="str">
        <f t="shared" si="401"/>
        <v/>
      </c>
      <c r="V1965" s="758" t="str">
        <f t="shared" si="402"/>
        <v>1900</v>
      </c>
      <c r="W1965" s="759"/>
      <c r="X1965" s="771"/>
      <c r="Y1965" s="977"/>
      <c r="Z1965" s="758"/>
      <c r="AA1965" s="758" t="str">
        <f t="shared" si="404"/>
        <v/>
      </c>
      <c r="AB1965" s="758" t="str">
        <f t="shared" si="405"/>
        <v/>
      </c>
      <c r="AC1965" s="758" t="str">
        <f t="shared" si="406"/>
        <v/>
      </c>
      <c r="AD1965" s="758" t="str">
        <f t="shared" si="407"/>
        <v>0</v>
      </c>
      <c r="AE1965" s="760"/>
      <c r="AF1965" s="760"/>
      <c r="AG1965" s="443"/>
      <c r="AH1965" s="443"/>
    </row>
    <row r="1966" spans="1:34">
      <c r="A1966" s="728">
        <f t="shared" si="403"/>
        <v>1959</v>
      </c>
      <c r="B1966" s="77"/>
      <c r="C1966" s="747"/>
      <c r="D1966" s="763" t="str">
        <f t="shared" si="394"/>
        <v>January</v>
      </c>
      <c r="E1966" s="763">
        <f t="shared" si="395"/>
        <v>0</v>
      </c>
      <c r="F1966" s="762">
        <f t="shared" si="396"/>
        <v>1900</v>
      </c>
      <c r="G1966" s="747"/>
      <c r="H1966" s="882"/>
      <c r="I1966" s="756"/>
      <c r="J1966" s="756"/>
      <c r="K1966" s="778">
        <f t="shared" si="397"/>
        <v>0</v>
      </c>
      <c r="L1966" s="976"/>
      <c r="M1966" s="736">
        <f t="shared" si="398"/>
        <v>0</v>
      </c>
      <c r="N1966" s="754"/>
      <c r="O1966" s="738">
        <f t="shared" si="399"/>
        <v>0</v>
      </c>
      <c r="P1966" s="757"/>
      <c r="Q1966" s="739">
        <f t="shared" si="400"/>
        <v>0</v>
      </c>
      <c r="R1966" s="757"/>
      <c r="S1966" s="755"/>
      <c r="T1966" s="277"/>
      <c r="U1966" s="758" t="str">
        <f t="shared" si="401"/>
        <v/>
      </c>
      <c r="V1966" s="758" t="str">
        <f t="shared" si="402"/>
        <v>1900</v>
      </c>
      <c r="W1966" s="759"/>
      <c r="X1966" s="771"/>
      <c r="Y1966" s="977"/>
      <c r="Z1966" s="758"/>
      <c r="AA1966" s="758" t="str">
        <f t="shared" si="404"/>
        <v/>
      </c>
      <c r="AB1966" s="758" t="str">
        <f t="shared" si="405"/>
        <v/>
      </c>
      <c r="AC1966" s="758" t="str">
        <f t="shared" si="406"/>
        <v/>
      </c>
      <c r="AD1966" s="758" t="str">
        <f t="shared" si="407"/>
        <v>0</v>
      </c>
      <c r="AE1966" s="760"/>
      <c r="AF1966" s="760"/>
      <c r="AG1966" s="443"/>
      <c r="AH1966" s="443"/>
    </row>
    <row r="1967" spans="1:34">
      <c r="A1967" s="728">
        <f t="shared" si="403"/>
        <v>1960</v>
      </c>
      <c r="B1967" s="77"/>
      <c r="C1967" s="747"/>
      <c r="D1967" s="763" t="str">
        <f t="shared" si="394"/>
        <v>January</v>
      </c>
      <c r="E1967" s="763">
        <f t="shared" si="395"/>
        <v>0</v>
      </c>
      <c r="F1967" s="762">
        <f t="shared" si="396"/>
        <v>1900</v>
      </c>
      <c r="G1967" s="747"/>
      <c r="H1967" s="882"/>
      <c r="I1967" s="756"/>
      <c r="J1967" s="756"/>
      <c r="K1967" s="778">
        <f t="shared" si="397"/>
        <v>0</v>
      </c>
      <c r="L1967" s="976"/>
      <c r="M1967" s="736">
        <f t="shared" si="398"/>
        <v>0</v>
      </c>
      <c r="N1967" s="754"/>
      <c r="O1967" s="738">
        <f t="shared" si="399"/>
        <v>0</v>
      </c>
      <c r="P1967" s="757"/>
      <c r="Q1967" s="739">
        <f t="shared" si="400"/>
        <v>0</v>
      </c>
      <c r="R1967" s="757"/>
      <c r="S1967" s="755"/>
      <c r="T1967" s="277"/>
      <c r="U1967" s="758" t="str">
        <f t="shared" si="401"/>
        <v/>
      </c>
      <c r="V1967" s="758" t="str">
        <f t="shared" si="402"/>
        <v>1900</v>
      </c>
      <c r="W1967" s="759"/>
      <c r="X1967" s="771"/>
      <c r="Y1967" s="977"/>
      <c r="Z1967" s="758"/>
      <c r="AA1967" s="758" t="str">
        <f t="shared" si="404"/>
        <v/>
      </c>
      <c r="AB1967" s="758" t="str">
        <f t="shared" si="405"/>
        <v/>
      </c>
      <c r="AC1967" s="758" t="str">
        <f t="shared" si="406"/>
        <v/>
      </c>
      <c r="AD1967" s="758" t="str">
        <f t="shared" si="407"/>
        <v>0</v>
      </c>
      <c r="AE1967" s="760"/>
      <c r="AF1967" s="760"/>
      <c r="AG1967" s="443"/>
      <c r="AH1967" s="443"/>
    </row>
    <row r="1968" spans="1:34">
      <c r="A1968" s="728">
        <f t="shared" si="403"/>
        <v>1961</v>
      </c>
      <c r="B1968" s="77"/>
      <c r="C1968" s="747"/>
      <c r="D1968" s="763" t="str">
        <f t="shared" si="394"/>
        <v>January</v>
      </c>
      <c r="E1968" s="763">
        <f t="shared" si="395"/>
        <v>0</v>
      </c>
      <c r="F1968" s="762">
        <f t="shared" si="396"/>
        <v>1900</v>
      </c>
      <c r="G1968" s="747"/>
      <c r="H1968" s="882"/>
      <c r="I1968" s="756"/>
      <c r="J1968" s="756"/>
      <c r="K1968" s="778">
        <f t="shared" si="397"/>
        <v>0</v>
      </c>
      <c r="L1968" s="976"/>
      <c r="M1968" s="736">
        <f t="shared" si="398"/>
        <v>0</v>
      </c>
      <c r="N1968" s="754"/>
      <c r="O1968" s="738">
        <f t="shared" si="399"/>
        <v>0</v>
      </c>
      <c r="P1968" s="757"/>
      <c r="Q1968" s="739">
        <f t="shared" si="400"/>
        <v>0</v>
      </c>
      <c r="R1968" s="757"/>
      <c r="S1968" s="755"/>
      <c r="T1968" s="277"/>
      <c r="U1968" s="758" t="str">
        <f t="shared" si="401"/>
        <v/>
      </c>
      <c r="V1968" s="758" t="str">
        <f t="shared" si="402"/>
        <v>1900</v>
      </c>
      <c r="W1968" s="759"/>
      <c r="X1968" s="771"/>
      <c r="Y1968" s="977"/>
      <c r="Z1968" s="758"/>
      <c r="AA1968" s="758" t="str">
        <f t="shared" si="404"/>
        <v/>
      </c>
      <c r="AB1968" s="758" t="str">
        <f t="shared" si="405"/>
        <v/>
      </c>
      <c r="AC1968" s="758" t="str">
        <f t="shared" si="406"/>
        <v/>
      </c>
      <c r="AD1968" s="758" t="str">
        <f t="shared" si="407"/>
        <v>0</v>
      </c>
      <c r="AE1968" s="760"/>
      <c r="AF1968" s="760"/>
      <c r="AG1968" s="443"/>
      <c r="AH1968" s="443"/>
    </row>
    <row r="1969" spans="1:34">
      <c r="A1969" s="728">
        <f t="shared" si="403"/>
        <v>1962</v>
      </c>
      <c r="B1969" s="77"/>
      <c r="C1969" s="747"/>
      <c r="D1969" s="763" t="str">
        <f t="shared" si="394"/>
        <v>January</v>
      </c>
      <c r="E1969" s="763">
        <f t="shared" si="395"/>
        <v>0</v>
      </c>
      <c r="F1969" s="762">
        <f t="shared" si="396"/>
        <v>1900</v>
      </c>
      <c r="G1969" s="747"/>
      <c r="H1969" s="882"/>
      <c r="I1969" s="756"/>
      <c r="J1969" s="756"/>
      <c r="K1969" s="778">
        <f t="shared" si="397"/>
        <v>0</v>
      </c>
      <c r="L1969" s="976"/>
      <c r="M1969" s="736">
        <f t="shared" si="398"/>
        <v>0</v>
      </c>
      <c r="N1969" s="754"/>
      <c r="O1969" s="738">
        <f t="shared" si="399"/>
        <v>0</v>
      </c>
      <c r="P1969" s="757"/>
      <c r="Q1969" s="739">
        <f t="shared" si="400"/>
        <v>0</v>
      </c>
      <c r="R1969" s="757"/>
      <c r="S1969" s="755"/>
      <c r="T1969" s="277"/>
      <c r="U1969" s="758" t="str">
        <f t="shared" si="401"/>
        <v/>
      </c>
      <c r="V1969" s="758" t="str">
        <f t="shared" si="402"/>
        <v>1900</v>
      </c>
      <c r="W1969" s="759"/>
      <c r="X1969" s="771"/>
      <c r="Y1969" s="977"/>
      <c r="Z1969" s="758"/>
      <c r="AA1969" s="758" t="str">
        <f t="shared" si="404"/>
        <v/>
      </c>
      <c r="AB1969" s="758" t="str">
        <f t="shared" si="405"/>
        <v/>
      </c>
      <c r="AC1969" s="758" t="str">
        <f t="shared" si="406"/>
        <v/>
      </c>
      <c r="AD1969" s="758" t="str">
        <f t="shared" si="407"/>
        <v>0</v>
      </c>
      <c r="AE1969" s="760"/>
      <c r="AF1969" s="760"/>
      <c r="AG1969" s="443"/>
      <c r="AH1969" s="443"/>
    </row>
    <row r="1970" spans="1:34">
      <c r="A1970" s="728">
        <f t="shared" si="403"/>
        <v>1963</v>
      </c>
      <c r="B1970" s="77"/>
      <c r="C1970" s="747"/>
      <c r="D1970" s="763" t="str">
        <f t="shared" si="394"/>
        <v>January</v>
      </c>
      <c r="E1970" s="763">
        <f t="shared" si="395"/>
        <v>0</v>
      </c>
      <c r="F1970" s="762">
        <f t="shared" si="396"/>
        <v>1900</v>
      </c>
      <c r="G1970" s="747"/>
      <c r="H1970" s="882"/>
      <c r="I1970" s="756"/>
      <c r="J1970" s="756"/>
      <c r="K1970" s="778">
        <f t="shared" si="397"/>
        <v>0</v>
      </c>
      <c r="L1970" s="976"/>
      <c r="M1970" s="736">
        <f t="shared" si="398"/>
        <v>0</v>
      </c>
      <c r="N1970" s="754"/>
      <c r="O1970" s="738">
        <f t="shared" si="399"/>
        <v>0</v>
      </c>
      <c r="P1970" s="757"/>
      <c r="Q1970" s="739">
        <f t="shared" si="400"/>
        <v>0</v>
      </c>
      <c r="R1970" s="757"/>
      <c r="S1970" s="755"/>
      <c r="T1970" s="277"/>
      <c r="U1970" s="758" t="str">
        <f t="shared" si="401"/>
        <v/>
      </c>
      <c r="V1970" s="758" t="str">
        <f t="shared" si="402"/>
        <v>1900</v>
      </c>
      <c r="W1970" s="759"/>
      <c r="X1970" s="771"/>
      <c r="Y1970" s="977"/>
      <c r="Z1970" s="758"/>
      <c r="AA1970" s="758" t="str">
        <f t="shared" si="404"/>
        <v/>
      </c>
      <c r="AB1970" s="758" t="str">
        <f t="shared" si="405"/>
        <v/>
      </c>
      <c r="AC1970" s="758" t="str">
        <f t="shared" si="406"/>
        <v/>
      </c>
      <c r="AD1970" s="758" t="str">
        <f t="shared" si="407"/>
        <v>0</v>
      </c>
      <c r="AE1970" s="760"/>
      <c r="AF1970" s="760"/>
      <c r="AG1970" s="443"/>
      <c r="AH1970" s="443"/>
    </row>
    <row r="1971" spans="1:34">
      <c r="A1971" s="728">
        <f t="shared" si="403"/>
        <v>1964</v>
      </c>
      <c r="B1971" s="77"/>
      <c r="C1971" s="747"/>
      <c r="D1971" s="763" t="str">
        <f t="shared" si="394"/>
        <v>January</v>
      </c>
      <c r="E1971" s="763">
        <f t="shared" si="395"/>
        <v>0</v>
      </c>
      <c r="F1971" s="762">
        <f t="shared" si="396"/>
        <v>1900</v>
      </c>
      <c r="G1971" s="747"/>
      <c r="H1971" s="882"/>
      <c r="I1971" s="756"/>
      <c r="J1971" s="756"/>
      <c r="K1971" s="778">
        <f t="shared" si="397"/>
        <v>0</v>
      </c>
      <c r="L1971" s="976"/>
      <c r="M1971" s="736">
        <f t="shared" si="398"/>
        <v>0</v>
      </c>
      <c r="N1971" s="754"/>
      <c r="O1971" s="738">
        <f t="shared" si="399"/>
        <v>0</v>
      </c>
      <c r="P1971" s="757"/>
      <c r="Q1971" s="739">
        <f t="shared" si="400"/>
        <v>0</v>
      </c>
      <c r="R1971" s="757"/>
      <c r="S1971" s="755"/>
      <c r="T1971" s="277"/>
      <c r="U1971" s="758" t="str">
        <f t="shared" si="401"/>
        <v/>
      </c>
      <c r="V1971" s="758" t="str">
        <f t="shared" si="402"/>
        <v>1900</v>
      </c>
      <c r="W1971" s="759"/>
      <c r="X1971" s="771"/>
      <c r="Y1971" s="977"/>
      <c r="Z1971" s="758"/>
      <c r="AA1971" s="758" t="str">
        <f t="shared" si="404"/>
        <v/>
      </c>
      <c r="AB1971" s="758" t="str">
        <f t="shared" si="405"/>
        <v/>
      </c>
      <c r="AC1971" s="758" t="str">
        <f t="shared" si="406"/>
        <v/>
      </c>
      <c r="AD1971" s="758" t="str">
        <f t="shared" si="407"/>
        <v>0</v>
      </c>
      <c r="AE1971" s="760"/>
      <c r="AF1971" s="760"/>
      <c r="AG1971" s="443"/>
      <c r="AH1971" s="443"/>
    </row>
    <row r="1972" spans="1:34">
      <c r="A1972" s="728">
        <f t="shared" si="403"/>
        <v>1965</v>
      </c>
      <c r="B1972" s="77"/>
      <c r="C1972" s="747"/>
      <c r="D1972" s="763" t="str">
        <f t="shared" si="394"/>
        <v>January</v>
      </c>
      <c r="E1972" s="763">
        <f t="shared" si="395"/>
        <v>0</v>
      </c>
      <c r="F1972" s="762">
        <f t="shared" si="396"/>
        <v>1900</v>
      </c>
      <c r="G1972" s="747"/>
      <c r="H1972" s="882"/>
      <c r="I1972" s="756"/>
      <c r="J1972" s="756"/>
      <c r="K1972" s="778">
        <f t="shared" si="397"/>
        <v>0</v>
      </c>
      <c r="L1972" s="976"/>
      <c r="M1972" s="736">
        <f t="shared" si="398"/>
        <v>0</v>
      </c>
      <c r="N1972" s="754"/>
      <c r="O1972" s="738">
        <f t="shared" si="399"/>
        <v>0</v>
      </c>
      <c r="P1972" s="757"/>
      <c r="Q1972" s="739">
        <f t="shared" si="400"/>
        <v>0</v>
      </c>
      <c r="R1972" s="757"/>
      <c r="S1972" s="755"/>
      <c r="T1972" s="277"/>
      <c r="U1972" s="758" t="str">
        <f t="shared" si="401"/>
        <v/>
      </c>
      <c r="V1972" s="758" t="str">
        <f t="shared" si="402"/>
        <v>1900</v>
      </c>
      <c r="W1972" s="759"/>
      <c r="X1972" s="771"/>
      <c r="Y1972" s="977"/>
      <c r="Z1972" s="758"/>
      <c r="AA1972" s="758" t="str">
        <f t="shared" si="404"/>
        <v/>
      </c>
      <c r="AB1972" s="758" t="str">
        <f t="shared" si="405"/>
        <v/>
      </c>
      <c r="AC1972" s="758" t="str">
        <f t="shared" si="406"/>
        <v/>
      </c>
      <c r="AD1972" s="758" t="str">
        <f t="shared" si="407"/>
        <v>0</v>
      </c>
      <c r="AE1972" s="760"/>
      <c r="AF1972" s="760"/>
      <c r="AG1972" s="443"/>
      <c r="AH1972" s="443"/>
    </row>
    <row r="1973" spans="1:34">
      <c r="A1973" s="728">
        <f t="shared" si="403"/>
        <v>1966</v>
      </c>
      <c r="B1973" s="77"/>
      <c r="C1973" s="747"/>
      <c r="D1973" s="763" t="str">
        <f t="shared" si="394"/>
        <v>January</v>
      </c>
      <c r="E1973" s="763">
        <f t="shared" si="395"/>
        <v>0</v>
      </c>
      <c r="F1973" s="762">
        <f t="shared" si="396"/>
        <v>1900</v>
      </c>
      <c r="G1973" s="747"/>
      <c r="H1973" s="882"/>
      <c r="I1973" s="756"/>
      <c r="J1973" s="756"/>
      <c r="K1973" s="778">
        <f t="shared" si="397"/>
        <v>0</v>
      </c>
      <c r="L1973" s="976"/>
      <c r="M1973" s="736">
        <f t="shared" si="398"/>
        <v>0</v>
      </c>
      <c r="N1973" s="754"/>
      <c r="O1973" s="738">
        <f t="shared" si="399"/>
        <v>0</v>
      </c>
      <c r="P1973" s="757"/>
      <c r="Q1973" s="739">
        <f t="shared" si="400"/>
        <v>0</v>
      </c>
      <c r="R1973" s="757"/>
      <c r="S1973" s="755"/>
      <c r="T1973" s="277"/>
      <c r="U1973" s="758" t="str">
        <f t="shared" si="401"/>
        <v/>
      </c>
      <c r="V1973" s="758" t="str">
        <f t="shared" si="402"/>
        <v>1900</v>
      </c>
      <c r="W1973" s="759"/>
      <c r="X1973" s="771"/>
      <c r="Y1973" s="977"/>
      <c r="Z1973" s="758"/>
      <c r="AA1973" s="758" t="str">
        <f t="shared" si="404"/>
        <v/>
      </c>
      <c r="AB1973" s="758" t="str">
        <f t="shared" si="405"/>
        <v/>
      </c>
      <c r="AC1973" s="758" t="str">
        <f t="shared" si="406"/>
        <v/>
      </c>
      <c r="AD1973" s="758" t="str">
        <f t="shared" si="407"/>
        <v>0</v>
      </c>
      <c r="AE1973" s="760"/>
      <c r="AF1973" s="760"/>
      <c r="AG1973" s="443"/>
      <c r="AH1973" s="443"/>
    </row>
    <row r="1974" spans="1:34">
      <c r="A1974" s="728">
        <f t="shared" si="403"/>
        <v>1967</v>
      </c>
      <c r="B1974" s="77"/>
      <c r="C1974" s="747"/>
      <c r="D1974" s="763" t="str">
        <f t="shared" si="394"/>
        <v>January</v>
      </c>
      <c r="E1974" s="763">
        <f t="shared" si="395"/>
        <v>0</v>
      </c>
      <c r="F1974" s="762">
        <f t="shared" si="396"/>
        <v>1900</v>
      </c>
      <c r="G1974" s="747"/>
      <c r="H1974" s="882"/>
      <c r="I1974" s="756"/>
      <c r="J1974" s="756"/>
      <c r="K1974" s="778">
        <f t="shared" si="397"/>
        <v>0</v>
      </c>
      <c r="L1974" s="976"/>
      <c r="M1974" s="736">
        <f t="shared" si="398"/>
        <v>0</v>
      </c>
      <c r="N1974" s="754"/>
      <c r="O1974" s="738">
        <f t="shared" si="399"/>
        <v>0</v>
      </c>
      <c r="P1974" s="757"/>
      <c r="Q1974" s="739">
        <f t="shared" si="400"/>
        <v>0</v>
      </c>
      <c r="R1974" s="757"/>
      <c r="S1974" s="755"/>
      <c r="T1974" s="277"/>
      <c r="U1974" s="758" t="str">
        <f t="shared" si="401"/>
        <v/>
      </c>
      <c r="V1974" s="758" t="str">
        <f t="shared" si="402"/>
        <v>1900</v>
      </c>
      <c r="W1974" s="759"/>
      <c r="X1974" s="771"/>
      <c r="Y1974" s="977"/>
      <c r="Z1974" s="758"/>
      <c r="AA1974" s="758" t="str">
        <f t="shared" si="404"/>
        <v/>
      </c>
      <c r="AB1974" s="758" t="str">
        <f t="shared" si="405"/>
        <v/>
      </c>
      <c r="AC1974" s="758" t="str">
        <f t="shared" si="406"/>
        <v/>
      </c>
      <c r="AD1974" s="758" t="str">
        <f t="shared" si="407"/>
        <v>0</v>
      </c>
      <c r="AE1974" s="760"/>
      <c r="AF1974" s="760"/>
      <c r="AG1974" s="443"/>
      <c r="AH1974" s="443"/>
    </row>
    <row r="1975" spans="1:34">
      <c r="A1975" s="728">
        <f t="shared" si="403"/>
        <v>1968</v>
      </c>
      <c r="B1975" s="77"/>
      <c r="C1975" s="747"/>
      <c r="D1975" s="763" t="str">
        <f t="shared" si="394"/>
        <v>January</v>
      </c>
      <c r="E1975" s="763">
        <f t="shared" si="395"/>
        <v>0</v>
      </c>
      <c r="F1975" s="762">
        <f t="shared" si="396"/>
        <v>1900</v>
      </c>
      <c r="G1975" s="747"/>
      <c r="H1975" s="882"/>
      <c r="I1975" s="756"/>
      <c r="J1975" s="756"/>
      <c r="K1975" s="778">
        <f t="shared" si="397"/>
        <v>0</v>
      </c>
      <c r="L1975" s="976"/>
      <c r="M1975" s="736">
        <f t="shared" si="398"/>
        <v>0</v>
      </c>
      <c r="N1975" s="754"/>
      <c r="O1975" s="738">
        <f t="shared" si="399"/>
        <v>0</v>
      </c>
      <c r="P1975" s="757"/>
      <c r="Q1975" s="739">
        <f t="shared" si="400"/>
        <v>0</v>
      </c>
      <c r="R1975" s="757"/>
      <c r="S1975" s="755"/>
      <c r="T1975" s="277"/>
      <c r="U1975" s="758" t="str">
        <f t="shared" si="401"/>
        <v/>
      </c>
      <c r="V1975" s="758" t="str">
        <f t="shared" si="402"/>
        <v>1900</v>
      </c>
      <c r="W1975" s="759"/>
      <c r="X1975" s="771"/>
      <c r="Y1975" s="977"/>
      <c r="Z1975" s="758"/>
      <c r="AA1975" s="758" t="str">
        <f t="shared" si="404"/>
        <v/>
      </c>
      <c r="AB1975" s="758" t="str">
        <f t="shared" si="405"/>
        <v/>
      </c>
      <c r="AC1975" s="758" t="str">
        <f t="shared" si="406"/>
        <v/>
      </c>
      <c r="AD1975" s="758" t="str">
        <f t="shared" si="407"/>
        <v>0</v>
      </c>
      <c r="AE1975" s="760"/>
      <c r="AF1975" s="760"/>
      <c r="AG1975" s="443"/>
      <c r="AH1975" s="443"/>
    </row>
    <row r="1976" spans="1:34">
      <c r="A1976" s="728">
        <f t="shared" si="403"/>
        <v>1969</v>
      </c>
      <c r="B1976" s="77"/>
      <c r="C1976" s="747"/>
      <c r="D1976" s="763" t="str">
        <f t="shared" si="394"/>
        <v>January</v>
      </c>
      <c r="E1976" s="763">
        <f t="shared" si="395"/>
        <v>0</v>
      </c>
      <c r="F1976" s="762">
        <f t="shared" si="396"/>
        <v>1900</v>
      </c>
      <c r="G1976" s="747"/>
      <c r="H1976" s="882"/>
      <c r="I1976" s="756"/>
      <c r="J1976" s="756"/>
      <c r="K1976" s="778">
        <f t="shared" si="397"/>
        <v>0</v>
      </c>
      <c r="L1976" s="976"/>
      <c r="M1976" s="736">
        <f t="shared" si="398"/>
        <v>0</v>
      </c>
      <c r="N1976" s="754"/>
      <c r="O1976" s="738">
        <f t="shared" si="399"/>
        <v>0</v>
      </c>
      <c r="P1976" s="757"/>
      <c r="Q1976" s="739">
        <f t="shared" si="400"/>
        <v>0</v>
      </c>
      <c r="R1976" s="757"/>
      <c r="S1976" s="755"/>
      <c r="T1976" s="277"/>
      <c r="U1976" s="758" t="str">
        <f t="shared" si="401"/>
        <v/>
      </c>
      <c r="V1976" s="758" t="str">
        <f t="shared" si="402"/>
        <v>1900</v>
      </c>
      <c r="W1976" s="759"/>
      <c r="X1976" s="771"/>
      <c r="Y1976" s="977"/>
      <c r="Z1976" s="758"/>
      <c r="AA1976" s="758" t="str">
        <f t="shared" si="404"/>
        <v/>
      </c>
      <c r="AB1976" s="758" t="str">
        <f t="shared" si="405"/>
        <v/>
      </c>
      <c r="AC1976" s="758" t="str">
        <f t="shared" si="406"/>
        <v/>
      </c>
      <c r="AD1976" s="758" t="str">
        <f t="shared" si="407"/>
        <v>0</v>
      </c>
      <c r="AE1976" s="760"/>
      <c r="AF1976" s="760"/>
      <c r="AG1976" s="443"/>
      <c r="AH1976" s="443"/>
    </row>
    <row r="1977" spans="1:34">
      <c r="A1977" s="728">
        <f t="shared" si="403"/>
        <v>1970</v>
      </c>
      <c r="B1977" s="77"/>
      <c r="C1977" s="747"/>
      <c r="D1977" s="763" t="str">
        <f t="shared" ref="D1977:D2001" si="408">TEXT(C1977,"mmmm")</f>
        <v>January</v>
      </c>
      <c r="E1977" s="763">
        <f t="shared" ref="E1977:E2001" si="409">DAY(C1977)</f>
        <v>0</v>
      </c>
      <c r="F1977" s="762">
        <f t="shared" ref="F1977:F2001" si="410">YEAR(C1977)</f>
        <v>1900</v>
      </c>
      <c r="G1977" s="747"/>
      <c r="H1977" s="882"/>
      <c r="I1977" s="756"/>
      <c r="J1977" s="756"/>
      <c r="K1977" s="778">
        <f t="shared" ref="K1977:K2001" si="411">+(I1977/1760)*J1977</f>
        <v>0</v>
      </c>
      <c r="L1977" s="976"/>
      <c r="M1977" s="736">
        <f t="shared" ref="M1977:M2001" si="412">HOUR(O1977)</f>
        <v>0</v>
      </c>
      <c r="N1977" s="754"/>
      <c r="O1977" s="738">
        <f t="shared" ref="O1977:O2001" si="413">+N1977</f>
        <v>0</v>
      </c>
      <c r="P1977" s="757"/>
      <c r="Q1977" s="739">
        <f t="shared" ref="Q1977:Q2001" si="414">+P1977-O1977</f>
        <v>0</v>
      </c>
      <c r="R1977" s="757"/>
      <c r="S1977" s="755"/>
      <c r="T1977" s="277"/>
      <c r="U1977" s="758" t="str">
        <f t="shared" si="401"/>
        <v/>
      </c>
      <c r="V1977" s="758" t="str">
        <f t="shared" si="402"/>
        <v>1900</v>
      </c>
      <c r="W1977" s="759"/>
      <c r="X1977" s="771"/>
      <c r="Y1977" s="977"/>
      <c r="Z1977" s="758"/>
      <c r="AA1977" s="758" t="str">
        <f t="shared" si="404"/>
        <v/>
      </c>
      <c r="AB1977" s="758" t="str">
        <f t="shared" si="405"/>
        <v/>
      </c>
      <c r="AC1977" s="758" t="str">
        <f t="shared" si="406"/>
        <v/>
      </c>
      <c r="AD1977" s="758" t="str">
        <f t="shared" si="407"/>
        <v>0</v>
      </c>
      <c r="AE1977" s="760"/>
      <c r="AF1977" s="760"/>
      <c r="AG1977" s="443"/>
      <c r="AH1977" s="443"/>
    </row>
    <row r="1978" spans="1:34">
      <c r="A1978" s="728">
        <f t="shared" si="403"/>
        <v>1971</v>
      </c>
      <c r="B1978" s="77"/>
      <c r="C1978" s="747"/>
      <c r="D1978" s="763" t="str">
        <f t="shared" si="408"/>
        <v>January</v>
      </c>
      <c r="E1978" s="763">
        <f t="shared" si="409"/>
        <v>0</v>
      </c>
      <c r="F1978" s="762">
        <f t="shared" si="410"/>
        <v>1900</v>
      </c>
      <c r="G1978" s="747"/>
      <c r="H1978" s="882"/>
      <c r="I1978" s="756"/>
      <c r="J1978" s="756"/>
      <c r="K1978" s="778">
        <f t="shared" si="411"/>
        <v>0</v>
      </c>
      <c r="L1978" s="976"/>
      <c r="M1978" s="736">
        <f t="shared" si="412"/>
        <v>0</v>
      </c>
      <c r="N1978" s="754"/>
      <c r="O1978" s="738">
        <f t="shared" si="413"/>
        <v>0</v>
      </c>
      <c r="P1978" s="757"/>
      <c r="Q1978" s="739">
        <f t="shared" si="414"/>
        <v>0</v>
      </c>
      <c r="R1978" s="757"/>
      <c r="S1978" s="755"/>
      <c r="T1978" s="277"/>
      <c r="U1978" s="758" t="str">
        <f t="shared" si="401"/>
        <v/>
      </c>
      <c r="V1978" s="758" t="str">
        <f t="shared" si="402"/>
        <v>1900</v>
      </c>
      <c r="W1978" s="759"/>
      <c r="X1978" s="771"/>
      <c r="Y1978" s="977"/>
      <c r="Z1978" s="758"/>
      <c r="AA1978" s="758" t="str">
        <f t="shared" si="404"/>
        <v/>
      </c>
      <c r="AB1978" s="758" t="str">
        <f t="shared" si="405"/>
        <v/>
      </c>
      <c r="AC1978" s="758" t="str">
        <f t="shared" si="406"/>
        <v/>
      </c>
      <c r="AD1978" s="758" t="str">
        <f t="shared" si="407"/>
        <v>0</v>
      </c>
      <c r="AE1978" s="760"/>
      <c r="AF1978" s="760"/>
      <c r="AG1978" s="443"/>
      <c r="AH1978" s="443"/>
    </row>
    <row r="1979" spans="1:34">
      <c r="A1979" s="728">
        <f t="shared" si="403"/>
        <v>1972</v>
      </c>
      <c r="B1979" s="77"/>
      <c r="C1979" s="747"/>
      <c r="D1979" s="763" t="str">
        <f t="shared" si="408"/>
        <v>January</v>
      </c>
      <c r="E1979" s="763">
        <f t="shared" si="409"/>
        <v>0</v>
      </c>
      <c r="F1979" s="762">
        <f t="shared" si="410"/>
        <v>1900</v>
      </c>
      <c r="G1979" s="747"/>
      <c r="H1979" s="882"/>
      <c r="I1979" s="756"/>
      <c r="J1979" s="756"/>
      <c r="K1979" s="778">
        <f t="shared" si="411"/>
        <v>0</v>
      </c>
      <c r="L1979" s="976"/>
      <c r="M1979" s="736">
        <f t="shared" si="412"/>
        <v>0</v>
      </c>
      <c r="N1979" s="754"/>
      <c r="O1979" s="738">
        <f t="shared" si="413"/>
        <v>0</v>
      </c>
      <c r="P1979" s="757"/>
      <c r="Q1979" s="739">
        <f t="shared" si="414"/>
        <v>0</v>
      </c>
      <c r="R1979" s="757"/>
      <c r="S1979" s="755"/>
      <c r="T1979" s="277"/>
      <c r="U1979" s="758" t="str">
        <f t="shared" si="401"/>
        <v/>
      </c>
      <c r="V1979" s="758" t="str">
        <f t="shared" si="402"/>
        <v>1900</v>
      </c>
      <c r="W1979" s="759"/>
      <c r="X1979" s="771"/>
      <c r="Y1979" s="977"/>
      <c r="Z1979" s="758"/>
      <c r="AA1979" s="758" t="str">
        <f t="shared" si="404"/>
        <v/>
      </c>
      <c r="AB1979" s="758" t="str">
        <f t="shared" si="405"/>
        <v/>
      </c>
      <c r="AC1979" s="758" t="str">
        <f t="shared" si="406"/>
        <v/>
      </c>
      <c r="AD1979" s="758" t="str">
        <f t="shared" si="407"/>
        <v>0</v>
      </c>
      <c r="AE1979" s="760"/>
      <c r="AF1979" s="760"/>
      <c r="AG1979" s="443"/>
      <c r="AH1979" s="443"/>
    </row>
    <row r="1980" spans="1:34">
      <c r="A1980" s="728">
        <f t="shared" si="403"/>
        <v>1973</v>
      </c>
      <c r="B1980" s="77"/>
      <c r="C1980" s="747"/>
      <c r="D1980" s="763" t="str">
        <f t="shared" si="408"/>
        <v>January</v>
      </c>
      <c r="E1980" s="763">
        <f t="shared" si="409"/>
        <v>0</v>
      </c>
      <c r="F1980" s="762">
        <f t="shared" si="410"/>
        <v>1900</v>
      </c>
      <c r="G1980" s="747"/>
      <c r="H1980" s="882"/>
      <c r="I1980" s="756"/>
      <c r="J1980" s="756"/>
      <c r="K1980" s="778">
        <f t="shared" si="411"/>
        <v>0</v>
      </c>
      <c r="L1980" s="976"/>
      <c r="M1980" s="736">
        <f t="shared" si="412"/>
        <v>0</v>
      </c>
      <c r="N1980" s="754"/>
      <c r="O1980" s="738">
        <f t="shared" si="413"/>
        <v>0</v>
      </c>
      <c r="P1980" s="757"/>
      <c r="Q1980" s="739">
        <f t="shared" si="414"/>
        <v>0</v>
      </c>
      <c r="R1980" s="757"/>
      <c r="S1980" s="755"/>
      <c r="T1980" s="277"/>
      <c r="U1980" s="758" t="str">
        <f t="shared" si="401"/>
        <v/>
      </c>
      <c r="V1980" s="758" t="str">
        <f t="shared" si="402"/>
        <v>1900</v>
      </c>
      <c r="W1980" s="759"/>
      <c r="X1980" s="771"/>
      <c r="Y1980" s="977"/>
      <c r="Z1980" s="758"/>
      <c r="AA1980" s="758" t="str">
        <f t="shared" si="404"/>
        <v/>
      </c>
      <c r="AB1980" s="758" t="str">
        <f t="shared" si="405"/>
        <v/>
      </c>
      <c r="AC1980" s="758" t="str">
        <f t="shared" si="406"/>
        <v/>
      </c>
      <c r="AD1980" s="758" t="str">
        <f t="shared" si="407"/>
        <v>0</v>
      </c>
      <c r="AE1980" s="760"/>
      <c r="AF1980" s="760"/>
      <c r="AG1980" s="443"/>
      <c r="AH1980" s="443"/>
    </row>
    <row r="1981" spans="1:34">
      <c r="A1981" s="728">
        <f t="shared" si="403"/>
        <v>1974</v>
      </c>
      <c r="B1981" s="77"/>
      <c r="C1981" s="747"/>
      <c r="D1981" s="763" t="str">
        <f t="shared" si="408"/>
        <v>January</v>
      </c>
      <c r="E1981" s="763">
        <f t="shared" si="409"/>
        <v>0</v>
      </c>
      <c r="F1981" s="762">
        <f t="shared" si="410"/>
        <v>1900</v>
      </c>
      <c r="G1981" s="747"/>
      <c r="H1981" s="882"/>
      <c r="I1981" s="756"/>
      <c r="J1981" s="756"/>
      <c r="K1981" s="778">
        <f t="shared" si="411"/>
        <v>0</v>
      </c>
      <c r="L1981" s="976"/>
      <c r="M1981" s="736">
        <f t="shared" si="412"/>
        <v>0</v>
      </c>
      <c r="N1981" s="754"/>
      <c r="O1981" s="738">
        <f t="shared" si="413"/>
        <v>0</v>
      </c>
      <c r="P1981" s="757"/>
      <c r="Q1981" s="739">
        <f t="shared" si="414"/>
        <v>0</v>
      </c>
      <c r="R1981" s="757"/>
      <c r="S1981" s="755"/>
      <c r="T1981" s="277"/>
      <c r="U1981" s="758" t="str">
        <f t="shared" si="401"/>
        <v/>
      </c>
      <c r="V1981" s="758" t="str">
        <f t="shared" si="402"/>
        <v>1900</v>
      </c>
      <c r="W1981" s="759"/>
      <c r="X1981" s="771"/>
      <c r="Y1981" s="977"/>
      <c r="Z1981" s="758"/>
      <c r="AA1981" s="758" t="str">
        <f t="shared" si="404"/>
        <v/>
      </c>
      <c r="AB1981" s="758" t="str">
        <f t="shared" si="405"/>
        <v/>
      </c>
      <c r="AC1981" s="758" t="str">
        <f t="shared" si="406"/>
        <v/>
      </c>
      <c r="AD1981" s="758" t="str">
        <f t="shared" si="407"/>
        <v>0</v>
      </c>
      <c r="AE1981" s="760"/>
      <c r="AF1981" s="760"/>
      <c r="AG1981" s="443"/>
      <c r="AH1981" s="443"/>
    </row>
    <row r="1982" spans="1:34">
      <c r="A1982" s="728">
        <f t="shared" si="403"/>
        <v>1975</v>
      </c>
      <c r="B1982" s="77"/>
      <c r="C1982" s="747"/>
      <c r="D1982" s="763" t="str">
        <f t="shared" si="408"/>
        <v>January</v>
      </c>
      <c r="E1982" s="763">
        <f t="shared" si="409"/>
        <v>0</v>
      </c>
      <c r="F1982" s="762">
        <f t="shared" si="410"/>
        <v>1900</v>
      </c>
      <c r="G1982" s="747"/>
      <c r="H1982" s="882"/>
      <c r="I1982" s="756"/>
      <c r="J1982" s="756"/>
      <c r="K1982" s="778">
        <f t="shared" si="411"/>
        <v>0</v>
      </c>
      <c r="L1982" s="976"/>
      <c r="M1982" s="736">
        <f t="shared" si="412"/>
        <v>0</v>
      </c>
      <c r="N1982" s="754"/>
      <c r="O1982" s="738">
        <f t="shared" si="413"/>
        <v>0</v>
      </c>
      <c r="P1982" s="757"/>
      <c r="Q1982" s="739">
        <f t="shared" si="414"/>
        <v>0</v>
      </c>
      <c r="R1982" s="757"/>
      <c r="S1982" s="755"/>
      <c r="T1982" s="277"/>
      <c r="U1982" s="758" t="str">
        <f t="shared" si="401"/>
        <v/>
      </c>
      <c r="V1982" s="758" t="str">
        <f t="shared" si="402"/>
        <v>1900</v>
      </c>
      <c r="W1982" s="759"/>
      <c r="X1982" s="771"/>
      <c r="Y1982" s="977"/>
      <c r="Z1982" s="758"/>
      <c r="AA1982" s="758" t="str">
        <f t="shared" si="404"/>
        <v/>
      </c>
      <c r="AB1982" s="758" t="str">
        <f t="shared" si="405"/>
        <v/>
      </c>
      <c r="AC1982" s="758" t="str">
        <f t="shared" si="406"/>
        <v/>
      </c>
      <c r="AD1982" s="758" t="str">
        <f t="shared" si="407"/>
        <v>0</v>
      </c>
      <c r="AE1982" s="760"/>
      <c r="AF1982" s="760"/>
      <c r="AG1982" s="443"/>
      <c r="AH1982" s="443"/>
    </row>
    <row r="1983" spans="1:34">
      <c r="A1983" s="728">
        <f t="shared" si="403"/>
        <v>1976</v>
      </c>
      <c r="B1983" s="77"/>
      <c r="C1983" s="747"/>
      <c r="D1983" s="763" t="str">
        <f t="shared" si="408"/>
        <v>January</v>
      </c>
      <c r="E1983" s="763">
        <f t="shared" si="409"/>
        <v>0</v>
      </c>
      <c r="F1983" s="762">
        <f t="shared" si="410"/>
        <v>1900</v>
      </c>
      <c r="G1983" s="747"/>
      <c r="H1983" s="882"/>
      <c r="I1983" s="756"/>
      <c r="J1983" s="756"/>
      <c r="K1983" s="778">
        <f t="shared" si="411"/>
        <v>0</v>
      </c>
      <c r="L1983" s="976"/>
      <c r="M1983" s="736">
        <f t="shared" si="412"/>
        <v>0</v>
      </c>
      <c r="N1983" s="754"/>
      <c r="O1983" s="738">
        <f t="shared" si="413"/>
        <v>0</v>
      </c>
      <c r="P1983" s="757"/>
      <c r="Q1983" s="739">
        <f t="shared" si="414"/>
        <v>0</v>
      </c>
      <c r="R1983" s="757"/>
      <c r="S1983" s="755"/>
      <c r="T1983" s="277"/>
      <c r="U1983" s="758" t="str">
        <f t="shared" si="401"/>
        <v/>
      </c>
      <c r="V1983" s="758" t="str">
        <f t="shared" si="402"/>
        <v>1900</v>
      </c>
      <c r="W1983" s="759"/>
      <c r="X1983" s="771"/>
      <c r="Y1983" s="977"/>
      <c r="Z1983" s="758"/>
      <c r="AA1983" s="758" t="str">
        <f t="shared" si="404"/>
        <v/>
      </c>
      <c r="AB1983" s="758" t="str">
        <f t="shared" si="405"/>
        <v/>
      </c>
      <c r="AC1983" s="758" t="str">
        <f t="shared" si="406"/>
        <v/>
      </c>
      <c r="AD1983" s="758" t="str">
        <f t="shared" si="407"/>
        <v>0</v>
      </c>
      <c r="AE1983" s="760"/>
      <c r="AF1983" s="760"/>
      <c r="AG1983" s="443"/>
      <c r="AH1983" s="443"/>
    </row>
    <row r="1984" spans="1:34">
      <c r="A1984" s="728">
        <f t="shared" si="403"/>
        <v>1977</v>
      </c>
      <c r="B1984" s="77"/>
      <c r="C1984" s="747"/>
      <c r="D1984" s="763" t="str">
        <f t="shared" si="408"/>
        <v>January</v>
      </c>
      <c r="E1984" s="763">
        <f t="shared" si="409"/>
        <v>0</v>
      </c>
      <c r="F1984" s="762">
        <f t="shared" si="410"/>
        <v>1900</v>
      </c>
      <c r="G1984" s="747"/>
      <c r="H1984" s="882"/>
      <c r="I1984" s="756"/>
      <c r="J1984" s="756"/>
      <c r="K1984" s="778">
        <f t="shared" si="411"/>
        <v>0</v>
      </c>
      <c r="L1984" s="976"/>
      <c r="M1984" s="736">
        <f t="shared" si="412"/>
        <v>0</v>
      </c>
      <c r="N1984" s="754"/>
      <c r="O1984" s="738">
        <f t="shared" si="413"/>
        <v>0</v>
      </c>
      <c r="P1984" s="757"/>
      <c r="Q1984" s="739">
        <f t="shared" si="414"/>
        <v>0</v>
      </c>
      <c r="R1984" s="757"/>
      <c r="S1984" s="755"/>
      <c r="T1984" s="277"/>
      <c r="U1984" s="758" t="str">
        <f t="shared" si="401"/>
        <v/>
      </c>
      <c r="V1984" s="758" t="str">
        <f t="shared" si="402"/>
        <v>1900</v>
      </c>
      <c r="W1984" s="759"/>
      <c r="X1984" s="771"/>
      <c r="Y1984" s="977"/>
      <c r="Z1984" s="758"/>
      <c r="AA1984" s="758" t="str">
        <f t="shared" si="404"/>
        <v/>
      </c>
      <c r="AB1984" s="758" t="str">
        <f t="shared" si="405"/>
        <v/>
      </c>
      <c r="AC1984" s="758" t="str">
        <f t="shared" si="406"/>
        <v/>
      </c>
      <c r="AD1984" s="758" t="str">
        <f t="shared" si="407"/>
        <v>0</v>
      </c>
      <c r="AE1984" s="760"/>
      <c r="AF1984" s="760"/>
      <c r="AG1984" s="443"/>
      <c r="AH1984" s="443"/>
    </row>
    <row r="1985" spans="1:34">
      <c r="A1985" s="728">
        <f t="shared" si="403"/>
        <v>1978</v>
      </c>
      <c r="B1985" s="77"/>
      <c r="C1985" s="747"/>
      <c r="D1985" s="763" t="str">
        <f t="shared" si="408"/>
        <v>January</v>
      </c>
      <c r="E1985" s="763">
        <f t="shared" si="409"/>
        <v>0</v>
      </c>
      <c r="F1985" s="762">
        <f t="shared" si="410"/>
        <v>1900</v>
      </c>
      <c r="G1985" s="747"/>
      <c r="H1985" s="882"/>
      <c r="I1985" s="756"/>
      <c r="J1985" s="756"/>
      <c r="K1985" s="778">
        <f t="shared" si="411"/>
        <v>0</v>
      </c>
      <c r="L1985" s="976"/>
      <c r="M1985" s="736">
        <f t="shared" si="412"/>
        <v>0</v>
      </c>
      <c r="N1985" s="754"/>
      <c r="O1985" s="738">
        <f t="shared" si="413"/>
        <v>0</v>
      </c>
      <c r="P1985" s="757"/>
      <c r="Q1985" s="739">
        <f t="shared" si="414"/>
        <v>0</v>
      </c>
      <c r="R1985" s="757"/>
      <c r="S1985" s="755"/>
      <c r="T1985" s="277"/>
      <c r="U1985" s="758" t="str">
        <f t="shared" si="401"/>
        <v/>
      </c>
      <c r="V1985" s="758" t="str">
        <f t="shared" si="402"/>
        <v>1900</v>
      </c>
      <c r="W1985" s="759"/>
      <c r="X1985" s="771"/>
      <c r="Y1985" s="977"/>
      <c r="Z1985" s="758"/>
      <c r="AA1985" s="758" t="str">
        <f t="shared" si="404"/>
        <v/>
      </c>
      <c r="AB1985" s="758" t="str">
        <f t="shared" si="405"/>
        <v/>
      </c>
      <c r="AC1985" s="758" t="str">
        <f t="shared" si="406"/>
        <v/>
      </c>
      <c r="AD1985" s="758" t="str">
        <f t="shared" si="407"/>
        <v>0</v>
      </c>
      <c r="AE1985" s="760"/>
      <c r="AF1985" s="760"/>
      <c r="AG1985" s="443"/>
      <c r="AH1985" s="443"/>
    </row>
    <row r="1986" spans="1:34">
      <c r="A1986" s="728">
        <f t="shared" si="403"/>
        <v>1979</v>
      </c>
      <c r="B1986" s="77"/>
      <c r="C1986" s="747"/>
      <c r="D1986" s="763" t="str">
        <f t="shared" si="408"/>
        <v>January</v>
      </c>
      <c r="E1986" s="763">
        <f t="shared" si="409"/>
        <v>0</v>
      </c>
      <c r="F1986" s="762">
        <f t="shared" si="410"/>
        <v>1900</v>
      </c>
      <c r="G1986" s="747"/>
      <c r="H1986" s="882"/>
      <c r="I1986" s="756"/>
      <c r="J1986" s="756"/>
      <c r="K1986" s="778">
        <f t="shared" si="411"/>
        <v>0</v>
      </c>
      <c r="L1986" s="976"/>
      <c r="M1986" s="736">
        <f t="shared" si="412"/>
        <v>0</v>
      </c>
      <c r="N1986" s="754"/>
      <c r="O1986" s="738">
        <f t="shared" si="413"/>
        <v>0</v>
      </c>
      <c r="P1986" s="757"/>
      <c r="Q1986" s="739">
        <f t="shared" si="414"/>
        <v>0</v>
      </c>
      <c r="R1986" s="757"/>
      <c r="S1986" s="755"/>
      <c r="T1986" s="277"/>
      <c r="U1986" s="758" t="str">
        <f t="shared" si="401"/>
        <v/>
      </c>
      <c r="V1986" s="758" t="str">
        <f t="shared" si="402"/>
        <v>1900</v>
      </c>
      <c r="W1986" s="759"/>
      <c r="X1986" s="771"/>
      <c r="Y1986" s="977"/>
      <c r="Z1986" s="758"/>
      <c r="AA1986" s="758" t="str">
        <f t="shared" si="404"/>
        <v/>
      </c>
      <c r="AB1986" s="758" t="str">
        <f t="shared" si="405"/>
        <v/>
      </c>
      <c r="AC1986" s="758" t="str">
        <f t="shared" si="406"/>
        <v/>
      </c>
      <c r="AD1986" s="758" t="str">
        <f t="shared" si="407"/>
        <v>0</v>
      </c>
      <c r="AE1986" s="760"/>
      <c r="AF1986" s="760"/>
      <c r="AG1986" s="443"/>
      <c r="AH1986" s="443"/>
    </row>
    <row r="1987" spans="1:34">
      <c r="A1987" s="728">
        <f t="shared" si="403"/>
        <v>1980</v>
      </c>
      <c r="B1987" s="77"/>
      <c r="C1987" s="747"/>
      <c r="D1987" s="763" t="str">
        <f t="shared" si="408"/>
        <v>January</v>
      </c>
      <c r="E1987" s="763">
        <f t="shared" si="409"/>
        <v>0</v>
      </c>
      <c r="F1987" s="762">
        <f t="shared" si="410"/>
        <v>1900</v>
      </c>
      <c r="G1987" s="747"/>
      <c r="H1987" s="882"/>
      <c r="I1987" s="756"/>
      <c r="J1987" s="756"/>
      <c r="K1987" s="778">
        <f t="shared" si="411"/>
        <v>0</v>
      </c>
      <c r="L1987" s="976"/>
      <c r="M1987" s="736">
        <f t="shared" si="412"/>
        <v>0</v>
      </c>
      <c r="N1987" s="754"/>
      <c r="O1987" s="738">
        <f t="shared" si="413"/>
        <v>0</v>
      </c>
      <c r="P1987" s="757"/>
      <c r="Q1987" s="739">
        <f t="shared" si="414"/>
        <v>0</v>
      </c>
      <c r="R1987" s="757"/>
      <c r="S1987" s="755"/>
      <c r="T1987" s="277"/>
      <c r="U1987" s="758" t="str">
        <f t="shared" si="401"/>
        <v/>
      </c>
      <c r="V1987" s="758" t="str">
        <f t="shared" si="402"/>
        <v>1900</v>
      </c>
      <c r="W1987" s="759"/>
      <c r="X1987" s="771"/>
      <c r="Y1987" s="977"/>
      <c r="Z1987" s="758"/>
      <c r="AA1987" s="758" t="str">
        <f t="shared" si="404"/>
        <v/>
      </c>
      <c r="AB1987" s="758" t="str">
        <f t="shared" si="405"/>
        <v/>
      </c>
      <c r="AC1987" s="758" t="str">
        <f t="shared" si="406"/>
        <v/>
      </c>
      <c r="AD1987" s="758" t="str">
        <f t="shared" si="407"/>
        <v>0</v>
      </c>
      <c r="AE1987" s="760"/>
      <c r="AF1987" s="760"/>
      <c r="AG1987" s="443"/>
      <c r="AH1987" s="443"/>
    </row>
    <row r="1988" spans="1:34">
      <c r="A1988" s="728">
        <f t="shared" si="403"/>
        <v>1981</v>
      </c>
      <c r="B1988" s="77"/>
      <c r="C1988" s="747"/>
      <c r="D1988" s="763" t="str">
        <f t="shared" si="408"/>
        <v>January</v>
      </c>
      <c r="E1988" s="763">
        <f t="shared" si="409"/>
        <v>0</v>
      </c>
      <c r="F1988" s="762">
        <f t="shared" si="410"/>
        <v>1900</v>
      </c>
      <c r="G1988" s="747"/>
      <c r="H1988" s="882"/>
      <c r="I1988" s="756"/>
      <c r="J1988" s="756"/>
      <c r="K1988" s="778">
        <f t="shared" si="411"/>
        <v>0</v>
      </c>
      <c r="L1988" s="976"/>
      <c r="M1988" s="736">
        <f t="shared" si="412"/>
        <v>0</v>
      </c>
      <c r="N1988" s="754"/>
      <c r="O1988" s="738">
        <f t="shared" si="413"/>
        <v>0</v>
      </c>
      <c r="P1988" s="757"/>
      <c r="Q1988" s="739">
        <f t="shared" si="414"/>
        <v>0</v>
      </c>
      <c r="R1988" s="757"/>
      <c r="S1988" s="755"/>
      <c r="T1988" s="277"/>
      <c r="U1988" s="758" t="str">
        <f t="shared" si="401"/>
        <v/>
      </c>
      <c r="V1988" s="758" t="str">
        <f t="shared" si="402"/>
        <v>1900</v>
      </c>
      <c r="W1988" s="759"/>
      <c r="X1988" s="771"/>
      <c r="Y1988" s="977"/>
      <c r="Z1988" s="758"/>
      <c r="AA1988" s="758" t="str">
        <f t="shared" si="404"/>
        <v/>
      </c>
      <c r="AB1988" s="758" t="str">
        <f t="shared" si="405"/>
        <v/>
      </c>
      <c r="AC1988" s="758" t="str">
        <f t="shared" si="406"/>
        <v/>
      </c>
      <c r="AD1988" s="758" t="str">
        <f t="shared" si="407"/>
        <v>0</v>
      </c>
      <c r="AE1988" s="760"/>
      <c r="AF1988" s="760"/>
      <c r="AG1988" s="443"/>
      <c r="AH1988" s="443"/>
    </row>
    <row r="1989" spans="1:34">
      <c r="A1989" s="728">
        <f t="shared" si="403"/>
        <v>1982</v>
      </c>
      <c r="B1989" s="77"/>
      <c r="C1989" s="747"/>
      <c r="D1989" s="763" t="str">
        <f t="shared" si="408"/>
        <v>January</v>
      </c>
      <c r="E1989" s="763">
        <f t="shared" si="409"/>
        <v>0</v>
      </c>
      <c r="F1989" s="762">
        <f t="shared" si="410"/>
        <v>1900</v>
      </c>
      <c r="G1989" s="747"/>
      <c r="H1989" s="882"/>
      <c r="I1989" s="756"/>
      <c r="J1989" s="756"/>
      <c r="K1989" s="778">
        <f t="shared" si="411"/>
        <v>0</v>
      </c>
      <c r="L1989" s="976"/>
      <c r="M1989" s="736">
        <f t="shared" si="412"/>
        <v>0</v>
      </c>
      <c r="N1989" s="754"/>
      <c r="O1989" s="738">
        <f t="shared" si="413"/>
        <v>0</v>
      </c>
      <c r="P1989" s="757"/>
      <c r="Q1989" s="739">
        <f t="shared" si="414"/>
        <v>0</v>
      </c>
      <c r="R1989" s="757"/>
      <c r="S1989" s="755"/>
      <c r="T1989" s="277"/>
      <c r="U1989" s="758" t="str">
        <f t="shared" si="401"/>
        <v/>
      </c>
      <c r="V1989" s="758" t="str">
        <f t="shared" si="402"/>
        <v>1900</v>
      </c>
      <c r="W1989" s="759"/>
      <c r="X1989" s="771"/>
      <c r="Y1989" s="977"/>
      <c r="Z1989" s="758"/>
      <c r="AA1989" s="758" t="str">
        <f t="shared" si="404"/>
        <v/>
      </c>
      <c r="AB1989" s="758" t="str">
        <f t="shared" si="405"/>
        <v/>
      </c>
      <c r="AC1989" s="758" t="str">
        <f t="shared" si="406"/>
        <v/>
      </c>
      <c r="AD1989" s="758" t="str">
        <f t="shared" si="407"/>
        <v>0</v>
      </c>
      <c r="AE1989" s="760"/>
      <c r="AF1989" s="760"/>
      <c r="AG1989" s="443"/>
      <c r="AH1989" s="443"/>
    </row>
    <row r="1990" spans="1:34">
      <c r="A1990" s="728">
        <f t="shared" si="403"/>
        <v>1983</v>
      </c>
      <c r="B1990" s="77"/>
      <c r="C1990" s="747"/>
      <c r="D1990" s="763" t="str">
        <f t="shared" si="408"/>
        <v>January</v>
      </c>
      <c r="E1990" s="763">
        <f t="shared" si="409"/>
        <v>0</v>
      </c>
      <c r="F1990" s="762">
        <f t="shared" si="410"/>
        <v>1900</v>
      </c>
      <c r="G1990" s="747"/>
      <c r="H1990" s="882"/>
      <c r="I1990" s="756"/>
      <c r="J1990" s="756"/>
      <c r="K1990" s="778">
        <f t="shared" si="411"/>
        <v>0</v>
      </c>
      <c r="L1990" s="976"/>
      <c r="M1990" s="736">
        <f t="shared" si="412"/>
        <v>0</v>
      </c>
      <c r="N1990" s="754"/>
      <c r="O1990" s="738">
        <f t="shared" si="413"/>
        <v>0</v>
      </c>
      <c r="P1990" s="757"/>
      <c r="Q1990" s="739">
        <f t="shared" si="414"/>
        <v>0</v>
      </c>
      <c r="R1990" s="757"/>
      <c r="S1990" s="755"/>
      <c r="T1990" s="277"/>
      <c r="U1990" s="758" t="str">
        <f t="shared" si="401"/>
        <v/>
      </c>
      <c r="V1990" s="758" t="str">
        <f t="shared" si="402"/>
        <v>1900</v>
      </c>
      <c r="W1990" s="759"/>
      <c r="X1990" s="771"/>
      <c r="Y1990" s="977"/>
      <c r="Z1990" s="758"/>
      <c r="AA1990" s="758" t="str">
        <f t="shared" si="404"/>
        <v/>
      </c>
      <c r="AB1990" s="758" t="str">
        <f t="shared" si="405"/>
        <v/>
      </c>
      <c r="AC1990" s="758" t="str">
        <f t="shared" si="406"/>
        <v/>
      </c>
      <c r="AD1990" s="758" t="str">
        <f t="shared" si="407"/>
        <v>0</v>
      </c>
      <c r="AE1990" s="760"/>
      <c r="AF1990" s="760"/>
      <c r="AG1990" s="443"/>
      <c r="AH1990" s="443"/>
    </row>
    <row r="1991" spans="1:34">
      <c r="A1991" s="728">
        <f t="shared" si="403"/>
        <v>1984</v>
      </c>
      <c r="B1991" s="77"/>
      <c r="C1991" s="747"/>
      <c r="D1991" s="763" t="str">
        <f t="shared" si="408"/>
        <v>January</v>
      </c>
      <c r="E1991" s="763">
        <f t="shared" si="409"/>
        <v>0</v>
      </c>
      <c r="F1991" s="762">
        <f t="shared" si="410"/>
        <v>1900</v>
      </c>
      <c r="G1991" s="747"/>
      <c r="H1991" s="882"/>
      <c r="I1991" s="756"/>
      <c r="J1991" s="756"/>
      <c r="K1991" s="778">
        <f t="shared" si="411"/>
        <v>0</v>
      </c>
      <c r="L1991" s="976"/>
      <c r="M1991" s="736">
        <f t="shared" si="412"/>
        <v>0</v>
      </c>
      <c r="N1991" s="754"/>
      <c r="O1991" s="738">
        <f t="shared" si="413"/>
        <v>0</v>
      </c>
      <c r="P1991" s="757"/>
      <c r="Q1991" s="739">
        <f t="shared" si="414"/>
        <v>0</v>
      </c>
      <c r="R1991" s="757"/>
      <c r="S1991" s="755"/>
      <c r="T1991" s="277"/>
      <c r="U1991" s="758" t="str">
        <f t="shared" ref="U1991:U2008" si="415">CONCATENATE(G1991,H1991)</f>
        <v/>
      </c>
      <c r="V1991" s="758" t="str">
        <f t="shared" ref="V1991:V2008" si="416">CONCATENATE(F1991,H1991)</f>
        <v>1900</v>
      </c>
      <c r="W1991" s="759"/>
      <c r="X1991" s="771"/>
      <c r="Y1991" s="977"/>
      <c r="Z1991" s="758"/>
      <c r="AA1991" s="758" t="str">
        <f t="shared" si="404"/>
        <v/>
      </c>
      <c r="AB1991" s="758" t="str">
        <f t="shared" si="405"/>
        <v/>
      </c>
      <c r="AC1991" s="758" t="str">
        <f t="shared" si="406"/>
        <v/>
      </c>
      <c r="AD1991" s="758" t="str">
        <f t="shared" si="407"/>
        <v>0</v>
      </c>
      <c r="AE1991" s="760"/>
      <c r="AF1991" s="760"/>
      <c r="AG1991" s="443"/>
      <c r="AH1991" s="443"/>
    </row>
    <row r="1992" spans="1:34">
      <c r="A1992" s="728">
        <f t="shared" si="403"/>
        <v>1985</v>
      </c>
      <c r="B1992" s="77"/>
      <c r="C1992" s="747"/>
      <c r="D1992" s="763" t="str">
        <f t="shared" si="408"/>
        <v>January</v>
      </c>
      <c r="E1992" s="763">
        <f t="shared" si="409"/>
        <v>0</v>
      </c>
      <c r="F1992" s="762">
        <f t="shared" si="410"/>
        <v>1900</v>
      </c>
      <c r="G1992" s="747"/>
      <c r="H1992" s="882"/>
      <c r="I1992" s="756"/>
      <c r="J1992" s="756"/>
      <c r="K1992" s="778">
        <f t="shared" si="411"/>
        <v>0</v>
      </c>
      <c r="L1992" s="976"/>
      <c r="M1992" s="736">
        <f t="shared" si="412"/>
        <v>0</v>
      </c>
      <c r="N1992" s="754"/>
      <c r="O1992" s="738">
        <f t="shared" si="413"/>
        <v>0</v>
      </c>
      <c r="P1992" s="757"/>
      <c r="Q1992" s="739">
        <f t="shared" si="414"/>
        <v>0</v>
      </c>
      <c r="R1992" s="757"/>
      <c r="S1992" s="755"/>
      <c r="T1992" s="277"/>
      <c r="U1992" s="758" t="str">
        <f t="shared" si="415"/>
        <v/>
      </c>
      <c r="V1992" s="758" t="str">
        <f t="shared" si="416"/>
        <v>1900</v>
      </c>
      <c r="W1992" s="759"/>
      <c r="X1992" s="771"/>
      <c r="Y1992" s="977"/>
      <c r="Z1992" s="758"/>
      <c r="AA1992" s="758" t="str">
        <f t="shared" si="404"/>
        <v/>
      </c>
      <c r="AB1992" s="758" t="str">
        <f t="shared" si="405"/>
        <v/>
      </c>
      <c r="AC1992" s="758" t="str">
        <f t="shared" si="406"/>
        <v/>
      </c>
      <c r="AD1992" s="758" t="str">
        <f t="shared" si="407"/>
        <v>0</v>
      </c>
      <c r="AE1992" s="760"/>
      <c r="AF1992" s="760"/>
      <c r="AG1992" s="443"/>
      <c r="AH1992" s="443"/>
    </row>
    <row r="1993" spans="1:34">
      <c r="A1993" s="728">
        <f t="shared" si="403"/>
        <v>1986</v>
      </c>
      <c r="B1993" s="77"/>
      <c r="C1993" s="747"/>
      <c r="D1993" s="763" t="str">
        <f t="shared" si="408"/>
        <v>January</v>
      </c>
      <c r="E1993" s="763">
        <f t="shared" si="409"/>
        <v>0</v>
      </c>
      <c r="F1993" s="762">
        <f t="shared" si="410"/>
        <v>1900</v>
      </c>
      <c r="G1993" s="747"/>
      <c r="H1993" s="882"/>
      <c r="I1993" s="756"/>
      <c r="J1993" s="756"/>
      <c r="K1993" s="778">
        <f t="shared" si="411"/>
        <v>0</v>
      </c>
      <c r="L1993" s="976"/>
      <c r="M1993" s="736">
        <f t="shared" si="412"/>
        <v>0</v>
      </c>
      <c r="N1993" s="754"/>
      <c r="O1993" s="738">
        <f t="shared" si="413"/>
        <v>0</v>
      </c>
      <c r="P1993" s="757"/>
      <c r="Q1993" s="739">
        <f t="shared" si="414"/>
        <v>0</v>
      </c>
      <c r="R1993" s="757"/>
      <c r="S1993" s="755"/>
      <c r="T1993" s="277"/>
      <c r="U1993" s="758" t="str">
        <f t="shared" si="415"/>
        <v/>
      </c>
      <c r="V1993" s="758" t="str">
        <f t="shared" si="416"/>
        <v>1900</v>
      </c>
      <c r="W1993" s="759"/>
      <c r="X1993" s="771"/>
      <c r="Y1993" s="977"/>
      <c r="Z1993" s="758"/>
      <c r="AA1993" s="758" t="str">
        <f t="shared" si="404"/>
        <v/>
      </c>
      <c r="AB1993" s="758" t="str">
        <f t="shared" si="405"/>
        <v/>
      </c>
      <c r="AC1993" s="758" t="str">
        <f t="shared" si="406"/>
        <v/>
      </c>
      <c r="AD1993" s="758" t="str">
        <f t="shared" si="407"/>
        <v>0</v>
      </c>
      <c r="AE1993" s="760"/>
      <c r="AF1993" s="760"/>
      <c r="AG1993" s="443"/>
      <c r="AH1993" s="443"/>
    </row>
    <row r="1994" spans="1:34">
      <c r="A1994" s="728">
        <f t="shared" si="403"/>
        <v>1987</v>
      </c>
      <c r="B1994" s="77"/>
      <c r="C1994" s="747"/>
      <c r="D1994" s="763" t="str">
        <f t="shared" si="408"/>
        <v>January</v>
      </c>
      <c r="E1994" s="763">
        <f t="shared" si="409"/>
        <v>0</v>
      </c>
      <c r="F1994" s="762">
        <f t="shared" si="410"/>
        <v>1900</v>
      </c>
      <c r="G1994" s="747"/>
      <c r="H1994" s="882"/>
      <c r="I1994" s="756"/>
      <c r="J1994" s="756"/>
      <c r="K1994" s="778">
        <f t="shared" si="411"/>
        <v>0</v>
      </c>
      <c r="L1994" s="976"/>
      <c r="M1994" s="736">
        <f t="shared" si="412"/>
        <v>0</v>
      </c>
      <c r="N1994" s="754"/>
      <c r="O1994" s="738">
        <f t="shared" si="413"/>
        <v>0</v>
      </c>
      <c r="P1994" s="757"/>
      <c r="Q1994" s="739">
        <f t="shared" si="414"/>
        <v>0</v>
      </c>
      <c r="R1994" s="757"/>
      <c r="S1994" s="755"/>
      <c r="T1994" s="277"/>
      <c r="U1994" s="758" t="str">
        <f t="shared" si="415"/>
        <v/>
      </c>
      <c r="V1994" s="758" t="str">
        <f t="shared" si="416"/>
        <v>1900</v>
      </c>
      <c r="W1994" s="759"/>
      <c r="X1994" s="771"/>
      <c r="Y1994" s="977"/>
      <c r="Z1994" s="758"/>
      <c r="AA1994" s="758" t="str">
        <f t="shared" si="404"/>
        <v/>
      </c>
      <c r="AB1994" s="758" t="str">
        <f t="shared" si="405"/>
        <v/>
      </c>
      <c r="AC1994" s="758" t="str">
        <f t="shared" si="406"/>
        <v/>
      </c>
      <c r="AD1994" s="758" t="str">
        <f t="shared" si="407"/>
        <v>0</v>
      </c>
      <c r="AE1994" s="760"/>
      <c r="AF1994" s="760"/>
      <c r="AG1994" s="443"/>
      <c r="AH1994" s="443"/>
    </row>
    <row r="1995" spans="1:34">
      <c r="A1995" s="728">
        <f t="shared" ref="A1995:A2008" si="417">+A1994+1</f>
        <v>1988</v>
      </c>
      <c r="B1995" s="77"/>
      <c r="C1995" s="747"/>
      <c r="D1995" s="763" t="str">
        <f t="shared" si="408"/>
        <v>January</v>
      </c>
      <c r="E1995" s="763">
        <f t="shared" si="409"/>
        <v>0</v>
      </c>
      <c r="F1995" s="762">
        <f t="shared" si="410"/>
        <v>1900</v>
      </c>
      <c r="G1995" s="747"/>
      <c r="H1995" s="882"/>
      <c r="I1995" s="756"/>
      <c r="J1995" s="756"/>
      <c r="K1995" s="778">
        <f t="shared" si="411"/>
        <v>0</v>
      </c>
      <c r="L1995" s="976"/>
      <c r="M1995" s="736">
        <f t="shared" si="412"/>
        <v>0</v>
      </c>
      <c r="N1995" s="754"/>
      <c r="O1995" s="738">
        <f t="shared" si="413"/>
        <v>0</v>
      </c>
      <c r="P1995" s="757"/>
      <c r="Q1995" s="739">
        <f t="shared" si="414"/>
        <v>0</v>
      </c>
      <c r="R1995" s="757"/>
      <c r="S1995" s="755"/>
      <c r="T1995" s="277"/>
      <c r="U1995" s="758" t="str">
        <f t="shared" si="415"/>
        <v/>
      </c>
      <c r="V1995" s="758" t="str">
        <f t="shared" si="416"/>
        <v>1900</v>
      </c>
      <c r="W1995" s="759"/>
      <c r="X1995" s="771"/>
      <c r="Y1995" s="977"/>
      <c r="Z1995" s="758"/>
      <c r="AA1995" s="758" t="str">
        <f t="shared" si="404"/>
        <v/>
      </c>
      <c r="AB1995" s="758" t="str">
        <f t="shared" si="405"/>
        <v/>
      </c>
      <c r="AC1995" s="758" t="str">
        <f t="shared" si="406"/>
        <v/>
      </c>
      <c r="AD1995" s="758" t="str">
        <f t="shared" si="407"/>
        <v>0</v>
      </c>
      <c r="AE1995" s="760"/>
      <c r="AF1995" s="760"/>
      <c r="AG1995" s="443"/>
      <c r="AH1995" s="443"/>
    </row>
    <row r="1996" spans="1:34">
      <c r="A1996" s="728">
        <f t="shared" si="417"/>
        <v>1989</v>
      </c>
      <c r="B1996" s="77"/>
      <c r="C1996" s="747"/>
      <c r="D1996" s="763" t="str">
        <f t="shared" si="408"/>
        <v>January</v>
      </c>
      <c r="E1996" s="763">
        <f t="shared" si="409"/>
        <v>0</v>
      </c>
      <c r="F1996" s="762">
        <f t="shared" si="410"/>
        <v>1900</v>
      </c>
      <c r="G1996" s="747"/>
      <c r="H1996" s="882"/>
      <c r="I1996" s="756"/>
      <c r="J1996" s="756"/>
      <c r="K1996" s="778">
        <f t="shared" si="411"/>
        <v>0</v>
      </c>
      <c r="L1996" s="976"/>
      <c r="M1996" s="736">
        <f t="shared" si="412"/>
        <v>0</v>
      </c>
      <c r="N1996" s="754"/>
      <c r="O1996" s="738">
        <f t="shared" si="413"/>
        <v>0</v>
      </c>
      <c r="P1996" s="757"/>
      <c r="Q1996" s="739">
        <f t="shared" si="414"/>
        <v>0</v>
      </c>
      <c r="R1996" s="757"/>
      <c r="S1996" s="755"/>
      <c r="T1996" s="277"/>
      <c r="U1996" s="758" t="str">
        <f t="shared" si="415"/>
        <v/>
      </c>
      <c r="V1996" s="758" t="str">
        <f t="shared" si="416"/>
        <v>1900</v>
      </c>
      <c r="W1996" s="759"/>
      <c r="X1996" s="771"/>
      <c r="Y1996" s="977"/>
      <c r="Z1996" s="758"/>
      <c r="AA1996" s="758" t="str">
        <f t="shared" si="404"/>
        <v/>
      </c>
      <c r="AB1996" s="758" t="str">
        <f t="shared" si="405"/>
        <v/>
      </c>
      <c r="AC1996" s="758" t="str">
        <f t="shared" si="406"/>
        <v/>
      </c>
      <c r="AD1996" s="758" t="str">
        <f t="shared" si="407"/>
        <v>0</v>
      </c>
      <c r="AE1996" s="760"/>
      <c r="AF1996" s="760"/>
      <c r="AG1996" s="443"/>
      <c r="AH1996" s="443"/>
    </row>
    <row r="1997" spans="1:34">
      <c r="A1997" s="728">
        <f t="shared" si="417"/>
        <v>1990</v>
      </c>
      <c r="B1997" s="77"/>
      <c r="C1997" s="747"/>
      <c r="D1997" s="763" t="str">
        <f t="shared" si="408"/>
        <v>January</v>
      </c>
      <c r="E1997" s="763">
        <f t="shared" si="409"/>
        <v>0</v>
      </c>
      <c r="F1997" s="762">
        <f t="shared" si="410"/>
        <v>1900</v>
      </c>
      <c r="G1997" s="747"/>
      <c r="H1997" s="882"/>
      <c r="I1997" s="756"/>
      <c r="J1997" s="756"/>
      <c r="K1997" s="778">
        <f t="shared" si="411"/>
        <v>0</v>
      </c>
      <c r="L1997" s="976"/>
      <c r="M1997" s="736">
        <f t="shared" si="412"/>
        <v>0</v>
      </c>
      <c r="N1997" s="754"/>
      <c r="O1997" s="738">
        <f t="shared" si="413"/>
        <v>0</v>
      </c>
      <c r="P1997" s="757"/>
      <c r="Q1997" s="739">
        <f t="shared" si="414"/>
        <v>0</v>
      </c>
      <c r="R1997" s="757"/>
      <c r="S1997" s="755"/>
      <c r="T1997" s="277"/>
      <c r="U1997" s="758" t="str">
        <f t="shared" si="415"/>
        <v/>
      </c>
      <c r="V1997" s="758" t="str">
        <f t="shared" si="416"/>
        <v>1900</v>
      </c>
      <c r="W1997" s="759"/>
      <c r="X1997" s="771"/>
      <c r="Y1997" s="977"/>
      <c r="Z1997" s="758"/>
      <c r="AA1997" s="758" t="str">
        <f t="shared" si="404"/>
        <v/>
      </c>
      <c r="AB1997" s="758" t="str">
        <f t="shared" si="405"/>
        <v/>
      </c>
      <c r="AC1997" s="758" t="str">
        <f t="shared" si="406"/>
        <v/>
      </c>
      <c r="AD1997" s="758" t="str">
        <f t="shared" si="407"/>
        <v>0</v>
      </c>
      <c r="AE1997" s="760"/>
      <c r="AF1997" s="760"/>
      <c r="AG1997" s="443"/>
      <c r="AH1997" s="443"/>
    </row>
    <row r="1998" spans="1:34">
      <c r="A1998" s="728">
        <f t="shared" si="417"/>
        <v>1991</v>
      </c>
      <c r="B1998" s="77"/>
      <c r="C1998" s="747"/>
      <c r="D1998" s="763" t="str">
        <f t="shared" si="408"/>
        <v>January</v>
      </c>
      <c r="E1998" s="763">
        <f t="shared" si="409"/>
        <v>0</v>
      </c>
      <c r="F1998" s="762">
        <f t="shared" si="410"/>
        <v>1900</v>
      </c>
      <c r="G1998" s="747"/>
      <c r="H1998" s="882"/>
      <c r="I1998" s="756"/>
      <c r="J1998" s="756"/>
      <c r="K1998" s="778">
        <f t="shared" si="411"/>
        <v>0</v>
      </c>
      <c r="L1998" s="976"/>
      <c r="M1998" s="736">
        <f t="shared" si="412"/>
        <v>0</v>
      </c>
      <c r="N1998" s="754"/>
      <c r="O1998" s="738">
        <f t="shared" si="413"/>
        <v>0</v>
      </c>
      <c r="P1998" s="757"/>
      <c r="Q1998" s="739">
        <f t="shared" si="414"/>
        <v>0</v>
      </c>
      <c r="R1998" s="757"/>
      <c r="S1998" s="755"/>
      <c r="T1998" s="277"/>
      <c r="U1998" s="758" t="str">
        <f t="shared" si="415"/>
        <v/>
      </c>
      <c r="V1998" s="758" t="str">
        <f t="shared" si="416"/>
        <v>1900</v>
      </c>
      <c r="W1998" s="759"/>
      <c r="X1998" s="771"/>
      <c r="Y1998" s="977"/>
      <c r="Z1998" s="758"/>
      <c r="AA1998" s="758" t="str">
        <f t="shared" si="404"/>
        <v/>
      </c>
      <c r="AB1998" s="758" t="str">
        <f t="shared" si="405"/>
        <v/>
      </c>
      <c r="AC1998" s="758" t="str">
        <f t="shared" si="406"/>
        <v/>
      </c>
      <c r="AD1998" s="758" t="str">
        <f t="shared" si="407"/>
        <v>0</v>
      </c>
      <c r="AE1998" s="760"/>
      <c r="AF1998" s="760"/>
      <c r="AG1998" s="443"/>
      <c r="AH1998" s="443"/>
    </row>
    <row r="1999" spans="1:34">
      <c r="A1999" s="728">
        <f t="shared" si="417"/>
        <v>1992</v>
      </c>
      <c r="B1999" s="77"/>
      <c r="C1999" s="747"/>
      <c r="D1999" s="763" t="str">
        <f t="shared" si="408"/>
        <v>January</v>
      </c>
      <c r="E1999" s="763">
        <f t="shared" si="409"/>
        <v>0</v>
      </c>
      <c r="F1999" s="762">
        <f t="shared" si="410"/>
        <v>1900</v>
      </c>
      <c r="G1999" s="747"/>
      <c r="H1999" s="882"/>
      <c r="I1999" s="756"/>
      <c r="J1999" s="756"/>
      <c r="K1999" s="778">
        <f t="shared" si="411"/>
        <v>0</v>
      </c>
      <c r="L1999" s="976"/>
      <c r="M1999" s="736">
        <f t="shared" si="412"/>
        <v>0</v>
      </c>
      <c r="N1999" s="754"/>
      <c r="O1999" s="738">
        <f t="shared" si="413"/>
        <v>0</v>
      </c>
      <c r="P1999" s="757"/>
      <c r="Q1999" s="739">
        <f t="shared" si="414"/>
        <v>0</v>
      </c>
      <c r="R1999" s="757"/>
      <c r="S1999" s="755"/>
      <c r="T1999" s="277"/>
      <c r="U1999" s="758" t="str">
        <f t="shared" si="415"/>
        <v/>
      </c>
      <c r="V1999" s="758" t="str">
        <f t="shared" si="416"/>
        <v>1900</v>
      </c>
      <c r="W1999" s="759"/>
      <c r="X1999" s="771"/>
      <c r="Y1999" s="977"/>
      <c r="Z1999" s="758"/>
      <c r="AA1999" s="758" t="str">
        <f t="shared" si="404"/>
        <v/>
      </c>
      <c r="AB1999" s="758" t="str">
        <f t="shared" si="405"/>
        <v/>
      </c>
      <c r="AC1999" s="758" t="str">
        <f t="shared" si="406"/>
        <v/>
      </c>
      <c r="AD1999" s="758" t="str">
        <f t="shared" si="407"/>
        <v>0</v>
      </c>
      <c r="AE1999" s="760"/>
      <c r="AF1999" s="760"/>
      <c r="AG1999" s="443"/>
      <c r="AH1999" s="443"/>
    </row>
    <row r="2000" spans="1:34">
      <c r="A2000" s="728">
        <f t="shared" si="417"/>
        <v>1993</v>
      </c>
      <c r="B2000" s="77"/>
      <c r="C2000" s="747"/>
      <c r="D2000" s="763" t="str">
        <f t="shared" si="408"/>
        <v>January</v>
      </c>
      <c r="E2000" s="763">
        <f t="shared" si="409"/>
        <v>0</v>
      </c>
      <c r="F2000" s="762">
        <f t="shared" si="410"/>
        <v>1900</v>
      </c>
      <c r="G2000" s="747"/>
      <c r="H2000" s="882"/>
      <c r="I2000" s="756"/>
      <c r="J2000" s="756"/>
      <c r="K2000" s="778">
        <f t="shared" si="411"/>
        <v>0</v>
      </c>
      <c r="L2000" s="976"/>
      <c r="M2000" s="736">
        <f t="shared" si="412"/>
        <v>0</v>
      </c>
      <c r="N2000" s="754"/>
      <c r="O2000" s="738">
        <f t="shared" si="413"/>
        <v>0</v>
      </c>
      <c r="P2000" s="757"/>
      <c r="Q2000" s="739">
        <f t="shared" si="414"/>
        <v>0</v>
      </c>
      <c r="R2000" s="757"/>
      <c r="S2000" s="755"/>
      <c r="T2000" s="277"/>
      <c r="U2000" s="758" t="str">
        <f t="shared" si="415"/>
        <v/>
      </c>
      <c r="V2000" s="758" t="str">
        <f t="shared" si="416"/>
        <v>1900</v>
      </c>
      <c r="W2000" s="759"/>
      <c r="X2000" s="771"/>
      <c r="Y2000" s="977"/>
      <c r="Z2000" s="758"/>
      <c r="AA2000" s="758" t="str">
        <f t="shared" ref="AA2000:AA2008" si="418">CONCATENATE(H2000,W2000)</f>
        <v/>
      </c>
      <c r="AB2000" s="758" t="str">
        <f t="shared" ref="AB2000:AB2008" si="419">CONCATENATE(H2000,X2000)</f>
        <v/>
      </c>
      <c r="AC2000" s="758" t="str">
        <f t="shared" ref="AC2000:AC2008" si="420">CONCATENATE(H2000,Y2000)</f>
        <v/>
      </c>
      <c r="AD2000" s="758" t="str">
        <f t="shared" si="407"/>
        <v>0</v>
      </c>
      <c r="AE2000" s="760"/>
      <c r="AF2000" s="760"/>
      <c r="AG2000" s="443"/>
      <c r="AH2000" s="443"/>
    </row>
    <row r="2001" spans="1:34">
      <c r="A2001" s="728">
        <f t="shared" si="417"/>
        <v>1994</v>
      </c>
      <c r="B2001" s="77"/>
      <c r="C2001" s="747"/>
      <c r="D2001" s="763" t="str">
        <f t="shared" si="408"/>
        <v>January</v>
      </c>
      <c r="E2001" s="763">
        <f t="shared" si="409"/>
        <v>0</v>
      </c>
      <c r="F2001" s="762">
        <f t="shared" si="410"/>
        <v>1900</v>
      </c>
      <c r="G2001" s="747"/>
      <c r="H2001" s="882"/>
      <c r="I2001" s="756"/>
      <c r="J2001" s="756"/>
      <c r="K2001" s="778">
        <f t="shared" si="411"/>
        <v>0</v>
      </c>
      <c r="L2001" s="976"/>
      <c r="M2001" s="736">
        <f t="shared" si="412"/>
        <v>0</v>
      </c>
      <c r="N2001" s="754"/>
      <c r="O2001" s="738">
        <f t="shared" si="413"/>
        <v>0</v>
      </c>
      <c r="P2001" s="757"/>
      <c r="Q2001" s="739">
        <f t="shared" si="414"/>
        <v>0</v>
      </c>
      <c r="R2001" s="757"/>
      <c r="S2001" s="755"/>
      <c r="T2001" s="277"/>
      <c r="U2001" s="758" t="str">
        <f t="shared" si="415"/>
        <v/>
      </c>
      <c r="V2001" s="758" t="str">
        <f t="shared" si="416"/>
        <v>1900</v>
      </c>
      <c r="W2001" s="759"/>
      <c r="X2001" s="771"/>
      <c r="Y2001" s="977"/>
      <c r="Z2001" s="758"/>
      <c r="AA2001" s="758" t="str">
        <f t="shared" si="418"/>
        <v/>
      </c>
      <c r="AB2001" s="758" t="str">
        <f t="shared" si="419"/>
        <v/>
      </c>
      <c r="AC2001" s="758" t="str">
        <f t="shared" si="420"/>
        <v/>
      </c>
      <c r="AD2001" s="758" t="str">
        <f t="shared" si="407"/>
        <v>0</v>
      </c>
      <c r="AE2001" s="760"/>
      <c r="AF2001" s="760"/>
      <c r="AG2001" s="443"/>
      <c r="AH2001" s="443"/>
    </row>
    <row r="2002" spans="1:34">
      <c r="A2002" s="728">
        <f t="shared" si="417"/>
        <v>1995</v>
      </c>
      <c r="B2002" s="77"/>
      <c r="C2002" s="747"/>
      <c r="D2002" s="763" t="str">
        <f t="shared" ref="D2002:D2008" si="421">TEXT(C2002,"mmmm")</f>
        <v>January</v>
      </c>
      <c r="E2002" s="763">
        <f t="shared" ref="E2002:E2008" si="422">DAY(C2002)</f>
        <v>0</v>
      </c>
      <c r="F2002" s="762">
        <f t="shared" ref="F2002:F2008" si="423">YEAR(C2002)</f>
        <v>1900</v>
      </c>
      <c r="G2002" s="747"/>
      <c r="H2002" s="882"/>
      <c r="I2002" s="756"/>
      <c r="J2002" s="756"/>
      <c r="K2002" s="778">
        <f t="shared" ref="K2002:K2008" si="424">+(I2002/1760)*J2002</f>
        <v>0</v>
      </c>
      <c r="L2002" s="976"/>
      <c r="M2002" s="736">
        <f t="shared" ref="M2002:M2008" si="425">HOUR(O2002)</f>
        <v>0</v>
      </c>
      <c r="N2002" s="754"/>
      <c r="O2002" s="738">
        <f t="shared" ref="O2002:O2008" si="426">+N2002</f>
        <v>0</v>
      </c>
      <c r="P2002" s="757"/>
      <c r="Q2002" s="739">
        <f t="shared" ref="Q2002:Q2008" si="427">+P2002-O2002</f>
        <v>0</v>
      </c>
      <c r="R2002" s="757"/>
      <c r="S2002" s="755"/>
      <c r="T2002" s="277"/>
      <c r="U2002" s="758" t="str">
        <f t="shared" si="415"/>
        <v/>
      </c>
      <c r="V2002" s="758" t="str">
        <f t="shared" si="416"/>
        <v>1900</v>
      </c>
      <c r="W2002" s="759"/>
      <c r="X2002" s="771"/>
      <c r="Y2002" s="977"/>
      <c r="Z2002" s="758"/>
      <c r="AA2002" s="758" t="str">
        <f t="shared" si="418"/>
        <v/>
      </c>
      <c r="AB2002" s="758" t="str">
        <f t="shared" si="419"/>
        <v/>
      </c>
      <c r="AC2002" s="758" t="str">
        <f t="shared" si="420"/>
        <v/>
      </c>
      <c r="AD2002" s="758" t="str">
        <f t="shared" si="407"/>
        <v>0</v>
      </c>
      <c r="AE2002" s="760"/>
      <c r="AF2002" s="760"/>
      <c r="AG2002" s="443"/>
      <c r="AH2002" s="443"/>
    </row>
    <row r="2003" spans="1:34">
      <c r="A2003" s="728">
        <f t="shared" si="417"/>
        <v>1996</v>
      </c>
      <c r="B2003" s="77"/>
      <c r="C2003" s="747"/>
      <c r="D2003" s="763" t="str">
        <f t="shared" si="421"/>
        <v>January</v>
      </c>
      <c r="E2003" s="763">
        <f t="shared" si="422"/>
        <v>0</v>
      </c>
      <c r="F2003" s="762">
        <f t="shared" si="423"/>
        <v>1900</v>
      </c>
      <c r="G2003" s="747"/>
      <c r="H2003" s="882"/>
      <c r="I2003" s="756"/>
      <c r="J2003" s="756"/>
      <c r="K2003" s="778">
        <f t="shared" si="424"/>
        <v>0</v>
      </c>
      <c r="L2003" s="976"/>
      <c r="M2003" s="736">
        <f t="shared" si="425"/>
        <v>0</v>
      </c>
      <c r="N2003" s="754"/>
      <c r="O2003" s="738">
        <f t="shared" si="426"/>
        <v>0</v>
      </c>
      <c r="P2003" s="757"/>
      <c r="Q2003" s="739">
        <f t="shared" si="427"/>
        <v>0</v>
      </c>
      <c r="R2003" s="757"/>
      <c r="S2003" s="755"/>
      <c r="T2003" s="277"/>
      <c r="U2003" s="758" t="str">
        <f t="shared" si="415"/>
        <v/>
      </c>
      <c r="V2003" s="758" t="str">
        <f t="shared" si="416"/>
        <v>1900</v>
      </c>
      <c r="W2003" s="759"/>
      <c r="X2003" s="771"/>
      <c r="Y2003" s="977"/>
      <c r="Z2003" s="758"/>
      <c r="AA2003" s="758" t="str">
        <f t="shared" si="418"/>
        <v/>
      </c>
      <c r="AB2003" s="758" t="str">
        <f t="shared" si="419"/>
        <v/>
      </c>
      <c r="AC2003" s="758" t="str">
        <f t="shared" si="420"/>
        <v/>
      </c>
      <c r="AD2003" s="758" t="str">
        <f t="shared" si="407"/>
        <v>0</v>
      </c>
      <c r="AE2003" s="760"/>
      <c r="AF2003" s="760"/>
      <c r="AG2003" s="443"/>
      <c r="AH2003" s="443"/>
    </row>
    <row r="2004" spans="1:34">
      <c r="A2004" s="728">
        <f t="shared" si="417"/>
        <v>1997</v>
      </c>
      <c r="B2004" s="77"/>
      <c r="C2004" s="747"/>
      <c r="D2004" s="763" t="str">
        <f t="shared" si="421"/>
        <v>January</v>
      </c>
      <c r="E2004" s="763">
        <f t="shared" si="422"/>
        <v>0</v>
      </c>
      <c r="F2004" s="762">
        <f t="shared" si="423"/>
        <v>1900</v>
      </c>
      <c r="G2004" s="747"/>
      <c r="H2004" s="882"/>
      <c r="I2004" s="756"/>
      <c r="J2004" s="756"/>
      <c r="K2004" s="778">
        <f t="shared" si="424"/>
        <v>0</v>
      </c>
      <c r="L2004" s="976"/>
      <c r="M2004" s="736">
        <f t="shared" si="425"/>
        <v>0</v>
      </c>
      <c r="N2004" s="754"/>
      <c r="O2004" s="738">
        <f t="shared" si="426"/>
        <v>0</v>
      </c>
      <c r="P2004" s="757"/>
      <c r="Q2004" s="739">
        <f t="shared" si="427"/>
        <v>0</v>
      </c>
      <c r="R2004" s="757"/>
      <c r="S2004" s="755"/>
      <c r="T2004" s="277"/>
      <c r="U2004" s="758" t="str">
        <f t="shared" si="415"/>
        <v/>
      </c>
      <c r="V2004" s="758" t="str">
        <f t="shared" si="416"/>
        <v>1900</v>
      </c>
      <c r="W2004" s="759"/>
      <c r="X2004" s="771"/>
      <c r="Y2004" s="977"/>
      <c r="Z2004" s="758"/>
      <c r="AA2004" s="758" t="str">
        <f t="shared" si="418"/>
        <v/>
      </c>
      <c r="AB2004" s="758" t="str">
        <f t="shared" si="419"/>
        <v/>
      </c>
      <c r="AC2004" s="758" t="str">
        <f t="shared" si="420"/>
        <v/>
      </c>
      <c r="AD2004" s="758" t="str">
        <f t="shared" si="407"/>
        <v>0</v>
      </c>
      <c r="AE2004" s="760"/>
      <c r="AF2004" s="760"/>
      <c r="AG2004" s="443"/>
      <c r="AH2004" s="443"/>
    </row>
    <row r="2005" spans="1:34">
      <c r="A2005" s="728">
        <f t="shared" si="417"/>
        <v>1998</v>
      </c>
      <c r="B2005" s="77"/>
      <c r="C2005" s="747"/>
      <c r="D2005" s="763" t="str">
        <f t="shared" si="421"/>
        <v>January</v>
      </c>
      <c r="E2005" s="763">
        <f t="shared" si="422"/>
        <v>0</v>
      </c>
      <c r="F2005" s="762">
        <f t="shared" si="423"/>
        <v>1900</v>
      </c>
      <c r="G2005" s="747"/>
      <c r="H2005" s="882"/>
      <c r="I2005" s="756"/>
      <c r="J2005" s="756"/>
      <c r="K2005" s="778">
        <f t="shared" si="424"/>
        <v>0</v>
      </c>
      <c r="L2005" s="976"/>
      <c r="M2005" s="736">
        <f t="shared" si="425"/>
        <v>0</v>
      </c>
      <c r="N2005" s="754"/>
      <c r="O2005" s="738">
        <f t="shared" si="426"/>
        <v>0</v>
      </c>
      <c r="P2005" s="757"/>
      <c r="Q2005" s="739">
        <f t="shared" si="427"/>
        <v>0</v>
      </c>
      <c r="R2005" s="757"/>
      <c r="S2005" s="755"/>
      <c r="T2005" s="277"/>
      <c r="U2005" s="758" t="str">
        <f t="shared" si="415"/>
        <v/>
      </c>
      <c r="V2005" s="758" t="str">
        <f t="shared" si="416"/>
        <v>1900</v>
      </c>
      <c r="W2005" s="759"/>
      <c r="X2005" s="771"/>
      <c r="Y2005" s="977"/>
      <c r="Z2005" s="758"/>
      <c r="AA2005" s="758" t="str">
        <f t="shared" si="418"/>
        <v/>
      </c>
      <c r="AB2005" s="758" t="str">
        <f t="shared" si="419"/>
        <v/>
      </c>
      <c r="AC2005" s="758" t="str">
        <f t="shared" si="420"/>
        <v/>
      </c>
      <c r="AD2005" s="758" t="str">
        <f t="shared" si="407"/>
        <v>0</v>
      </c>
      <c r="AE2005" s="760"/>
      <c r="AF2005" s="760"/>
      <c r="AG2005" s="443"/>
      <c r="AH2005" s="443"/>
    </row>
    <row r="2006" spans="1:34">
      <c r="A2006" s="728">
        <f t="shared" si="417"/>
        <v>1999</v>
      </c>
      <c r="B2006" s="77"/>
      <c r="C2006" s="747"/>
      <c r="D2006" s="763" t="str">
        <f t="shared" si="421"/>
        <v>January</v>
      </c>
      <c r="E2006" s="763">
        <f t="shared" si="422"/>
        <v>0</v>
      </c>
      <c r="F2006" s="762">
        <f t="shared" si="423"/>
        <v>1900</v>
      </c>
      <c r="G2006" s="747"/>
      <c r="H2006" s="882"/>
      <c r="I2006" s="756"/>
      <c r="J2006" s="756"/>
      <c r="K2006" s="778">
        <f t="shared" si="424"/>
        <v>0</v>
      </c>
      <c r="L2006" s="976"/>
      <c r="M2006" s="736">
        <f t="shared" si="425"/>
        <v>0</v>
      </c>
      <c r="N2006" s="754"/>
      <c r="O2006" s="738">
        <f t="shared" si="426"/>
        <v>0</v>
      </c>
      <c r="P2006" s="757"/>
      <c r="Q2006" s="739">
        <f t="shared" si="427"/>
        <v>0</v>
      </c>
      <c r="R2006" s="757"/>
      <c r="S2006" s="755"/>
      <c r="T2006" s="277"/>
      <c r="U2006" s="758" t="str">
        <f t="shared" si="415"/>
        <v/>
      </c>
      <c r="V2006" s="758" t="str">
        <f t="shared" si="416"/>
        <v>1900</v>
      </c>
      <c r="W2006" s="759"/>
      <c r="X2006" s="771"/>
      <c r="Y2006" s="977"/>
      <c r="Z2006" s="758"/>
      <c r="AA2006" s="758" t="str">
        <f t="shared" si="418"/>
        <v/>
      </c>
      <c r="AB2006" s="758" t="str">
        <f t="shared" si="419"/>
        <v/>
      </c>
      <c r="AC2006" s="758" t="str">
        <f t="shared" si="420"/>
        <v/>
      </c>
      <c r="AD2006" s="758" t="str">
        <f t="shared" si="407"/>
        <v>0</v>
      </c>
      <c r="AE2006" s="760"/>
      <c r="AF2006" s="760"/>
      <c r="AG2006" s="443"/>
      <c r="AH2006" s="443"/>
    </row>
    <row r="2007" spans="1:34">
      <c r="A2007" s="728">
        <f t="shared" si="417"/>
        <v>2000</v>
      </c>
      <c r="B2007" s="77"/>
      <c r="C2007" s="747"/>
      <c r="D2007" s="763" t="str">
        <f t="shared" si="421"/>
        <v>January</v>
      </c>
      <c r="E2007" s="763">
        <f t="shared" si="422"/>
        <v>0</v>
      </c>
      <c r="F2007" s="762">
        <f t="shared" si="423"/>
        <v>1900</v>
      </c>
      <c r="G2007" s="747"/>
      <c r="H2007" s="882"/>
      <c r="I2007" s="756"/>
      <c r="J2007" s="756"/>
      <c r="K2007" s="778">
        <f t="shared" si="424"/>
        <v>0</v>
      </c>
      <c r="L2007" s="976"/>
      <c r="M2007" s="736">
        <f t="shared" si="425"/>
        <v>0</v>
      </c>
      <c r="N2007" s="754"/>
      <c r="O2007" s="738">
        <f t="shared" si="426"/>
        <v>0</v>
      </c>
      <c r="P2007" s="757"/>
      <c r="Q2007" s="739">
        <f t="shared" si="427"/>
        <v>0</v>
      </c>
      <c r="R2007" s="757"/>
      <c r="S2007" s="755"/>
      <c r="T2007" s="277"/>
      <c r="U2007" s="758" t="str">
        <f t="shared" si="415"/>
        <v/>
      </c>
      <c r="V2007" s="758" t="str">
        <f t="shared" si="416"/>
        <v>1900</v>
      </c>
      <c r="W2007" s="759"/>
      <c r="X2007" s="771"/>
      <c r="Y2007" s="977"/>
      <c r="Z2007" s="758"/>
      <c r="AA2007" s="758" t="str">
        <f t="shared" si="418"/>
        <v/>
      </c>
      <c r="AB2007" s="758" t="str">
        <f t="shared" si="419"/>
        <v/>
      </c>
      <c r="AC2007" s="758" t="str">
        <f t="shared" si="420"/>
        <v/>
      </c>
      <c r="AD2007" s="758" t="str">
        <f t="shared" si="407"/>
        <v>0</v>
      </c>
      <c r="AE2007" s="760"/>
      <c r="AF2007" s="760"/>
      <c r="AG2007" s="443"/>
      <c r="AH2007" s="443"/>
    </row>
    <row r="2008" spans="1:34">
      <c r="A2008" s="728">
        <f t="shared" si="417"/>
        <v>2001</v>
      </c>
      <c r="B2008" s="77"/>
      <c r="C2008" s="747"/>
      <c r="D2008" s="763" t="str">
        <f t="shared" si="421"/>
        <v>January</v>
      </c>
      <c r="E2008" s="763">
        <f t="shared" si="422"/>
        <v>0</v>
      </c>
      <c r="F2008" s="762">
        <f t="shared" si="423"/>
        <v>1900</v>
      </c>
      <c r="G2008" s="747"/>
      <c r="H2008" s="882"/>
      <c r="I2008" s="882"/>
      <c r="J2008" s="882"/>
      <c r="K2008" s="778">
        <f t="shared" si="424"/>
        <v>0</v>
      </c>
      <c r="L2008" s="976"/>
      <c r="M2008" s="736">
        <f t="shared" si="425"/>
        <v>0</v>
      </c>
      <c r="N2008" s="754"/>
      <c r="O2008" s="738">
        <f t="shared" si="426"/>
        <v>0</v>
      </c>
      <c r="P2008" s="757"/>
      <c r="Q2008" s="739">
        <f t="shared" si="427"/>
        <v>0</v>
      </c>
      <c r="R2008" s="757"/>
      <c r="S2008" s="755"/>
      <c r="T2008" s="277"/>
      <c r="U2008" s="758" t="str">
        <f t="shared" si="415"/>
        <v/>
      </c>
      <c r="V2008" s="758" t="str">
        <f t="shared" si="416"/>
        <v>1900</v>
      </c>
      <c r="W2008" s="759"/>
      <c r="X2008" s="771"/>
      <c r="Y2008" s="977"/>
      <c r="Z2008" s="758"/>
      <c r="AA2008" s="758" t="str">
        <f t="shared" si="418"/>
        <v/>
      </c>
      <c r="AB2008" s="758" t="str">
        <f t="shared" si="419"/>
        <v/>
      </c>
      <c r="AC2008" s="758" t="str">
        <f t="shared" si="420"/>
        <v/>
      </c>
      <c r="AD2008" s="758" t="str">
        <f t="shared" si="407"/>
        <v>0</v>
      </c>
      <c r="AE2008" s="760"/>
      <c r="AF2008" s="760"/>
      <c r="AG2008" s="443"/>
      <c r="AH2008" s="443"/>
    </row>
    <row r="2009" spans="1:34">
      <c r="Y2009" s="468"/>
    </row>
    <row r="2010" spans="1:34"/>
    <row r="2011" spans="1:34"/>
    <row r="2012" spans="1:34"/>
    <row r="2013" spans="1:34"/>
    <row r="2014" spans="1:34"/>
    <row r="2015" spans="1:34"/>
    <row r="2016" spans="1:34"/>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sheetData>
  <autoFilter ref="D6:M2008"/>
  <customSheetViews>
    <customSheetView guid="{CFA9FB8A-52FF-44B9-AE70-27339693E196}" topLeftCell="K1">
      <pane ySplit="6" topLeftCell="A7" activePane="bottomLeft" state="frozen"/>
      <selection pane="bottomLeft" sqref="A1:Q3"/>
      <pageMargins left="0.5" right="0.48" top="0.81" bottom="0.4" header="0" footer="0.16"/>
      <printOptions horizontalCentered="1"/>
      <pageSetup scale="59" orientation="landscape" r:id="rId1"/>
      <headerFooter alignWithMargins="0">
        <oddFooter>Page &amp;P of &amp;N</oddFooter>
      </headerFooter>
    </customSheetView>
  </customSheetViews>
  <mergeCells count="2">
    <mergeCell ref="A1:S3"/>
    <mergeCell ref="S4:S6"/>
  </mergeCells>
  <phoneticPr fontId="0" type="noConversion"/>
  <dataValidations count="2">
    <dataValidation type="list" allowBlank="1" showInputMessage="1" showErrorMessage="1" sqref="G7:G2008">
      <formula1>counties</formula1>
    </dataValidation>
    <dataValidation type="list" allowBlank="1" showInputMessage="1" showErrorMessage="1" sqref="H1072:H1111 H1113:H2008">
      <formula1>rating</formula1>
    </dataValidation>
  </dataValidations>
  <printOptions horizontalCentered="1"/>
  <pageMargins left="0.5" right="0.48" top="1.25" bottom="0.5" header="0" footer="0"/>
  <pageSetup scale="52" firstPageNumber="13" fitToHeight="0" orientation="landscape" useFirstPageNumber="1" r:id="rId2"/>
  <headerFooter scaleWithDoc="0">
    <oddFooter>&amp;CPage &amp;P of 172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690"/>
  <sheetViews>
    <sheetView showOutlineSymbols="0" zoomScaleNormal="100" workbookViewId="0">
      <pane xSplit="2" ySplit="10" topLeftCell="C80" activePane="bottomRight" state="frozen"/>
      <selection pane="topRight" activeCell="C1" sqref="C1"/>
      <selection pane="bottomLeft" activeCell="A11" sqref="A11"/>
      <selection pane="bottomRight" activeCell="E96" sqref="E96"/>
    </sheetView>
  </sheetViews>
  <sheetFormatPr defaultColWidth="0" defaultRowHeight="15" zeroHeight="1"/>
  <cols>
    <col min="1" max="1" width="2.77734375" style="1" customWidth="1"/>
    <col min="2" max="2" width="10.77734375" style="1" customWidth="1"/>
    <col min="3" max="22" width="8.77734375" style="1" customWidth="1"/>
    <col min="23" max="23" width="34.109375" style="1" customWidth="1"/>
    <col min="24" max="24" width="15.77734375" style="1" customWidth="1"/>
    <col min="25" max="25" width="9.6640625" style="1" customWidth="1"/>
    <col min="26" max="35" width="9.6640625" style="1" hidden="1" customWidth="1"/>
    <col min="36" max="16384" width="0" style="1" hidden="1"/>
  </cols>
  <sheetData>
    <row r="1" spans="2:35" ht="26.25">
      <c r="B1" s="1045" t="s">
        <v>831</v>
      </c>
      <c r="C1" s="1046"/>
      <c r="D1" s="1046"/>
      <c r="E1" s="1046"/>
      <c r="F1" s="1046"/>
      <c r="G1" s="1046"/>
      <c r="H1" s="1046"/>
      <c r="I1" s="1046"/>
      <c r="J1" s="1046"/>
      <c r="K1" s="1046"/>
      <c r="L1" s="1046"/>
    </row>
    <row r="2" spans="2:35" ht="15.75" thickBot="1">
      <c r="B2" s="1047" t="s">
        <v>127</v>
      </c>
      <c r="C2" s="1046"/>
      <c r="D2" s="1046"/>
      <c r="E2" s="1046"/>
      <c r="F2" s="1046"/>
      <c r="G2" s="1046"/>
      <c r="H2" s="1046"/>
      <c r="I2" s="1046"/>
      <c r="J2" s="1046"/>
      <c r="K2" s="1046"/>
      <c r="L2" s="1046"/>
    </row>
    <row r="3" spans="2:35" ht="15.75" customHeight="1" thickTop="1">
      <c r="B3" s="6"/>
      <c r="C3"/>
      <c r="D3"/>
      <c r="E3"/>
      <c r="F3" s="522"/>
      <c r="G3" s="124"/>
      <c r="H3" s="529" t="s">
        <v>959</v>
      </c>
      <c r="I3" s="530"/>
      <c r="J3" s="531"/>
      <c r="K3" s="531"/>
      <c r="L3" s="532"/>
      <c r="X3" s="864"/>
    </row>
    <row r="4" spans="2:35" ht="15.75" thickBot="1">
      <c r="H4" s="533" t="s">
        <v>857</v>
      </c>
      <c r="I4" s="3"/>
      <c r="J4" s="445"/>
      <c r="K4" s="365"/>
      <c r="L4" s="534"/>
      <c r="X4" s="864"/>
    </row>
    <row r="5" spans="2:35" ht="15.75" thickBot="1">
      <c r="B5" s="415" t="s">
        <v>133</v>
      </c>
      <c r="D5" s="38">
        <f>MAX('# Yrs of Data'!D4:D79)</f>
        <v>73</v>
      </c>
      <c r="E5" s="511"/>
      <c r="H5" s="533" t="s">
        <v>879</v>
      </c>
      <c r="I5" s="3"/>
      <c r="J5" s="445"/>
      <c r="K5" s="365"/>
      <c r="L5" s="534"/>
      <c r="X5" s="864"/>
    </row>
    <row r="6" spans="2:35" ht="15.75" customHeight="1" thickBot="1">
      <c r="H6" s="535" t="s">
        <v>1313</v>
      </c>
      <c r="I6" s="536"/>
      <c r="J6" s="537"/>
      <c r="K6" s="537"/>
      <c r="L6" s="538"/>
      <c r="W6" s="863" t="s">
        <v>192</v>
      </c>
      <c r="X6" s="864"/>
    </row>
    <row r="7" spans="2:35" ht="24.75" thickTop="1" thickBot="1">
      <c r="B7" s="244" t="s">
        <v>484</v>
      </c>
      <c r="C7" s="245"/>
      <c r="D7" s="245"/>
      <c r="E7" s="245"/>
      <c r="F7" s="245"/>
      <c r="G7" s="246"/>
      <c r="H7" s="246"/>
      <c r="J7" s="2"/>
      <c r="K7" s="2"/>
      <c r="W7" s="1048" t="s">
        <v>1328</v>
      </c>
      <c r="X7" s="864"/>
    </row>
    <row r="8" spans="2:35" ht="16.5" thickTop="1">
      <c r="B8" s="1042" t="s">
        <v>96</v>
      </c>
      <c r="C8" s="1036" t="s">
        <v>479</v>
      </c>
      <c r="D8" s="1037"/>
      <c r="E8" s="1037"/>
      <c r="F8" s="1037"/>
      <c r="G8" s="1037"/>
      <c r="H8" s="1038"/>
      <c r="I8" s="237" t="s">
        <v>128</v>
      </c>
      <c r="J8" s="238" t="s">
        <v>130</v>
      </c>
      <c r="K8" s="237" t="s">
        <v>762</v>
      </c>
      <c r="L8" s="223" t="s">
        <v>762</v>
      </c>
      <c r="M8" s="4" t="s">
        <v>762</v>
      </c>
      <c r="N8" s="5" t="s">
        <v>762</v>
      </c>
      <c r="O8" s="5" t="s">
        <v>762</v>
      </c>
      <c r="P8" s="5" t="s">
        <v>762</v>
      </c>
      <c r="Q8" s="5" t="s">
        <v>762</v>
      </c>
      <c r="R8" s="5" t="s">
        <v>762</v>
      </c>
      <c r="S8" s="5" t="s">
        <v>762</v>
      </c>
      <c r="T8" s="5" t="s">
        <v>762</v>
      </c>
      <c r="U8" s="5" t="s">
        <v>762</v>
      </c>
      <c r="V8" s="5" t="s">
        <v>762</v>
      </c>
      <c r="W8" s="1048"/>
      <c r="X8" s="864"/>
      <c r="AD8" s="16"/>
      <c r="AE8" s="16"/>
      <c r="AF8" s="16"/>
      <c r="AG8" s="16"/>
      <c r="AH8" s="16"/>
      <c r="AI8" s="16"/>
    </row>
    <row r="9" spans="2:35" ht="15.75">
      <c r="B9" s="1043"/>
      <c r="C9" s="1039"/>
      <c r="D9" s="1040"/>
      <c r="E9" s="1040"/>
      <c r="F9" s="1040"/>
      <c r="G9" s="1040"/>
      <c r="H9" s="1041"/>
      <c r="I9" s="235" t="s">
        <v>190</v>
      </c>
      <c r="J9" s="239" t="s">
        <v>131</v>
      </c>
      <c r="K9" s="235" t="s">
        <v>190</v>
      </c>
      <c r="L9" s="224" t="s">
        <v>131</v>
      </c>
      <c r="M9" s="4" t="s">
        <v>190</v>
      </c>
      <c r="N9" s="5" t="s">
        <v>763</v>
      </c>
      <c r="O9" s="4" t="s">
        <v>190</v>
      </c>
      <c r="P9" s="5" t="s">
        <v>763</v>
      </c>
      <c r="Q9" s="4" t="s">
        <v>190</v>
      </c>
      <c r="R9" s="5" t="s">
        <v>763</v>
      </c>
      <c r="S9" s="4" t="s">
        <v>190</v>
      </c>
      <c r="T9" s="5" t="s">
        <v>763</v>
      </c>
      <c r="U9" s="4" t="s">
        <v>190</v>
      </c>
      <c r="V9" s="5" t="s">
        <v>763</v>
      </c>
      <c r="W9" s="1048"/>
      <c r="X9" s="864"/>
      <c r="AD9" s="16"/>
      <c r="AE9" s="16"/>
      <c r="AF9" s="16"/>
      <c r="AG9" s="16"/>
      <c r="AH9" s="16"/>
      <c r="AI9" s="16"/>
    </row>
    <row r="10" spans="2:35" ht="16.5" thickBot="1">
      <c r="B10" s="1044"/>
      <c r="C10" s="243" t="s">
        <v>166</v>
      </c>
      <c r="D10" s="243" t="s">
        <v>167</v>
      </c>
      <c r="E10" s="243" t="s">
        <v>168</v>
      </c>
      <c r="F10" s="243" t="s">
        <v>169</v>
      </c>
      <c r="G10" s="243" t="s">
        <v>170</v>
      </c>
      <c r="H10" s="243" t="s">
        <v>171</v>
      </c>
      <c r="I10" s="413" t="s">
        <v>835</v>
      </c>
      <c r="J10" s="413" t="s">
        <v>835</v>
      </c>
      <c r="K10" s="413" t="s">
        <v>835</v>
      </c>
      <c r="L10" s="414" t="s">
        <v>835</v>
      </c>
      <c r="M10" s="5" t="s">
        <v>764</v>
      </c>
      <c r="N10" s="5" t="s">
        <v>764</v>
      </c>
      <c r="O10" s="5" t="s">
        <v>765</v>
      </c>
      <c r="P10" s="5" t="s">
        <v>765</v>
      </c>
      <c r="Q10" s="5" t="s">
        <v>766</v>
      </c>
      <c r="R10" s="5" t="s">
        <v>766</v>
      </c>
      <c r="S10" s="5" t="s">
        <v>767</v>
      </c>
      <c r="T10" s="5" t="s">
        <v>767</v>
      </c>
      <c r="U10" s="5" t="s">
        <v>768</v>
      </c>
      <c r="V10" s="5" t="s">
        <v>768</v>
      </c>
      <c r="W10" s="1048"/>
      <c r="X10" s="864"/>
      <c r="AD10" s="16"/>
      <c r="AE10" s="16"/>
      <c r="AF10" s="16"/>
      <c r="AG10" s="16"/>
      <c r="AH10" s="16"/>
      <c r="AI10" s="16"/>
    </row>
    <row r="11" spans="2:35" ht="16.5" thickTop="1">
      <c r="B11" s="233"/>
      <c r="C11" s="235"/>
      <c r="D11" s="235"/>
      <c r="E11" s="235"/>
      <c r="F11" s="235"/>
      <c r="G11" s="235"/>
      <c r="H11" s="235"/>
      <c r="I11" s="235"/>
      <c r="J11" s="239"/>
      <c r="K11" s="235"/>
      <c r="L11" s="224"/>
      <c r="M11" s="5"/>
      <c r="N11" s="5"/>
      <c r="O11" s="5"/>
      <c r="P11" s="5"/>
      <c r="Q11" s="5"/>
      <c r="R11" s="5"/>
      <c r="S11" s="5"/>
      <c r="T11" s="5"/>
      <c r="U11" s="5"/>
      <c r="V11" s="5"/>
      <c r="AD11" s="16"/>
      <c r="AE11" s="16"/>
      <c r="AF11" s="16"/>
      <c r="AG11" s="16"/>
      <c r="AH11" s="16"/>
      <c r="AI11" s="16"/>
    </row>
    <row r="12" spans="2:35" ht="15.75">
      <c r="B12" s="234">
        <v>1950</v>
      </c>
      <c r="C12" s="236">
        <f>(COUNTIF('Database - Tornado Segments'!$V$8:$V$2008, "1950F0"))</f>
        <v>1</v>
      </c>
      <c r="D12" s="236">
        <f>(COUNTIF('Database - Tornado Segments'!$V$8:$V$2008, "1950F1"))</f>
        <v>2</v>
      </c>
      <c r="E12" s="236">
        <f>(COUNTIF('Database - Tornado Segments'!$V$8:$V$2008, "1950F2"))</f>
        <v>1</v>
      </c>
      <c r="F12" s="236">
        <f>(COUNTIF('Database - Tornado Segments'!$V$8:$V$2008, "1950F3"))</f>
        <v>0</v>
      </c>
      <c r="G12" s="236">
        <f>(COUNTIF('Database - Tornado Segments'!$V$8:$V$2008, "1950F4"))</f>
        <v>0</v>
      </c>
      <c r="H12" s="236">
        <f>(COUNTIF('Database - Tornado Segments'!$V$8:$V$2008, "1950F5"))</f>
        <v>0</v>
      </c>
      <c r="I12" s="240">
        <f t="shared" ref="I12:I43" si="0">SUM(C12:H12)</f>
        <v>4</v>
      </c>
      <c r="J12" s="236"/>
      <c r="K12" s="240">
        <f>I12</f>
        <v>4</v>
      </c>
      <c r="L12" s="226">
        <f>K12/'# Yrs of Data'!D4</f>
        <v>4</v>
      </c>
      <c r="M12" s="2">
        <f>+C12</f>
        <v>1</v>
      </c>
      <c r="N12" s="35">
        <f>+M12/'# Yrs of Data'!D4</f>
        <v>1</v>
      </c>
      <c r="O12" s="2">
        <f>+D12</f>
        <v>2</v>
      </c>
      <c r="P12" s="35">
        <f>+O12/'# Yrs of Data'!D4</f>
        <v>2</v>
      </c>
      <c r="Q12" s="2">
        <f>+E12</f>
        <v>1</v>
      </c>
      <c r="R12" s="35">
        <f>+Q12/'# Yrs of Data'!D4</f>
        <v>1</v>
      </c>
      <c r="S12" s="2">
        <f>+F12</f>
        <v>0</v>
      </c>
      <c r="T12" s="35">
        <f>+S12/'# Yrs of Data'!D4</f>
        <v>0</v>
      </c>
      <c r="U12" s="2">
        <f>+G12</f>
        <v>0</v>
      </c>
      <c r="V12" s="35">
        <f>+U12/'# Yrs of Data'!D4</f>
        <v>0</v>
      </c>
      <c r="W12" s="1" t="s">
        <v>1329</v>
      </c>
    </row>
    <row r="13" spans="2:35">
      <c r="B13" s="234">
        <f t="shared" ref="B13:B44" si="1">B12+1</f>
        <v>1951</v>
      </c>
      <c r="C13" s="236">
        <f>(COUNTIF('Database - Tornado Segments'!$V$8:$V$2008, "1951F0"))</f>
        <v>1</v>
      </c>
      <c r="D13" s="236">
        <f>(COUNTIF('Database - Tornado Segments'!$V$8:$V$2008, "1951F1"))</f>
        <v>5</v>
      </c>
      <c r="E13" s="236">
        <f>(COUNTIF('Database - Tornado Segments'!$V$8:$V$2008, "1951F2"))</f>
        <v>3</v>
      </c>
      <c r="F13" s="236">
        <f>(COUNTIF('Database - Tornado Segments'!$V$8:$V$2008, "1951F3"))</f>
        <v>1</v>
      </c>
      <c r="G13" s="236">
        <f>(COUNTIF('Database - Tornado Segments'!$V$8:$V$2008, "1951F4"))</f>
        <v>0</v>
      </c>
      <c r="H13" s="236">
        <f>(COUNTIF('Database - Tornado Segments'!$V$8:$V$2008, "1951F5"))</f>
        <v>0</v>
      </c>
      <c r="I13" s="240">
        <f t="shared" si="0"/>
        <v>10</v>
      </c>
      <c r="J13" s="236"/>
      <c r="K13" s="240">
        <f t="shared" ref="K13:K44" si="2">K12+I13</f>
        <v>14</v>
      </c>
      <c r="L13" s="226">
        <f>K13/'# Yrs of Data'!D5</f>
        <v>7</v>
      </c>
      <c r="M13" s="2">
        <f t="shared" ref="M13:M44" si="3">+M12+C13</f>
        <v>2</v>
      </c>
      <c r="N13" s="35">
        <f>+M13/'# Yrs of Data'!D5</f>
        <v>1</v>
      </c>
      <c r="O13" s="2">
        <f t="shared" ref="O13:O44" si="4">+O12+D13</f>
        <v>7</v>
      </c>
      <c r="P13" s="35">
        <f>+O13/'# Yrs of Data'!D5</f>
        <v>3.5</v>
      </c>
      <c r="Q13" s="2">
        <f t="shared" ref="Q13:Q44" si="5">+Q12+E13</f>
        <v>4</v>
      </c>
      <c r="R13" s="35">
        <f>+Q13/'# Yrs of Data'!D5</f>
        <v>2</v>
      </c>
      <c r="S13" s="2">
        <f t="shared" ref="S13:S44" si="6">+S12+F13</f>
        <v>1</v>
      </c>
      <c r="T13" s="35">
        <f>+S13/'# Yrs of Data'!D5</f>
        <v>0.5</v>
      </c>
      <c r="U13" s="2">
        <f t="shared" ref="U13:U44" si="7">+U12+G13</f>
        <v>0</v>
      </c>
      <c r="V13" s="35">
        <f>+U13/'# Yrs of Data'!D5</f>
        <v>0</v>
      </c>
      <c r="W13" s="1" t="s">
        <v>1330</v>
      </c>
    </row>
    <row r="14" spans="2:35">
      <c r="B14" s="234">
        <f t="shared" si="1"/>
        <v>1952</v>
      </c>
      <c r="C14" s="236">
        <f>(COUNTIF('Database - Tornado Segments'!$V$8:$V$2008, "1952F0"))</f>
        <v>0</v>
      </c>
      <c r="D14" s="236">
        <f>(COUNTIF('Database - Tornado Segments'!$V$8:$V$2008, "1952F1"))</f>
        <v>1</v>
      </c>
      <c r="E14" s="236">
        <f>(COUNTIF('Database - Tornado Segments'!$V$8:$V$2008, "1952F2"))</f>
        <v>0</v>
      </c>
      <c r="F14" s="236">
        <f>(COUNTIF('Database - Tornado Segments'!$V$8:$V$2008, "1952F3"))</f>
        <v>0</v>
      </c>
      <c r="G14" s="236">
        <f>(COUNTIF('Database - Tornado Segments'!$V$8:$V$2008, "1952F4"))</f>
        <v>0</v>
      </c>
      <c r="H14" s="236">
        <f>(COUNTIF('Database - Tornado Segments'!$V$8:$V$2008, "1952F5"))</f>
        <v>0</v>
      </c>
      <c r="I14" s="240">
        <f t="shared" si="0"/>
        <v>1</v>
      </c>
      <c r="J14" s="236"/>
      <c r="K14" s="240">
        <f t="shared" si="2"/>
        <v>15</v>
      </c>
      <c r="L14" s="226">
        <f>K14/'# Yrs of Data'!D6</f>
        <v>5</v>
      </c>
      <c r="M14" s="2">
        <f t="shared" si="3"/>
        <v>2</v>
      </c>
      <c r="N14" s="35">
        <f>+M14/'# Yrs of Data'!D6</f>
        <v>0.66666666666666663</v>
      </c>
      <c r="O14" s="2">
        <f t="shared" si="4"/>
        <v>8</v>
      </c>
      <c r="P14" s="35">
        <f>+O14/'# Yrs of Data'!D6</f>
        <v>2.6666666666666665</v>
      </c>
      <c r="Q14" s="2">
        <f t="shared" si="5"/>
        <v>4</v>
      </c>
      <c r="R14" s="35">
        <f>+Q14/'# Yrs of Data'!D6</f>
        <v>1.3333333333333333</v>
      </c>
      <c r="S14" s="2">
        <f t="shared" si="6"/>
        <v>1</v>
      </c>
      <c r="T14" s="35">
        <f>+S14/'# Yrs of Data'!D6</f>
        <v>0.33333333333333331</v>
      </c>
      <c r="U14" s="2">
        <f t="shared" si="7"/>
        <v>0</v>
      </c>
      <c r="V14" s="35">
        <f>+U14/'# Yrs of Data'!D6</f>
        <v>0</v>
      </c>
      <c r="W14" s="1" t="s">
        <v>1342</v>
      </c>
    </row>
    <row r="15" spans="2:35">
      <c r="B15" s="234">
        <f t="shared" si="1"/>
        <v>1953</v>
      </c>
      <c r="C15" s="236">
        <f>(COUNTIF('Database - Tornado Segments'!$V$8:$V$2008, "1953F0"))</f>
        <v>1</v>
      </c>
      <c r="D15" s="236">
        <f>(COUNTIF('Database - Tornado Segments'!$V$8:$V$2008, "1953F1"))</f>
        <v>1</v>
      </c>
      <c r="E15" s="236">
        <f>(COUNTIF('Database - Tornado Segments'!$V$8:$V$2008, "1953F2"))</f>
        <v>0</v>
      </c>
      <c r="F15" s="236">
        <f>(COUNTIF('Database - Tornado Segments'!$V$8:$V$2008, "1953F3"))</f>
        <v>0</v>
      </c>
      <c r="G15" s="236">
        <f>(COUNTIF('Database - Tornado Segments'!$V$8:$V$2008, "1953F4"))</f>
        <v>0</v>
      </c>
      <c r="H15" s="236">
        <f>(COUNTIF('Database - Tornado Segments'!$V$8:$V$2008, "1953F5"))</f>
        <v>0</v>
      </c>
      <c r="I15" s="240">
        <f t="shared" si="0"/>
        <v>2</v>
      </c>
      <c r="J15" s="236"/>
      <c r="K15" s="240">
        <f t="shared" si="2"/>
        <v>17</v>
      </c>
      <c r="L15" s="226">
        <f>K15/'# Yrs of Data'!D7</f>
        <v>4.25</v>
      </c>
      <c r="M15" s="2">
        <f t="shared" si="3"/>
        <v>3</v>
      </c>
      <c r="N15" s="35">
        <f>+M15/'# Yrs of Data'!D7</f>
        <v>0.75</v>
      </c>
      <c r="O15" s="2">
        <f t="shared" si="4"/>
        <v>9</v>
      </c>
      <c r="P15" s="35">
        <f>+O15/'# Yrs of Data'!D7</f>
        <v>2.25</v>
      </c>
      <c r="Q15" s="2">
        <f t="shared" si="5"/>
        <v>4</v>
      </c>
      <c r="R15" s="35">
        <f>+Q15/'# Yrs of Data'!D7</f>
        <v>1</v>
      </c>
      <c r="S15" s="2">
        <f t="shared" si="6"/>
        <v>1</v>
      </c>
      <c r="T15" s="35">
        <f>+S15/'# Yrs of Data'!D7</f>
        <v>0.25</v>
      </c>
      <c r="U15" s="2">
        <f t="shared" si="7"/>
        <v>0</v>
      </c>
      <c r="V15" s="35">
        <f>+U15/'# Yrs of Data'!D7</f>
        <v>0</v>
      </c>
      <c r="W15" s="1" t="s">
        <v>1343</v>
      </c>
    </row>
    <row r="16" spans="2:35">
      <c r="B16" s="234">
        <f t="shared" si="1"/>
        <v>1954</v>
      </c>
      <c r="C16" s="236">
        <f>(COUNTIF('Database - Tornado Segments'!$V$8:$V$2008, "1954F0"))</f>
        <v>1</v>
      </c>
      <c r="D16" s="236">
        <f>(COUNTIF('Database - Tornado Segments'!$V$8:$V$2008, "1954F1"))</f>
        <v>1</v>
      </c>
      <c r="E16" s="236">
        <f>(COUNTIF('Database - Tornado Segments'!$V$8:$V$2008, "1954F2"))</f>
        <v>0</v>
      </c>
      <c r="F16" s="236">
        <f>(COUNTIF('Database - Tornado Segments'!$V$8:$V$2008, "1954F3"))</f>
        <v>0</v>
      </c>
      <c r="G16" s="236">
        <f>(COUNTIF('Database - Tornado Segments'!$V$8:$V$2008, "1954F4"))</f>
        <v>0</v>
      </c>
      <c r="H16" s="236">
        <f>(COUNTIF('Database - Tornado Segments'!$V$8:$V$2008, "1954F5"))</f>
        <v>0</v>
      </c>
      <c r="I16" s="240">
        <f t="shared" si="0"/>
        <v>2</v>
      </c>
      <c r="J16" s="236"/>
      <c r="K16" s="240">
        <f t="shared" si="2"/>
        <v>19</v>
      </c>
      <c r="L16" s="226">
        <f>K16/'# Yrs of Data'!D8</f>
        <v>3.8</v>
      </c>
      <c r="M16" s="2">
        <f t="shared" si="3"/>
        <v>4</v>
      </c>
      <c r="N16" s="35">
        <f>+M16/'# Yrs of Data'!D8</f>
        <v>0.8</v>
      </c>
      <c r="O16" s="2">
        <f t="shared" si="4"/>
        <v>10</v>
      </c>
      <c r="P16" s="35">
        <f>+O16/'# Yrs of Data'!D8</f>
        <v>2</v>
      </c>
      <c r="Q16" s="2">
        <f t="shared" si="5"/>
        <v>4</v>
      </c>
      <c r="R16" s="35">
        <f>+Q16/'# Yrs of Data'!D8</f>
        <v>0.8</v>
      </c>
      <c r="S16" s="2">
        <f t="shared" si="6"/>
        <v>1</v>
      </c>
      <c r="T16" s="35">
        <f>+S16/'# Yrs of Data'!D8</f>
        <v>0.2</v>
      </c>
      <c r="U16" s="2">
        <f t="shared" si="7"/>
        <v>0</v>
      </c>
      <c r="V16" s="35">
        <f>+U16/'# Yrs of Data'!D8</f>
        <v>0</v>
      </c>
      <c r="W16" s="1" t="s">
        <v>1331</v>
      </c>
    </row>
    <row r="17" spans="2:23">
      <c r="B17" s="234">
        <f t="shared" si="1"/>
        <v>1955</v>
      </c>
      <c r="C17" s="236">
        <f>(COUNTIF('Database - Tornado Segments'!$V$8:$V$2008, "1955F0"))</f>
        <v>12</v>
      </c>
      <c r="D17" s="236">
        <f>(COUNTIF('Database - Tornado Segments'!$V$8:$V$2008, "1955F1"))</f>
        <v>2</v>
      </c>
      <c r="E17" s="236">
        <f>(COUNTIF('Database - Tornado Segments'!$V$8:$V$2008, "1955F2"))</f>
        <v>1</v>
      </c>
      <c r="F17" s="236">
        <f>(COUNTIF('Database - Tornado Segments'!$V$8:$V$2008, "1955F3"))</f>
        <v>2</v>
      </c>
      <c r="G17" s="236">
        <f>(COUNTIF('Database - Tornado Segments'!$V$8:$V$2008, "1955F4"))</f>
        <v>2</v>
      </c>
      <c r="H17" s="236">
        <f>(COUNTIF('Database - Tornado Segments'!$V$8:$V$2008, "1955F5"))</f>
        <v>0</v>
      </c>
      <c r="I17" s="240">
        <f t="shared" si="0"/>
        <v>19</v>
      </c>
      <c r="J17" s="236"/>
      <c r="K17" s="240">
        <f t="shared" si="2"/>
        <v>38</v>
      </c>
      <c r="L17" s="226">
        <f>K17/'# Yrs of Data'!D9</f>
        <v>6.333333333333333</v>
      </c>
      <c r="M17" s="2">
        <f t="shared" si="3"/>
        <v>16</v>
      </c>
      <c r="N17" s="35">
        <f>+M17/'# Yrs of Data'!D9</f>
        <v>2.6666666666666665</v>
      </c>
      <c r="O17" s="2">
        <f t="shared" si="4"/>
        <v>12</v>
      </c>
      <c r="P17" s="35">
        <f>+O17/'# Yrs of Data'!D9</f>
        <v>2</v>
      </c>
      <c r="Q17" s="2">
        <f t="shared" si="5"/>
        <v>5</v>
      </c>
      <c r="R17" s="35">
        <f>+Q17/'# Yrs of Data'!D9</f>
        <v>0.83333333333333337</v>
      </c>
      <c r="S17" s="2">
        <f t="shared" si="6"/>
        <v>3</v>
      </c>
      <c r="T17" s="35">
        <f>+S17/'# Yrs of Data'!D9</f>
        <v>0.5</v>
      </c>
      <c r="U17" s="2">
        <f t="shared" si="7"/>
        <v>2</v>
      </c>
      <c r="V17" s="35">
        <f>+U17/'# Yrs of Data'!D9</f>
        <v>0.33333333333333331</v>
      </c>
      <c r="W17" s="1" t="s">
        <v>1331</v>
      </c>
    </row>
    <row r="18" spans="2:23">
      <c r="B18" s="234">
        <f t="shared" si="1"/>
        <v>1956</v>
      </c>
      <c r="C18" s="236">
        <f>(COUNTIF('Database - Tornado Segments'!$V$8:$V$2008, "1956F0"))</f>
        <v>1</v>
      </c>
      <c r="D18" s="236">
        <f>(COUNTIF('Database - Tornado Segments'!$V$8:$V$2008, "1956F1"))</f>
        <v>1</v>
      </c>
      <c r="E18" s="236">
        <f>(COUNTIF('Database - Tornado Segments'!$V$8:$V$2008, "1956F2"))</f>
        <v>0</v>
      </c>
      <c r="F18" s="236">
        <f>(COUNTIF('Database - Tornado Segments'!$V$8:$V$2008, "1956F3"))</f>
        <v>0</v>
      </c>
      <c r="G18" s="236">
        <f>(COUNTIF('Database - Tornado Segments'!$V$8:$V$2008, "1956F4"))</f>
        <v>0</v>
      </c>
      <c r="H18" s="236">
        <f>(COUNTIF('Database - Tornado Segments'!$V$8:$V$2008, "1956F5"))</f>
        <v>0</v>
      </c>
      <c r="I18" s="240">
        <f t="shared" si="0"/>
        <v>2</v>
      </c>
      <c r="J18" s="236"/>
      <c r="K18" s="240">
        <f t="shared" si="2"/>
        <v>40</v>
      </c>
      <c r="L18" s="226">
        <f>K18/'# Yrs of Data'!D10</f>
        <v>5.7142857142857144</v>
      </c>
      <c r="M18" s="2">
        <f t="shared" si="3"/>
        <v>17</v>
      </c>
      <c r="N18" s="35">
        <f>+M18/'# Yrs of Data'!D10</f>
        <v>2.4285714285714284</v>
      </c>
      <c r="O18" s="2">
        <f t="shared" si="4"/>
        <v>13</v>
      </c>
      <c r="P18" s="35">
        <f>+O18/'# Yrs of Data'!D10</f>
        <v>1.8571428571428572</v>
      </c>
      <c r="Q18" s="2">
        <f t="shared" si="5"/>
        <v>5</v>
      </c>
      <c r="R18" s="35">
        <f>+Q18/'# Yrs of Data'!D10</f>
        <v>0.7142857142857143</v>
      </c>
      <c r="S18" s="2">
        <f t="shared" si="6"/>
        <v>3</v>
      </c>
      <c r="T18" s="35">
        <f>+S18/'# Yrs of Data'!D10</f>
        <v>0.42857142857142855</v>
      </c>
      <c r="U18" s="2">
        <f t="shared" si="7"/>
        <v>2</v>
      </c>
      <c r="V18" s="35">
        <f>+U18/'# Yrs of Data'!D10</f>
        <v>0.2857142857142857</v>
      </c>
      <c r="W18" s="1" t="s">
        <v>1332</v>
      </c>
    </row>
    <row r="19" spans="2:23">
      <c r="B19" s="234">
        <f t="shared" si="1"/>
        <v>1957</v>
      </c>
      <c r="C19" s="236">
        <f>(COUNTIF('Database - Tornado Segments'!$V$8:$V$2008, "1957F0"))</f>
        <v>3</v>
      </c>
      <c r="D19" s="236">
        <f>(COUNTIF('Database - Tornado Segments'!$V$8:$V$2008, "1957F1"))</f>
        <v>3</v>
      </c>
      <c r="E19" s="236">
        <f>(COUNTIF('Database - Tornado Segments'!$V$8:$V$2008, "1957F2"))</f>
        <v>3</v>
      </c>
      <c r="F19" s="236">
        <f>(COUNTIF('Database - Tornado Segments'!$V$8:$V$2008, "1957F3"))</f>
        <v>1</v>
      </c>
      <c r="G19" s="236">
        <f>(COUNTIF('Database - Tornado Segments'!$V$8:$V$2008, "1957F4"))</f>
        <v>0</v>
      </c>
      <c r="H19" s="236">
        <f>(COUNTIF('Database - Tornado Segments'!$V$8:$V$2008, "1957F5"))</f>
        <v>0</v>
      </c>
      <c r="I19" s="240">
        <f t="shared" si="0"/>
        <v>10</v>
      </c>
      <c r="J19" s="236"/>
      <c r="K19" s="240">
        <f t="shared" si="2"/>
        <v>50</v>
      </c>
      <c r="L19" s="226">
        <f>K19/'# Yrs of Data'!D11</f>
        <v>6.25</v>
      </c>
      <c r="M19" s="2">
        <f t="shared" si="3"/>
        <v>20</v>
      </c>
      <c r="N19" s="35">
        <f>+M19/'# Yrs of Data'!D11</f>
        <v>2.5</v>
      </c>
      <c r="O19" s="2">
        <f t="shared" si="4"/>
        <v>16</v>
      </c>
      <c r="P19" s="35">
        <f>+O19/'# Yrs of Data'!D11</f>
        <v>2</v>
      </c>
      <c r="Q19" s="2">
        <f t="shared" si="5"/>
        <v>8</v>
      </c>
      <c r="R19" s="35">
        <f>+Q19/'# Yrs of Data'!D11</f>
        <v>1</v>
      </c>
      <c r="S19" s="2">
        <f t="shared" si="6"/>
        <v>4</v>
      </c>
      <c r="T19" s="35">
        <f>+S19/'# Yrs of Data'!D11</f>
        <v>0.5</v>
      </c>
      <c r="U19" s="2">
        <f t="shared" si="7"/>
        <v>2</v>
      </c>
      <c r="V19" s="35">
        <f>+U19/'# Yrs of Data'!D11</f>
        <v>0.25</v>
      </c>
      <c r="W19" s="1" t="s">
        <v>1344</v>
      </c>
    </row>
    <row r="20" spans="2:23">
      <c r="B20" s="234">
        <f t="shared" si="1"/>
        <v>1958</v>
      </c>
      <c r="C20" s="236">
        <f>(COUNTIF('Database - Tornado Segments'!$V$8:$V$2008, "1958F0"))</f>
        <v>4</v>
      </c>
      <c r="D20" s="236">
        <f>(COUNTIF('Database - Tornado Segments'!$V$8:$V$2008, "1958F1"))</f>
        <v>7</v>
      </c>
      <c r="E20" s="236">
        <f>(COUNTIF('Database - Tornado Segments'!$V$8:$V$2008, "1958F2"))</f>
        <v>0</v>
      </c>
      <c r="F20" s="236">
        <f>(COUNTIF('Database - Tornado Segments'!$V$8:$V$2008, "1958F3"))</f>
        <v>0</v>
      </c>
      <c r="G20" s="236">
        <f>(COUNTIF('Database - Tornado Segments'!$V$8:$V$2008, "1958F4"))</f>
        <v>0</v>
      </c>
      <c r="H20" s="236">
        <f>(COUNTIF('Database - Tornado Segments'!$V$8:$V$2008, "1958F5"))</f>
        <v>0</v>
      </c>
      <c r="I20" s="240">
        <f t="shared" si="0"/>
        <v>11</v>
      </c>
      <c r="J20" s="236"/>
      <c r="K20" s="240">
        <f t="shared" si="2"/>
        <v>61</v>
      </c>
      <c r="L20" s="226">
        <f>K20/'# Yrs of Data'!D12</f>
        <v>6.7777777777777777</v>
      </c>
      <c r="M20" s="2">
        <f t="shared" si="3"/>
        <v>24</v>
      </c>
      <c r="N20" s="35">
        <f>+M20/'# Yrs of Data'!D12</f>
        <v>2.6666666666666665</v>
      </c>
      <c r="O20" s="2">
        <f t="shared" si="4"/>
        <v>23</v>
      </c>
      <c r="P20" s="35">
        <f>+O20/'# Yrs of Data'!D12</f>
        <v>2.5555555555555554</v>
      </c>
      <c r="Q20" s="2">
        <f t="shared" si="5"/>
        <v>8</v>
      </c>
      <c r="R20" s="35">
        <f>+Q20/'# Yrs of Data'!D12</f>
        <v>0.88888888888888884</v>
      </c>
      <c r="S20" s="2">
        <f t="shared" si="6"/>
        <v>4</v>
      </c>
      <c r="T20" s="35">
        <f>+S20/'# Yrs of Data'!D12</f>
        <v>0.44444444444444442</v>
      </c>
      <c r="U20" s="2">
        <f t="shared" si="7"/>
        <v>2</v>
      </c>
      <c r="V20" s="35">
        <f>+U20/'# Yrs of Data'!D12</f>
        <v>0.22222222222222221</v>
      </c>
      <c r="W20" s="1" t="s">
        <v>1345</v>
      </c>
    </row>
    <row r="21" spans="2:23">
      <c r="B21" s="234">
        <f t="shared" si="1"/>
        <v>1959</v>
      </c>
      <c r="C21" s="236">
        <f>(COUNTIF('Database - Tornado Segments'!$V$8:$V$2008, "1959F0"))</f>
        <v>2</v>
      </c>
      <c r="D21" s="236">
        <f>(COUNTIF('Database - Tornado Segments'!$V$8:$V$2008, "1959F1"))</f>
        <v>4</v>
      </c>
      <c r="E21" s="236">
        <f>(COUNTIF('Database - Tornado Segments'!$V$8:$V$2008, "1959F2"))</f>
        <v>0</v>
      </c>
      <c r="F21" s="236">
        <f>(COUNTIF('Database - Tornado Segments'!$V$8:$V$2008, "1959F3"))</f>
        <v>0</v>
      </c>
      <c r="G21" s="236">
        <f>(COUNTIF('Database - Tornado Segments'!$V$8:$V$2008, "1959F4"))</f>
        <v>0</v>
      </c>
      <c r="H21" s="236">
        <f>(COUNTIF('Database - Tornado Segments'!$V$8:$V$2008, "1959F5"))</f>
        <v>0</v>
      </c>
      <c r="I21" s="240">
        <f t="shared" si="0"/>
        <v>6</v>
      </c>
      <c r="J21" s="236">
        <f t="shared" ref="J21:J52" si="8">SUM(I12:I21)/10</f>
        <v>6.7</v>
      </c>
      <c r="K21" s="240">
        <f t="shared" si="2"/>
        <v>67</v>
      </c>
      <c r="L21" s="226">
        <f>K21/'# Yrs of Data'!D13</f>
        <v>6.7</v>
      </c>
      <c r="M21" s="2">
        <f t="shared" si="3"/>
        <v>26</v>
      </c>
      <c r="N21" s="35">
        <f>+M21/'# Yrs of Data'!D13</f>
        <v>2.6</v>
      </c>
      <c r="O21" s="2">
        <f t="shared" si="4"/>
        <v>27</v>
      </c>
      <c r="P21" s="35">
        <f>+O21/'# Yrs of Data'!D13</f>
        <v>2.7</v>
      </c>
      <c r="Q21" s="2">
        <f t="shared" si="5"/>
        <v>8</v>
      </c>
      <c r="R21" s="35">
        <f>+Q21/'# Yrs of Data'!D13</f>
        <v>0.8</v>
      </c>
      <c r="S21" s="2">
        <f t="shared" si="6"/>
        <v>4</v>
      </c>
      <c r="T21" s="35">
        <f>+S21/'# Yrs of Data'!D13</f>
        <v>0.4</v>
      </c>
      <c r="U21" s="2">
        <f t="shared" si="7"/>
        <v>2</v>
      </c>
      <c r="V21" s="35">
        <f>+U21/'# Yrs of Data'!D13</f>
        <v>0.2</v>
      </c>
      <c r="W21" s="1" t="s">
        <v>1346</v>
      </c>
    </row>
    <row r="22" spans="2:23">
      <c r="B22" s="234">
        <f t="shared" si="1"/>
        <v>1960</v>
      </c>
      <c r="C22" s="236">
        <f>(COUNTIF('Database - Tornado Segments'!$V$8:$V$2008, "1960F0"))</f>
        <v>6</v>
      </c>
      <c r="D22" s="236">
        <f>(COUNTIF('Database - Tornado Segments'!$V$8:$V$2008, "1960F1"))</f>
        <v>6</v>
      </c>
      <c r="E22" s="236">
        <f>(COUNTIF('Database - Tornado Segments'!$V$8:$V$2008, "1960F2"))</f>
        <v>1</v>
      </c>
      <c r="F22" s="236">
        <f>(COUNTIF('Database - Tornado Segments'!$V$8:$V$2008, "1960F3"))</f>
        <v>0</v>
      </c>
      <c r="G22" s="236">
        <f>(COUNTIF('Database - Tornado Segments'!$V$8:$V$2008, "1960F4"))</f>
        <v>0</v>
      </c>
      <c r="H22" s="236">
        <f>(COUNTIF('Database - Tornado Segments'!$V$8:$V$2008, "1960F5"))</f>
        <v>0</v>
      </c>
      <c r="I22" s="240">
        <f t="shared" si="0"/>
        <v>13</v>
      </c>
      <c r="J22" s="236">
        <f t="shared" si="8"/>
        <v>7.6</v>
      </c>
      <c r="K22" s="240">
        <f t="shared" si="2"/>
        <v>80</v>
      </c>
      <c r="L22" s="226">
        <f>K22/'# Yrs of Data'!D14</f>
        <v>7.2727272727272725</v>
      </c>
      <c r="M22" s="2">
        <f t="shared" si="3"/>
        <v>32</v>
      </c>
      <c r="N22" s="35">
        <f>+M22/'# Yrs of Data'!D14</f>
        <v>2.9090909090909092</v>
      </c>
      <c r="O22" s="2">
        <f t="shared" si="4"/>
        <v>33</v>
      </c>
      <c r="P22" s="35">
        <f>+O22/'# Yrs of Data'!D14</f>
        <v>3</v>
      </c>
      <c r="Q22" s="2">
        <f t="shared" si="5"/>
        <v>9</v>
      </c>
      <c r="R22" s="35">
        <f>+Q22/'# Yrs of Data'!D14</f>
        <v>0.81818181818181823</v>
      </c>
      <c r="S22" s="2">
        <f t="shared" si="6"/>
        <v>4</v>
      </c>
      <c r="T22" s="35">
        <f>+S22/'# Yrs of Data'!D14</f>
        <v>0.36363636363636365</v>
      </c>
      <c r="U22" s="2">
        <f t="shared" si="7"/>
        <v>2</v>
      </c>
      <c r="V22" s="35">
        <f>+U22/'# Yrs of Data'!D14</f>
        <v>0.18181818181818182</v>
      </c>
      <c r="W22" s="1" t="s">
        <v>916</v>
      </c>
    </row>
    <row r="23" spans="2:23">
      <c r="B23" s="234">
        <f t="shared" si="1"/>
        <v>1961</v>
      </c>
      <c r="C23" s="236">
        <f>(COUNTIF('Database - Tornado Segments'!$V$8:$V$2008, "1961F0"))</f>
        <v>5</v>
      </c>
      <c r="D23" s="236">
        <f>(COUNTIF('Database - Tornado Segments'!$V$8:$V$2008, "1961F1"))</f>
        <v>5</v>
      </c>
      <c r="E23" s="236">
        <f>(COUNTIF('Database - Tornado Segments'!$V$8:$V$2008, "1961F2"))</f>
        <v>5</v>
      </c>
      <c r="F23" s="236">
        <f>(COUNTIF('Database - Tornado Segments'!$V$8:$V$2008, "1961F3"))</f>
        <v>0</v>
      </c>
      <c r="G23" s="236">
        <f>(COUNTIF('Database - Tornado Segments'!$V$8:$V$2008, "1961F4"))</f>
        <v>0</v>
      </c>
      <c r="H23" s="236">
        <f>(COUNTIF('Database - Tornado Segments'!$V$8:$V$2008, "1961F5"))</f>
        <v>0</v>
      </c>
      <c r="I23" s="240">
        <f t="shared" si="0"/>
        <v>15</v>
      </c>
      <c r="J23" s="236">
        <f t="shared" si="8"/>
        <v>8.1</v>
      </c>
      <c r="K23" s="240">
        <f t="shared" si="2"/>
        <v>95</v>
      </c>
      <c r="L23" s="226">
        <f>K23/'# Yrs of Data'!D15</f>
        <v>7.916666666666667</v>
      </c>
      <c r="M23" s="2">
        <f t="shared" si="3"/>
        <v>37</v>
      </c>
      <c r="N23" s="35">
        <f>+M23/'# Yrs of Data'!D15</f>
        <v>3.0833333333333335</v>
      </c>
      <c r="O23" s="2">
        <f t="shared" si="4"/>
        <v>38</v>
      </c>
      <c r="P23" s="35">
        <f>+O23/'# Yrs of Data'!D15</f>
        <v>3.1666666666666665</v>
      </c>
      <c r="Q23" s="2">
        <f t="shared" si="5"/>
        <v>14</v>
      </c>
      <c r="R23" s="35">
        <f>+Q23/'# Yrs of Data'!D15</f>
        <v>1.1666666666666667</v>
      </c>
      <c r="S23" s="2">
        <f t="shared" si="6"/>
        <v>4</v>
      </c>
      <c r="T23" s="35">
        <f>+S23/'# Yrs of Data'!D15</f>
        <v>0.33333333333333331</v>
      </c>
      <c r="U23" s="2">
        <f t="shared" si="7"/>
        <v>2</v>
      </c>
      <c r="V23" s="35">
        <f>+U23/'# Yrs of Data'!D15</f>
        <v>0.16666666666666666</v>
      </c>
      <c r="W23" s="1" t="s">
        <v>549</v>
      </c>
    </row>
    <row r="24" spans="2:23">
      <c r="B24" s="234">
        <f t="shared" si="1"/>
        <v>1962</v>
      </c>
      <c r="C24" s="236">
        <f>(COUNTIF('Database - Tornado Segments'!$V$8:$V$2008, "1962F0"))</f>
        <v>9</v>
      </c>
      <c r="D24" s="236">
        <f>(COUNTIF('Database - Tornado Segments'!$V$8:$V$2008, "1962F1"))</f>
        <v>12</v>
      </c>
      <c r="E24" s="236">
        <f>(COUNTIF('Database - Tornado Segments'!$V$8:$V$2008, "1962F2"))</f>
        <v>4</v>
      </c>
      <c r="F24" s="236">
        <f>(COUNTIF('Database - Tornado Segments'!$V$8:$V$2008, "1962F3"))</f>
        <v>1</v>
      </c>
      <c r="G24" s="236">
        <f>(COUNTIF('Database - Tornado Segments'!$V$8:$V$2008, "1962F4"))</f>
        <v>0</v>
      </c>
      <c r="H24" s="236">
        <f>(COUNTIF('Database - Tornado Segments'!$V$8:$V$2008, "1962F5"))</f>
        <v>0</v>
      </c>
      <c r="I24" s="240">
        <f t="shared" si="0"/>
        <v>26</v>
      </c>
      <c r="J24" s="236">
        <f t="shared" si="8"/>
        <v>10.6</v>
      </c>
      <c r="K24" s="240">
        <f t="shared" si="2"/>
        <v>121</v>
      </c>
      <c r="L24" s="226">
        <f>K24/'# Yrs of Data'!D16</f>
        <v>9.3076923076923084</v>
      </c>
      <c r="M24" s="2">
        <f t="shared" si="3"/>
        <v>46</v>
      </c>
      <c r="N24" s="35">
        <f>+M24/'# Yrs of Data'!D16</f>
        <v>3.5384615384615383</v>
      </c>
      <c r="O24" s="2">
        <f t="shared" si="4"/>
        <v>50</v>
      </c>
      <c r="P24" s="35">
        <f>+O24/'# Yrs of Data'!D16</f>
        <v>3.8461538461538463</v>
      </c>
      <c r="Q24" s="2">
        <f t="shared" si="5"/>
        <v>18</v>
      </c>
      <c r="R24" s="35">
        <f>+Q24/'# Yrs of Data'!D16</f>
        <v>1.3846153846153846</v>
      </c>
      <c r="S24" s="2">
        <f t="shared" si="6"/>
        <v>5</v>
      </c>
      <c r="T24" s="35">
        <f>+S24/'# Yrs of Data'!D16</f>
        <v>0.38461538461538464</v>
      </c>
      <c r="U24" s="2">
        <f t="shared" si="7"/>
        <v>2</v>
      </c>
      <c r="V24" s="35">
        <f>+U24/'# Yrs of Data'!D16</f>
        <v>0.15384615384615385</v>
      </c>
      <c r="W24" s="1" t="s">
        <v>549</v>
      </c>
    </row>
    <row r="25" spans="2:23">
      <c r="B25" s="234">
        <f t="shared" si="1"/>
        <v>1963</v>
      </c>
      <c r="C25" s="236">
        <f>(COUNTIF('Database - Tornado Segments'!$V$8:$V$2008, "1963F0"))</f>
        <v>2</v>
      </c>
      <c r="D25" s="236">
        <f>(COUNTIF('Database - Tornado Segments'!$V$8:$V$2008, "1963F1"))</f>
        <v>1</v>
      </c>
      <c r="E25" s="236">
        <f>(COUNTIF('Database - Tornado Segments'!$V$8:$V$2008, "1963F2"))</f>
        <v>1</v>
      </c>
      <c r="F25" s="236">
        <f>(COUNTIF('Database - Tornado Segments'!$V$8:$V$2008, "1963F3"))</f>
        <v>1</v>
      </c>
      <c r="G25" s="236">
        <f>(COUNTIF('Database - Tornado Segments'!$V$8:$V$2008, "1963F4"))</f>
        <v>0</v>
      </c>
      <c r="H25" s="236">
        <f>(COUNTIF('Database - Tornado Segments'!$V$8:$V$2008, "1963F5"))</f>
        <v>0</v>
      </c>
      <c r="I25" s="240">
        <f t="shared" si="0"/>
        <v>5</v>
      </c>
      <c r="J25" s="236">
        <f t="shared" si="8"/>
        <v>10.9</v>
      </c>
      <c r="K25" s="240">
        <f t="shared" si="2"/>
        <v>126</v>
      </c>
      <c r="L25" s="226">
        <f>K25/'# Yrs of Data'!D17</f>
        <v>9</v>
      </c>
      <c r="M25" s="2">
        <f t="shared" si="3"/>
        <v>48</v>
      </c>
      <c r="N25" s="35">
        <f>+M25/'# Yrs of Data'!D17</f>
        <v>3.4285714285714284</v>
      </c>
      <c r="O25" s="2">
        <f t="shared" si="4"/>
        <v>51</v>
      </c>
      <c r="P25" s="35">
        <f>+O25/'# Yrs of Data'!D17</f>
        <v>3.6428571428571428</v>
      </c>
      <c r="Q25" s="2">
        <f t="shared" si="5"/>
        <v>19</v>
      </c>
      <c r="R25" s="35">
        <f>+Q25/'# Yrs of Data'!D17</f>
        <v>1.3571428571428572</v>
      </c>
      <c r="S25" s="2">
        <f t="shared" si="6"/>
        <v>6</v>
      </c>
      <c r="T25" s="35">
        <f>+S25/'# Yrs of Data'!D17</f>
        <v>0.42857142857142855</v>
      </c>
      <c r="U25" s="2">
        <f t="shared" si="7"/>
        <v>2</v>
      </c>
      <c r="V25" s="35">
        <f>+U25/'# Yrs of Data'!D17</f>
        <v>0.14285714285714285</v>
      </c>
      <c r="W25" s="1" t="s">
        <v>549</v>
      </c>
    </row>
    <row r="26" spans="2:23">
      <c r="B26" s="234">
        <f t="shared" si="1"/>
        <v>1964</v>
      </c>
      <c r="C26" s="236">
        <f>(COUNTIF('Database - Tornado Segments'!$V$8:$V$2008, "1964F0"))</f>
        <v>3</v>
      </c>
      <c r="D26" s="236">
        <f>(COUNTIF('Database - Tornado Segments'!$V$8:$V$2008, "1964F1"))</f>
        <v>0</v>
      </c>
      <c r="E26" s="236">
        <f>(COUNTIF('Database - Tornado Segments'!$V$8:$V$2008, "1964F2"))</f>
        <v>1</v>
      </c>
      <c r="F26" s="236">
        <f>(COUNTIF('Database - Tornado Segments'!$V$8:$V$2008, "1964F3"))</f>
        <v>0</v>
      </c>
      <c r="G26" s="236">
        <f>(COUNTIF('Database - Tornado Segments'!$V$8:$V$2008, "1964F4"))</f>
        <v>0</v>
      </c>
      <c r="H26" s="236">
        <f>(COUNTIF('Database - Tornado Segments'!$V$8:$V$2008, "1964F5"))</f>
        <v>0</v>
      </c>
      <c r="I26" s="240">
        <f t="shared" si="0"/>
        <v>4</v>
      </c>
      <c r="J26" s="236">
        <f t="shared" si="8"/>
        <v>11.1</v>
      </c>
      <c r="K26" s="240">
        <f t="shared" si="2"/>
        <v>130</v>
      </c>
      <c r="L26" s="226">
        <f>K26/'# Yrs of Data'!D18</f>
        <v>8.6666666666666661</v>
      </c>
      <c r="M26" s="2">
        <f t="shared" si="3"/>
        <v>51</v>
      </c>
      <c r="N26" s="35">
        <f>+M26/'# Yrs of Data'!D18</f>
        <v>3.4</v>
      </c>
      <c r="O26" s="2">
        <f t="shared" si="4"/>
        <v>51</v>
      </c>
      <c r="P26" s="35">
        <f>+O26/'# Yrs of Data'!D18</f>
        <v>3.4</v>
      </c>
      <c r="Q26" s="2">
        <f t="shared" si="5"/>
        <v>20</v>
      </c>
      <c r="R26" s="35">
        <f>+Q26/'# Yrs of Data'!D18</f>
        <v>1.3333333333333333</v>
      </c>
      <c r="S26" s="2">
        <f t="shared" si="6"/>
        <v>6</v>
      </c>
      <c r="T26" s="35">
        <f>+S26/'# Yrs of Data'!D18</f>
        <v>0.4</v>
      </c>
      <c r="U26" s="2">
        <f t="shared" si="7"/>
        <v>2</v>
      </c>
      <c r="V26" s="35">
        <f>+U26/'# Yrs of Data'!D18</f>
        <v>0.13333333333333333</v>
      </c>
      <c r="W26" s="1" t="s">
        <v>1347</v>
      </c>
    </row>
    <row r="27" spans="2:23">
      <c r="B27" s="234">
        <f t="shared" si="1"/>
        <v>1965</v>
      </c>
      <c r="C27" s="236">
        <f>(COUNTIF('Database - Tornado Segments'!$V$8:$V$2008, "1965F0"))</f>
        <v>6</v>
      </c>
      <c r="D27" s="236">
        <f>(COUNTIF('Database - Tornado Segments'!$V$8:$V$2008, "1965F1"))</f>
        <v>0</v>
      </c>
      <c r="E27" s="236">
        <f>(COUNTIF('Database - Tornado Segments'!$V$8:$V$2008, "1965F2"))</f>
        <v>4</v>
      </c>
      <c r="F27" s="236">
        <f>(COUNTIF('Database - Tornado Segments'!$V$8:$V$2008, "1965F3"))</f>
        <v>2</v>
      </c>
      <c r="G27" s="236">
        <f>(COUNTIF('Database - Tornado Segments'!$V$8:$V$2008, "1965F4"))</f>
        <v>0</v>
      </c>
      <c r="H27" s="236">
        <f>(COUNTIF('Database - Tornado Segments'!$V$8:$V$2008, "1965F5"))</f>
        <v>0</v>
      </c>
      <c r="I27" s="240">
        <f t="shared" si="0"/>
        <v>12</v>
      </c>
      <c r="J27" s="236">
        <f t="shared" si="8"/>
        <v>10.4</v>
      </c>
      <c r="K27" s="240">
        <f t="shared" si="2"/>
        <v>142</v>
      </c>
      <c r="L27" s="226">
        <f>K27/'# Yrs of Data'!D19</f>
        <v>8.875</v>
      </c>
      <c r="M27" s="2">
        <f t="shared" si="3"/>
        <v>57</v>
      </c>
      <c r="N27" s="35">
        <f>+M27/'# Yrs of Data'!D19</f>
        <v>3.5625</v>
      </c>
      <c r="O27" s="2">
        <f t="shared" si="4"/>
        <v>51</v>
      </c>
      <c r="P27" s="35">
        <f>+O27/'# Yrs of Data'!D19</f>
        <v>3.1875</v>
      </c>
      <c r="Q27" s="2">
        <f t="shared" si="5"/>
        <v>24</v>
      </c>
      <c r="R27" s="35">
        <f>+Q27/'# Yrs of Data'!D19</f>
        <v>1.5</v>
      </c>
      <c r="S27" s="2">
        <f t="shared" si="6"/>
        <v>8</v>
      </c>
      <c r="T27" s="35">
        <f>+S27/'# Yrs of Data'!D19</f>
        <v>0.5</v>
      </c>
      <c r="U27" s="2">
        <f t="shared" si="7"/>
        <v>2</v>
      </c>
      <c r="V27" s="35">
        <f>+U27/'# Yrs of Data'!D19</f>
        <v>0.125</v>
      </c>
      <c r="W27" s="1" t="s">
        <v>1330</v>
      </c>
    </row>
    <row r="28" spans="2:23">
      <c r="B28" s="234">
        <f t="shared" si="1"/>
        <v>1966</v>
      </c>
      <c r="C28" s="236">
        <f>(COUNTIF('Database - Tornado Segments'!$V$8:$V$2008, "1966F0"))</f>
        <v>8</v>
      </c>
      <c r="D28" s="236">
        <f>(COUNTIF('Database - Tornado Segments'!$V$8:$V$2008, "1966F1"))</f>
        <v>3</v>
      </c>
      <c r="E28" s="236">
        <f>(COUNTIF('Database - Tornado Segments'!$V$8:$V$2008, "1966F2"))</f>
        <v>1</v>
      </c>
      <c r="F28" s="236">
        <f>(COUNTIF('Database - Tornado Segments'!$V$8:$V$2008, "1966F3"))</f>
        <v>0</v>
      </c>
      <c r="G28" s="236">
        <f>(COUNTIF('Database - Tornado Segments'!$V$8:$V$2008, "1966F4"))</f>
        <v>0</v>
      </c>
      <c r="H28" s="236">
        <f>(COUNTIF('Database - Tornado Segments'!$V$8:$V$2008, "1966F5"))</f>
        <v>0</v>
      </c>
      <c r="I28" s="240">
        <f t="shared" si="0"/>
        <v>12</v>
      </c>
      <c r="J28" s="236">
        <f t="shared" si="8"/>
        <v>11.4</v>
      </c>
      <c r="K28" s="240">
        <f t="shared" si="2"/>
        <v>154</v>
      </c>
      <c r="L28" s="226">
        <f>K28/'# Yrs of Data'!D20</f>
        <v>9.0588235294117645</v>
      </c>
      <c r="M28" s="2">
        <f t="shared" si="3"/>
        <v>65</v>
      </c>
      <c r="N28" s="35">
        <f>+M28/'# Yrs of Data'!D20</f>
        <v>3.8235294117647061</v>
      </c>
      <c r="O28" s="2">
        <f t="shared" si="4"/>
        <v>54</v>
      </c>
      <c r="P28" s="35">
        <f>+O28/'# Yrs of Data'!D20</f>
        <v>3.1764705882352939</v>
      </c>
      <c r="Q28" s="2">
        <f t="shared" si="5"/>
        <v>25</v>
      </c>
      <c r="R28" s="35">
        <f>+Q28/'# Yrs of Data'!D20</f>
        <v>1.4705882352941178</v>
      </c>
      <c r="S28" s="2">
        <f t="shared" si="6"/>
        <v>8</v>
      </c>
      <c r="T28" s="35">
        <f>+S28/'# Yrs of Data'!D20</f>
        <v>0.47058823529411764</v>
      </c>
      <c r="U28" s="2">
        <f t="shared" si="7"/>
        <v>2</v>
      </c>
      <c r="V28" s="35">
        <f>+U28/'# Yrs of Data'!D20</f>
        <v>0.11764705882352941</v>
      </c>
      <c r="W28" s="1" t="s">
        <v>1348</v>
      </c>
    </row>
    <row r="29" spans="2:23">
      <c r="B29" s="234">
        <f t="shared" si="1"/>
        <v>1967</v>
      </c>
      <c r="C29" s="236">
        <f>(COUNTIF('Database - Tornado Segments'!$V$8:$V$2008, "1967F0"))</f>
        <v>14</v>
      </c>
      <c r="D29" s="236">
        <f>(COUNTIF('Database - Tornado Segments'!$V$8:$V$2008, "1967F1"))</f>
        <v>6</v>
      </c>
      <c r="E29" s="236">
        <f>(COUNTIF('Database - Tornado Segments'!$V$8:$V$2008, "1967F2"))</f>
        <v>7</v>
      </c>
      <c r="F29" s="236">
        <f>(COUNTIF('Database - Tornado Segments'!$V$8:$V$2008, "1967F3"))</f>
        <v>1</v>
      </c>
      <c r="G29" s="236">
        <f>(COUNTIF('Database - Tornado Segments'!$V$8:$V$2008, "1967F4"))</f>
        <v>0</v>
      </c>
      <c r="H29" s="236">
        <f>(COUNTIF('Database - Tornado Segments'!$V$8:$V$2008, "1967F5"))</f>
        <v>0</v>
      </c>
      <c r="I29" s="240">
        <f t="shared" si="0"/>
        <v>28</v>
      </c>
      <c r="J29" s="236">
        <f t="shared" si="8"/>
        <v>13.2</v>
      </c>
      <c r="K29" s="240">
        <f t="shared" si="2"/>
        <v>182</v>
      </c>
      <c r="L29" s="226">
        <f>K29/'# Yrs of Data'!D21</f>
        <v>10.111111111111111</v>
      </c>
      <c r="M29" s="2">
        <f t="shared" si="3"/>
        <v>79</v>
      </c>
      <c r="N29" s="35">
        <f>+M29/'# Yrs of Data'!D21</f>
        <v>4.3888888888888893</v>
      </c>
      <c r="O29" s="2">
        <f t="shared" si="4"/>
        <v>60</v>
      </c>
      <c r="P29" s="35">
        <f>+O29/'# Yrs of Data'!D21</f>
        <v>3.3333333333333335</v>
      </c>
      <c r="Q29" s="2">
        <f t="shared" si="5"/>
        <v>32</v>
      </c>
      <c r="R29" s="35">
        <f>+Q29/'# Yrs of Data'!D21</f>
        <v>1.7777777777777777</v>
      </c>
      <c r="S29" s="2">
        <f t="shared" si="6"/>
        <v>9</v>
      </c>
      <c r="T29" s="35">
        <f>+S29/'# Yrs of Data'!D21</f>
        <v>0.5</v>
      </c>
      <c r="U29" s="2">
        <f t="shared" si="7"/>
        <v>2</v>
      </c>
      <c r="V29" s="35">
        <f>+U29/'# Yrs of Data'!D21</f>
        <v>0.1111111111111111</v>
      </c>
      <c r="W29" s="1" t="s">
        <v>549</v>
      </c>
    </row>
    <row r="30" spans="2:23">
      <c r="B30" s="234">
        <f t="shared" si="1"/>
        <v>1968</v>
      </c>
      <c r="C30" s="236">
        <f>(COUNTIF('Database - Tornado Segments'!$V$8:$V$2008, "1968F0"))</f>
        <v>17</v>
      </c>
      <c r="D30" s="236">
        <f>(COUNTIF('Database - Tornado Segments'!$V$8:$V$2008, "1968F1"))</f>
        <v>2</v>
      </c>
      <c r="E30" s="236">
        <f>(COUNTIF('Database - Tornado Segments'!$V$8:$V$2008, "1968F2"))</f>
        <v>2</v>
      </c>
      <c r="F30" s="236">
        <f>(COUNTIF('Database - Tornado Segments'!$V$8:$V$2008, "1968F3"))</f>
        <v>1</v>
      </c>
      <c r="G30" s="236">
        <f>(COUNTIF('Database - Tornado Segments'!$V$8:$V$2008, "1968F4"))</f>
        <v>0</v>
      </c>
      <c r="H30" s="236">
        <f>(COUNTIF('Database - Tornado Segments'!$V$8:$V$2008, "1968F5"))</f>
        <v>0</v>
      </c>
      <c r="I30" s="240">
        <f t="shared" si="0"/>
        <v>22</v>
      </c>
      <c r="J30" s="236">
        <f t="shared" si="8"/>
        <v>14.3</v>
      </c>
      <c r="K30" s="240">
        <f t="shared" si="2"/>
        <v>204</v>
      </c>
      <c r="L30" s="226">
        <f>K30/'# Yrs of Data'!D22</f>
        <v>10.736842105263158</v>
      </c>
      <c r="M30" s="2">
        <f t="shared" si="3"/>
        <v>96</v>
      </c>
      <c r="N30" s="35">
        <f>+M30/'# Yrs of Data'!D22</f>
        <v>5.0526315789473681</v>
      </c>
      <c r="O30" s="2">
        <f t="shared" si="4"/>
        <v>62</v>
      </c>
      <c r="P30" s="35">
        <f>+O30/'# Yrs of Data'!D22</f>
        <v>3.263157894736842</v>
      </c>
      <c r="Q30" s="2">
        <f t="shared" si="5"/>
        <v>34</v>
      </c>
      <c r="R30" s="35">
        <f>+Q30/'# Yrs of Data'!D22</f>
        <v>1.7894736842105263</v>
      </c>
      <c r="S30" s="2">
        <f t="shared" si="6"/>
        <v>10</v>
      </c>
      <c r="T30" s="35">
        <f>+S30/'# Yrs of Data'!D22</f>
        <v>0.52631578947368418</v>
      </c>
      <c r="U30" s="2">
        <f t="shared" si="7"/>
        <v>2</v>
      </c>
      <c r="V30" s="35">
        <f>+U30/'# Yrs of Data'!D22</f>
        <v>0.10526315789473684</v>
      </c>
      <c r="W30" s="1" t="s">
        <v>1333</v>
      </c>
    </row>
    <row r="31" spans="2:23">
      <c r="B31" s="234">
        <f t="shared" si="1"/>
        <v>1969</v>
      </c>
      <c r="C31" s="236">
        <f>(COUNTIF('Database - Tornado Segments'!$V$8:$V$2008, "1969F0"))</f>
        <v>14</v>
      </c>
      <c r="D31" s="236">
        <f>(COUNTIF('Database - Tornado Segments'!$V$8:$V$2008, "1969F1"))</f>
        <v>0</v>
      </c>
      <c r="E31" s="236">
        <f>(COUNTIF('Database - Tornado Segments'!$V$8:$V$2008, "1969F2"))</f>
        <v>2</v>
      </c>
      <c r="F31" s="236">
        <f>(COUNTIF('Database - Tornado Segments'!$V$8:$V$2008, "1969F3"))</f>
        <v>0</v>
      </c>
      <c r="G31" s="236">
        <f>(COUNTIF('Database - Tornado Segments'!$V$8:$V$2008, "1969F4"))</f>
        <v>0</v>
      </c>
      <c r="H31" s="236">
        <f>(COUNTIF('Database - Tornado Segments'!$V$8:$V$2008, "1969F5"))</f>
        <v>0</v>
      </c>
      <c r="I31" s="240">
        <f t="shared" si="0"/>
        <v>16</v>
      </c>
      <c r="J31" s="236">
        <f t="shared" si="8"/>
        <v>15.3</v>
      </c>
      <c r="K31" s="240">
        <f t="shared" si="2"/>
        <v>220</v>
      </c>
      <c r="L31" s="226">
        <f>K31/'# Yrs of Data'!D23</f>
        <v>11</v>
      </c>
      <c r="M31" s="2">
        <f t="shared" si="3"/>
        <v>110</v>
      </c>
      <c r="N31" s="35">
        <f>+M31/'# Yrs of Data'!D23</f>
        <v>5.5</v>
      </c>
      <c r="O31" s="2">
        <f t="shared" si="4"/>
        <v>62</v>
      </c>
      <c r="P31" s="35">
        <f>+O31/'# Yrs of Data'!D23</f>
        <v>3.1</v>
      </c>
      <c r="Q31" s="2">
        <f t="shared" si="5"/>
        <v>36</v>
      </c>
      <c r="R31" s="35">
        <f>+Q31/'# Yrs of Data'!D23</f>
        <v>1.8</v>
      </c>
      <c r="S31" s="2">
        <f t="shared" si="6"/>
        <v>10</v>
      </c>
      <c r="T31" s="35">
        <f>+S31/'# Yrs of Data'!D23</f>
        <v>0.5</v>
      </c>
      <c r="U31" s="2">
        <f t="shared" si="7"/>
        <v>2</v>
      </c>
      <c r="V31" s="35">
        <f>+U31/'# Yrs of Data'!D23</f>
        <v>0.1</v>
      </c>
      <c r="W31" s="1" t="s">
        <v>1348</v>
      </c>
    </row>
    <row r="32" spans="2:23">
      <c r="B32" s="234">
        <f t="shared" si="1"/>
        <v>1970</v>
      </c>
      <c r="C32" s="236">
        <f>(COUNTIF('Database - Tornado Segments'!$V$8:$V$2008, "1970F0"))</f>
        <v>1</v>
      </c>
      <c r="D32" s="236">
        <f>(COUNTIF('Database - Tornado Segments'!$V$8:$V$2008, "1970F1"))</f>
        <v>1</v>
      </c>
      <c r="E32" s="236">
        <f>(COUNTIF('Database - Tornado Segments'!$V$8:$V$2008, "1970F2"))</f>
        <v>1</v>
      </c>
      <c r="F32" s="236">
        <f>(COUNTIF('Database - Tornado Segments'!$V$8:$V$2008, "1970F3"))</f>
        <v>0</v>
      </c>
      <c r="G32" s="236">
        <f>(COUNTIF('Database - Tornado Segments'!$V$8:$V$2008, "1970F4"))</f>
        <v>7</v>
      </c>
      <c r="H32" s="236">
        <f>(COUNTIF('Database - Tornado Segments'!$V$8:$V$2008, "1970F5"))</f>
        <v>0</v>
      </c>
      <c r="I32" s="240">
        <f t="shared" si="0"/>
        <v>10</v>
      </c>
      <c r="J32" s="236">
        <f t="shared" si="8"/>
        <v>15</v>
      </c>
      <c r="K32" s="240">
        <f t="shared" si="2"/>
        <v>230</v>
      </c>
      <c r="L32" s="226">
        <f>K32/'# Yrs of Data'!D24</f>
        <v>10.952380952380953</v>
      </c>
      <c r="M32" s="2">
        <f t="shared" si="3"/>
        <v>111</v>
      </c>
      <c r="N32" s="35">
        <f>+M32/'# Yrs of Data'!D24</f>
        <v>5.2857142857142856</v>
      </c>
      <c r="O32" s="2">
        <f t="shared" si="4"/>
        <v>63</v>
      </c>
      <c r="P32" s="35">
        <f>+O32/'# Yrs of Data'!D24</f>
        <v>3</v>
      </c>
      <c r="Q32" s="2">
        <f t="shared" si="5"/>
        <v>37</v>
      </c>
      <c r="R32" s="35">
        <f>+Q32/'# Yrs of Data'!D24</f>
        <v>1.7619047619047619</v>
      </c>
      <c r="S32" s="2">
        <f t="shared" si="6"/>
        <v>10</v>
      </c>
      <c r="T32" s="35">
        <f>+S32/'# Yrs of Data'!D24</f>
        <v>0.47619047619047616</v>
      </c>
      <c r="U32" s="2">
        <f t="shared" si="7"/>
        <v>9</v>
      </c>
      <c r="V32" s="35">
        <f>+U32/'# Yrs of Data'!D24</f>
        <v>0.42857142857142855</v>
      </c>
      <c r="W32" s="1" t="s">
        <v>1346</v>
      </c>
    </row>
    <row r="33" spans="2:23">
      <c r="B33" s="234">
        <f t="shared" si="1"/>
        <v>1971</v>
      </c>
      <c r="C33" s="236">
        <f>(COUNTIF('Database - Tornado Segments'!$V$8:$V$2008, "1971F0"))</f>
        <v>4</v>
      </c>
      <c r="D33" s="236">
        <f>(COUNTIF('Database - Tornado Segments'!$V$8:$V$2008, "1971F1"))</f>
        <v>13</v>
      </c>
      <c r="E33" s="236">
        <f>(COUNTIF('Database - Tornado Segments'!$V$8:$V$2008, "1971F2"))</f>
        <v>17</v>
      </c>
      <c r="F33" s="236">
        <f>(COUNTIF('Database - Tornado Segments'!$V$8:$V$2008, "1971F3"))</f>
        <v>3</v>
      </c>
      <c r="G33" s="236">
        <f>(COUNTIF('Database - Tornado Segments'!$V$8:$V$2008, "1971F4"))</f>
        <v>2</v>
      </c>
      <c r="H33" s="236">
        <f>(COUNTIF('Database - Tornado Segments'!$V$8:$V$2008, "1971F5"))</f>
        <v>0</v>
      </c>
      <c r="I33" s="240">
        <f t="shared" si="0"/>
        <v>39</v>
      </c>
      <c r="J33" s="236">
        <f t="shared" si="8"/>
        <v>17.399999999999999</v>
      </c>
      <c r="K33" s="240">
        <f t="shared" si="2"/>
        <v>269</v>
      </c>
      <c r="L33" s="226">
        <f>K33/'# Yrs of Data'!D25</f>
        <v>12.227272727272727</v>
      </c>
      <c r="M33" s="2">
        <f t="shared" si="3"/>
        <v>115</v>
      </c>
      <c r="N33" s="35">
        <f>+M33/'# Yrs of Data'!D25</f>
        <v>5.2272727272727275</v>
      </c>
      <c r="O33" s="2">
        <f t="shared" si="4"/>
        <v>76</v>
      </c>
      <c r="P33" s="35">
        <f>+O33/'# Yrs of Data'!D25</f>
        <v>3.4545454545454546</v>
      </c>
      <c r="Q33" s="2">
        <f t="shared" si="5"/>
        <v>54</v>
      </c>
      <c r="R33" s="35">
        <f>+Q33/'# Yrs of Data'!D25</f>
        <v>2.4545454545454546</v>
      </c>
      <c r="S33" s="2">
        <f t="shared" si="6"/>
        <v>13</v>
      </c>
      <c r="T33" s="35">
        <f>+S33/'# Yrs of Data'!D25</f>
        <v>0.59090909090909094</v>
      </c>
      <c r="U33" s="2">
        <f t="shared" si="7"/>
        <v>11</v>
      </c>
      <c r="V33" s="35">
        <f>+U33/'# Yrs of Data'!D25</f>
        <v>0.5</v>
      </c>
      <c r="W33" s="1" t="s">
        <v>1334</v>
      </c>
    </row>
    <row r="34" spans="2:23">
      <c r="B34" s="234">
        <f t="shared" si="1"/>
        <v>1972</v>
      </c>
      <c r="C34" s="236">
        <f>(COUNTIF('Database - Tornado Segments'!$V$8:$V$2008, "1972F0"))</f>
        <v>1</v>
      </c>
      <c r="D34" s="236">
        <f>(COUNTIF('Database - Tornado Segments'!$V$8:$V$2008, "1972F1"))</f>
        <v>15</v>
      </c>
      <c r="E34" s="236">
        <f>(COUNTIF('Database - Tornado Segments'!$V$8:$V$2008, "1972F2"))</f>
        <v>3</v>
      </c>
      <c r="F34" s="236">
        <f>(COUNTIF('Database - Tornado Segments'!$V$8:$V$2008, "1972F3"))</f>
        <v>0</v>
      </c>
      <c r="G34" s="236">
        <f>(COUNTIF('Database - Tornado Segments'!$V$8:$V$2008, "1972F4"))</f>
        <v>0</v>
      </c>
      <c r="H34" s="236">
        <f>(COUNTIF('Database - Tornado Segments'!$V$8:$V$2008, "1972F5"))</f>
        <v>0</v>
      </c>
      <c r="I34" s="240">
        <f t="shared" si="0"/>
        <v>19</v>
      </c>
      <c r="J34" s="236">
        <f t="shared" si="8"/>
        <v>16.7</v>
      </c>
      <c r="K34" s="240">
        <f t="shared" si="2"/>
        <v>288</v>
      </c>
      <c r="L34" s="226">
        <f>K34/'# Yrs of Data'!D26</f>
        <v>12.521739130434783</v>
      </c>
      <c r="M34" s="2">
        <f t="shared" si="3"/>
        <v>116</v>
      </c>
      <c r="N34" s="35">
        <f>+M34/'# Yrs of Data'!D26</f>
        <v>5.0434782608695654</v>
      </c>
      <c r="O34" s="2">
        <f t="shared" si="4"/>
        <v>91</v>
      </c>
      <c r="P34" s="35">
        <f>+O34/'# Yrs of Data'!D26</f>
        <v>3.9565217391304346</v>
      </c>
      <c r="Q34" s="2">
        <f t="shared" si="5"/>
        <v>57</v>
      </c>
      <c r="R34" s="35">
        <f>+Q34/'# Yrs of Data'!D26</f>
        <v>2.4782608695652173</v>
      </c>
      <c r="S34" s="2">
        <f t="shared" si="6"/>
        <v>13</v>
      </c>
      <c r="T34" s="35">
        <f>+S34/'# Yrs of Data'!D26</f>
        <v>0.56521739130434778</v>
      </c>
      <c r="U34" s="2">
        <f t="shared" si="7"/>
        <v>11</v>
      </c>
      <c r="V34" s="35">
        <f>+U34/'# Yrs of Data'!D26</f>
        <v>0.47826086956521741</v>
      </c>
      <c r="W34" s="1" t="s">
        <v>1330</v>
      </c>
    </row>
    <row r="35" spans="2:23">
      <c r="B35" s="234">
        <f t="shared" si="1"/>
        <v>1973</v>
      </c>
      <c r="C35" s="236">
        <f>(COUNTIF('Database - Tornado Segments'!$V$8:$V$2008, "1973F0"))</f>
        <v>1</v>
      </c>
      <c r="D35" s="236">
        <f>(COUNTIF('Database - Tornado Segments'!$V$8:$V$2008, "1973F1"))</f>
        <v>3</v>
      </c>
      <c r="E35" s="236">
        <f>(COUNTIF('Database - Tornado Segments'!$V$8:$V$2008, "1973F2"))</f>
        <v>5</v>
      </c>
      <c r="F35" s="236">
        <f>(COUNTIF('Database - Tornado Segments'!$V$8:$V$2008, "1973F3"))</f>
        <v>0</v>
      </c>
      <c r="G35" s="236">
        <f>(COUNTIF('Database - Tornado Segments'!$V$8:$V$2008, "1973F4"))</f>
        <v>0</v>
      </c>
      <c r="H35" s="236">
        <f>(COUNTIF('Database - Tornado Segments'!$V$8:$V$2008, "1973F5"))</f>
        <v>0</v>
      </c>
      <c r="I35" s="240">
        <f t="shared" si="0"/>
        <v>9</v>
      </c>
      <c r="J35" s="236">
        <f t="shared" si="8"/>
        <v>17.100000000000001</v>
      </c>
      <c r="K35" s="240">
        <f t="shared" si="2"/>
        <v>297</v>
      </c>
      <c r="L35" s="226">
        <f>K35/'# Yrs of Data'!D27</f>
        <v>12.375</v>
      </c>
      <c r="M35" s="2">
        <f t="shared" si="3"/>
        <v>117</v>
      </c>
      <c r="N35" s="35">
        <f>+M35/'# Yrs of Data'!D27</f>
        <v>4.875</v>
      </c>
      <c r="O35" s="2">
        <f t="shared" si="4"/>
        <v>94</v>
      </c>
      <c r="P35" s="35">
        <f>+O35/'# Yrs of Data'!D27</f>
        <v>3.9166666666666665</v>
      </c>
      <c r="Q35" s="2">
        <f t="shared" si="5"/>
        <v>62</v>
      </c>
      <c r="R35" s="35">
        <f>+Q35/'# Yrs of Data'!D27</f>
        <v>2.5833333333333335</v>
      </c>
      <c r="S35" s="2">
        <f t="shared" si="6"/>
        <v>13</v>
      </c>
      <c r="T35" s="35">
        <f>+S35/'# Yrs of Data'!D27</f>
        <v>0.54166666666666663</v>
      </c>
      <c r="U35" s="2">
        <f t="shared" si="7"/>
        <v>11</v>
      </c>
      <c r="V35" s="35">
        <f>+U35/'# Yrs of Data'!D27</f>
        <v>0.45833333333333331</v>
      </c>
      <c r="W35" s="1" t="s">
        <v>1349</v>
      </c>
    </row>
    <row r="36" spans="2:23">
      <c r="B36" s="234">
        <f t="shared" si="1"/>
        <v>1974</v>
      </c>
      <c r="C36" s="236">
        <f>(COUNTIF('Database - Tornado Segments'!$V$8:$V$2008, "1974F0"))</f>
        <v>6</v>
      </c>
      <c r="D36" s="236">
        <f>(COUNTIF('Database - Tornado Segments'!$V$8:$V$2008, "1974F1"))</f>
        <v>6</v>
      </c>
      <c r="E36" s="236">
        <f>(COUNTIF('Database - Tornado Segments'!$V$8:$V$2008, "1974F2"))</f>
        <v>1</v>
      </c>
      <c r="F36" s="236">
        <f>(COUNTIF('Database - Tornado Segments'!$V$8:$V$2008, "1974F3"))</f>
        <v>0</v>
      </c>
      <c r="G36" s="236">
        <f>(COUNTIF('Database - Tornado Segments'!$V$8:$V$2008, "1974F4"))</f>
        <v>0</v>
      </c>
      <c r="H36" s="236">
        <f>(COUNTIF('Database - Tornado Segments'!$V$8:$V$2008, "1974F5"))</f>
        <v>0</v>
      </c>
      <c r="I36" s="240">
        <f t="shared" si="0"/>
        <v>13</v>
      </c>
      <c r="J36" s="236">
        <f t="shared" si="8"/>
        <v>18</v>
      </c>
      <c r="K36" s="240">
        <f t="shared" si="2"/>
        <v>310</v>
      </c>
      <c r="L36" s="226">
        <f>K36/'# Yrs of Data'!D28</f>
        <v>12.4</v>
      </c>
      <c r="M36" s="2">
        <f t="shared" si="3"/>
        <v>123</v>
      </c>
      <c r="N36" s="35">
        <f>+M36/'# Yrs of Data'!D28</f>
        <v>4.92</v>
      </c>
      <c r="O36" s="2">
        <f t="shared" si="4"/>
        <v>100</v>
      </c>
      <c r="P36" s="35">
        <f>+O36/'# Yrs of Data'!D28</f>
        <v>4</v>
      </c>
      <c r="Q36" s="2">
        <f t="shared" si="5"/>
        <v>63</v>
      </c>
      <c r="R36" s="35">
        <f>+Q36/'# Yrs of Data'!D28</f>
        <v>2.52</v>
      </c>
      <c r="S36" s="2">
        <f t="shared" si="6"/>
        <v>13</v>
      </c>
      <c r="T36" s="35">
        <f>+S36/'# Yrs of Data'!D28</f>
        <v>0.52</v>
      </c>
      <c r="U36" s="2">
        <f t="shared" si="7"/>
        <v>11</v>
      </c>
      <c r="V36" s="35">
        <f>+U36/'# Yrs of Data'!D28</f>
        <v>0.44</v>
      </c>
      <c r="W36" s="1" t="s">
        <v>1335</v>
      </c>
    </row>
    <row r="37" spans="2:23">
      <c r="B37" s="234">
        <f t="shared" si="1"/>
        <v>1975</v>
      </c>
      <c r="C37" s="236">
        <f>(COUNTIF('Database - Tornado Segments'!$V$8:$V$2008, "1975F0"))</f>
        <v>10</v>
      </c>
      <c r="D37" s="236">
        <f>(COUNTIF('Database - Tornado Segments'!$V$8:$V$2008, "1975F1"))</f>
        <v>4</v>
      </c>
      <c r="E37" s="236">
        <f>(COUNTIF('Database - Tornado Segments'!$V$8:$V$2008, "1975F2"))</f>
        <v>1</v>
      </c>
      <c r="F37" s="236">
        <f>(COUNTIF('Database - Tornado Segments'!$V$8:$V$2008, "1975F3"))</f>
        <v>1</v>
      </c>
      <c r="G37" s="236">
        <f>(COUNTIF('Database - Tornado Segments'!$V$8:$V$2008, "1975F4"))</f>
        <v>0</v>
      </c>
      <c r="H37" s="236">
        <f>(COUNTIF('Database - Tornado Segments'!$V$8:$V$2008, "1975F5"))</f>
        <v>0</v>
      </c>
      <c r="I37" s="240">
        <f t="shared" si="0"/>
        <v>16</v>
      </c>
      <c r="J37" s="236">
        <f t="shared" si="8"/>
        <v>18.399999999999999</v>
      </c>
      <c r="K37" s="240">
        <f t="shared" si="2"/>
        <v>326</v>
      </c>
      <c r="L37" s="226">
        <f>K37/'# Yrs of Data'!D29</f>
        <v>12.538461538461538</v>
      </c>
      <c r="M37" s="2">
        <f t="shared" si="3"/>
        <v>133</v>
      </c>
      <c r="N37" s="35">
        <f>+M37/'# Yrs of Data'!D29</f>
        <v>5.115384615384615</v>
      </c>
      <c r="O37" s="2">
        <f t="shared" si="4"/>
        <v>104</v>
      </c>
      <c r="P37" s="35">
        <f>+O37/'# Yrs of Data'!D29</f>
        <v>4</v>
      </c>
      <c r="Q37" s="2">
        <f t="shared" si="5"/>
        <v>64</v>
      </c>
      <c r="R37" s="35">
        <f>+Q37/'# Yrs of Data'!D29</f>
        <v>2.4615384615384617</v>
      </c>
      <c r="S37" s="2">
        <f t="shared" si="6"/>
        <v>14</v>
      </c>
      <c r="T37" s="35">
        <f>+S37/'# Yrs of Data'!D29</f>
        <v>0.53846153846153844</v>
      </c>
      <c r="U37" s="2">
        <f t="shared" si="7"/>
        <v>11</v>
      </c>
      <c r="V37" s="35">
        <f>+U37/'# Yrs of Data'!D29</f>
        <v>0.42307692307692307</v>
      </c>
      <c r="W37" s="1" t="s">
        <v>1331</v>
      </c>
    </row>
    <row r="38" spans="2:23">
      <c r="B38" s="234">
        <f t="shared" si="1"/>
        <v>1976</v>
      </c>
      <c r="C38" s="236">
        <f>(COUNTIF('Database - Tornado Segments'!$V$8:$V$2008, "1976F0"))</f>
        <v>9</v>
      </c>
      <c r="D38" s="236">
        <f>(COUNTIF('Database - Tornado Segments'!$V$8:$V$2008, "1976F1"))</f>
        <v>1</v>
      </c>
      <c r="E38" s="236">
        <f>(COUNTIF('Database - Tornado Segments'!$V$8:$V$2008, "1976F2"))</f>
        <v>0</v>
      </c>
      <c r="F38" s="236">
        <f>(COUNTIF('Database - Tornado Segments'!$V$8:$V$2008, "1976F3"))</f>
        <v>0</v>
      </c>
      <c r="G38" s="236">
        <f>(COUNTIF('Database - Tornado Segments'!$V$8:$V$2008, "1976F4"))</f>
        <v>0</v>
      </c>
      <c r="H38" s="236">
        <f>(COUNTIF('Database - Tornado Segments'!$V$8:$V$2008, "1976F5"))</f>
        <v>0</v>
      </c>
      <c r="I38" s="240">
        <f t="shared" si="0"/>
        <v>10</v>
      </c>
      <c r="J38" s="236">
        <f t="shared" si="8"/>
        <v>18.2</v>
      </c>
      <c r="K38" s="240">
        <f t="shared" si="2"/>
        <v>336</v>
      </c>
      <c r="L38" s="226">
        <f>K38/'# Yrs of Data'!D30</f>
        <v>12.444444444444445</v>
      </c>
      <c r="M38" s="2">
        <f t="shared" si="3"/>
        <v>142</v>
      </c>
      <c r="N38" s="35">
        <f>+M38/'# Yrs of Data'!D30</f>
        <v>5.2592592592592595</v>
      </c>
      <c r="O38" s="2">
        <f t="shared" si="4"/>
        <v>105</v>
      </c>
      <c r="P38" s="35">
        <f>+O38/'# Yrs of Data'!D30</f>
        <v>3.8888888888888888</v>
      </c>
      <c r="Q38" s="2">
        <f t="shared" si="5"/>
        <v>64</v>
      </c>
      <c r="R38" s="35">
        <f>+Q38/'# Yrs of Data'!D30</f>
        <v>2.3703703703703702</v>
      </c>
      <c r="S38" s="2">
        <f t="shared" si="6"/>
        <v>14</v>
      </c>
      <c r="T38" s="35">
        <f>+S38/'# Yrs of Data'!D30</f>
        <v>0.51851851851851849</v>
      </c>
      <c r="U38" s="2">
        <f t="shared" si="7"/>
        <v>11</v>
      </c>
      <c r="V38" s="35">
        <f>+U38/'# Yrs of Data'!D30</f>
        <v>0.40740740740740738</v>
      </c>
      <c r="W38" s="1" t="s">
        <v>1336</v>
      </c>
    </row>
    <row r="39" spans="2:23">
      <c r="B39" s="234">
        <f t="shared" si="1"/>
        <v>1977</v>
      </c>
      <c r="C39" s="236">
        <f>(COUNTIF('Database - Tornado Segments'!$V$8:$V$2008, "1977F0"))</f>
        <v>7</v>
      </c>
      <c r="D39" s="236">
        <f>(COUNTIF('Database - Tornado Segments'!$V$8:$V$2008, "1977F1"))</f>
        <v>9</v>
      </c>
      <c r="E39" s="236">
        <f>(COUNTIF('Database - Tornado Segments'!$V$8:$V$2008, "1977F2"))</f>
        <v>2</v>
      </c>
      <c r="F39" s="236">
        <f>(COUNTIF('Database - Tornado Segments'!$V$8:$V$2008, "1977F3"))</f>
        <v>3</v>
      </c>
      <c r="G39" s="236">
        <f>(COUNTIF('Database - Tornado Segments'!$V$8:$V$2008, "1977F4"))</f>
        <v>1</v>
      </c>
      <c r="H39" s="236">
        <f>(COUNTIF('Database - Tornado Segments'!$V$8:$V$2008, "1977F5"))</f>
        <v>0</v>
      </c>
      <c r="I39" s="240">
        <f t="shared" si="0"/>
        <v>22</v>
      </c>
      <c r="J39" s="236">
        <f t="shared" si="8"/>
        <v>17.600000000000001</v>
      </c>
      <c r="K39" s="240">
        <f t="shared" si="2"/>
        <v>358</v>
      </c>
      <c r="L39" s="226">
        <f>K39/'# Yrs of Data'!D31</f>
        <v>12.785714285714286</v>
      </c>
      <c r="M39" s="2">
        <f t="shared" si="3"/>
        <v>149</v>
      </c>
      <c r="N39" s="35">
        <f>+M39/'# Yrs of Data'!D31</f>
        <v>5.3214285714285712</v>
      </c>
      <c r="O39" s="2">
        <f t="shared" si="4"/>
        <v>114</v>
      </c>
      <c r="P39" s="35">
        <f>+O39/'# Yrs of Data'!D31</f>
        <v>4.0714285714285712</v>
      </c>
      <c r="Q39" s="2">
        <f t="shared" si="5"/>
        <v>66</v>
      </c>
      <c r="R39" s="35">
        <f>+Q39/'# Yrs of Data'!D31</f>
        <v>2.3571428571428572</v>
      </c>
      <c r="S39" s="2">
        <f t="shared" si="6"/>
        <v>17</v>
      </c>
      <c r="T39" s="35">
        <f>+S39/'# Yrs of Data'!D31</f>
        <v>0.6071428571428571</v>
      </c>
      <c r="U39" s="2">
        <f t="shared" si="7"/>
        <v>12</v>
      </c>
      <c r="V39" s="35">
        <f>+U39/'# Yrs of Data'!D31</f>
        <v>0.42857142857142855</v>
      </c>
      <c r="W39" s="1" t="s">
        <v>1346</v>
      </c>
    </row>
    <row r="40" spans="2:23">
      <c r="B40" s="234">
        <f t="shared" si="1"/>
        <v>1978</v>
      </c>
      <c r="C40" s="236">
        <f>(COUNTIF('Database - Tornado Segments'!$V$8:$V$2008, "1978F0"))</f>
        <v>14</v>
      </c>
      <c r="D40" s="236">
        <f>(COUNTIF('Database - Tornado Segments'!$V$8:$V$2008, "1978F1"))</f>
        <v>0</v>
      </c>
      <c r="E40" s="236">
        <f>(COUNTIF('Database - Tornado Segments'!$V$8:$V$2008, "1978F2"))</f>
        <v>1</v>
      </c>
      <c r="F40" s="236">
        <f>(COUNTIF('Database - Tornado Segments'!$V$8:$V$2008, "1978F3"))</f>
        <v>1</v>
      </c>
      <c r="G40" s="236">
        <f>(COUNTIF('Database - Tornado Segments'!$V$8:$V$2008, "1978F4"))</f>
        <v>0</v>
      </c>
      <c r="H40" s="236">
        <f>(COUNTIF('Database - Tornado Segments'!$V$8:$V$2008, "1978F5"))</f>
        <v>0</v>
      </c>
      <c r="I40" s="240">
        <f t="shared" si="0"/>
        <v>16</v>
      </c>
      <c r="J40" s="236">
        <f t="shared" si="8"/>
        <v>17</v>
      </c>
      <c r="K40" s="240">
        <f t="shared" si="2"/>
        <v>374</v>
      </c>
      <c r="L40" s="226">
        <f>K40/'# Yrs of Data'!D32</f>
        <v>12.896551724137931</v>
      </c>
      <c r="M40" s="2">
        <f t="shared" si="3"/>
        <v>163</v>
      </c>
      <c r="N40" s="35">
        <f>+M40/'# Yrs of Data'!D32</f>
        <v>5.6206896551724137</v>
      </c>
      <c r="O40" s="2">
        <f t="shared" si="4"/>
        <v>114</v>
      </c>
      <c r="P40" s="35">
        <f>+O40/'# Yrs of Data'!D32</f>
        <v>3.9310344827586206</v>
      </c>
      <c r="Q40" s="2">
        <f t="shared" si="5"/>
        <v>67</v>
      </c>
      <c r="R40" s="35">
        <f>+Q40/'# Yrs of Data'!D32</f>
        <v>2.3103448275862069</v>
      </c>
      <c r="S40" s="2">
        <f t="shared" si="6"/>
        <v>18</v>
      </c>
      <c r="T40" s="35">
        <f>+S40/'# Yrs of Data'!D32</f>
        <v>0.62068965517241381</v>
      </c>
      <c r="U40" s="2">
        <f t="shared" si="7"/>
        <v>12</v>
      </c>
      <c r="V40" s="35">
        <f>+U40/'# Yrs of Data'!D32</f>
        <v>0.41379310344827586</v>
      </c>
      <c r="W40" s="1" t="s">
        <v>1346</v>
      </c>
    </row>
    <row r="41" spans="2:23">
      <c r="B41" s="234">
        <f t="shared" si="1"/>
        <v>1979</v>
      </c>
      <c r="C41" s="236">
        <f>(COUNTIF('Database - Tornado Segments'!$V$8:$V$2008, "1979F0"))</f>
        <v>10</v>
      </c>
      <c r="D41" s="236">
        <f>(COUNTIF('Database - Tornado Segments'!$V$8:$V$2008, "1979F1"))</f>
        <v>1</v>
      </c>
      <c r="E41" s="236">
        <f>(COUNTIF('Database - Tornado Segments'!$V$8:$V$2008, "1979F2"))</f>
        <v>0</v>
      </c>
      <c r="F41" s="236">
        <f>(COUNTIF('Database - Tornado Segments'!$V$8:$V$2008, "1979F3"))</f>
        <v>0</v>
      </c>
      <c r="G41" s="236">
        <f>(COUNTIF('Database - Tornado Segments'!$V$8:$V$2008, "1979F4"))</f>
        <v>0</v>
      </c>
      <c r="H41" s="236">
        <f>(COUNTIF('Database - Tornado Segments'!$V$8:$V$2008, "1979F5"))</f>
        <v>0</v>
      </c>
      <c r="I41" s="240">
        <f t="shared" si="0"/>
        <v>11</v>
      </c>
      <c r="J41" s="236">
        <f t="shared" si="8"/>
        <v>16.5</v>
      </c>
      <c r="K41" s="240">
        <f t="shared" si="2"/>
        <v>385</v>
      </c>
      <c r="L41" s="226">
        <f>K41/'# Yrs of Data'!D33</f>
        <v>12.833333333333334</v>
      </c>
      <c r="M41" s="2">
        <f t="shared" si="3"/>
        <v>173</v>
      </c>
      <c r="N41" s="35">
        <f>+M41/'# Yrs of Data'!D33</f>
        <v>5.7666666666666666</v>
      </c>
      <c r="O41" s="2">
        <f t="shared" si="4"/>
        <v>115</v>
      </c>
      <c r="P41" s="35">
        <f>+O41/'# Yrs of Data'!D33</f>
        <v>3.8333333333333335</v>
      </c>
      <c r="Q41" s="2">
        <f t="shared" si="5"/>
        <v>67</v>
      </c>
      <c r="R41" s="35">
        <f>+Q41/'# Yrs of Data'!D33</f>
        <v>2.2333333333333334</v>
      </c>
      <c r="S41" s="2">
        <f t="shared" si="6"/>
        <v>18</v>
      </c>
      <c r="T41" s="35">
        <f>+S41/'# Yrs of Data'!D33</f>
        <v>0.6</v>
      </c>
      <c r="U41" s="2">
        <f t="shared" si="7"/>
        <v>12</v>
      </c>
      <c r="V41" s="35">
        <f>+U41/'# Yrs of Data'!D33</f>
        <v>0.4</v>
      </c>
      <c r="W41" s="1" t="s">
        <v>549</v>
      </c>
    </row>
    <row r="42" spans="2:23">
      <c r="B42" s="234">
        <f t="shared" si="1"/>
        <v>1980</v>
      </c>
      <c r="C42" s="236">
        <f>(COUNTIF('Database - Tornado Segments'!$V$8:$V$2008, "1980F0"))</f>
        <v>6</v>
      </c>
      <c r="D42" s="236">
        <f>(COUNTIF('Database - Tornado Segments'!$V$8:$V$2008, "1980F1"))</f>
        <v>4</v>
      </c>
      <c r="E42" s="236">
        <f>(COUNTIF('Database - Tornado Segments'!$V$8:$V$2008, "1980F2"))</f>
        <v>3</v>
      </c>
      <c r="F42" s="236">
        <f>(COUNTIF('Database - Tornado Segments'!$V$8:$V$2008, "1980F3"))</f>
        <v>0</v>
      </c>
      <c r="G42" s="236">
        <f>(COUNTIF('Database - Tornado Segments'!$V$8:$V$2008, "1980F4"))</f>
        <v>0</v>
      </c>
      <c r="H42" s="236">
        <f>(COUNTIF('Database - Tornado Segments'!$V$8:$V$2008, "1980F5"))</f>
        <v>0</v>
      </c>
      <c r="I42" s="240">
        <f t="shared" si="0"/>
        <v>13</v>
      </c>
      <c r="J42" s="236">
        <f t="shared" si="8"/>
        <v>16.8</v>
      </c>
      <c r="K42" s="240">
        <f t="shared" si="2"/>
        <v>398</v>
      </c>
      <c r="L42" s="226">
        <f>K42/'# Yrs of Data'!D34</f>
        <v>12.838709677419354</v>
      </c>
      <c r="M42" s="2">
        <f t="shared" si="3"/>
        <v>179</v>
      </c>
      <c r="N42" s="35">
        <f>+M42/'# Yrs of Data'!D34</f>
        <v>5.774193548387097</v>
      </c>
      <c r="O42" s="2">
        <f t="shared" si="4"/>
        <v>119</v>
      </c>
      <c r="P42" s="35">
        <f>+O42/'# Yrs of Data'!D34</f>
        <v>3.838709677419355</v>
      </c>
      <c r="Q42" s="2">
        <f t="shared" si="5"/>
        <v>70</v>
      </c>
      <c r="R42" s="35">
        <f>+Q42/'# Yrs of Data'!D34</f>
        <v>2.2580645161290325</v>
      </c>
      <c r="S42" s="2">
        <f t="shared" si="6"/>
        <v>18</v>
      </c>
      <c r="T42" s="35">
        <f>+S42/'# Yrs of Data'!D34</f>
        <v>0.58064516129032262</v>
      </c>
      <c r="U42" s="2">
        <f t="shared" si="7"/>
        <v>12</v>
      </c>
      <c r="V42" s="35">
        <f>+U42/'# Yrs of Data'!D34</f>
        <v>0.38709677419354838</v>
      </c>
      <c r="W42" s="1" t="s">
        <v>549</v>
      </c>
    </row>
    <row r="43" spans="2:23">
      <c r="B43" s="234">
        <f t="shared" si="1"/>
        <v>1981</v>
      </c>
      <c r="C43" s="236">
        <f>(COUNTIF('Database - Tornado Segments'!$V$8:$V$2008, "1981F0"))</f>
        <v>10</v>
      </c>
      <c r="D43" s="236">
        <f>(COUNTIF('Database - Tornado Segments'!$V$8:$V$2008, "1981F1"))</f>
        <v>3</v>
      </c>
      <c r="E43" s="236">
        <f>(COUNTIF('Database - Tornado Segments'!$V$8:$V$2008, "1981F2"))</f>
        <v>1</v>
      </c>
      <c r="F43" s="236">
        <f>(COUNTIF('Database - Tornado Segments'!$V$8:$V$2008, "1981F3"))</f>
        <v>0</v>
      </c>
      <c r="G43" s="236">
        <f>(COUNTIF('Database - Tornado Segments'!$V$8:$V$2008, "1981F4"))</f>
        <v>0</v>
      </c>
      <c r="H43" s="236">
        <f>(COUNTIF('Database - Tornado Segments'!$V$8:$V$2008, "1981F5"))</f>
        <v>0</v>
      </c>
      <c r="I43" s="240">
        <f t="shared" si="0"/>
        <v>14</v>
      </c>
      <c r="J43" s="236">
        <f t="shared" si="8"/>
        <v>14.3</v>
      </c>
      <c r="K43" s="240">
        <f t="shared" si="2"/>
        <v>412</v>
      </c>
      <c r="L43" s="226">
        <f>K43/'# Yrs of Data'!D35</f>
        <v>12.875</v>
      </c>
      <c r="M43" s="2">
        <f t="shared" si="3"/>
        <v>189</v>
      </c>
      <c r="N43" s="35">
        <f>+M43/'# Yrs of Data'!D35</f>
        <v>5.90625</v>
      </c>
      <c r="O43" s="2">
        <f t="shared" si="4"/>
        <v>122</v>
      </c>
      <c r="P43" s="35">
        <f>+O43/'# Yrs of Data'!D35</f>
        <v>3.8125</v>
      </c>
      <c r="Q43" s="2">
        <f t="shared" si="5"/>
        <v>71</v>
      </c>
      <c r="R43" s="35">
        <f>+Q43/'# Yrs of Data'!D35</f>
        <v>2.21875</v>
      </c>
      <c r="S43" s="2">
        <f t="shared" si="6"/>
        <v>18</v>
      </c>
      <c r="T43" s="35">
        <f>+S43/'# Yrs of Data'!D35</f>
        <v>0.5625</v>
      </c>
      <c r="U43" s="2">
        <f t="shared" si="7"/>
        <v>12</v>
      </c>
      <c r="V43" s="35">
        <f>+U43/'# Yrs of Data'!D35</f>
        <v>0.375</v>
      </c>
      <c r="W43" s="1" t="s">
        <v>549</v>
      </c>
    </row>
    <row r="44" spans="2:23">
      <c r="B44" s="234">
        <f t="shared" si="1"/>
        <v>1982</v>
      </c>
      <c r="C44" s="236">
        <f>(COUNTIF('Database - Tornado Segments'!$V$8:$V$2008, "1982F0"))</f>
        <v>19</v>
      </c>
      <c r="D44" s="236">
        <f>(COUNTIF('Database - Tornado Segments'!$V$8:$V$2008, "1982F1"))</f>
        <v>7</v>
      </c>
      <c r="E44" s="236">
        <f>(COUNTIF('Database - Tornado Segments'!$V$8:$V$2008, "1982F2"))</f>
        <v>5</v>
      </c>
      <c r="F44" s="236">
        <f>(COUNTIF('Database - Tornado Segments'!$V$8:$V$2008, "1982F3"))</f>
        <v>6</v>
      </c>
      <c r="G44" s="236">
        <f>(COUNTIF('Database - Tornado Segments'!$V$8:$V$2008, "1982F4"))</f>
        <v>3</v>
      </c>
      <c r="H44" s="236">
        <f>(COUNTIF('Database - Tornado Segments'!$V$8:$V$2008, "1982F5"))</f>
        <v>0</v>
      </c>
      <c r="I44" s="240">
        <f t="shared" ref="I44:I75" si="9">SUM(C44:H44)</f>
        <v>40</v>
      </c>
      <c r="J44" s="236">
        <f t="shared" si="8"/>
        <v>16.399999999999999</v>
      </c>
      <c r="K44" s="240">
        <f t="shared" si="2"/>
        <v>452</v>
      </c>
      <c r="L44" s="226">
        <f>K44/'# Yrs of Data'!D36</f>
        <v>13.696969696969697</v>
      </c>
      <c r="M44" s="2">
        <f t="shared" si="3"/>
        <v>208</v>
      </c>
      <c r="N44" s="35">
        <f>+M44/'# Yrs of Data'!D36</f>
        <v>6.3030303030303028</v>
      </c>
      <c r="O44" s="2">
        <f t="shared" si="4"/>
        <v>129</v>
      </c>
      <c r="P44" s="35">
        <f>+O44/'# Yrs of Data'!D36</f>
        <v>3.9090909090909092</v>
      </c>
      <c r="Q44" s="2">
        <f t="shared" si="5"/>
        <v>76</v>
      </c>
      <c r="R44" s="35">
        <f>+Q44/'# Yrs of Data'!D36</f>
        <v>2.3030303030303032</v>
      </c>
      <c r="S44" s="2">
        <f t="shared" si="6"/>
        <v>24</v>
      </c>
      <c r="T44" s="35">
        <f>+S44/'# Yrs of Data'!D36</f>
        <v>0.72727272727272729</v>
      </c>
      <c r="U44" s="2">
        <f t="shared" si="7"/>
        <v>15</v>
      </c>
      <c r="V44" s="35">
        <f>+U44/'# Yrs of Data'!D36</f>
        <v>0.45454545454545453</v>
      </c>
      <c r="W44" s="1" t="s">
        <v>1350</v>
      </c>
    </row>
    <row r="45" spans="2:23">
      <c r="B45" s="234">
        <f t="shared" ref="B45:B98" si="10">B44+1</f>
        <v>1983</v>
      </c>
      <c r="C45" s="236">
        <f>(COUNTIF('Database - Tornado Segments'!$V$8:$V$2008, "1983F0"))</f>
        <v>8</v>
      </c>
      <c r="D45" s="236">
        <f>(COUNTIF('Database - Tornado Segments'!$V$8:$V$2008, "1983F1"))</f>
        <v>4</v>
      </c>
      <c r="E45" s="236">
        <f>(COUNTIF('Database - Tornado Segments'!$V$8:$V$2008, "1983F2"))</f>
        <v>2</v>
      </c>
      <c r="F45" s="236">
        <f>(COUNTIF('Database - Tornado Segments'!$V$8:$V$2008, "1983F3"))</f>
        <v>0</v>
      </c>
      <c r="G45" s="236">
        <f>(COUNTIF('Database - Tornado Segments'!$V$8:$V$2008, "1983F4"))</f>
        <v>0</v>
      </c>
      <c r="H45" s="236">
        <f>(COUNTIF('Database - Tornado Segments'!$V$8:$V$2008, "1983F5"))</f>
        <v>0</v>
      </c>
      <c r="I45" s="240">
        <f t="shared" si="9"/>
        <v>14</v>
      </c>
      <c r="J45" s="236">
        <f t="shared" si="8"/>
        <v>16.899999999999999</v>
      </c>
      <c r="K45" s="240">
        <f t="shared" ref="K45:K77" si="11">K44+I45</f>
        <v>466</v>
      </c>
      <c r="L45" s="226">
        <f>K45/'# Yrs of Data'!D37</f>
        <v>13.705882352941176</v>
      </c>
      <c r="M45" s="2">
        <f t="shared" ref="M45:M77" si="12">+M44+C45</f>
        <v>216</v>
      </c>
      <c r="N45" s="35">
        <f>+M45/'# Yrs of Data'!D37</f>
        <v>6.3529411764705879</v>
      </c>
      <c r="O45" s="2">
        <f t="shared" ref="O45:O74" si="13">+O44+D45</f>
        <v>133</v>
      </c>
      <c r="P45" s="35">
        <f>+O45/'# Yrs of Data'!D37</f>
        <v>3.9117647058823528</v>
      </c>
      <c r="Q45" s="2">
        <f t="shared" ref="Q45:Q74" si="14">+Q44+E45</f>
        <v>78</v>
      </c>
      <c r="R45" s="35">
        <f>+Q45/'# Yrs of Data'!D37</f>
        <v>2.2941176470588234</v>
      </c>
      <c r="S45" s="2">
        <f t="shared" ref="S45:S74" si="15">+S44+F45</f>
        <v>24</v>
      </c>
      <c r="T45" s="35">
        <f>+S45/'# Yrs of Data'!D37</f>
        <v>0.70588235294117652</v>
      </c>
      <c r="U45" s="2">
        <f t="shared" ref="U45:U74" si="16">+U44+G45</f>
        <v>15</v>
      </c>
      <c r="V45" s="35">
        <f>+U45/'# Yrs of Data'!D37</f>
        <v>0.44117647058823528</v>
      </c>
      <c r="W45" s="1" t="s">
        <v>1351</v>
      </c>
    </row>
    <row r="46" spans="2:23">
      <c r="B46" s="234">
        <f t="shared" si="10"/>
        <v>1984</v>
      </c>
      <c r="C46" s="236">
        <f>(COUNTIF('Database - Tornado Segments'!$V$8:$V$2008, "1984F0"))</f>
        <v>6</v>
      </c>
      <c r="D46" s="236">
        <f>(COUNTIF('Database - Tornado Segments'!$V$8:$V$2008, "1984F1"))</f>
        <v>2</v>
      </c>
      <c r="E46" s="236">
        <f>(COUNTIF('Database - Tornado Segments'!$V$8:$V$2008, "1984F2"))</f>
        <v>0</v>
      </c>
      <c r="F46" s="236">
        <f>(COUNTIF('Database - Tornado Segments'!$V$8:$V$2008, "1984F3"))</f>
        <v>0</v>
      </c>
      <c r="G46" s="236">
        <f>(COUNTIF('Database - Tornado Segments'!$V$8:$V$2008, "1984F4"))</f>
        <v>0</v>
      </c>
      <c r="H46" s="236">
        <f>(COUNTIF('Database - Tornado Segments'!$V$8:$V$2008, "1984F5"))</f>
        <v>0</v>
      </c>
      <c r="I46" s="240">
        <f t="shared" si="9"/>
        <v>8</v>
      </c>
      <c r="J46" s="236">
        <f t="shared" si="8"/>
        <v>16.399999999999999</v>
      </c>
      <c r="K46" s="240">
        <f t="shared" si="11"/>
        <v>474</v>
      </c>
      <c r="L46" s="226">
        <f>K46/'# Yrs of Data'!D38</f>
        <v>13.542857142857143</v>
      </c>
      <c r="M46" s="2">
        <f t="shared" si="12"/>
        <v>222</v>
      </c>
      <c r="N46" s="35">
        <f>+M46/'# Yrs of Data'!D38</f>
        <v>6.3428571428571425</v>
      </c>
      <c r="O46" s="2">
        <f t="shared" si="13"/>
        <v>135</v>
      </c>
      <c r="P46" s="35">
        <f>+O46/'# Yrs of Data'!D38</f>
        <v>3.8571428571428572</v>
      </c>
      <c r="Q46" s="2">
        <f t="shared" si="14"/>
        <v>78</v>
      </c>
      <c r="R46" s="35">
        <f>+Q46/'# Yrs of Data'!D38</f>
        <v>2.2285714285714286</v>
      </c>
      <c r="S46" s="2">
        <f t="shared" si="15"/>
        <v>24</v>
      </c>
      <c r="T46" s="35">
        <f>+S46/'# Yrs of Data'!D38</f>
        <v>0.68571428571428572</v>
      </c>
      <c r="U46" s="2">
        <f t="shared" si="16"/>
        <v>15</v>
      </c>
      <c r="V46" s="35">
        <f>+U46/'# Yrs of Data'!D38</f>
        <v>0.42857142857142855</v>
      </c>
      <c r="W46" s="1" t="s">
        <v>1333</v>
      </c>
    </row>
    <row r="47" spans="2:23">
      <c r="B47" s="234">
        <f t="shared" si="10"/>
        <v>1985</v>
      </c>
      <c r="C47" s="236">
        <f>(COUNTIF('Database - Tornado Segments'!$V$8:$V$2008, "1985F0"))</f>
        <v>3</v>
      </c>
      <c r="D47" s="236">
        <f>(COUNTIF('Database - Tornado Segments'!$V$8:$V$2008, "1985F1"))</f>
        <v>0</v>
      </c>
      <c r="E47" s="236">
        <f>(COUNTIF('Database - Tornado Segments'!$V$8:$V$2008, "1985F2"))</f>
        <v>0</v>
      </c>
      <c r="F47" s="236">
        <f>(COUNTIF('Database - Tornado Segments'!$V$8:$V$2008, "1985F3"))</f>
        <v>0</v>
      </c>
      <c r="G47" s="236">
        <f>(COUNTIF('Database - Tornado Segments'!$V$8:$V$2008, "1985F4"))</f>
        <v>0</v>
      </c>
      <c r="H47" s="236">
        <f>(COUNTIF('Database - Tornado Segments'!$V$8:$V$2008, "1985F5"))</f>
        <v>0</v>
      </c>
      <c r="I47" s="240">
        <f t="shared" si="9"/>
        <v>3</v>
      </c>
      <c r="J47" s="236">
        <f t="shared" si="8"/>
        <v>15.1</v>
      </c>
      <c r="K47" s="240">
        <f t="shared" si="11"/>
        <v>477</v>
      </c>
      <c r="L47" s="226">
        <f>K47/'# Yrs of Data'!D39</f>
        <v>13.25</v>
      </c>
      <c r="M47" s="2">
        <f t="shared" si="12"/>
        <v>225</v>
      </c>
      <c r="N47" s="35">
        <f>+M47/'# Yrs of Data'!D39</f>
        <v>6.25</v>
      </c>
      <c r="O47" s="2">
        <f t="shared" si="13"/>
        <v>135</v>
      </c>
      <c r="P47" s="35">
        <f>+O47/'# Yrs of Data'!D39</f>
        <v>3.75</v>
      </c>
      <c r="Q47" s="2">
        <f t="shared" si="14"/>
        <v>78</v>
      </c>
      <c r="R47" s="35">
        <f>+Q47/'# Yrs of Data'!D39</f>
        <v>2.1666666666666665</v>
      </c>
      <c r="S47" s="2">
        <f t="shared" si="15"/>
        <v>24</v>
      </c>
      <c r="T47" s="35">
        <f>+S47/'# Yrs of Data'!D39</f>
        <v>0.66666666666666663</v>
      </c>
      <c r="U47" s="2">
        <f t="shared" si="16"/>
        <v>15</v>
      </c>
      <c r="V47" s="35">
        <f>+U47/'# Yrs of Data'!D39</f>
        <v>0.41666666666666669</v>
      </c>
      <c r="W47" s="1" t="s">
        <v>1337</v>
      </c>
    </row>
    <row r="48" spans="2:23">
      <c r="B48" s="234">
        <f t="shared" si="10"/>
        <v>1986</v>
      </c>
      <c r="C48" s="236">
        <f>(COUNTIF('Database - Tornado Segments'!$V$8:$V$2008, "1986F0"))</f>
        <v>14</v>
      </c>
      <c r="D48" s="236">
        <f>(COUNTIF('Database - Tornado Segments'!$V$8:$V$2008, "1986F1"))</f>
        <v>0</v>
      </c>
      <c r="E48" s="236">
        <f>(COUNTIF('Database - Tornado Segments'!$V$8:$V$2008, "1986F2"))</f>
        <v>1</v>
      </c>
      <c r="F48" s="236">
        <f>(COUNTIF('Database - Tornado Segments'!$V$8:$V$2008, "1986F3"))</f>
        <v>1</v>
      </c>
      <c r="G48" s="236">
        <f>(COUNTIF('Database - Tornado Segments'!$V$8:$V$2008, "1986F4"))</f>
        <v>0</v>
      </c>
      <c r="H48" s="236">
        <f>(COUNTIF('Database - Tornado Segments'!$V$8:$V$2008, "1986F5"))</f>
        <v>0</v>
      </c>
      <c r="I48" s="240">
        <f t="shared" si="9"/>
        <v>16</v>
      </c>
      <c r="J48" s="236">
        <f t="shared" si="8"/>
        <v>15.7</v>
      </c>
      <c r="K48" s="240">
        <f t="shared" si="11"/>
        <v>493</v>
      </c>
      <c r="L48" s="226">
        <f>K48/'# Yrs of Data'!D40</f>
        <v>13.324324324324325</v>
      </c>
      <c r="M48" s="2">
        <f t="shared" si="12"/>
        <v>239</v>
      </c>
      <c r="N48" s="35">
        <f>+M48/'# Yrs of Data'!D40</f>
        <v>6.4594594594594597</v>
      </c>
      <c r="O48" s="2">
        <f t="shared" si="13"/>
        <v>135</v>
      </c>
      <c r="P48" s="35">
        <f>+O48/'# Yrs of Data'!D40</f>
        <v>3.6486486486486487</v>
      </c>
      <c r="Q48" s="2">
        <f t="shared" si="14"/>
        <v>79</v>
      </c>
      <c r="R48" s="35">
        <f>+Q48/'# Yrs of Data'!D40</f>
        <v>2.1351351351351351</v>
      </c>
      <c r="S48" s="2">
        <f t="shared" si="15"/>
        <v>25</v>
      </c>
      <c r="T48" s="35">
        <f>+S48/'# Yrs of Data'!D40</f>
        <v>0.67567567567567566</v>
      </c>
      <c r="U48" s="2">
        <f t="shared" si="16"/>
        <v>15</v>
      </c>
      <c r="V48" s="35">
        <f>+U48/'# Yrs of Data'!D40</f>
        <v>0.40540540540540543</v>
      </c>
      <c r="W48" s="1" t="s">
        <v>549</v>
      </c>
    </row>
    <row r="49" spans="2:24">
      <c r="B49" s="234">
        <f t="shared" si="10"/>
        <v>1987</v>
      </c>
      <c r="C49" s="236">
        <f>(COUNTIF('Database - Tornado Segments'!$V$8:$V$2008, "1987F0"))</f>
        <v>13</v>
      </c>
      <c r="D49" s="236">
        <f>(COUNTIF('Database - Tornado Segments'!$V$8:$V$2008, "1987F1"))</f>
        <v>8</v>
      </c>
      <c r="E49" s="236">
        <f>(COUNTIF('Database - Tornado Segments'!$V$8:$V$2008, "1987F2"))</f>
        <v>10</v>
      </c>
      <c r="F49" s="236">
        <f>(COUNTIF('Database - Tornado Segments'!$V$8:$V$2008, "1987F3"))</f>
        <v>3</v>
      </c>
      <c r="G49" s="236">
        <f>(COUNTIF('Database - Tornado Segments'!$V$8:$V$2008, "1987F4"))</f>
        <v>0</v>
      </c>
      <c r="H49" s="236">
        <f>(COUNTIF('Database - Tornado Segments'!$V$8:$V$2008, "1987F5"))</f>
        <v>0</v>
      </c>
      <c r="I49" s="240">
        <f t="shared" si="9"/>
        <v>34</v>
      </c>
      <c r="J49" s="236">
        <f t="shared" si="8"/>
        <v>16.899999999999999</v>
      </c>
      <c r="K49" s="240">
        <f t="shared" si="11"/>
        <v>527</v>
      </c>
      <c r="L49" s="226">
        <f>K49/'# Yrs of Data'!D41</f>
        <v>13.868421052631579</v>
      </c>
      <c r="M49" s="2">
        <f t="shared" si="12"/>
        <v>252</v>
      </c>
      <c r="N49" s="35">
        <f>+M49/'# Yrs of Data'!D41</f>
        <v>6.6315789473684212</v>
      </c>
      <c r="O49" s="2">
        <f t="shared" si="13"/>
        <v>143</v>
      </c>
      <c r="P49" s="35">
        <f>+O49/'# Yrs of Data'!D41</f>
        <v>3.763157894736842</v>
      </c>
      <c r="Q49" s="2">
        <f t="shared" si="14"/>
        <v>89</v>
      </c>
      <c r="R49" s="35">
        <f>+Q49/'# Yrs of Data'!D41</f>
        <v>2.3421052631578947</v>
      </c>
      <c r="S49" s="2">
        <f t="shared" si="15"/>
        <v>28</v>
      </c>
      <c r="T49" s="35">
        <f>+S49/'# Yrs of Data'!D41</f>
        <v>0.73684210526315785</v>
      </c>
      <c r="U49" s="2">
        <f t="shared" si="16"/>
        <v>15</v>
      </c>
      <c r="V49" s="35">
        <f>+U49/'# Yrs of Data'!D41</f>
        <v>0.39473684210526316</v>
      </c>
      <c r="W49" s="1" t="s">
        <v>1352</v>
      </c>
    </row>
    <row r="50" spans="2:24">
      <c r="B50" s="234">
        <f t="shared" si="10"/>
        <v>1988</v>
      </c>
      <c r="C50" s="236">
        <f>(COUNTIF('Database - Tornado Segments'!$V$8:$V$2008, "1988F0"))</f>
        <v>2</v>
      </c>
      <c r="D50" s="236">
        <f>(COUNTIF('Database - Tornado Segments'!$V$8:$V$2008, "1988F1"))</f>
        <v>1</v>
      </c>
      <c r="E50" s="236">
        <f>(COUNTIF('Database - Tornado Segments'!$V$8:$V$2008, "1988F2"))</f>
        <v>1</v>
      </c>
      <c r="F50" s="236">
        <f>(COUNTIF('Database - Tornado Segments'!$V$8:$V$2008, "1988F3"))</f>
        <v>0</v>
      </c>
      <c r="G50" s="236">
        <f>(COUNTIF('Database - Tornado Segments'!$V$8:$V$2008, "1988F4"))</f>
        <v>0</v>
      </c>
      <c r="H50" s="236">
        <f>(COUNTIF('Database - Tornado Segments'!$V$8:$V$2008, "1988F5"))</f>
        <v>0</v>
      </c>
      <c r="I50" s="240">
        <f t="shared" si="9"/>
        <v>4</v>
      </c>
      <c r="J50" s="236">
        <f t="shared" si="8"/>
        <v>15.7</v>
      </c>
      <c r="K50" s="240">
        <f t="shared" si="11"/>
        <v>531</v>
      </c>
      <c r="L50" s="226">
        <f>K50/'# Yrs of Data'!D42</f>
        <v>13.615384615384615</v>
      </c>
      <c r="M50" s="2">
        <f t="shared" si="12"/>
        <v>254</v>
      </c>
      <c r="N50" s="35">
        <f>+M50/'# Yrs of Data'!D42</f>
        <v>6.5128205128205128</v>
      </c>
      <c r="O50" s="2">
        <f t="shared" si="13"/>
        <v>144</v>
      </c>
      <c r="P50" s="35">
        <f>+O50/'# Yrs of Data'!D42</f>
        <v>3.6923076923076925</v>
      </c>
      <c r="Q50" s="2">
        <f t="shared" si="14"/>
        <v>90</v>
      </c>
      <c r="R50" s="35">
        <f>+Q50/'# Yrs of Data'!D42</f>
        <v>2.3076923076923075</v>
      </c>
      <c r="S50" s="2">
        <f t="shared" si="15"/>
        <v>28</v>
      </c>
      <c r="T50" s="35">
        <f>+S50/'# Yrs of Data'!D42</f>
        <v>0.71794871794871795</v>
      </c>
      <c r="U50" s="2">
        <f t="shared" si="16"/>
        <v>15</v>
      </c>
      <c r="V50" s="35">
        <f>+U50/'# Yrs of Data'!D42</f>
        <v>0.38461538461538464</v>
      </c>
      <c r="W50" s="1" t="s">
        <v>1353</v>
      </c>
    </row>
    <row r="51" spans="2:24">
      <c r="B51" s="234">
        <f t="shared" si="10"/>
        <v>1989</v>
      </c>
      <c r="C51" s="236">
        <f>(COUNTIF('Database - Tornado Segments'!$V$8:$V$2008, "1989F0"))</f>
        <v>23</v>
      </c>
      <c r="D51" s="236">
        <f>(COUNTIF('Database - Tornado Segments'!$V$8:$V$2008, "1989F1"))</f>
        <v>7</v>
      </c>
      <c r="E51" s="236">
        <f>(COUNTIF('Database - Tornado Segments'!$V$8:$V$2008, "1989F2"))</f>
        <v>2</v>
      </c>
      <c r="F51" s="236">
        <f>(COUNTIF('Database - Tornado Segments'!$V$8:$V$2008, "1989F3"))</f>
        <v>0</v>
      </c>
      <c r="G51" s="236">
        <f>(COUNTIF('Database - Tornado Segments'!$V$8:$V$2008, "1989F4"))</f>
        <v>0</v>
      </c>
      <c r="H51" s="236">
        <f>(COUNTIF('Database - Tornado Segments'!$V$8:$V$2008, "1989F5"))</f>
        <v>0</v>
      </c>
      <c r="I51" s="240">
        <f t="shared" si="9"/>
        <v>32</v>
      </c>
      <c r="J51" s="236">
        <f t="shared" si="8"/>
        <v>17.8</v>
      </c>
      <c r="K51" s="240">
        <f t="shared" si="11"/>
        <v>563</v>
      </c>
      <c r="L51" s="226">
        <f>K51/'# Yrs of Data'!D43</f>
        <v>14.074999999999999</v>
      </c>
      <c r="M51" s="2">
        <f t="shared" si="12"/>
        <v>277</v>
      </c>
      <c r="N51" s="35">
        <f>+M51/'# Yrs of Data'!D43</f>
        <v>6.9249999999999998</v>
      </c>
      <c r="O51" s="2">
        <f t="shared" si="13"/>
        <v>151</v>
      </c>
      <c r="P51" s="35">
        <f>+O51/'# Yrs of Data'!D43</f>
        <v>3.7749999999999999</v>
      </c>
      <c r="Q51" s="2">
        <f t="shared" si="14"/>
        <v>92</v>
      </c>
      <c r="R51" s="35">
        <f>+Q51/'# Yrs of Data'!D43</f>
        <v>2.2999999999999998</v>
      </c>
      <c r="S51" s="2">
        <f t="shared" si="15"/>
        <v>28</v>
      </c>
      <c r="T51" s="35">
        <f>+S51/'# Yrs of Data'!D43</f>
        <v>0.7</v>
      </c>
      <c r="U51" s="2">
        <f t="shared" si="16"/>
        <v>15</v>
      </c>
      <c r="V51" s="35">
        <f>+U51/'# Yrs of Data'!D43</f>
        <v>0.375</v>
      </c>
      <c r="W51" s="1" t="s">
        <v>1336</v>
      </c>
    </row>
    <row r="52" spans="2:24">
      <c r="B52" s="234">
        <f t="shared" si="10"/>
        <v>1990</v>
      </c>
      <c r="C52" s="236">
        <f>(COUNTIF('Database - Tornado Segments'!$V$8:$V$2008, "1990F0"))</f>
        <v>24</v>
      </c>
      <c r="D52" s="236">
        <f>(COUNTIF('Database - Tornado Segments'!$V$8:$V$2008, "1990F1"))</f>
        <v>9</v>
      </c>
      <c r="E52" s="236">
        <f>(COUNTIF('Database - Tornado Segments'!$V$8:$V$2008, "1990F2"))</f>
        <v>4</v>
      </c>
      <c r="F52" s="236">
        <f>(COUNTIF('Database - Tornado Segments'!$V$8:$V$2008, "1990F3"))</f>
        <v>1</v>
      </c>
      <c r="G52" s="236">
        <f>(COUNTIF('Database - Tornado Segments'!$V$8:$V$2008, "1990F4"))</f>
        <v>0</v>
      </c>
      <c r="H52" s="236">
        <f>(COUNTIF('Database - Tornado Segments'!$V$8:$V$2008, "1990F5"))</f>
        <v>0</v>
      </c>
      <c r="I52" s="240">
        <f t="shared" si="9"/>
        <v>38</v>
      </c>
      <c r="J52" s="236">
        <f t="shared" si="8"/>
        <v>20.3</v>
      </c>
      <c r="K52" s="240">
        <f t="shared" si="11"/>
        <v>601</v>
      </c>
      <c r="L52" s="226">
        <f>K52/'# Yrs of Data'!D44</f>
        <v>14.658536585365853</v>
      </c>
      <c r="M52" s="2">
        <f t="shared" si="12"/>
        <v>301</v>
      </c>
      <c r="N52" s="35">
        <f>+M52/'# Yrs of Data'!D44</f>
        <v>7.3414634146341466</v>
      </c>
      <c r="O52" s="2">
        <f t="shared" si="13"/>
        <v>160</v>
      </c>
      <c r="P52" s="35">
        <f>+O52/'# Yrs of Data'!D44</f>
        <v>3.9024390243902438</v>
      </c>
      <c r="Q52" s="2">
        <f t="shared" si="14"/>
        <v>96</v>
      </c>
      <c r="R52" s="35">
        <f>+Q52/'# Yrs of Data'!D44</f>
        <v>2.3414634146341462</v>
      </c>
      <c r="S52" s="2">
        <f t="shared" si="15"/>
        <v>29</v>
      </c>
      <c r="T52" s="35">
        <f>+S52/'# Yrs of Data'!D44</f>
        <v>0.70731707317073167</v>
      </c>
      <c r="U52" s="2">
        <f t="shared" si="16"/>
        <v>15</v>
      </c>
      <c r="V52" s="35">
        <f>+U52/'# Yrs of Data'!D44</f>
        <v>0.36585365853658536</v>
      </c>
      <c r="W52" s="1" t="s">
        <v>549</v>
      </c>
    </row>
    <row r="53" spans="2:24">
      <c r="B53" s="234">
        <f t="shared" si="10"/>
        <v>1991</v>
      </c>
      <c r="C53" s="236">
        <f>(COUNTIF('Database - Tornado Segments'!$V$8:$V$2008, "1991F0"))</f>
        <v>19</v>
      </c>
      <c r="D53" s="236">
        <f>(COUNTIF('Database - Tornado Segments'!$V$8:$V$2008, "1991F1"))</f>
        <v>1</v>
      </c>
      <c r="E53" s="236">
        <f>(COUNTIF('Database - Tornado Segments'!$V$8:$V$2008, "1991F2"))</f>
        <v>0</v>
      </c>
      <c r="F53" s="236">
        <f>(COUNTIF('Database - Tornado Segments'!$V$8:$V$2008, "1991F3"))</f>
        <v>2</v>
      </c>
      <c r="G53" s="236">
        <f>(COUNTIF('Database - Tornado Segments'!$V$8:$V$2008, "1991F4"))</f>
        <v>0</v>
      </c>
      <c r="H53" s="236">
        <f>(COUNTIF('Database - Tornado Segments'!$V$8:$V$2008, "1991F5"))</f>
        <v>0</v>
      </c>
      <c r="I53" s="240">
        <f t="shared" si="9"/>
        <v>22</v>
      </c>
      <c r="J53" s="236">
        <f t="shared" ref="J53:J77" si="17">SUM(I44:I53)/10</f>
        <v>21.1</v>
      </c>
      <c r="K53" s="240">
        <f t="shared" si="11"/>
        <v>623</v>
      </c>
      <c r="L53" s="226">
        <f>K53/'# Yrs of Data'!D45</f>
        <v>14.833333333333334</v>
      </c>
      <c r="M53" s="2">
        <f t="shared" si="12"/>
        <v>320</v>
      </c>
      <c r="N53" s="35">
        <f>+M53/'# Yrs of Data'!D45</f>
        <v>7.6190476190476186</v>
      </c>
      <c r="O53" s="2">
        <f t="shared" si="13"/>
        <v>161</v>
      </c>
      <c r="P53" s="35">
        <f>+O53/'# Yrs of Data'!D45</f>
        <v>3.8333333333333335</v>
      </c>
      <c r="Q53" s="2">
        <f t="shared" si="14"/>
        <v>96</v>
      </c>
      <c r="R53" s="35">
        <f>+Q53/'# Yrs of Data'!D45</f>
        <v>2.2857142857142856</v>
      </c>
      <c r="S53" s="2">
        <f t="shared" si="15"/>
        <v>31</v>
      </c>
      <c r="T53" s="35">
        <f>+S53/'# Yrs of Data'!D45</f>
        <v>0.73809523809523814</v>
      </c>
      <c r="U53" s="2">
        <f t="shared" si="16"/>
        <v>15</v>
      </c>
      <c r="V53" s="35">
        <f>+U53/'# Yrs of Data'!D45</f>
        <v>0.35714285714285715</v>
      </c>
      <c r="W53" s="1" t="s">
        <v>1350</v>
      </c>
    </row>
    <row r="54" spans="2:24">
      <c r="B54" s="234">
        <f t="shared" si="10"/>
        <v>1992</v>
      </c>
      <c r="C54" s="236">
        <f>(COUNTIF('Database - Tornado Segments'!$V$8:$V$2008, "1992F0"))</f>
        <v>13</v>
      </c>
      <c r="D54" s="236">
        <f>(COUNTIF('Database - Tornado Segments'!$V$8:$V$2008, "1992F1"))</f>
        <v>4</v>
      </c>
      <c r="E54" s="236">
        <f>(COUNTIF('Database - Tornado Segments'!$V$8:$V$2008, "1992F2"))</f>
        <v>1</v>
      </c>
      <c r="F54" s="236">
        <f>(COUNTIF('Database - Tornado Segments'!$V$8:$V$2008, "1992F3"))</f>
        <v>1</v>
      </c>
      <c r="G54" s="236">
        <f>(COUNTIF('Database - Tornado Segments'!$V$8:$V$2008, "1992F4"))</f>
        <v>3</v>
      </c>
      <c r="H54" s="236">
        <f>(COUNTIF('Database - Tornado Segments'!$V$8:$V$2008, "1992F5"))</f>
        <v>0</v>
      </c>
      <c r="I54" s="240">
        <f t="shared" si="9"/>
        <v>22</v>
      </c>
      <c r="J54" s="236">
        <f t="shared" si="17"/>
        <v>19.3</v>
      </c>
      <c r="K54" s="240">
        <f t="shared" si="11"/>
        <v>645</v>
      </c>
      <c r="L54" s="226">
        <f>K54/'# Yrs of Data'!D46</f>
        <v>15</v>
      </c>
      <c r="M54" s="2">
        <f t="shared" si="12"/>
        <v>333</v>
      </c>
      <c r="N54" s="35">
        <f>+M54/'# Yrs of Data'!D46</f>
        <v>7.7441860465116283</v>
      </c>
      <c r="O54" s="2">
        <f t="shared" si="13"/>
        <v>165</v>
      </c>
      <c r="P54" s="35">
        <f>+O54/'# Yrs of Data'!D46</f>
        <v>3.8372093023255816</v>
      </c>
      <c r="Q54" s="2">
        <f t="shared" si="14"/>
        <v>97</v>
      </c>
      <c r="R54" s="35">
        <f>+Q54/'# Yrs of Data'!D46</f>
        <v>2.2558139534883721</v>
      </c>
      <c r="S54" s="2">
        <f t="shared" si="15"/>
        <v>32</v>
      </c>
      <c r="T54" s="35">
        <f>+S54/'# Yrs of Data'!D46</f>
        <v>0.7441860465116279</v>
      </c>
      <c r="U54" s="2">
        <f t="shared" si="16"/>
        <v>18</v>
      </c>
      <c r="V54" s="35">
        <f>+U54/'# Yrs of Data'!D46</f>
        <v>0.41860465116279072</v>
      </c>
      <c r="W54" s="1" t="s">
        <v>1354</v>
      </c>
    </row>
    <row r="55" spans="2:24">
      <c r="B55" s="234">
        <f t="shared" si="10"/>
        <v>1993</v>
      </c>
      <c r="C55" s="236">
        <f>(COUNTIF('Database - Tornado Segments'!$V$8:$V$2008, "1993F0"))</f>
        <v>12</v>
      </c>
      <c r="D55" s="236">
        <f>(COUNTIF('Database - Tornado Segments'!$V$8:$V$2008, "1993F1"))</f>
        <v>4</v>
      </c>
      <c r="E55" s="236">
        <f>(COUNTIF('Database - Tornado Segments'!$V$8:$V$2008, "1993F2"))</f>
        <v>0</v>
      </c>
      <c r="F55" s="236">
        <f>(COUNTIF('Database - Tornado Segments'!$V$8:$V$2008, "1993F3"))</f>
        <v>2</v>
      </c>
      <c r="G55" s="236">
        <f>(COUNTIF('Database - Tornado Segments'!$V$8:$V$2008, "1993F4"))</f>
        <v>0</v>
      </c>
      <c r="H55" s="236">
        <f>(COUNTIF('Database - Tornado Segments'!$V$8:$V$2008, "1993F5"))</f>
        <v>0</v>
      </c>
      <c r="I55" s="240">
        <f t="shared" si="9"/>
        <v>18</v>
      </c>
      <c r="J55" s="236">
        <f t="shared" si="17"/>
        <v>19.7</v>
      </c>
      <c r="K55" s="240">
        <f t="shared" si="11"/>
        <v>663</v>
      </c>
      <c r="L55" s="226">
        <f>K55/'# Yrs of Data'!D47</f>
        <v>15.068181818181818</v>
      </c>
      <c r="M55" s="2">
        <f t="shared" si="12"/>
        <v>345</v>
      </c>
      <c r="N55" s="35">
        <f>+M55/'# Yrs of Data'!D47</f>
        <v>7.8409090909090908</v>
      </c>
      <c r="O55" s="2">
        <f t="shared" si="13"/>
        <v>169</v>
      </c>
      <c r="P55" s="35">
        <f>+O55/'# Yrs of Data'!D47</f>
        <v>3.8409090909090908</v>
      </c>
      <c r="Q55" s="2">
        <f t="shared" si="14"/>
        <v>97</v>
      </c>
      <c r="R55" s="35">
        <f>+Q55/'# Yrs of Data'!D47</f>
        <v>2.2045454545454546</v>
      </c>
      <c r="S55" s="2">
        <f t="shared" si="15"/>
        <v>34</v>
      </c>
      <c r="T55" s="35">
        <f>+S55/'# Yrs of Data'!D47</f>
        <v>0.77272727272727271</v>
      </c>
      <c r="U55" s="2">
        <f t="shared" si="16"/>
        <v>18</v>
      </c>
      <c r="V55" s="35">
        <f>+U55/'# Yrs of Data'!D47</f>
        <v>0.40909090909090912</v>
      </c>
      <c r="W55" s="1" t="s">
        <v>1350</v>
      </c>
    </row>
    <row r="56" spans="2:24">
      <c r="B56" s="234">
        <f t="shared" si="10"/>
        <v>1994</v>
      </c>
      <c r="C56" s="236">
        <f>(COUNTIF('Database - Tornado Segments'!$V$8:$V$2008, "1994F0"))</f>
        <v>3</v>
      </c>
      <c r="D56" s="236">
        <f>(COUNTIF('Database - Tornado Segments'!$V$8:$V$2008, "1994F1"))</f>
        <v>2</v>
      </c>
      <c r="E56" s="236">
        <f>(COUNTIF('Database - Tornado Segments'!$V$8:$V$2008, "1994F2"))</f>
        <v>0</v>
      </c>
      <c r="F56" s="236">
        <f>(COUNTIF('Database - Tornado Segments'!$V$8:$V$2008, "1994F3"))</f>
        <v>0</v>
      </c>
      <c r="G56" s="236">
        <f>(COUNTIF('Database - Tornado Segments'!$V$8:$V$2008, "1994F4"))</f>
        <v>0</v>
      </c>
      <c r="H56" s="236">
        <f>(COUNTIF('Database - Tornado Segments'!$V$8:$V$2008, "1994F5"))</f>
        <v>0</v>
      </c>
      <c r="I56" s="240">
        <f t="shared" si="9"/>
        <v>5</v>
      </c>
      <c r="J56" s="236">
        <f t="shared" si="17"/>
        <v>19.399999999999999</v>
      </c>
      <c r="K56" s="240">
        <f t="shared" si="11"/>
        <v>668</v>
      </c>
      <c r="L56" s="226">
        <f>K56/'# Yrs of Data'!D48</f>
        <v>14.844444444444445</v>
      </c>
      <c r="M56" s="2">
        <f t="shared" si="12"/>
        <v>348</v>
      </c>
      <c r="N56" s="35">
        <f>+M56/'# Yrs of Data'!D48</f>
        <v>7.7333333333333334</v>
      </c>
      <c r="O56" s="2">
        <f t="shared" si="13"/>
        <v>171</v>
      </c>
      <c r="P56" s="35">
        <f>+O56/'# Yrs of Data'!D48</f>
        <v>3.8</v>
      </c>
      <c r="Q56" s="2">
        <f t="shared" si="14"/>
        <v>97</v>
      </c>
      <c r="R56" s="35">
        <f>+Q56/'# Yrs of Data'!D48</f>
        <v>2.1555555555555554</v>
      </c>
      <c r="S56" s="2">
        <f t="shared" si="15"/>
        <v>34</v>
      </c>
      <c r="T56" s="35">
        <f>+S56/'# Yrs of Data'!D48</f>
        <v>0.75555555555555554</v>
      </c>
      <c r="U56" s="2">
        <f t="shared" si="16"/>
        <v>18</v>
      </c>
      <c r="V56" s="35">
        <f>+U56/'# Yrs of Data'!D48</f>
        <v>0.4</v>
      </c>
      <c r="W56" t="s">
        <v>549</v>
      </c>
      <c r="X56"/>
    </row>
    <row r="57" spans="2:24">
      <c r="B57" s="234">
        <f t="shared" si="10"/>
        <v>1995</v>
      </c>
      <c r="C57" s="236">
        <f>(COUNTIF('Database - Tornado Segments'!$V$8:$V$2008, "1995F0"))</f>
        <v>25</v>
      </c>
      <c r="D57" s="236">
        <f>(COUNTIF('Database - Tornado Segments'!$V$8:$V$2008, "1995F1"))</f>
        <v>8</v>
      </c>
      <c r="E57" s="236">
        <f>(COUNTIF('Database - Tornado Segments'!$V$8:$V$2008, "1995F2"))</f>
        <v>6</v>
      </c>
      <c r="F57" s="236">
        <f>(COUNTIF('Database - Tornado Segments'!$V$8:$V$2008, "1995F3"))</f>
        <v>0</v>
      </c>
      <c r="G57" s="236">
        <f>(COUNTIF('Database - Tornado Segments'!$V$8:$V$2008, "1995F4"))</f>
        <v>5</v>
      </c>
      <c r="H57" s="236">
        <f>(COUNTIF('Database - Tornado Segments'!$V$8:$V$2008, "1995F5"))</f>
        <v>0</v>
      </c>
      <c r="I57" s="240">
        <f t="shared" si="9"/>
        <v>44</v>
      </c>
      <c r="J57" s="236">
        <f t="shared" si="17"/>
        <v>23.5</v>
      </c>
      <c r="K57" s="240">
        <f t="shared" si="11"/>
        <v>712</v>
      </c>
      <c r="L57" s="226">
        <f>K57/'# Yrs of Data'!D49</f>
        <v>15.478260869565217</v>
      </c>
      <c r="M57" s="2">
        <f t="shared" si="12"/>
        <v>373</v>
      </c>
      <c r="N57" s="35">
        <f>+M57/'# Yrs of Data'!D49</f>
        <v>8.1086956521739122</v>
      </c>
      <c r="O57" s="2">
        <f t="shared" si="13"/>
        <v>179</v>
      </c>
      <c r="P57" s="35">
        <f>+O57/'# Yrs of Data'!D49</f>
        <v>3.8913043478260869</v>
      </c>
      <c r="Q57" s="2">
        <f t="shared" si="14"/>
        <v>103</v>
      </c>
      <c r="R57" s="35">
        <f>+Q57/'# Yrs of Data'!D49</f>
        <v>2.2391304347826089</v>
      </c>
      <c r="S57" s="2">
        <f t="shared" si="15"/>
        <v>34</v>
      </c>
      <c r="T57" s="35">
        <f>+S57/'# Yrs of Data'!D49</f>
        <v>0.73913043478260865</v>
      </c>
      <c r="U57" s="2">
        <f t="shared" si="16"/>
        <v>23</v>
      </c>
      <c r="V57" s="35">
        <f>+U57/'# Yrs of Data'!D49</f>
        <v>0.5</v>
      </c>
      <c r="W57" s="1" t="s">
        <v>1348</v>
      </c>
    </row>
    <row r="58" spans="2:24">
      <c r="B58" s="234">
        <f t="shared" si="10"/>
        <v>1996</v>
      </c>
      <c r="C58" s="236">
        <f>(COUNTIF('Database - Tornado Segments'!$V$8:$V$2008, "1996F0"))</f>
        <v>32</v>
      </c>
      <c r="D58" s="236">
        <f>(COUNTIF('Database - Tornado Segments'!$V$8:$V$2008, "1996F1"))</f>
        <v>2</v>
      </c>
      <c r="E58" s="236">
        <f>(COUNTIF('Database - Tornado Segments'!$V$8:$V$2008, "1996F2"))</f>
        <v>1</v>
      </c>
      <c r="F58" s="236">
        <f>(COUNTIF('Database - Tornado Segments'!$V$8:$V$2008, "1996F3"))</f>
        <v>0</v>
      </c>
      <c r="G58" s="236">
        <f>(COUNTIF('Database - Tornado Segments'!$V$8:$V$2008, "1996F4"))</f>
        <v>0</v>
      </c>
      <c r="H58" s="236">
        <f>(COUNTIF('Database - Tornado Segments'!$V$8:$V$2008, "1996F5"))</f>
        <v>0</v>
      </c>
      <c r="I58" s="240">
        <f t="shared" si="9"/>
        <v>35</v>
      </c>
      <c r="J58" s="236">
        <f t="shared" si="17"/>
        <v>25.4</v>
      </c>
      <c r="K58" s="240">
        <f t="shared" si="11"/>
        <v>747</v>
      </c>
      <c r="L58" s="226">
        <f>K58/'# Yrs of Data'!D50</f>
        <v>15.893617021276595</v>
      </c>
      <c r="M58" s="2">
        <f t="shared" si="12"/>
        <v>405</v>
      </c>
      <c r="N58" s="35">
        <f>+M58/'# Yrs of Data'!D50</f>
        <v>8.6170212765957448</v>
      </c>
      <c r="O58" s="2">
        <f t="shared" si="13"/>
        <v>181</v>
      </c>
      <c r="P58" s="35">
        <f>+O58/'# Yrs of Data'!D50</f>
        <v>3.8510638297872339</v>
      </c>
      <c r="Q58" s="2">
        <f t="shared" si="14"/>
        <v>104</v>
      </c>
      <c r="R58" s="35">
        <f>+Q58/'# Yrs of Data'!D50</f>
        <v>2.2127659574468086</v>
      </c>
      <c r="S58" s="2">
        <f t="shared" si="15"/>
        <v>34</v>
      </c>
      <c r="T58" s="35">
        <f>+S58/'# Yrs of Data'!D50</f>
        <v>0.72340425531914898</v>
      </c>
      <c r="U58" s="2">
        <f t="shared" si="16"/>
        <v>23</v>
      </c>
      <c r="V58" s="35">
        <f>+U58/'# Yrs of Data'!D50</f>
        <v>0.48936170212765956</v>
      </c>
      <c r="W58" t="s">
        <v>1333</v>
      </c>
      <c r="X58"/>
    </row>
    <row r="59" spans="2:24">
      <c r="B59" s="234">
        <f t="shared" si="10"/>
        <v>1997</v>
      </c>
      <c r="C59" s="236">
        <f>(COUNTIF('Database - Tornado Segments'!$V$8:$V$2008, "1997F0"))</f>
        <v>22</v>
      </c>
      <c r="D59" s="236">
        <f>(COUNTIF('Database - Tornado Segments'!$V$8:$V$2008, "1997F1"))</f>
        <v>6</v>
      </c>
      <c r="E59" s="236">
        <f>(COUNTIF('Database - Tornado Segments'!$V$8:$V$2008, "1997F2"))</f>
        <v>0</v>
      </c>
      <c r="F59" s="236">
        <f>(COUNTIF('Database - Tornado Segments'!$V$8:$V$2008, "1997F3"))</f>
        <v>1</v>
      </c>
      <c r="G59" s="236">
        <f>(COUNTIF('Database - Tornado Segments'!$V$8:$V$2008, "1997F4"))</f>
        <v>0</v>
      </c>
      <c r="H59" s="236">
        <f>(COUNTIF('Database - Tornado Segments'!$V$8:$V$2008, "1997F5"))</f>
        <v>0</v>
      </c>
      <c r="I59" s="240">
        <f t="shared" si="9"/>
        <v>29</v>
      </c>
      <c r="J59" s="236">
        <f t="shared" si="17"/>
        <v>24.9</v>
      </c>
      <c r="K59" s="240">
        <f t="shared" si="11"/>
        <v>776</v>
      </c>
      <c r="L59" s="226">
        <f>K59/'# Yrs of Data'!D51</f>
        <v>16.166666666666668</v>
      </c>
      <c r="M59" s="2">
        <f t="shared" si="12"/>
        <v>427</v>
      </c>
      <c r="N59" s="35">
        <f>+M59/'# Yrs of Data'!D51</f>
        <v>8.8958333333333339</v>
      </c>
      <c r="O59" s="2">
        <f t="shared" si="13"/>
        <v>187</v>
      </c>
      <c r="P59" s="35">
        <f>+O59/'# Yrs of Data'!D51</f>
        <v>3.8958333333333335</v>
      </c>
      <c r="Q59" s="2">
        <f t="shared" si="14"/>
        <v>104</v>
      </c>
      <c r="R59" s="35">
        <f>+Q59/'# Yrs of Data'!D51</f>
        <v>2.1666666666666665</v>
      </c>
      <c r="S59" s="2">
        <f t="shared" si="15"/>
        <v>35</v>
      </c>
      <c r="T59" s="35">
        <f>+S59/'# Yrs of Data'!D51</f>
        <v>0.72916666666666663</v>
      </c>
      <c r="U59" s="2">
        <f t="shared" si="16"/>
        <v>23</v>
      </c>
      <c r="V59" s="35">
        <f>+U59/'# Yrs of Data'!D51</f>
        <v>0.47916666666666669</v>
      </c>
      <c r="W59" t="s">
        <v>1355</v>
      </c>
      <c r="X59"/>
    </row>
    <row r="60" spans="2:24">
      <c r="B60" s="234">
        <f t="shared" si="10"/>
        <v>1998</v>
      </c>
      <c r="C60" s="236">
        <f>(COUNTIF('Database - Tornado Segments'!$V$8:$V$2008, "1998F0"))</f>
        <v>1</v>
      </c>
      <c r="D60" s="236">
        <f>(COUNTIF('Database - Tornado Segments'!$V$8:$V$2008, "1998F1"))</f>
        <v>1</v>
      </c>
      <c r="E60" s="236">
        <f>(COUNTIF('Database - Tornado Segments'!$V$8:$V$2008, "1998F2"))</f>
        <v>0</v>
      </c>
      <c r="F60" s="236">
        <f>(COUNTIF('Database - Tornado Segments'!$V$8:$V$2008, "1998F3"))</f>
        <v>0</v>
      </c>
      <c r="G60" s="236">
        <f>(COUNTIF('Database - Tornado Segments'!$V$8:$V$2008, "1998F4"))</f>
        <v>0</v>
      </c>
      <c r="H60" s="236">
        <f>(COUNTIF('Database - Tornado Segments'!$V$8:$V$2008, "1998F5"))</f>
        <v>0</v>
      </c>
      <c r="I60" s="240">
        <f t="shared" si="9"/>
        <v>2</v>
      </c>
      <c r="J60" s="236">
        <f t="shared" si="17"/>
        <v>24.7</v>
      </c>
      <c r="K60" s="240">
        <f t="shared" si="11"/>
        <v>778</v>
      </c>
      <c r="L60" s="226">
        <f>K60/'# Yrs of Data'!D52</f>
        <v>15.877551020408163</v>
      </c>
      <c r="M60" s="2">
        <f t="shared" si="12"/>
        <v>428</v>
      </c>
      <c r="N60" s="35">
        <f>+M60/'# Yrs of Data'!D52</f>
        <v>8.7346938775510203</v>
      </c>
      <c r="O60" s="2">
        <f t="shared" si="13"/>
        <v>188</v>
      </c>
      <c r="P60" s="35">
        <f>+O60/'# Yrs of Data'!D52</f>
        <v>3.8367346938775508</v>
      </c>
      <c r="Q60" s="2">
        <f t="shared" si="14"/>
        <v>104</v>
      </c>
      <c r="R60" s="35">
        <f>+Q60/'# Yrs of Data'!D52</f>
        <v>2.1224489795918369</v>
      </c>
      <c r="S60" s="2">
        <f t="shared" si="15"/>
        <v>35</v>
      </c>
      <c r="T60" s="35">
        <f>+S60/'# Yrs of Data'!D52</f>
        <v>0.7142857142857143</v>
      </c>
      <c r="U60" s="2">
        <f t="shared" si="16"/>
        <v>23</v>
      </c>
      <c r="V60" s="35">
        <f>+U60/'# Yrs of Data'!D52</f>
        <v>0.46938775510204084</v>
      </c>
      <c r="W60" s="1" t="s">
        <v>1356</v>
      </c>
    </row>
    <row r="61" spans="2:24">
      <c r="B61" s="234">
        <f t="shared" si="10"/>
        <v>1999</v>
      </c>
      <c r="C61" s="236">
        <f>(COUNTIF('Database - Tornado Segments'!$V$8:$V$2008, "1999F0"))</f>
        <v>25</v>
      </c>
      <c r="D61" s="236">
        <f>(COUNTIF('Database - Tornado Segments'!$V$8:$V$2008, "1999F1"))</f>
        <v>0</v>
      </c>
      <c r="E61" s="236">
        <f>(COUNTIF('Database - Tornado Segments'!$V$8:$V$2008, "1999F2"))</f>
        <v>0</v>
      </c>
      <c r="F61" s="236">
        <f>(COUNTIF('Database - Tornado Segments'!$V$8:$V$2008, "1999F3"))</f>
        <v>0</v>
      </c>
      <c r="G61" s="236">
        <f>(COUNTIF('Database - Tornado Segments'!$V$8:$V$2008, "1999F4"))</f>
        <v>0</v>
      </c>
      <c r="H61" s="236">
        <f>(COUNTIF('Database - Tornado Segments'!$V$8:$V$2008, "1999F5"))</f>
        <v>0</v>
      </c>
      <c r="I61" s="240">
        <f t="shared" si="9"/>
        <v>25</v>
      </c>
      <c r="J61" s="236">
        <f t="shared" si="17"/>
        <v>24</v>
      </c>
      <c r="K61" s="240">
        <f t="shared" si="11"/>
        <v>803</v>
      </c>
      <c r="L61" s="226">
        <f>K61/'# Yrs of Data'!D53</f>
        <v>16.059999999999999</v>
      </c>
      <c r="M61" s="2">
        <f t="shared" si="12"/>
        <v>453</v>
      </c>
      <c r="N61" s="35">
        <f>+M61/'# Yrs of Data'!D53</f>
        <v>9.06</v>
      </c>
      <c r="O61" s="2">
        <f t="shared" si="13"/>
        <v>188</v>
      </c>
      <c r="P61" s="35">
        <f>+O61/'# Yrs of Data'!D53</f>
        <v>3.76</v>
      </c>
      <c r="Q61" s="2">
        <f t="shared" si="14"/>
        <v>104</v>
      </c>
      <c r="R61" s="35">
        <f>+Q61/'# Yrs of Data'!D53</f>
        <v>2.08</v>
      </c>
      <c r="S61" s="2">
        <f t="shared" si="15"/>
        <v>35</v>
      </c>
      <c r="T61" s="35">
        <f>+S61/'# Yrs of Data'!D53</f>
        <v>0.7</v>
      </c>
      <c r="U61" s="2">
        <f t="shared" si="16"/>
        <v>23</v>
      </c>
      <c r="V61" s="35">
        <f>+U61/'# Yrs of Data'!D53</f>
        <v>0.46</v>
      </c>
      <c r="W61" s="1" t="s">
        <v>1338</v>
      </c>
    </row>
    <row r="62" spans="2:24">
      <c r="B62" s="234">
        <f t="shared" si="10"/>
        <v>2000</v>
      </c>
      <c r="C62" s="236">
        <f>(COUNTIF('Database - Tornado Segments'!$V$8:$V$2008, "2000F0"))</f>
        <v>8</v>
      </c>
      <c r="D62" s="236">
        <f>(COUNTIF('Database - Tornado Segments'!$V$8:$V$2008, "2000F1"))</f>
        <v>1</v>
      </c>
      <c r="E62" s="236">
        <f>(COUNTIF('Database - Tornado Segments'!$V$8:$V$2008, "2000F2"))</f>
        <v>0</v>
      </c>
      <c r="F62" s="236">
        <f>(COUNTIF('Database - Tornado Segments'!$V$8:$V$2008, "2000F3"))</f>
        <v>0</v>
      </c>
      <c r="G62" s="236">
        <f>(COUNTIF('Database - Tornado Segments'!$V$8:$V$2008, "2000F4"))</f>
        <v>0</v>
      </c>
      <c r="H62" s="236">
        <f>(COUNTIF('Database - Tornado Segments'!$V$8:$V$2008, "2000F5"))</f>
        <v>0</v>
      </c>
      <c r="I62" s="240">
        <f t="shared" si="9"/>
        <v>9</v>
      </c>
      <c r="J62" s="236">
        <f t="shared" si="17"/>
        <v>21.1</v>
      </c>
      <c r="K62" s="240">
        <f t="shared" si="11"/>
        <v>812</v>
      </c>
      <c r="L62" s="226">
        <f>K62/'# Yrs of Data'!D54</f>
        <v>15.921568627450981</v>
      </c>
      <c r="M62" s="2">
        <f t="shared" si="12"/>
        <v>461</v>
      </c>
      <c r="N62" s="35">
        <f>+M62/'# Yrs of Data'!D54</f>
        <v>9.0392156862745097</v>
      </c>
      <c r="O62" s="2">
        <f t="shared" si="13"/>
        <v>189</v>
      </c>
      <c r="P62" s="35">
        <f>+O62/'# Yrs of Data'!D54</f>
        <v>3.7058823529411766</v>
      </c>
      <c r="Q62" s="2">
        <f t="shared" si="14"/>
        <v>104</v>
      </c>
      <c r="R62" s="35">
        <f>+Q62/'# Yrs of Data'!D54</f>
        <v>2.0392156862745097</v>
      </c>
      <c r="S62" s="2">
        <f t="shared" si="15"/>
        <v>35</v>
      </c>
      <c r="T62" s="35">
        <f>+S62/'# Yrs of Data'!D54</f>
        <v>0.68627450980392157</v>
      </c>
      <c r="U62" s="2">
        <f t="shared" si="16"/>
        <v>23</v>
      </c>
      <c r="V62" s="35">
        <f>+U62/'# Yrs of Data'!D54</f>
        <v>0.45098039215686275</v>
      </c>
      <c r="W62" s="1" t="s">
        <v>1335</v>
      </c>
    </row>
    <row r="63" spans="2:24">
      <c r="B63" s="234">
        <f t="shared" si="10"/>
        <v>2001</v>
      </c>
      <c r="C63" s="236">
        <f>(COUNTIF('Database - Tornado Segments'!$V$8:$V$2008, "2001F0"))</f>
        <v>14</v>
      </c>
      <c r="D63" s="236">
        <f>(COUNTIF('Database - Tornado Segments'!$V$8:$V$2008, "2001F1"))</f>
        <v>4</v>
      </c>
      <c r="E63" s="236">
        <f>(COUNTIF('Database - Tornado Segments'!$V$8:$V$2008, "2001F2"))</f>
        <v>3</v>
      </c>
      <c r="F63" s="236">
        <f>(COUNTIF('Database - Tornado Segments'!$V$8:$V$2008, "2001F3"))</f>
        <v>1</v>
      </c>
      <c r="G63" s="236">
        <f>(COUNTIF('Database - Tornado Segments'!$V$8:$V$2008, "2001F4"))</f>
        <v>0</v>
      </c>
      <c r="H63" s="236">
        <f>(COUNTIF('Database - Tornado Segments'!$V$8:$V$2008, "2001F5"))</f>
        <v>0</v>
      </c>
      <c r="I63" s="240">
        <f t="shared" si="9"/>
        <v>22</v>
      </c>
      <c r="J63" s="236">
        <f t="shared" si="17"/>
        <v>21.1</v>
      </c>
      <c r="K63" s="240">
        <f t="shared" si="11"/>
        <v>834</v>
      </c>
      <c r="L63" s="226">
        <f>K63/'# Yrs of Data'!D55</f>
        <v>16.03846153846154</v>
      </c>
      <c r="M63" s="2">
        <f t="shared" si="12"/>
        <v>475</v>
      </c>
      <c r="N63" s="35">
        <f>+M63/'# Yrs of Data'!D55</f>
        <v>9.134615384615385</v>
      </c>
      <c r="O63" s="2">
        <f t="shared" si="13"/>
        <v>193</v>
      </c>
      <c r="P63" s="35">
        <f>+O63/'# Yrs of Data'!D55</f>
        <v>3.7115384615384617</v>
      </c>
      <c r="Q63" s="2">
        <f t="shared" si="14"/>
        <v>107</v>
      </c>
      <c r="R63" s="35">
        <f>+Q63/'# Yrs of Data'!D55</f>
        <v>2.0576923076923075</v>
      </c>
      <c r="S63" s="2">
        <f t="shared" si="15"/>
        <v>36</v>
      </c>
      <c r="T63" s="35">
        <f>+S63/'# Yrs of Data'!D55</f>
        <v>0.69230769230769229</v>
      </c>
      <c r="U63" s="2">
        <f t="shared" si="16"/>
        <v>23</v>
      </c>
      <c r="V63" s="35">
        <f>+U63/'# Yrs of Data'!D55</f>
        <v>0.44230769230769229</v>
      </c>
      <c r="W63" t="s">
        <v>1333</v>
      </c>
      <c r="X63"/>
    </row>
    <row r="64" spans="2:24">
      <c r="B64" s="234">
        <f t="shared" si="10"/>
        <v>2002</v>
      </c>
      <c r="C64" s="236">
        <f>(COUNTIF('Database - Tornado Segments'!$V$8:$V$2008, "2002F0"))</f>
        <v>20</v>
      </c>
      <c r="D64" s="236">
        <f>(COUNTIF('Database - Tornado Segments'!$V$8:$V$2008, "2002F1"))</f>
        <v>2</v>
      </c>
      <c r="E64" s="236">
        <f>(COUNTIF('Database - Tornado Segments'!$V$8:$V$2008, "2002F2"))</f>
        <v>1</v>
      </c>
      <c r="F64" s="236">
        <f>(COUNTIF('Database - Tornado Segments'!$V$8:$V$2008, "2002F3"))</f>
        <v>0</v>
      </c>
      <c r="G64" s="236">
        <f>(COUNTIF('Database - Tornado Segments'!$V$8:$V$2008, "2002F4"))</f>
        <v>0</v>
      </c>
      <c r="H64" s="236">
        <f>(COUNTIF('Database - Tornado Segments'!$V$8:$V$2008, "2002F5"))</f>
        <v>0</v>
      </c>
      <c r="I64" s="240">
        <f t="shared" si="9"/>
        <v>23</v>
      </c>
      <c r="J64" s="236">
        <f t="shared" si="17"/>
        <v>21.2</v>
      </c>
      <c r="K64" s="240">
        <f t="shared" si="11"/>
        <v>857</v>
      </c>
      <c r="L64" s="226">
        <f>K64/'# Yrs of Data'!D56</f>
        <v>16.169811320754718</v>
      </c>
      <c r="M64" s="2">
        <f t="shared" si="12"/>
        <v>495</v>
      </c>
      <c r="N64" s="35">
        <f>+M64/'# Yrs of Data'!D56</f>
        <v>9.3396226415094343</v>
      </c>
      <c r="O64" s="2">
        <f t="shared" si="13"/>
        <v>195</v>
      </c>
      <c r="P64" s="35">
        <f>+O64/'# Yrs of Data'!D56</f>
        <v>3.6792452830188678</v>
      </c>
      <c r="Q64" s="2">
        <f t="shared" si="14"/>
        <v>108</v>
      </c>
      <c r="R64" s="35">
        <f>+Q64/'# Yrs of Data'!D56</f>
        <v>2.0377358490566038</v>
      </c>
      <c r="S64" s="2">
        <f t="shared" si="15"/>
        <v>36</v>
      </c>
      <c r="T64" s="35">
        <f>+S64/'# Yrs of Data'!D56</f>
        <v>0.67924528301886788</v>
      </c>
      <c r="U64" s="2">
        <f t="shared" si="16"/>
        <v>23</v>
      </c>
      <c r="V64" s="35">
        <f>+U64/'# Yrs of Data'!D56</f>
        <v>0.43396226415094341</v>
      </c>
      <c r="W64" t="s">
        <v>1350</v>
      </c>
      <c r="X64"/>
    </row>
    <row r="65" spans="2:24">
      <c r="B65" s="234">
        <f t="shared" si="10"/>
        <v>2003</v>
      </c>
      <c r="C65" s="236">
        <f>(COUNTIF('Database - Tornado Segments'!$V$8:$V$2008, "2003F0"))</f>
        <v>27</v>
      </c>
      <c r="D65" s="236">
        <f>(COUNTIF('Database - Tornado Segments'!$V$8:$V$2008, "2003F1"))</f>
        <v>5</v>
      </c>
      <c r="E65" s="236">
        <f>(COUNTIF('Database - Tornado Segments'!$V$8:$V$2008, "2003F2"))</f>
        <v>1</v>
      </c>
      <c r="F65" s="236">
        <f>(COUNTIF('Database - Tornado Segments'!$V$8:$V$2008, "2003F3"))</f>
        <v>0</v>
      </c>
      <c r="G65" s="236">
        <f>(COUNTIF('Database - Tornado Segments'!$V$8:$V$2008, "2003F4"))</f>
        <v>0</v>
      </c>
      <c r="H65" s="236">
        <f>(COUNTIF('Database - Tornado Segments'!$V$8:$V$2008, "2003F5"))</f>
        <v>0</v>
      </c>
      <c r="I65" s="240">
        <f t="shared" si="9"/>
        <v>33</v>
      </c>
      <c r="J65" s="236">
        <f t="shared" si="17"/>
        <v>22.7</v>
      </c>
      <c r="K65" s="240">
        <f t="shared" si="11"/>
        <v>890</v>
      </c>
      <c r="L65" s="226">
        <f>K65/'# Yrs of Data'!D57</f>
        <v>16.481481481481481</v>
      </c>
      <c r="M65" s="2">
        <f t="shared" si="12"/>
        <v>522</v>
      </c>
      <c r="N65" s="35">
        <f>+M65/'# Yrs of Data'!D57</f>
        <v>9.6666666666666661</v>
      </c>
      <c r="O65" s="2">
        <f t="shared" si="13"/>
        <v>200</v>
      </c>
      <c r="P65" s="35">
        <f>+O65/'# Yrs of Data'!D57</f>
        <v>3.7037037037037037</v>
      </c>
      <c r="Q65" s="2">
        <f t="shared" si="14"/>
        <v>109</v>
      </c>
      <c r="R65" s="35">
        <f>+Q65/'# Yrs of Data'!D57</f>
        <v>2.0185185185185186</v>
      </c>
      <c r="S65" s="2">
        <f t="shared" si="15"/>
        <v>36</v>
      </c>
      <c r="T65" s="35">
        <f>+S65/'# Yrs of Data'!D57</f>
        <v>0.66666666666666663</v>
      </c>
      <c r="U65" s="2">
        <f t="shared" si="16"/>
        <v>23</v>
      </c>
      <c r="V65" s="35">
        <f>+U65/'# Yrs of Data'!D57</f>
        <v>0.42592592592592593</v>
      </c>
      <c r="W65" s="1" t="s">
        <v>1357</v>
      </c>
    </row>
    <row r="66" spans="2:24">
      <c r="B66" s="234">
        <f t="shared" si="10"/>
        <v>2004</v>
      </c>
      <c r="C66" s="236">
        <f>(COUNTIF('Database - Tornado Segments'!$V$8:$V$2008, "2004F0"))</f>
        <v>13</v>
      </c>
      <c r="D66" s="236">
        <f>(COUNTIF('Database - Tornado Segments'!$V$8:$V$2008, "2004F1"))</f>
        <v>1</v>
      </c>
      <c r="E66" s="236">
        <f>(COUNTIF('Database - Tornado Segments'!$V$8:$V$2008, "2004F2"))</f>
        <v>0</v>
      </c>
      <c r="F66" s="236">
        <f>(COUNTIF('Database - Tornado Segments'!$V$8:$V$2008, "2004F3"))</f>
        <v>0</v>
      </c>
      <c r="G66" s="236">
        <f>(COUNTIF('Database - Tornado Segments'!$V$8:$V$2008, "2004F4"))</f>
        <v>0</v>
      </c>
      <c r="H66" s="236">
        <f>(COUNTIF('Database - Tornado Segments'!$V$8:$V$2008, "2004F5"))</f>
        <v>0</v>
      </c>
      <c r="I66" s="240">
        <f t="shared" si="9"/>
        <v>14</v>
      </c>
      <c r="J66" s="236">
        <f t="shared" si="17"/>
        <v>23.6</v>
      </c>
      <c r="K66" s="240">
        <f t="shared" si="11"/>
        <v>904</v>
      </c>
      <c r="L66" s="226">
        <f>K66/'# Yrs of Data'!D58</f>
        <v>16.436363636363637</v>
      </c>
      <c r="M66" s="2">
        <f t="shared" si="12"/>
        <v>535</v>
      </c>
      <c r="N66" s="35">
        <f>+M66/'# Yrs of Data'!D58</f>
        <v>9.7272727272727266</v>
      </c>
      <c r="O66" s="2">
        <f t="shared" si="13"/>
        <v>201</v>
      </c>
      <c r="P66" s="35">
        <f>+O66/'# Yrs of Data'!D58</f>
        <v>3.6545454545454548</v>
      </c>
      <c r="Q66" s="2">
        <f t="shared" si="14"/>
        <v>109</v>
      </c>
      <c r="R66" s="35">
        <f>+Q66/'# Yrs of Data'!D58</f>
        <v>1.9818181818181819</v>
      </c>
      <c r="S66" s="2">
        <f t="shared" si="15"/>
        <v>36</v>
      </c>
      <c r="T66" s="35">
        <f>+S66/'# Yrs of Data'!D58</f>
        <v>0.65454545454545454</v>
      </c>
      <c r="U66" s="2">
        <f t="shared" si="16"/>
        <v>23</v>
      </c>
      <c r="V66" s="35">
        <f>+U66/'# Yrs of Data'!D58</f>
        <v>0.41818181818181815</v>
      </c>
      <c r="W66" t="s">
        <v>549</v>
      </c>
      <c r="X66"/>
    </row>
    <row r="67" spans="2:24">
      <c r="B67" s="234">
        <f t="shared" si="10"/>
        <v>2005</v>
      </c>
      <c r="C67" s="236">
        <f>(COUNTIF('Database - Tornado Segments'!$V$8:$V$2008, "2005F0"))</f>
        <v>15</v>
      </c>
      <c r="D67" s="236">
        <f>(COUNTIF('Database - Tornado Segments'!$V$8:$V$2008, "2005F1"))</f>
        <v>0</v>
      </c>
      <c r="E67" s="236">
        <f>(COUNTIF('Database - Tornado Segments'!$V$8:$V$2008, "2005F2"))</f>
        <v>0</v>
      </c>
      <c r="F67" s="236">
        <f>(COUNTIF('Database - Tornado Segments'!$V$8:$V$2008, "2005F3"))</f>
        <v>0</v>
      </c>
      <c r="G67" s="236">
        <f>(COUNTIF('Database - Tornado Segments'!$V$8:$V$2008, "2005F4"))</f>
        <v>0</v>
      </c>
      <c r="H67" s="236">
        <f>(COUNTIF('Database - Tornado Segments'!$V$8:$V$2008, "2005F5"))</f>
        <v>0</v>
      </c>
      <c r="I67" s="240">
        <f t="shared" si="9"/>
        <v>15</v>
      </c>
      <c r="J67" s="236">
        <f t="shared" si="17"/>
        <v>20.7</v>
      </c>
      <c r="K67" s="240">
        <f t="shared" si="11"/>
        <v>919</v>
      </c>
      <c r="L67" s="226">
        <f>K67/'# Yrs of Data'!D59</f>
        <v>16.410714285714285</v>
      </c>
      <c r="M67" s="2">
        <f t="shared" si="12"/>
        <v>550</v>
      </c>
      <c r="N67" s="35">
        <f>+M67/'# Yrs of Data'!D59</f>
        <v>9.8214285714285712</v>
      </c>
      <c r="O67" s="2">
        <f t="shared" si="13"/>
        <v>201</v>
      </c>
      <c r="P67" s="35">
        <f>+O67/'# Yrs of Data'!D59</f>
        <v>3.5892857142857144</v>
      </c>
      <c r="Q67" s="2">
        <f t="shared" si="14"/>
        <v>109</v>
      </c>
      <c r="R67" s="35">
        <f>+Q67/'# Yrs of Data'!D59</f>
        <v>1.9464285714285714</v>
      </c>
      <c r="S67" s="2">
        <f t="shared" si="15"/>
        <v>36</v>
      </c>
      <c r="T67" s="35">
        <f>+S67/'# Yrs of Data'!D59</f>
        <v>0.6428571428571429</v>
      </c>
      <c r="U67" s="2">
        <f t="shared" si="16"/>
        <v>23</v>
      </c>
      <c r="V67" s="35">
        <f>+U67/'# Yrs of Data'!D59</f>
        <v>0.4107142857142857</v>
      </c>
      <c r="W67" t="s">
        <v>1357</v>
      </c>
      <c r="X67"/>
    </row>
    <row r="68" spans="2:24">
      <c r="B68" s="234">
        <f t="shared" si="10"/>
        <v>2006</v>
      </c>
      <c r="C68" s="236">
        <f>(COUNTIF('Database - Tornado Segments'!$V$8:$V$2008, "2006F0"))</f>
        <v>12</v>
      </c>
      <c r="D68" s="236">
        <f>(COUNTIF('Database - Tornado Segments'!$V$8:$V$2008, "2006F1"))</f>
        <v>1</v>
      </c>
      <c r="E68" s="236">
        <f>(COUNTIF('Database - Tornado Segments'!$V$8:$V$2008, "2006F2"))</f>
        <v>0</v>
      </c>
      <c r="F68" s="236">
        <f>(COUNTIF('Database - Tornado Segments'!$V$8:$V$2008, "2006F3"))</f>
        <v>0</v>
      </c>
      <c r="G68" s="236">
        <f>(COUNTIF('Database - Tornado Segments'!$V$8:$V$2008, "2006F4"))</f>
        <v>0</v>
      </c>
      <c r="H68" s="236">
        <f>(COUNTIF('Database - Tornado Segments'!$V$8:$V$2008, "2006F5"))</f>
        <v>0</v>
      </c>
      <c r="I68" s="240">
        <f t="shared" si="9"/>
        <v>13</v>
      </c>
      <c r="J68" s="236">
        <f t="shared" si="17"/>
        <v>18.5</v>
      </c>
      <c r="K68" s="240">
        <f t="shared" si="11"/>
        <v>932</v>
      </c>
      <c r="L68" s="226">
        <f>K68/'# Yrs of Data'!D60</f>
        <v>16.350877192982455</v>
      </c>
      <c r="M68" s="2">
        <f t="shared" si="12"/>
        <v>562</v>
      </c>
      <c r="N68" s="35">
        <f>+M68/'# Yrs of Data'!D60</f>
        <v>9.8596491228070171</v>
      </c>
      <c r="O68" s="2">
        <f t="shared" si="13"/>
        <v>202</v>
      </c>
      <c r="P68" s="35">
        <f>+O68/'# Yrs of Data'!D60</f>
        <v>3.5438596491228069</v>
      </c>
      <c r="Q68" s="2">
        <f t="shared" si="14"/>
        <v>109</v>
      </c>
      <c r="R68" s="35">
        <f>+Q68/'# Yrs of Data'!D60</f>
        <v>1.9122807017543859</v>
      </c>
      <c r="S68" s="2">
        <f t="shared" si="15"/>
        <v>36</v>
      </c>
      <c r="T68" s="35">
        <f>+S68/'# Yrs of Data'!D60</f>
        <v>0.63157894736842102</v>
      </c>
      <c r="U68" s="2">
        <f t="shared" si="16"/>
        <v>23</v>
      </c>
      <c r="V68" s="35">
        <f>+U68/'# Yrs of Data'!D60</f>
        <v>0.40350877192982454</v>
      </c>
      <c r="W68" s="1" t="s">
        <v>1339</v>
      </c>
    </row>
    <row r="69" spans="2:24">
      <c r="B69" s="234">
        <f t="shared" si="10"/>
        <v>2007</v>
      </c>
      <c r="C69" s="236">
        <f>(COUNTIF('Database - Tornado Segments'!$V$8:$V$2008, "2007EF0"))</f>
        <v>30</v>
      </c>
      <c r="D69" s="236">
        <f>(COUNTIF('Database - Tornado Segments'!$V$8:$V$2008, "2007EF1"))</f>
        <v>18</v>
      </c>
      <c r="E69" s="236">
        <f>(COUNTIF('Database - Tornado Segments'!$V$8:$V$2008, "2007EF2"))</f>
        <v>13</v>
      </c>
      <c r="F69" s="236">
        <f>(COUNTIF('Database - Tornado Segments'!$V$8:$V$2008, "2007EF3"))</f>
        <v>4</v>
      </c>
      <c r="G69" s="236">
        <f>(COUNTIF('Database - Tornado Segments'!$V$8:$V$2008, "2007EF4"))</f>
        <v>0</v>
      </c>
      <c r="H69" s="236">
        <f>(COUNTIF('Database - Tornado Segments'!$V$8:$V$2008, "2007EF5"))</f>
        <v>0</v>
      </c>
      <c r="I69" s="240">
        <f t="shared" si="9"/>
        <v>65</v>
      </c>
      <c r="J69" s="236">
        <f t="shared" si="17"/>
        <v>22.1</v>
      </c>
      <c r="K69" s="240">
        <f t="shared" si="11"/>
        <v>997</v>
      </c>
      <c r="L69" s="226">
        <f>K69/'# Yrs of Data'!D61</f>
        <v>17.189655172413794</v>
      </c>
      <c r="M69" s="2">
        <f t="shared" si="12"/>
        <v>592</v>
      </c>
      <c r="N69" s="35">
        <f>+M69/'# Yrs of Data'!D61</f>
        <v>10.206896551724139</v>
      </c>
      <c r="O69" s="2">
        <f t="shared" si="13"/>
        <v>220</v>
      </c>
      <c r="P69" s="35">
        <f>+O69/'# Yrs of Data'!D61</f>
        <v>3.7931034482758621</v>
      </c>
      <c r="Q69" s="2">
        <f t="shared" si="14"/>
        <v>122</v>
      </c>
      <c r="R69" s="35">
        <f>+Q69/'# Yrs of Data'!D61</f>
        <v>2.103448275862069</v>
      </c>
      <c r="S69" s="2">
        <f t="shared" si="15"/>
        <v>40</v>
      </c>
      <c r="T69" s="35">
        <f>+S69/'# Yrs of Data'!D61</f>
        <v>0.68965517241379315</v>
      </c>
      <c r="U69" s="2">
        <f t="shared" si="16"/>
        <v>23</v>
      </c>
      <c r="V69" s="35">
        <f>+U69/'# Yrs of Data'!D61</f>
        <v>0.39655172413793105</v>
      </c>
      <c r="W69" s="1" t="s">
        <v>1357</v>
      </c>
    </row>
    <row r="70" spans="2:24">
      <c r="B70" s="234">
        <f t="shared" si="10"/>
        <v>2008</v>
      </c>
      <c r="C70" s="236">
        <f>(COUNTIF('Database - Tornado Segments'!$V$8:$V$2008, "2008EF0"))</f>
        <v>11</v>
      </c>
      <c r="D70" s="236">
        <f>(COUNTIF('Database - Tornado Segments'!$V$8:$V$2008, "2008EF1"))</f>
        <v>0</v>
      </c>
      <c r="E70" s="236">
        <f>(COUNTIF('Database - Tornado Segments'!$V$8:$V$2008, "2008EF2"))</f>
        <v>1</v>
      </c>
      <c r="F70" s="236">
        <f>(COUNTIF('Database - Tornado Segments'!$V$8:$V$2008, "2008EF3"))</f>
        <v>0</v>
      </c>
      <c r="G70" s="236">
        <f>(COUNTIF('Database - Tornado Segments'!$V$8:$V$2008, "2008EF4"))</f>
        <v>0</v>
      </c>
      <c r="H70" s="236">
        <f>(COUNTIF('Database - Tornado Segments'!$V$8:$V$2008, "2008EF5"))</f>
        <v>0</v>
      </c>
      <c r="I70" s="240">
        <f t="shared" si="9"/>
        <v>12</v>
      </c>
      <c r="J70" s="236">
        <f t="shared" si="17"/>
        <v>23.1</v>
      </c>
      <c r="K70" s="240">
        <f t="shared" si="11"/>
        <v>1009</v>
      </c>
      <c r="L70" s="226">
        <f>K70/'# Yrs of Data'!D62</f>
        <v>17.101694915254239</v>
      </c>
      <c r="M70" s="2">
        <f t="shared" si="12"/>
        <v>603</v>
      </c>
      <c r="N70" s="35">
        <f>+M70/'# Yrs of Data'!D62</f>
        <v>10.220338983050848</v>
      </c>
      <c r="O70" s="2">
        <f t="shared" si="13"/>
        <v>220</v>
      </c>
      <c r="P70" s="35">
        <f>+O70/'# Yrs of Data'!D62</f>
        <v>3.7288135593220337</v>
      </c>
      <c r="Q70" s="2">
        <f t="shared" si="14"/>
        <v>123</v>
      </c>
      <c r="R70" s="35">
        <f>+Q70/'# Yrs of Data'!D62</f>
        <v>2.0847457627118646</v>
      </c>
      <c r="S70" s="2">
        <f t="shared" si="15"/>
        <v>40</v>
      </c>
      <c r="T70" s="35">
        <f>+S70/'# Yrs of Data'!D62</f>
        <v>0.67796610169491522</v>
      </c>
      <c r="U70" s="2">
        <f t="shared" si="16"/>
        <v>23</v>
      </c>
      <c r="V70" s="35">
        <f>+U70/'# Yrs of Data'!D62</f>
        <v>0.38983050847457629</v>
      </c>
      <c r="W70" t="s">
        <v>1337</v>
      </c>
      <c r="X70"/>
    </row>
    <row r="71" spans="2:24">
      <c r="B71" s="234">
        <f t="shared" si="10"/>
        <v>2009</v>
      </c>
      <c r="C71" s="236">
        <f>(COUNTIF('Database - Tornado Segments'!$V$8:$V$2008, "2009EF0"))</f>
        <v>10</v>
      </c>
      <c r="D71" s="236">
        <f>(COUNTIF('Database - Tornado Segments'!$V$8:$V$2008, "2009EF1"))</f>
        <v>2</v>
      </c>
      <c r="E71" s="236">
        <f>(COUNTIF('Database - Tornado Segments'!$V$8:$V$2008, "2009EF2"))</f>
        <v>1</v>
      </c>
      <c r="F71" s="236">
        <f>(COUNTIF('Database - Tornado Segments'!$V$8:$V$2008, "2009EF3"))</f>
        <v>0</v>
      </c>
      <c r="G71" s="236">
        <f>(COUNTIF('Database - Tornado Segments'!$V$8:$V$2008, "2009EF4"))</f>
        <v>0</v>
      </c>
      <c r="H71" s="236">
        <f>(COUNTIF('Database - Tornado Segments'!$V$8:$V$2008, "2009EF5"))</f>
        <v>0</v>
      </c>
      <c r="I71" s="240">
        <f t="shared" si="9"/>
        <v>13</v>
      </c>
      <c r="J71" s="236">
        <f t="shared" si="17"/>
        <v>21.9</v>
      </c>
      <c r="K71" s="240">
        <f t="shared" si="11"/>
        <v>1022</v>
      </c>
      <c r="L71" s="226">
        <f>K71/'# Yrs of Data'!D63</f>
        <v>17.033333333333335</v>
      </c>
      <c r="M71" s="2">
        <f t="shared" si="12"/>
        <v>613</v>
      </c>
      <c r="N71" s="35">
        <f>+M71/'# Yrs of Data'!D63</f>
        <v>10.216666666666667</v>
      </c>
      <c r="O71" s="2">
        <f t="shared" si="13"/>
        <v>222</v>
      </c>
      <c r="P71" s="35">
        <f>+O71/'# Yrs of Data'!D63</f>
        <v>3.7</v>
      </c>
      <c r="Q71" s="2">
        <f t="shared" si="14"/>
        <v>124</v>
      </c>
      <c r="R71" s="35">
        <f>+Q71/'# Yrs of Data'!D63</f>
        <v>2.0666666666666669</v>
      </c>
      <c r="S71" s="2">
        <f t="shared" si="15"/>
        <v>40</v>
      </c>
      <c r="T71" s="35">
        <f>+S71/'# Yrs of Data'!D63</f>
        <v>0.66666666666666663</v>
      </c>
      <c r="U71" s="2">
        <f t="shared" si="16"/>
        <v>23</v>
      </c>
      <c r="V71" s="35">
        <f>+U71/'# Yrs of Data'!D63</f>
        <v>0.38333333333333336</v>
      </c>
      <c r="W71" s="1" t="s">
        <v>1333</v>
      </c>
    </row>
    <row r="72" spans="2:24">
      <c r="B72" s="234">
        <f t="shared" si="10"/>
        <v>2010</v>
      </c>
      <c r="C72" s="236">
        <f>(COUNTIF('Database - Tornado Segments'!$V$8:$V$2008, "2010EF0"))</f>
        <v>34</v>
      </c>
      <c r="D72" s="236">
        <f>(COUNTIF('Database - Tornado Segments'!$V$8:$V$2008, "2010EF1"))</f>
        <v>3</v>
      </c>
      <c r="E72" s="236">
        <f>(COUNTIF('Database - Tornado Segments'!$V$8:$V$2008, "2010EF2"))</f>
        <v>1</v>
      </c>
      <c r="F72" s="236">
        <f>(COUNTIF('Database - Tornado Segments'!$V$8:$V$2008, "2010EF3"))</f>
        <v>0</v>
      </c>
      <c r="G72" s="236">
        <f>(COUNTIF('Database - Tornado Segments'!$V$8:$V$2008, "2010EF4"))</f>
        <v>0</v>
      </c>
      <c r="H72" s="236">
        <f>(COUNTIF('Database - Tornado Segments'!$V$8:$V$2008, "2010EF5"))</f>
        <v>0</v>
      </c>
      <c r="I72" s="240">
        <f t="shared" si="9"/>
        <v>38</v>
      </c>
      <c r="J72" s="236">
        <f t="shared" si="17"/>
        <v>24.8</v>
      </c>
      <c r="K72" s="240">
        <f t="shared" si="11"/>
        <v>1060</v>
      </c>
      <c r="L72" s="226">
        <f>K72/'# Yrs of Data'!D64</f>
        <v>17.377049180327869</v>
      </c>
      <c r="M72" s="2">
        <f t="shared" si="12"/>
        <v>647</v>
      </c>
      <c r="N72" s="35">
        <f>+M72/'# Yrs of Data'!D64</f>
        <v>10.60655737704918</v>
      </c>
      <c r="O72" s="2">
        <f t="shared" si="13"/>
        <v>225</v>
      </c>
      <c r="P72" s="35">
        <f>+O72/'# Yrs of Data'!D64</f>
        <v>3.6885245901639343</v>
      </c>
      <c r="Q72" s="2">
        <f t="shared" si="14"/>
        <v>125</v>
      </c>
      <c r="R72" s="35">
        <f>+Q72/'# Yrs of Data'!D64</f>
        <v>2.0491803278688523</v>
      </c>
      <c r="S72" s="2">
        <f t="shared" si="15"/>
        <v>40</v>
      </c>
      <c r="T72" s="35">
        <f>+S72/'# Yrs of Data'!D64</f>
        <v>0.65573770491803274</v>
      </c>
      <c r="U72" s="2">
        <f t="shared" si="16"/>
        <v>23</v>
      </c>
      <c r="V72" s="35">
        <f>+U72/'# Yrs of Data'!D64</f>
        <v>0.37704918032786883</v>
      </c>
      <c r="W72" s="1" t="s">
        <v>1347</v>
      </c>
    </row>
    <row r="73" spans="2:24">
      <c r="B73" s="234">
        <f t="shared" si="10"/>
        <v>2011</v>
      </c>
      <c r="C73" s="236">
        <f>(COUNTIF('Database - Tornado Segments'!$V$8:$V$2008, "2011EF0"))</f>
        <v>4</v>
      </c>
      <c r="D73" s="236">
        <f>(COUNTIF('Database - Tornado Segments'!$V$8:$V$2008, "2011EF1"))</f>
        <v>0</v>
      </c>
      <c r="E73" s="236">
        <f>(COUNTIF('Database - Tornado Segments'!$V$8:$V$2008, "2011EF2"))</f>
        <v>0</v>
      </c>
      <c r="F73" s="236">
        <f>(COUNTIF('Database - Tornado Segments'!$V$8:$V$2008, "2011EF3"))</f>
        <v>0</v>
      </c>
      <c r="G73" s="236">
        <f>(COUNTIF('Database - Tornado Segments'!$V$8:$V$2008, "2011EF4"))</f>
        <v>0</v>
      </c>
      <c r="H73" s="236">
        <f>(COUNTIF('Database - Tornado Segments'!$V$8:$V$2008, "2011EF5"))</f>
        <v>0</v>
      </c>
      <c r="I73" s="240">
        <f t="shared" si="9"/>
        <v>4</v>
      </c>
      <c r="J73" s="236">
        <f t="shared" si="17"/>
        <v>23</v>
      </c>
      <c r="K73" s="240">
        <f t="shared" si="11"/>
        <v>1064</v>
      </c>
      <c r="L73" s="226">
        <f>K73/'# Yrs of Data'!D65</f>
        <v>17.161290322580644</v>
      </c>
      <c r="M73" s="2">
        <f t="shared" si="12"/>
        <v>651</v>
      </c>
      <c r="N73" s="35">
        <f>+M73/'# Yrs of Data'!D65</f>
        <v>10.5</v>
      </c>
      <c r="O73" s="2">
        <f t="shared" si="13"/>
        <v>225</v>
      </c>
      <c r="P73" s="35">
        <f>+O73/'# Yrs of Data'!D65</f>
        <v>3.629032258064516</v>
      </c>
      <c r="Q73" s="2">
        <f t="shared" si="14"/>
        <v>125</v>
      </c>
      <c r="R73" s="35">
        <f>+Q73/'# Yrs of Data'!D65</f>
        <v>2.0161290322580645</v>
      </c>
      <c r="S73" s="2">
        <f t="shared" si="15"/>
        <v>40</v>
      </c>
      <c r="T73" s="35">
        <f>+S73/'# Yrs of Data'!D65</f>
        <v>0.64516129032258063</v>
      </c>
      <c r="U73" s="2">
        <f t="shared" si="16"/>
        <v>23</v>
      </c>
      <c r="V73" s="35">
        <f>+U73/'# Yrs of Data'!D65</f>
        <v>0.37096774193548387</v>
      </c>
      <c r="W73" s="1" t="s">
        <v>1340</v>
      </c>
    </row>
    <row r="74" spans="2:24">
      <c r="B74" s="234">
        <f t="shared" si="10"/>
        <v>2012</v>
      </c>
      <c r="C74" s="236">
        <f>(COUNTIF('Database - Tornado Segments'!$V$8:$V$2008, "2012EF0"))</f>
        <v>7</v>
      </c>
      <c r="D74" s="236">
        <f>(COUNTIF('Database - Tornado Segments'!$V$8:$V$2008, "2012EF1"))</f>
        <v>1</v>
      </c>
      <c r="E74" s="236">
        <f>(COUNTIF('Database - Tornado Segments'!$V$8:$V$2008, "2012EF2"))</f>
        <v>0</v>
      </c>
      <c r="F74" s="236">
        <f>(COUNTIF('Database - Tornado Segments'!$V$8:$V$2008, "2012EF3"))</f>
        <v>0</v>
      </c>
      <c r="G74" s="236">
        <f>(COUNTIF('Database - Tornado Segments'!$V$8:$V$2008, "2012EF4"))</f>
        <v>0</v>
      </c>
      <c r="H74" s="236">
        <f>(COUNTIF('Database - Tornado Segments'!$V$8:$V$2008, "2012EF5"))</f>
        <v>0</v>
      </c>
      <c r="I74" s="240">
        <f t="shared" si="9"/>
        <v>8</v>
      </c>
      <c r="J74" s="236">
        <f t="shared" si="17"/>
        <v>21.5</v>
      </c>
      <c r="K74" s="240">
        <f t="shared" si="11"/>
        <v>1072</v>
      </c>
      <c r="L74" s="226">
        <f>K74/'# Yrs of Data'!D66</f>
        <v>17.015873015873016</v>
      </c>
      <c r="M74" s="2">
        <f t="shared" si="12"/>
        <v>658</v>
      </c>
      <c r="N74" s="35">
        <f>+M74/'# Yrs of Data'!D66</f>
        <v>10.444444444444445</v>
      </c>
      <c r="O74" s="2">
        <f t="shared" si="13"/>
        <v>226</v>
      </c>
      <c r="P74" s="35">
        <f>+O74/'# Yrs of Data'!D66</f>
        <v>3.5873015873015874</v>
      </c>
      <c r="Q74" s="2">
        <f t="shared" si="14"/>
        <v>125</v>
      </c>
      <c r="R74" s="35">
        <f>+Q74/'# Yrs of Data'!D66</f>
        <v>1.9841269841269842</v>
      </c>
      <c r="S74" s="2">
        <f t="shared" si="15"/>
        <v>40</v>
      </c>
      <c r="T74" s="35">
        <f>+S74/'# Yrs of Data'!D66</f>
        <v>0.63492063492063489</v>
      </c>
      <c r="U74" s="2">
        <f t="shared" si="16"/>
        <v>23</v>
      </c>
      <c r="V74" s="35">
        <f>+U74/'# Yrs of Data'!D66</f>
        <v>0.36507936507936506</v>
      </c>
      <c r="W74" s="865" t="s">
        <v>1341</v>
      </c>
      <c r="X74" s="665"/>
    </row>
    <row r="75" spans="2:24">
      <c r="B75" s="234">
        <f t="shared" si="10"/>
        <v>2013</v>
      </c>
      <c r="C75" s="236">
        <f>(COUNTIF('Database - Tornado Segments'!$V$8:$V$2008, "2013EF0"))</f>
        <v>7</v>
      </c>
      <c r="D75" s="236">
        <f>(COUNTIF('Database - Tornado Segments'!$V$8:$V$2008, "2013EF1"))</f>
        <v>0</v>
      </c>
      <c r="E75" s="236">
        <f>(COUNTIF('Database - Tornado Segments'!$V$8:$V$2008, "2013EF2"))</f>
        <v>0</v>
      </c>
      <c r="F75" s="236">
        <f>(COUNTIF('Database - Tornado Segments'!$V$8:$V$2008, "2013EF3"))</f>
        <v>0</v>
      </c>
      <c r="G75" s="236">
        <f>(COUNTIF('Database - Tornado Segments'!$V$8:$V$2008, "2013EF4"))</f>
        <v>0</v>
      </c>
      <c r="H75" s="236">
        <f>(COUNTIF('Database - Tornado Segments'!$V$8:$V$2008, "2013EF5"))</f>
        <v>0</v>
      </c>
      <c r="I75" s="240">
        <f t="shared" si="9"/>
        <v>7</v>
      </c>
      <c r="J75" s="236">
        <f t="shared" si="17"/>
        <v>18.899999999999999</v>
      </c>
      <c r="K75" s="240">
        <f t="shared" si="11"/>
        <v>1079</v>
      </c>
      <c r="L75" s="226">
        <f>K75/'# Yrs of Data'!D67</f>
        <v>16.859375</v>
      </c>
      <c r="M75" s="2">
        <f t="shared" si="12"/>
        <v>665</v>
      </c>
      <c r="N75" s="35">
        <f>+M75/'# Yrs of Data'!D67</f>
        <v>10.390625</v>
      </c>
      <c r="O75" s="2">
        <f t="shared" ref="O75:O98" si="18">+O74+D75</f>
        <v>226</v>
      </c>
      <c r="P75" s="35">
        <f>+O75/'# Yrs of Data'!D67</f>
        <v>3.53125</v>
      </c>
      <c r="Q75" s="2">
        <f t="shared" ref="Q75:Q98" si="19">+Q74+E75</f>
        <v>125</v>
      </c>
      <c r="R75" s="35">
        <f>+Q75/'# Yrs of Data'!D67</f>
        <v>1.953125</v>
      </c>
      <c r="S75" s="2">
        <f t="shared" ref="S75:S98" si="20">+S74+F75</f>
        <v>40</v>
      </c>
      <c r="T75" s="35">
        <f>+S75/'# Yrs of Data'!D67</f>
        <v>0.625</v>
      </c>
      <c r="U75" s="2">
        <f t="shared" ref="U75:U98" si="21">+U74+G75</f>
        <v>23</v>
      </c>
      <c r="V75" s="35">
        <f>+U75/'# Yrs of Data'!D67</f>
        <v>0.359375</v>
      </c>
      <c r="W75" t="s">
        <v>549</v>
      </c>
      <c r="X75"/>
    </row>
    <row r="76" spans="2:24">
      <c r="B76" s="234">
        <f t="shared" si="10"/>
        <v>2014</v>
      </c>
      <c r="C76" s="236">
        <f>(COUNTIF('Database - Tornado Segments'!$V$8:$V$2008, "2014EF0"))</f>
        <v>9</v>
      </c>
      <c r="D76" s="236">
        <f>(COUNTIF('Database - Tornado Segments'!$V$8:$V$2008, "2014EF1"))</f>
        <v>4</v>
      </c>
      <c r="E76" s="236">
        <f>(COUNTIF('Database - Tornado Segments'!$V$8:$V$2008, "2014EF2"))</f>
        <v>0</v>
      </c>
      <c r="F76" s="236">
        <f>(COUNTIF('Database - Tornado Segments'!$V$8:$V$2008, "2014EF3"))</f>
        <v>0</v>
      </c>
      <c r="G76" s="236">
        <f>(COUNTIF('Database - Tornado Segments'!$V$8:$V$2008, "2014EF4"))</f>
        <v>0</v>
      </c>
      <c r="H76" s="236">
        <f>(COUNTIF('Database - Tornado Segments'!$V$8:$V$2008, "2014EF5"))</f>
        <v>0</v>
      </c>
      <c r="I76" s="240">
        <f>SUM(C76:H76)</f>
        <v>13</v>
      </c>
      <c r="J76" s="236">
        <f t="shared" si="17"/>
        <v>18.8</v>
      </c>
      <c r="K76" s="240">
        <f t="shared" si="11"/>
        <v>1092</v>
      </c>
      <c r="L76" s="226">
        <f>K76/'# Yrs of Data'!D68</f>
        <v>16.8</v>
      </c>
      <c r="M76" s="2">
        <f t="shared" si="12"/>
        <v>674</v>
      </c>
      <c r="N76" s="35">
        <f>+M76/'# Yrs of Data'!D68</f>
        <v>10.36923076923077</v>
      </c>
      <c r="O76" s="2">
        <f t="shared" si="18"/>
        <v>230</v>
      </c>
      <c r="P76" s="35">
        <f>+O76/'# Yrs of Data'!D68</f>
        <v>3.5384615384615383</v>
      </c>
      <c r="Q76" s="2">
        <f t="shared" si="19"/>
        <v>125</v>
      </c>
      <c r="R76" s="35">
        <f>+Q76/'# Yrs of Data'!D68</f>
        <v>1.9230769230769231</v>
      </c>
      <c r="S76" s="2">
        <f t="shared" si="20"/>
        <v>40</v>
      </c>
      <c r="T76" s="35">
        <f>+S76/'# Yrs of Data'!D68</f>
        <v>0.61538461538461542</v>
      </c>
      <c r="U76" s="2">
        <f t="shared" si="21"/>
        <v>23</v>
      </c>
      <c r="V76" s="35">
        <f>+U76/'# Yrs of Data'!D68</f>
        <v>0.35384615384615387</v>
      </c>
      <c r="W76" s="1" t="s">
        <v>549</v>
      </c>
    </row>
    <row r="77" spans="2:24">
      <c r="B77" s="234">
        <f t="shared" si="10"/>
        <v>2015</v>
      </c>
      <c r="C77" s="236">
        <f>(COUNTIF('Database - Tornado Segments'!$V$8:$V$2008, "2015EF0"))</f>
        <v>23</v>
      </c>
      <c r="D77" s="236">
        <f>(COUNTIF('Database - Tornado Segments'!$V$8:$V$2008, "2015EF1"))</f>
        <v>13</v>
      </c>
      <c r="E77" s="236">
        <f>(COUNTIF('Database - Tornado Segments'!$V$8:$V$2008, "2015EF2"))</f>
        <v>3</v>
      </c>
      <c r="F77" s="236">
        <f>(COUNTIF('Database - Tornado Segments'!$V$8:$V$2008, "2015EF3"))</f>
        <v>3</v>
      </c>
      <c r="G77" s="236">
        <f>(COUNTIF('Database - Tornado Segments'!$V$8:$V$2008, "2015EF4"))</f>
        <v>0</v>
      </c>
      <c r="H77" s="236">
        <f>(COUNTIF('Database - Tornado Segments'!$V$8:$V$2008, "2015EF5"))</f>
        <v>0</v>
      </c>
      <c r="I77" s="240">
        <f>SUM(C77:H77)</f>
        <v>42</v>
      </c>
      <c r="J77" s="236">
        <f t="shared" si="17"/>
        <v>21.5</v>
      </c>
      <c r="K77" s="240">
        <f t="shared" si="11"/>
        <v>1134</v>
      </c>
      <c r="L77" s="226">
        <f>K77/'# Yrs of Data'!D69</f>
        <v>17.181818181818183</v>
      </c>
      <c r="M77" s="2">
        <f t="shared" si="12"/>
        <v>697</v>
      </c>
      <c r="N77" s="35">
        <f>+M77/'# Yrs of Data'!D69</f>
        <v>10.560606060606061</v>
      </c>
      <c r="O77" s="2">
        <f t="shared" si="18"/>
        <v>243</v>
      </c>
      <c r="P77" s="35">
        <f>+O77/'# Yrs of Data'!D69</f>
        <v>3.6818181818181817</v>
      </c>
      <c r="Q77" s="2">
        <f t="shared" si="19"/>
        <v>128</v>
      </c>
      <c r="R77" s="35">
        <f>+Q77/'# Yrs of Data'!D69</f>
        <v>1.9393939393939394</v>
      </c>
      <c r="S77" s="2">
        <f t="shared" si="20"/>
        <v>43</v>
      </c>
      <c r="T77" s="35">
        <f>+S77/'# Yrs of Data'!D69</f>
        <v>0.65151515151515149</v>
      </c>
      <c r="U77" s="2">
        <f t="shared" si="21"/>
        <v>23</v>
      </c>
      <c r="V77" s="35">
        <f>+U77/'# Yrs of Data'!D69</f>
        <v>0.34848484848484851</v>
      </c>
      <c r="W77" t="s">
        <v>1358</v>
      </c>
      <c r="X77"/>
    </row>
    <row r="78" spans="2:24">
      <c r="B78" s="234">
        <f t="shared" si="10"/>
        <v>2016</v>
      </c>
      <c r="C78" s="236">
        <f>(COUNTIF('Database - Tornado Segments'!$V$8:$V$2008, "2016EF0"))</f>
        <v>21</v>
      </c>
      <c r="D78" s="236">
        <f>(COUNTIF('Database - Tornado Segments'!$V$8:$V$2008, "2016EF1"))</f>
        <v>7</v>
      </c>
      <c r="E78" s="236">
        <f>(COUNTIF('Database - Tornado Segments'!$V$8:$V$2008, "2016EF2"))</f>
        <v>1</v>
      </c>
      <c r="F78" s="236">
        <f>(COUNTIF('Database - Tornado Segments'!$V$8:$V$2008, "2016EF3"))</f>
        <v>0</v>
      </c>
      <c r="G78" s="236">
        <f>(COUNTIF('Database - Tornado Segments'!$V$8:$V$2008, "2016EF4"))</f>
        <v>0</v>
      </c>
      <c r="H78" s="236">
        <f>(COUNTIF('Database - Tornado Segments'!$V$8:$V$2008, "2016EF5"))</f>
        <v>0</v>
      </c>
      <c r="I78" s="240">
        <f t="shared" ref="I78:I98" si="22">SUM(C78:H78)</f>
        <v>29</v>
      </c>
      <c r="J78" s="236">
        <f t="shared" ref="J78:J82" si="23">SUM(I69:I78)/10</f>
        <v>23.1</v>
      </c>
      <c r="K78" s="240">
        <f t="shared" ref="K78:K98" si="24">K77+I78</f>
        <v>1163</v>
      </c>
      <c r="L78" s="226">
        <f>K78/'# Yrs of Data'!D70</f>
        <v>17.35820895522388</v>
      </c>
      <c r="M78" s="2">
        <f t="shared" ref="M78:M98" si="25">+M77+C78</f>
        <v>718</v>
      </c>
      <c r="N78" s="35">
        <f>+M78/'# Yrs of Data'!D70</f>
        <v>10.716417910447761</v>
      </c>
      <c r="O78" s="2">
        <f t="shared" si="18"/>
        <v>250</v>
      </c>
      <c r="P78" s="35">
        <f>+O78/'# Yrs of Data'!D70</f>
        <v>3.7313432835820897</v>
      </c>
      <c r="Q78" s="2">
        <f t="shared" si="19"/>
        <v>129</v>
      </c>
      <c r="R78" s="35">
        <f>+Q78/'# Yrs of Data'!D70</f>
        <v>1.9253731343283582</v>
      </c>
      <c r="S78" s="2">
        <f t="shared" si="20"/>
        <v>43</v>
      </c>
      <c r="T78" s="35">
        <f>+S78/'# Yrs of Data'!D70</f>
        <v>0.64179104477611937</v>
      </c>
      <c r="U78" s="2">
        <f t="shared" si="21"/>
        <v>23</v>
      </c>
      <c r="V78" s="35">
        <f>+U78/'# Yrs of Data'!D70</f>
        <v>0.34328358208955223</v>
      </c>
      <c r="W78" t="s">
        <v>1356</v>
      </c>
      <c r="X78"/>
    </row>
    <row r="79" spans="2:24">
      <c r="B79" s="234">
        <f t="shared" si="10"/>
        <v>2017</v>
      </c>
      <c r="C79" s="236">
        <f>(COUNTIF('Database - Tornado Segments'!$V$8:$V$2008, "2017EF0"))</f>
        <v>9</v>
      </c>
      <c r="D79" s="236">
        <f>(COUNTIF('Database - Tornado Segments'!$V$8:$V$2008, "2017EF1"))</f>
        <v>3</v>
      </c>
      <c r="E79" s="236">
        <f>(COUNTIF('Database - Tornado Segments'!$V$8:$V$2008, "2017EF2"))</f>
        <v>1</v>
      </c>
      <c r="F79" s="236">
        <f>(COUNTIF('Database - Tornado Segments'!$V$8:$V$2008, "2017EF3"))</f>
        <v>0</v>
      </c>
      <c r="G79" s="236">
        <f>(COUNTIF('Database - Tornado Segments'!$V$8:$V$2008, "2017EF4"))</f>
        <v>0</v>
      </c>
      <c r="H79" s="236">
        <f>(COUNTIF('Database - Tornado Segments'!$V$8:$V$2008, "2017EF5"))</f>
        <v>0</v>
      </c>
      <c r="I79" s="240">
        <f t="shared" si="22"/>
        <v>13</v>
      </c>
      <c r="J79" s="236">
        <f t="shared" si="23"/>
        <v>17.899999999999999</v>
      </c>
      <c r="K79" s="240">
        <f t="shared" si="24"/>
        <v>1176</v>
      </c>
      <c r="L79" s="226">
        <f>K79/'# Yrs of Data'!D71</f>
        <v>17.294117647058822</v>
      </c>
      <c r="M79" s="2">
        <f t="shared" si="25"/>
        <v>727</v>
      </c>
      <c r="N79" s="35">
        <f>+M79/'# Yrs of Data'!D71</f>
        <v>10.691176470588236</v>
      </c>
      <c r="O79" s="2">
        <f t="shared" si="18"/>
        <v>253</v>
      </c>
      <c r="P79" s="35">
        <f>+O79/'# Yrs of Data'!D71</f>
        <v>3.7205882352941178</v>
      </c>
      <c r="Q79" s="2">
        <f t="shared" si="19"/>
        <v>130</v>
      </c>
      <c r="R79" s="35">
        <f>+Q79/'# Yrs of Data'!D71</f>
        <v>1.911764705882353</v>
      </c>
      <c r="S79" s="2">
        <f t="shared" si="20"/>
        <v>43</v>
      </c>
      <c r="T79" s="35">
        <f>+S79/'# Yrs of Data'!D71</f>
        <v>0.63235294117647056</v>
      </c>
      <c r="U79" s="2">
        <f t="shared" si="21"/>
        <v>23</v>
      </c>
      <c r="V79" s="35">
        <f>+U79/'# Yrs of Data'!D71</f>
        <v>0.33823529411764708</v>
      </c>
      <c r="W79" t="s">
        <v>549</v>
      </c>
      <c r="X79"/>
    </row>
    <row r="80" spans="2:24">
      <c r="B80" s="234">
        <f t="shared" si="10"/>
        <v>2018</v>
      </c>
      <c r="C80" s="236">
        <f>(COUNTIF('Database - Tornado Segments'!$V$8:$V$2008, "2018EF0"))</f>
        <v>8</v>
      </c>
      <c r="D80" s="236">
        <f>(COUNTIF('Database - Tornado Segments'!$V$8:$V$2008, "2018EF1"))</f>
        <v>2</v>
      </c>
      <c r="E80" s="236">
        <f>(COUNTIF('Database - Tornado Segments'!$V$8:$V$2008, "2018EF2"))</f>
        <v>0</v>
      </c>
      <c r="F80" s="236">
        <f>(COUNTIF('Database - Tornado Segments'!$V$8:$V$2008, "2018EF3"))</f>
        <v>0</v>
      </c>
      <c r="G80" s="236">
        <f>(COUNTIF('Database - Tornado Segments'!$V$8:$V$2008, "2018EF4"))</f>
        <v>0</v>
      </c>
      <c r="H80" s="236">
        <f>(COUNTIF('Database - Tornado Segments'!$V$8:$V$2008, "2018EF5"))</f>
        <v>0</v>
      </c>
      <c r="I80" s="240">
        <f t="shared" si="22"/>
        <v>10</v>
      </c>
      <c r="J80" s="236">
        <f t="shared" si="23"/>
        <v>17.7</v>
      </c>
      <c r="K80" s="240">
        <f t="shared" si="24"/>
        <v>1186</v>
      </c>
      <c r="L80" s="226">
        <f>K80/'# Yrs of Data'!D72</f>
        <v>17.188405797101449</v>
      </c>
      <c r="M80" s="2">
        <f t="shared" si="25"/>
        <v>735</v>
      </c>
      <c r="N80" s="35">
        <f>+M80/'# Yrs of Data'!D72</f>
        <v>10.652173913043478</v>
      </c>
      <c r="O80" s="2">
        <f t="shared" si="18"/>
        <v>255</v>
      </c>
      <c r="P80" s="35">
        <f>+O80/'# Yrs of Data'!D72</f>
        <v>3.6956521739130435</v>
      </c>
      <c r="Q80" s="2">
        <f t="shared" si="19"/>
        <v>130</v>
      </c>
      <c r="R80" s="35">
        <f>+Q80/'# Yrs of Data'!D72</f>
        <v>1.8840579710144927</v>
      </c>
      <c r="S80" s="2">
        <f t="shared" si="20"/>
        <v>43</v>
      </c>
      <c r="T80" s="35">
        <f>+S80/'# Yrs of Data'!D72</f>
        <v>0.62318840579710144</v>
      </c>
      <c r="U80" s="2">
        <f t="shared" si="21"/>
        <v>23</v>
      </c>
      <c r="V80" s="35">
        <f>+U80/'# Yrs of Data'!D72</f>
        <v>0.33333333333333331</v>
      </c>
      <c r="W80" s="1" t="s">
        <v>1595</v>
      </c>
      <c r="X80"/>
    </row>
    <row r="81" spans="2:24">
      <c r="B81" s="234">
        <f t="shared" si="10"/>
        <v>2019</v>
      </c>
      <c r="C81" s="236">
        <f>(COUNTIF('Database - Tornado Segments'!$V$8:$V$2008, "2019EF0"))</f>
        <v>35</v>
      </c>
      <c r="D81" s="236">
        <f>(COUNTIF('Database - Tornado Segments'!$V$8:$V$2008, "2019EF1"))</f>
        <v>1</v>
      </c>
      <c r="E81" s="236">
        <f>(COUNTIF('Database - Tornado Segments'!$V$8:$V$2008, "2019EF2"))</f>
        <v>5</v>
      </c>
      <c r="F81" s="236">
        <f>(COUNTIF('Database - Tornado Segments'!$V$8:$V$2008, "2019EF3"))</f>
        <v>0</v>
      </c>
      <c r="G81" s="236">
        <f>(COUNTIF('Database - Tornado Segments'!$V$8:$V$2008, "2019EF4"))</f>
        <v>0</v>
      </c>
      <c r="H81" s="236">
        <f>(COUNTIF('Database - Tornado Segments'!$V$8:$V$2008, "2019EF5"))</f>
        <v>0</v>
      </c>
      <c r="I81" s="240">
        <f t="shared" si="22"/>
        <v>41</v>
      </c>
      <c r="J81" s="236">
        <f t="shared" si="23"/>
        <v>20.5</v>
      </c>
      <c r="K81" s="240">
        <f t="shared" si="24"/>
        <v>1227</v>
      </c>
      <c r="L81" s="226">
        <f>K81/'# Yrs of Data'!D73</f>
        <v>17.528571428571428</v>
      </c>
      <c r="M81" s="2">
        <f t="shared" si="25"/>
        <v>770</v>
      </c>
      <c r="N81" s="35">
        <f>+M81/'# Yrs of Data'!D73</f>
        <v>11</v>
      </c>
      <c r="O81" s="2">
        <f t="shared" si="18"/>
        <v>256</v>
      </c>
      <c r="P81" s="35">
        <f>+O81/'# Yrs of Data'!D73</f>
        <v>3.657142857142857</v>
      </c>
      <c r="Q81" s="2">
        <f t="shared" si="19"/>
        <v>135</v>
      </c>
      <c r="R81" s="35">
        <f>+Q81/'# Yrs of Data'!D73</f>
        <v>1.9285714285714286</v>
      </c>
      <c r="S81" s="2">
        <f t="shared" si="20"/>
        <v>43</v>
      </c>
      <c r="T81" s="35">
        <f>+S81/'# Yrs of Data'!D73</f>
        <v>0.61428571428571432</v>
      </c>
      <c r="U81" s="2">
        <f t="shared" si="21"/>
        <v>23</v>
      </c>
      <c r="V81" s="35">
        <f>+U81/'# Yrs of Data'!D73</f>
        <v>0.32857142857142857</v>
      </c>
      <c r="W81" s="665" t="s">
        <v>1596</v>
      </c>
      <c r="X81" s="665"/>
    </row>
    <row r="82" spans="2:24">
      <c r="B82" s="234">
        <f t="shared" si="10"/>
        <v>2020</v>
      </c>
      <c r="C82" s="236">
        <f>(COUNTIF('Database - Tornado Segments'!$V$8:$V$2008, "2020EF0"))</f>
        <v>7</v>
      </c>
      <c r="D82" s="236">
        <f>(COUNTIF('Database - Tornado Segments'!$V$8:$V$2008, "2020EF1"))</f>
        <v>1</v>
      </c>
      <c r="E82" s="236">
        <f>(COUNTIF('Database - Tornado Segments'!$V$8:$V$2008, "2020EF2"))</f>
        <v>0</v>
      </c>
      <c r="F82" s="236">
        <f>(COUNTIF('Database - Tornado Segments'!$V$8:$V$2008, "2020EF3"))</f>
        <v>0</v>
      </c>
      <c r="G82" s="236">
        <f>(COUNTIF('Database - Tornado Segments'!$V$8:$V$2008, "2020EF4"))</f>
        <v>0</v>
      </c>
      <c r="H82" s="236">
        <f>(COUNTIF('Database - Tornado Segments'!$V$8:$V$2008, "2020EF5"))</f>
        <v>0</v>
      </c>
      <c r="I82" s="240">
        <f t="shared" si="22"/>
        <v>8</v>
      </c>
      <c r="J82" s="236">
        <f t="shared" si="23"/>
        <v>17.5</v>
      </c>
      <c r="K82" s="240">
        <f t="shared" si="24"/>
        <v>1235</v>
      </c>
      <c r="L82" s="226">
        <f>K82/'# Yrs of Data'!D74</f>
        <v>17.3943661971831</v>
      </c>
      <c r="M82" s="2">
        <f t="shared" si="25"/>
        <v>777</v>
      </c>
      <c r="N82" s="35">
        <f>+M82/'# Yrs of Data'!D74</f>
        <v>10.943661971830986</v>
      </c>
      <c r="O82" s="2">
        <f t="shared" si="18"/>
        <v>257</v>
      </c>
      <c r="P82" s="35">
        <f>+O82/'# Yrs of Data'!D74</f>
        <v>3.619718309859155</v>
      </c>
      <c r="Q82" s="2">
        <f t="shared" si="19"/>
        <v>135</v>
      </c>
      <c r="R82" s="35">
        <f>+Q82/'# Yrs of Data'!D74</f>
        <v>1.9014084507042253</v>
      </c>
      <c r="S82" s="2">
        <f t="shared" si="20"/>
        <v>43</v>
      </c>
      <c r="T82" s="35">
        <f>+S82/'# Yrs of Data'!D74</f>
        <v>0.60563380281690138</v>
      </c>
      <c r="U82" s="2">
        <f t="shared" si="21"/>
        <v>23</v>
      </c>
      <c r="V82" s="35">
        <f>+U82/'# Yrs of Data'!D74</f>
        <v>0.323943661971831</v>
      </c>
      <c r="W82" s="665" t="s">
        <v>1594</v>
      </c>
      <c r="X82" s="665"/>
    </row>
    <row r="83" spans="2:24">
      <c r="B83" s="234">
        <f t="shared" si="10"/>
        <v>2021</v>
      </c>
      <c r="C83" s="236">
        <f>(COUNTIF('Database - Tornado Segments'!$V$8:$V$2008, "2021EF0"))</f>
        <v>24</v>
      </c>
      <c r="D83" s="236">
        <f>(COUNTIF('Database - Tornado Segments'!$V$8:$V$2008, "2021EF1"))</f>
        <v>5</v>
      </c>
      <c r="E83" s="236">
        <f>(COUNTIF('Database - Tornado Segments'!$V$8:$V$2008, "2021EF2"))</f>
        <v>2</v>
      </c>
      <c r="F83" s="236">
        <f>(COUNTIF('Database - Tornado Segments'!$V$8:$V$2008, "2021EF3"))</f>
        <v>0</v>
      </c>
      <c r="G83" s="236">
        <f>(COUNTIF('Database - Tornado Segments'!$V$8:$V$2008, "2021EF4"))</f>
        <v>0</v>
      </c>
      <c r="H83" s="236">
        <f>(COUNTIF('Database - Tornado Segments'!$V$8:$V$2008, "2021EF5"))</f>
        <v>0</v>
      </c>
      <c r="I83" s="240">
        <f t="shared" ref="I83:I93" si="26">SUM(C83:H83)</f>
        <v>31</v>
      </c>
      <c r="J83" s="236">
        <f>SUM(I74:I83)/10</f>
        <v>20.2</v>
      </c>
      <c r="K83" s="240">
        <f t="shared" si="24"/>
        <v>1266</v>
      </c>
      <c r="L83" s="226">
        <f>K83/'# Yrs of Data'!D75</f>
        <v>17.583333333333332</v>
      </c>
      <c r="M83" s="2">
        <f t="shared" si="25"/>
        <v>801</v>
      </c>
      <c r="N83" s="35">
        <f>+M83/'# Yrs of Data'!D75</f>
        <v>11.125</v>
      </c>
      <c r="O83" s="2">
        <f t="shared" si="18"/>
        <v>262</v>
      </c>
      <c r="P83" s="35">
        <f>+O83/'# Yrs of Data'!D75</f>
        <v>3.6388888888888888</v>
      </c>
      <c r="Q83" s="2">
        <f t="shared" si="19"/>
        <v>137</v>
      </c>
      <c r="R83" s="35">
        <f>+Q83/'# Yrs of Data'!D75</f>
        <v>1.9027777777777777</v>
      </c>
      <c r="S83" s="2">
        <f t="shared" si="20"/>
        <v>43</v>
      </c>
      <c r="T83" s="35">
        <f>+S83/'# Yrs of Data'!D75</f>
        <v>0.59722222222222221</v>
      </c>
      <c r="U83" s="2">
        <f t="shared" si="21"/>
        <v>23</v>
      </c>
      <c r="V83" s="35">
        <f>+U83/'# Yrs of Data'!D75</f>
        <v>0.31944444444444442</v>
      </c>
      <c r="W83" t="s">
        <v>1334</v>
      </c>
      <c r="X83" s="258"/>
    </row>
    <row r="84" spans="2:24">
      <c r="B84" s="234">
        <f t="shared" si="10"/>
        <v>2022</v>
      </c>
      <c r="C84" s="236">
        <f>(COUNTIF('Database - Tornado Segments'!$V$8:$V$2008, "2022EF0"))</f>
        <v>6</v>
      </c>
      <c r="D84" s="236">
        <f>(COUNTIF('Database - Tornado Segments'!$V$8:$V$2008, "2022EF1"))</f>
        <v>0</v>
      </c>
      <c r="E84" s="236">
        <f>(COUNTIF('Database - Tornado Segments'!$V$8:$V$2008, "2022EF2"))</f>
        <v>0</v>
      </c>
      <c r="F84" s="236">
        <f>(COUNTIF('Database - Tornado Segments'!$V$8:$V$2008, "2022EF3"))</f>
        <v>0</v>
      </c>
      <c r="G84" s="236">
        <f>(COUNTIF('Database - Tornado Segments'!$V$8:$V$2008, "2022EF4"))</f>
        <v>0</v>
      </c>
      <c r="H84" s="236">
        <f>(COUNTIF('Database - Tornado Segments'!$V$8:$V$2008, "2022EF5"))</f>
        <v>0</v>
      </c>
      <c r="I84" s="240">
        <f t="shared" si="26"/>
        <v>6</v>
      </c>
      <c r="J84" s="236">
        <f t="shared" ref="J84:J98" si="27">SUM(I75:I84)/10</f>
        <v>20</v>
      </c>
      <c r="K84" s="240">
        <f t="shared" si="24"/>
        <v>1272</v>
      </c>
      <c r="L84" s="226">
        <f>K84/'# Yrs of Data'!D76</f>
        <v>17.424657534246574</v>
      </c>
      <c r="M84" s="2">
        <f t="shared" si="25"/>
        <v>807</v>
      </c>
      <c r="N84" s="35">
        <f>+M84/'# Yrs of Data'!D76</f>
        <v>11.054794520547945</v>
      </c>
      <c r="O84" s="2">
        <f t="shared" si="18"/>
        <v>262</v>
      </c>
      <c r="P84" s="35">
        <f>+O84/'# Yrs of Data'!D76</f>
        <v>3.5890410958904111</v>
      </c>
      <c r="Q84" s="2">
        <f t="shared" si="19"/>
        <v>137</v>
      </c>
      <c r="R84" s="35">
        <f>+Q84/'# Yrs of Data'!D76</f>
        <v>1.8767123287671232</v>
      </c>
      <c r="S84" s="2">
        <f t="shared" si="20"/>
        <v>43</v>
      </c>
      <c r="T84" s="35">
        <f>+S84/'# Yrs of Data'!D76</f>
        <v>0.58904109589041098</v>
      </c>
      <c r="U84" s="2">
        <f t="shared" si="21"/>
        <v>23</v>
      </c>
      <c r="V84" s="35">
        <f>+U84/'# Yrs of Data'!D76</f>
        <v>0.31506849315068491</v>
      </c>
      <c r="W84" s="258"/>
      <c r="X84" s="258"/>
    </row>
    <row r="85" spans="2:24">
      <c r="B85" s="234">
        <f t="shared" si="10"/>
        <v>2023</v>
      </c>
      <c r="C85" s="236">
        <f>(COUNTIF('Database - Tornado Segments'!$V$8:$V$2008, "2023EF0"))</f>
        <v>0</v>
      </c>
      <c r="D85" s="236">
        <f>(COUNTIF('Database - Tornado Segments'!$V$8:$V$2008, "2023EF1"))</f>
        <v>0</v>
      </c>
      <c r="E85" s="236">
        <f>(COUNTIF('Database - Tornado Segments'!$V$8:$V$2008, "2023EF2"))</f>
        <v>0</v>
      </c>
      <c r="F85" s="236">
        <f>(COUNTIF('Database - Tornado Segments'!$V$8:$V$2008, "2023EF3"))</f>
        <v>0</v>
      </c>
      <c r="G85" s="236">
        <f>(COUNTIF('Database - Tornado Segments'!$V$8:$V$2008, "2023EF4"))</f>
        <v>0</v>
      </c>
      <c r="H85" s="236">
        <f>(COUNTIF('Database - Tornado Segments'!$V$8:$V$2008, "2023EF5"))</f>
        <v>0</v>
      </c>
      <c r="I85" s="240">
        <f t="shared" si="26"/>
        <v>0</v>
      </c>
      <c r="J85" s="236">
        <f t="shared" si="27"/>
        <v>19.3</v>
      </c>
      <c r="K85" s="240">
        <f t="shared" si="24"/>
        <v>1272</v>
      </c>
      <c r="L85" s="226" t="e">
        <f>K85/'# Yrs of Data'!D77</f>
        <v>#DIV/0!</v>
      </c>
      <c r="M85" s="2">
        <f t="shared" si="25"/>
        <v>807</v>
      </c>
      <c r="N85" s="35" t="e">
        <f>+M85/'# Yrs of Data'!D77</f>
        <v>#DIV/0!</v>
      </c>
      <c r="O85" s="2">
        <f t="shared" si="18"/>
        <v>262</v>
      </c>
      <c r="P85" s="35" t="e">
        <f>+O85/'# Yrs of Data'!D77</f>
        <v>#DIV/0!</v>
      </c>
      <c r="Q85" s="2">
        <f t="shared" si="19"/>
        <v>137</v>
      </c>
      <c r="R85" s="35" t="e">
        <f>+Q85/'# Yrs of Data'!D77</f>
        <v>#DIV/0!</v>
      </c>
      <c r="S85" s="2">
        <f t="shared" si="20"/>
        <v>43</v>
      </c>
      <c r="T85" s="35" t="e">
        <f>+S85/'# Yrs of Data'!D77</f>
        <v>#DIV/0!</v>
      </c>
      <c r="U85" s="2">
        <f t="shared" si="21"/>
        <v>23</v>
      </c>
      <c r="V85" s="35" t="e">
        <f>+U85/'# Yrs of Data'!D77</f>
        <v>#DIV/0!</v>
      </c>
      <c r="W85" s="258"/>
      <c r="X85" s="258"/>
    </row>
    <row r="86" spans="2:24">
      <c r="B86" s="234">
        <f t="shared" si="10"/>
        <v>2024</v>
      </c>
      <c r="C86" s="236">
        <f>(COUNTIF('Database - Tornado Segments'!$V$8:$V$2008, "2024EF0"))</f>
        <v>0</v>
      </c>
      <c r="D86" s="236">
        <f>(COUNTIF('Database - Tornado Segments'!$V$8:$V$2008, "2024EF1"))</f>
        <v>0</v>
      </c>
      <c r="E86" s="236">
        <f>(COUNTIF('Database - Tornado Segments'!$V$8:$V$2008, "2024EF2"))</f>
        <v>0</v>
      </c>
      <c r="F86" s="236">
        <f>(COUNTIF('Database - Tornado Segments'!$V$8:$V$2008, "2024EF3"))</f>
        <v>0</v>
      </c>
      <c r="G86" s="236">
        <f>(COUNTIF('Database - Tornado Segments'!$V$8:$V$2008, "2024EF4"))</f>
        <v>0</v>
      </c>
      <c r="H86" s="236">
        <f>(COUNTIF('Database - Tornado Segments'!$V$8:$V$2008, "2024EF5"))</f>
        <v>0</v>
      </c>
      <c r="I86" s="240">
        <f t="shared" si="26"/>
        <v>0</v>
      </c>
      <c r="J86" s="236">
        <f t="shared" si="27"/>
        <v>18</v>
      </c>
      <c r="K86" s="240">
        <f t="shared" si="24"/>
        <v>1272</v>
      </c>
      <c r="L86" s="226" t="e">
        <f>K86/'# Yrs of Data'!D78</f>
        <v>#DIV/0!</v>
      </c>
      <c r="M86" s="2">
        <f t="shared" si="25"/>
        <v>807</v>
      </c>
      <c r="N86" s="35" t="e">
        <f>+M86/'# Yrs of Data'!D78</f>
        <v>#DIV/0!</v>
      </c>
      <c r="O86" s="2">
        <f t="shared" si="18"/>
        <v>262</v>
      </c>
      <c r="P86" s="35" t="e">
        <f>+O86/'# Yrs of Data'!D78</f>
        <v>#DIV/0!</v>
      </c>
      <c r="Q86" s="2">
        <f t="shared" si="19"/>
        <v>137</v>
      </c>
      <c r="R86" s="35" t="e">
        <f>+Q86/'# Yrs of Data'!D78</f>
        <v>#DIV/0!</v>
      </c>
      <c r="S86" s="2">
        <f t="shared" si="20"/>
        <v>43</v>
      </c>
      <c r="T86" s="35" t="e">
        <f>+S86/'# Yrs of Data'!D78</f>
        <v>#DIV/0!</v>
      </c>
      <c r="U86" s="2">
        <f t="shared" si="21"/>
        <v>23</v>
      </c>
      <c r="V86" s="35" t="e">
        <f>+U86/'# Yrs of Data'!D78</f>
        <v>#DIV/0!</v>
      </c>
      <c r="W86" s="258"/>
      <c r="X86" s="258"/>
    </row>
    <row r="87" spans="2:24">
      <c r="B87" s="234">
        <f t="shared" si="10"/>
        <v>2025</v>
      </c>
      <c r="C87" s="236">
        <f>(COUNTIF('Database - Tornado Segments'!$V$8:$V$2008, "2025EF0"))</f>
        <v>0</v>
      </c>
      <c r="D87" s="236">
        <f>(COUNTIF('Database - Tornado Segments'!$V$8:$V$2008, "2025EF1"))</f>
        <v>0</v>
      </c>
      <c r="E87" s="236">
        <f>(COUNTIF('Database - Tornado Segments'!$V$8:$V$2008, "2025EF2"))</f>
        <v>0</v>
      </c>
      <c r="F87" s="236">
        <f>(COUNTIF('Database - Tornado Segments'!$V$8:$V$2008, "2025EF3"))</f>
        <v>0</v>
      </c>
      <c r="G87" s="236">
        <f>(COUNTIF('Database - Tornado Segments'!$V$8:$V$2008, "2025EF4"))</f>
        <v>0</v>
      </c>
      <c r="H87" s="236">
        <f>(COUNTIF('Database - Tornado Segments'!$V$8:$V$2008, "2025EF5"))</f>
        <v>0</v>
      </c>
      <c r="I87" s="240">
        <f t="shared" si="26"/>
        <v>0</v>
      </c>
      <c r="J87" s="236">
        <f t="shared" si="27"/>
        <v>13.8</v>
      </c>
      <c r="K87" s="240">
        <f t="shared" si="24"/>
        <v>1272</v>
      </c>
      <c r="L87" s="226" t="e">
        <f>K87/'# Yrs of Data'!D79</f>
        <v>#DIV/0!</v>
      </c>
      <c r="M87" s="2">
        <f t="shared" si="25"/>
        <v>807</v>
      </c>
      <c r="N87" s="35" t="e">
        <f>+M87/'# Yrs of Data'!D79</f>
        <v>#DIV/0!</v>
      </c>
      <c r="O87" s="2">
        <f t="shared" si="18"/>
        <v>262</v>
      </c>
      <c r="P87" s="35" t="e">
        <f>+O87/'# Yrs of Data'!D79</f>
        <v>#DIV/0!</v>
      </c>
      <c r="Q87" s="2">
        <f t="shared" si="19"/>
        <v>137</v>
      </c>
      <c r="R87" s="35" t="e">
        <f>+Q87/'# Yrs of Data'!D79</f>
        <v>#DIV/0!</v>
      </c>
      <c r="S87" s="2">
        <f t="shared" si="20"/>
        <v>43</v>
      </c>
      <c r="T87" s="35" t="e">
        <f>+S87/'# Yrs of Data'!D79</f>
        <v>#DIV/0!</v>
      </c>
      <c r="U87" s="2">
        <f t="shared" si="21"/>
        <v>23</v>
      </c>
      <c r="V87" s="35" t="e">
        <f>+U87/'# Yrs of Data'!D79</f>
        <v>#DIV/0!</v>
      </c>
      <c r="W87" s="258"/>
      <c r="X87" s="258"/>
    </row>
    <row r="88" spans="2:24">
      <c r="B88" s="234">
        <f t="shared" si="10"/>
        <v>2026</v>
      </c>
      <c r="C88" s="236">
        <f>(COUNTIF('Database - Tornado Segments'!$V$8:$V$2008, "2026EF0"))</f>
        <v>0</v>
      </c>
      <c r="D88" s="236">
        <f>(COUNTIF('Database - Tornado Segments'!$V$8:$V$2008, "2026EF1"))</f>
        <v>0</v>
      </c>
      <c r="E88" s="236">
        <f>(COUNTIF('Database - Tornado Segments'!$V$8:$V$2008, "2026EF2"))</f>
        <v>0</v>
      </c>
      <c r="F88" s="236">
        <f>(COUNTIF('Database - Tornado Segments'!$V$8:$V$2008, "2026EF3"))</f>
        <v>0</v>
      </c>
      <c r="G88" s="236">
        <f>(COUNTIF('Database - Tornado Segments'!$V$8:$V$2008, "2026EF4"))</f>
        <v>0</v>
      </c>
      <c r="H88" s="236">
        <f>(COUNTIF('Database - Tornado Segments'!$V$8:$V$2008, "2026EF5"))</f>
        <v>0</v>
      </c>
      <c r="I88" s="240">
        <f t="shared" si="26"/>
        <v>0</v>
      </c>
      <c r="J88" s="236">
        <f t="shared" si="27"/>
        <v>10.9</v>
      </c>
      <c r="K88" s="240">
        <f t="shared" si="24"/>
        <v>1272</v>
      </c>
      <c r="L88" s="226" t="e">
        <f>K88/'# Yrs of Data'!D80</f>
        <v>#DIV/0!</v>
      </c>
      <c r="M88" s="2">
        <f t="shared" si="25"/>
        <v>807</v>
      </c>
      <c r="N88" s="35" t="e">
        <f>+M88/'# Yrs of Data'!D80</f>
        <v>#DIV/0!</v>
      </c>
      <c r="O88" s="2">
        <f t="shared" si="18"/>
        <v>262</v>
      </c>
      <c r="P88" s="35" t="e">
        <f>+O88/'# Yrs of Data'!D80</f>
        <v>#DIV/0!</v>
      </c>
      <c r="Q88" s="2">
        <f t="shared" si="19"/>
        <v>137</v>
      </c>
      <c r="R88" s="35" t="e">
        <f>+Q88/'# Yrs of Data'!D80</f>
        <v>#DIV/0!</v>
      </c>
      <c r="S88" s="2">
        <f t="shared" si="20"/>
        <v>43</v>
      </c>
      <c r="T88" s="35" t="e">
        <f>+S88/'# Yrs of Data'!D80</f>
        <v>#DIV/0!</v>
      </c>
      <c r="U88" s="2">
        <f t="shared" si="21"/>
        <v>23</v>
      </c>
      <c r="V88" s="35" t="e">
        <f>+U88/'# Yrs of Data'!D80</f>
        <v>#DIV/0!</v>
      </c>
      <c r="W88" s="258"/>
      <c r="X88" s="258"/>
    </row>
    <row r="89" spans="2:24">
      <c r="B89" s="234">
        <f t="shared" si="10"/>
        <v>2027</v>
      </c>
      <c r="C89" s="236">
        <f>(COUNTIF('Database - Tornado Segments'!$V$8:$V$2008, "2027EF0"))</f>
        <v>0</v>
      </c>
      <c r="D89" s="236">
        <f>(COUNTIF('Database - Tornado Segments'!$V$8:$V$2008, "2027EF1"))</f>
        <v>0</v>
      </c>
      <c r="E89" s="236">
        <f>(COUNTIF('Database - Tornado Segments'!$V$8:$V$2008, "2027EF2"))</f>
        <v>0</v>
      </c>
      <c r="F89" s="236">
        <f>(COUNTIF('Database - Tornado Segments'!$V$8:$V$2008, "2027EF3"))</f>
        <v>0</v>
      </c>
      <c r="G89" s="236">
        <f>(COUNTIF('Database - Tornado Segments'!$V$8:$V$2008, "2027EF4"))</f>
        <v>0</v>
      </c>
      <c r="H89" s="236">
        <f>(COUNTIF('Database - Tornado Segments'!$V$8:$V$2008, "2027EF5"))</f>
        <v>0</v>
      </c>
      <c r="I89" s="240">
        <f t="shared" si="26"/>
        <v>0</v>
      </c>
      <c r="J89" s="236">
        <f t="shared" si="27"/>
        <v>9.6</v>
      </c>
      <c r="K89" s="240">
        <f t="shared" si="24"/>
        <v>1272</v>
      </c>
      <c r="L89" s="226" t="e">
        <f>K89/'# Yrs of Data'!D81</f>
        <v>#DIV/0!</v>
      </c>
      <c r="M89" s="2">
        <f t="shared" si="25"/>
        <v>807</v>
      </c>
      <c r="N89" s="35" t="e">
        <f>+M89/'# Yrs of Data'!D81</f>
        <v>#DIV/0!</v>
      </c>
      <c r="O89" s="2">
        <f t="shared" si="18"/>
        <v>262</v>
      </c>
      <c r="P89" s="35" t="e">
        <f>+O89/'# Yrs of Data'!D81</f>
        <v>#DIV/0!</v>
      </c>
      <c r="Q89" s="2">
        <f t="shared" si="19"/>
        <v>137</v>
      </c>
      <c r="R89" s="35" t="e">
        <f>+Q89/'# Yrs of Data'!D81</f>
        <v>#DIV/0!</v>
      </c>
      <c r="S89" s="2">
        <f t="shared" si="20"/>
        <v>43</v>
      </c>
      <c r="T89" s="35" t="e">
        <f>+S89/'# Yrs of Data'!D81</f>
        <v>#DIV/0!</v>
      </c>
      <c r="U89" s="2">
        <f t="shared" si="21"/>
        <v>23</v>
      </c>
      <c r="V89" s="35" t="e">
        <f>+U89/'# Yrs of Data'!D81</f>
        <v>#DIV/0!</v>
      </c>
      <c r="W89" s="258"/>
      <c r="X89" s="258"/>
    </row>
    <row r="90" spans="2:24">
      <c r="B90" s="234">
        <f t="shared" si="10"/>
        <v>2028</v>
      </c>
      <c r="C90" s="236">
        <f>(COUNTIF('Database - Tornado Segments'!$V$8:$V$2008, "2028EF0"))</f>
        <v>0</v>
      </c>
      <c r="D90" s="236">
        <f>(COUNTIF('Database - Tornado Segments'!$V$8:$V$2008, "2028EF1"))</f>
        <v>0</v>
      </c>
      <c r="E90" s="236">
        <f>(COUNTIF('Database - Tornado Segments'!$V$8:$V$2008, "2028EF2"))</f>
        <v>0</v>
      </c>
      <c r="F90" s="236">
        <f>(COUNTIF('Database - Tornado Segments'!$V$8:$V$2008, "2028EF3"))</f>
        <v>0</v>
      </c>
      <c r="G90" s="236">
        <f>(COUNTIF('Database - Tornado Segments'!$V$8:$V$2008, "2028EF4"))</f>
        <v>0</v>
      </c>
      <c r="H90" s="236">
        <f>(COUNTIF('Database - Tornado Segments'!$V$8:$V$2008, "2028EF5"))</f>
        <v>0</v>
      </c>
      <c r="I90" s="240">
        <f t="shared" si="26"/>
        <v>0</v>
      </c>
      <c r="J90" s="236">
        <f t="shared" si="27"/>
        <v>8.6</v>
      </c>
      <c r="K90" s="240">
        <f t="shared" si="24"/>
        <v>1272</v>
      </c>
      <c r="L90" s="226" t="e">
        <f>K90/'# Yrs of Data'!D82</f>
        <v>#DIV/0!</v>
      </c>
      <c r="M90" s="2">
        <f t="shared" si="25"/>
        <v>807</v>
      </c>
      <c r="N90" s="35" t="e">
        <f>+M90/'# Yrs of Data'!D82</f>
        <v>#DIV/0!</v>
      </c>
      <c r="O90" s="2">
        <f t="shared" si="18"/>
        <v>262</v>
      </c>
      <c r="P90" s="35" t="e">
        <f>+O90/'# Yrs of Data'!D82</f>
        <v>#DIV/0!</v>
      </c>
      <c r="Q90" s="2">
        <f t="shared" si="19"/>
        <v>137</v>
      </c>
      <c r="R90" s="35" t="e">
        <f>+Q90/'# Yrs of Data'!D82</f>
        <v>#DIV/0!</v>
      </c>
      <c r="S90" s="2">
        <f t="shared" si="20"/>
        <v>43</v>
      </c>
      <c r="T90" s="35" t="e">
        <f>+S90/'# Yrs of Data'!D82</f>
        <v>#DIV/0!</v>
      </c>
      <c r="U90" s="2">
        <f t="shared" si="21"/>
        <v>23</v>
      </c>
      <c r="V90" s="35" t="e">
        <f>+U90/'# Yrs of Data'!D82</f>
        <v>#DIV/0!</v>
      </c>
      <c r="W90" s="258"/>
      <c r="X90" s="258"/>
    </row>
    <row r="91" spans="2:24">
      <c r="B91" s="234">
        <f t="shared" si="10"/>
        <v>2029</v>
      </c>
      <c r="C91" s="236">
        <f>(COUNTIF('Database - Tornado Segments'!$V$8:$V$2008, "2029EF0"))</f>
        <v>0</v>
      </c>
      <c r="D91" s="236">
        <f>(COUNTIF('Database - Tornado Segments'!$V$8:$V$2008, "2029EF1"))</f>
        <v>0</v>
      </c>
      <c r="E91" s="236">
        <f>(COUNTIF('Database - Tornado Segments'!$V$8:$V$2008, "2029EF2"))</f>
        <v>0</v>
      </c>
      <c r="F91" s="236">
        <f>(COUNTIF('Database - Tornado Segments'!$V$8:$V$2008, "2029EF3"))</f>
        <v>0</v>
      </c>
      <c r="G91" s="236">
        <f>(COUNTIF('Database - Tornado Segments'!$V$8:$V$2008, "2029EF4"))</f>
        <v>0</v>
      </c>
      <c r="H91" s="236">
        <f>(COUNTIF('Database - Tornado Segments'!$V$8:$V$2008, "2029EF5"))</f>
        <v>0</v>
      </c>
      <c r="I91" s="240">
        <f t="shared" si="26"/>
        <v>0</v>
      </c>
      <c r="J91" s="236">
        <f t="shared" si="27"/>
        <v>4.5</v>
      </c>
      <c r="K91" s="240">
        <f t="shared" si="24"/>
        <v>1272</v>
      </c>
      <c r="L91" s="226" t="e">
        <f>K91/'# Yrs of Data'!D83</f>
        <v>#DIV/0!</v>
      </c>
      <c r="M91" s="2">
        <f t="shared" si="25"/>
        <v>807</v>
      </c>
      <c r="N91" s="35" t="e">
        <f>+M91/'# Yrs of Data'!D83</f>
        <v>#DIV/0!</v>
      </c>
      <c r="O91" s="2">
        <f t="shared" si="18"/>
        <v>262</v>
      </c>
      <c r="P91" s="35" t="e">
        <f>+O91/'# Yrs of Data'!D83</f>
        <v>#DIV/0!</v>
      </c>
      <c r="Q91" s="2">
        <f t="shared" si="19"/>
        <v>137</v>
      </c>
      <c r="R91" s="35" t="e">
        <f>+Q91/'# Yrs of Data'!D83</f>
        <v>#DIV/0!</v>
      </c>
      <c r="S91" s="2">
        <f t="shared" si="20"/>
        <v>43</v>
      </c>
      <c r="T91" s="35" t="e">
        <f>+S91/'# Yrs of Data'!D83</f>
        <v>#DIV/0!</v>
      </c>
      <c r="U91" s="2">
        <f t="shared" si="21"/>
        <v>23</v>
      </c>
      <c r="V91" s="35" t="e">
        <f>+U91/'# Yrs of Data'!D83</f>
        <v>#DIV/0!</v>
      </c>
      <c r="W91" s="258"/>
      <c r="X91" s="258"/>
    </row>
    <row r="92" spans="2:24">
      <c r="B92" s="234">
        <f t="shared" si="10"/>
        <v>2030</v>
      </c>
      <c r="C92" s="236">
        <f>(COUNTIF('Database - Tornado Segments'!$V$8:$V$2008, "2030EF0"))</f>
        <v>0</v>
      </c>
      <c r="D92" s="236">
        <f>(COUNTIF('Database - Tornado Segments'!$V$8:$V$2008, "2030EF1"))</f>
        <v>0</v>
      </c>
      <c r="E92" s="236">
        <f>(COUNTIF('Database - Tornado Segments'!$V$8:$V$2008, "2030EF2"))</f>
        <v>0</v>
      </c>
      <c r="F92" s="236">
        <f>(COUNTIF('Database - Tornado Segments'!$V$8:$V$2008, "2030EF3"))</f>
        <v>0</v>
      </c>
      <c r="G92" s="236">
        <f>(COUNTIF('Database - Tornado Segments'!$V$8:$V$2008, "2030EF4"))</f>
        <v>0</v>
      </c>
      <c r="H92" s="236">
        <f>(COUNTIF('Database - Tornado Segments'!$V$8:$V$2008, "2030EF5"))</f>
        <v>0</v>
      </c>
      <c r="I92" s="240">
        <f t="shared" si="26"/>
        <v>0</v>
      </c>
      <c r="J92" s="236">
        <f t="shared" si="27"/>
        <v>3.7</v>
      </c>
      <c r="K92" s="240">
        <f t="shared" si="24"/>
        <v>1272</v>
      </c>
      <c r="L92" s="226" t="e">
        <f>K92/'# Yrs of Data'!D84</f>
        <v>#DIV/0!</v>
      </c>
      <c r="M92" s="2">
        <f t="shared" si="25"/>
        <v>807</v>
      </c>
      <c r="N92" s="35" t="e">
        <f>+M92/'# Yrs of Data'!D84</f>
        <v>#DIV/0!</v>
      </c>
      <c r="O92" s="2">
        <f t="shared" si="18"/>
        <v>262</v>
      </c>
      <c r="P92" s="35" t="e">
        <f>+O92/'# Yrs of Data'!D84</f>
        <v>#DIV/0!</v>
      </c>
      <c r="Q92" s="2">
        <f t="shared" si="19"/>
        <v>137</v>
      </c>
      <c r="R92" s="35" t="e">
        <f>+Q92/'# Yrs of Data'!D84</f>
        <v>#DIV/0!</v>
      </c>
      <c r="S92" s="2">
        <f t="shared" si="20"/>
        <v>43</v>
      </c>
      <c r="T92" s="35" t="e">
        <f>+S92/'# Yrs of Data'!D84</f>
        <v>#DIV/0!</v>
      </c>
      <c r="U92" s="2">
        <f t="shared" si="21"/>
        <v>23</v>
      </c>
      <c r="V92" s="35" t="e">
        <f>+U92/'# Yrs of Data'!D84</f>
        <v>#DIV/0!</v>
      </c>
      <c r="W92" s="258"/>
      <c r="X92" s="258"/>
    </row>
    <row r="93" spans="2:24">
      <c r="B93" s="234">
        <f t="shared" si="10"/>
        <v>2031</v>
      </c>
      <c r="C93" s="236">
        <f>(COUNTIF('Database - Tornado Segments'!$V$8:$V$2008, "2031EF0"))</f>
        <v>0</v>
      </c>
      <c r="D93" s="236">
        <f>(COUNTIF('Database - Tornado Segments'!$V$8:$V$2008, "2031EF1"))</f>
        <v>0</v>
      </c>
      <c r="E93" s="236">
        <f>(COUNTIF('Database - Tornado Segments'!$V$8:$V$2008, "2031EF2"))</f>
        <v>0</v>
      </c>
      <c r="F93" s="236">
        <f>(COUNTIF('Database - Tornado Segments'!$V$8:$V$2008, "2031EF3"))</f>
        <v>0</v>
      </c>
      <c r="G93" s="236">
        <f>(COUNTIF('Database - Tornado Segments'!$V$8:$V$2008, "2031EF4"))</f>
        <v>0</v>
      </c>
      <c r="H93" s="236">
        <f>(COUNTIF('Database - Tornado Segments'!$V$8:$V$2008, "2031EF5"))</f>
        <v>0</v>
      </c>
      <c r="I93" s="240">
        <f t="shared" si="26"/>
        <v>0</v>
      </c>
      <c r="J93" s="236">
        <f t="shared" si="27"/>
        <v>0.6</v>
      </c>
      <c r="K93" s="240">
        <f t="shared" si="24"/>
        <v>1272</v>
      </c>
      <c r="L93" s="226" t="e">
        <f>K93/'# Yrs of Data'!D85</f>
        <v>#DIV/0!</v>
      </c>
      <c r="M93" s="2">
        <f t="shared" si="25"/>
        <v>807</v>
      </c>
      <c r="N93" s="35" t="e">
        <f>+M93/'# Yrs of Data'!D85</f>
        <v>#DIV/0!</v>
      </c>
      <c r="O93" s="2">
        <f t="shared" si="18"/>
        <v>262</v>
      </c>
      <c r="P93" s="35" t="e">
        <f>+O93/'# Yrs of Data'!D85</f>
        <v>#DIV/0!</v>
      </c>
      <c r="Q93" s="2">
        <f t="shared" si="19"/>
        <v>137</v>
      </c>
      <c r="R93" s="35" t="e">
        <f>+Q93/'# Yrs of Data'!D85</f>
        <v>#DIV/0!</v>
      </c>
      <c r="S93" s="2">
        <f t="shared" si="20"/>
        <v>43</v>
      </c>
      <c r="T93" s="35" t="e">
        <f>+S93/'# Yrs of Data'!D85</f>
        <v>#DIV/0!</v>
      </c>
      <c r="U93" s="2">
        <f t="shared" si="21"/>
        <v>23</v>
      </c>
      <c r="V93" s="35" t="e">
        <f>+U93/'# Yrs of Data'!D85</f>
        <v>#DIV/0!</v>
      </c>
      <c r="W93" s="258"/>
      <c r="X93" s="258"/>
    </row>
    <row r="94" spans="2:24">
      <c r="B94" s="234">
        <f t="shared" si="10"/>
        <v>2032</v>
      </c>
      <c r="C94" s="236">
        <f>(COUNTIF('Database - Tornado Segments'!$V$8:$V$2008, "2032EF0"))</f>
        <v>0</v>
      </c>
      <c r="D94" s="236">
        <f>(COUNTIF('Database - Tornado Segments'!$V$8:$V$2008, "2032EF1"))</f>
        <v>0</v>
      </c>
      <c r="E94" s="236">
        <f>(COUNTIF('Database - Tornado Segments'!$V$8:$V$2008, "2032EF2"))</f>
        <v>0</v>
      </c>
      <c r="F94" s="236">
        <f>(COUNTIF('Database - Tornado Segments'!$V$8:$V$2008, "2032EF3"))</f>
        <v>0</v>
      </c>
      <c r="G94" s="236">
        <f>(COUNTIF('Database - Tornado Segments'!$V$8:$V$2008, "2032EF4"))</f>
        <v>0</v>
      </c>
      <c r="H94" s="236">
        <f>(COUNTIF('Database - Tornado Segments'!$V$8:$V$2008, "2032EF5"))</f>
        <v>0</v>
      </c>
      <c r="I94" s="240">
        <f t="shared" si="22"/>
        <v>0</v>
      </c>
      <c r="J94" s="236">
        <f t="shared" si="27"/>
        <v>0</v>
      </c>
      <c r="K94" s="240">
        <f t="shared" si="24"/>
        <v>1272</v>
      </c>
      <c r="L94" s="226" t="e">
        <f>K94/'# Yrs of Data'!D86</f>
        <v>#DIV/0!</v>
      </c>
      <c r="M94" s="2">
        <f t="shared" si="25"/>
        <v>807</v>
      </c>
      <c r="N94" s="35" t="e">
        <f>+M94/'# Yrs of Data'!D86</f>
        <v>#DIV/0!</v>
      </c>
      <c r="O94" s="2">
        <f t="shared" si="18"/>
        <v>262</v>
      </c>
      <c r="P94" s="35" t="e">
        <f>+O94/'# Yrs of Data'!D86</f>
        <v>#DIV/0!</v>
      </c>
      <c r="Q94" s="2">
        <f t="shared" si="19"/>
        <v>137</v>
      </c>
      <c r="R94" s="35" t="e">
        <f>+Q94/'# Yrs of Data'!D86</f>
        <v>#DIV/0!</v>
      </c>
      <c r="S94" s="2">
        <f t="shared" si="20"/>
        <v>43</v>
      </c>
      <c r="T94" s="35" t="e">
        <f>+S94/'# Yrs of Data'!D86</f>
        <v>#DIV/0!</v>
      </c>
      <c r="U94" s="2">
        <f t="shared" si="21"/>
        <v>23</v>
      </c>
      <c r="V94" s="35" t="e">
        <f>+U94/'# Yrs of Data'!D86</f>
        <v>#DIV/0!</v>
      </c>
      <c r="W94" s="258"/>
      <c r="X94" s="258"/>
    </row>
    <row r="95" spans="2:24">
      <c r="B95" s="234">
        <f t="shared" si="10"/>
        <v>2033</v>
      </c>
      <c r="C95" s="236">
        <f>(COUNTIF('Database - Tornado Segments'!$V$8:$V$2008, "2033EF0"))</f>
        <v>0</v>
      </c>
      <c r="D95" s="236">
        <f>(COUNTIF('Database - Tornado Segments'!$V$8:$V$2008, "2033EF1"))</f>
        <v>0</v>
      </c>
      <c r="E95" s="236">
        <f>(COUNTIF('Database - Tornado Segments'!$V$8:$V$2008, "2033EF2"))</f>
        <v>0</v>
      </c>
      <c r="F95" s="236">
        <f>(COUNTIF('Database - Tornado Segments'!$V$8:$V$2008, "2033EF3"))</f>
        <v>0</v>
      </c>
      <c r="G95" s="236">
        <f>(COUNTIF('Database - Tornado Segments'!$V$8:$V$2008, "2033EF4"))</f>
        <v>0</v>
      </c>
      <c r="H95" s="236">
        <f>(COUNTIF('Database - Tornado Segments'!$V$8:$V$2008, "2033EF5"))</f>
        <v>0</v>
      </c>
      <c r="I95" s="240">
        <f t="shared" si="22"/>
        <v>0</v>
      </c>
      <c r="J95" s="236">
        <f t="shared" si="27"/>
        <v>0</v>
      </c>
      <c r="K95" s="240">
        <f t="shared" si="24"/>
        <v>1272</v>
      </c>
      <c r="L95" s="226" t="e">
        <f>K95/'# Yrs of Data'!D87</f>
        <v>#DIV/0!</v>
      </c>
      <c r="M95" s="2">
        <f t="shared" si="25"/>
        <v>807</v>
      </c>
      <c r="N95" s="35" t="e">
        <f>+M95/'# Yrs of Data'!D87</f>
        <v>#DIV/0!</v>
      </c>
      <c r="O95" s="2">
        <f t="shared" si="18"/>
        <v>262</v>
      </c>
      <c r="P95" s="35" t="e">
        <f>+O95/'# Yrs of Data'!D87</f>
        <v>#DIV/0!</v>
      </c>
      <c r="Q95" s="2">
        <f t="shared" si="19"/>
        <v>137</v>
      </c>
      <c r="R95" s="35" t="e">
        <f>+Q95/'# Yrs of Data'!D87</f>
        <v>#DIV/0!</v>
      </c>
      <c r="S95" s="2">
        <f t="shared" si="20"/>
        <v>43</v>
      </c>
      <c r="T95" s="35" t="e">
        <f>+S95/'# Yrs of Data'!D87</f>
        <v>#DIV/0!</v>
      </c>
      <c r="U95" s="2">
        <f t="shared" si="21"/>
        <v>23</v>
      </c>
      <c r="V95" s="35" t="e">
        <f>+U95/'# Yrs of Data'!D87</f>
        <v>#DIV/0!</v>
      </c>
      <c r="W95" s="258"/>
      <c r="X95" s="258"/>
    </row>
    <row r="96" spans="2:24">
      <c r="B96" s="234">
        <f t="shared" si="10"/>
        <v>2034</v>
      </c>
      <c r="C96" s="236">
        <f>(COUNTIF('Database - Tornado Segments'!$V$8:$V$2008, "2034EF0"))</f>
        <v>0</v>
      </c>
      <c r="D96" s="236">
        <f>(COUNTIF('Database - Tornado Segments'!$V$8:$V$2008, "2034EF1"))</f>
        <v>0</v>
      </c>
      <c r="E96" s="236">
        <f>(COUNTIF('Database - Tornado Segments'!$V$8:$V$2008, "2034EF2"))</f>
        <v>0</v>
      </c>
      <c r="F96" s="236">
        <f>(COUNTIF('Database - Tornado Segments'!$V$8:$V$2008, "2034EF3"))</f>
        <v>0</v>
      </c>
      <c r="G96" s="236">
        <f>(COUNTIF('Database - Tornado Segments'!$V$8:$V$2008, "2034EF4"))</f>
        <v>0</v>
      </c>
      <c r="H96" s="236">
        <f>(COUNTIF('Database - Tornado Segments'!$V$8:$V$2008, "2034EF5"))</f>
        <v>0</v>
      </c>
      <c r="I96" s="240">
        <f t="shared" si="22"/>
        <v>0</v>
      </c>
      <c r="J96" s="236">
        <f t="shared" si="27"/>
        <v>0</v>
      </c>
      <c r="K96" s="240">
        <f t="shared" si="24"/>
        <v>1272</v>
      </c>
      <c r="L96" s="226" t="e">
        <f>K96/'# Yrs of Data'!D88</f>
        <v>#DIV/0!</v>
      </c>
      <c r="M96" s="2">
        <f t="shared" si="25"/>
        <v>807</v>
      </c>
      <c r="N96" s="35" t="e">
        <f>+M96/'# Yrs of Data'!D88</f>
        <v>#DIV/0!</v>
      </c>
      <c r="O96" s="2">
        <f t="shared" si="18"/>
        <v>262</v>
      </c>
      <c r="P96" s="35" t="e">
        <f>+O96/'# Yrs of Data'!D88</f>
        <v>#DIV/0!</v>
      </c>
      <c r="Q96" s="2">
        <f t="shared" si="19"/>
        <v>137</v>
      </c>
      <c r="R96" s="35" t="e">
        <f>+Q96/'# Yrs of Data'!D88</f>
        <v>#DIV/0!</v>
      </c>
      <c r="S96" s="2">
        <f t="shared" si="20"/>
        <v>43</v>
      </c>
      <c r="T96" s="35" t="e">
        <f>+S96/'# Yrs of Data'!D88</f>
        <v>#DIV/0!</v>
      </c>
      <c r="U96" s="2">
        <f t="shared" si="21"/>
        <v>23</v>
      </c>
      <c r="V96" s="35" t="e">
        <f>+U96/'# Yrs of Data'!D88</f>
        <v>#DIV/0!</v>
      </c>
      <c r="W96" s="258"/>
      <c r="X96" s="258"/>
    </row>
    <row r="97" spans="2:24">
      <c r="B97" s="234">
        <f t="shared" si="10"/>
        <v>2035</v>
      </c>
      <c r="C97" s="236">
        <f>(COUNTIF('Database - Tornado Segments'!$V$8:$V$2008, "2035EF0"))</f>
        <v>0</v>
      </c>
      <c r="D97" s="236">
        <f>(COUNTIF('Database - Tornado Segments'!$V$8:$V$2008, "2035EF1"))</f>
        <v>0</v>
      </c>
      <c r="E97" s="236">
        <f>(COUNTIF('Database - Tornado Segments'!$V$8:$V$2008, "2035EF2"))</f>
        <v>0</v>
      </c>
      <c r="F97" s="236">
        <f>(COUNTIF('Database - Tornado Segments'!$V$8:$V$2008, "2035EF3"))</f>
        <v>0</v>
      </c>
      <c r="G97" s="236">
        <f>(COUNTIF('Database - Tornado Segments'!$V$8:$V$2008, "2035EF4"))</f>
        <v>0</v>
      </c>
      <c r="H97" s="236">
        <f>(COUNTIF('Database - Tornado Segments'!$V$8:$V$2008, "2035EF5"))</f>
        <v>0</v>
      </c>
      <c r="I97" s="240">
        <f t="shared" si="22"/>
        <v>0</v>
      </c>
      <c r="J97" s="236">
        <f t="shared" si="27"/>
        <v>0</v>
      </c>
      <c r="K97" s="240">
        <f t="shared" si="24"/>
        <v>1272</v>
      </c>
      <c r="L97" s="226" t="e">
        <f>K97/'# Yrs of Data'!D89</f>
        <v>#DIV/0!</v>
      </c>
      <c r="M97" s="2">
        <f t="shared" si="25"/>
        <v>807</v>
      </c>
      <c r="N97" s="35" t="e">
        <f>+M97/'# Yrs of Data'!D89</f>
        <v>#DIV/0!</v>
      </c>
      <c r="O97" s="2">
        <f t="shared" si="18"/>
        <v>262</v>
      </c>
      <c r="P97" s="35" t="e">
        <f>+O97/'# Yrs of Data'!D89</f>
        <v>#DIV/0!</v>
      </c>
      <c r="Q97" s="2">
        <f t="shared" si="19"/>
        <v>137</v>
      </c>
      <c r="R97" s="35" t="e">
        <f>+Q97/'# Yrs of Data'!D89</f>
        <v>#DIV/0!</v>
      </c>
      <c r="S97" s="2">
        <f t="shared" si="20"/>
        <v>43</v>
      </c>
      <c r="T97" s="35" t="e">
        <f>+S97/'# Yrs of Data'!D89</f>
        <v>#DIV/0!</v>
      </c>
      <c r="U97" s="2">
        <f t="shared" si="21"/>
        <v>23</v>
      </c>
      <c r="V97" s="35" t="e">
        <f>+U97/'# Yrs of Data'!D89</f>
        <v>#DIV/0!</v>
      </c>
      <c r="W97" s="258"/>
      <c r="X97" s="258"/>
    </row>
    <row r="98" spans="2:24">
      <c r="B98" s="234">
        <f t="shared" si="10"/>
        <v>2036</v>
      </c>
      <c r="C98" s="236">
        <f>(COUNTIF('Database - Tornado Segments'!$V$8:$V$2008, "2036EF0"))</f>
        <v>0</v>
      </c>
      <c r="D98" s="236">
        <f>(COUNTIF('Database - Tornado Segments'!$V$8:$V$2008, "2036EF1"))</f>
        <v>0</v>
      </c>
      <c r="E98" s="236">
        <f>(COUNTIF('Database - Tornado Segments'!$V$8:$V$2008, "2036EF2"))</f>
        <v>0</v>
      </c>
      <c r="F98" s="236">
        <f>(COUNTIF('Database - Tornado Segments'!$V$8:$V$2008, "2036EF3"))</f>
        <v>0</v>
      </c>
      <c r="G98" s="236">
        <f>(COUNTIF('Database - Tornado Segments'!$V$8:$V$2008, "2036EF4"))</f>
        <v>0</v>
      </c>
      <c r="H98" s="236">
        <f>(COUNTIF('Database - Tornado Segments'!$V$8:$V$2008, "2036EF5"))</f>
        <v>0</v>
      </c>
      <c r="I98" s="240">
        <f t="shared" si="22"/>
        <v>0</v>
      </c>
      <c r="J98" s="236">
        <f t="shared" si="27"/>
        <v>0</v>
      </c>
      <c r="K98" s="240">
        <f t="shared" si="24"/>
        <v>1272</v>
      </c>
      <c r="L98" s="226" t="e">
        <f>K98/'# Yrs of Data'!D90</f>
        <v>#DIV/0!</v>
      </c>
      <c r="M98" s="2">
        <f t="shared" si="25"/>
        <v>807</v>
      </c>
      <c r="N98" s="35" t="e">
        <f>+M98/'# Yrs of Data'!D90</f>
        <v>#DIV/0!</v>
      </c>
      <c r="O98" s="2">
        <f t="shared" si="18"/>
        <v>262</v>
      </c>
      <c r="P98" s="35" t="e">
        <f>+O98/'# Yrs of Data'!D90</f>
        <v>#DIV/0!</v>
      </c>
      <c r="Q98" s="2">
        <f t="shared" si="19"/>
        <v>137</v>
      </c>
      <c r="R98" s="35" t="e">
        <f>+Q98/'# Yrs of Data'!D90</f>
        <v>#DIV/0!</v>
      </c>
      <c r="S98" s="2">
        <f t="shared" si="20"/>
        <v>43</v>
      </c>
      <c r="T98" s="35" t="e">
        <f>+S98/'# Yrs of Data'!D90</f>
        <v>#DIV/0!</v>
      </c>
      <c r="U98" s="2">
        <f t="shared" si="21"/>
        <v>23</v>
      </c>
      <c r="V98" s="35" t="e">
        <f>+U98/'# Yrs of Data'!D90</f>
        <v>#DIV/0!</v>
      </c>
      <c r="W98" s="258"/>
      <c r="X98" s="258"/>
    </row>
    <row r="99" spans="2:24">
      <c r="B99" s="234"/>
      <c r="C99" s="240"/>
      <c r="D99" s="240"/>
      <c r="E99" s="240"/>
      <c r="F99" s="240"/>
      <c r="G99" s="240"/>
      <c r="H99" s="240"/>
      <c r="I99" s="240"/>
      <c r="J99" s="241"/>
      <c r="K99" s="241"/>
      <c r="L99" s="242"/>
    </row>
    <row r="100" spans="2:24" ht="16.5" thickBot="1">
      <c r="B100" s="247" t="s">
        <v>97</v>
      </c>
      <c r="C100" s="248">
        <f t="shared" ref="C100:I100" si="28">SUM(C12:C99)</f>
        <v>807</v>
      </c>
      <c r="D100" s="248">
        <f t="shared" si="28"/>
        <v>262</v>
      </c>
      <c r="E100" s="248">
        <f t="shared" si="28"/>
        <v>137</v>
      </c>
      <c r="F100" s="248">
        <f t="shared" si="28"/>
        <v>43</v>
      </c>
      <c r="G100" s="248">
        <f t="shared" si="28"/>
        <v>23</v>
      </c>
      <c r="H100" s="248">
        <f t="shared" si="28"/>
        <v>0</v>
      </c>
      <c r="I100" s="248">
        <f t="shared" si="28"/>
        <v>1272</v>
      </c>
      <c r="J100" s="2"/>
      <c r="K100" s="2"/>
      <c r="L100" s="227"/>
    </row>
    <row r="101" spans="2:24" ht="16.5" thickBot="1">
      <c r="B101" s="225"/>
      <c r="C101" s="7"/>
      <c r="D101" s="7"/>
      <c r="E101" s="7"/>
      <c r="F101" s="7"/>
      <c r="G101" s="7"/>
      <c r="H101" s="7"/>
      <c r="I101" s="7"/>
      <c r="J101" s="2"/>
      <c r="K101" s="2"/>
      <c r="L101" s="227"/>
    </row>
    <row r="102" spans="2:24" ht="16.5" thickBot="1">
      <c r="B102" s="228" t="s">
        <v>134</v>
      </c>
      <c r="C102" s="222">
        <f t="shared" ref="C102:H102" si="29">+C100/$D$5</f>
        <v>11.054794520547945</v>
      </c>
      <c r="D102" s="222">
        <f t="shared" si="29"/>
        <v>3.5890410958904111</v>
      </c>
      <c r="E102" s="222">
        <f t="shared" si="29"/>
        <v>1.8767123287671232</v>
      </c>
      <c r="F102" s="222">
        <f t="shared" si="29"/>
        <v>0.58904109589041098</v>
      </c>
      <c r="G102" s="222">
        <f t="shared" si="29"/>
        <v>0.31506849315068491</v>
      </c>
      <c r="H102" s="222">
        <f t="shared" si="29"/>
        <v>0</v>
      </c>
      <c r="I102" s="222">
        <f>SUM(C102:H102)</f>
        <v>17.424657534246577</v>
      </c>
      <c r="J102" s="2"/>
      <c r="K102" s="2"/>
      <c r="L102" s="227"/>
    </row>
    <row r="103" spans="2:24" ht="15.75">
      <c r="B103" s="229"/>
      <c r="J103" s="2"/>
      <c r="K103" s="2"/>
      <c r="L103" s="227"/>
    </row>
    <row r="104" spans="2:24" ht="15.75" thickBot="1">
      <c r="B104" s="230"/>
      <c r="C104" s="231"/>
      <c r="D104" s="231"/>
      <c r="E104" s="231"/>
      <c r="F104" s="231"/>
      <c r="G104" s="231"/>
      <c r="H104" s="231"/>
      <c r="I104" s="231"/>
      <c r="J104" s="231"/>
      <c r="K104" s="231"/>
      <c r="L104" s="232"/>
    </row>
    <row r="105" spans="2:24" ht="15.75" thickTop="1"/>
    <row r="106" spans="2:24" s="28" customFormat="1">
      <c r="S106" s="34"/>
      <c r="T106" s="34"/>
      <c r="U106" s="34"/>
      <c r="V106" s="34"/>
    </row>
    <row r="107" spans="2:24" s="28" customFormat="1"/>
    <row r="108" spans="2:24" s="36" customFormat="1">
      <c r="S108" s="37"/>
      <c r="T108" s="37"/>
      <c r="U108" s="37"/>
      <c r="V108" s="37"/>
    </row>
    <row r="109" spans="2:24">
      <c r="S109" s="33"/>
      <c r="T109" s="33"/>
      <c r="U109" s="33"/>
      <c r="V109" s="33"/>
    </row>
    <row r="110" spans="2:24"/>
    <row r="111" spans="2:24" ht="15" customHeight="1"/>
    <row r="112" spans="2:24"/>
    <row r="113" ht="15" customHeight="1"/>
    <row r="114"/>
    <row r="115"/>
    <row r="116"/>
    <row r="117"/>
    <row r="118"/>
    <row r="119"/>
    <row r="120"/>
    <row r="121"/>
    <row r="444" ht="15.75" hidden="1" customHeight="1"/>
    <row r="451" ht="50.1" hidden="1" customHeight="1"/>
    <row r="452" ht="12" hidden="1" customHeight="1"/>
    <row r="453" ht="50.1" hidden="1" customHeight="1"/>
    <row r="454" ht="12" hidden="1" customHeight="1"/>
    <row r="455" ht="50.1" hidden="1" customHeight="1"/>
    <row r="456" ht="12" hidden="1" customHeight="1"/>
    <row r="457" ht="50.1" hidden="1" customHeight="1"/>
    <row r="458" ht="12" hidden="1" customHeight="1"/>
    <row r="459" ht="50.1" hidden="1" customHeight="1"/>
    <row r="460" ht="12" hidden="1" customHeight="1"/>
    <row r="670" spans="23:28" hidden="1">
      <c r="W670" s="15"/>
      <c r="X670" s="15"/>
      <c r="AB670" s="2"/>
    </row>
    <row r="671" spans="23:28" hidden="1">
      <c r="W671" s="15"/>
      <c r="X671" s="15"/>
      <c r="AB671" s="2"/>
    </row>
    <row r="672" spans="23:28" hidden="1">
      <c r="W672" s="15"/>
      <c r="X672" s="15"/>
      <c r="AB672" s="2"/>
    </row>
    <row r="673" spans="23:28" hidden="1">
      <c r="W673" s="15"/>
      <c r="X673" s="15"/>
      <c r="AB673" s="2"/>
    </row>
    <row r="690" spans="3:11" hidden="1">
      <c r="C690" s="17"/>
      <c r="D690" s="17"/>
      <c r="E690" s="17"/>
      <c r="F690" s="17"/>
      <c r="G690" s="17"/>
      <c r="H690" s="17"/>
      <c r="K690" s="18"/>
    </row>
  </sheetData>
  <customSheetViews>
    <customSheetView guid="{CFA9FB8A-52FF-44B9-AE70-27339693E196}" outlineSymbols="0" fitToPage="1">
      <pane ySplit="10" topLeftCell="A86" activePane="bottomLeft" state="frozen"/>
      <selection pane="bottomLeft" activeCell="H91" sqref="H91"/>
      <rowBreaks count="18" manualBreakCount="18">
        <brk id="45" min="1" max="11" man="1"/>
        <brk id="77" min="1" max="11" man="1"/>
        <brk id="94" min="1" max="13" man="1"/>
        <brk id="100" min="1" max="13" man="1"/>
        <brk id="142" min="1" max="13" man="1"/>
        <brk id="185" min="1" max="13" man="1"/>
        <brk id="228" min="1" max="13" man="1"/>
        <brk id="271" min="1" max="13" man="1"/>
        <brk id="314" min="1" max="13" man="1"/>
        <brk id="357" min="1" max="13" man="1"/>
        <brk id="395" min="1" max="13" man="1"/>
        <brk id="433" min="1" max="13" man="1"/>
        <brk id="453" min="1" max="13" man="1"/>
        <brk id="499" min="1" max="13" man="1"/>
        <brk id="542" min="1" max="13" man="1"/>
        <brk id="585" min="1" max="13" man="1"/>
        <brk id="622" min="1" max="13" man="1"/>
        <brk id="658" min="1" max="13" man="1"/>
      </rowBreaks>
      <pageMargins left="1.33" right="1.1200000000000001" top="1" bottom="0.5" header="0" footer="0"/>
      <pageSetup scale="77" fitToHeight="3" orientation="landscape" horizontalDpi="1200" verticalDpi="1200" r:id="rId1"/>
      <headerFooter alignWithMargins="0">
        <oddFooter>Page &amp;P of &amp;N</oddFooter>
      </headerFooter>
    </customSheetView>
  </customSheetViews>
  <mergeCells count="5">
    <mergeCell ref="C8:H9"/>
    <mergeCell ref="B8:B10"/>
    <mergeCell ref="B1:L1"/>
    <mergeCell ref="B2:L2"/>
    <mergeCell ref="W7:W10"/>
  </mergeCells>
  <phoneticPr fontId="0" type="noConversion"/>
  <printOptions horizontalCentered="1"/>
  <pageMargins left="0.7" right="0.7" top="1.25" bottom="0.5" header="0" footer="0"/>
  <pageSetup fitToHeight="3" orientation="landscape" r:id="rId2"/>
  <headerFooter scaleWithDoc="0">
    <oddFooter>&amp;CPage &amp;P of &amp;N</oddFooter>
  </headerFooter>
  <rowBreaks count="16" manualBreakCount="16">
    <brk id="105" max="16383" man="1"/>
    <brk id="111" min="1" max="13" man="1"/>
    <brk id="153" min="1" max="13" man="1"/>
    <brk id="196" min="1" max="13" man="1"/>
    <brk id="239" min="1" max="13" man="1"/>
    <brk id="282" min="1" max="13" man="1"/>
    <brk id="325" min="1" max="13" man="1"/>
    <brk id="368" min="1" max="13" man="1"/>
    <brk id="406" min="1" max="13" man="1"/>
    <brk id="444" min="1" max="13" man="1"/>
    <brk id="464" min="1" max="13" man="1"/>
    <brk id="510" min="1" max="13" man="1"/>
    <brk id="553" min="1" max="13" man="1"/>
    <brk id="596" min="1" max="13" man="1"/>
    <brk id="633" min="1" max="13" man="1"/>
    <brk id="669" min="1"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31</vt:i4>
      </vt:variant>
    </vt:vector>
  </HeadingPairs>
  <TitlesOfParts>
    <vt:vector size="62" baseType="lpstr">
      <vt:lpstr>Title Page</vt:lpstr>
      <vt:lpstr>Revision History</vt:lpstr>
      <vt:lpstr>Instructions</vt:lpstr>
      <vt:lpstr>Methodology</vt:lpstr>
      <vt:lpstr># Yrs of Data</vt:lpstr>
      <vt:lpstr>Counties</vt:lpstr>
      <vt:lpstr>Ratings</vt:lpstr>
      <vt:lpstr>Database - Tornado Segments</vt:lpstr>
      <vt:lpstr>Summary - Tornado Segments</vt:lpstr>
      <vt:lpstr>Database - Whole Tornadoes</vt:lpstr>
      <vt:lpstr>Summary - Whole Tornadoes</vt:lpstr>
      <vt:lpstr>Graphs</vt:lpstr>
      <vt:lpstr>ONI</vt:lpstr>
      <vt:lpstr>Season</vt:lpstr>
      <vt:lpstr>First Tornado</vt:lpstr>
      <vt:lpstr>APC</vt:lpstr>
      <vt:lpstr>Tornado Segment Statistics</vt:lpstr>
      <vt:lpstr>Tornado Segment Distribution</vt:lpstr>
      <vt:lpstr>Adjustments to Data</vt:lpstr>
      <vt:lpstr>Tornado Model</vt:lpstr>
      <vt:lpstr>F0 - EF0</vt:lpstr>
      <vt:lpstr>F0 - EF0 Analysis</vt:lpstr>
      <vt:lpstr>F1 - EF1</vt:lpstr>
      <vt:lpstr>F1 - EF1 Analysis</vt:lpstr>
      <vt:lpstr>F2 - EF2</vt:lpstr>
      <vt:lpstr>F2 - EF2 Analysis</vt:lpstr>
      <vt:lpstr>F3 - EF3</vt:lpstr>
      <vt:lpstr>F3 - EF3 Analysis</vt:lpstr>
      <vt:lpstr>F4 - EF4</vt:lpstr>
      <vt:lpstr>F4 - EF4 Analysis</vt:lpstr>
      <vt:lpstr>EF5</vt:lpstr>
      <vt:lpstr>counties</vt:lpstr>
      <vt:lpstr>'# Yrs of Data'!Print_Area</vt:lpstr>
      <vt:lpstr>'Adjustments to Data'!Print_Area</vt:lpstr>
      <vt:lpstr>APC!Print_Area</vt:lpstr>
      <vt:lpstr>Counties!Print_Area</vt:lpstr>
      <vt:lpstr>'Database - Tornado Segments'!Print_Area</vt:lpstr>
      <vt:lpstr>'Database - Whole Tornadoes'!Print_Area</vt:lpstr>
      <vt:lpstr>'F0 - EF0'!Print_Area</vt:lpstr>
      <vt:lpstr>Graphs!Print_Area</vt:lpstr>
      <vt:lpstr>Instructions!Print_Area</vt:lpstr>
      <vt:lpstr>Methodology!Print_Area</vt:lpstr>
      <vt:lpstr>'Revision History'!Print_Area</vt:lpstr>
      <vt:lpstr>Season!Print_Area</vt:lpstr>
      <vt:lpstr>'Summary - Tornado Segments'!Print_Area</vt:lpstr>
      <vt:lpstr>'Summary - Whole Tornadoes'!Print_Area</vt:lpstr>
      <vt:lpstr>'Title Page'!Print_Area</vt:lpstr>
      <vt:lpstr>'Tornado Model'!Print_Area</vt:lpstr>
      <vt:lpstr>'Tornado Segment Distribution'!Print_Area</vt:lpstr>
      <vt:lpstr>'# Yrs of Data'!Print_Titles</vt:lpstr>
      <vt:lpstr>'Database - Tornado Segments'!Print_Titles</vt:lpstr>
      <vt:lpstr>'Database - Whole Tornadoes'!Print_Titles</vt:lpstr>
      <vt:lpstr>'F0 - EF0'!Print_Titles</vt:lpstr>
      <vt:lpstr>'F1 - EF1'!Print_Titles</vt:lpstr>
      <vt:lpstr>'F2 - EF2'!Print_Titles</vt:lpstr>
      <vt:lpstr>'F3 - EF3'!Print_Titles</vt:lpstr>
      <vt:lpstr>'F4 - EF4'!Print_Titles</vt:lpstr>
      <vt:lpstr>Instructions!Print_Titles</vt:lpstr>
      <vt:lpstr>Methodology!Print_Titles</vt:lpstr>
      <vt:lpstr>'Summary - Tornado Segments'!Print_Titles</vt:lpstr>
      <vt:lpstr>'Summary - Whole Tornadoes'!Print_Titles</vt:lpstr>
      <vt:lpstr>rating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cscruggs</dc:creator>
  <cp:lastModifiedBy>Admin</cp:lastModifiedBy>
  <cp:lastPrinted>2019-03-13T02:04:02Z</cp:lastPrinted>
  <dcterms:created xsi:type="dcterms:W3CDTF">2003-02-21T22:36:07Z</dcterms:created>
  <dcterms:modified xsi:type="dcterms:W3CDTF">2023-01-15T02:51:23Z</dcterms:modified>
</cp:coreProperties>
</file>